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6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3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instorm" sheetId="1" r:id="rId5"/>
    <sheet state="visible" name="Tickers" sheetId="2" r:id="rId6"/>
    <sheet state="visible" name="ITA" sheetId="3" r:id="rId7"/>
    <sheet state="visible" name="NFI" sheetId="4" r:id="rId8"/>
    <sheet state="visible" name="FDEFX" sheetId="5" r:id="rId9"/>
    <sheet state="visible" name="DGORDER" sheetId="6" r:id="rId10"/>
    <sheet state="visible" name="INDPRO" sheetId="7" r:id="rId11"/>
    <sheet state="visible" name="XLI" sheetId="8" r:id="rId12"/>
    <sheet state="visible" name="10 Year Treasury Yield" sheetId="9" r:id="rId13"/>
    <sheet state="visible" name="Prologis" sheetId="10" r:id="rId14"/>
    <sheet state="visible" name="DRTSCILM" sheetId="11" r:id="rId15"/>
    <sheet state="visible" name="Recent Deals" sheetId="12" r:id="rId16"/>
    <sheet state="visible" name="ADEFNO" sheetId="13" r:id="rId17"/>
    <sheet state="visible" name="IPB52300S" sheetId="14" r:id="rId18"/>
    <sheet state="visible" name="ADAPNO" sheetId="15" r:id="rId19"/>
    <sheet state="visible" name="GDPIC1" sheetId="16" r:id="rId20"/>
    <sheet state="visible" name="PRMFGCONS" sheetId="17" r:id="rId21"/>
    <sheet state="visible" name="DIB" sheetId="18" r:id="rId22"/>
    <sheet state="visible" name="M&amp;A" sheetId="19" r:id="rId23"/>
    <sheet state="visible" name="VC" sheetId="20" r:id="rId2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tc={3a48c532-b425-4667-9746-1c7f19693e06}</author>
  </authors>
  <commentList>
    <comment authorId="0" xr:uid="{3a48c532-b425-4667-9746-1c7f19693e06}" ref="W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interesting at all
</t>
      </text>
    </comment>
  </commentList>
</comments>
</file>

<file path=xl/sharedStrings.xml><?xml version="1.0" encoding="utf-8"?>
<sst xmlns="http://schemas.openxmlformats.org/spreadsheetml/2006/main" count="146" uniqueCount="117">
  <si>
    <t>Nonresidential Fixed Investment (NFI)</t>
  </si>
  <si>
    <t>Measures business spending on structures, equipment, and intellectual property.</t>
  </si>
  <si>
    <t>BEA Fixed Assets Data</t>
  </si>
  <si>
    <t>Durable Goods Orders (Core Capital Goods)</t>
  </si>
  <si>
    <t>Reflects new orders for non-defense capital goods excluding aircraft; a proxy for future business investment.</t>
  </si>
  <si>
    <t>Census Bureau Durable Goods Report</t>
  </si>
  <si>
    <t>Industrial Production Index</t>
  </si>
  <si>
    <t>Indicates output in manufacturing, mining, and utilities sectors.</t>
  </si>
  <si>
    <t>Federal Reserve Industrial Production Data</t>
  </si>
  <si>
    <t>Industrial Select Sector SPDR Fund (XLI)</t>
  </si>
  <si>
    <t>An ETF representing the industrial sector, sensitive to investment cycles.</t>
  </si>
  <si>
    <t>XLI ETF Performance</t>
  </si>
  <si>
    <t>REIT Performance (Industrial &amp; Infrastructure)</t>
  </si>
  <si>
    <t>Monitors Real Estate Investment Trusts focused on industrial and infrastructure properties.</t>
  </si>
  <si>
    <t>Nareit Real-Time Index Returns</t>
  </si>
  <si>
    <t xml:space="preserve">Look around and choose a REIT that seems like it best reflects defense industry </t>
  </si>
  <si>
    <t>Treasury 10-year rate</t>
  </si>
  <si>
    <t>show a multiyear trendline</t>
  </si>
  <si>
    <t>Senior Loan Officer Opinion Survey (SLOOS)</t>
  </si>
  <si>
    <t>Provides insights into bank lending standards and demand for commercial and industrial loans.</t>
  </si>
  <si>
    <t>Federal Reserve SLOOS Reports</t>
  </si>
  <si>
    <t>https://fred.stlouisfed.org/tags/series?t=sloos</t>
  </si>
  <si>
    <t>Commercial Paper Rates</t>
  </si>
  <si>
    <t>Reflects short-term borrowing costs for corporations; rising rates can signal tightening credit conditions.</t>
  </si>
  <si>
    <t>Federal Reserve Commercial Paper Rates</t>
  </si>
  <si>
    <t>Cool but low priority</t>
  </si>
  <si>
    <t>https://fred.stlouisfed.org/series/RIFSPPFAAD90NB</t>
  </si>
  <si>
    <t>NFIB Small Business Optimism Index</t>
  </si>
  <si>
    <t>Assesses small business sentiment, including plans for capital expenditures.</t>
  </si>
  <si>
    <t>NFIB Small Business Economic Trends</t>
  </si>
  <si>
    <t>ISM Manufacturing Index (New Orders &amp; Backlog)</t>
  </si>
  <si>
    <t>Evaluates manufacturing activity; new orders and backlog components indicate demand and potential investment.</t>
  </si>
  <si>
    <t>ISM Manufacturing Report</t>
  </si>
  <si>
    <t>Conference Board Leading Economic Index (LEI)</t>
  </si>
  <si>
    <t>A composite of indicators that forecasts future economic activity, including components related to capital investment.</t>
  </si>
  <si>
    <t>Conference Board LEI</t>
  </si>
  <si>
    <t>Only include if you can focus specifically on investment portion</t>
  </si>
  <si>
    <t>Venture Capital Investment in Defense Tech</t>
  </si>
  <si>
    <t>Tracks private capital inflows into early-stage defense and dual-use technology startups.</t>
  </si>
  <si>
    <t>PitchBook Defense Tech Update</t>
  </si>
  <si>
    <t>Defense Contractor Capital Expenditures</t>
  </si>
  <si>
    <t>Monitors capital spending and expansion plans of major defense contractors.</t>
  </si>
  <si>
    <t>L3Harris Investor News, RTX Newsroom</t>
  </si>
  <si>
    <t>This can be autopulled from a free Yahoo Finance subscription. Include R&amp;D and capex</t>
  </si>
  <si>
    <t>Defense-Focused Private Equity Activity</t>
  </si>
  <si>
    <t>Observes investments and acquisitions by private equity firms in the defense and aerospace sectors.</t>
  </si>
  <si>
    <t>AE Industrial Partners</t>
  </si>
  <si>
    <t>There are different PE reports out there, we will have to compare to find the best and most timely one</t>
  </si>
  <si>
    <t>Defense Industry ETF Performance</t>
  </si>
  <si>
    <t>Tracks ETFs focused on the aerospace and defense sectors, reflecting investor sentiment.</t>
  </si>
  <si>
    <t>iShares U.S. Aerospace &amp; Defense ETF (ITA)</t>
  </si>
  <si>
    <t>Web scraping of investment announcements, maybe even try to map out the locations of the investments</t>
  </si>
  <si>
    <t>Live price</t>
  </si>
  <si>
    <t>Ticker</t>
  </si>
  <si>
    <t>Price</t>
  </si>
  <si>
    <t>BATS:ITA</t>
  </si>
  <si>
    <t>NYSEARCA:XLI</t>
  </si>
  <si>
    <t>All Time:</t>
  </si>
  <si>
    <r>
      <rPr>
        <rFont val="Arial"/>
        <b/>
        <color theme="1"/>
      </rPr>
      <t>Past Year</t>
    </r>
    <r>
      <rPr>
        <rFont val="Arial"/>
        <b val="0"/>
        <color theme="1"/>
      </rPr>
      <t>:</t>
    </r>
  </si>
  <si>
    <t>Past 6 Months</t>
  </si>
  <si>
    <t>Past Month</t>
  </si>
  <si>
    <t xml:space="preserve">NFI represents the Pritvate Nonresidential Fixed Investment, in billions. </t>
  </si>
  <si>
    <t>Last 6 years:</t>
  </si>
  <si>
    <t>Logs all time</t>
  </si>
  <si>
    <t>Logs past 5</t>
  </si>
  <si>
    <t>Federal Government: National Defense Consumption Expenditures and Gross Investment (FDEFX)</t>
  </si>
  <si>
    <t>All Time</t>
  </si>
  <si>
    <t>Last 5 years:</t>
  </si>
  <si>
    <t>Logs</t>
  </si>
  <si>
    <t>Manufacturers' New Orders: Durable Goods</t>
  </si>
  <si>
    <t>DGORDER (Millions)</t>
  </si>
  <si>
    <t>Industrial Production: Total Index (INDPRO)</t>
  </si>
  <si>
    <t>Indpro</t>
  </si>
  <si>
    <t>The Industrial Select Sector SPDR Fund (XLI)</t>
  </si>
  <si>
    <r>
      <rPr>
        <rFont val="Arial"/>
        <b/>
        <color theme="1"/>
      </rPr>
      <t>Past Year</t>
    </r>
    <r>
      <rPr>
        <rFont val="Arial"/>
        <b val="0"/>
        <color theme="1"/>
      </rPr>
      <t>:</t>
    </r>
  </si>
  <si>
    <t>DGS10</t>
  </si>
  <si>
    <t>Past Year</t>
  </si>
  <si>
    <t>Prologis is the largest Real Estate Investment Trust (REIT). This monitors Real Estate Investment Trusts focused on industrial and infrastructure properties.</t>
  </si>
  <si>
    <r>
      <rPr>
        <rFont val="Arial"/>
        <b/>
        <color theme="1"/>
      </rPr>
      <t>Past Year</t>
    </r>
    <r>
      <rPr>
        <rFont val="Arial"/>
        <b val="0"/>
        <color theme="1"/>
      </rPr>
      <t>:</t>
    </r>
  </si>
  <si>
    <t>Net Percentage of Domestic Banks Tightening Standards for Commercial and Industrial Loans to Large and Middle-Market Firms (DRTSCILM)</t>
  </si>
  <si>
    <t>Date</t>
  </si>
  <si>
    <t>Company</t>
  </si>
  <si>
    <t>Investment Amount</t>
  </si>
  <si>
    <t>Capital Type</t>
  </si>
  <si>
    <t>Sector</t>
  </si>
  <si>
    <t>Location</t>
  </si>
  <si>
    <t>Project Type</t>
  </si>
  <si>
    <t>Summary</t>
  </si>
  <si>
    <t>Source URL</t>
  </si>
  <si>
    <t>McNally Capital</t>
  </si>
  <si>
    <t>Not disclosed</t>
  </si>
  <si>
    <t>Private Equity</t>
  </si>
  <si>
    <t>N/A</t>
  </si>
  <si>
    <t>Austin TX</t>
  </si>
  <si>
    <t>https://www.google.com/url?rct=j&amp;sa=t&amp;url=https://www.eplaneai.com/zh/news/mcnally-capital-acquires-pt6a-mro-specialist-ats&amp;ct=ga&amp;cd=CAIyHDEzYWM2MTZjN2IyNDZmMjI6Y29tOmVuOlVTOlI&amp;usg=AOvVaw10rKGZ2kXSNYDNwXc_xHmp</t>
  </si>
  <si>
    <t>Manufacturers' New Orders: Defense Capital Goods (ADEFNO)</t>
  </si>
  <si>
    <t>ADEFNO</t>
  </si>
  <si>
    <t>Last Year</t>
  </si>
  <si>
    <t>https://fred.stlouisfed.org/series/IPB52300S</t>
  </si>
  <si>
    <t>Industrial Production: Equipment: Defense and Space Equipment (IPB52300S)</t>
  </si>
  <si>
    <t>past yr</t>
  </si>
  <si>
    <t>Past 30 years</t>
  </si>
  <si>
    <t>Past decade</t>
  </si>
  <si>
    <t>https://fred.stlouisfed.org/series/ADAPNO</t>
  </si>
  <si>
    <t>Manufacturers' New Orders: Defense Aircraft and Parts</t>
  </si>
  <si>
    <t>https://fred.stlouisfed.org/series/GPDIC1</t>
  </si>
  <si>
    <t>Real Gross Private Domestic Investment (GPDIC1)</t>
  </si>
  <si>
    <t>Past Decade</t>
  </si>
  <si>
    <t>Total Private Construction Spending: Manufacturing in the United States (PRMFGCONS)</t>
  </si>
  <si>
    <t>PRM</t>
  </si>
  <si>
    <t>Year</t>
  </si>
  <si>
    <t>DIB</t>
  </si>
  <si>
    <t>M&amp;A</t>
  </si>
  <si>
    <t xml:space="preserve"> </t>
  </si>
  <si>
    <t>In billions</t>
  </si>
  <si>
    <t>Venture Capital</t>
  </si>
  <si>
    <t>in billions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</si>
</sst>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 &quot;yyyy"/>
    <numFmt numFmtId="165" formatCode="m&quot;/&quot;d&quot; &quot;"/>
    <numFmt numFmtId="166" formatCode="M/d/yyyy"/>
    <numFmt numFmtId="167" formatCode="m/d/yy"/>
    <numFmt numFmtId="168" formatCode="&quot;$&quot;#,##0"/>
  </numFmts>
  <fonts count="18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2.0"/>
      <color theme="1"/>
      <name val="Times New Roman"/>
    </font>
    <font>
      <b/>
      <color theme="1"/>
      <name val="Arial"/>
      <scheme val="minor"/>
    </font>
    <font>
      <sz val="12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2.0"/>
      <color rgb="FF000000"/>
      <name val="Roboto"/>
    </font>
    <font>
      <sz val="18.0"/>
      <color rgb="FF000000"/>
      <name val="Roboto"/>
    </font>
    <font>
      <b/>
      <sz val="12.0"/>
      <color rgb="FF000000"/>
      <name val="&quot;Aptos Narrow&quot;"/>
    </font>
    <font>
      <sz val="12.0"/>
      <color rgb="FF000000"/>
      <name val="&quot;Aptos Narrow&quot;"/>
    </font>
    <font>
      <u/>
      <sz val="12.0"/>
      <color rgb="FF000000"/>
      <name val="&quot;Aptos Narrow&quot;"/>
    </font>
    <font>
      <u/>
      <color rgb="FF0000FF"/>
    </font>
    <font>
      <u/>
      <color rgb="FF0000FF"/>
    </font>
    <font>
      <b/>
      <sz val="12.0"/>
      <color rgb="FF000000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2" numFmtId="164" xfId="0" applyFont="1" applyNumberFormat="1"/>
    <xf borderId="0" fillId="0" fontId="6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0" xfId="0" applyFont="1"/>
    <xf borderId="0" fillId="0" fontId="2" numFmtId="165" xfId="0" applyFont="1" applyNumberFormat="1"/>
    <xf borderId="0" fillId="0" fontId="2" numFmtId="165" xfId="0" applyFont="1" applyNumberFormat="1"/>
    <xf borderId="0" fillId="0" fontId="5" numFmtId="165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 shrinkToFit="0" vertical="bottom" wrapText="1"/>
    </xf>
    <xf borderId="0" fillId="0" fontId="7" numFmtId="4" xfId="0" applyAlignment="1" applyFont="1" applyNumberFormat="1">
      <alignment vertical="bottom"/>
    </xf>
    <xf borderId="0" fillId="0" fontId="7" numFmtId="166" xfId="0" applyAlignment="1" applyFont="1" applyNumberFormat="1">
      <alignment vertical="bottom"/>
    </xf>
    <xf borderId="0" fillId="0" fontId="8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readingOrder="0" vertical="bottom"/>
    </xf>
    <xf borderId="0" fillId="0" fontId="7" numFmtId="164" xfId="0" applyAlignment="1" applyFont="1" applyNumberFormat="1">
      <alignment horizontal="right" vertical="bottom"/>
    </xf>
    <xf borderId="0" fillId="0" fontId="7" numFmtId="4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9" numFmtId="0" xfId="0" applyAlignment="1" applyFont="1">
      <alignment readingOrder="0"/>
    </xf>
    <xf borderId="0" fillId="0" fontId="2" numFmtId="4" xfId="0" applyFont="1" applyNumberFormat="1"/>
    <xf borderId="0" fillId="0" fontId="9" numFmtId="164" xfId="0" applyAlignment="1" applyFont="1" applyNumberFormat="1">
      <alignment readingOrder="0"/>
    </xf>
    <xf borderId="0" fillId="0" fontId="2" numFmtId="166" xfId="0" applyFont="1" applyNumberFormat="1"/>
    <xf borderId="0" fillId="0" fontId="8" numFmtId="164" xfId="0" applyAlignment="1" applyFont="1" applyNumberFormat="1">
      <alignment readingOrder="0" vertical="bottom"/>
    </xf>
    <xf borderId="0" fillId="0" fontId="10" numFmtId="0" xfId="0" applyAlignment="1" applyFont="1">
      <alignment readingOrder="0"/>
    </xf>
    <xf borderId="0" fillId="0" fontId="8" numFmtId="164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7" numFmtId="165" xfId="0" applyAlignment="1" applyFont="1" applyNumberFormat="1">
      <alignment horizontal="right" vertical="bottom"/>
    </xf>
    <xf borderId="0" fillId="0" fontId="2" numFmtId="164" xfId="0" applyFont="1" applyNumberFormat="1"/>
    <xf borderId="0" fillId="0" fontId="8" numFmtId="165" xfId="0" applyAlignment="1" applyFont="1" applyNumberFormat="1">
      <alignment vertical="bottom"/>
    </xf>
    <xf borderId="0" fillId="0" fontId="7" numFmtId="165" xfId="0" applyAlignment="1" applyFont="1" applyNumberFormat="1">
      <alignment horizontal="center" vertical="bottom"/>
    </xf>
    <xf borderId="0" fillId="0" fontId="7" numFmtId="166" xfId="0" applyAlignment="1" applyFont="1" applyNumberFormat="1">
      <alignment horizontal="right" vertical="bottom"/>
    </xf>
    <xf borderId="0" fillId="0" fontId="11" numFmtId="0" xfId="0" applyAlignment="1" applyFont="1">
      <alignment readingOrder="0" shrinkToFit="0" vertical="bottom" wrapText="0"/>
    </xf>
    <xf borderId="0" fillId="0" fontId="12" numFmtId="167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7" numFmtId="165" xfId="0" applyAlignment="1" applyFont="1" applyNumberFormat="1">
      <alignment vertical="bottom"/>
    </xf>
    <xf borderId="0" fillId="0" fontId="15" numFmtId="0" xfId="0" applyAlignment="1" applyFont="1">
      <alignment readingOrder="0"/>
    </xf>
    <xf borderId="0" fillId="0" fontId="10" numFmtId="4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1" fillId="2" fontId="16" numFmtId="0" xfId="0" applyAlignment="1" applyBorder="1" applyFill="1" applyFont="1">
      <alignment horizontal="center" readingOrder="0"/>
    </xf>
    <xf borderId="1" fillId="0" fontId="17" numFmtId="0" xfId="0" applyAlignment="1" applyBorder="1" applyFont="1">
      <alignment horizontal="center" readingOrder="0"/>
    </xf>
    <xf borderId="0" fillId="0" fontId="6" numFmtId="3" xfId="0" applyAlignment="1" applyFont="1" applyNumberFormat="1">
      <alignment readingOrder="0"/>
    </xf>
    <xf borderId="1" fillId="0" fontId="17" numFmtId="168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iShares US Aerospace and Defense ETF (Since 2006)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ITA!$C$2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  <a:prstDash val="solid"/>
            </a:ln>
          </c:spPr>
          <c:cat>
            <c:strRef>
              <c:f>ITA!$B$3:$B$4753</c:f>
            </c:strRef>
          </c:cat>
          <c:val>
            <c:numRef>
              <c:f>ITA!$C$3:$C$4753</c:f>
              <c:numCache/>
            </c:numRef>
          </c:val>
        </c:ser>
        <c:axId val="1084321583"/>
        <c:axId val="919643457"/>
      </c:areaChart>
      <c:catAx>
        <c:axId val="1084321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919643457"/>
      </c:catAx>
      <c:valAx>
        <c:axId val="919643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10843215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C9DAF8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iShares US Aerospace and Defense ETF (Past Year)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ITA!$L$1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  <a:prstDash val="solid"/>
            </a:ln>
          </c:spPr>
          <c:cat>
            <c:strRef>
              <c:f>ITA!$K$2:$K$320</c:f>
            </c:strRef>
          </c:cat>
          <c:val>
            <c:numRef>
              <c:f>ITA!$L$2:$L$320</c:f>
              <c:numCache/>
            </c:numRef>
          </c:val>
        </c:ser>
        <c:axId val="539614123"/>
        <c:axId val="1110472152"/>
      </c:areaChart>
      <c:catAx>
        <c:axId val="539614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1110472152"/>
      </c:catAx>
      <c:valAx>
        <c:axId val="1110472152"/>
        <c:scaling>
          <c:orientation val="minMax"/>
          <c:min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5396141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C9DAF8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iShares US Aerospace and Defense ETF (Past 6 Months)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ITA!$U$1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ITA!$T$2:$T$126</c:f>
            </c:strRef>
          </c:cat>
          <c:val>
            <c:numRef>
              <c:f>ITA!$U$2:$U$126</c:f>
              <c:numCache/>
            </c:numRef>
          </c:val>
        </c:ser>
        <c:axId val="1480341603"/>
        <c:axId val="562523155"/>
      </c:areaChart>
      <c:catAx>
        <c:axId val="1480341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562523155"/>
      </c:catAx>
      <c:valAx>
        <c:axId val="562523155"/>
        <c:scaling>
          <c:orientation val="minMax"/>
          <c:min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14803416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C9DAF8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iShares US Aerospace and Defense ETF (Past Month)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ITA!$AD$1:$AD$2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ITA!$AC$3:$AC$25</c:f>
            </c:strRef>
          </c:cat>
          <c:val>
            <c:numRef>
              <c:f>ITA!$AD$3:$AD$25</c:f>
              <c:numCache/>
            </c:numRef>
          </c:val>
        </c:ser>
        <c:axId val="23889517"/>
        <c:axId val="86226155"/>
      </c:areaChart>
      <c:catAx>
        <c:axId val="23889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86226155"/>
      </c:catAx>
      <c:valAx>
        <c:axId val="86226155"/>
        <c:scaling>
          <c:orientation val="minMax"/>
          <c:min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23889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C9DAF8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Private Nonresidential Fixed Investment (PNFI) Over Time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NFI!$B$1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NFI!$A$2:$A$314</c:f>
            </c:strRef>
          </c:cat>
          <c:val>
            <c:numRef>
              <c:f>NFI!$B$2:$B$314</c:f>
              <c:numCache/>
            </c:numRef>
          </c:val>
        </c:ser>
        <c:axId val="681353452"/>
        <c:axId val="435999122"/>
      </c:areaChart>
      <c:catAx>
        <c:axId val="681353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435999122"/>
      </c:catAx>
      <c:valAx>
        <c:axId val="435999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PNFI (Billions)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6813534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C9DAF8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Private Nonresidential Fixed Investment (PNFI) Past 5 Years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NFI!$E$2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NFI!$D$3:$D$24</c:f>
            </c:strRef>
          </c:cat>
          <c:val>
            <c:numRef>
              <c:f>NFI!$E$3:$E$24</c:f>
              <c:numCache/>
            </c:numRef>
          </c:val>
        </c:ser>
        <c:axId val="1141971697"/>
        <c:axId val="1291299138"/>
      </c:areaChart>
      <c:catAx>
        <c:axId val="1141971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91299138"/>
      </c:catAx>
      <c:valAx>
        <c:axId val="1291299138"/>
        <c:scaling>
          <c:orientation val="minMax"/>
          <c:min val="2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PNFI (Billions)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1419716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C9DAF8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NFI!$N$3:$N$314</c:f>
            </c:strRef>
          </c:cat>
          <c:val>
            <c:numRef>
              <c:f>NFI!$O$3:$O$314</c:f>
              <c:numCache/>
            </c:numRef>
          </c:val>
          <c:smooth val="0"/>
        </c:ser>
        <c:axId val="587991789"/>
        <c:axId val="2129282687"/>
      </c:lineChart>
      <c:catAx>
        <c:axId val="587991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282687"/>
      </c:catAx>
      <c:valAx>
        <c:axId val="2129282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7991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National Defense Consumption Expenditures and Gross Investment (FDEFX) All Time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FDEFX!$C$3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FDEFX!$B$4:$B$315</c:f>
            </c:strRef>
          </c:cat>
          <c:val>
            <c:numRef>
              <c:f>FDEFX!$C$4:$C$315</c:f>
              <c:numCache/>
            </c:numRef>
          </c:val>
        </c:ser>
        <c:axId val="1400596123"/>
        <c:axId val="2022785212"/>
      </c:areaChart>
      <c:catAx>
        <c:axId val="1400596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2022785212"/>
      </c:catAx>
      <c:valAx>
        <c:axId val="2022785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FDEFX (Billions)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14005961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C9DAF8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National Defense Consumption Expenditures and Gross Investment (FDEFX) Past 5 Years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FDEFX!$F$3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FDEFX!$E$4:$E$21</c:f>
            </c:strRef>
          </c:cat>
          <c:val>
            <c:numRef>
              <c:f>FDEFX!$F$4:$F$21</c:f>
              <c:numCache/>
            </c:numRef>
          </c:val>
        </c:ser>
        <c:axId val="633583901"/>
        <c:axId val="2029261834"/>
      </c:areaChart>
      <c:catAx>
        <c:axId val="633583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Last 5 years: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261834"/>
      </c:catAx>
      <c:valAx>
        <c:axId val="2029261834"/>
        <c:scaling>
          <c:orientation val="minMax"/>
          <c:min val="7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FDEFX (Billions)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35839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FDEFX!$P$4:$P$315</c:f>
            </c:strRef>
          </c:cat>
          <c:val>
            <c:numRef>
              <c:f>FDEFX!$Q$4:$Q$315</c:f>
              <c:numCache/>
            </c:numRef>
          </c:val>
          <c:smooth val="0"/>
        </c:ser>
        <c:axId val="1007557939"/>
        <c:axId val="1065973628"/>
      </c:lineChart>
      <c:catAx>
        <c:axId val="1007557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973628"/>
      </c:catAx>
      <c:valAx>
        <c:axId val="1065973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557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Manufacturers' New Orders: Durable Goods All Time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DGORDER!$C$3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DGORDER!$B$4:$B$400</c:f>
            </c:strRef>
          </c:cat>
          <c:val>
            <c:numRef>
              <c:f>DGORDER!$C$4:$C$400</c:f>
              <c:numCache/>
            </c:numRef>
          </c:val>
        </c:ser>
        <c:axId val="1268564036"/>
        <c:axId val="2129573927"/>
      </c:areaChart>
      <c:catAx>
        <c:axId val="1268564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observation_date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573927"/>
      </c:catAx>
      <c:valAx>
        <c:axId val="2129573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DGORDER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85640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Manufacturers' New Orders: Durable Goods Last 5 Years 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DGORDER!$F$3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DGORDER!$E$4:$E$61</c:f>
            </c:strRef>
          </c:cat>
          <c:val>
            <c:numRef>
              <c:f>DGORDER!$F$4:$F$61</c:f>
              <c:numCache/>
            </c:numRef>
          </c:val>
        </c:ser>
        <c:axId val="42234011"/>
        <c:axId val="716985677"/>
      </c:areaChart>
      <c:catAx>
        <c:axId val="42234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Last 5 years: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985677"/>
      </c:catAx>
      <c:valAx>
        <c:axId val="7169856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DGORDER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2340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Industrial Production Total Index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INDPRO!$C$3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INDPRO!$B$4:$B$1277</c:f>
            </c:strRef>
          </c:cat>
          <c:val>
            <c:numRef>
              <c:f>INDPRO!$C$4:$C$1277</c:f>
              <c:numCache/>
            </c:numRef>
          </c:val>
        </c:ser>
        <c:axId val="957328040"/>
        <c:axId val="1874576496"/>
      </c:areaChart>
      <c:catAx>
        <c:axId val="957328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4576496"/>
      </c:catAx>
      <c:valAx>
        <c:axId val="1874576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INDPRO (Index, 2017=100)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328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Industrial Production Total Index (Past 5 Years)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INDPRO!$F$3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INDPRO!$E$4:$E$61</c:f>
            </c:strRef>
          </c:cat>
          <c:val>
            <c:numRef>
              <c:f>INDPRO!$F$4:$F$61</c:f>
              <c:numCache/>
            </c:numRef>
          </c:val>
        </c:ser>
        <c:axId val="1992436050"/>
        <c:axId val="826675487"/>
      </c:areaChart>
      <c:catAx>
        <c:axId val="1992436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Last 5 years: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675487"/>
      </c:catAx>
      <c:valAx>
        <c:axId val="826675487"/>
        <c:scaling>
          <c:orientation val="minMax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INDPRO (Index, 2017=100)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24360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Industrial Select Sector SPDR Fund (All Time)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XLI!$C$2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XLI!$B$3:$B$4772</c:f>
            </c:strRef>
          </c:cat>
          <c:val>
            <c:numRef>
              <c:f>XLI!$C$3:$C$4772</c:f>
              <c:numCache/>
            </c:numRef>
          </c:val>
        </c:ser>
        <c:axId val="1621264141"/>
        <c:axId val="604038973"/>
      </c:areaChart>
      <c:catAx>
        <c:axId val="1621264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4038973"/>
      </c:catAx>
      <c:valAx>
        <c:axId val="604038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2641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Industrial Select Sector SPDR Fund (Past Year)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XLI!$F$1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XLI!$E$2:$E$253</c:f>
            </c:strRef>
          </c:cat>
          <c:val>
            <c:numRef>
              <c:f>XLI!$F$2:$F$253</c:f>
              <c:numCache/>
            </c:numRef>
          </c:val>
        </c:ser>
        <c:axId val="1547486964"/>
        <c:axId val="497686166"/>
      </c:areaChart>
      <c:catAx>
        <c:axId val="1547486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7686166"/>
      </c:catAx>
      <c:valAx>
        <c:axId val="497686166"/>
        <c:scaling>
          <c:orientation val="minMax"/>
          <c:min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4869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Industrial Select Sector SPDR Fund (Past 6 Months)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XLI!$O$1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XLI!$N$2:$N$126</c:f>
            </c:strRef>
          </c:cat>
          <c:val>
            <c:numRef>
              <c:f>XLI!$O$2:$O$126</c:f>
              <c:numCache/>
            </c:numRef>
          </c:val>
        </c:ser>
        <c:axId val="1085706725"/>
        <c:axId val="979932619"/>
      </c:areaChart>
      <c:catAx>
        <c:axId val="1085706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9932619"/>
      </c:catAx>
      <c:valAx>
        <c:axId val="979932619"/>
        <c:scaling>
          <c:orientation val="minMax"/>
          <c:min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5706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Industrial Select Sector SPDR Fund (Past Month)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XLI!$R$1:$R$2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XLI!$Q$3:$Q$23</c:f>
            </c:strRef>
          </c:cat>
          <c:val>
            <c:numRef>
              <c:f>XLI!$R$3:$R$23</c:f>
              <c:numCache/>
            </c:numRef>
          </c:val>
        </c:ser>
        <c:axId val="848164487"/>
        <c:axId val="611535790"/>
      </c:areaChart>
      <c:catAx>
        <c:axId val="848164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535790"/>
      </c:catAx>
      <c:valAx>
        <c:axId val="611535790"/>
        <c:scaling>
          <c:orientation val="minMax"/>
          <c:min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1644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10 Year Treasury Yield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'10 Year Treasury Yield'!$C$2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'10 Year Treasury Yield'!$B$3:$B$16511</c:f>
            </c:strRef>
          </c:cat>
          <c:val>
            <c:numRef>
              <c:f>'10 Year Treasury Yield'!$C$3:$C$16511</c:f>
              <c:numCache/>
            </c:numRef>
          </c:val>
        </c:ser>
        <c:axId val="1917122486"/>
        <c:axId val="1634675038"/>
      </c:areaChart>
      <c:catAx>
        <c:axId val="1917122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675038"/>
      </c:catAx>
      <c:valAx>
        <c:axId val="1634675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1224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10 Year Treasury Yield (Past 5 Years)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'10 Year Treasury Yield'!$F$2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'10 Year Treasury Yield'!$E$3:$E$1304</c:f>
            </c:strRef>
          </c:cat>
          <c:val>
            <c:numRef>
              <c:f>'10 Year Treasury Yield'!$F$3:$F$1304</c:f>
              <c:numCache/>
            </c:numRef>
          </c:val>
        </c:ser>
        <c:axId val="915163599"/>
        <c:axId val="76435285"/>
      </c:areaChart>
      <c:catAx>
        <c:axId val="915163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435285"/>
      </c:catAx>
      <c:valAx>
        <c:axId val="76435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Yield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163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10 Year Treasury Yield (Past Year)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'10 Year Treasury Yield'!$I$2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'10 Year Treasury Yield'!$H$3:$H$262</c:f>
            </c:strRef>
          </c:cat>
          <c:val>
            <c:numRef>
              <c:f>'10 Year Treasury Yield'!$I$3:$I$262</c:f>
              <c:numCache/>
            </c:numRef>
          </c:val>
        </c:ser>
        <c:axId val="1916251584"/>
        <c:axId val="891756308"/>
      </c:areaChart>
      <c:catAx>
        <c:axId val="191625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1756308"/>
      </c:catAx>
      <c:valAx>
        <c:axId val="891756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62515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10 Year Treasury Yield (Past 6 Months)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'10 Year Treasury Yield'!$L$2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'10 Year Treasury Yield'!$K$3:$K$129</c:f>
            </c:strRef>
          </c:cat>
          <c:val>
            <c:numRef>
              <c:f>'10 Year Treasury Yield'!$L$3:$L$129</c:f>
              <c:numCache/>
            </c:numRef>
          </c:val>
        </c:ser>
        <c:axId val="1827494670"/>
        <c:axId val="1590970208"/>
      </c:areaChart>
      <c:catAx>
        <c:axId val="1827494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0970208"/>
      </c:catAx>
      <c:valAx>
        <c:axId val="1590970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74946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10 Year Treasury Yield (Past Month)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'10 Year Treasury Yield'!$O$2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'10 Year Treasury Yield'!$N$3:$N$22</c:f>
            </c:strRef>
          </c:cat>
          <c:val>
            <c:numRef>
              <c:f>'10 Year Treasury Yield'!$O$3:$O$22</c:f>
              <c:numCache/>
            </c:numRef>
          </c:val>
        </c:ser>
        <c:axId val="1094365744"/>
        <c:axId val="1448549338"/>
      </c:areaChart>
      <c:catAx>
        <c:axId val="1094365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8549338"/>
      </c:catAx>
      <c:valAx>
        <c:axId val="1448549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3657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Prologis Stock Price (All Time)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Prologis!$C$3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Prologis!$B$4:$B$4774</c:f>
            </c:strRef>
          </c:cat>
          <c:val>
            <c:numRef>
              <c:f>Prologis!$C$4:$C$4774</c:f>
              <c:numCache/>
            </c:numRef>
          </c:val>
        </c:ser>
        <c:axId val="1064821507"/>
        <c:axId val="1829158527"/>
      </c:areaChart>
      <c:catAx>
        <c:axId val="1064821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158527"/>
      </c:catAx>
      <c:valAx>
        <c:axId val="1829158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8215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Prologis Stock Price (Past Year)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Prologis!$F$2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Prologis!$E$3:$E$329</c:f>
            </c:strRef>
          </c:cat>
          <c:val>
            <c:numRef>
              <c:f>Prologis!$F$3:$F$329</c:f>
              <c:numCache/>
            </c:numRef>
          </c:val>
        </c:ser>
        <c:axId val="2082746916"/>
        <c:axId val="949596824"/>
      </c:areaChart>
      <c:catAx>
        <c:axId val="2082746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596824"/>
      </c:catAx>
      <c:valAx>
        <c:axId val="949596824"/>
        <c:scaling>
          <c:orientation val="minMax"/>
          <c:min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2746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Prologis Stock Price (Past 6 Months)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Prologis!$N$2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Prologis!$M$3:$M$126</c:f>
            </c:strRef>
          </c:cat>
          <c:val>
            <c:numRef>
              <c:f>Prologis!$N$3:$N$126</c:f>
              <c:numCache/>
            </c:numRef>
          </c:val>
        </c:ser>
        <c:axId val="115990192"/>
        <c:axId val="429797977"/>
      </c:areaChart>
      <c:catAx>
        <c:axId val="115990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9797977"/>
      </c:catAx>
      <c:valAx>
        <c:axId val="429797977"/>
        <c:scaling>
          <c:orientation val="minMax"/>
          <c:min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901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Prologis Stock Price (Past Month)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Prologis!$Q$2:$Q$3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Prologis!$P$4:$P$24</c:f>
            </c:strRef>
          </c:cat>
          <c:val>
            <c:numRef>
              <c:f>Prologis!$Q$4:$Q$24</c:f>
              <c:numCache/>
            </c:numRef>
          </c:val>
        </c:ser>
        <c:axId val="168594095"/>
        <c:axId val="2127737693"/>
      </c:areaChart>
      <c:catAx>
        <c:axId val="168594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737693"/>
      </c:catAx>
      <c:valAx>
        <c:axId val="2127737693"/>
        <c:scaling>
          <c:orientation val="minMax"/>
          <c:min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5940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Net Percentage of Domestic Banks Tightening Standards for Commercial and Industrial Loans to Large and Middle-Market Firms (DRTSCILM)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DRTSCILM!$C$3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DRTSCILM!$B$4:$B$143</c:f>
            </c:strRef>
          </c:cat>
          <c:val>
            <c:numRef>
              <c:f>DRTSCILM!$C$4:$C$143</c:f>
              <c:numCache/>
            </c:numRef>
          </c:val>
        </c:ser>
        <c:axId val="1742892853"/>
        <c:axId val="1380268602"/>
      </c:areaChart>
      <c:catAx>
        <c:axId val="1742892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0268602"/>
      </c:catAx>
      <c:valAx>
        <c:axId val="1380268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8928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Net Percentage of Domestic Banks Tightening Standards for Commercial and Industrial Loans to Large and Middle-Market Firms (Past 5 Years)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DRTSCILM!$F$3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DRTSCILM!$E$4:$E$22</c:f>
            </c:strRef>
          </c:cat>
          <c:val>
            <c:numRef>
              <c:f>DRTSCILM!$F$4:$F$22</c:f>
              <c:numCache/>
            </c:numRef>
          </c:val>
        </c:ser>
        <c:axId val="1992621395"/>
        <c:axId val="1562166740"/>
      </c:areaChart>
      <c:catAx>
        <c:axId val="1992621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2166740"/>
      </c:catAx>
      <c:valAx>
        <c:axId val="1562166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26213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Manufacturers' New Orders: Defense Capital Goods (ADEFNO)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ADEFNO!$C$2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ADEFNO!$B$3:$B$399</c:f>
            </c:strRef>
          </c:cat>
          <c:val>
            <c:numRef>
              <c:f>ADEFNO!$C$3:$C$399</c:f>
              <c:numCache/>
            </c:numRef>
          </c:val>
        </c:ser>
        <c:axId val="791492541"/>
        <c:axId val="2030778961"/>
      </c:areaChart>
      <c:catAx>
        <c:axId val="791492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0778961"/>
      </c:catAx>
      <c:valAx>
        <c:axId val="2030778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14925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Manufacturers' New Orders: Defense Capital Goods (Past 5 Years)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ADEFNO!$F$2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ADEFNO!$E$3:$E$60</c:f>
            </c:strRef>
          </c:cat>
          <c:val>
            <c:numRef>
              <c:f>ADEFNO!$F$3:$F$60</c:f>
              <c:numCache/>
            </c:numRef>
          </c:val>
        </c:ser>
        <c:axId val="1695744260"/>
        <c:axId val="882294903"/>
      </c:areaChart>
      <c:catAx>
        <c:axId val="1695744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294903"/>
      </c:catAx>
      <c:valAx>
        <c:axId val="882294903"/>
        <c:scaling>
          <c:orientation val="minMax"/>
          <c:min val="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57442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Manufacturers' New Orders: Defense Capital Goods (Past Year)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ADEFNO!$I$2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ADEFNO!$H$3:$H$12</c:f>
            </c:strRef>
          </c:cat>
          <c:val>
            <c:numRef>
              <c:f>ADEFNO!$I$3:$I$12</c:f>
              <c:numCache/>
            </c:numRef>
          </c:val>
        </c:ser>
        <c:axId val="1886556345"/>
        <c:axId val="83256926"/>
      </c:areaChart>
      <c:catAx>
        <c:axId val="1886556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256926"/>
      </c:catAx>
      <c:valAx>
        <c:axId val="83256926"/>
        <c:scaling>
          <c:orientation val="minMax"/>
          <c:min val="1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5563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Industrial Production: Equipment: Defense and Space Equipment (All Time)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IPB52300S!$C$3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IPB52300S!$B$4:$B$942</c:f>
            </c:strRef>
          </c:cat>
          <c:val>
            <c:numRef>
              <c:f>IPB52300S!$C$4:$C$942</c:f>
              <c:numCache/>
            </c:numRef>
          </c:val>
          <c:smooth val="0"/>
        </c:ser>
        <c:axId val="1131524769"/>
        <c:axId val="1148133754"/>
      </c:lineChart>
      <c:catAx>
        <c:axId val="1131524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observation_date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133754"/>
      </c:catAx>
      <c:valAx>
        <c:axId val="1148133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Index 2017=100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15247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Industrial Production: Equipment: Defense and Space Equipment (Past 5 Years)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IPB52300S!$F$2:$F$3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IPB52300S!$E$4:$E$62</c:f>
            </c:strRef>
          </c:cat>
          <c:val>
            <c:numRef>
              <c:f>IPB52300S!$F$4:$F$62</c:f>
              <c:numCache/>
            </c:numRef>
          </c:val>
          <c:smooth val="0"/>
        </c:ser>
        <c:axId val="353111801"/>
        <c:axId val="1620283168"/>
      </c:lineChart>
      <c:catAx>
        <c:axId val="353111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283168"/>
      </c:catAx>
      <c:valAx>
        <c:axId val="1620283168"/>
        <c:scaling>
          <c:orientation val="minMax"/>
          <c:min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Index 2017=100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31118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Industrial Production: Equipment: Defense and Space Equipment (Past Year)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IPB52300S!$I$2:$I$3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IPB52300S!$H$4:$H$14</c:f>
            </c:strRef>
          </c:cat>
          <c:val>
            <c:numRef>
              <c:f>IPB52300S!$I$4:$I$14</c:f>
              <c:numCache/>
            </c:numRef>
          </c:val>
          <c:smooth val="0"/>
        </c:ser>
        <c:axId val="714224534"/>
        <c:axId val="106840800"/>
      </c:lineChart>
      <c:catAx>
        <c:axId val="714224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840800"/>
      </c:catAx>
      <c:valAx>
        <c:axId val="106840800"/>
        <c:scaling>
          <c:orientation val="minMax"/>
          <c:min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Index 2017=100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2245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Industrial Production: Equipment: Defense and Space Equipment (Past 30 Years)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IPB52300S!$L$2:$L$3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IPB52300S!$K$4:$K$362</c:f>
            </c:strRef>
          </c:cat>
          <c:val>
            <c:numRef>
              <c:f>IPB52300S!$L$4:$L$362</c:f>
              <c:numCache/>
            </c:numRef>
          </c:val>
          <c:smooth val="0"/>
        </c:ser>
        <c:axId val="1438452855"/>
        <c:axId val="1134850373"/>
      </c:lineChart>
      <c:catAx>
        <c:axId val="1438452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850373"/>
      </c:catAx>
      <c:valAx>
        <c:axId val="1134850373"/>
        <c:scaling>
          <c:orientation val="minMax"/>
          <c:min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Index 2017=100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84528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Industrial Production: Equipment: Defense and Space Equipment (Past Decade)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IPB52300S!$O$2:$O$3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IPB52300S!$N$4:$N$122</c:f>
            </c:strRef>
          </c:cat>
          <c:val>
            <c:numRef>
              <c:f>IPB52300S!$O$4:$O$122</c:f>
              <c:numCache/>
            </c:numRef>
          </c:val>
          <c:smooth val="0"/>
        </c:ser>
        <c:axId val="2144161754"/>
        <c:axId val="1369913086"/>
      </c:lineChart>
      <c:catAx>
        <c:axId val="2144161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913086"/>
      </c:catAx>
      <c:valAx>
        <c:axId val="1369913086"/>
        <c:scaling>
          <c:orientation val="minMax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Index 2017=100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41617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Manufacturers' New Orders: Defense Aircraft and Parts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ADAPNO!$C$4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ADAPNO!$B$5:$B$402</c:f>
            </c:strRef>
          </c:cat>
          <c:val>
            <c:numRef>
              <c:f>ADAPNO!$C$5:$C$402</c:f>
              <c:numCache/>
            </c:numRef>
          </c:val>
          <c:smooth val="0"/>
        </c:ser>
        <c:axId val="609632986"/>
        <c:axId val="1303837520"/>
      </c:lineChart>
      <c:catAx>
        <c:axId val="609632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3837520"/>
      </c:catAx>
      <c:valAx>
        <c:axId val="1303837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6329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Manufacturers' New Orders: Defense Aircraft and Parts (Past 5 Years)</a:t>
            </a:r>
          </a:p>
        </c:rich>
      </c:tx>
      <c:layout>
        <c:manualLayout>
          <c:xMode val="edge"/>
          <c:yMode val="edge"/>
          <c:x val="0.03091666666666667"/>
          <c:y val="0.052695417789757414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ADAPNO!$F$3:$F$4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ADAPNO!$E$5:$E$63</c:f>
            </c:strRef>
          </c:cat>
          <c:val>
            <c:numRef>
              <c:f>ADAPNO!$F$5:$F$63</c:f>
              <c:numCache/>
            </c:numRef>
          </c:val>
          <c:smooth val="0"/>
        </c:ser>
        <c:axId val="1854428198"/>
        <c:axId val="1243567575"/>
      </c:lineChart>
      <c:catAx>
        <c:axId val="1854428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567575"/>
      </c:catAx>
      <c:valAx>
        <c:axId val="1243567575"/>
        <c:scaling>
          <c:orientation val="minMax"/>
          <c:min val="2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44281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Manufacturers' New Orders: Defense Aircraft and Parts (Past Years)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ADAPNO!$I$3:$I$4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ADAPNO!$H$5:$H$15</c:f>
            </c:strRef>
          </c:cat>
          <c:val>
            <c:numRef>
              <c:f>ADAPNO!$I$5:$I$15</c:f>
              <c:numCache/>
            </c:numRef>
          </c:val>
          <c:smooth val="0"/>
        </c:ser>
        <c:axId val="2117192516"/>
        <c:axId val="1475037542"/>
      </c:lineChart>
      <c:catAx>
        <c:axId val="2117192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5037542"/>
      </c:catAx>
      <c:valAx>
        <c:axId val="1475037542"/>
        <c:scaling>
          <c:orientation val="minMax"/>
          <c:min val="4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71925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Real Gross Private Domestic Investment (Logarithmic Scale)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GDPIC1!$C$3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GDPIC1!$B$4:$B$315</c:f>
            </c:strRef>
          </c:cat>
          <c:val>
            <c:numRef>
              <c:f>GDPIC1!$C$4:$C$315</c:f>
              <c:numCache/>
            </c:numRef>
          </c:val>
          <c:smooth val="0"/>
        </c:ser>
        <c:axId val="546831556"/>
        <c:axId val="1218741838"/>
      </c:lineChart>
      <c:catAx>
        <c:axId val="546831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observation_date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741838"/>
      </c:catAx>
      <c:valAx>
        <c:axId val="1218741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 (Billions)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8315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Real Gross Private Domestic Investment (Past 5 Years)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GDPIC1!$F$2:$F$3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GDPIC1!$E$4:$E$21</c:f>
            </c:strRef>
          </c:cat>
          <c:val>
            <c:numRef>
              <c:f>GDPIC1!$F$4:$F$21</c:f>
              <c:numCache/>
            </c:numRef>
          </c:val>
          <c:smooth val="0"/>
        </c:ser>
        <c:axId val="275038086"/>
        <c:axId val="2011622347"/>
      </c:lineChart>
      <c:catAx>
        <c:axId val="275038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1622347"/>
      </c:catAx>
      <c:valAx>
        <c:axId val="2011622347"/>
        <c:scaling>
          <c:orientation val="minMax"/>
          <c:min val="3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 (Billions)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0380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Real Gross Private Domestic Investment (Past Decade)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GDPIC1!$I$2:$I$3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GDPIC1!$H$4:$H$41</c:f>
            </c:strRef>
          </c:cat>
          <c:val>
            <c:numRef>
              <c:f>GDPIC1!$I$4:$I$41</c:f>
              <c:numCache/>
            </c:numRef>
          </c:val>
          <c:smooth val="0"/>
        </c:ser>
        <c:axId val="1170334627"/>
        <c:axId val="1629602036"/>
      </c:lineChart>
      <c:catAx>
        <c:axId val="1170334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9602036"/>
      </c:catAx>
      <c:valAx>
        <c:axId val="1629602036"/>
        <c:scaling>
          <c:orientation val="minMax"/>
          <c:min val="3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 (Billions)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03346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Private Construction Spending: Manufacturing in the United States (Logarithmic Scale)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PRMFGCONS!$C$3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PRMFGCONS!$B$4:$B$389</c:f>
            </c:strRef>
          </c:cat>
          <c:val>
            <c:numRef>
              <c:f>PRMFGCONS!$C$4:$C$389</c:f>
              <c:numCache/>
            </c:numRef>
          </c:val>
          <c:smooth val="0"/>
        </c:ser>
        <c:axId val="1643203286"/>
        <c:axId val="539899486"/>
      </c:lineChart>
      <c:catAx>
        <c:axId val="1643203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9899486"/>
      </c:catAx>
      <c:valAx>
        <c:axId val="539899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 Millions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32032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Private Construction Spending: Manufacturing in the United States (Past 5 Years)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PRMFGCONS!$F$3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PRMFGCONS!$E$4:$E$61</c:f>
            </c:strRef>
          </c:cat>
          <c:val>
            <c:numRef>
              <c:f>PRMFGCONS!$F$4:$F$61</c:f>
              <c:numCache/>
            </c:numRef>
          </c:val>
          <c:smooth val="0"/>
        </c:ser>
        <c:axId val="703350670"/>
        <c:axId val="562517105"/>
      </c:lineChart>
      <c:catAx>
        <c:axId val="703350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517105"/>
      </c:catAx>
      <c:valAx>
        <c:axId val="562517105"/>
        <c:scaling>
          <c:orientation val="minMax"/>
          <c:min val="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3506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Private Construction Spending: Manufacturing in the United States (Past Year)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PRMFGCONS!$I$3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PRMFGCONS!$H$4:$H$13</c:f>
            </c:strRef>
          </c:cat>
          <c:val>
            <c:numRef>
              <c:f>PRMFGCONS!$I$4:$I$13</c:f>
              <c:numCache/>
            </c:numRef>
          </c:val>
          <c:smooth val="0"/>
        </c:ser>
        <c:axId val="984958505"/>
        <c:axId val="787912212"/>
      </c:lineChart>
      <c:catAx>
        <c:axId val="984958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7912212"/>
      </c:catAx>
      <c:valAx>
        <c:axId val="787912212"/>
        <c:scaling>
          <c:orientation val="minMax"/>
          <c:min val="1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49585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Private Construction Spending: Manufacturing in the United States (Past Decade)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PRMFGCONS!$O$3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PRMFGCONS!$N$4:$N$121</c:f>
            </c:strRef>
          </c:cat>
          <c:val>
            <c:numRef>
              <c:f>PRMFGCONS!$O$4:$O$121</c:f>
              <c:numCache/>
            </c:numRef>
          </c:val>
          <c:smooth val="0"/>
        </c:ser>
        <c:axId val="1742474311"/>
        <c:axId val="1449256436"/>
      </c:lineChart>
      <c:catAx>
        <c:axId val="1742474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9256436"/>
      </c:catAx>
      <c:valAx>
        <c:axId val="1449256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4743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Defense Industrial Base Capital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DIB!$A$2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DIB!$B$1:$F$1</c:f>
            </c:strRef>
          </c:cat>
          <c:val>
            <c:numRef>
              <c:f>DIB!$B$2:$F$2</c:f>
              <c:numCache/>
            </c:numRef>
          </c:val>
          <c:smooth val="0"/>
        </c:ser>
        <c:axId val="1913596359"/>
        <c:axId val="560812029"/>
      </c:lineChart>
      <c:catAx>
        <c:axId val="1913596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0812029"/>
      </c:catAx>
      <c:valAx>
        <c:axId val="560812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 (Billions)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5963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Defense Focused M&amp;A Activity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'M&amp;A'!$A$2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'M&amp;A'!$B$1:$F$1</c:f>
            </c:strRef>
          </c:cat>
          <c:val>
            <c:numRef>
              <c:f>'M&amp;A'!$B$2:$F$2</c:f>
              <c:numCache/>
            </c:numRef>
          </c:val>
        </c:ser>
        <c:axId val="1319621731"/>
        <c:axId val="410046520"/>
      </c:areaChart>
      <c:catAx>
        <c:axId val="1319621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046520"/>
      </c:catAx>
      <c:valAx>
        <c:axId val="410046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 (Billions)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6217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Venture Capital Investment in Defense Tech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VC!$A$2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VC!$B$1:$F$1</c:f>
            </c:strRef>
          </c:cat>
          <c:val>
            <c:numRef>
              <c:f>VC!$B$2:$F$2</c:f>
              <c:numCache/>
            </c:numRef>
          </c:val>
        </c:ser>
        <c:axId val="2018488988"/>
        <c:axId val="1165473604"/>
      </c:areaChart>
      <c:catAx>
        <c:axId val="20184889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5473604"/>
      </c:catAx>
      <c:valAx>
        <c:axId val="11654736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 (Billions)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84889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documenttasks/documenttask1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chart" Target="../charts/chart22.xml"/><Relationship Id="rId5" Type="http://schemas.openxmlformats.org/officeDocument/2006/relationships/chart" Target="../charts/chart2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Relationship Id="rId4" Type="http://schemas.openxmlformats.org/officeDocument/2006/relationships/chart" Target="../charts/chart2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Relationship Id="rId3" Type="http://schemas.openxmlformats.org/officeDocument/2006/relationships/chart" Target="../charts/chart3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Relationship Id="rId3" Type="http://schemas.openxmlformats.org/officeDocument/2006/relationships/chart" Target="../charts/chart35.xml"/><Relationship Id="rId4" Type="http://schemas.openxmlformats.org/officeDocument/2006/relationships/chart" Target="../charts/chart36.xml"/><Relationship Id="rId5" Type="http://schemas.openxmlformats.org/officeDocument/2006/relationships/chart" Target="../charts/chart37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Relationship Id="rId3" Type="http://schemas.openxmlformats.org/officeDocument/2006/relationships/chart" Target="../charts/chart40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Relationship Id="rId3" Type="http://schemas.openxmlformats.org/officeDocument/2006/relationships/chart" Target="../charts/chart43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4.xml"/><Relationship Id="rId2" Type="http://schemas.openxmlformats.org/officeDocument/2006/relationships/chart" Target="../charts/chart45.xml"/><Relationship Id="rId3" Type="http://schemas.openxmlformats.org/officeDocument/2006/relationships/chart" Target="../charts/chart46.xml"/><Relationship Id="rId4" Type="http://schemas.openxmlformats.org/officeDocument/2006/relationships/chart" Target="../charts/chart47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1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657225</xdr:colOff>
      <xdr:row>1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38100</xdr:colOff>
      <xdr:row>0</xdr:row>
      <xdr:rowOff>133350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30</xdr:col>
      <xdr:colOff>457200</xdr:colOff>
      <xdr:row>0</xdr:row>
      <xdr:rowOff>85725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3</xdr:row>
      <xdr:rowOff>123825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209550</xdr:colOff>
      <xdr:row>23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819150</xdr:colOff>
      <xdr:row>1</xdr:row>
      <xdr:rowOff>85725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390525</xdr:colOff>
      <xdr:row>2</xdr:row>
      <xdr:rowOff>85725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457200</xdr:colOff>
      <xdr:row>22</xdr:row>
      <xdr:rowOff>57150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228600</xdr:colOff>
      <xdr:row>2</xdr:row>
      <xdr:rowOff>171450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800100</xdr:colOff>
      <xdr:row>0</xdr:row>
      <xdr:rowOff>266700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800100</xdr:colOff>
      <xdr:row>19</xdr:row>
      <xdr:rowOff>171450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447675</xdr:colOff>
      <xdr:row>1</xdr:row>
      <xdr:rowOff>9525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447675</xdr:colOff>
      <xdr:row>19</xdr:row>
      <xdr:rowOff>66675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285750</xdr:colOff>
      <xdr:row>0</xdr:row>
      <xdr:rowOff>104775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285750</xdr:colOff>
      <xdr:row>19</xdr:row>
      <xdr:rowOff>19050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247650</xdr:colOff>
      <xdr:row>0</xdr:row>
      <xdr:rowOff>104775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247650</xdr:colOff>
      <xdr:row>18</xdr:row>
      <xdr:rowOff>142875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171450</xdr:rowOff>
    </xdr:from>
    <xdr:ext cx="5715000" cy="3533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228600</xdr:colOff>
      <xdr:row>6</xdr:row>
      <xdr:rowOff>171450</xdr:rowOff>
    </xdr:from>
    <xdr:ext cx="5715000" cy="35337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247650</xdr:colOff>
      <xdr:row>6</xdr:row>
      <xdr:rowOff>171450</xdr:rowOff>
    </xdr:from>
    <xdr:ext cx="5715000" cy="35337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514350</xdr:colOff>
      <xdr:row>6</xdr:row>
      <xdr:rowOff>171450</xdr:rowOff>
    </xdr:from>
    <xdr:ext cx="5715000" cy="3533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26</xdr:row>
      <xdr:rowOff>76200</xdr:rowOff>
    </xdr:from>
    <xdr:ext cx="5715000" cy="35337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838200</xdr:colOff>
      <xdr:row>1</xdr:row>
      <xdr:rowOff>123825</xdr:rowOff>
    </xdr:from>
    <xdr:ext cx="5715000" cy="35337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390525</xdr:colOff>
      <xdr:row>20</xdr:row>
      <xdr:rowOff>104775</xdr:rowOff>
    </xdr:from>
    <xdr:ext cx="5715000" cy="35337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514350</xdr:colOff>
      <xdr:row>2</xdr:row>
      <xdr:rowOff>9525</xdr:rowOff>
    </xdr:from>
    <xdr:ext cx="5715000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514350</xdr:colOff>
      <xdr:row>21</xdr:row>
      <xdr:rowOff>85725</xdr:rowOff>
    </xdr:from>
    <xdr:ext cx="5715000" cy="35337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419100</xdr:colOff>
      <xdr:row>4</xdr:row>
      <xdr:rowOff>133350</xdr:rowOff>
    </xdr:from>
    <xdr:ext cx="8648700" cy="5353050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47625</xdr:colOff>
      <xdr:row>4</xdr:row>
      <xdr:rowOff>133350</xdr:rowOff>
    </xdr:from>
    <xdr:ext cx="8286750" cy="5124450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66675</xdr:colOff>
      <xdr:row>1</xdr:row>
      <xdr:rowOff>180975</xdr:rowOff>
    </xdr:from>
    <xdr:ext cx="5715000" cy="3533775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476250</xdr:colOff>
      <xdr:row>21</xdr:row>
      <xdr:rowOff>38100</xdr:rowOff>
    </xdr:from>
    <xdr:ext cx="5715000" cy="3533775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581025</xdr:colOff>
      <xdr:row>20</xdr:row>
      <xdr:rowOff>171450</xdr:rowOff>
    </xdr:from>
    <xdr:ext cx="5715000" cy="3533775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9</xdr:row>
      <xdr:rowOff>28575</xdr:rowOff>
    </xdr:from>
    <xdr:ext cx="5715000" cy="3533775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323850</xdr:colOff>
      <xdr:row>9</xdr:row>
      <xdr:rowOff>190500</xdr:rowOff>
    </xdr:from>
    <xdr:ext cx="5715000" cy="3533775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504825</xdr:colOff>
      <xdr:row>10</xdr:row>
      <xdr:rowOff>76200</xdr:rowOff>
    </xdr:from>
    <xdr:ext cx="5715000" cy="3533775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619125</xdr:colOff>
      <xdr:row>28</xdr:row>
      <xdr:rowOff>152400</xdr:rowOff>
    </xdr:from>
    <xdr:ext cx="5715000" cy="3533775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219075</xdr:colOff>
      <xdr:row>28</xdr:row>
      <xdr:rowOff>95250</xdr:rowOff>
    </xdr:from>
    <xdr:ext cx="5715000" cy="3533775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276225</xdr:colOff>
      <xdr:row>1</xdr:row>
      <xdr:rowOff>133350</xdr:rowOff>
    </xdr:from>
    <xdr:ext cx="5715000" cy="3533775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133350</xdr:colOff>
      <xdr:row>22</xdr:row>
      <xdr:rowOff>19050</xdr:rowOff>
    </xdr:from>
    <xdr:ext cx="5715000" cy="3533775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619125</xdr:colOff>
      <xdr:row>21</xdr:row>
      <xdr:rowOff>85725</xdr:rowOff>
    </xdr:from>
    <xdr:ext cx="5715000" cy="3533775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600075</xdr:colOff>
      <xdr:row>23</xdr:row>
      <xdr:rowOff>66675</xdr:rowOff>
    </xdr:from>
    <xdr:ext cx="5715000" cy="3533775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933450</xdr:colOff>
      <xdr:row>3</xdr:row>
      <xdr:rowOff>171450</xdr:rowOff>
    </xdr:from>
    <xdr:ext cx="5715000" cy="3533775"/>
    <xdr:graphicFrame>
      <xdr:nvGraphicFramePr>
        <xdr:cNvPr id="42" name="Chart 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866775</xdr:colOff>
      <xdr:row>23</xdr:row>
      <xdr:rowOff>66675</xdr:rowOff>
    </xdr:from>
    <xdr:ext cx="5715000" cy="3533775"/>
    <xdr:graphicFrame>
      <xdr:nvGraphicFramePr>
        <xdr:cNvPr id="43" name="Chart 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5</xdr:row>
      <xdr:rowOff>123825</xdr:rowOff>
    </xdr:from>
    <xdr:ext cx="5715000" cy="3533775"/>
    <xdr:graphicFrame>
      <xdr:nvGraphicFramePr>
        <xdr:cNvPr id="44" name="Chart 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104775</xdr:colOff>
      <xdr:row>5</xdr:row>
      <xdr:rowOff>123825</xdr:rowOff>
    </xdr:from>
    <xdr:ext cx="5715000" cy="3533775"/>
    <xdr:graphicFrame>
      <xdr:nvGraphicFramePr>
        <xdr:cNvPr id="45" name="Chart 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161925</xdr:colOff>
      <xdr:row>24</xdr:row>
      <xdr:rowOff>76200</xdr:rowOff>
    </xdr:from>
    <xdr:ext cx="5715000" cy="3533775"/>
    <xdr:graphicFrame>
      <xdr:nvGraphicFramePr>
        <xdr:cNvPr id="46" name="Chart 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400050</xdr:colOff>
      <xdr:row>24</xdr:row>
      <xdr:rowOff>76200</xdr:rowOff>
    </xdr:from>
    <xdr:ext cx="5715000" cy="3533775"/>
    <xdr:graphicFrame>
      <xdr:nvGraphicFramePr>
        <xdr:cNvPr id="47" name="Chart 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2</xdr:row>
      <xdr:rowOff>171450</xdr:rowOff>
    </xdr:from>
    <xdr:ext cx="5715000" cy="3533775"/>
    <xdr:graphicFrame>
      <xdr:nvGraphicFramePr>
        <xdr:cNvPr id="48" name="Chart 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2</xdr:row>
      <xdr:rowOff>161925</xdr:rowOff>
    </xdr:from>
    <xdr:ext cx="5715000" cy="3533775"/>
    <xdr:graphicFrame>
      <xdr:nvGraphicFramePr>
        <xdr:cNvPr id="49" name="Chart 4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2</xdr:row>
      <xdr:rowOff>161925</xdr:rowOff>
    </xdr:from>
    <xdr:ext cx="5715000" cy="3533775"/>
    <xdr:graphicFrame>
      <xdr:nvGraphicFramePr>
        <xdr:cNvPr id="50" name="Chart 5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Luc Azar-Tanguay" id="{bffd7e5f-5c70-45bd-b5f6-f7f181dc6db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2" dT="2025-04-10T18:40:10.00" personId="{bffd7e5f-5c70-45bd-b5f6-f7f181dc6db8}" id="{3a48c532-b425-4667-9746-1c7f19693e06}" done="0">
    <x18tc:text xml:space="preserve">Not interesting at all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red.stlouisfed.org/tags/series?t=sloos" TargetMode="External"/><Relationship Id="rId2" Type="http://schemas.openxmlformats.org/officeDocument/2006/relationships/hyperlink" Target="https://fred.stlouisfed.org/series/RIFSPPFAAD90NB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rct=j&amp;sa=t&amp;url=https://www.eplaneai.com/zh/news/mcnally-capital-acquires-pt6a-mro-specialist-ats&amp;ct=ga&amp;cd=CAIyHDEzYWM2MTZjN2IyNDZmMjI6Y29tOmVuOlVTOlI&amp;usg=AOvVaw10rKGZ2kXSNYDNwXc_xHmp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fred.stlouisfed.org/series/IPB52300S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fred.stlouisfed.org/series/ADAPNO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fred.stlouisfed.org/series/GPDIC1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3" t="b">
        <v>1</v>
      </c>
      <c r="F1" s="4"/>
      <c r="G1" s="4"/>
      <c r="H1" s="4"/>
      <c r="I1" s="4"/>
    </row>
    <row r="2">
      <c r="A2" s="1" t="s">
        <v>3</v>
      </c>
      <c r="B2" s="1" t="s">
        <v>4</v>
      </c>
      <c r="C2" s="1" t="s">
        <v>5</v>
      </c>
      <c r="D2" s="2"/>
      <c r="E2" s="3" t="b">
        <v>1</v>
      </c>
      <c r="F2" s="4"/>
      <c r="G2" s="4"/>
      <c r="H2" s="4"/>
      <c r="I2" s="4"/>
    </row>
    <row r="3">
      <c r="A3" s="1" t="s">
        <v>6</v>
      </c>
      <c r="B3" s="1" t="s">
        <v>7</v>
      </c>
      <c r="C3" s="1" t="s">
        <v>8</v>
      </c>
      <c r="D3" s="2"/>
      <c r="E3" s="3" t="b">
        <v>1</v>
      </c>
      <c r="F3" s="4"/>
      <c r="G3" s="4"/>
      <c r="H3" s="4"/>
      <c r="I3" s="4"/>
    </row>
    <row r="4">
      <c r="A4" s="1" t="s">
        <v>9</v>
      </c>
      <c r="B4" s="1" t="s">
        <v>10</v>
      </c>
      <c r="C4" s="1" t="s">
        <v>11</v>
      </c>
      <c r="D4" s="2"/>
      <c r="E4" s="3" t="b">
        <v>1</v>
      </c>
      <c r="F4" s="4"/>
      <c r="G4" s="4"/>
      <c r="H4" s="4"/>
      <c r="I4" s="4"/>
    </row>
    <row r="5">
      <c r="A5" s="1" t="s">
        <v>12</v>
      </c>
      <c r="B5" s="1" t="s">
        <v>13</v>
      </c>
      <c r="C5" s="1" t="s">
        <v>14</v>
      </c>
      <c r="D5" s="1" t="s">
        <v>15</v>
      </c>
      <c r="E5" s="3" t="b">
        <v>1</v>
      </c>
      <c r="F5" s="4"/>
      <c r="G5" s="4"/>
      <c r="H5" s="4"/>
      <c r="I5" s="4"/>
    </row>
    <row r="6">
      <c r="A6" s="1" t="s">
        <v>16</v>
      </c>
      <c r="B6" s="2"/>
      <c r="C6" s="2"/>
      <c r="D6" s="1" t="s">
        <v>17</v>
      </c>
      <c r="E6" s="3" t="b">
        <v>1</v>
      </c>
      <c r="F6" s="4"/>
      <c r="G6" s="4"/>
      <c r="H6" s="4"/>
      <c r="I6" s="4"/>
    </row>
    <row r="7">
      <c r="A7" s="1" t="s">
        <v>18</v>
      </c>
      <c r="B7" s="1" t="s">
        <v>19</v>
      </c>
      <c r="C7" s="1" t="s">
        <v>20</v>
      </c>
      <c r="D7" s="2"/>
      <c r="E7" s="3" t="b">
        <v>1</v>
      </c>
      <c r="F7" s="4"/>
      <c r="G7" s="5" t="s">
        <v>21</v>
      </c>
      <c r="H7" s="4"/>
      <c r="I7" s="4"/>
    </row>
    <row r="8">
      <c r="A8" s="1" t="s">
        <v>22</v>
      </c>
      <c r="B8" s="1" t="s">
        <v>23</v>
      </c>
      <c r="C8" s="1" t="s">
        <v>24</v>
      </c>
      <c r="D8" s="1" t="s">
        <v>25</v>
      </c>
      <c r="E8" s="3" t="b">
        <v>1</v>
      </c>
      <c r="F8" s="4"/>
      <c r="G8" s="5" t="s">
        <v>26</v>
      </c>
      <c r="H8" s="4"/>
      <c r="I8" s="4"/>
    </row>
    <row r="9">
      <c r="A9" s="1" t="s">
        <v>27</v>
      </c>
      <c r="B9" s="1" t="s">
        <v>28</v>
      </c>
      <c r="C9" s="1" t="s">
        <v>29</v>
      </c>
      <c r="D9" s="2"/>
      <c r="E9" s="4" t="b">
        <v>0</v>
      </c>
      <c r="F9" s="4"/>
      <c r="G9" s="4"/>
      <c r="H9" s="4"/>
      <c r="I9" s="4"/>
    </row>
    <row r="10">
      <c r="A10" s="1" t="s">
        <v>30</v>
      </c>
      <c r="B10" s="1" t="s">
        <v>31</v>
      </c>
      <c r="C10" s="1" t="s">
        <v>32</v>
      </c>
      <c r="D10" s="2"/>
      <c r="E10" s="4" t="b">
        <v>0</v>
      </c>
      <c r="F10" s="4"/>
      <c r="G10" s="4"/>
      <c r="H10" s="4"/>
      <c r="I10" s="4"/>
    </row>
    <row r="11">
      <c r="A11" s="1" t="s">
        <v>33</v>
      </c>
      <c r="B11" s="1" t="s">
        <v>34</v>
      </c>
      <c r="C11" s="1" t="s">
        <v>35</v>
      </c>
      <c r="D11" s="1" t="s">
        <v>36</v>
      </c>
      <c r="E11" s="4" t="b">
        <v>0</v>
      </c>
      <c r="F11" s="4"/>
      <c r="G11" s="4"/>
      <c r="H11" s="4"/>
      <c r="I11" s="4"/>
    </row>
    <row r="12">
      <c r="A12" s="1" t="s">
        <v>37</v>
      </c>
      <c r="B12" s="1" t="s">
        <v>38</v>
      </c>
      <c r="C12" s="1" t="s">
        <v>39</v>
      </c>
      <c r="D12" s="2"/>
      <c r="E12" s="4" t="b">
        <v>0</v>
      </c>
      <c r="F12" s="4"/>
      <c r="G12" s="4"/>
      <c r="H12" s="4"/>
      <c r="I12" s="4"/>
    </row>
    <row r="13">
      <c r="A13" s="1" t="s">
        <v>40</v>
      </c>
      <c r="B13" s="1" t="s">
        <v>41</v>
      </c>
      <c r="C13" s="1" t="s">
        <v>42</v>
      </c>
      <c r="D13" s="1" t="s">
        <v>43</v>
      </c>
      <c r="E13" s="4" t="b">
        <v>0</v>
      </c>
      <c r="F13" s="4"/>
      <c r="G13" s="4"/>
      <c r="H13" s="4"/>
      <c r="I13" s="4"/>
    </row>
    <row r="14">
      <c r="A14" s="1" t="s">
        <v>44</v>
      </c>
      <c r="B14" s="1" t="s">
        <v>45</v>
      </c>
      <c r="C14" s="1" t="s">
        <v>46</v>
      </c>
      <c r="D14" s="1" t="s">
        <v>47</v>
      </c>
      <c r="E14" s="4" t="b">
        <v>0</v>
      </c>
      <c r="F14" s="4"/>
      <c r="G14" s="4"/>
      <c r="H14" s="4"/>
      <c r="I14" s="4"/>
    </row>
    <row r="15">
      <c r="A15" s="1" t="s">
        <v>48</v>
      </c>
      <c r="B15" s="1" t="s">
        <v>49</v>
      </c>
      <c r="C15" s="1" t="s">
        <v>50</v>
      </c>
      <c r="D15" s="2"/>
      <c r="E15" s="3" t="b">
        <v>1</v>
      </c>
      <c r="F15" s="4"/>
      <c r="G15" s="4"/>
      <c r="H15" s="4"/>
      <c r="I15" s="4"/>
    </row>
    <row r="16">
      <c r="A16" s="1" t="s">
        <v>51</v>
      </c>
      <c r="B16" s="2"/>
      <c r="C16" s="4"/>
      <c r="D16" s="4"/>
      <c r="E16" s="4" t="b">
        <v>0</v>
      </c>
      <c r="F16" s="4"/>
      <c r="G16" s="4"/>
      <c r="H16" s="4"/>
      <c r="I16" s="4"/>
    </row>
    <row r="17">
      <c r="A17" s="4"/>
      <c r="B17" s="4"/>
      <c r="C17" s="4"/>
      <c r="D17" s="4"/>
      <c r="E17" s="4"/>
      <c r="F17" s="4"/>
      <c r="G17" s="4"/>
      <c r="H17" s="4"/>
      <c r="I17" s="4"/>
    </row>
    <row r="18">
      <c r="A18" s="4"/>
      <c r="B18" s="4"/>
      <c r="C18" s="4"/>
      <c r="D18" s="4"/>
      <c r="E18" s="4"/>
      <c r="F18" s="4"/>
      <c r="G18" s="4"/>
      <c r="H18" s="4"/>
      <c r="I18" s="4"/>
    </row>
    <row r="19">
      <c r="A19" s="4"/>
      <c r="B19" s="4"/>
      <c r="C19" s="4"/>
      <c r="D19" s="4"/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</sheetData>
  <hyperlinks>
    <hyperlink r:id="rId1" ref="G7"/>
    <hyperlink r:id="rId2" ref="G8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52</v>
      </c>
    </row>
    <row r="2">
      <c r="A2" s="7" t="s">
        <v>53</v>
      </c>
      <c r="B2" s="7" t="s">
        <v>54</v>
      </c>
    </row>
    <row r="3">
      <c r="A3" s="7" t="s">
        <v>55</v>
      </c>
      <c r="B3" s="8">
        <f>IFERROR(__xludf.DUMMYFUNCTION("GOOGLEFINANCE(A3, ""price"")"),222.01)</f>
        <v>222.01</v>
      </c>
    </row>
    <row r="4">
      <c r="A4" s="6" t="s">
        <v>56</v>
      </c>
      <c r="B4" s="8">
        <f>IFERROR(__xludf.DUMMYFUNCTION("GOOGLEFINANCE(A4, ""price"")"),157.98)</f>
        <v>157.98</v>
      </c>
    </row>
    <row r="6">
      <c r="A6" s="9" t="str">
        <f>" " &amp; TEXT(NFI!A3, "MMM d, yyyy") &amp; " |  PNFI: $" &amp; TEXT(NFI!B3, "#,##0.00")</f>
        <v> Jul 1, 2025 |  PNFI: $4,291.56</v>
      </c>
    </row>
    <row r="7">
      <c r="A7" s="9" t="str">
        <f>" " &amp; TEXT(FDEFX!B4, "MMM d, yyyy") &amp; " |  FDEFX: $" &amp; TEXT(FDEFX!C4, "#,##0.00")</f>
        <v> Jul 1, 2025 |  FDEFX: $1,161.47</v>
      </c>
    </row>
    <row r="8">
      <c r="A8" s="9" t="str">
        <f>" " &amp; TEXT(DGORDER!B4, "MMM d, yyyy") &amp; " |  DGORDER: $" &amp; TEXT(DGORDER!C4, "#,##0.00")</f>
        <v> Oct 1, 2025 |  DGORDER: $307,380.00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25"/>
    <col customWidth="1" min="3" max="3" width="24.5"/>
    <col customWidth="1" min="4" max="4" width="21.63"/>
  </cols>
  <sheetData>
    <row r="1">
      <c r="A1" s="10" t="s">
        <v>57</v>
      </c>
      <c r="B1" s="11"/>
      <c r="C1" s="12"/>
      <c r="K1" s="13" t="s">
        <v>58</v>
      </c>
      <c r="T1" s="14" t="s">
        <v>59</v>
      </c>
      <c r="W1" s="15"/>
      <c r="AC1" s="14" t="s">
        <v>60</v>
      </c>
    </row>
    <row r="2">
      <c r="B2" s="11" t="str">
        <f>IFERROR(__xludf.DUMMYFUNCTION("SORT(GOOGLEFINANCE(""BATS:ITA"", ""close"", DATE(2006,5,1), TODAY(), ""DAILY""),1,FALSE)"),"Date")</f>
        <v>Date</v>
      </c>
      <c r="C2" s="12" t="str">
        <f>IFERROR(__xludf.DUMMYFUNCTION("""COMPUTED_VALUE"""),"Close")</f>
        <v>Close</v>
      </c>
      <c r="K2" s="16" t="str">
        <f>IFERROR(__xludf.DUMMYFUNCTION("SORT(GOOGLEFINANCE(""BATS:ITA"", ""close"", EDATE(TODAY(), -12), TODAY(), ""DAILY""), 1, FALSE)"),"Date")</f>
        <v>Date</v>
      </c>
      <c r="L2" s="9" t="str">
        <f>IFERROR(__xludf.DUMMYFUNCTION("""COMPUTED_VALUE"""),"Close")</f>
        <v>Close</v>
      </c>
      <c r="T2" s="17" t="str">
        <f>IFERROR(__xludf.DUMMYFUNCTION("SORT(GOOGLEFINANCE(""BATS:ITA"", ""close"", EDATE(TODAY(), -6), TODAY(), ""DAILY""), 1, FALSE)"),"Date")</f>
        <v>Date</v>
      </c>
      <c r="U2" s="9" t="str">
        <f>IFERROR(__xludf.DUMMYFUNCTION("""COMPUTED_VALUE"""),"Close")</f>
        <v>Close</v>
      </c>
      <c r="AC2" s="18" t="str">
        <f>IFERROR(__xludf.DUMMYFUNCTION("SORT(GOOGLEFINANCE(""BATS:ITA"", ""close"", EDATE(TODAY(), -1), TODAY(), ""DAILY""), 1, FALSE)"),"Date")</f>
        <v>Date</v>
      </c>
      <c r="AD2" s="9" t="str">
        <f>IFERROR(__xludf.DUMMYFUNCTION("""COMPUTED_VALUE"""),"Close")</f>
        <v>Close</v>
      </c>
    </row>
    <row r="3">
      <c r="A3" s="19"/>
      <c r="B3" s="20">
        <f>IFERROR(__xludf.DUMMYFUNCTION("""COMPUTED_VALUE"""),46024.66666666667)</f>
        <v>46024.66667</v>
      </c>
      <c r="C3" s="9">
        <f>IFERROR(__xludf.DUMMYFUNCTION("""COMPUTED_VALUE"""),222.01)</f>
        <v>222.01</v>
      </c>
      <c r="K3" s="16">
        <f>IFERROR(__xludf.DUMMYFUNCTION("""COMPUTED_VALUE"""),46024.66666666667)</f>
        <v>46024.66667</v>
      </c>
      <c r="L3" s="9">
        <f>IFERROR(__xludf.DUMMYFUNCTION("""COMPUTED_VALUE"""),222.01)</f>
        <v>222.01</v>
      </c>
      <c r="T3" s="17">
        <f>IFERROR(__xludf.DUMMYFUNCTION("""COMPUTED_VALUE"""),46024.66666666667)</f>
        <v>46024.66667</v>
      </c>
      <c r="U3" s="9">
        <f>IFERROR(__xludf.DUMMYFUNCTION("""COMPUTED_VALUE"""),222.01)</f>
        <v>222.01</v>
      </c>
      <c r="AC3" s="17">
        <f>IFERROR(__xludf.DUMMYFUNCTION("""COMPUTED_VALUE"""),46024.66666666667)</f>
        <v>46024.66667</v>
      </c>
      <c r="AD3" s="9">
        <f>IFERROR(__xludf.DUMMYFUNCTION("""COMPUTED_VALUE"""),222.01)</f>
        <v>222.01</v>
      </c>
    </row>
    <row r="4">
      <c r="B4" s="11">
        <f>IFERROR(__xludf.DUMMYFUNCTION("""COMPUTED_VALUE"""),46022.66666666667)</f>
        <v>46022.66667</v>
      </c>
      <c r="C4" s="7">
        <f>IFERROR(__xludf.DUMMYFUNCTION("""COMPUTED_VALUE"""),214.69)</f>
        <v>214.69</v>
      </c>
      <c r="D4" s="7"/>
      <c r="K4" s="16">
        <f>IFERROR(__xludf.DUMMYFUNCTION("""COMPUTED_VALUE"""),46022.66666666667)</f>
        <v>46022.66667</v>
      </c>
      <c r="L4" s="9">
        <f>IFERROR(__xludf.DUMMYFUNCTION("""COMPUTED_VALUE"""),214.69)</f>
        <v>214.69</v>
      </c>
      <c r="T4" s="17">
        <f>IFERROR(__xludf.DUMMYFUNCTION("""COMPUTED_VALUE"""),46022.66666666667)</f>
        <v>46022.66667</v>
      </c>
      <c r="U4" s="9">
        <f>IFERROR(__xludf.DUMMYFUNCTION("""COMPUTED_VALUE"""),214.69)</f>
        <v>214.69</v>
      </c>
      <c r="AC4" s="17">
        <f>IFERROR(__xludf.DUMMYFUNCTION("""COMPUTED_VALUE"""),46022.66666666667)</f>
        <v>46022.66667</v>
      </c>
      <c r="AD4" s="9">
        <f>IFERROR(__xludf.DUMMYFUNCTION("""COMPUTED_VALUE"""),214.69)</f>
        <v>214.69</v>
      </c>
    </row>
    <row r="5">
      <c r="B5" s="11">
        <f>IFERROR(__xludf.DUMMYFUNCTION("""COMPUTED_VALUE"""),46021.66666666667)</f>
        <v>46021.66667</v>
      </c>
      <c r="C5" s="7">
        <f>IFERROR(__xludf.DUMMYFUNCTION("""COMPUTED_VALUE"""),216.34)</f>
        <v>216.34</v>
      </c>
      <c r="D5" s="8"/>
      <c r="K5" s="16">
        <f>IFERROR(__xludf.DUMMYFUNCTION("""COMPUTED_VALUE"""),46021.66666666667)</f>
        <v>46021.66667</v>
      </c>
      <c r="L5" s="9">
        <f>IFERROR(__xludf.DUMMYFUNCTION("""COMPUTED_VALUE"""),216.34)</f>
        <v>216.34</v>
      </c>
      <c r="T5" s="17">
        <f>IFERROR(__xludf.DUMMYFUNCTION("""COMPUTED_VALUE"""),46021.66666666667)</f>
        <v>46021.66667</v>
      </c>
      <c r="U5" s="9">
        <f>IFERROR(__xludf.DUMMYFUNCTION("""COMPUTED_VALUE"""),216.34)</f>
        <v>216.34</v>
      </c>
      <c r="AC5" s="17">
        <f>IFERROR(__xludf.DUMMYFUNCTION("""COMPUTED_VALUE"""),46021.66666666667)</f>
        <v>46021.66667</v>
      </c>
      <c r="AD5" s="9">
        <f>IFERROR(__xludf.DUMMYFUNCTION("""COMPUTED_VALUE"""),216.34)</f>
        <v>216.34</v>
      </c>
    </row>
    <row r="6">
      <c r="B6" s="11">
        <f>IFERROR(__xludf.DUMMYFUNCTION("""COMPUTED_VALUE"""),46020.66666666667)</f>
        <v>46020.66667</v>
      </c>
      <c r="C6" s="9">
        <f>IFERROR(__xludf.DUMMYFUNCTION("""COMPUTED_VALUE"""),217.0)</f>
        <v>217</v>
      </c>
      <c r="K6" s="16">
        <f>IFERROR(__xludf.DUMMYFUNCTION("""COMPUTED_VALUE"""),46020.66666666667)</f>
        <v>46020.66667</v>
      </c>
      <c r="L6" s="9">
        <f>IFERROR(__xludf.DUMMYFUNCTION("""COMPUTED_VALUE"""),217.0)</f>
        <v>217</v>
      </c>
      <c r="T6" s="17">
        <f>IFERROR(__xludf.DUMMYFUNCTION("""COMPUTED_VALUE"""),46020.66666666667)</f>
        <v>46020.66667</v>
      </c>
      <c r="U6" s="9">
        <f>IFERROR(__xludf.DUMMYFUNCTION("""COMPUTED_VALUE"""),217.0)</f>
        <v>217</v>
      </c>
      <c r="AC6" s="17">
        <f>IFERROR(__xludf.DUMMYFUNCTION("""COMPUTED_VALUE"""),46020.66666666667)</f>
        <v>46020.66667</v>
      </c>
      <c r="AD6" s="9">
        <f>IFERROR(__xludf.DUMMYFUNCTION("""COMPUTED_VALUE"""),217.0)</f>
        <v>217</v>
      </c>
    </row>
    <row r="7">
      <c r="B7" s="11">
        <f>IFERROR(__xludf.DUMMYFUNCTION("""COMPUTED_VALUE"""),46017.66666666667)</f>
        <v>46017.66667</v>
      </c>
      <c r="C7" s="9">
        <f>IFERROR(__xludf.DUMMYFUNCTION("""COMPUTED_VALUE"""),218.07)</f>
        <v>218.07</v>
      </c>
      <c r="K7" s="16">
        <f>IFERROR(__xludf.DUMMYFUNCTION("""COMPUTED_VALUE"""),46017.66666666667)</f>
        <v>46017.66667</v>
      </c>
      <c r="L7" s="9">
        <f>IFERROR(__xludf.DUMMYFUNCTION("""COMPUTED_VALUE"""),218.07)</f>
        <v>218.07</v>
      </c>
      <c r="T7" s="17">
        <f>IFERROR(__xludf.DUMMYFUNCTION("""COMPUTED_VALUE"""),46017.66666666667)</f>
        <v>46017.66667</v>
      </c>
      <c r="U7" s="9">
        <f>IFERROR(__xludf.DUMMYFUNCTION("""COMPUTED_VALUE"""),218.07)</f>
        <v>218.07</v>
      </c>
      <c r="AC7" s="17">
        <f>IFERROR(__xludf.DUMMYFUNCTION("""COMPUTED_VALUE"""),46017.66666666667)</f>
        <v>46017.66667</v>
      </c>
      <c r="AD7" s="9">
        <f>IFERROR(__xludf.DUMMYFUNCTION("""COMPUTED_VALUE"""),218.07)</f>
        <v>218.07</v>
      </c>
    </row>
    <row r="8">
      <c r="B8" s="11">
        <f>IFERROR(__xludf.DUMMYFUNCTION("""COMPUTED_VALUE"""),46015.51041666667)</f>
        <v>46015.51042</v>
      </c>
      <c r="C8" s="9">
        <f>IFERROR(__xludf.DUMMYFUNCTION("""COMPUTED_VALUE"""),220.2)</f>
        <v>220.2</v>
      </c>
      <c r="K8" s="16">
        <f>IFERROR(__xludf.DUMMYFUNCTION("""COMPUTED_VALUE"""),46015.51041666667)</f>
        <v>46015.51042</v>
      </c>
      <c r="L8" s="9">
        <f>IFERROR(__xludf.DUMMYFUNCTION("""COMPUTED_VALUE"""),220.2)</f>
        <v>220.2</v>
      </c>
      <c r="T8" s="17">
        <f>IFERROR(__xludf.DUMMYFUNCTION("""COMPUTED_VALUE"""),46015.51041666667)</f>
        <v>46015.51042</v>
      </c>
      <c r="U8" s="9">
        <f>IFERROR(__xludf.DUMMYFUNCTION("""COMPUTED_VALUE"""),220.2)</f>
        <v>220.2</v>
      </c>
      <c r="AC8" s="17">
        <f>IFERROR(__xludf.DUMMYFUNCTION("""COMPUTED_VALUE"""),46015.51041666667)</f>
        <v>46015.51042</v>
      </c>
      <c r="AD8" s="9">
        <f>IFERROR(__xludf.DUMMYFUNCTION("""COMPUTED_VALUE"""),220.2)</f>
        <v>220.2</v>
      </c>
    </row>
    <row r="9">
      <c r="B9" s="11">
        <f>IFERROR(__xludf.DUMMYFUNCTION("""COMPUTED_VALUE"""),46014.66666666667)</f>
        <v>46014.66667</v>
      </c>
      <c r="C9" s="9">
        <f>IFERROR(__xludf.DUMMYFUNCTION("""COMPUTED_VALUE"""),219.69)</f>
        <v>219.69</v>
      </c>
      <c r="K9" s="16">
        <f>IFERROR(__xludf.DUMMYFUNCTION("""COMPUTED_VALUE"""),46014.66666666667)</f>
        <v>46014.66667</v>
      </c>
      <c r="L9" s="9">
        <f>IFERROR(__xludf.DUMMYFUNCTION("""COMPUTED_VALUE"""),219.69)</f>
        <v>219.69</v>
      </c>
      <c r="T9" s="17">
        <f>IFERROR(__xludf.DUMMYFUNCTION("""COMPUTED_VALUE"""),46014.66666666667)</f>
        <v>46014.66667</v>
      </c>
      <c r="U9" s="9">
        <f>IFERROR(__xludf.DUMMYFUNCTION("""COMPUTED_VALUE"""),219.69)</f>
        <v>219.69</v>
      </c>
      <c r="AC9" s="17">
        <f>IFERROR(__xludf.DUMMYFUNCTION("""COMPUTED_VALUE"""),46014.66666666667)</f>
        <v>46014.66667</v>
      </c>
      <c r="AD9" s="9">
        <f>IFERROR(__xludf.DUMMYFUNCTION("""COMPUTED_VALUE"""),219.69)</f>
        <v>219.69</v>
      </c>
    </row>
    <row r="10">
      <c r="B10" s="11">
        <f>IFERROR(__xludf.DUMMYFUNCTION("""COMPUTED_VALUE"""),46013.66666666667)</f>
        <v>46013.66667</v>
      </c>
      <c r="C10" s="9">
        <f>IFERROR(__xludf.DUMMYFUNCTION("""COMPUTED_VALUE"""),219.36)</f>
        <v>219.36</v>
      </c>
      <c r="K10" s="16">
        <f>IFERROR(__xludf.DUMMYFUNCTION("""COMPUTED_VALUE"""),46013.66666666667)</f>
        <v>46013.66667</v>
      </c>
      <c r="L10" s="9">
        <f>IFERROR(__xludf.DUMMYFUNCTION("""COMPUTED_VALUE"""),219.36)</f>
        <v>219.36</v>
      </c>
      <c r="T10" s="17">
        <f>IFERROR(__xludf.DUMMYFUNCTION("""COMPUTED_VALUE"""),46013.66666666667)</f>
        <v>46013.66667</v>
      </c>
      <c r="U10" s="9">
        <f>IFERROR(__xludf.DUMMYFUNCTION("""COMPUTED_VALUE"""),219.36)</f>
        <v>219.36</v>
      </c>
      <c r="AC10" s="17">
        <f>IFERROR(__xludf.DUMMYFUNCTION("""COMPUTED_VALUE"""),46013.66666666667)</f>
        <v>46013.66667</v>
      </c>
      <c r="AD10" s="9">
        <f>IFERROR(__xludf.DUMMYFUNCTION("""COMPUTED_VALUE"""),219.36)</f>
        <v>219.36</v>
      </c>
    </row>
    <row r="11">
      <c r="B11" s="11">
        <f>IFERROR(__xludf.DUMMYFUNCTION("""COMPUTED_VALUE"""),46010.66666666667)</f>
        <v>46010.66667</v>
      </c>
      <c r="C11" s="9">
        <f>IFERROR(__xludf.DUMMYFUNCTION("""COMPUTED_VALUE"""),213.91)</f>
        <v>213.91</v>
      </c>
      <c r="K11" s="16">
        <f>IFERROR(__xludf.DUMMYFUNCTION("""COMPUTED_VALUE"""),46010.66666666667)</f>
        <v>46010.66667</v>
      </c>
      <c r="L11" s="9">
        <f>IFERROR(__xludf.DUMMYFUNCTION("""COMPUTED_VALUE"""),213.91)</f>
        <v>213.91</v>
      </c>
      <c r="T11" s="17">
        <f>IFERROR(__xludf.DUMMYFUNCTION("""COMPUTED_VALUE"""),46010.66666666667)</f>
        <v>46010.66667</v>
      </c>
      <c r="U11" s="9">
        <f>IFERROR(__xludf.DUMMYFUNCTION("""COMPUTED_VALUE"""),213.91)</f>
        <v>213.91</v>
      </c>
      <c r="AC11" s="17">
        <f>IFERROR(__xludf.DUMMYFUNCTION("""COMPUTED_VALUE"""),46010.66666666667)</f>
        <v>46010.66667</v>
      </c>
      <c r="AD11" s="9">
        <f>IFERROR(__xludf.DUMMYFUNCTION("""COMPUTED_VALUE"""),213.91)</f>
        <v>213.91</v>
      </c>
    </row>
    <row r="12">
      <c r="B12" s="11">
        <f>IFERROR(__xludf.DUMMYFUNCTION("""COMPUTED_VALUE"""),46009.66666666667)</f>
        <v>46009.66667</v>
      </c>
      <c r="C12" s="9">
        <f>IFERROR(__xludf.DUMMYFUNCTION("""COMPUTED_VALUE"""),208.25)</f>
        <v>208.25</v>
      </c>
      <c r="K12" s="16">
        <f>IFERROR(__xludf.DUMMYFUNCTION("""COMPUTED_VALUE"""),46009.66666666667)</f>
        <v>46009.66667</v>
      </c>
      <c r="L12" s="9">
        <f>IFERROR(__xludf.DUMMYFUNCTION("""COMPUTED_VALUE"""),208.25)</f>
        <v>208.25</v>
      </c>
      <c r="T12" s="17">
        <f>IFERROR(__xludf.DUMMYFUNCTION("""COMPUTED_VALUE"""),46009.66666666667)</f>
        <v>46009.66667</v>
      </c>
      <c r="U12" s="9">
        <f>IFERROR(__xludf.DUMMYFUNCTION("""COMPUTED_VALUE"""),208.25)</f>
        <v>208.25</v>
      </c>
      <c r="AC12" s="17">
        <f>IFERROR(__xludf.DUMMYFUNCTION("""COMPUTED_VALUE"""),46009.66666666667)</f>
        <v>46009.66667</v>
      </c>
      <c r="AD12" s="9">
        <f>IFERROR(__xludf.DUMMYFUNCTION("""COMPUTED_VALUE"""),208.25)</f>
        <v>208.25</v>
      </c>
    </row>
    <row r="13">
      <c r="B13" s="11">
        <f>IFERROR(__xludf.DUMMYFUNCTION("""COMPUTED_VALUE"""),46008.66666666667)</f>
        <v>46008.66667</v>
      </c>
      <c r="C13" s="9">
        <f>IFERROR(__xludf.DUMMYFUNCTION("""COMPUTED_VALUE"""),204.8)</f>
        <v>204.8</v>
      </c>
      <c r="K13" s="16">
        <f>IFERROR(__xludf.DUMMYFUNCTION("""COMPUTED_VALUE"""),46008.66666666667)</f>
        <v>46008.66667</v>
      </c>
      <c r="L13" s="9">
        <f>IFERROR(__xludf.DUMMYFUNCTION("""COMPUTED_VALUE"""),204.8)</f>
        <v>204.8</v>
      </c>
      <c r="T13" s="17">
        <f>IFERROR(__xludf.DUMMYFUNCTION("""COMPUTED_VALUE"""),46008.66666666667)</f>
        <v>46008.66667</v>
      </c>
      <c r="U13" s="9">
        <f>IFERROR(__xludf.DUMMYFUNCTION("""COMPUTED_VALUE"""),204.8)</f>
        <v>204.8</v>
      </c>
      <c r="AC13" s="17">
        <f>IFERROR(__xludf.DUMMYFUNCTION("""COMPUTED_VALUE"""),46008.66666666667)</f>
        <v>46008.66667</v>
      </c>
      <c r="AD13" s="9">
        <f>IFERROR(__xludf.DUMMYFUNCTION("""COMPUTED_VALUE"""),204.8)</f>
        <v>204.8</v>
      </c>
    </row>
    <row r="14">
      <c r="B14" s="11">
        <f>IFERROR(__xludf.DUMMYFUNCTION("""COMPUTED_VALUE"""),46007.66666666667)</f>
        <v>46007.66667</v>
      </c>
      <c r="C14" s="9">
        <f>IFERROR(__xludf.DUMMYFUNCTION("""COMPUTED_VALUE"""),207.95)</f>
        <v>207.95</v>
      </c>
      <c r="K14" s="16">
        <f>IFERROR(__xludf.DUMMYFUNCTION("""COMPUTED_VALUE"""),46007.66666666667)</f>
        <v>46007.66667</v>
      </c>
      <c r="L14" s="9">
        <f>IFERROR(__xludf.DUMMYFUNCTION("""COMPUTED_VALUE"""),207.95)</f>
        <v>207.95</v>
      </c>
      <c r="T14" s="17">
        <f>IFERROR(__xludf.DUMMYFUNCTION("""COMPUTED_VALUE"""),46007.66666666667)</f>
        <v>46007.66667</v>
      </c>
      <c r="U14" s="9">
        <f>IFERROR(__xludf.DUMMYFUNCTION("""COMPUTED_VALUE"""),207.95)</f>
        <v>207.95</v>
      </c>
      <c r="AC14" s="17">
        <f>IFERROR(__xludf.DUMMYFUNCTION("""COMPUTED_VALUE"""),46007.66666666667)</f>
        <v>46007.66667</v>
      </c>
      <c r="AD14" s="9">
        <f>IFERROR(__xludf.DUMMYFUNCTION("""COMPUTED_VALUE"""),207.95)</f>
        <v>207.95</v>
      </c>
    </row>
    <row r="15">
      <c r="B15" s="11">
        <f>IFERROR(__xludf.DUMMYFUNCTION("""COMPUTED_VALUE"""),46006.66666666667)</f>
        <v>46006.66667</v>
      </c>
      <c r="C15" s="9">
        <f>IFERROR(__xludf.DUMMYFUNCTION("""COMPUTED_VALUE"""),209.64)</f>
        <v>209.64</v>
      </c>
      <c r="K15" s="16">
        <f>IFERROR(__xludf.DUMMYFUNCTION("""COMPUTED_VALUE"""),46006.66666666667)</f>
        <v>46006.66667</v>
      </c>
      <c r="L15" s="9">
        <f>IFERROR(__xludf.DUMMYFUNCTION("""COMPUTED_VALUE"""),209.64)</f>
        <v>209.64</v>
      </c>
      <c r="T15" s="17">
        <f>IFERROR(__xludf.DUMMYFUNCTION("""COMPUTED_VALUE"""),46006.66666666667)</f>
        <v>46006.66667</v>
      </c>
      <c r="U15" s="9">
        <f>IFERROR(__xludf.DUMMYFUNCTION("""COMPUTED_VALUE"""),209.64)</f>
        <v>209.64</v>
      </c>
      <c r="AC15" s="17">
        <f>IFERROR(__xludf.DUMMYFUNCTION("""COMPUTED_VALUE"""),46006.66666666667)</f>
        <v>46006.66667</v>
      </c>
      <c r="AD15" s="9">
        <f>IFERROR(__xludf.DUMMYFUNCTION("""COMPUTED_VALUE"""),209.64)</f>
        <v>209.64</v>
      </c>
    </row>
    <row r="16">
      <c r="B16" s="11">
        <f>IFERROR(__xludf.DUMMYFUNCTION("""COMPUTED_VALUE"""),46003.66666666667)</f>
        <v>46003.66667</v>
      </c>
      <c r="C16" s="9">
        <f>IFERROR(__xludf.DUMMYFUNCTION("""COMPUTED_VALUE"""),209.41)</f>
        <v>209.41</v>
      </c>
      <c r="K16" s="16">
        <f>IFERROR(__xludf.DUMMYFUNCTION("""COMPUTED_VALUE"""),46003.66666666667)</f>
        <v>46003.66667</v>
      </c>
      <c r="L16" s="9">
        <f>IFERROR(__xludf.DUMMYFUNCTION("""COMPUTED_VALUE"""),209.41)</f>
        <v>209.41</v>
      </c>
      <c r="T16" s="17">
        <f>IFERROR(__xludf.DUMMYFUNCTION("""COMPUTED_VALUE"""),46003.66666666667)</f>
        <v>46003.66667</v>
      </c>
      <c r="U16" s="9">
        <f>IFERROR(__xludf.DUMMYFUNCTION("""COMPUTED_VALUE"""),209.41)</f>
        <v>209.41</v>
      </c>
      <c r="AC16" s="17">
        <f>IFERROR(__xludf.DUMMYFUNCTION("""COMPUTED_VALUE"""),46003.66666666667)</f>
        <v>46003.66667</v>
      </c>
      <c r="AD16" s="9">
        <f>IFERROR(__xludf.DUMMYFUNCTION("""COMPUTED_VALUE"""),209.41)</f>
        <v>209.41</v>
      </c>
    </row>
    <row r="17">
      <c r="B17" s="11">
        <f>IFERROR(__xludf.DUMMYFUNCTION("""COMPUTED_VALUE"""),46002.66666666667)</f>
        <v>46002.66667</v>
      </c>
      <c r="C17" s="9">
        <f>IFERROR(__xludf.DUMMYFUNCTION("""COMPUTED_VALUE"""),208.27)</f>
        <v>208.27</v>
      </c>
      <c r="K17" s="16">
        <f>IFERROR(__xludf.DUMMYFUNCTION("""COMPUTED_VALUE"""),46002.66666666667)</f>
        <v>46002.66667</v>
      </c>
      <c r="L17" s="9">
        <f>IFERROR(__xludf.DUMMYFUNCTION("""COMPUTED_VALUE"""),208.27)</f>
        <v>208.27</v>
      </c>
      <c r="T17" s="17">
        <f>IFERROR(__xludf.DUMMYFUNCTION("""COMPUTED_VALUE"""),46002.66666666667)</f>
        <v>46002.66667</v>
      </c>
      <c r="U17" s="9">
        <f>IFERROR(__xludf.DUMMYFUNCTION("""COMPUTED_VALUE"""),208.27)</f>
        <v>208.27</v>
      </c>
      <c r="AC17" s="17">
        <f>IFERROR(__xludf.DUMMYFUNCTION("""COMPUTED_VALUE"""),46002.66666666667)</f>
        <v>46002.66667</v>
      </c>
      <c r="AD17" s="9">
        <f>IFERROR(__xludf.DUMMYFUNCTION("""COMPUTED_VALUE"""),208.27)</f>
        <v>208.27</v>
      </c>
    </row>
    <row r="18">
      <c r="B18" s="11">
        <f>IFERROR(__xludf.DUMMYFUNCTION("""COMPUTED_VALUE"""),46001.66666666667)</f>
        <v>46001.66667</v>
      </c>
      <c r="C18" s="9">
        <f>IFERROR(__xludf.DUMMYFUNCTION("""COMPUTED_VALUE"""),204.44)</f>
        <v>204.44</v>
      </c>
      <c r="K18" s="16">
        <f>IFERROR(__xludf.DUMMYFUNCTION("""COMPUTED_VALUE"""),46001.66666666667)</f>
        <v>46001.66667</v>
      </c>
      <c r="L18" s="9">
        <f>IFERROR(__xludf.DUMMYFUNCTION("""COMPUTED_VALUE"""),204.44)</f>
        <v>204.44</v>
      </c>
      <c r="T18" s="17">
        <f>IFERROR(__xludf.DUMMYFUNCTION("""COMPUTED_VALUE"""),46001.66666666667)</f>
        <v>46001.66667</v>
      </c>
      <c r="U18" s="9">
        <f>IFERROR(__xludf.DUMMYFUNCTION("""COMPUTED_VALUE"""),204.44)</f>
        <v>204.44</v>
      </c>
      <c r="AC18" s="17">
        <f>IFERROR(__xludf.DUMMYFUNCTION("""COMPUTED_VALUE"""),46001.66666666667)</f>
        <v>46001.66667</v>
      </c>
      <c r="AD18" s="9">
        <f>IFERROR(__xludf.DUMMYFUNCTION("""COMPUTED_VALUE"""),204.44)</f>
        <v>204.44</v>
      </c>
    </row>
    <row r="19">
      <c r="B19" s="11">
        <f>IFERROR(__xludf.DUMMYFUNCTION("""COMPUTED_VALUE"""),46000.66666666667)</f>
        <v>46000.66667</v>
      </c>
      <c r="C19" s="9">
        <f>IFERROR(__xludf.DUMMYFUNCTION("""COMPUTED_VALUE"""),202.63)</f>
        <v>202.63</v>
      </c>
      <c r="K19" s="16">
        <f>IFERROR(__xludf.DUMMYFUNCTION("""COMPUTED_VALUE"""),46000.66666666667)</f>
        <v>46000.66667</v>
      </c>
      <c r="L19" s="9">
        <f>IFERROR(__xludf.DUMMYFUNCTION("""COMPUTED_VALUE"""),202.63)</f>
        <v>202.63</v>
      </c>
      <c r="T19" s="17">
        <f>IFERROR(__xludf.DUMMYFUNCTION("""COMPUTED_VALUE"""),46000.66666666667)</f>
        <v>46000.66667</v>
      </c>
      <c r="U19" s="9">
        <f>IFERROR(__xludf.DUMMYFUNCTION("""COMPUTED_VALUE"""),202.63)</f>
        <v>202.63</v>
      </c>
      <c r="AC19" s="17">
        <f>IFERROR(__xludf.DUMMYFUNCTION("""COMPUTED_VALUE"""),46000.66666666667)</f>
        <v>46000.66667</v>
      </c>
      <c r="AD19" s="9">
        <f>IFERROR(__xludf.DUMMYFUNCTION("""COMPUTED_VALUE"""),202.63)</f>
        <v>202.63</v>
      </c>
    </row>
    <row r="20">
      <c r="B20" s="11">
        <f>IFERROR(__xludf.DUMMYFUNCTION("""COMPUTED_VALUE"""),45999.66666666667)</f>
        <v>45999.66667</v>
      </c>
      <c r="C20" s="9">
        <f>IFERROR(__xludf.DUMMYFUNCTION("""COMPUTED_VALUE"""),204.35)</f>
        <v>204.35</v>
      </c>
      <c r="K20" s="16">
        <f>IFERROR(__xludf.DUMMYFUNCTION("""COMPUTED_VALUE"""),45999.66666666667)</f>
        <v>45999.66667</v>
      </c>
      <c r="L20" s="9">
        <f>IFERROR(__xludf.DUMMYFUNCTION("""COMPUTED_VALUE"""),204.35)</f>
        <v>204.35</v>
      </c>
      <c r="T20" s="17">
        <f>IFERROR(__xludf.DUMMYFUNCTION("""COMPUTED_VALUE"""),45999.66666666667)</f>
        <v>45999.66667</v>
      </c>
      <c r="U20" s="9">
        <f>IFERROR(__xludf.DUMMYFUNCTION("""COMPUTED_VALUE"""),204.35)</f>
        <v>204.35</v>
      </c>
      <c r="AC20" s="17">
        <f>IFERROR(__xludf.DUMMYFUNCTION("""COMPUTED_VALUE"""),45999.66666666667)</f>
        <v>45999.66667</v>
      </c>
      <c r="AD20" s="9">
        <f>IFERROR(__xludf.DUMMYFUNCTION("""COMPUTED_VALUE"""),204.35)</f>
        <v>204.35</v>
      </c>
    </row>
    <row r="21">
      <c r="B21" s="11">
        <f>IFERROR(__xludf.DUMMYFUNCTION("""COMPUTED_VALUE"""),45996.66666666667)</f>
        <v>45996.66667</v>
      </c>
      <c r="C21" s="9">
        <f>IFERROR(__xludf.DUMMYFUNCTION("""COMPUTED_VALUE"""),202.41)</f>
        <v>202.41</v>
      </c>
      <c r="K21" s="16">
        <f>IFERROR(__xludf.DUMMYFUNCTION("""COMPUTED_VALUE"""),45996.66666666667)</f>
        <v>45996.66667</v>
      </c>
      <c r="L21" s="9">
        <f>IFERROR(__xludf.DUMMYFUNCTION("""COMPUTED_VALUE"""),202.41)</f>
        <v>202.41</v>
      </c>
      <c r="T21" s="17">
        <f>IFERROR(__xludf.DUMMYFUNCTION("""COMPUTED_VALUE"""),45996.66666666667)</f>
        <v>45996.66667</v>
      </c>
      <c r="U21" s="9">
        <f>IFERROR(__xludf.DUMMYFUNCTION("""COMPUTED_VALUE"""),202.41)</f>
        <v>202.41</v>
      </c>
      <c r="AC21" s="17">
        <f>IFERROR(__xludf.DUMMYFUNCTION("""COMPUTED_VALUE"""),45996.66666666667)</f>
        <v>45996.66667</v>
      </c>
      <c r="AD21" s="9">
        <f>IFERROR(__xludf.DUMMYFUNCTION("""COMPUTED_VALUE"""),202.41)</f>
        <v>202.41</v>
      </c>
    </row>
    <row r="22">
      <c r="B22" s="11">
        <f>IFERROR(__xludf.DUMMYFUNCTION("""COMPUTED_VALUE"""),45995.66666666667)</f>
        <v>45995.66667</v>
      </c>
      <c r="C22" s="9">
        <f>IFERROR(__xludf.DUMMYFUNCTION("""COMPUTED_VALUE"""),204.67)</f>
        <v>204.67</v>
      </c>
      <c r="K22" s="16">
        <f>IFERROR(__xludf.DUMMYFUNCTION("""COMPUTED_VALUE"""),45995.66666666667)</f>
        <v>45995.66667</v>
      </c>
      <c r="L22" s="9">
        <f>IFERROR(__xludf.DUMMYFUNCTION("""COMPUTED_VALUE"""),204.67)</f>
        <v>204.67</v>
      </c>
      <c r="T22" s="17">
        <f>IFERROR(__xludf.DUMMYFUNCTION("""COMPUTED_VALUE"""),45995.66666666667)</f>
        <v>45995.66667</v>
      </c>
      <c r="U22" s="9">
        <f>IFERROR(__xludf.DUMMYFUNCTION("""COMPUTED_VALUE"""),204.67)</f>
        <v>204.67</v>
      </c>
      <c r="AC22" s="17">
        <f>IFERROR(__xludf.DUMMYFUNCTION("""COMPUTED_VALUE"""),45995.66666666667)</f>
        <v>45995.66667</v>
      </c>
      <c r="AD22" s="9">
        <f>IFERROR(__xludf.DUMMYFUNCTION("""COMPUTED_VALUE"""),204.67)</f>
        <v>204.67</v>
      </c>
    </row>
    <row r="23">
      <c r="B23" s="11">
        <f>IFERROR(__xludf.DUMMYFUNCTION("""COMPUTED_VALUE"""),45994.66666666667)</f>
        <v>45994.66667</v>
      </c>
      <c r="C23" s="9">
        <f>IFERROR(__xludf.DUMMYFUNCTION("""COMPUTED_VALUE"""),201.62)</f>
        <v>201.62</v>
      </c>
      <c r="K23" s="16">
        <f>IFERROR(__xludf.DUMMYFUNCTION("""COMPUTED_VALUE"""),45994.66666666667)</f>
        <v>45994.66667</v>
      </c>
      <c r="L23" s="9">
        <f>IFERROR(__xludf.DUMMYFUNCTION("""COMPUTED_VALUE"""),201.62)</f>
        <v>201.62</v>
      </c>
      <c r="T23" s="17">
        <f>IFERROR(__xludf.DUMMYFUNCTION("""COMPUTED_VALUE"""),45994.66666666667)</f>
        <v>45994.66667</v>
      </c>
      <c r="U23" s="9">
        <f>IFERROR(__xludf.DUMMYFUNCTION("""COMPUTED_VALUE"""),201.62)</f>
        <v>201.62</v>
      </c>
      <c r="AC23" s="17">
        <f>IFERROR(__xludf.DUMMYFUNCTION("""COMPUTED_VALUE"""),45994.66666666667)</f>
        <v>45994.66667</v>
      </c>
      <c r="AD23" s="9">
        <f>IFERROR(__xludf.DUMMYFUNCTION("""COMPUTED_VALUE"""),201.62)</f>
        <v>201.62</v>
      </c>
    </row>
    <row r="24">
      <c r="B24" s="11">
        <f>IFERROR(__xludf.DUMMYFUNCTION("""COMPUTED_VALUE"""),45993.66666666667)</f>
        <v>45993.66667</v>
      </c>
      <c r="C24" s="9">
        <f>IFERROR(__xludf.DUMMYFUNCTION("""COMPUTED_VALUE"""),201.31)</f>
        <v>201.31</v>
      </c>
      <c r="K24" s="16">
        <f>IFERROR(__xludf.DUMMYFUNCTION("""COMPUTED_VALUE"""),45993.66666666667)</f>
        <v>45993.66667</v>
      </c>
      <c r="L24" s="9">
        <f>IFERROR(__xludf.DUMMYFUNCTION("""COMPUTED_VALUE"""),201.31)</f>
        <v>201.31</v>
      </c>
      <c r="T24" s="17">
        <f>IFERROR(__xludf.DUMMYFUNCTION("""COMPUTED_VALUE"""),45993.66666666667)</f>
        <v>45993.66667</v>
      </c>
      <c r="U24" s="9">
        <f>IFERROR(__xludf.DUMMYFUNCTION("""COMPUTED_VALUE"""),201.31)</f>
        <v>201.31</v>
      </c>
      <c r="AC24" s="17"/>
    </row>
    <row r="25">
      <c r="B25" s="11">
        <f>IFERROR(__xludf.DUMMYFUNCTION("""COMPUTED_VALUE"""),45992.66666666667)</f>
        <v>45992.66667</v>
      </c>
      <c r="C25" s="9">
        <f>IFERROR(__xludf.DUMMYFUNCTION("""COMPUTED_VALUE"""),199.24)</f>
        <v>199.24</v>
      </c>
      <c r="K25" s="16">
        <f>IFERROR(__xludf.DUMMYFUNCTION("""COMPUTED_VALUE"""),45992.66666666667)</f>
        <v>45992.66667</v>
      </c>
      <c r="L25" s="9">
        <f>IFERROR(__xludf.DUMMYFUNCTION("""COMPUTED_VALUE"""),199.24)</f>
        <v>199.24</v>
      </c>
      <c r="T25" s="17">
        <f>IFERROR(__xludf.DUMMYFUNCTION("""COMPUTED_VALUE"""),45992.66666666667)</f>
        <v>45992.66667</v>
      </c>
      <c r="U25" s="9">
        <f>IFERROR(__xludf.DUMMYFUNCTION("""COMPUTED_VALUE"""),199.24)</f>
        <v>199.24</v>
      </c>
      <c r="AC25" s="17"/>
    </row>
    <row r="26">
      <c r="B26" s="11">
        <f>IFERROR(__xludf.DUMMYFUNCTION("""COMPUTED_VALUE"""),45989.51041666667)</f>
        <v>45989.51042</v>
      </c>
      <c r="C26" s="9">
        <f>IFERROR(__xludf.DUMMYFUNCTION("""COMPUTED_VALUE"""),205.1)</f>
        <v>205.1</v>
      </c>
      <c r="K26" s="16">
        <f>IFERROR(__xludf.DUMMYFUNCTION("""COMPUTED_VALUE"""),45989.51041666667)</f>
        <v>45989.51042</v>
      </c>
      <c r="L26" s="9">
        <f>IFERROR(__xludf.DUMMYFUNCTION("""COMPUTED_VALUE"""),205.1)</f>
        <v>205.1</v>
      </c>
      <c r="T26" s="17">
        <f>IFERROR(__xludf.DUMMYFUNCTION("""COMPUTED_VALUE"""),45989.51041666667)</f>
        <v>45989.51042</v>
      </c>
      <c r="U26" s="9">
        <f>IFERROR(__xludf.DUMMYFUNCTION("""COMPUTED_VALUE"""),205.1)</f>
        <v>205.1</v>
      </c>
      <c r="AC26" s="17"/>
    </row>
    <row r="27">
      <c r="B27" s="11">
        <f>IFERROR(__xludf.DUMMYFUNCTION("""COMPUTED_VALUE"""),45987.66666666667)</f>
        <v>45987.66667</v>
      </c>
      <c r="C27" s="9">
        <f>IFERROR(__xludf.DUMMYFUNCTION("""COMPUTED_VALUE"""),203.7)</f>
        <v>203.7</v>
      </c>
      <c r="K27" s="16">
        <f>IFERROR(__xludf.DUMMYFUNCTION("""COMPUTED_VALUE"""),45987.66666666667)</f>
        <v>45987.66667</v>
      </c>
      <c r="L27" s="9">
        <f>IFERROR(__xludf.DUMMYFUNCTION("""COMPUTED_VALUE"""),203.7)</f>
        <v>203.7</v>
      </c>
      <c r="T27" s="17">
        <f>IFERROR(__xludf.DUMMYFUNCTION("""COMPUTED_VALUE"""),45987.66666666667)</f>
        <v>45987.66667</v>
      </c>
      <c r="U27" s="9">
        <f>IFERROR(__xludf.DUMMYFUNCTION("""COMPUTED_VALUE"""),203.7)</f>
        <v>203.7</v>
      </c>
      <c r="AC27" s="17"/>
    </row>
    <row r="28">
      <c r="B28" s="11">
        <f>IFERROR(__xludf.DUMMYFUNCTION("""COMPUTED_VALUE"""),45986.66666666667)</f>
        <v>45986.66667</v>
      </c>
      <c r="C28" s="9">
        <f>IFERROR(__xludf.DUMMYFUNCTION("""COMPUTED_VALUE"""),202.4)</f>
        <v>202.4</v>
      </c>
      <c r="K28" s="16">
        <f>IFERROR(__xludf.DUMMYFUNCTION("""COMPUTED_VALUE"""),45986.66666666667)</f>
        <v>45986.66667</v>
      </c>
      <c r="L28" s="9">
        <f>IFERROR(__xludf.DUMMYFUNCTION("""COMPUTED_VALUE"""),202.4)</f>
        <v>202.4</v>
      </c>
      <c r="T28" s="17">
        <f>IFERROR(__xludf.DUMMYFUNCTION("""COMPUTED_VALUE"""),45986.66666666667)</f>
        <v>45986.66667</v>
      </c>
      <c r="U28" s="9">
        <f>IFERROR(__xludf.DUMMYFUNCTION("""COMPUTED_VALUE"""),202.4)</f>
        <v>202.4</v>
      </c>
      <c r="AC28" s="17"/>
    </row>
    <row r="29">
      <c r="B29" s="11">
        <f>IFERROR(__xludf.DUMMYFUNCTION("""COMPUTED_VALUE"""),45985.66666666667)</f>
        <v>45985.66667</v>
      </c>
      <c r="C29" s="9">
        <f>IFERROR(__xludf.DUMMYFUNCTION("""COMPUTED_VALUE"""),200.69)</f>
        <v>200.69</v>
      </c>
      <c r="K29" s="16">
        <f>IFERROR(__xludf.DUMMYFUNCTION("""COMPUTED_VALUE"""),45985.66666666667)</f>
        <v>45985.66667</v>
      </c>
      <c r="L29" s="9">
        <f>IFERROR(__xludf.DUMMYFUNCTION("""COMPUTED_VALUE"""),200.69)</f>
        <v>200.69</v>
      </c>
      <c r="T29" s="17">
        <f>IFERROR(__xludf.DUMMYFUNCTION("""COMPUTED_VALUE"""),45985.66666666667)</f>
        <v>45985.66667</v>
      </c>
      <c r="U29" s="9">
        <f>IFERROR(__xludf.DUMMYFUNCTION("""COMPUTED_VALUE"""),200.69)</f>
        <v>200.69</v>
      </c>
      <c r="AC29" s="17"/>
    </row>
    <row r="30">
      <c r="B30" s="11">
        <f>IFERROR(__xludf.DUMMYFUNCTION("""COMPUTED_VALUE"""),45982.66666666667)</f>
        <v>45982.66667</v>
      </c>
      <c r="C30" s="9">
        <f>IFERROR(__xludf.DUMMYFUNCTION("""COMPUTED_VALUE"""),198.23)</f>
        <v>198.23</v>
      </c>
      <c r="K30" s="16">
        <f>IFERROR(__xludf.DUMMYFUNCTION("""COMPUTED_VALUE"""),45982.66666666667)</f>
        <v>45982.66667</v>
      </c>
      <c r="L30" s="9">
        <f>IFERROR(__xludf.DUMMYFUNCTION("""COMPUTED_VALUE"""),198.23)</f>
        <v>198.23</v>
      </c>
      <c r="T30" s="17">
        <f>IFERROR(__xludf.DUMMYFUNCTION("""COMPUTED_VALUE"""),45982.66666666667)</f>
        <v>45982.66667</v>
      </c>
      <c r="U30" s="9">
        <f>IFERROR(__xludf.DUMMYFUNCTION("""COMPUTED_VALUE"""),198.23)</f>
        <v>198.23</v>
      </c>
      <c r="AC30" s="17"/>
    </row>
    <row r="31">
      <c r="B31" s="11">
        <f>IFERROR(__xludf.DUMMYFUNCTION("""COMPUTED_VALUE"""),45981.66666666667)</f>
        <v>45981.66667</v>
      </c>
      <c r="C31" s="9">
        <f>IFERROR(__xludf.DUMMYFUNCTION("""COMPUTED_VALUE"""),198.77)</f>
        <v>198.77</v>
      </c>
      <c r="K31" s="16">
        <f>IFERROR(__xludf.DUMMYFUNCTION("""COMPUTED_VALUE"""),45981.66666666667)</f>
        <v>45981.66667</v>
      </c>
      <c r="L31" s="9">
        <f>IFERROR(__xludf.DUMMYFUNCTION("""COMPUTED_VALUE"""),198.77)</f>
        <v>198.77</v>
      </c>
      <c r="T31" s="17">
        <f>IFERROR(__xludf.DUMMYFUNCTION("""COMPUTED_VALUE"""),45981.66666666667)</f>
        <v>45981.66667</v>
      </c>
      <c r="U31" s="9">
        <f>IFERROR(__xludf.DUMMYFUNCTION("""COMPUTED_VALUE"""),198.77)</f>
        <v>198.77</v>
      </c>
      <c r="AC31" s="17"/>
    </row>
    <row r="32">
      <c r="B32" s="11">
        <f>IFERROR(__xludf.DUMMYFUNCTION("""COMPUTED_VALUE"""),45980.66666666667)</f>
        <v>45980.66667</v>
      </c>
      <c r="C32" s="9">
        <f>IFERROR(__xludf.DUMMYFUNCTION("""COMPUTED_VALUE"""),203.13)</f>
        <v>203.13</v>
      </c>
      <c r="K32" s="16">
        <f>IFERROR(__xludf.DUMMYFUNCTION("""COMPUTED_VALUE"""),45980.66666666667)</f>
        <v>45980.66667</v>
      </c>
      <c r="L32" s="9">
        <f>IFERROR(__xludf.DUMMYFUNCTION("""COMPUTED_VALUE"""),203.13)</f>
        <v>203.13</v>
      </c>
      <c r="T32" s="17">
        <f>IFERROR(__xludf.DUMMYFUNCTION("""COMPUTED_VALUE"""),45980.66666666667)</f>
        <v>45980.66667</v>
      </c>
      <c r="U32" s="9">
        <f>IFERROR(__xludf.DUMMYFUNCTION("""COMPUTED_VALUE"""),203.13)</f>
        <v>203.13</v>
      </c>
      <c r="AC32" s="17"/>
    </row>
    <row r="33">
      <c r="B33" s="11">
        <f>IFERROR(__xludf.DUMMYFUNCTION("""COMPUTED_VALUE"""),45979.66666666667)</f>
        <v>45979.66667</v>
      </c>
      <c r="C33" s="9">
        <f>IFERROR(__xludf.DUMMYFUNCTION("""COMPUTED_VALUE"""),202.76)</f>
        <v>202.76</v>
      </c>
      <c r="K33" s="16">
        <f>IFERROR(__xludf.DUMMYFUNCTION("""COMPUTED_VALUE"""),45979.66666666667)</f>
        <v>45979.66667</v>
      </c>
      <c r="L33" s="9">
        <f>IFERROR(__xludf.DUMMYFUNCTION("""COMPUTED_VALUE"""),202.76)</f>
        <v>202.76</v>
      </c>
      <c r="T33" s="17">
        <f>IFERROR(__xludf.DUMMYFUNCTION("""COMPUTED_VALUE"""),45979.66666666667)</f>
        <v>45979.66667</v>
      </c>
      <c r="U33" s="9">
        <f>IFERROR(__xludf.DUMMYFUNCTION("""COMPUTED_VALUE"""),202.76)</f>
        <v>202.76</v>
      </c>
      <c r="AC33" s="17"/>
    </row>
    <row r="34">
      <c r="B34" s="11">
        <f>IFERROR(__xludf.DUMMYFUNCTION("""COMPUTED_VALUE"""),45978.66666666667)</f>
        <v>45978.66667</v>
      </c>
      <c r="C34" s="9">
        <f>IFERROR(__xludf.DUMMYFUNCTION("""COMPUTED_VALUE"""),203.81)</f>
        <v>203.81</v>
      </c>
      <c r="K34" s="16">
        <f>IFERROR(__xludf.DUMMYFUNCTION("""COMPUTED_VALUE"""),45978.66666666667)</f>
        <v>45978.66667</v>
      </c>
      <c r="L34" s="9">
        <f>IFERROR(__xludf.DUMMYFUNCTION("""COMPUTED_VALUE"""),203.81)</f>
        <v>203.81</v>
      </c>
      <c r="T34" s="17">
        <f>IFERROR(__xludf.DUMMYFUNCTION("""COMPUTED_VALUE"""),45978.66666666667)</f>
        <v>45978.66667</v>
      </c>
      <c r="U34" s="9">
        <f>IFERROR(__xludf.DUMMYFUNCTION("""COMPUTED_VALUE"""),203.81)</f>
        <v>203.81</v>
      </c>
      <c r="AC34" s="17"/>
    </row>
    <row r="35">
      <c r="B35" s="11">
        <f>IFERROR(__xludf.DUMMYFUNCTION("""COMPUTED_VALUE"""),45975.66666666667)</f>
        <v>45975.66667</v>
      </c>
      <c r="C35" s="9">
        <f>IFERROR(__xludf.DUMMYFUNCTION("""COMPUTED_VALUE"""),205.94)</f>
        <v>205.94</v>
      </c>
      <c r="K35" s="16">
        <f>IFERROR(__xludf.DUMMYFUNCTION("""COMPUTED_VALUE"""),45975.66666666667)</f>
        <v>45975.66667</v>
      </c>
      <c r="L35" s="9">
        <f>IFERROR(__xludf.DUMMYFUNCTION("""COMPUTED_VALUE"""),205.94)</f>
        <v>205.94</v>
      </c>
      <c r="T35" s="17">
        <f>IFERROR(__xludf.DUMMYFUNCTION("""COMPUTED_VALUE"""),45975.66666666667)</f>
        <v>45975.66667</v>
      </c>
      <c r="U35" s="9">
        <f>IFERROR(__xludf.DUMMYFUNCTION("""COMPUTED_VALUE"""),205.94)</f>
        <v>205.94</v>
      </c>
      <c r="AC35" s="17"/>
    </row>
    <row r="36">
      <c r="B36" s="11">
        <f>IFERROR(__xludf.DUMMYFUNCTION("""COMPUTED_VALUE"""),45974.66666666667)</f>
        <v>45974.66667</v>
      </c>
      <c r="C36" s="9">
        <f>IFERROR(__xludf.DUMMYFUNCTION("""COMPUTED_VALUE"""),205.04)</f>
        <v>205.04</v>
      </c>
      <c r="K36" s="16">
        <f>IFERROR(__xludf.DUMMYFUNCTION("""COMPUTED_VALUE"""),45974.66666666667)</f>
        <v>45974.66667</v>
      </c>
      <c r="L36" s="9">
        <f>IFERROR(__xludf.DUMMYFUNCTION("""COMPUTED_VALUE"""),205.04)</f>
        <v>205.04</v>
      </c>
      <c r="T36" s="17">
        <f>IFERROR(__xludf.DUMMYFUNCTION("""COMPUTED_VALUE"""),45974.66666666667)</f>
        <v>45974.66667</v>
      </c>
      <c r="U36" s="9">
        <f>IFERROR(__xludf.DUMMYFUNCTION("""COMPUTED_VALUE"""),205.04)</f>
        <v>205.04</v>
      </c>
      <c r="AC36" s="17"/>
    </row>
    <row r="37">
      <c r="B37" s="11">
        <f>IFERROR(__xludf.DUMMYFUNCTION("""COMPUTED_VALUE"""),45973.66666666667)</f>
        <v>45973.66667</v>
      </c>
      <c r="C37" s="9">
        <f>IFERROR(__xludf.DUMMYFUNCTION("""COMPUTED_VALUE"""),209.64)</f>
        <v>209.64</v>
      </c>
      <c r="K37" s="16">
        <f>IFERROR(__xludf.DUMMYFUNCTION("""COMPUTED_VALUE"""),45973.66666666667)</f>
        <v>45973.66667</v>
      </c>
      <c r="L37" s="9">
        <f>IFERROR(__xludf.DUMMYFUNCTION("""COMPUTED_VALUE"""),209.64)</f>
        <v>209.64</v>
      </c>
      <c r="T37" s="17">
        <f>IFERROR(__xludf.DUMMYFUNCTION("""COMPUTED_VALUE"""),45973.66666666667)</f>
        <v>45973.66667</v>
      </c>
      <c r="U37" s="9">
        <f>IFERROR(__xludf.DUMMYFUNCTION("""COMPUTED_VALUE"""),209.64)</f>
        <v>209.64</v>
      </c>
      <c r="AC37" s="17"/>
    </row>
    <row r="38">
      <c r="B38" s="11">
        <f>IFERROR(__xludf.DUMMYFUNCTION("""COMPUTED_VALUE"""),45972.66666666667)</f>
        <v>45972.66667</v>
      </c>
      <c r="C38" s="9">
        <f>IFERROR(__xludf.DUMMYFUNCTION("""COMPUTED_VALUE"""),210.51)</f>
        <v>210.51</v>
      </c>
      <c r="K38" s="16">
        <f>IFERROR(__xludf.DUMMYFUNCTION("""COMPUTED_VALUE"""),45972.66666666667)</f>
        <v>45972.66667</v>
      </c>
      <c r="L38" s="9">
        <f>IFERROR(__xludf.DUMMYFUNCTION("""COMPUTED_VALUE"""),210.51)</f>
        <v>210.51</v>
      </c>
      <c r="T38" s="17">
        <f>IFERROR(__xludf.DUMMYFUNCTION("""COMPUTED_VALUE"""),45972.66666666667)</f>
        <v>45972.66667</v>
      </c>
      <c r="U38" s="9">
        <f>IFERROR(__xludf.DUMMYFUNCTION("""COMPUTED_VALUE"""),210.51)</f>
        <v>210.51</v>
      </c>
      <c r="AC38" s="17"/>
    </row>
    <row r="39">
      <c r="B39" s="11">
        <f>IFERROR(__xludf.DUMMYFUNCTION("""COMPUTED_VALUE"""),45971.66666666667)</f>
        <v>45971.66667</v>
      </c>
      <c r="C39" s="9">
        <f>IFERROR(__xludf.DUMMYFUNCTION("""COMPUTED_VALUE"""),210.97)</f>
        <v>210.97</v>
      </c>
      <c r="K39" s="16">
        <f>IFERROR(__xludf.DUMMYFUNCTION("""COMPUTED_VALUE"""),45971.66666666667)</f>
        <v>45971.66667</v>
      </c>
      <c r="L39" s="9">
        <f>IFERROR(__xludf.DUMMYFUNCTION("""COMPUTED_VALUE"""),210.97)</f>
        <v>210.97</v>
      </c>
      <c r="T39" s="17">
        <f>IFERROR(__xludf.DUMMYFUNCTION("""COMPUTED_VALUE"""),45971.66666666667)</f>
        <v>45971.66667</v>
      </c>
      <c r="U39" s="9">
        <f>IFERROR(__xludf.DUMMYFUNCTION("""COMPUTED_VALUE"""),210.97)</f>
        <v>210.97</v>
      </c>
      <c r="AC39" s="17"/>
    </row>
    <row r="40">
      <c r="B40" s="11">
        <f>IFERROR(__xludf.DUMMYFUNCTION("""COMPUTED_VALUE"""),45968.66666666667)</f>
        <v>45968.66667</v>
      </c>
      <c r="C40" s="9">
        <f>IFERROR(__xludf.DUMMYFUNCTION("""COMPUTED_VALUE"""),209.04)</f>
        <v>209.04</v>
      </c>
      <c r="K40" s="16">
        <f>IFERROR(__xludf.DUMMYFUNCTION("""COMPUTED_VALUE"""),45968.66666666667)</f>
        <v>45968.66667</v>
      </c>
      <c r="L40" s="9">
        <f>IFERROR(__xludf.DUMMYFUNCTION("""COMPUTED_VALUE"""),209.04)</f>
        <v>209.04</v>
      </c>
      <c r="T40" s="17">
        <f>IFERROR(__xludf.DUMMYFUNCTION("""COMPUTED_VALUE"""),45968.66666666667)</f>
        <v>45968.66667</v>
      </c>
      <c r="U40" s="9">
        <f>IFERROR(__xludf.DUMMYFUNCTION("""COMPUTED_VALUE"""),209.04)</f>
        <v>209.04</v>
      </c>
      <c r="AC40" s="17"/>
    </row>
    <row r="41">
      <c r="B41" s="11">
        <f>IFERROR(__xludf.DUMMYFUNCTION("""COMPUTED_VALUE"""),45967.66666666667)</f>
        <v>45967.66667</v>
      </c>
      <c r="C41" s="9">
        <f>IFERROR(__xludf.DUMMYFUNCTION("""COMPUTED_VALUE"""),207.57)</f>
        <v>207.57</v>
      </c>
      <c r="K41" s="16">
        <f>IFERROR(__xludf.DUMMYFUNCTION("""COMPUTED_VALUE"""),45967.66666666667)</f>
        <v>45967.66667</v>
      </c>
      <c r="L41" s="9">
        <f>IFERROR(__xludf.DUMMYFUNCTION("""COMPUTED_VALUE"""),207.57)</f>
        <v>207.57</v>
      </c>
      <c r="T41" s="17">
        <f>IFERROR(__xludf.DUMMYFUNCTION("""COMPUTED_VALUE"""),45967.66666666667)</f>
        <v>45967.66667</v>
      </c>
      <c r="U41" s="9">
        <f>IFERROR(__xludf.DUMMYFUNCTION("""COMPUTED_VALUE"""),207.57)</f>
        <v>207.57</v>
      </c>
      <c r="AC41" s="17"/>
    </row>
    <row r="42">
      <c r="B42" s="11">
        <f>IFERROR(__xludf.DUMMYFUNCTION("""COMPUTED_VALUE"""),45966.66666666667)</f>
        <v>45966.66667</v>
      </c>
      <c r="C42" s="9">
        <f>IFERROR(__xludf.DUMMYFUNCTION("""COMPUTED_VALUE"""),209.47)</f>
        <v>209.47</v>
      </c>
      <c r="K42" s="16">
        <f>IFERROR(__xludf.DUMMYFUNCTION("""COMPUTED_VALUE"""),45966.66666666667)</f>
        <v>45966.66667</v>
      </c>
      <c r="L42" s="9">
        <f>IFERROR(__xludf.DUMMYFUNCTION("""COMPUTED_VALUE"""),209.47)</f>
        <v>209.47</v>
      </c>
      <c r="T42" s="17">
        <f>IFERROR(__xludf.DUMMYFUNCTION("""COMPUTED_VALUE"""),45966.66666666667)</f>
        <v>45966.66667</v>
      </c>
      <c r="U42" s="9">
        <f>IFERROR(__xludf.DUMMYFUNCTION("""COMPUTED_VALUE"""),209.47)</f>
        <v>209.47</v>
      </c>
      <c r="AC42" s="17"/>
    </row>
    <row r="43">
      <c r="B43" s="11">
        <f>IFERROR(__xludf.DUMMYFUNCTION("""COMPUTED_VALUE"""),45965.66666666667)</f>
        <v>45965.66667</v>
      </c>
      <c r="C43" s="9">
        <f>IFERROR(__xludf.DUMMYFUNCTION("""COMPUTED_VALUE"""),211.76)</f>
        <v>211.76</v>
      </c>
      <c r="K43" s="16">
        <f>IFERROR(__xludf.DUMMYFUNCTION("""COMPUTED_VALUE"""),45965.66666666667)</f>
        <v>45965.66667</v>
      </c>
      <c r="L43" s="9">
        <f>IFERROR(__xludf.DUMMYFUNCTION("""COMPUTED_VALUE"""),211.76)</f>
        <v>211.76</v>
      </c>
      <c r="T43" s="17">
        <f>IFERROR(__xludf.DUMMYFUNCTION("""COMPUTED_VALUE"""),45965.66666666667)</f>
        <v>45965.66667</v>
      </c>
      <c r="U43" s="9">
        <f>IFERROR(__xludf.DUMMYFUNCTION("""COMPUTED_VALUE"""),211.76)</f>
        <v>211.76</v>
      </c>
      <c r="AC43" s="17"/>
    </row>
    <row r="44">
      <c r="B44" s="11">
        <f>IFERROR(__xludf.DUMMYFUNCTION("""COMPUTED_VALUE"""),45964.66666666667)</f>
        <v>45964.66667</v>
      </c>
      <c r="C44" s="9">
        <f>IFERROR(__xludf.DUMMYFUNCTION("""COMPUTED_VALUE"""),214.98)</f>
        <v>214.98</v>
      </c>
      <c r="K44" s="16">
        <f>IFERROR(__xludf.DUMMYFUNCTION("""COMPUTED_VALUE"""),45964.66666666667)</f>
        <v>45964.66667</v>
      </c>
      <c r="L44" s="9">
        <f>IFERROR(__xludf.DUMMYFUNCTION("""COMPUTED_VALUE"""),214.98)</f>
        <v>214.98</v>
      </c>
      <c r="T44" s="17">
        <f>IFERROR(__xludf.DUMMYFUNCTION("""COMPUTED_VALUE"""),45964.66666666667)</f>
        <v>45964.66667</v>
      </c>
      <c r="U44" s="9">
        <f>IFERROR(__xludf.DUMMYFUNCTION("""COMPUTED_VALUE"""),214.98)</f>
        <v>214.98</v>
      </c>
      <c r="AC44" s="17"/>
    </row>
    <row r="45">
      <c r="B45" s="11">
        <f>IFERROR(__xludf.DUMMYFUNCTION("""COMPUTED_VALUE"""),45961.66666666667)</f>
        <v>45961.66667</v>
      </c>
      <c r="C45" s="9">
        <f>IFERROR(__xludf.DUMMYFUNCTION("""COMPUTED_VALUE"""),215.79)</f>
        <v>215.79</v>
      </c>
      <c r="K45" s="16">
        <f>IFERROR(__xludf.DUMMYFUNCTION("""COMPUTED_VALUE"""),45961.66666666667)</f>
        <v>45961.66667</v>
      </c>
      <c r="L45" s="9">
        <f>IFERROR(__xludf.DUMMYFUNCTION("""COMPUTED_VALUE"""),215.79)</f>
        <v>215.79</v>
      </c>
      <c r="T45" s="17">
        <f>IFERROR(__xludf.DUMMYFUNCTION("""COMPUTED_VALUE"""),45961.66666666667)</f>
        <v>45961.66667</v>
      </c>
      <c r="U45" s="9">
        <f>IFERROR(__xludf.DUMMYFUNCTION("""COMPUTED_VALUE"""),215.79)</f>
        <v>215.79</v>
      </c>
      <c r="AC45" s="17"/>
    </row>
    <row r="46">
      <c r="B46" s="11">
        <f>IFERROR(__xludf.DUMMYFUNCTION("""COMPUTED_VALUE"""),45960.66666666667)</f>
        <v>45960.66667</v>
      </c>
      <c r="C46" s="9">
        <f>IFERROR(__xludf.DUMMYFUNCTION("""COMPUTED_VALUE"""),215.31)</f>
        <v>215.31</v>
      </c>
      <c r="K46" s="16">
        <f>IFERROR(__xludf.DUMMYFUNCTION("""COMPUTED_VALUE"""),45960.66666666667)</f>
        <v>45960.66667</v>
      </c>
      <c r="L46" s="9">
        <f>IFERROR(__xludf.DUMMYFUNCTION("""COMPUTED_VALUE"""),215.31)</f>
        <v>215.31</v>
      </c>
      <c r="T46" s="17">
        <f>IFERROR(__xludf.DUMMYFUNCTION("""COMPUTED_VALUE"""),45960.66666666667)</f>
        <v>45960.66667</v>
      </c>
      <c r="U46" s="9">
        <f>IFERROR(__xludf.DUMMYFUNCTION("""COMPUTED_VALUE"""),215.31)</f>
        <v>215.31</v>
      </c>
      <c r="AC46" s="17"/>
    </row>
    <row r="47">
      <c r="B47" s="11">
        <f>IFERROR(__xludf.DUMMYFUNCTION("""COMPUTED_VALUE"""),45959.66666666667)</f>
        <v>45959.66667</v>
      </c>
      <c r="C47" s="9">
        <f>IFERROR(__xludf.DUMMYFUNCTION("""COMPUTED_VALUE"""),217.45)</f>
        <v>217.45</v>
      </c>
      <c r="K47" s="16">
        <f>IFERROR(__xludf.DUMMYFUNCTION("""COMPUTED_VALUE"""),45959.66666666667)</f>
        <v>45959.66667</v>
      </c>
      <c r="L47" s="9">
        <f>IFERROR(__xludf.DUMMYFUNCTION("""COMPUTED_VALUE"""),217.45)</f>
        <v>217.45</v>
      </c>
      <c r="T47" s="17">
        <f>IFERROR(__xludf.DUMMYFUNCTION("""COMPUTED_VALUE"""),45959.66666666667)</f>
        <v>45959.66667</v>
      </c>
      <c r="U47" s="9">
        <f>IFERROR(__xludf.DUMMYFUNCTION("""COMPUTED_VALUE"""),217.45)</f>
        <v>217.45</v>
      </c>
      <c r="AC47" s="17"/>
    </row>
    <row r="48">
      <c r="B48" s="11">
        <f>IFERROR(__xludf.DUMMYFUNCTION("""COMPUTED_VALUE"""),45958.66666666667)</f>
        <v>45958.66667</v>
      </c>
      <c r="C48" s="9">
        <f>IFERROR(__xludf.DUMMYFUNCTION("""COMPUTED_VALUE"""),217.54)</f>
        <v>217.54</v>
      </c>
      <c r="K48" s="16">
        <f>IFERROR(__xludf.DUMMYFUNCTION("""COMPUTED_VALUE"""),45958.66666666667)</f>
        <v>45958.66667</v>
      </c>
      <c r="L48" s="9">
        <f>IFERROR(__xludf.DUMMYFUNCTION("""COMPUTED_VALUE"""),217.54)</f>
        <v>217.54</v>
      </c>
      <c r="T48" s="17">
        <f>IFERROR(__xludf.DUMMYFUNCTION("""COMPUTED_VALUE"""),45958.66666666667)</f>
        <v>45958.66667</v>
      </c>
      <c r="U48" s="9">
        <f>IFERROR(__xludf.DUMMYFUNCTION("""COMPUTED_VALUE"""),217.54)</f>
        <v>217.54</v>
      </c>
      <c r="AC48" s="17"/>
    </row>
    <row r="49">
      <c r="B49" s="11">
        <f>IFERROR(__xludf.DUMMYFUNCTION("""COMPUTED_VALUE"""),45957.66666666667)</f>
        <v>45957.66667</v>
      </c>
      <c r="C49" s="9">
        <f>IFERROR(__xludf.DUMMYFUNCTION("""COMPUTED_VALUE"""),218.9)</f>
        <v>218.9</v>
      </c>
      <c r="K49" s="16">
        <f>IFERROR(__xludf.DUMMYFUNCTION("""COMPUTED_VALUE"""),45957.66666666667)</f>
        <v>45957.66667</v>
      </c>
      <c r="L49" s="9">
        <f>IFERROR(__xludf.DUMMYFUNCTION("""COMPUTED_VALUE"""),218.9)</f>
        <v>218.9</v>
      </c>
      <c r="T49" s="17">
        <f>IFERROR(__xludf.DUMMYFUNCTION("""COMPUTED_VALUE"""),45957.66666666667)</f>
        <v>45957.66667</v>
      </c>
      <c r="U49" s="9">
        <f>IFERROR(__xludf.DUMMYFUNCTION("""COMPUTED_VALUE"""),218.9)</f>
        <v>218.9</v>
      </c>
      <c r="AC49" s="17"/>
    </row>
    <row r="50">
      <c r="B50" s="11">
        <f>IFERROR(__xludf.DUMMYFUNCTION("""COMPUTED_VALUE"""),45954.66666666667)</f>
        <v>45954.66667</v>
      </c>
      <c r="C50" s="9">
        <f>IFERROR(__xludf.DUMMYFUNCTION("""COMPUTED_VALUE"""),216.86)</f>
        <v>216.86</v>
      </c>
      <c r="K50" s="16">
        <f>IFERROR(__xludf.DUMMYFUNCTION("""COMPUTED_VALUE"""),45954.66666666667)</f>
        <v>45954.66667</v>
      </c>
      <c r="L50" s="9">
        <f>IFERROR(__xludf.DUMMYFUNCTION("""COMPUTED_VALUE"""),216.86)</f>
        <v>216.86</v>
      </c>
      <c r="T50" s="17">
        <f>IFERROR(__xludf.DUMMYFUNCTION("""COMPUTED_VALUE"""),45954.66666666667)</f>
        <v>45954.66667</v>
      </c>
      <c r="U50" s="9">
        <f>IFERROR(__xludf.DUMMYFUNCTION("""COMPUTED_VALUE"""),216.86)</f>
        <v>216.86</v>
      </c>
      <c r="AC50" s="17"/>
    </row>
    <row r="51">
      <c r="B51" s="11">
        <f>IFERROR(__xludf.DUMMYFUNCTION("""COMPUTED_VALUE"""),45953.66666666667)</f>
        <v>45953.66667</v>
      </c>
      <c r="C51" s="9">
        <f>IFERROR(__xludf.DUMMYFUNCTION("""COMPUTED_VALUE"""),215.72)</f>
        <v>215.72</v>
      </c>
      <c r="K51" s="16">
        <f>IFERROR(__xludf.DUMMYFUNCTION("""COMPUTED_VALUE"""),45953.66666666667)</f>
        <v>45953.66667</v>
      </c>
      <c r="L51" s="9">
        <f>IFERROR(__xludf.DUMMYFUNCTION("""COMPUTED_VALUE"""),215.72)</f>
        <v>215.72</v>
      </c>
      <c r="T51" s="17">
        <f>IFERROR(__xludf.DUMMYFUNCTION("""COMPUTED_VALUE"""),45953.66666666667)</f>
        <v>45953.66667</v>
      </c>
      <c r="U51" s="9">
        <f>IFERROR(__xludf.DUMMYFUNCTION("""COMPUTED_VALUE"""),215.72)</f>
        <v>215.72</v>
      </c>
      <c r="AC51" s="17"/>
    </row>
    <row r="52">
      <c r="B52" s="11">
        <f>IFERROR(__xludf.DUMMYFUNCTION("""COMPUTED_VALUE"""),45952.66666666667)</f>
        <v>45952.66667</v>
      </c>
      <c r="C52" s="9">
        <f>IFERROR(__xludf.DUMMYFUNCTION("""COMPUTED_VALUE"""),210.54)</f>
        <v>210.54</v>
      </c>
      <c r="K52" s="16">
        <f>IFERROR(__xludf.DUMMYFUNCTION("""COMPUTED_VALUE"""),45952.66666666667)</f>
        <v>45952.66667</v>
      </c>
      <c r="L52" s="9">
        <f>IFERROR(__xludf.DUMMYFUNCTION("""COMPUTED_VALUE"""),210.54)</f>
        <v>210.54</v>
      </c>
      <c r="T52" s="17">
        <f>IFERROR(__xludf.DUMMYFUNCTION("""COMPUTED_VALUE"""),45952.66666666667)</f>
        <v>45952.66667</v>
      </c>
      <c r="U52" s="9">
        <f>IFERROR(__xludf.DUMMYFUNCTION("""COMPUTED_VALUE"""),210.54)</f>
        <v>210.54</v>
      </c>
      <c r="AC52" s="17"/>
    </row>
    <row r="53">
      <c r="B53" s="11">
        <f>IFERROR(__xludf.DUMMYFUNCTION("""COMPUTED_VALUE"""),45951.66666666667)</f>
        <v>45951.66667</v>
      </c>
      <c r="C53" s="9">
        <f>IFERROR(__xludf.DUMMYFUNCTION("""COMPUTED_VALUE"""),213.36)</f>
        <v>213.36</v>
      </c>
      <c r="K53" s="16">
        <f>IFERROR(__xludf.DUMMYFUNCTION("""COMPUTED_VALUE"""),45951.66666666667)</f>
        <v>45951.66667</v>
      </c>
      <c r="L53" s="9">
        <f>IFERROR(__xludf.DUMMYFUNCTION("""COMPUTED_VALUE"""),213.36)</f>
        <v>213.36</v>
      </c>
      <c r="T53" s="17">
        <f>IFERROR(__xludf.DUMMYFUNCTION("""COMPUTED_VALUE"""),45951.66666666667)</f>
        <v>45951.66667</v>
      </c>
      <c r="U53" s="9">
        <f>IFERROR(__xludf.DUMMYFUNCTION("""COMPUTED_VALUE"""),213.36)</f>
        <v>213.36</v>
      </c>
      <c r="AC53" s="17"/>
    </row>
    <row r="54">
      <c r="B54" s="11">
        <f>IFERROR(__xludf.DUMMYFUNCTION("""COMPUTED_VALUE"""),45950.66666666667)</f>
        <v>45950.66667</v>
      </c>
      <c r="C54" s="9">
        <f>IFERROR(__xludf.DUMMYFUNCTION("""COMPUTED_VALUE"""),209.61)</f>
        <v>209.61</v>
      </c>
      <c r="K54" s="16">
        <f>IFERROR(__xludf.DUMMYFUNCTION("""COMPUTED_VALUE"""),45950.66666666667)</f>
        <v>45950.66667</v>
      </c>
      <c r="L54" s="9">
        <f>IFERROR(__xludf.DUMMYFUNCTION("""COMPUTED_VALUE"""),209.61)</f>
        <v>209.61</v>
      </c>
      <c r="T54" s="17">
        <f>IFERROR(__xludf.DUMMYFUNCTION("""COMPUTED_VALUE"""),45950.66666666667)</f>
        <v>45950.66667</v>
      </c>
      <c r="U54" s="9">
        <f>IFERROR(__xludf.DUMMYFUNCTION("""COMPUTED_VALUE"""),209.61)</f>
        <v>209.61</v>
      </c>
      <c r="AC54" s="17"/>
    </row>
    <row r="55">
      <c r="B55" s="11">
        <f>IFERROR(__xludf.DUMMYFUNCTION("""COMPUTED_VALUE"""),45947.66666666667)</f>
        <v>45947.66667</v>
      </c>
      <c r="C55" s="9">
        <f>IFERROR(__xludf.DUMMYFUNCTION("""COMPUTED_VALUE"""),205.93)</f>
        <v>205.93</v>
      </c>
      <c r="K55" s="16">
        <f>IFERROR(__xludf.DUMMYFUNCTION("""COMPUTED_VALUE"""),45947.66666666667)</f>
        <v>45947.66667</v>
      </c>
      <c r="L55" s="9">
        <f>IFERROR(__xludf.DUMMYFUNCTION("""COMPUTED_VALUE"""),205.93)</f>
        <v>205.93</v>
      </c>
      <c r="T55" s="17">
        <f>IFERROR(__xludf.DUMMYFUNCTION("""COMPUTED_VALUE"""),45947.66666666667)</f>
        <v>45947.66667</v>
      </c>
      <c r="U55" s="9">
        <f>IFERROR(__xludf.DUMMYFUNCTION("""COMPUTED_VALUE"""),205.93)</f>
        <v>205.93</v>
      </c>
      <c r="AC55" s="17"/>
    </row>
    <row r="56">
      <c r="B56" s="11">
        <f>IFERROR(__xludf.DUMMYFUNCTION("""COMPUTED_VALUE"""),45946.66666666667)</f>
        <v>45946.66667</v>
      </c>
      <c r="C56" s="9">
        <f>IFERROR(__xludf.DUMMYFUNCTION("""COMPUTED_VALUE"""),206.25)</f>
        <v>206.25</v>
      </c>
      <c r="K56" s="16">
        <f>IFERROR(__xludf.DUMMYFUNCTION("""COMPUTED_VALUE"""),45946.66666666667)</f>
        <v>45946.66667</v>
      </c>
      <c r="L56" s="9">
        <f>IFERROR(__xludf.DUMMYFUNCTION("""COMPUTED_VALUE"""),206.25)</f>
        <v>206.25</v>
      </c>
      <c r="T56" s="17">
        <f>IFERROR(__xludf.DUMMYFUNCTION("""COMPUTED_VALUE"""),45946.66666666667)</f>
        <v>45946.66667</v>
      </c>
      <c r="U56" s="9">
        <f>IFERROR(__xludf.DUMMYFUNCTION("""COMPUTED_VALUE"""),206.25)</f>
        <v>206.25</v>
      </c>
      <c r="AC56" s="17"/>
    </row>
    <row r="57">
      <c r="B57" s="11">
        <f>IFERROR(__xludf.DUMMYFUNCTION("""COMPUTED_VALUE"""),45945.66666666667)</f>
        <v>45945.66667</v>
      </c>
      <c r="C57" s="9">
        <f>IFERROR(__xludf.DUMMYFUNCTION("""COMPUTED_VALUE"""),207.68)</f>
        <v>207.68</v>
      </c>
      <c r="K57" s="16">
        <f>IFERROR(__xludf.DUMMYFUNCTION("""COMPUTED_VALUE"""),45945.66666666667)</f>
        <v>45945.66667</v>
      </c>
      <c r="L57" s="9">
        <f>IFERROR(__xludf.DUMMYFUNCTION("""COMPUTED_VALUE"""),207.68)</f>
        <v>207.68</v>
      </c>
      <c r="T57" s="17">
        <f>IFERROR(__xludf.DUMMYFUNCTION("""COMPUTED_VALUE"""),45945.66666666667)</f>
        <v>45945.66667</v>
      </c>
      <c r="U57" s="9">
        <f>IFERROR(__xludf.DUMMYFUNCTION("""COMPUTED_VALUE"""),207.68)</f>
        <v>207.68</v>
      </c>
      <c r="AC57" s="17"/>
    </row>
    <row r="58">
      <c r="B58" s="11">
        <f>IFERROR(__xludf.DUMMYFUNCTION("""COMPUTED_VALUE"""),45944.66666666667)</f>
        <v>45944.66667</v>
      </c>
      <c r="C58" s="9">
        <f>IFERROR(__xludf.DUMMYFUNCTION("""COMPUTED_VALUE"""),210.75)</f>
        <v>210.75</v>
      </c>
      <c r="K58" s="16">
        <f>IFERROR(__xludf.DUMMYFUNCTION("""COMPUTED_VALUE"""),45944.66666666667)</f>
        <v>45944.66667</v>
      </c>
      <c r="L58" s="9">
        <f>IFERROR(__xludf.DUMMYFUNCTION("""COMPUTED_VALUE"""),210.75)</f>
        <v>210.75</v>
      </c>
      <c r="T58" s="17">
        <f>IFERROR(__xludf.DUMMYFUNCTION("""COMPUTED_VALUE"""),45944.66666666667)</f>
        <v>45944.66667</v>
      </c>
      <c r="U58" s="9">
        <f>IFERROR(__xludf.DUMMYFUNCTION("""COMPUTED_VALUE"""),210.75)</f>
        <v>210.75</v>
      </c>
      <c r="AC58" s="17"/>
    </row>
    <row r="59">
      <c r="B59" s="11">
        <f>IFERROR(__xludf.DUMMYFUNCTION("""COMPUTED_VALUE"""),45943.66666666667)</f>
        <v>45943.66667</v>
      </c>
      <c r="C59" s="9">
        <f>IFERROR(__xludf.DUMMYFUNCTION("""COMPUTED_VALUE"""),209.12)</f>
        <v>209.12</v>
      </c>
      <c r="K59" s="16">
        <f>IFERROR(__xludf.DUMMYFUNCTION("""COMPUTED_VALUE"""),45943.66666666667)</f>
        <v>45943.66667</v>
      </c>
      <c r="L59" s="9">
        <f>IFERROR(__xludf.DUMMYFUNCTION("""COMPUTED_VALUE"""),209.12)</f>
        <v>209.12</v>
      </c>
      <c r="T59" s="17">
        <f>IFERROR(__xludf.DUMMYFUNCTION("""COMPUTED_VALUE"""),45943.66666666667)</f>
        <v>45943.66667</v>
      </c>
      <c r="U59" s="9">
        <f>IFERROR(__xludf.DUMMYFUNCTION("""COMPUTED_VALUE"""),209.12)</f>
        <v>209.12</v>
      </c>
      <c r="AC59" s="17"/>
    </row>
    <row r="60">
      <c r="B60" s="11">
        <f>IFERROR(__xludf.DUMMYFUNCTION("""COMPUTED_VALUE"""),45940.66666666667)</f>
        <v>45940.66667</v>
      </c>
      <c r="C60" s="9">
        <f>IFERROR(__xludf.DUMMYFUNCTION("""COMPUTED_VALUE"""),206.04)</f>
        <v>206.04</v>
      </c>
      <c r="K60" s="16">
        <f>IFERROR(__xludf.DUMMYFUNCTION("""COMPUTED_VALUE"""),45940.66666666667)</f>
        <v>45940.66667</v>
      </c>
      <c r="L60" s="9">
        <f>IFERROR(__xludf.DUMMYFUNCTION("""COMPUTED_VALUE"""),206.04)</f>
        <v>206.04</v>
      </c>
      <c r="T60" s="17">
        <f>IFERROR(__xludf.DUMMYFUNCTION("""COMPUTED_VALUE"""),45940.66666666667)</f>
        <v>45940.66667</v>
      </c>
      <c r="U60" s="9">
        <f>IFERROR(__xludf.DUMMYFUNCTION("""COMPUTED_VALUE"""),206.04)</f>
        <v>206.04</v>
      </c>
      <c r="AC60" s="17"/>
    </row>
    <row r="61">
      <c r="B61" s="11">
        <f>IFERROR(__xludf.DUMMYFUNCTION("""COMPUTED_VALUE"""),45939.66666666667)</f>
        <v>45939.66667</v>
      </c>
      <c r="C61" s="9">
        <f>IFERROR(__xludf.DUMMYFUNCTION("""COMPUTED_VALUE"""),211.24)</f>
        <v>211.24</v>
      </c>
      <c r="K61" s="16">
        <f>IFERROR(__xludf.DUMMYFUNCTION("""COMPUTED_VALUE"""),45939.66666666667)</f>
        <v>45939.66667</v>
      </c>
      <c r="L61" s="9">
        <f>IFERROR(__xludf.DUMMYFUNCTION("""COMPUTED_VALUE"""),211.24)</f>
        <v>211.24</v>
      </c>
      <c r="T61" s="17">
        <f>IFERROR(__xludf.DUMMYFUNCTION("""COMPUTED_VALUE"""),45939.66666666667)</f>
        <v>45939.66667</v>
      </c>
      <c r="U61" s="9">
        <f>IFERROR(__xludf.DUMMYFUNCTION("""COMPUTED_VALUE"""),211.24)</f>
        <v>211.24</v>
      </c>
      <c r="AC61" s="17"/>
    </row>
    <row r="62">
      <c r="B62" s="11">
        <f>IFERROR(__xludf.DUMMYFUNCTION("""COMPUTED_VALUE"""),45938.66666666667)</f>
        <v>45938.66667</v>
      </c>
      <c r="C62" s="9">
        <f>IFERROR(__xludf.DUMMYFUNCTION("""COMPUTED_VALUE"""),215.16)</f>
        <v>215.16</v>
      </c>
      <c r="K62" s="16">
        <f>IFERROR(__xludf.DUMMYFUNCTION("""COMPUTED_VALUE"""),45938.66666666667)</f>
        <v>45938.66667</v>
      </c>
      <c r="L62" s="9">
        <f>IFERROR(__xludf.DUMMYFUNCTION("""COMPUTED_VALUE"""),215.16)</f>
        <v>215.16</v>
      </c>
      <c r="T62" s="17">
        <f>IFERROR(__xludf.DUMMYFUNCTION("""COMPUTED_VALUE"""),45938.66666666667)</f>
        <v>45938.66667</v>
      </c>
      <c r="U62" s="9">
        <f>IFERROR(__xludf.DUMMYFUNCTION("""COMPUTED_VALUE"""),215.16)</f>
        <v>215.16</v>
      </c>
      <c r="AC62" s="17"/>
    </row>
    <row r="63">
      <c r="B63" s="11">
        <f>IFERROR(__xludf.DUMMYFUNCTION("""COMPUTED_VALUE"""),45937.66666666667)</f>
        <v>45937.66667</v>
      </c>
      <c r="C63" s="9">
        <f>IFERROR(__xludf.DUMMYFUNCTION("""COMPUTED_VALUE"""),212.96)</f>
        <v>212.96</v>
      </c>
      <c r="K63" s="16">
        <f>IFERROR(__xludf.DUMMYFUNCTION("""COMPUTED_VALUE"""),45937.66666666667)</f>
        <v>45937.66667</v>
      </c>
      <c r="L63" s="9">
        <f>IFERROR(__xludf.DUMMYFUNCTION("""COMPUTED_VALUE"""),212.96)</f>
        <v>212.96</v>
      </c>
      <c r="T63" s="17">
        <f>IFERROR(__xludf.DUMMYFUNCTION("""COMPUTED_VALUE"""),45937.66666666667)</f>
        <v>45937.66667</v>
      </c>
      <c r="U63" s="9">
        <f>IFERROR(__xludf.DUMMYFUNCTION("""COMPUTED_VALUE"""),212.96)</f>
        <v>212.96</v>
      </c>
      <c r="AC63" s="17"/>
    </row>
    <row r="64">
      <c r="B64" s="11">
        <f>IFERROR(__xludf.DUMMYFUNCTION("""COMPUTED_VALUE"""),45936.66666666667)</f>
        <v>45936.66667</v>
      </c>
      <c r="C64" s="9">
        <f>IFERROR(__xludf.DUMMYFUNCTION("""COMPUTED_VALUE"""),212.55)</f>
        <v>212.55</v>
      </c>
      <c r="K64" s="16">
        <f>IFERROR(__xludf.DUMMYFUNCTION("""COMPUTED_VALUE"""),45936.66666666667)</f>
        <v>45936.66667</v>
      </c>
      <c r="L64" s="9">
        <f>IFERROR(__xludf.DUMMYFUNCTION("""COMPUTED_VALUE"""),212.55)</f>
        <v>212.55</v>
      </c>
      <c r="T64" s="17">
        <f>IFERROR(__xludf.DUMMYFUNCTION("""COMPUTED_VALUE"""),45936.66666666667)</f>
        <v>45936.66667</v>
      </c>
      <c r="U64" s="9">
        <f>IFERROR(__xludf.DUMMYFUNCTION("""COMPUTED_VALUE"""),212.55)</f>
        <v>212.55</v>
      </c>
      <c r="AC64" s="17"/>
    </row>
    <row r="65">
      <c r="B65" s="11">
        <f>IFERROR(__xludf.DUMMYFUNCTION("""COMPUTED_VALUE"""),45933.66666666667)</f>
        <v>45933.66667</v>
      </c>
      <c r="C65" s="9">
        <f>IFERROR(__xludf.DUMMYFUNCTION("""COMPUTED_VALUE"""),209.55)</f>
        <v>209.55</v>
      </c>
      <c r="K65" s="16">
        <f>IFERROR(__xludf.DUMMYFUNCTION("""COMPUTED_VALUE"""),45933.66666666667)</f>
        <v>45933.66667</v>
      </c>
      <c r="L65" s="9">
        <f>IFERROR(__xludf.DUMMYFUNCTION("""COMPUTED_VALUE"""),209.55)</f>
        <v>209.55</v>
      </c>
      <c r="T65" s="17">
        <f>IFERROR(__xludf.DUMMYFUNCTION("""COMPUTED_VALUE"""),45933.66666666667)</f>
        <v>45933.66667</v>
      </c>
      <c r="U65" s="9">
        <f>IFERROR(__xludf.DUMMYFUNCTION("""COMPUTED_VALUE"""),209.55)</f>
        <v>209.55</v>
      </c>
      <c r="AC65" s="17"/>
    </row>
    <row r="66">
      <c r="B66" s="11">
        <f>IFERROR(__xludf.DUMMYFUNCTION("""COMPUTED_VALUE"""),45932.66666666667)</f>
        <v>45932.66667</v>
      </c>
      <c r="C66" s="9">
        <f>IFERROR(__xludf.DUMMYFUNCTION("""COMPUTED_VALUE"""),209.38)</f>
        <v>209.38</v>
      </c>
      <c r="K66" s="16">
        <f>IFERROR(__xludf.DUMMYFUNCTION("""COMPUTED_VALUE"""),45932.66666666667)</f>
        <v>45932.66667</v>
      </c>
      <c r="L66" s="9">
        <f>IFERROR(__xludf.DUMMYFUNCTION("""COMPUTED_VALUE"""),209.38)</f>
        <v>209.38</v>
      </c>
      <c r="T66" s="17">
        <f>IFERROR(__xludf.DUMMYFUNCTION("""COMPUTED_VALUE"""),45932.66666666667)</f>
        <v>45932.66667</v>
      </c>
      <c r="U66" s="9">
        <f>IFERROR(__xludf.DUMMYFUNCTION("""COMPUTED_VALUE"""),209.38)</f>
        <v>209.38</v>
      </c>
      <c r="AC66" s="17"/>
    </row>
    <row r="67">
      <c r="B67" s="11">
        <f>IFERROR(__xludf.DUMMYFUNCTION("""COMPUTED_VALUE"""),45931.66666666667)</f>
        <v>45931.66667</v>
      </c>
      <c r="C67" s="9">
        <f>IFERROR(__xludf.DUMMYFUNCTION("""COMPUTED_VALUE"""),209.25)</f>
        <v>209.25</v>
      </c>
      <c r="K67" s="16">
        <f>IFERROR(__xludf.DUMMYFUNCTION("""COMPUTED_VALUE"""),45931.66666666667)</f>
        <v>45931.66667</v>
      </c>
      <c r="L67" s="9">
        <f>IFERROR(__xludf.DUMMYFUNCTION("""COMPUTED_VALUE"""),209.25)</f>
        <v>209.25</v>
      </c>
      <c r="T67" s="17">
        <f>IFERROR(__xludf.DUMMYFUNCTION("""COMPUTED_VALUE"""),45931.66666666667)</f>
        <v>45931.66667</v>
      </c>
      <c r="U67" s="9">
        <f>IFERROR(__xludf.DUMMYFUNCTION("""COMPUTED_VALUE"""),209.25)</f>
        <v>209.25</v>
      </c>
      <c r="AC67" s="17"/>
    </row>
    <row r="68">
      <c r="B68" s="11">
        <f>IFERROR(__xludf.DUMMYFUNCTION("""COMPUTED_VALUE"""),45930.66666666667)</f>
        <v>45930.66667</v>
      </c>
      <c r="C68" s="9">
        <f>IFERROR(__xludf.DUMMYFUNCTION("""COMPUTED_VALUE"""),209.26)</f>
        <v>209.26</v>
      </c>
      <c r="K68" s="16">
        <f>IFERROR(__xludf.DUMMYFUNCTION("""COMPUTED_VALUE"""),45930.66666666667)</f>
        <v>45930.66667</v>
      </c>
      <c r="L68" s="9">
        <f>IFERROR(__xludf.DUMMYFUNCTION("""COMPUTED_VALUE"""),209.26)</f>
        <v>209.26</v>
      </c>
      <c r="T68" s="17">
        <f>IFERROR(__xludf.DUMMYFUNCTION("""COMPUTED_VALUE"""),45930.66666666667)</f>
        <v>45930.66667</v>
      </c>
      <c r="U68" s="9">
        <f>IFERROR(__xludf.DUMMYFUNCTION("""COMPUTED_VALUE"""),209.26)</f>
        <v>209.26</v>
      </c>
      <c r="AC68" s="17"/>
    </row>
    <row r="69">
      <c r="B69" s="11">
        <f>IFERROR(__xludf.DUMMYFUNCTION("""COMPUTED_VALUE"""),45929.66666666667)</f>
        <v>45929.66667</v>
      </c>
      <c r="C69" s="9">
        <f>IFERROR(__xludf.DUMMYFUNCTION("""COMPUTED_VALUE"""),205.44)</f>
        <v>205.44</v>
      </c>
      <c r="K69" s="16">
        <f>IFERROR(__xludf.DUMMYFUNCTION("""COMPUTED_VALUE"""),45929.66666666667)</f>
        <v>45929.66667</v>
      </c>
      <c r="L69" s="9">
        <f>IFERROR(__xludf.DUMMYFUNCTION("""COMPUTED_VALUE"""),205.44)</f>
        <v>205.44</v>
      </c>
      <c r="T69" s="17">
        <f>IFERROR(__xludf.DUMMYFUNCTION("""COMPUTED_VALUE"""),45929.66666666667)</f>
        <v>45929.66667</v>
      </c>
      <c r="U69" s="9">
        <f>IFERROR(__xludf.DUMMYFUNCTION("""COMPUTED_VALUE"""),205.44)</f>
        <v>205.44</v>
      </c>
      <c r="AC69" s="17"/>
    </row>
    <row r="70">
      <c r="B70" s="11">
        <f>IFERROR(__xludf.DUMMYFUNCTION("""COMPUTED_VALUE"""),45926.66666666667)</f>
        <v>45926.66667</v>
      </c>
      <c r="C70" s="9">
        <f>IFERROR(__xludf.DUMMYFUNCTION("""COMPUTED_VALUE"""),205.7)</f>
        <v>205.7</v>
      </c>
      <c r="K70" s="16">
        <f>IFERROR(__xludf.DUMMYFUNCTION("""COMPUTED_VALUE"""),45926.66666666667)</f>
        <v>45926.66667</v>
      </c>
      <c r="L70" s="9">
        <f>IFERROR(__xludf.DUMMYFUNCTION("""COMPUTED_VALUE"""),205.7)</f>
        <v>205.7</v>
      </c>
      <c r="T70" s="17">
        <f>IFERROR(__xludf.DUMMYFUNCTION("""COMPUTED_VALUE"""),45926.66666666667)</f>
        <v>45926.66667</v>
      </c>
      <c r="U70" s="9">
        <f>IFERROR(__xludf.DUMMYFUNCTION("""COMPUTED_VALUE"""),205.7)</f>
        <v>205.7</v>
      </c>
      <c r="AC70" s="17"/>
    </row>
    <row r="71">
      <c r="B71" s="11">
        <f>IFERROR(__xludf.DUMMYFUNCTION("""COMPUTED_VALUE"""),45925.66666666667)</f>
        <v>45925.66667</v>
      </c>
      <c r="C71" s="9">
        <f>IFERROR(__xludf.DUMMYFUNCTION("""COMPUTED_VALUE"""),203.11)</f>
        <v>203.11</v>
      </c>
      <c r="K71" s="16">
        <f>IFERROR(__xludf.DUMMYFUNCTION("""COMPUTED_VALUE"""),45925.66666666667)</f>
        <v>45925.66667</v>
      </c>
      <c r="L71" s="9">
        <f>IFERROR(__xludf.DUMMYFUNCTION("""COMPUTED_VALUE"""),203.11)</f>
        <v>203.11</v>
      </c>
      <c r="T71" s="17">
        <f>IFERROR(__xludf.DUMMYFUNCTION("""COMPUTED_VALUE"""),45925.66666666667)</f>
        <v>45925.66667</v>
      </c>
      <c r="U71" s="9">
        <f>IFERROR(__xludf.DUMMYFUNCTION("""COMPUTED_VALUE"""),203.11)</f>
        <v>203.11</v>
      </c>
      <c r="AC71" s="17"/>
    </row>
    <row r="72">
      <c r="B72" s="11">
        <f>IFERROR(__xludf.DUMMYFUNCTION("""COMPUTED_VALUE"""),45924.66666666667)</f>
        <v>45924.66667</v>
      </c>
      <c r="C72" s="9">
        <f>IFERROR(__xludf.DUMMYFUNCTION("""COMPUTED_VALUE"""),203.67)</f>
        <v>203.67</v>
      </c>
      <c r="K72" s="16">
        <f>IFERROR(__xludf.DUMMYFUNCTION("""COMPUTED_VALUE"""),45924.66666666667)</f>
        <v>45924.66667</v>
      </c>
      <c r="L72" s="9">
        <f>IFERROR(__xludf.DUMMYFUNCTION("""COMPUTED_VALUE"""),203.67)</f>
        <v>203.67</v>
      </c>
      <c r="T72" s="17">
        <f>IFERROR(__xludf.DUMMYFUNCTION("""COMPUTED_VALUE"""),45924.66666666667)</f>
        <v>45924.66667</v>
      </c>
      <c r="U72" s="9">
        <f>IFERROR(__xludf.DUMMYFUNCTION("""COMPUTED_VALUE"""),203.67)</f>
        <v>203.67</v>
      </c>
      <c r="AC72" s="17"/>
    </row>
    <row r="73">
      <c r="B73" s="11">
        <f>IFERROR(__xludf.DUMMYFUNCTION("""COMPUTED_VALUE"""),45923.66666666667)</f>
        <v>45923.66667</v>
      </c>
      <c r="C73" s="9">
        <f>IFERROR(__xludf.DUMMYFUNCTION("""COMPUTED_VALUE"""),206.16)</f>
        <v>206.16</v>
      </c>
      <c r="K73" s="16">
        <f>IFERROR(__xludf.DUMMYFUNCTION("""COMPUTED_VALUE"""),45923.66666666667)</f>
        <v>45923.66667</v>
      </c>
      <c r="L73" s="9">
        <f>IFERROR(__xludf.DUMMYFUNCTION("""COMPUTED_VALUE"""),206.16)</f>
        <v>206.16</v>
      </c>
      <c r="T73" s="17">
        <f>IFERROR(__xludf.DUMMYFUNCTION("""COMPUTED_VALUE"""),45923.66666666667)</f>
        <v>45923.66667</v>
      </c>
      <c r="U73" s="9">
        <f>IFERROR(__xludf.DUMMYFUNCTION("""COMPUTED_VALUE"""),206.16)</f>
        <v>206.16</v>
      </c>
      <c r="AC73" s="17"/>
    </row>
    <row r="74">
      <c r="B74" s="11">
        <f>IFERROR(__xludf.DUMMYFUNCTION("""COMPUTED_VALUE"""),45922.66666666667)</f>
        <v>45922.66667</v>
      </c>
      <c r="C74" s="9">
        <f>IFERROR(__xludf.DUMMYFUNCTION("""COMPUTED_VALUE"""),204.29)</f>
        <v>204.29</v>
      </c>
      <c r="K74" s="16">
        <f>IFERROR(__xludf.DUMMYFUNCTION("""COMPUTED_VALUE"""),45922.66666666667)</f>
        <v>45922.66667</v>
      </c>
      <c r="L74" s="9">
        <f>IFERROR(__xludf.DUMMYFUNCTION("""COMPUTED_VALUE"""),204.29)</f>
        <v>204.29</v>
      </c>
      <c r="T74" s="17">
        <f>IFERROR(__xludf.DUMMYFUNCTION("""COMPUTED_VALUE"""),45922.66666666667)</f>
        <v>45922.66667</v>
      </c>
      <c r="U74" s="9">
        <f>IFERROR(__xludf.DUMMYFUNCTION("""COMPUTED_VALUE"""),204.29)</f>
        <v>204.29</v>
      </c>
      <c r="AC74" s="17"/>
    </row>
    <row r="75">
      <c r="B75" s="11">
        <f>IFERROR(__xludf.DUMMYFUNCTION("""COMPUTED_VALUE"""),45919.66666666667)</f>
        <v>45919.66667</v>
      </c>
      <c r="C75" s="9">
        <f>IFERROR(__xludf.DUMMYFUNCTION("""COMPUTED_VALUE"""),203.4)</f>
        <v>203.4</v>
      </c>
      <c r="K75" s="16">
        <f>IFERROR(__xludf.DUMMYFUNCTION("""COMPUTED_VALUE"""),45919.66666666667)</f>
        <v>45919.66667</v>
      </c>
      <c r="L75" s="9">
        <f>IFERROR(__xludf.DUMMYFUNCTION("""COMPUTED_VALUE"""),203.4)</f>
        <v>203.4</v>
      </c>
      <c r="T75" s="17">
        <f>IFERROR(__xludf.DUMMYFUNCTION("""COMPUTED_VALUE"""),45919.66666666667)</f>
        <v>45919.66667</v>
      </c>
      <c r="U75" s="9">
        <f>IFERROR(__xludf.DUMMYFUNCTION("""COMPUTED_VALUE"""),203.4)</f>
        <v>203.4</v>
      </c>
      <c r="AC75" s="17"/>
    </row>
    <row r="76">
      <c r="B76" s="11">
        <f>IFERROR(__xludf.DUMMYFUNCTION("""COMPUTED_VALUE"""),45918.66666666667)</f>
        <v>45918.66667</v>
      </c>
      <c r="C76" s="9">
        <f>IFERROR(__xludf.DUMMYFUNCTION("""COMPUTED_VALUE"""),202.97)</f>
        <v>202.97</v>
      </c>
      <c r="K76" s="16">
        <f>IFERROR(__xludf.DUMMYFUNCTION("""COMPUTED_VALUE"""),45918.66666666667)</f>
        <v>45918.66667</v>
      </c>
      <c r="L76" s="9">
        <f>IFERROR(__xludf.DUMMYFUNCTION("""COMPUTED_VALUE"""),202.97)</f>
        <v>202.97</v>
      </c>
      <c r="T76" s="17">
        <f>IFERROR(__xludf.DUMMYFUNCTION("""COMPUTED_VALUE"""),45918.66666666667)</f>
        <v>45918.66667</v>
      </c>
      <c r="U76" s="9">
        <f>IFERROR(__xludf.DUMMYFUNCTION("""COMPUTED_VALUE"""),202.97)</f>
        <v>202.97</v>
      </c>
      <c r="AC76" s="17"/>
    </row>
    <row r="77">
      <c r="B77" s="11">
        <f>IFERROR(__xludf.DUMMYFUNCTION("""COMPUTED_VALUE"""),45917.66666666667)</f>
        <v>45917.66667</v>
      </c>
      <c r="C77" s="9">
        <f>IFERROR(__xludf.DUMMYFUNCTION("""COMPUTED_VALUE"""),200.52)</f>
        <v>200.52</v>
      </c>
      <c r="K77" s="16">
        <f>IFERROR(__xludf.DUMMYFUNCTION("""COMPUTED_VALUE"""),45917.66666666667)</f>
        <v>45917.66667</v>
      </c>
      <c r="L77" s="9">
        <f>IFERROR(__xludf.DUMMYFUNCTION("""COMPUTED_VALUE"""),200.52)</f>
        <v>200.52</v>
      </c>
      <c r="T77" s="17">
        <f>IFERROR(__xludf.DUMMYFUNCTION("""COMPUTED_VALUE"""),45917.66666666667)</f>
        <v>45917.66667</v>
      </c>
      <c r="U77" s="9">
        <f>IFERROR(__xludf.DUMMYFUNCTION("""COMPUTED_VALUE"""),200.52)</f>
        <v>200.52</v>
      </c>
      <c r="AC77" s="17"/>
    </row>
    <row r="78">
      <c r="B78" s="11">
        <f>IFERROR(__xludf.DUMMYFUNCTION("""COMPUTED_VALUE"""),45916.66666666667)</f>
        <v>45916.66667</v>
      </c>
      <c r="C78" s="9">
        <f>IFERROR(__xludf.DUMMYFUNCTION("""COMPUTED_VALUE"""),201.89)</f>
        <v>201.89</v>
      </c>
      <c r="K78" s="16">
        <f>IFERROR(__xludf.DUMMYFUNCTION("""COMPUTED_VALUE"""),45916.66666666667)</f>
        <v>45916.66667</v>
      </c>
      <c r="L78" s="9">
        <f>IFERROR(__xludf.DUMMYFUNCTION("""COMPUTED_VALUE"""),201.89)</f>
        <v>201.89</v>
      </c>
      <c r="T78" s="17">
        <f>IFERROR(__xludf.DUMMYFUNCTION("""COMPUTED_VALUE"""),45916.66666666667)</f>
        <v>45916.66667</v>
      </c>
      <c r="U78" s="9">
        <f>IFERROR(__xludf.DUMMYFUNCTION("""COMPUTED_VALUE"""),201.89)</f>
        <v>201.89</v>
      </c>
      <c r="AC78" s="17"/>
    </row>
    <row r="79">
      <c r="B79" s="11">
        <f>IFERROR(__xludf.DUMMYFUNCTION("""COMPUTED_VALUE"""),45915.66666666667)</f>
        <v>45915.66667</v>
      </c>
      <c r="C79" s="9">
        <f>IFERROR(__xludf.DUMMYFUNCTION("""COMPUTED_VALUE"""),201.82)</f>
        <v>201.82</v>
      </c>
      <c r="K79" s="16">
        <f>IFERROR(__xludf.DUMMYFUNCTION("""COMPUTED_VALUE"""),45915.66666666667)</f>
        <v>45915.66667</v>
      </c>
      <c r="L79" s="9">
        <f>IFERROR(__xludf.DUMMYFUNCTION("""COMPUTED_VALUE"""),201.82)</f>
        <v>201.82</v>
      </c>
      <c r="T79" s="17">
        <f>IFERROR(__xludf.DUMMYFUNCTION("""COMPUTED_VALUE"""),45915.66666666667)</f>
        <v>45915.66667</v>
      </c>
      <c r="U79" s="9">
        <f>IFERROR(__xludf.DUMMYFUNCTION("""COMPUTED_VALUE"""),201.82)</f>
        <v>201.82</v>
      </c>
      <c r="AC79" s="17"/>
    </row>
    <row r="80">
      <c r="B80" s="11">
        <f>IFERROR(__xludf.DUMMYFUNCTION("""COMPUTED_VALUE"""),45912.66666666667)</f>
        <v>45912.66667</v>
      </c>
      <c r="C80" s="9">
        <f>IFERROR(__xludf.DUMMYFUNCTION("""COMPUTED_VALUE"""),199.42)</f>
        <v>199.42</v>
      </c>
      <c r="K80" s="16">
        <f>IFERROR(__xludf.DUMMYFUNCTION("""COMPUTED_VALUE"""),45912.66666666667)</f>
        <v>45912.66667</v>
      </c>
      <c r="L80" s="9">
        <f>IFERROR(__xludf.DUMMYFUNCTION("""COMPUTED_VALUE"""),199.42)</f>
        <v>199.42</v>
      </c>
      <c r="T80" s="17">
        <f>IFERROR(__xludf.DUMMYFUNCTION("""COMPUTED_VALUE"""),45912.66666666667)</f>
        <v>45912.66667</v>
      </c>
      <c r="U80" s="9">
        <f>IFERROR(__xludf.DUMMYFUNCTION("""COMPUTED_VALUE"""),199.42)</f>
        <v>199.42</v>
      </c>
      <c r="AC80" s="17"/>
    </row>
    <row r="81">
      <c r="B81" s="11">
        <f>IFERROR(__xludf.DUMMYFUNCTION("""COMPUTED_VALUE"""),45911.66666666667)</f>
        <v>45911.66667</v>
      </c>
      <c r="C81" s="9">
        <f>IFERROR(__xludf.DUMMYFUNCTION("""COMPUTED_VALUE"""),200.07)</f>
        <v>200.07</v>
      </c>
      <c r="K81" s="16">
        <f>IFERROR(__xludf.DUMMYFUNCTION("""COMPUTED_VALUE"""),45911.66666666667)</f>
        <v>45911.66667</v>
      </c>
      <c r="L81" s="9">
        <f>IFERROR(__xludf.DUMMYFUNCTION("""COMPUTED_VALUE"""),200.07)</f>
        <v>200.07</v>
      </c>
      <c r="T81" s="17">
        <f>IFERROR(__xludf.DUMMYFUNCTION("""COMPUTED_VALUE"""),45911.66666666667)</f>
        <v>45911.66667</v>
      </c>
      <c r="U81" s="9">
        <f>IFERROR(__xludf.DUMMYFUNCTION("""COMPUTED_VALUE"""),200.07)</f>
        <v>200.07</v>
      </c>
      <c r="AC81" s="17"/>
    </row>
    <row r="82">
      <c r="B82" s="11">
        <f>IFERROR(__xludf.DUMMYFUNCTION("""COMPUTED_VALUE"""),45910.66666666667)</f>
        <v>45910.66667</v>
      </c>
      <c r="C82" s="9">
        <f>IFERROR(__xludf.DUMMYFUNCTION("""COMPUTED_VALUE"""),198.9)</f>
        <v>198.9</v>
      </c>
      <c r="K82" s="16">
        <f>IFERROR(__xludf.DUMMYFUNCTION("""COMPUTED_VALUE"""),45910.66666666667)</f>
        <v>45910.66667</v>
      </c>
      <c r="L82" s="9">
        <f>IFERROR(__xludf.DUMMYFUNCTION("""COMPUTED_VALUE"""),198.9)</f>
        <v>198.9</v>
      </c>
      <c r="T82" s="17">
        <f>IFERROR(__xludf.DUMMYFUNCTION("""COMPUTED_VALUE"""),45910.66666666667)</f>
        <v>45910.66667</v>
      </c>
      <c r="U82" s="9">
        <f>IFERROR(__xludf.DUMMYFUNCTION("""COMPUTED_VALUE"""),198.9)</f>
        <v>198.9</v>
      </c>
      <c r="AC82" s="17"/>
    </row>
    <row r="83">
      <c r="B83" s="11">
        <f>IFERROR(__xludf.DUMMYFUNCTION("""COMPUTED_VALUE"""),45909.66666666667)</f>
        <v>45909.66667</v>
      </c>
      <c r="C83" s="9">
        <f>IFERROR(__xludf.DUMMYFUNCTION("""COMPUTED_VALUE"""),196.23)</f>
        <v>196.23</v>
      </c>
      <c r="K83" s="16">
        <f>IFERROR(__xludf.DUMMYFUNCTION("""COMPUTED_VALUE"""),45909.66666666667)</f>
        <v>45909.66667</v>
      </c>
      <c r="L83" s="9">
        <f>IFERROR(__xludf.DUMMYFUNCTION("""COMPUTED_VALUE"""),196.23)</f>
        <v>196.23</v>
      </c>
      <c r="T83" s="17">
        <f>IFERROR(__xludf.DUMMYFUNCTION("""COMPUTED_VALUE"""),45909.66666666667)</f>
        <v>45909.66667</v>
      </c>
      <c r="U83" s="9">
        <f>IFERROR(__xludf.DUMMYFUNCTION("""COMPUTED_VALUE"""),196.23)</f>
        <v>196.23</v>
      </c>
      <c r="AC83" s="17"/>
    </row>
    <row r="84">
      <c r="B84" s="11">
        <f>IFERROR(__xludf.DUMMYFUNCTION("""COMPUTED_VALUE"""),45908.66666666667)</f>
        <v>45908.66667</v>
      </c>
      <c r="C84" s="9">
        <f>IFERROR(__xludf.DUMMYFUNCTION("""COMPUTED_VALUE"""),197.65)</f>
        <v>197.65</v>
      </c>
      <c r="K84" s="16">
        <f>IFERROR(__xludf.DUMMYFUNCTION("""COMPUTED_VALUE"""),45908.66666666667)</f>
        <v>45908.66667</v>
      </c>
      <c r="L84" s="9">
        <f>IFERROR(__xludf.DUMMYFUNCTION("""COMPUTED_VALUE"""),197.65)</f>
        <v>197.65</v>
      </c>
      <c r="T84" s="17">
        <f>IFERROR(__xludf.DUMMYFUNCTION("""COMPUTED_VALUE"""),45908.66666666667)</f>
        <v>45908.66667</v>
      </c>
      <c r="U84" s="9">
        <f>IFERROR(__xludf.DUMMYFUNCTION("""COMPUTED_VALUE"""),197.65)</f>
        <v>197.65</v>
      </c>
      <c r="AC84" s="17"/>
    </row>
    <row r="85">
      <c r="B85" s="11">
        <f>IFERROR(__xludf.DUMMYFUNCTION("""COMPUTED_VALUE"""),45905.66666666667)</f>
        <v>45905.66667</v>
      </c>
      <c r="C85" s="9">
        <f>IFERROR(__xludf.DUMMYFUNCTION("""COMPUTED_VALUE"""),198.13)</f>
        <v>198.13</v>
      </c>
      <c r="K85" s="16">
        <f>IFERROR(__xludf.DUMMYFUNCTION("""COMPUTED_VALUE"""),45905.66666666667)</f>
        <v>45905.66667</v>
      </c>
      <c r="L85" s="9">
        <f>IFERROR(__xludf.DUMMYFUNCTION("""COMPUTED_VALUE"""),198.13)</f>
        <v>198.13</v>
      </c>
      <c r="T85" s="17">
        <f>IFERROR(__xludf.DUMMYFUNCTION("""COMPUTED_VALUE"""),45905.66666666667)</f>
        <v>45905.66667</v>
      </c>
      <c r="U85" s="9">
        <f>IFERROR(__xludf.DUMMYFUNCTION("""COMPUTED_VALUE"""),198.13)</f>
        <v>198.13</v>
      </c>
      <c r="AC85" s="17"/>
    </row>
    <row r="86">
      <c r="B86" s="11">
        <f>IFERROR(__xludf.DUMMYFUNCTION("""COMPUTED_VALUE"""),45904.66666666667)</f>
        <v>45904.66667</v>
      </c>
      <c r="C86" s="9">
        <f>IFERROR(__xludf.DUMMYFUNCTION("""COMPUTED_VALUE"""),198.52)</f>
        <v>198.52</v>
      </c>
      <c r="K86" s="16">
        <f>IFERROR(__xludf.DUMMYFUNCTION("""COMPUTED_VALUE"""),45904.66666666667)</f>
        <v>45904.66667</v>
      </c>
      <c r="L86" s="9">
        <f>IFERROR(__xludf.DUMMYFUNCTION("""COMPUTED_VALUE"""),198.52)</f>
        <v>198.52</v>
      </c>
      <c r="T86" s="17">
        <f>IFERROR(__xludf.DUMMYFUNCTION("""COMPUTED_VALUE"""),45904.66666666667)</f>
        <v>45904.66667</v>
      </c>
      <c r="U86" s="9">
        <f>IFERROR(__xludf.DUMMYFUNCTION("""COMPUTED_VALUE"""),198.52)</f>
        <v>198.52</v>
      </c>
      <c r="AC86" s="17"/>
    </row>
    <row r="87">
      <c r="B87" s="11">
        <f>IFERROR(__xludf.DUMMYFUNCTION("""COMPUTED_VALUE"""),45903.66666666667)</f>
        <v>45903.66667</v>
      </c>
      <c r="C87" s="9">
        <f>IFERROR(__xludf.DUMMYFUNCTION("""COMPUTED_VALUE"""),196.94)</f>
        <v>196.94</v>
      </c>
      <c r="K87" s="16">
        <f>IFERROR(__xludf.DUMMYFUNCTION("""COMPUTED_VALUE"""),45903.66666666667)</f>
        <v>45903.66667</v>
      </c>
      <c r="L87" s="9">
        <f>IFERROR(__xludf.DUMMYFUNCTION("""COMPUTED_VALUE"""),196.94)</f>
        <v>196.94</v>
      </c>
      <c r="T87" s="17">
        <f>IFERROR(__xludf.DUMMYFUNCTION("""COMPUTED_VALUE"""),45903.66666666667)</f>
        <v>45903.66667</v>
      </c>
      <c r="U87" s="9">
        <f>IFERROR(__xludf.DUMMYFUNCTION("""COMPUTED_VALUE"""),196.94)</f>
        <v>196.94</v>
      </c>
      <c r="AC87" s="17"/>
    </row>
    <row r="88">
      <c r="B88" s="11">
        <f>IFERROR(__xludf.DUMMYFUNCTION("""COMPUTED_VALUE"""),45902.66666666667)</f>
        <v>45902.66667</v>
      </c>
      <c r="C88" s="9">
        <f>IFERROR(__xludf.DUMMYFUNCTION("""COMPUTED_VALUE"""),198.5)</f>
        <v>198.5</v>
      </c>
      <c r="K88" s="16">
        <f>IFERROR(__xludf.DUMMYFUNCTION("""COMPUTED_VALUE"""),45902.66666666667)</f>
        <v>45902.66667</v>
      </c>
      <c r="L88" s="9">
        <f>IFERROR(__xludf.DUMMYFUNCTION("""COMPUTED_VALUE"""),198.5)</f>
        <v>198.5</v>
      </c>
      <c r="T88" s="17">
        <f>IFERROR(__xludf.DUMMYFUNCTION("""COMPUTED_VALUE"""),45902.66666666667)</f>
        <v>45902.66667</v>
      </c>
      <c r="U88" s="9">
        <f>IFERROR(__xludf.DUMMYFUNCTION("""COMPUTED_VALUE"""),198.5)</f>
        <v>198.5</v>
      </c>
      <c r="AC88" s="17"/>
    </row>
    <row r="89">
      <c r="B89" s="11">
        <f>IFERROR(__xludf.DUMMYFUNCTION("""COMPUTED_VALUE"""),45898.66666666667)</f>
        <v>45898.66667</v>
      </c>
      <c r="C89" s="9">
        <f>IFERROR(__xludf.DUMMYFUNCTION("""COMPUTED_VALUE"""),198.42)</f>
        <v>198.42</v>
      </c>
      <c r="K89" s="16">
        <f>IFERROR(__xludf.DUMMYFUNCTION("""COMPUTED_VALUE"""),45898.66666666667)</f>
        <v>45898.66667</v>
      </c>
      <c r="L89" s="9">
        <f>IFERROR(__xludf.DUMMYFUNCTION("""COMPUTED_VALUE"""),198.42)</f>
        <v>198.42</v>
      </c>
      <c r="T89" s="17">
        <f>IFERROR(__xludf.DUMMYFUNCTION("""COMPUTED_VALUE"""),45898.66666666667)</f>
        <v>45898.66667</v>
      </c>
      <c r="U89" s="9">
        <f>IFERROR(__xludf.DUMMYFUNCTION("""COMPUTED_VALUE"""),198.42)</f>
        <v>198.42</v>
      </c>
      <c r="AC89" s="17"/>
    </row>
    <row r="90">
      <c r="B90" s="11">
        <f>IFERROR(__xludf.DUMMYFUNCTION("""COMPUTED_VALUE"""),45897.66666666667)</f>
        <v>45897.66667</v>
      </c>
      <c r="C90" s="9">
        <f>IFERROR(__xludf.DUMMYFUNCTION("""COMPUTED_VALUE"""),200.16)</f>
        <v>200.16</v>
      </c>
      <c r="K90" s="16">
        <f>IFERROR(__xludf.DUMMYFUNCTION("""COMPUTED_VALUE"""),45897.66666666667)</f>
        <v>45897.66667</v>
      </c>
      <c r="L90" s="9">
        <f>IFERROR(__xludf.DUMMYFUNCTION("""COMPUTED_VALUE"""),200.16)</f>
        <v>200.16</v>
      </c>
      <c r="T90" s="17">
        <f>IFERROR(__xludf.DUMMYFUNCTION("""COMPUTED_VALUE"""),45897.66666666667)</f>
        <v>45897.66667</v>
      </c>
      <c r="U90" s="9">
        <f>IFERROR(__xludf.DUMMYFUNCTION("""COMPUTED_VALUE"""),200.16)</f>
        <v>200.16</v>
      </c>
      <c r="AC90" s="17"/>
    </row>
    <row r="91">
      <c r="B91" s="11">
        <f>IFERROR(__xludf.DUMMYFUNCTION("""COMPUTED_VALUE"""),45891.66666666667)</f>
        <v>45891.66667</v>
      </c>
      <c r="C91" s="9">
        <f>IFERROR(__xludf.DUMMYFUNCTION("""COMPUTED_VALUE"""),195.81)</f>
        <v>195.81</v>
      </c>
      <c r="K91" s="16">
        <f>IFERROR(__xludf.DUMMYFUNCTION("""COMPUTED_VALUE"""),45891.66666666667)</f>
        <v>45891.66667</v>
      </c>
      <c r="L91" s="9">
        <f>IFERROR(__xludf.DUMMYFUNCTION("""COMPUTED_VALUE"""),195.81)</f>
        <v>195.81</v>
      </c>
      <c r="T91" s="17">
        <f>IFERROR(__xludf.DUMMYFUNCTION("""COMPUTED_VALUE"""),45891.66666666667)</f>
        <v>45891.66667</v>
      </c>
      <c r="U91" s="9">
        <f>IFERROR(__xludf.DUMMYFUNCTION("""COMPUTED_VALUE"""),195.81)</f>
        <v>195.81</v>
      </c>
      <c r="AC91" s="17"/>
    </row>
    <row r="92">
      <c r="B92" s="11">
        <f>IFERROR(__xludf.DUMMYFUNCTION("""COMPUTED_VALUE"""),45890.66666666667)</f>
        <v>45890.66667</v>
      </c>
      <c r="C92" s="9">
        <f>IFERROR(__xludf.DUMMYFUNCTION("""COMPUTED_VALUE"""),194.96)</f>
        <v>194.96</v>
      </c>
      <c r="K92" s="16">
        <f>IFERROR(__xludf.DUMMYFUNCTION("""COMPUTED_VALUE"""),45890.66666666667)</f>
        <v>45890.66667</v>
      </c>
      <c r="L92" s="9">
        <f>IFERROR(__xludf.DUMMYFUNCTION("""COMPUTED_VALUE"""),194.96)</f>
        <v>194.96</v>
      </c>
      <c r="T92" s="17">
        <f>IFERROR(__xludf.DUMMYFUNCTION("""COMPUTED_VALUE"""),45890.66666666667)</f>
        <v>45890.66667</v>
      </c>
      <c r="U92" s="9">
        <f>IFERROR(__xludf.DUMMYFUNCTION("""COMPUTED_VALUE"""),194.96)</f>
        <v>194.96</v>
      </c>
      <c r="AC92" s="17"/>
    </row>
    <row r="93">
      <c r="B93" s="11">
        <f>IFERROR(__xludf.DUMMYFUNCTION("""COMPUTED_VALUE"""),45889.66666666667)</f>
        <v>45889.66667</v>
      </c>
      <c r="C93" s="9">
        <f>IFERROR(__xludf.DUMMYFUNCTION("""COMPUTED_VALUE"""),194.31)</f>
        <v>194.31</v>
      </c>
      <c r="K93" s="16">
        <f>IFERROR(__xludf.DUMMYFUNCTION("""COMPUTED_VALUE"""),45889.66666666667)</f>
        <v>45889.66667</v>
      </c>
      <c r="L93" s="9">
        <f>IFERROR(__xludf.DUMMYFUNCTION("""COMPUTED_VALUE"""),194.31)</f>
        <v>194.31</v>
      </c>
      <c r="T93" s="17">
        <f>IFERROR(__xludf.DUMMYFUNCTION("""COMPUTED_VALUE"""),45889.66666666667)</f>
        <v>45889.66667</v>
      </c>
      <c r="U93" s="9">
        <f>IFERROR(__xludf.DUMMYFUNCTION("""COMPUTED_VALUE"""),194.31)</f>
        <v>194.31</v>
      </c>
      <c r="AC93" s="17"/>
    </row>
    <row r="94">
      <c r="B94" s="11">
        <f>IFERROR(__xludf.DUMMYFUNCTION("""COMPUTED_VALUE"""),45888.66666666667)</f>
        <v>45888.66667</v>
      </c>
      <c r="C94" s="9">
        <f>IFERROR(__xludf.DUMMYFUNCTION("""COMPUTED_VALUE"""),193.24)</f>
        <v>193.24</v>
      </c>
      <c r="K94" s="16">
        <f>IFERROR(__xludf.DUMMYFUNCTION("""COMPUTED_VALUE"""),45888.66666666667)</f>
        <v>45888.66667</v>
      </c>
      <c r="L94" s="9">
        <f>IFERROR(__xludf.DUMMYFUNCTION("""COMPUTED_VALUE"""),193.24)</f>
        <v>193.24</v>
      </c>
      <c r="T94" s="17">
        <f>IFERROR(__xludf.DUMMYFUNCTION("""COMPUTED_VALUE"""),45888.66666666667)</f>
        <v>45888.66667</v>
      </c>
      <c r="U94" s="9">
        <f>IFERROR(__xludf.DUMMYFUNCTION("""COMPUTED_VALUE"""),193.24)</f>
        <v>193.24</v>
      </c>
      <c r="AC94" s="17"/>
    </row>
    <row r="95">
      <c r="B95" s="11">
        <f>IFERROR(__xludf.DUMMYFUNCTION("""COMPUTED_VALUE"""),45887.66666666667)</f>
        <v>45887.66667</v>
      </c>
      <c r="C95" s="9">
        <f>IFERROR(__xludf.DUMMYFUNCTION("""COMPUTED_VALUE"""),195.93)</f>
        <v>195.93</v>
      </c>
      <c r="K95" s="16">
        <f>IFERROR(__xludf.DUMMYFUNCTION("""COMPUTED_VALUE"""),45887.66666666667)</f>
        <v>45887.66667</v>
      </c>
      <c r="L95" s="9">
        <f>IFERROR(__xludf.DUMMYFUNCTION("""COMPUTED_VALUE"""),195.93)</f>
        <v>195.93</v>
      </c>
      <c r="T95" s="17">
        <f>IFERROR(__xludf.DUMMYFUNCTION("""COMPUTED_VALUE"""),45887.66666666667)</f>
        <v>45887.66667</v>
      </c>
      <c r="U95" s="9">
        <f>IFERROR(__xludf.DUMMYFUNCTION("""COMPUTED_VALUE"""),195.93)</f>
        <v>195.93</v>
      </c>
      <c r="AC95" s="17"/>
    </row>
    <row r="96">
      <c r="B96" s="11">
        <f>IFERROR(__xludf.DUMMYFUNCTION("""COMPUTED_VALUE"""),45884.66666666667)</f>
        <v>45884.66667</v>
      </c>
      <c r="C96" s="9">
        <f>IFERROR(__xludf.DUMMYFUNCTION("""COMPUTED_VALUE"""),195.08)</f>
        <v>195.08</v>
      </c>
      <c r="K96" s="16">
        <f>IFERROR(__xludf.DUMMYFUNCTION("""COMPUTED_VALUE"""),45884.66666666667)</f>
        <v>45884.66667</v>
      </c>
      <c r="L96" s="9">
        <f>IFERROR(__xludf.DUMMYFUNCTION("""COMPUTED_VALUE"""),195.08)</f>
        <v>195.08</v>
      </c>
      <c r="T96" s="17">
        <f>IFERROR(__xludf.DUMMYFUNCTION("""COMPUTED_VALUE"""),45884.66666666667)</f>
        <v>45884.66667</v>
      </c>
      <c r="U96" s="9">
        <f>IFERROR(__xludf.DUMMYFUNCTION("""COMPUTED_VALUE"""),195.08)</f>
        <v>195.08</v>
      </c>
      <c r="AC96" s="17"/>
    </row>
    <row r="97">
      <c r="B97" s="11">
        <f>IFERROR(__xludf.DUMMYFUNCTION("""COMPUTED_VALUE"""),45883.66666666667)</f>
        <v>45883.66667</v>
      </c>
      <c r="C97" s="9">
        <f>IFERROR(__xludf.DUMMYFUNCTION("""COMPUTED_VALUE"""),195.99)</f>
        <v>195.99</v>
      </c>
      <c r="K97" s="16">
        <f>IFERROR(__xludf.DUMMYFUNCTION("""COMPUTED_VALUE"""),45883.66666666667)</f>
        <v>45883.66667</v>
      </c>
      <c r="L97" s="9">
        <f>IFERROR(__xludf.DUMMYFUNCTION("""COMPUTED_VALUE"""),195.99)</f>
        <v>195.99</v>
      </c>
      <c r="T97" s="17">
        <f>IFERROR(__xludf.DUMMYFUNCTION("""COMPUTED_VALUE"""),45883.66666666667)</f>
        <v>45883.66667</v>
      </c>
      <c r="U97" s="9">
        <f>IFERROR(__xludf.DUMMYFUNCTION("""COMPUTED_VALUE"""),195.99)</f>
        <v>195.99</v>
      </c>
      <c r="AC97" s="17"/>
    </row>
    <row r="98">
      <c r="B98" s="11">
        <f>IFERROR(__xludf.DUMMYFUNCTION("""COMPUTED_VALUE"""),45882.66666666667)</f>
        <v>45882.66667</v>
      </c>
      <c r="C98" s="9">
        <f>IFERROR(__xludf.DUMMYFUNCTION("""COMPUTED_VALUE"""),196.81)</f>
        <v>196.81</v>
      </c>
      <c r="K98" s="16">
        <f>IFERROR(__xludf.DUMMYFUNCTION("""COMPUTED_VALUE"""),45882.66666666667)</f>
        <v>45882.66667</v>
      </c>
      <c r="L98" s="9">
        <f>IFERROR(__xludf.DUMMYFUNCTION("""COMPUTED_VALUE"""),196.81)</f>
        <v>196.81</v>
      </c>
      <c r="T98" s="17">
        <f>IFERROR(__xludf.DUMMYFUNCTION("""COMPUTED_VALUE"""),45882.66666666667)</f>
        <v>45882.66667</v>
      </c>
      <c r="U98" s="9">
        <f>IFERROR(__xludf.DUMMYFUNCTION("""COMPUTED_VALUE"""),196.81)</f>
        <v>196.81</v>
      </c>
      <c r="AC98" s="17"/>
    </row>
    <row r="99">
      <c r="B99" s="11">
        <f>IFERROR(__xludf.DUMMYFUNCTION("""COMPUTED_VALUE"""),45881.66666666667)</f>
        <v>45881.66667</v>
      </c>
      <c r="C99" s="9">
        <f>IFERROR(__xludf.DUMMYFUNCTION("""COMPUTED_VALUE"""),198.24)</f>
        <v>198.24</v>
      </c>
      <c r="K99" s="16">
        <f>IFERROR(__xludf.DUMMYFUNCTION("""COMPUTED_VALUE"""),45881.66666666667)</f>
        <v>45881.66667</v>
      </c>
      <c r="L99" s="9">
        <f>IFERROR(__xludf.DUMMYFUNCTION("""COMPUTED_VALUE"""),198.24)</f>
        <v>198.24</v>
      </c>
      <c r="T99" s="17">
        <f>IFERROR(__xludf.DUMMYFUNCTION("""COMPUTED_VALUE"""),45881.66666666667)</f>
        <v>45881.66667</v>
      </c>
      <c r="U99" s="9">
        <f>IFERROR(__xludf.DUMMYFUNCTION("""COMPUTED_VALUE"""),198.24)</f>
        <v>198.24</v>
      </c>
      <c r="AC99" s="17"/>
    </row>
    <row r="100">
      <c r="B100" s="11">
        <f>IFERROR(__xludf.DUMMYFUNCTION("""COMPUTED_VALUE"""),45880.66666666667)</f>
        <v>45880.66667</v>
      </c>
      <c r="C100" s="9">
        <f>IFERROR(__xludf.DUMMYFUNCTION("""COMPUTED_VALUE"""),196.26)</f>
        <v>196.26</v>
      </c>
      <c r="K100" s="16">
        <f>IFERROR(__xludf.DUMMYFUNCTION("""COMPUTED_VALUE"""),45880.66666666667)</f>
        <v>45880.66667</v>
      </c>
      <c r="L100" s="9">
        <f>IFERROR(__xludf.DUMMYFUNCTION("""COMPUTED_VALUE"""),196.26)</f>
        <v>196.26</v>
      </c>
      <c r="T100" s="17">
        <f>IFERROR(__xludf.DUMMYFUNCTION("""COMPUTED_VALUE"""),45880.66666666667)</f>
        <v>45880.66667</v>
      </c>
      <c r="U100" s="9">
        <f>IFERROR(__xludf.DUMMYFUNCTION("""COMPUTED_VALUE"""),196.26)</f>
        <v>196.26</v>
      </c>
      <c r="AC100" s="17"/>
    </row>
    <row r="101">
      <c r="B101" s="11">
        <f>IFERROR(__xludf.DUMMYFUNCTION("""COMPUTED_VALUE"""),45877.66666666667)</f>
        <v>45877.66667</v>
      </c>
      <c r="C101" s="9">
        <f>IFERROR(__xludf.DUMMYFUNCTION("""COMPUTED_VALUE"""),196.45)</f>
        <v>196.45</v>
      </c>
      <c r="K101" s="16">
        <f>IFERROR(__xludf.DUMMYFUNCTION("""COMPUTED_VALUE"""),45877.66666666667)</f>
        <v>45877.66667</v>
      </c>
      <c r="L101" s="9">
        <f>IFERROR(__xludf.DUMMYFUNCTION("""COMPUTED_VALUE"""),196.45)</f>
        <v>196.45</v>
      </c>
      <c r="T101" s="17">
        <f>IFERROR(__xludf.DUMMYFUNCTION("""COMPUTED_VALUE"""),45877.66666666667)</f>
        <v>45877.66667</v>
      </c>
      <c r="U101" s="9">
        <f>IFERROR(__xludf.DUMMYFUNCTION("""COMPUTED_VALUE"""),196.45)</f>
        <v>196.45</v>
      </c>
      <c r="AC101" s="17"/>
    </row>
    <row r="102">
      <c r="B102" s="11">
        <f>IFERROR(__xludf.DUMMYFUNCTION("""COMPUTED_VALUE"""),45876.66666666667)</f>
        <v>45876.66667</v>
      </c>
      <c r="C102" s="9">
        <f>IFERROR(__xludf.DUMMYFUNCTION("""COMPUTED_VALUE"""),196.96)</f>
        <v>196.96</v>
      </c>
      <c r="K102" s="16">
        <f>IFERROR(__xludf.DUMMYFUNCTION("""COMPUTED_VALUE"""),45876.66666666667)</f>
        <v>45876.66667</v>
      </c>
      <c r="L102" s="9">
        <f>IFERROR(__xludf.DUMMYFUNCTION("""COMPUTED_VALUE"""),196.96)</f>
        <v>196.96</v>
      </c>
      <c r="T102" s="17">
        <f>IFERROR(__xludf.DUMMYFUNCTION("""COMPUTED_VALUE"""),45876.66666666667)</f>
        <v>45876.66667</v>
      </c>
      <c r="U102" s="9">
        <f>IFERROR(__xludf.DUMMYFUNCTION("""COMPUTED_VALUE"""),196.96)</f>
        <v>196.96</v>
      </c>
      <c r="AC102" s="17"/>
    </row>
    <row r="103">
      <c r="B103" s="11">
        <f>IFERROR(__xludf.DUMMYFUNCTION("""COMPUTED_VALUE"""),45875.66666666667)</f>
        <v>45875.66667</v>
      </c>
      <c r="C103" s="9">
        <f>IFERROR(__xludf.DUMMYFUNCTION("""COMPUTED_VALUE"""),197.41)</f>
        <v>197.41</v>
      </c>
      <c r="K103" s="16">
        <f>IFERROR(__xludf.DUMMYFUNCTION("""COMPUTED_VALUE"""),45875.66666666667)</f>
        <v>45875.66667</v>
      </c>
      <c r="L103" s="9">
        <f>IFERROR(__xludf.DUMMYFUNCTION("""COMPUTED_VALUE"""),197.41)</f>
        <v>197.41</v>
      </c>
      <c r="T103" s="17">
        <f>IFERROR(__xludf.DUMMYFUNCTION("""COMPUTED_VALUE"""),45875.66666666667)</f>
        <v>45875.66667</v>
      </c>
      <c r="U103" s="9">
        <f>IFERROR(__xludf.DUMMYFUNCTION("""COMPUTED_VALUE"""),197.41)</f>
        <v>197.41</v>
      </c>
      <c r="AC103" s="17"/>
    </row>
    <row r="104">
      <c r="B104" s="11">
        <f>IFERROR(__xludf.DUMMYFUNCTION("""COMPUTED_VALUE"""),45874.66666666667)</f>
        <v>45874.66667</v>
      </c>
      <c r="C104" s="9">
        <f>IFERROR(__xludf.DUMMYFUNCTION("""COMPUTED_VALUE"""),197.54)</f>
        <v>197.54</v>
      </c>
      <c r="K104" s="16">
        <f>IFERROR(__xludf.DUMMYFUNCTION("""COMPUTED_VALUE"""),45874.66666666667)</f>
        <v>45874.66667</v>
      </c>
      <c r="L104" s="9">
        <f>IFERROR(__xludf.DUMMYFUNCTION("""COMPUTED_VALUE"""),197.54)</f>
        <v>197.54</v>
      </c>
      <c r="T104" s="17">
        <f>IFERROR(__xludf.DUMMYFUNCTION("""COMPUTED_VALUE"""),45874.66666666667)</f>
        <v>45874.66667</v>
      </c>
      <c r="U104" s="9">
        <f>IFERROR(__xludf.DUMMYFUNCTION("""COMPUTED_VALUE"""),197.54)</f>
        <v>197.54</v>
      </c>
      <c r="AC104" s="17"/>
    </row>
    <row r="105">
      <c r="B105" s="11">
        <f>IFERROR(__xludf.DUMMYFUNCTION("""COMPUTED_VALUE"""),45873.66666666667)</f>
        <v>45873.66667</v>
      </c>
      <c r="C105" s="9">
        <f>IFERROR(__xludf.DUMMYFUNCTION("""COMPUTED_VALUE"""),197.91)</f>
        <v>197.91</v>
      </c>
      <c r="K105" s="16">
        <f>IFERROR(__xludf.DUMMYFUNCTION("""COMPUTED_VALUE"""),45873.66666666667)</f>
        <v>45873.66667</v>
      </c>
      <c r="L105" s="9">
        <f>IFERROR(__xludf.DUMMYFUNCTION("""COMPUTED_VALUE"""),197.91)</f>
        <v>197.91</v>
      </c>
      <c r="T105" s="17">
        <f>IFERROR(__xludf.DUMMYFUNCTION("""COMPUTED_VALUE"""),45873.66666666667)</f>
        <v>45873.66667</v>
      </c>
      <c r="U105" s="9">
        <f>IFERROR(__xludf.DUMMYFUNCTION("""COMPUTED_VALUE"""),197.91)</f>
        <v>197.91</v>
      </c>
      <c r="AC105" s="17"/>
    </row>
    <row r="106">
      <c r="B106" s="11">
        <f>IFERROR(__xludf.DUMMYFUNCTION("""COMPUTED_VALUE"""),45870.66666666667)</f>
        <v>45870.66667</v>
      </c>
      <c r="C106" s="9">
        <f>IFERROR(__xludf.DUMMYFUNCTION("""COMPUTED_VALUE"""),195.78)</f>
        <v>195.78</v>
      </c>
      <c r="K106" s="16">
        <f>IFERROR(__xludf.DUMMYFUNCTION("""COMPUTED_VALUE"""),45870.66666666667)</f>
        <v>45870.66667</v>
      </c>
      <c r="L106" s="9">
        <f>IFERROR(__xludf.DUMMYFUNCTION("""COMPUTED_VALUE"""),195.78)</f>
        <v>195.78</v>
      </c>
      <c r="T106" s="17">
        <f>IFERROR(__xludf.DUMMYFUNCTION("""COMPUTED_VALUE"""),45870.66666666667)</f>
        <v>45870.66667</v>
      </c>
      <c r="U106" s="9">
        <f>IFERROR(__xludf.DUMMYFUNCTION("""COMPUTED_VALUE"""),195.78)</f>
        <v>195.78</v>
      </c>
      <c r="AC106" s="17"/>
    </row>
    <row r="107">
      <c r="B107" s="11">
        <f>IFERROR(__xludf.DUMMYFUNCTION("""COMPUTED_VALUE"""),45869.66666666667)</f>
        <v>45869.66667</v>
      </c>
      <c r="C107" s="9">
        <f>IFERROR(__xludf.DUMMYFUNCTION("""COMPUTED_VALUE"""),196.6)</f>
        <v>196.6</v>
      </c>
      <c r="K107" s="16">
        <f>IFERROR(__xludf.DUMMYFUNCTION("""COMPUTED_VALUE"""),45869.66666666667)</f>
        <v>45869.66667</v>
      </c>
      <c r="L107" s="9">
        <f>IFERROR(__xludf.DUMMYFUNCTION("""COMPUTED_VALUE"""),196.6)</f>
        <v>196.6</v>
      </c>
      <c r="T107" s="17">
        <f>IFERROR(__xludf.DUMMYFUNCTION("""COMPUTED_VALUE"""),45869.66666666667)</f>
        <v>45869.66667</v>
      </c>
      <c r="U107" s="9">
        <f>IFERROR(__xludf.DUMMYFUNCTION("""COMPUTED_VALUE"""),196.6)</f>
        <v>196.6</v>
      </c>
      <c r="AC107" s="17"/>
    </row>
    <row r="108">
      <c r="B108" s="11">
        <f>IFERROR(__xludf.DUMMYFUNCTION("""COMPUTED_VALUE"""),45868.66666666667)</f>
        <v>45868.66667</v>
      </c>
      <c r="C108" s="9">
        <f>IFERROR(__xludf.DUMMYFUNCTION("""COMPUTED_VALUE"""),198.64)</f>
        <v>198.64</v>
      </c>
      <c r="K108" s="16">
        <f>IFERROR(__xludf.DUMMYFUNCTION("""COMPUTED_VALUE"""),45868.66666666667)</f>
        <v>45868.66667</v>
      </c>
      <c r="L108" s="9">
        <f>IFERROR(__xludf.DUMMYFUNCTION("""COMPUTED_VALUE"""),198.64)</f>
        <v>198.64</v>
      </c>
      <c r="T108" s="17">
        <f>IFERROR(__xludf.DUMMYFUNCTION("""COMPUTED_VALUE"""),45868.66666666667)</f>
        <v>45868.66667</v>
      </c>
      <c r="U108" s="9">
        <f>IFERROR(__xludf.DUMMYFUNCTION("""COMPUTED_VALUE"""),198.64)</f>
        <v>198.64</v>
      </c>
      <c r="AC108" s="17"/>
    </row>
    <row r="109">
      <c r="B109" s="11">
        <f>IFERROR(__xludf.DUMMYFUNCTION("""COMPUTED_VALUE"""),45867.66666666667)</f>
        <v>45867.66667</v>
      </c>
      <c r="C109" s="9">
        <f>IFERROR(__xludf.DUMMYFUNCTION("""COMPUTED_VALUE"""),197.23)</f>
        <v>197.23</v>
      </c>
      <c r="K109" s="16">
        <f>IFERROR(__xludf.DUMMYFUNCTION("""COMPUTED_VALUE"""),45867.66666666667)</f>
        <v>45867.66667</v>
      </c>
      <c r="L109" s="9">
        <f>IFERROR(__xludf.DUMMYFUNCTION("""COMPUTED_VALUE"""),197.23)</f>
        <v>197.23</v>
      </c>
      <c r="T109" s="17">
        <f>IFERROR(__xludf.DUMMYFUNCTION("""COMPUTED_VALUE"""),45867.66666666667)</f>
        <v>45867.66667</v>
      </c>
      <c r="U109" s="9">
        <f>IFERROR(__xludf.DUMMYFUNCTION("""COMPUTED_VALUE"""),197.23)</f>
        <v>197.23</v>
      </c>
      <c r="AC109" s="17"/>
    </row>
    <row r="110">
      <c r="B110" s="11">
        <f>IFERROR(__xludf.DUMMYFUNCTION("""COMPUTED_VALUE"""),45866.66666666667)</f>
        <v>45866.66667</v>
      </c>
      <c r="C110" s="9">
        <f>IFERROR(__xludf.DUMMYFUNCTION("""COMPUTED_VALUE"""),198.05)</f>
        <v>198.05</v>
      </c>
      <c r="K110" s="16">
        <f>IFERROR(__xludf.DUMMYFUNCTION("""COMPUTED_VALUE"""),45866.66666666667)</f>
        <v>45866.66667</v>
      </c>
      <c r="L110" s="9">
        <f>IFERROR(__xludf.DUMMYFUNCTION("""COMPUTED_VALUE"""),198.05)</f>
        <v>198.05</v>
      </c>
      <c r="T110" s="17">
        <f>IFERROR(__xludf.DUMMYFUNCTION("""COMPUTED_VALUE"""),45866.66666666667)</f>
        <v>45866.66667</v>
      </c>
      <c r="U110" s="9">
        <f>IFERROR(__xludf.DUMMYFUNCTION("""COMPUTED_VALUE"""),198.05)</f>
        <v>198.05</v>
      </c>
      <c r="AC110" s="17"/>
    </row>
    <row r="111">
      <c r="B111" s="11">
        <f>IFERROR(__xludf.DUMMYFUNCTION("""COMPUTED_VALUE"""),45863.66666666667)</f>
        <v>45863.66667</v>
      </c>
      <c r="C111" s="9">
        <f>IFERROR(__xludf.DUMMYFUNCTION("""COMPUTED_VALUE"""),198.27)</f>
        <v>198.27</v>
      </c>
      <c r="K111" s="16">
        <f>IFERROR(__xludf.DUMMYFUNCTION("""COMPUTED_VALUE"""),45863.66666666667)</f>
        <v>45863.66667</v>
      </c>
      <c r="L111" s="9">
        <f>IFERROR(__xludf.DUMMYFUNCTION("""COMPUTED_VALUE"""),198.27)</f>
        <v>198.27</v>
      </c>
      <c r="T111" s="17">
        <f>IFERROR(__xludf.DUMMYFUNCTION("""COMPUTED_VALUE"""),45863.66666666667)</f>
        <v>45863.66667</v>
      </c>
      <c r="U111" s="9">
        <f>IFERROR(__xludf.DUMMYFUNCTION("""COMPUTED_VALUE"""),198.27)</f>
        <v>198.27</v>
      </c>
      <c r="AC111" s="17"/>
    </row>
    <row r="112">
      <c r="B112" s="11">
        <f>IFERROR(__xludf.DUMMYFUNCTION("""COMPUTED_VALUE"""),45862.66666666667)</f>
        <v>45862.66667</v>
      </c>
      <c r="C112" s="9">
        <f>IFERROR(__xludf.DUMMYFUNCTION("""COMPUTED_VALUE"""),196.84)</f>
        <v>196.84</v>
      </c>
      <c r="K112" s="16">
        <f>IFERROR(__xludf.DUMMYFUNCTION("""COMPUTED_VALUE"""),45862.66666666667)</f>
        <v>45862.66667</v>
      </c>
      <c r="L112" s="9">
        <f>IFERROR(__xludf.DUMMYFUNCTION("""COMPUTED_VALUE"""),196.84)</f>
        <v>196.84</v>
      </c>
      <c r="T112" s="17">
        <f>IFERROR(__xludf.DUMMYFUNCTION("""COMPUTED_VALUE"""),45862.66666666667)</f>
        <v>45862.66667</v>
      </c>
      <c r="U112" s="9">
        <f>IFERROR(__xludf.DUMMYFUNCTION("""COMPUTED_VALUE"""),196.84)</f>
        <v>196.84</v>
      </c>
      <c r="AC112" s="17"/>
    </row>
    <row r="113">
      <c r="B113" s="11">
        <f>IFERROR(__xludf.DUMMYFUNCTION("""COMPUTED_VALUE"""),45861.66666666667)</f>
        <v>45861.66667</v>
      </c>
      <c r="C113" s="9">
        <f>IFERROR(__xludf.DUMMYFUNCTION("""COMPUTED_VALUE"""),196.89)</f>
        <v>196.89</v>
      </c>
      <c r="K113" s="16">
        <f>IFERROR(__xludf.DUMMYFUNCTION("""COMPUTED_VALUE"""),45861.66666666667)</f>
        <v>45861.66667</v>
      </c>
      <c r="L113" s="9">
        <f>IFERROR(__xludf.DUMMYFUNCTION("""COMPUTED_VALUE"""),196.89)</f>
        <v>196.89</v>
      </c>
      <c r="T113" s="17">
        <f>IFERROR(__xludf.DUMMYFUNCTION("""COMPUTED_VALUE"""),45861.66666666667)</f>
        <v>45861.66667</v>
      </c>
      <c r="U113" s="9">
        <f>IFERROR(__xludf.DUMMYFUNCTION("""COMPUTED_VALUE"""),196.89)</f>
        <v>196.89</v>
      </c>
      <c r="AC113" s="17"/>
    </row>
    <row r="114">
      <c r="B114" s="11">
        <f>IFERROR(__xludf.DUMMYFUNCTION("""COMPUTED_VALUE"""),45860.66666666667)</f>
        <v>45860.66667</v>
      </c>
      <c r="C114" s="9">
        <f>IFERROR(__xludf.DUMMYFUNCTION("""COMPUTED_VALUE"""),192.18)</f>
        <v>192.18</v>
      </c>
      <c r="K114" s="16">
        <f>IFERROR(__xludf.DUMMYFUNCTION("""COMPUTED_VALUE"""),45860.66666666667)</f>
        <v>45860.66667</v>
      </c>
      <c r="L114" s="9">
        <f>IFERROR(__xludf.DUMMYFUNCTION("""COMPUTED_VALUE"""),192.18)</f>
        <v>192.18</v>
      </c>
      <c r="T114" s="17">
        <f>IFERROR(__xludf.DUMMYFUNCTION("""COMPUTED_VALUE"""),45860.66666666667)</f>
        <v>45860.66667</v>
      </c>
      <c r="U114" s="9">
        <f>IFERROR(__xludf.DUMMYFUNCTION("""COMPUTED_VALUE"""),192.18)</f>
        <v>192.18</v>
      </c>
      <c r="AC114" s="17"/>
    </row>
    <row r="115">
      <c r="B115" s="11">
        <f>IFERROR(__xludf.DUMMYFUNCTION("""COMPUTED_VALUE"""),45859.66666666667)</f>
        <v>45859.66667</v>
      </c>
      <c r="C115" s="9">
        <f>IFERROR(__xludf.DUMMYFUNCTION("""COMPUTED_VALUE"""),194.65)</f>
        <v>194.65</v>
      </c>
      <c r="K115" s="16">
        <f>IFERROR(__xludf.DUMMYFUNCTION("""COMPUTED_VALUE"""),45859.66666666667)</f>
        <v>45859.66667</v>
      </c>
      <c r="L115" s="9">
        <f>IFERROR(__xludf.DUMMYFUNCTION("""COMPUTED_VALUE"""),194.65)</f>
        <v>194.65</v>
      </c>
      <c r="T115" s="17">
        <f>IFERROR(__xludf.DUMMYFUNCTION("""COMPUTED_VALUE"""),45859.66666666667)</f>
        <v>45859.66667</v>
      </c>
      <c r="U115" s="9">
        <f>IFERROR(__xludf.DUMMYFUNCTION("""COMPUTED_VALUE"""),194.65)</f>
        <v>194.65</v>
      </c>
      <c r="AC115" s="17"/>
    </row>
    <row r="116">
      <c r="B116" s="11">
        <f>IFERROR(__xludf.DUMMYFUNCTION("""COMPUTED_VALUE"""),45856.66666666667)</f>
        <v>45856.66667</v>
      </c>
      <c r="C116" s="9">
        <f>IFERROR(__xludf.DUMMYFUNCTION("""COMPUTED_VALUE"""),196.11)</f>
        <v>196.11</v>
      </c>
      <c r="K116" s="16">
        <f>IFERROR(__xludf.DUMMYFUNCTION("""COMPUTED_VALUE"""),45856.66666666667)</f>
        <v>45856.66667</v>
      </c>
      <c r="L116" s="9">
        <f>IFERROR(__xludf.DUMMYFUNCTION("""COMPUTED_VALUE"""),196.11)</f>
        <v>196.11</v>
      </c>
      <c r="T116" s="17">
        <f>IFERROR(__xludf.DUMMYFUNCTION("""COMPUTED_VALUE"""),45856.66666666667)</f>
        <v>45856.66667</v>
      </c>
      <c r="U116" s="9">
        <f>IFERROR(__xludf.DUMMYFUNCTION("""COMPUTED_VALUE"""),196.11)</f>
        <v>196.11</v>
      </c>
      <c r="AC116" s="17"/>
    </row>
    <row r="117">
      <c r="B117" s="11">
        <f>IFERROR(__xludf.DUMMYFUNCTION("""COMPUTED_VALUE"""),45855.66666666667)</f>
        <v>45855.66667</v>
      </c>
      <c r="C117" s="9">
        <f>IFERROR(__xludf.DUMMYFUNCTION("""COMPUTED_VALUE"""),195.86)</f>
        <v>195.86</v>
      </c>
      <c r="K117" s="16">
        <f>IFERROR(__xludf.DUMMYFUNCTION("""COMPUTED_VALUE"""),45855.66666666667)</f>
        <v>45855.66667</v>
      </c>
      <c r="L117" s="9">
        <f>IFERROR(__xludf.DUMMYFUNCTION("""COMPUTED_VALUE"""),195.86)</f>
        <v>195.86</v>
      </c>
      <c r="T117" s="17">
        <f>IFERROR(__xludf.DUMMYFUNCTION("""COMPUTED_VALUE"""),45855.66666666667)</f>
        <v>45855.66667</v>
      </c>
      <c r="U117" s="9">
        <f>IFERROR(__xludf.DUMMYFUNCTION("""COMPUTED_VALUE"""),195.86)</f>
        <v>195.86</v>
      </c>
      <c r="AC117" s="17"/>
    </row>
    <row r="118">
      <c r="B118" s="11">
        <f>IFERROR(__xludf.DUMMYFUNCTION("""COMPUTED_VALUE"""),45854.66666666667)</f>
        <v>45854.66667</v>
      </c>
      <c r="C118" s="9">
        <f>IFERROR(__xludf.DUMMYFUNCTION("""COMPUTED_VALUE"""),194.43)</f>
        <v>194.43</v>
      </c>
      <c r="K118" s="16">
        <f>IFERROR(__xludf.DUMMYFUNCTION("""COMPUTED_VALUE"""),45854.66666666667)</f>
        <v>45854.66667</v>
      </c>
      <c r="L118" s="9">
        <f>IFERROR(__xludf.DUMMYFUNCTION("""COMPUTED_VALUE"""),194.43)</f>
        <v>194.43</v>
      </c>
      <c r="T118" s="17">
        <f>IFERROR(__xludf.DUMMYFUNCTION("""COMPUTED_VALUE"""),45854.66666666667)</f>
        <v>45854.66667</v>
      </c>
      <c r="U118" s="9">
        <f>IFERROR(__xludf.DUMMYFUNCTION("""COMPUTED_VALUE"""),194.43)</f>
        <v>194.43</v>
      </c>
      <c r="AC118" s="17"/>
    </row>
    <row r="119">
      <c r="B119" s="11">
        <f>IFERROR(__xludf.DUMMYFUNCTION("""COMPUTED_VALUE"""),45853.66666666667)</f>
        <v>45853.66667</v>
      </c>
      <c r="C119" s="9">
        <f>IFERROR(__xludf.DUMMYFUNCTION("""COMPUTED_VALUE"""),193.22)</f>
        <v>193.22</v>
      </c>
      <c r="K119" s="16">
        <f>IFERROR(__xludf.DUMMYFUNCTION("""COMPUTED_VALUE"""),45853.66666666667)</f>
        <v>45853.66667</v>
      </c>
      <c r="L119" s="9">
        <f>IFERROR(__xludf.DUMMYFUNCTION("""COMPUTED_VALUE"""),193.22)</f>
        <v>193.22</v>
      </c>
      <c r="T119" s="17">
        <f>IFERROR(__xludf.DUMMYFUNCTION("""COMPUTED_VALUE"""),45853.66666666667)</f>
        <v>45853.66667</v>
      </c>
      <c r="U119" s="9">
        <f>IFERROR(__xludf.DUMMYFUNCTION("""COMPUTED_VALUE"""),193.22)</f>
        <v>193.22</v>
      </c>
      <c r="AC119" s="17"/>
    </row>
    <row r="120">
      <c r="B120" s="11">
        <f>IFERROR(__xludf.DUMMYFUNCTION("""COMPUTED_VALUE"""),45852.66666666667)</f>
        <v>45852.66667</v>
      </c>
      <c r="C120" s="9">
        <f>IFERROR(__xludf.DUMMYFUNCTION("""COMPUTED_VALUE"""),193.64)</f>
        <v>193.64</v>
      </c>
      <c r="K120" s="16">
        <f>IFERROR(__xludf.DUMMYFUNCTION("""COMPUTED_VALUE"""),45852.66666666667)</f>
        <v>45852.66667</v>
      </c>
      <c r="L120" s="9">
        <f>IFERROR(__xludf.DUMMYFUNCTION("""COMPUTED_VALUE"""),193.64)</f>
        <v>193.64</v>
      </c>
      <c r="T120" s="17">
        <f>IFERROR(__xludf.DUMMYFUNCTION("""COMPUTED_VALUE"""),45852.66666666667)</f>
        <v>45852.66667</v>
      </c>
      <c r="U120" s="9">
        <f>IFERROR(__xludf.DUMMYFUNCTION("""COMPUTED_VALUE"""),193.64)</f>
        <v>193.64</v>
      </c>
      <c r="AC120" s="17"/>
    </row>
    <row r="121">
      <c r="B121" s="11">
        <f>IFERROR(__xludf.DUMMYFUNCTION("""COMPUTED_VALUE"""),45849.66666666667)</f>
        <v>45849.66667</v>
      </c>
      <c r="C121" s="9">
        <f>IFERROR(__xludf.DUMMYFUNCTION("""COMPUTED_VALUE"""),189.78)</f>
        <v>189.78</v>
      </c>
      <c r="K121" s="16">
        <f>IFERROR(__xludf.DUMMYFUNCTION("""COMPUTED_VALUE"""),45849.66666666667)</f>
        <v>45849.66667</v>
      </c>
      <c r="L121" s="9">
        <f>IFERROR(__xludf.DUMMYFUNCTION("""COMPUTED_VALUE"""),189.78)</f>
        <v>189.78</v>
      </c>
      <c r="T121" s="17">
        <f>IFERROR(__xludf.DUMMYFUNCTION("""COMPUTED_VALUE"""),45849.66666666667)</f>
        <v>45849.66667</v>
      </c>
      <c r="U121" s="9">
        <f>IFERROR(__xludf.DUMMYFUNCTION("""COMPUTED_VALUE"""),189.78)</f>
        <v>189.78</v>
      </c>
      <c r="AC121" s="17"/>
    </row>
    <row r="122">
      <c r="B122" s="11">
        <f>IFERROR(__xludf.DUMMYFUNCTION("""COMPUTED_VALUE"""),45848.66666666667)</f>
        <v>45848.66667</v>
      </c>
      <c r="C122" s="9">
        <f>IFERROR(__xludf.DUMMYFUNCTION("""COMPUTED_VALUE"""),188.65)</f>
        <v>188.65</v>
      </c>
      <c r="K122" s="16">
        <f>IFERROR(__xludf.DUMMYFUNCTION("""COMPUTED_VALUE"""),45848.66666666667)</f>
        <v>45848.66667</v>
      </c>
      <c r="L122" s="9">
        <f>IFERROR(__xludf.DUMMYFUNCTION("""COMPUTED_VALUE"""),188.65)</f>
        <v>188.65</v>
      </c>
      <c r="T122" s="17">
        <f>IFERROR(__xludf.DUMMYFUNCTION("""COMPUTED_VALUE"""),45848.66666666667)</f>
        <v>45848.66667</v>
      </c>
      <c r="U122" s="9">
        <f>IFERROR(__xludf.DUMMYFUNCTION("""COMPUTED_VALUE"""),188.65)</f>
        <v>188.65</v>
      </c>
      <c r="AC122" s="17"/>
    </row>
    <row r="123">
      <c r="B123" s="11">
        <f>IFERROR(__xludf.DUMMYFUNCTION("""COMPUTED_VALUE"""),45847.66666666667)</f>
        <v>45847.66667</v>
      </c>
      <c r="C123" s="9">
        <f>IFERROR(__xludf.DUMMYFUNCTION("""COMPUTED_VALUE"""),188.91)</f>
        <v>188.91</v>
      </c>
      <c r="K123" s="16">
        <f>IFERROR(__xludf.DUMMYFUNCTION("""COMPUTED_VALUE"""),45847.66666666667)</f>
        <v>45847.66667</v>
      </c>
      <c r="L123" s="9">
        <f>IFERROR(__xludf.DUMMYFUNCTION("""COMPUTED_VALUE"""),188.91)</f>
        <v>188.91</v>
      </c>
      <c r="T123" s="17">
        <f>IFERROR(__xludf.DUMMYFUNCTION("""COMPUTED_VALUE"""),45847.66666666667)</f>
        <v>45847.66667</v>
      </c>
      <c r="U123" s="9">
        <f>IFERROR(__xludf.DUMMYFUNCTION("""COMPUTED_VALUE"""),188.91)</f>
        <v>188.91</v>
      </c>
      <c r="AC123" s="17"/>
    </row>
    <row r="124">
      <c r="B124" s="11">
        <f>IFERROR(__xludf.DUMMYFUNCTION("""COMPUTED_VALUE"""),45846.66666666667)</f>
        <v>45846.66667</v>
      </c>
      <c r="C124" s="9">
        <f>IFERROR(__xludf.DUMMYFUNCTION("""COMPUTED_VALUE"""),186.76)</f>
        <v>186.76</v>
      </c>
      <c r="K124" s="16">
        <f>IFERROR(__xludf.DUMMYFUNCTION("""COMPUTED_VALUE"""),45846.66666666667)</f>
        <v>45846.66667</v>
      </c>
      <c r="L124" s="9">
        <f>IFERROR(__xludf.DUMMYFUNCTION("""COMPUTED_VALUE"""),186.76)</f>
        <v>186.76</v>
      </c>
      <c r="T124" s="17">
        <f>IFERROR(__xludf.DUMMYFUNCTION("""COMPUTED_VALUE"""),45846.66666666667)</f>
        <v>45846.66667</v>
      </c>
      <c r="U124" s="9">
        <f>IFERROR(__xludf.DUMMYFUNCTION("""COMPUTED_VALUE"""),186.76)</f>
        <v>186.76</v>
      </c>
      <c r="AC124" s="17"/>
    </row>
    <row r="125">
      <c r="B125" s="11">
        <f>IFERROR(__xludf.DUMMYFUNCTION("""COMPUTED_VALUE"""),45845.66666666667)</f>
        <v>45845.66667</v>
      </c>
      <c r="C125" s="9">
        <f>IFERROR(__xludf.DUMMYFUNCTION("""COMPUTED_VALUE"""),188.07)</f>
        <v>188.07</v>
      </c>
      <c r="K125" s="16">
        <f>IFERROR(__xludf.DUMMYFUNCTION("""COMPUTED_VALUE"""),45845.66666666667)</f>
        <v>45845.66667</v>
      </c>
      <c r="L125" s="9">
        <f>IFERROR(__xludf.DUMMYFUNCTION("""COMPUTED_VALUE"""),188.07)</f>
        <v>188.07</v>
      </c>
      <c r="T125" s="17">
        <f>IFERROR(__xludf.DUMMYFUNCTION("""COMPUTED_VALUE"""),45845.66666666667)</f>
        <v>45845.66667</v>
      </c>
      <c r="U125" s="9">
        <f>IFERROR(__xludf.DUMMYFUNCTION("""COMPUTED_VALUE"""),188.07)</f>
        <v>188.07</v>
      </c>
      <c r="AC125" s="17"/>
    </row>
    <row r="126">
      <c r="B126" s="11">
        <f>IFERROR(__xludf.DUMMYFUNCTION("""COMPUTED_VALUE"""),45841.51041666667)</f>
        <v>45841.51042</v>
      </c>
      <c r="C126" s="9">
        <f>IFERROR(__xludf.DUMMYFUNCTION("""COMPUTED_VALUE"""),186.86)</f>
        <v>186.86</v>
      </c>
      <c r="K126" s="16">
        <f>IFERROR(__xludf.DUMMYFUNCTION("""COMPUTED_VALUE"""),45841.51041666667)</f>
        <v>45841.51042</v>
      </c>
      <c r="L126" s="9">
        <f>IFERROR(__xludf.DUMMYFUNCTION("""COMPUTED_VALUE"""),186.86)</f>
        <v>186.86</v>
      </c>
      <c r="T126" s="17">
        <f>IFERROR(__xludf.DUMMYFUNCTION("""COMPUTED_VALUE"""),45841.51041666667)</f>
        <v>45841.51042</v>
      </c>
      <c r="U126" s="9">
        <f>IFERROR(__xludf.DUMMYFUNCTION("""COMPUTED_VALUE"""),186.86)</f>
        <v>186.86</v>
      </c>
      <c r="AC126" s="17"/>
    </row>
    <row r="127">
      <c r="B127" s="11">
        <f>IFERROR(__xludf.DUMMYFUNCTION("""COMPUTED_VALUE"""),45840.66666666667)</f>
        <v>45840.66667</v>
      </c>
      <c r="C127" s="9">
        <f>IFERROR(__xludf.DUMMYFUNCTION("""COMPUTED_VALUE"""),184.73)</f>
        <v>184.73</v>
      </c>
      <c r="K127" s="16">
        <f>IFERROR(__xludf.DUMMYFUNCTION("""COMPUTED_VALUE"""),45840.66666666667)</f>
        <v>45840.66667</v>
      </c>
      <c r="L127" s="9">
        <f>IFERROR(__xludf.DUMMYFUNCTION("""COMPUTED_VALUE"""),184.73)</f>
        <v>184.73</v>
      </c>
      <c r="T127" s="17"/>
      <c r="AC127" s="17"/>
    </row>
    <row r="128">
      <c r="B128" s="11">
        <f>IFERROR(__xludf.DUMMYFUNCTION("""COMPUTED_VALUE"""),45839.66666666667)</f>
        <v>45839.66667</v>
      </c>
      <c r="C128" s="9">
        <f>IFERROR(__xludf.DUMMYFUNCTION("""COMPUTED_VALUE"""),185.01)</f>
        <v>185.01</v>
      </c>
      <c r="K128" s="16">
        <f>IFERROR(__xludf.DUMMYFUNCTION("""COMPUTED_VALUE"""),45839.66666666667)</f>
        <v>45839.66667</v>
      </c>
      <c r="L128" s="9">
        <f>IFERROR(__xludf.DUMMYFUNCTION("""COMPUTED_VALUE"""),185.01)</f>
        <v>185.01</v>
      </c>
      <c r="T128" s="17"/>
      <c r="AC128" s="17"/>
    </row>
    <row r="129">
      <c r="B129" s="11">
        <f>IFERROR(__xludf.DUMMYFUNCTION("""COMPUTED_VALUE"""),45838.66666666667)</f>
        <v>45838.66667</v>
      </c>
      <c r="C129" s="9">
        <f>IFERROR(__xludf.DUMMYFUNCTION("""COMPUTED_VALUE"""),188.64)</f>
        <v>188.64</v>
      </c>
      <c r="K129" s="16">
        <f>IFERROR(__xludf.DUMMYFUNCTION("""COMPUTED_VALUE"""),45838.66666666667)</f>
        <v>45838.66667</v>
      </c>
      <c r="L129" s="9">
        <f>IFERROR(__xludf.DUMMYFUNCTION("""COMPUTED_VALUE"""),188.64)</f>
        <v>188.64</v>
      </c>
      <c r="T129" s="17"/>
      <c r="AC129" s="17"/>
    </row>
    <row r="130">
      <c r="B130" s="11">
        <f>IFERROR(__xludf.DUMMYFUNCTION("""COMPUTED_VALUE"""),45835.66666666667)</f>
        <v>45835.66667</v>
      </c>
      <c r="C130" s="9">
        <f>IFERROR(__xludf.DUMMYFUNCTION("""COMPUTED_VALUE"""),187.55)</f>
        <v>187.55</v>
      </c>
      <c r="K130" s="16">
        <f>IFERROR(__xludf.DUMMYFUNCTION("""COMPUTED_VALUE"""),45835.66666666667)</f>
        <v>45835.66667</v>
      </c>
      <c r="L130" s="9">
        <f>IFERROR(__xludf.DUMMYFUNCTION("""COMPUTED_VALUE"""),187.55)</f>
        <v>187.55</v>
      </c>
      <c r="T130" s="17"/>
      <c r="AC130" s="17"/>
    </row>
    <row r="131">
      <c r="B131" s="11">
        <f>IFERROR(__xludf.DUMMYFUNCTION("""COMPUTED_VALUE"""),45834.66666666667)</f>
        <v>45834.66667</v>
      </c>
      <c r="C131" s="9">
        <f>IFERROR(__xludf.DUMMYFUNCTION("""COMPUTED_VALUE"""),184.5)</f>
        <v>184.5</v>
      </c>
      <c r="K131" s="16">
        <f>IFERROR(__xludf.DUMMYFUNCTION("""COMPUTED_VALUE"""),45834.66666666667)</f>
        <v>45834.66667</v>
      </c>
      <c r="L131" s="9">
        <f>IFERROR(__xludf.DUMMYFUNCTION("""COMPUTED_VALUE"""),184.5)</f>
        <v>184.5</v>
      </c>
      <c r="T131" s="17"/>
      <c r="AC131" s="17"/>
    </row>
    <row r="132">
      <c r="B132" s="11">
        <f>IFERROR(__xludf.DUMMYFUNCTION("""COMPUTED_VALUE"""),45833.66666666667)</f>
        <v>45833.66667</v>
      </c>
      <c r="C132" s="9">
        <f>IFERROR(__xludf.DUMMYFUNCTION("""COMPUTED_VALUE"""),182.04)</f>
        <v>182.04</v>
      </c>
      <c r="K132" s="16">
        <f>IFERROR(__xludf.DUMMYFUNCTION("""COMPUTED_VALUE"""),45833.66666666667)</f>
        <v>45833.66667</v>
      </c>
      <c r="L132" s="9">
        <f>IFERROR(__xludf.DUMMYFUNCTION("""COMPUTED_VALUE"""),182.04)</f>
        <v>182.04</v>
      </c>
      <c r="T132" s="17"/>
      <c r="AC132" s="17"/>
    </row>
    <row r="133">
      <c r="B133" s="11">
        <f>IFERROR(__xludf.DUMMYFUNCTION("""COMPUTED_VALUE"""),45832.66666666667)</f>
        <v>45832.66667</v>
      </c>
      <c r="C133" s="9">
        <f>IFERROR(__xludf.DUMMYFUNCTION("""COMPUTED_VALUE"""),181.75)</f>
        <v>181.75</v>
      </c>
      <c r="K133" s="16">
        <f>IFERROR(__xludf.DUMMYFUNCTION("""COMPUTED_VALUE"""),45832.66666666667)</f>
        <v>45832.66667</v>
      </c>
      <c r="L133" s="9">
        <f>IFERROR(__xludf.DUMMYFUNCTION("""COMPUTED_VALUE"""),181.75)</f>
        <v>181.75</v>
      </c>
      <c r="T133" s="17"/>
      <c r="AC133" s="17"/>
    </row>
    <row r="134">
      <c r="B134" s="11">
        <f>IFERROR(__xludf.DUMMYFUNCTION("""COMPUTED_VALUE"""),45831.66666666667)</f>
        <v>45831.66667</v>
      </c>
      <c r="C134" s="9">
        <f>IFERROR(__xludf.DUMMYFUNCTION("""COMPUTED_VALUE"""),183.01)</f>
        <v>183.01</v>
      </c>
      <c r="K134" s="16">
        <f>IFERROR(__xludf.DUMMYFUNCTION("""COMPUTED_VALUE"""),45831.66666666667)</f>
        <v>45831.66667</v>
      </c>
      <c r="L134" s="9">
        <f>IFERROR(__xludf.DUMMYFUNCTION("""COMPUTED_VALUE"""),183.01)</f>
        <v>183.01</v>
      </c>
      <c r="T134" s="17"/>
      <c r="AC134" s="17"/>
    </row>
    <row r="135">
      <c r="B135" s="11">
        <f>IFERROR(__xludf.DUMMYFUNCTION("""COMPUTED_VALUE"""),45828.66666666667)</f>
        <v>45828.66667</v>
      </c>
      <c r="C135" s="9">
        <f>IFERROR(__xludf.DUMMYFUNCTION("""COMPUTED_VALUE"""),180.44)</f>
        <v>180.44</v>
      </c>
      <c r="K135" s="16">
        <f>IFERROR(__xludf.DUMMYFUNCTION("""COMPUTED_VALUE"""),45828.66666666667)</f>
        <v>45828.66667</v>
      </c>
      <c r="L135" s="9">
        <f>IFERROR(__xludf.DUMMYFUNCTION("""COMPUTED_VALUE"""),180.44)</f>
        <v>180.44</v>
      </c>
      <c r="T135" s="17"/>
      <c r="AC135" s="17"/>
    </row>
    <row r="136">
      <c r="B136" s="11">
        <f>IFERROR(__xludf.DUMMYFUNCTION("""COMPUTED_VALUE"""),45826.66666666667)</f>
        <v>45826.66667</v>
      </c>
      <c r="C136" s="9">
        <f>IFERROR(__xludf.DUMMYFUNCTION("""COMPUTED_VALUE"""),178.78)</f>
        <v>178.78</v>
      </c>
      <c r="K136" s="16">
        <f>IFERROR(__xludf.DUMMYFUNCTION("""COMPUTED_VALUE"""),45826.66666666667)</f>
        <v>45826.66667</v>
      </c>
      <c r="L136" s="9">
        <f>IFERROR(__xludf.DUMMYFUNCTION("""COMPUTED_VALUE"""),178.78)</f>
        <v>178.78</v>
      </c>
      <c r="T136" s="17"/>
      <c r="AC136" s="17"/>
    </row>
    <row r="137">
      <c r="B137" s="11">
        <f>IFERROR(__xludf.DUMMYFUNCTION("""COMPUTED_VALUE"""),45825.66666666667)</f>
        <v>45825.66667</v>
      </c>
      <c r="C137" s="9">
        <f>IFERROR(__xludf.DUMMYFUNCTION("""COMPUTED_VALUE"""),179.98)</f>
        <v>179.98</v>
      </c>
      <c r="K137" s="16">
        <f>IFERROR(__xludf.DUMMYFUNCTION("""COMPUTED_VALUE"""),45825.66666666667)</f>
        <v>45825.66667</v>
      </c>
      <c r="L137" s="9">
        <f>IFERROR(__xludf.DUMMYFUNCTION("""COMPUTED_VALUE"""),179.98)</f>
        <v>179.98</v>
      </c>
      <c r="T137" s="17"/>
      <c r="AC137" s="17"/>
    </row>
    <row r="138">
      <c r="B138" s="11">
        <f>IFERROR(__xludf.DUMMYFUNCTION("""COMPUTED_VALUE"""),45824.66666666667)</f>
        <v>45824.66667</v>
      </c>
      <c r="C138" s="9">
        <f>IFERROR(__xludf.DUMMYFUNCTION("""COMPUTED_VALUE"""),179.16)</f>
        <v>179.16</v>
      </c>
      <c r="K138" s="16">
        <f>IFERROR(__xludf.DUMMYFUNCTION("""COMPUTED_VALUE"""),45824.66666666667)</f>
        <v>45824.66667</v>
      </c>
      <c r="L138" s="9">
        <f>IFERROR(__xludf.DUMMYFUNCTION("""COMPUTED_VALUE"""),179.16)</f>
        <v>179.16</v>
      </c>
      <c r="T138" s="17"/>
      <c r="AC138" s="17"/>
    </row>
    <row r="139">
      <c r="B139" s="11">
        <f>IFERROR(__xludf.DUMMYFUNCTION("""COMPUTED_VALUE"""),45821.66666666667)</f>
        <v>45821.66667</v>
      </c>
      <c r="C139" s="9">
        <f>IFERROR(__xludf.DUMMYFUNCTION("""COMPUTED_VALUE"""),180.22)</f>
        <v>180.22</v>
      </c>
      <c r="K139" s="16">
        <f>IFERROR(__xludf.DUMMYFUNCTION("""COMPUTED_VALUE"""),45821.66666666667)</f>
        <v>45821.66667</v>
      </c>
      <c r="L139" s="9">
        <f>IFERROR(__xludf.DUMMYFUNCTION("""COMPUTED_VALUE"""),180.22)</f>
        <v>180.22</v>
      </c>
      <c r="T139" s="17"/>
      <c r="AC139" s="17"/>
    </row>
    <row r="140">
      <c r="B140" s="11">
        <f>IFERROR(__xludf.DUMMYFUNCTION("""COMPUTED_VALUE"""),45820.66666666667)</f>
        <v>45820.66667</v>
      </c>
      <c r="C140" s="9">
        <f>IFERROR(__xludf.DUMMYFUNCTION("""COMPUTED_VALUE"""),179.47)</f>
        <v>179.47</v>
      </c>
      <c r="K140" s="16">
        <f>IFERROR(__xludf.DUMMYFUNCTION("""COMPUTED_VALUE"""),45820.66666666667)</f>
        <v>45820.66667</v>
      </c>
      <c r="L140" s="9">
        <f>IFERROR(__xludf.DUMMYFUNCTION("""COMPUTED_VALUE"""),179.47)</f>
        <v>179.47</v>
      </c>
      <c r="T140" s="17"/>
      <c r="AC140" s="17"/>
    </row>
    <row r="141">
      <c r="B141" s="11">
        <f>IFERROR(__xludf.DUMMYFUNCTION("""COMPUTED_VALUE"""),45819.66666666667)</f>
        <v>45819.66667</v>
      </c>
      <c r="C141" s="9">
        <f>IFERROR(__xludf.DUMMYFUNCTION("""COMPUTED_VALUE"""),180.69)</f>
        <v>180.69</v>
      </c>
      <c r="K141" s="16">
        <f>IFERROR(__xludf.DUMMYFUNCTION("""COMPUTED_VALUE"""),45819.66666666667)</f>
        <v>45819.66667</v>
      </c>
      <c r="L141" s="9">
        <f>IFERROR(__xludf.DUMMYFUNCTION("""COMPUTED_VALUE"""),180.69)</f>
        <v>180.69</v>
      </c>
      <c r="T141" s="17"/>
      <c r="AC141" s="17"/>
    </row>
    <row r="142">
      <c r="B142" s="11">
        <f>IFERROR(__xludf.DUMMYFUNCTION("""COMPUTED_VALUE"""),45818.66666666667)</f>
        <v>45818.66667</v>
      </c>
      <c r="C142" s="9">
        <f>IFERROR(__xludf.DUMMYFUNCTION("""COMPUTED_VALUE"""),179.13)</f>
        <v>179.13</v>
      </c>
      <c r="K142" s="16">
        <f>IFERROR(__xludf.DUMMYFUNCTION("""COMPUTED_VALUE"""),45818.66666666667)</f>
        <v>45818.66667</v>
      </c>
      <c r="L142" s="9">
        <f>IFERROR(__xludf.DUMMYFUNCTION("""COMPUTED_VALUE"""),179.13)</f>
        <v>179.13</v>
      </c>
      <c r="T142" s="17"/>
      <c r="AC142" s="17"/>
    </row>
    <row r="143">
      <c r="B143" s="11">
        <f>IFERROR(__xludf.DUMMYFUNCTION("""COMPUTED_VALUE"""),45817.66666666667)</f>
        <v>45817.66667</v>
      </c>
      <c r="C143" s="9">
        <f>IFERROR(__xludf.DUMMYFUNCTION("""COMPUTED_VALUE"""),182.64)</f>
        <v>182.64</v>
      </c>
      <c r="K143" s="16">
        <f>IFERROR(__xludf.DUMMYFUNCTION("""COMPUTED_VALUE"""),45817.66666666667)</f>
        <v>45817.66667</v>
      </c>
      <c r="L143" s="9">
        <f>IFERROR(__xludf.DUMMYFUNCTION("""COMPUTED_VALUE"""),182.64)</f>
        <v>182.64</v>
      </c>
      <c r="T143" s="17"/>
      <c r="AC143" s="17"/>
    </row>
    <row r="144">
      <c r="B144" s="11">
        <f>IFERROR(__xludf.DUMMYFUNCTION("""COMPUTED_VALUE"""),45814.66666666667)</f>
        <v>45814.66667</v>
      </c>
      <c r="C144" s="9">
        <f>IFERROR(__xludf.DUMMYFUNCTION("""COMPUTED_VALUE"""),181.96)</f>
        <v>181.96</v>
      </c>
      <c r="K144" s="16">
        <f>IFERROR(__xludf.DUMMYFUNCTION("""COMPUTED_VALUE"""),45814.66666666667)</f>
        <v>45814.66667</v>
      </c>
      <c r="L144" s="9">
        <f>IFERROR(__xludf.DUMMYFUNCTION("""COMPUTED_VALUE"""),181.96)</f>
        <v>181.96</v>
      </c>
      <c r="T144" s="17"/>
      <c r="AC144" s="17"/>
    </row>
    <row r="145">
      <c r="B145" s="11">
        <f>IFERROR(__xludf.DUMMYFUNCTION("""COMPUTED_VALUE"""),45813.66666666667)</f>
        <v>45813.66667</v>
      </c>
      <c r="C145" s="9">
        <f>IFERROR(__xludf.DUMMYFUNCTION("""COMPUTED_VALUE"""),180.24)</f>
        <v>180.24</v>
      </c>
      <c r="K145" s="16">
        <f>IFERROR(__xludf.DUMMYFUNCTION("""COMPUTED_VALUE"""),45813.66666666667)</f>
        <v>45813.66667</v>
      </c>
      <c r="L145" s="9">
        <f>IFERROR(__xludf.DUMMYFUNCTION("""COMPUTED_VALUE"""),180.24)</f>
        <v>180.24</v>
      </c>
      <c r="T145" s="17"/>
      <c r="AC145" s="17"/>
    </row>
    <row r="146">
      <c r="B146" s="11">
        <f>IFERROR(__xludf.DUMMYFUNCTION("""COMPUTED_VALUE"""),45812.66666666667)</f>
        <v>45812.66667</v>
      </c>
      <c r="C146" s="9">
        <f>IFERROR(__xludf.DUMMYFUNCTION("""COMPUTED_VALUE"""),180.14)</f>
        <v>180.14</v>
      </c>
      <c r="K146" s="16">
        <f>IFERROR(__xludf.DUMMYFUNCTION("""COMPUTED_VALUE"""),45812.66666666667)</f>
        <v>45812.66667</v>
      </c>
      <c r="L146" s="9">
        <f>IFERROR(__xludf.DUMMYFUNCTION("""COMPUTED_VALUE"""),180.14)</f>
        <v>180.14</v>
      </c>
      <c r="T146" s="17"/>
      <c r="AC146" s="17"/>
    </row>
    <row r="147">
      <c r="B147" s="11">
        <f>IFERROR(__xludf.DUMMYFUNCTION("""COMPUTED_VALUE"""),45811.66666666667)</f>
        <v>45811.66667</v>
      </c>
      <c r="C147" s="9">
        <f>IFERROR(__xludf.DUMMYFUNCTION("""COMPUTED_VALUE"""),179.35)</f>
        <v>179.35</v>
      </c>
      <c r="K147" s="16">
        <f>IFERROR(__xludf.DUMMYFUNCTION("""COMPUTED_VALUE"""),45811.66666666667)</f>
        <v>45811.66667</v>
      </c>
      <c r="L147" s="9">
        <f>IFERROR(__xludf.DUMMYFUNCTION("""COMPUTED_VALUE"""),179.35)</f>
        <v>179.35</v>
      </c>
      <c r="T147" s="17"/>
      <c r="AC147" s="17"/>
    </row>
    <row r="148">
      <c r="B148" s="11">
        <f>IFERROR(__xludf.DUMMYFUNCTION("""COMPUTED_VALUE"""),45810.66666666667)</f>
        <v>45810.66667</v>
      </c>
      <c r="C148" s="9">
        <f>IFERROR(__xludf.DUMMYFUNCTION("""COMPUTED_VALUE"""),178.24)</f>
        <v>178.24</v>
      </c>
      <c r="K148" s="16">
        <f>IFERROR(__xludf.DUMMYFUNCTION("""COMPUTED_VALUE"""),45810.66666666667)</f>
        <v>45810.66667</v>
      </c>
      <c r="L148" s="9">
        <f>IFERROR(__xludf.DUMMYFUNCTION("""COMPUTED_VALUE"""),178.24)</f>
        <v>178.24</v>
      </c>
      <c r="T148" s="17"/>
      <c r="AC148" s="17"/>
    </row>
    <row r="149">
      <c r="B149" s="11">
        <f>IFERROR(__xludf.DUMMYFUNCTION("""COMPUTED_VALUE"""),45807.66666666667)</f>
        <v>45807.66667</v>
      </c>
      <c r="C149" s="9">
        <f>IFERROR(__xludf.DUMMYFUNCTION("""COMPUTED_VALUE"""),177.24)</f>
        <v>177.24</v>
      </c>
      <c r="K149" s="16">
        <f>IFERROR(__xludf.DUMMYFUNCTION("""COMPUTED_VALUE"""),45807.66666666667)</f>
        <v>45807.66667</v>
      </c>
      <c r="L149" s="9">
        <f>IFERROR(__xludf.DUMMYFUNCTION("""COMPUTED_VALUE"""),177.24)</f>
        <v>177.24</v>
      </c>
      <c r="T149" s="17"/>
      <c r="AC149" s="17"/>
    </row>
    <row r="150">
      <c r="B150" s="11">
        <f>IFERROR(__xludf.DUMMYFUNCTION("""COMPUTED_VALUE"""),45806.66666666667)</f>
        <v>45806.66667</v>
      </c>
      <c r="C150" s="9">
        <f>IFERROR(__xludf.DUMMYFUNCTION("""COMPUTED_VALUE"""),176.31)</f>
        <v>176.31</v>
      </c>
      <c r="K150" s="16">
        <f>IFERROR(__xludf.DUMMYFUNCTION("""COMPUTED_VALUE"""),45806.66666666667)</f>
        <v>45806.66667</v>
      </c>
      <c r="L150" s="9">
        <f>IFERROR(__xludf.DUMMYFUNCTION("""COMPUTED_VALUE"""),176.31)</f>
        <v>176.31</v>
      </c>
      <c r="T150" s="17"/>
      <c r="AC150" s="17"/>
    </row>
    <row r="151">
      <c r="B151" s="11">
        <f>IFERROR(__xludf.DUMMYFUNCTION("""COMPUTED_VALUE"""),45805.66666666667)</f>
        <v>45805.66667</v>
      </c>
      <c r="C151" s="9">
        <f>IFERROR(__xludf.DUMMYFUNCTION("""COMPUTED_VALUE"""),175.5)</f>
        <v>175.5</v>
      </c>
      <c r="K151" s="16">
        <f>IFERROR(__xludf.DUMMYFUNCTION("""COMPUTED_VALUE"""),45805.66666666667)</f>
        <v>45805.66667</v>
      </c>
      <c r="L151" s="9">
        <f>IFERROR(__xludf.DUMMYFUNCTION("""COMPUTED_VALUE"""),175.5)</f>
        <v>175.5</v>
      </c>
      <c r="T151" s="17"/>
      <c r="AC151" s="17"/>
    </row>
    <row r="152">
      <c r="B152" s="11">
        <f>IFERROR(__xludf.DUMMYFUNCTION("""COMPUTED_VALUE"""),45804.66666666667)</f>
        <v>45804.66667</v>
      </c>
      <c r="C152" s="9">
        <f>IFERROR(__xludf.DUMMYFUNCTION("""COMPUTED_VALUE"""),175.28)</f>
        <v>175.28</v>
      </c>
      <c r="K152" s="16">
        <f>IFERROR(__xludf.DUMMYFUNCTION("""COMPUTED_VALUE"""),45804.66666666667)</f>
        <v>45804.66667</v>
      </c>
      <c r="L152" s="9">
        <f>IFERROR(__xludf.DUMMYFUNCTION("""COMPUTED_VALUE"""),175.28)</f>
        <v>175.28</v>
      </c>
      <c r="T152" s="17"/>
      <c r="AC152" s="17"/>
    </row>
    <row r="153">
      <c r="B153" s="11">
        <f>IFERROR(__xludf.DUMMYFUNCTION("""COMPUTED_VALUE"""),45800.66666666667)</f>
        <v>45800.66667</v>
      </c>
      <c r="C153" s="9">
        <f>IFERROR(__xludf.DUMMYFUNCTION("""COMPUTED_VALUE"""),171.05)</f>
        <v>171.05</v>
      </c>
      <c r="K153" s="16">
        <f>IFERROR(__xludf.DUMMYFUNCTION("""COMPUTED_VALUE"""),45800.66666666667)</f>
        <v>45800.66667</v>
      </c>
      <c r="L153" s="9">
        <f>IFERROR(__xludf.DUMMYFUNCTION("""COMPUTED_VALUE"""),171.05)</f>
        <v>171.05</v>
      </c>
      <c r="T153" s="17"/>
      <c r="AC153" s="17"/>
    </row>
    <row r="154">
      <c r="B154" s="11">
        <f>IFERROR(__xludf.DUMMYFUNCTION("""COMPUTED_VALUE"""),45799.66666666667)</f>
        <v>45799.66667</v>
      </c>
      <c r="C154" s="9">
        <f>IFERROR(__xludf.DUMMYFUNCTION("""COMPUTED_VALUE"""),170.79)</f>
        <v>170.79</v>
      </c>
      <c r="K154" s="16">
        <f>IFERROR(__xludf.DUMMYFUNCTION("""COMPUTED_VALUE"""),45799.66666666667)</f>
        <v>45799.66667</v>
      </c>
      <c r="L154" s="9">
        <f>IFERROR(__xludf.DUMMYFUNCTION("""COMPUTED_VALUE"""),170.79)</f>
        <v>170.79</v>
      </c>
      <c r="T154" s="17"/>
      <c r="AC154" s="17"/>
    </row>
    <row r="155">
      <c r="B155" s="11">
        <f>IFERROR(__xludf.DUMMYFUNCTION("""COMPUTED_VALUE"""),45798.66666666667)</f>
        <v>45798.66667</v>
      </c>
      <c r="C155" s="9">
        <f>IFERROR(__xludf.DUMMYFUNCTION("""COMPUTED_VALUE"""),170.79)</f>
        <v>170.79</v>
      </c>
      <c r="K155" s="16">
        <f>IFERROR(__xludf.DUMMYFUNCTION("""COMPUTED_VALUE"""),45798.66666666667)</f>
        <v>45798.66667</v>
      </c>
      <c r="L155" s="9">
        <f>IFERROR(__xludf.DUMMYFUNCTION("""COMPUTED_VALUE"""),170.79)</f>
        <v>170.79</v>
      </c>
      <c r="T155" s="17"/>
      <c r="AC155" s="17"/>
    </row>
    <row r="156">
      <c r="B156" s="11">
        <f>IFERROR(__xludf.DUMMYFUNCTION("""COMPUTED_VALUE"""),45797.66666666667)</f>
        <v>45797.66667</v>
      </c>
      <c r="C156" s="9">
        <f>IFERROR(__xludf.DUMMYFUNCTION("""COMPUTED_VALUE"""),173.41)</f>
        <v>173.41</v>
      </c>
      <c r="K156" s="16">
        <f>IFERROR(__xludf.DUMMYFUNCTION("""COMPUTED_VALUE"""),45797.66666666667)</f>
        <v>45797.66667</v>
      </c>
      <c r="L156" s="9">
        <f>IFERROR(__xludf.DUMMYFUNCTION("""COMPUTED_VALUE"""),173.41)</f>
        <v>173.41</v>
      </c>
      <c r="T156" s="17"/>
      <c r="AC156" s="17"/>
    </row>
    <row r="157">
      <c r="B157" s="11">
        <f>IFERROR(__xludf.DUMMYFUNCTION("""COMPUTED_VALUE"""),45796.66666666667)</f>
        <v>45796.66667</v>
      </c>
      <c r="C157" s="9">
        <f>IFERROR(__xludf.DUMMYFUNCTION("""COMPUTED_VALUE"""),173.3)</f>
        <v>173.3</v>
      </c>
      <c r="K157" s="16">
        <f>IFERROR(__xludf.DUMMYFUNCTION("""COMPUTED_VALUE"""),45796.66666666667)</f>
        <v>45796.66667</v>
      </c>
      <c r="L157" s="9">
        <f>IFERROR(__xludf.DUMMYFUNCTION("""COMPUTED_VALUE"""),173.3)</f>
        <v>173.3</v>
      </c>
      <c r="T157" s="17"/>
      <c r="AC157" s="17"/>
    </row>
    <row r="158">
      <c r="B158" s="11">
        <f>IFERROR(__xludf.DUMMYFUNCTION("""COMPUTED_VALUE"""),45793.66666666667)</f>
        <v>45793.66667</v>
      </c>
      <c r="C158" s="9">
        <f>IFERROR(__xludf.DUMMYFUNCTION("""COMPUTED_VALUE"""),171.94)</f>
        <v>171.94</v>
      </c>
      <c r="K158" s="16">
        <f>IFERROR(__xludf.DUMMYFUNCTION("""COMPUTED_VALUE"""),45793.66666666667)</f>
        <v>45793.66667</v>
      </c>
      <c r="L158" s="9">
        <f>IFERROR(__xludf.DUMMYFUNCTION("""COMPUTED_VALUE"""),171.94)</f>
        <v>171.94</v>
      </c>
      <c r="T158" s="17"/>
      <c r="AC158" s="17"/>
    </row>
    <row r="159">
      <c r="B159" s="11">
        <f>IFERROR(__xludf.DUMMYFUNCTION("""COMPUTED_VALUE"""),45792.66666666667)</f>
        <v>45792.66667</v>
      </c>
      <c r="C159" s="9">
        <f>IFERROR(__xludf.DUMMYFUNCTION("""COMPUTED_VALUE"""),170.67)</f>
        <v>170.67</v>
      </c>
      <c r="K159" s="16">
        <f>IFERROR(__xludf.DUMMYFUNCTION("""COMPUTED_VALUE"""),45792.66666666667)</f>
        <v>45792.66667</v>
      </c>
      <c r="L159" s="9">
        <f>IFERROR(__xludf.DUMMYFUNCTION("""COMPUTED_VALUE"""),170.67)</f>
        <v>170.67</v>
      </c>
      <c r="T159" s="17"/>
      <c r="AC159" s="17"/>
    </row>
    <row r="160">
      <c r="B160" s="11">
        <f>IFERROR(__xludf.DUMMYFUNCTION("""COMPUTED_VALUE"""),45791.66666666667)</f>
        <v>45791.66667</v>
      </c>
      <c r="C160" s="9">
        <f>IFERROR(__xludf.DUMMYFUNCTION("""COMPUTED_VALUE"""),167.12)</f>
        <v>167.12</v>
      </c>
      <c r="K160" s="16">
        <f>IFERROR(__xludf.DUMMYFUNCTION("""COMPUTED_VALUE"""),45791.66666666667)</f>
        <v>45791.66667</v>
      </c>
      <c r="L160" s="9">
        <f>IFERROR(__xludf.DUMMYFUNCTION("""COMPUTED_VALUE"""),167.12)</f>
        <v>167.12</v>
      </c>
      <c r="T160" s="17"/>
      <c r="AC160" s="17"/>
    </row>
    <row r="161">
      <c r="B161" s="11">
        <f>IFERROR(__xludf.DUMMYFUNCTION("""COMPUTED_VALUE"""),45790.66666666667)</f>
        <v>45790.66667</v>
      </c>
      <c r="C161" s="9">
        <f>IFERROR(__xludf.DUMMYFUNCTION("""COMPUTED_VALUE"""),166.94)</f>
        <v>166.94</v>
      </c>
      <c r="K161" s="16">
        <f>IFERROR(__xludf.DUMMYFUNCTION("""COMPUTED_VALUE"""),45790.66666666667)</f>
        <v>45790.66667</v>
      </c>
      <c r="L161" s="9">
        <f>IFERROR(__xludf.DUMMYFUNCTION("""COMPUTED_VALUE"""),166.94)</f>
        <v>166.94</v>
      </c>
      <c r="T161" s="17"/>
      <c r="AC161" s="17"/>
    </row>
    <row r="162">
      <c r="B162" s="11">
        <f>IFERROR(__xludf.DUMMYFUNCTION("""COMPUTED_VALUE"""),45789.66666666667)</f>
        <v>45789.66667</v>
      </c>
      <c r="C162" s="9">
        <f>IFERROR(__xludf.DUMMYFUNCTION("""COMPUTED_VALUE"""),165.64)</f>
        <v>165.64</v>
      </c>
      <c r="K162" s="16">
        <f>IFERROR(__xludf.DUMMYFUNCTION("""COMPUTED_VALUE"""),45789.66666666667)</f>
        <v>45789.66667</v>
      </c>
      <c r="L162" s="9">
        <f>IFERROR(__xludf.DUMMYFUNCTION("""COMPUTED_VALUE"""),165.64)</f>
        <v>165.64</v>
      </c>
      <c r="T162" s="17"/>
      <c r="AC162" s="17"/>
    </row>
    <row r="163">
      <c r="B163" s="11">
        <f>IFERROR(__xludf.DUMMYFUNCTION("""COMPUTED_VALUE"""),45786.66666666667)</f>
        <v>45786.66667</v>
      </c>
      <c r="C163" s="9">
        <f>IFERROR(__xludf.DUMMYFUNCTION("""COMPUTED_VALUE"""),163.33)</f>
        <v>163.33</v>
      </c>
      <c r="K163" s="16">
        <f>IFERROR(__xludf.DUMMYFUNCTION("""COMPUTED_VALUE"""),45786.66666666667)</f>
        <v>45786.66667</v>
      </c>
      <c r="L163" s="9">
        <f>IFERROR(__xludf.DUMMYFUNCTION("""COMPUTED_VALUE"""),163.33)</f>
        <v>163.33</v>
      </c>
      <c r="T163" s="17"/>
      <c r="AC163" s="17"/>
    </row>
    <row r="164">
      <c r="B164" s="11">
        <f>IFERROR(__xludf.DUMMYFUNCTION("""COMPUTED_VALUE"""),45785.66666666667)</f>
        <v>45785.66667</v>
      </c>
      <c r="C164" s="9">
        <f>IFERROR(__xludf.DUMMYFUNCTION("""COMPUTED_VALUE"""),163.44)</f>
        <v>163.44</v>
      </c>
      <c r="K164" s="16">
        <f>IFERROR(__xludf.DUMMYFUNCTION("""COMPUTED_VALUE"""),45785.66666666667)</f>
        <v>45785.66667</v>
      </c>
      <c r="L164" s="9">
        <f>IFERROR(__xludf.DUMMYFUNCTION("""COMPUTED_VALUE"""),163.44)</f>
        <v>163.44</v>
      </c>
      <c r="T164" s="17"/>
      <c r="AC164" s="17"/>
    </row>
    <row r="165">
      <c r="B165" s="11">
        <f>IFERROR(__xludf.DUMMYFUNCTION("""COMPUTED_VALUE"""),45784.66666666667)</f>
        <v>45784.66667</v>
      </c>
      <c r="C165" s="9">
        <f>IFERROR(__xludf.DUMMYFUNCTION("""COMPUTED_VALUE"""),160.31)</f>
        <v>160.31</v>
      </c>
      <c r="K165" s="16">
        <f>IFERROR(__xludf.DUMMYFUNCTION("""COMPUTED_VALUE"""),45784.66666666667)</f>
        <v>45784.66667</v>
      </c>
      <c r="L165" s="9">
        <f>IFERROR(__xludf.DUMMYFUNCTION("""COMPUTED_VALUE"""),160.31)</f>
        <v>160.31</v>
      </c>
      <c r="T165" s="17"/>
      <c r="AC165" s="17"/>
    </row>
    <row r="166">
      <c r="B166" s="11">
        <f>IFERROR(__xludf.DUMMYFUNCTION("""COMPUTED_VALUE"""),45783.66666666667)</f>
        <v>45783.66667</v>
      </c>
      <c r="C166" s="9">
        <f>IFERROR(__xludf.DUMMYFUNCTION("""COMPUTED_VALUE"""),160.13)</f>
        <v>160.13</v>
      </c>
      <c r="K166" s="16">
        <f>IFERROR(__xludf.DUMMYFUNCTION("""COMPUTED_VALUE"""),45783.66666666667)</f>
        <v>45783.66667</v>
      </c>
      <c r="L166" s="9">
        <f>IFERROR(__xludf.DUMMYFUNCTION("""COMPUTED_VALUE"""),160.13)</f>
        <v>160.13</v>
      </c>
      <c r="T166" s="17"/>
      <c r="AC166" s="17"/>
    </row>
    <row r="167">
      <c r="B167" s="11">
        <f>IFERROR(__xludf.DUMMYFUNCTION("""COMPUTED_VALUE"""),45782.66666666667)</f>
        <v>45782.66667</v>
      </c>
      <c r="C167" s="9">
        <f>IFERROR(__xludf.DUMMYFUNCTION("""COMPUTED_VALUE"""),161.25)</f>
        <v>161.25</v>
      </c>
      <c r="K167" s="16">
        <f>IFERROR(__xludf.DUMMYFUNCTION("""COMPUTED_VALUE"""),45782.66666666667)</f>
        <v>45782.66667</v>
      </c>
      <c r="L167" s="9">
        <f>IFERROR(__xludf.DUMMYFUNCTION("""COMPUTED_VALUE"""),161.25)</f>
        <v>161.25</v>
      </c>
      <c r="T167" s="17"/>
      <c r="AC167" s="17"/>
    </row>
    <row r="168">
      <c r="B168" s="11">
        <f>IFERROR(__xludf.DUMMYFUNCTION("""COMPUTED_VALUE"""),45779.66666666667)</f>
        <v>45779.66667</v>
      </c>
      <c r="C168" s="9">
        <f>IFERROR(__xludf.DUMMYFUNCTION("""COMPUTED_VALUE"""),161.36)</f>
        <v>161.36</v>
      </c>
      <c r="K168" s="16">
        <f>IFERROR(__xludf.DUMMYFUNCTION("""COMPUTED_VALUE"""),45779.66666666667)</f>
        <v>45779.66667</v>
      </c>
      <c r="L168" s="9">
        <f>IFERROR(__xludf.DUMMYFUNCTION("""COMPUTED_VALUE"""),161.36)</f>
        <v>161.36</v>
      </c>
      <c r="T168" s="17"/>
      <c r="AC168" s="17"/>
    </row>
    <row r="169">
      <c r="B169" s="11">
        <f>IFERROR(__xludf.DUMMYFUNCTION("""COMPUTED_VALUE"""),45778.66666666667)</f>
        <v>45778.66667</v>
      </c>
      <c r="C169" s="9">
        <f>IFERROR(__xludf.DUMMYFUNCTION("""COMPUTED_VALUE"""),158.55)</f>
        <v>158.55</v>
      </c>
      <c r="K169" s="16">
        <f>IFERROR(__xludf.DUMMYFUNCTION("""COMPUTED_VALUE"""),45778.66666666667)</f>
        <v>45778.66667</v>
      </c>
      <c r="L169" s="9">
        <f>IFERROR(__xludf.DUMMYFUNCTION("""COMPUTED_VALUE"""),158.55)</f>
        <v>158.55</v>
      </c>
      <c r="T169" s="17"/>
      <c r="AC169" s="17"/>
    </row>
    <row r="170">
      <c r="B170" s="11">
        <f>IFERROR(__xludf.DUMMYFUNCTION("""COMPUTED_VALUE"""),45777.66666666667)</f>
        <v>45777.66667</v>
      </c>
      <c r="C170" s="9">
        <f>IFERROR(__xludf.DUMMYFUNCTION("""COMPUTED_VALUE"""),156.91)</f>
        <v>156.91</v>
      </c>
      <c r="K170" s="16">
        <f>IFERROR(__xludf.DUMMYFUNCTION("""COMPUTED_VALUE"""),45777.66666666667)</f>
        <v>45777.66667</v>
      </c>
      <c r="L170" s="9">
        <f>IFERROR(__xludf.DUMMYFUNCTION("""COMPUTED_VALUE"""),156.91)</f>
        <v>156.91</v>
      </c>
      <c r="T170" s="17"/>
      <c r="AC170" s="17"/>
    </row>
    <row r="171">
      <c r="B171" s="11">
        <f>IFERROR(__xludf.DUMMYFUNCTION("""COMPUTED_VALUE"""),45776.66666666667)</f>
        <v>45776.66667</v>
      </c>
      <c r="C171" s="9">
        <f>IFERROR(__xludf.DUMMYFUNCTION("""COMPUTED_VALUE"""),156.43)</f>
        <v>156.43</v>
      </c>
      <c r="K171" s="16">
        <f>IFERROR(__xludf.DUMMYFUNCTION("""COMPUTED_VALUE"""),45776.66666666667)</f>
        <v>45776.66667</v>
      </c>
      <c r="L171" s="9">
        <f>IFERROR(__xludf.DUMMYFUNCTION("""COMPUTED_VALUE"""),156.43)</f>
        <v>156.43</v>
      </c>
      <c r="T171" s="17"/>
      <c r="AC171" s="17"/>
    </row>
    <row r="172">
      <c r="B172" s="11">
        <f>IFERROR(__xludf.DUMMYFUNCTION("""COMPUTED_VALUE"""),45775.66666666667)</f>
        <v>45775.66667</v>
      </c>
      <c r="C172" s="9">
        <f>IFERROR(__xludf.DUMMYFUNCTION("""COMPUTED_VALUE"""),155.72)</f>
        <v>155.72</v>
      </c>
      <c r="K172" s="16">
        <f>IFERROR(__xludf.DUMMYFUNCTION("""COMPUTED_VALUE"""),45775.66666666667)</f>
        <v>45775.66667</v>
      </c>
      <c r="L172" s="9">
        <f>IFERROR(__xludf.DUMMYFUNCTION("""COMPUTED_VALUE"""),155.72)</f>
        <v>155.72</v>
      </c>
      <c r="T172" s="17"/>
      <c r="AC172" s="17"/>
    </row>
    <row r="173">
      <c r="B173" s="11">
        <f>IFERROR(__xludf.DUMMYFUNCTION("""COMPUTED_VALUE"""),45772.66666666667)</f>
        <v>45772.66667</v>
      </c>
      <c r="C173" s="9">
        <f>IFERROR(__xludf.DUMMYFUNCTION("""COMPUTED_VALUE"""),154.73)</f>
        <v>154.73</v>
      </c>
      <c r="K173" s="16">
        <f>IFERROR(__xludf.DUMMYFUNCTION("""COMPUTED_VALUE"""),45772.66666666667)</f>
        <v>45772.66667</v>
      </c>
      <c r="L173" s="9">
        <f>IFERROR(__xludf.DUMMYFUNCTION("""COMPUTED_VALUE"""),154.73)</f>
        <v>154.73</v>
      </c>
      <c r="T173" s="17"/>
      <c r="AC173" s="17"/>
    </row>
    <row r="174">
      <c r="B174" s="11">
        <f>IFERROR(__xludf.DUMMYFUNCTION("""COMPUTED_VALUE"""),45771.66666666667)</f>
        <v>45771.66667</v>
      </c>
      <c r="C174" s="9">
        <f>IFERROR(__xludf.DUMMYFUNCTION("""COMPUTED_VALUE"""),152.86)</f>
        <v>152.86</v>
      </c>
      <c r="K174" s="16">
        <f>IFERROR(__xludf.DUMMYFUNCTION("""COMPUTED_VALUE"""),45771.66666666667)</f>
        <v>45771.66667</v>
      </c>
      <c r="L174" s="9">
        <f>IFERROR(__xludf.DUMMYFUNCTION("""COMPUTED_VALUE"""),152.86)</f>
        <v>152.86</v>
      </c>
      <c r="T174" s="17"/>
      <c r="AC174" s="17"/>
    </row>
    <row r="175">
      <c r="B175" s="11">
        <f>IFERROR(__xludf.DUMMYFUNCTION("""COMPUTED_VALUE"""),45770.66666666667)</f>
        <v>45770.66667</v>
      </c>
      <c r="C175" s="9">
        <f>IFERROR(__xludf.DUMMYFUNCTION("""COMPUTED_VALUE"""),150.24)</f>
        <v>150.24</v>
      </c>
      <c r="K175" s="16">
        <f>IFERROR(__xludf.DUMMYFUNCTION("""COMPUTED_VALUE"""),45770.66666666667)</f>
        <v>45770.66667</v>
      </c>
      <c r="L175" s="9">
        <f>IFERROR(__xludf.DUMMYFUNCTION("""COMPUTED_VALUE"""),150.24)</f>
        <v>150.24</v>
      </c>
      <c r="T175" s="17"/>
      <c r="AC175" s="17"/>
    </row>
    <row r="176">
      <c r="B176" s="11">
        <f>IFERROR(__xludf.DUMMYFUNCTION("""COMPUTED_VALUE"""),45769.66666666667)</f>
        <v>45769.66667</v>
      </c>
      <c r="C176" s="9">
        <f>IFERROR(__xludf.DUMMYFUNCTION("""COMPUTED_VALUE"""),146.16)</f>
        <v>146.16</v>
      </c>
      <c r="K176" s="16">
        <f>IFERROR(__xludf.DUMMYFUNCTION("""COMPUTED_VALUE"""),45769.66666666667)</f>
        <v>45769.66667</v>
      </c>
      <c r="L176" s="9">
        <f>IFERROR(__xludf.DUMMYFUNCTION("""COMPUTED_VALUE"""),146.16)</f>
        <v>146.16</v>
      </c>
      <c r="T176" s="17"/>
      <c r="AC176" s="17"/>
    </row>
    <row r="177">
      <c r="B177" s="11">
        <f>IFERROR(__xludf.DUMMYFUNCTION("""COMPUTED_VALUE"""),45768.66666666667)</f>
        <v>45768.66667</v>
      </c>
      <c r="C177" s="9">
        <f>IFERROR(__xludf.DUMMYFUNCTION("""COMPUTED_VALUE"""),146.46)</f>
        <v>146.46</v>
      </c>
      <c r="K177" s="16">
        <f>IFERROR(__xludf.DUMMYFUNCTION("""COMPUTED_VALUE"""),45768.66666666667)</f>
        <v>45768.66667</v>
      </c>
      <c r="L177" s="9">
        <f>IFERROR(__xludf.DUMMYFUNCTION("""COMPUTED_VALUE"""),146.46)</f>
        <v>146.46</v>
      </c>
      <c r="T177" s="17"/>
      <c r="AC177" s="17"/>
    </row>
    <row r="178">
      <c r="B178" s="11">
        <f>IFERROR(__xludf.DUMMYFUNCTION("""COMPUTED_VALUE"""),45764.66666666667)</f>
        <v>45764.66667</v>
      </c>
      <c r="C178" s="9">
        <f>IFERROR(__xludf.DUMMYFUNCTION("""COMPUTED_VALUE"""),149.55)</f>
        <v>149.55</v>
      </c>
      <c r="K178" s="16">
        <f>IFERROR(__xludf.DUMMYFUNCTION("""COMPUTED_VALUE"""),45764.66666666667)</f>
        <v>45764.66667</v>
      </c>
      <c r="L178" s="9">
        <f>IFERROR(__xludf.DUMMYFUNCTION("""COMPUTED_VALUE"""),149.55)</f>
        <v>149.55</v>
      </c>
      <c r="T178" s="17"/>
      <c r="AC178" s="17"/>
    </row>
    <row r="179">
      <c r="B179" s="11">
        <f>IFERROR(__xludf.DUMMYFUNCTION("""COMPUTED_VALUE"""),45763.66666666667)</f>
        <v>45763.66667</v>
      </c>
      <c r="C179" s="9">
        <f>IFERROR(__xludf.DUMMYFUNCTION("""COMPUTED_VALUE"""),149.66)</f>
        <v>149.66</v>
      </c>
      <c r="K179" s="16">
        <f>IFERROR(__xludf.DUMMYFUNCTION("""COMPUTED_VALUE"""),45763.66666666667)</f>
        <v>45763.66667</v>
      </c>
      <c r="L179" s="9">
        <f>IFERROR(__xludf.DUMMYFUNCTION("""COMPUTED_VALUE"""),149.66)</f>
        <v>149.66</v>
      </c>
      <c r="T179" s="17"/>
      <c r="AC179" s="17"/>
    </row>
    <row r="180">
      <c r="B180" s="11">
        <f>IFERROR(__xludf.DUMMYFUNCTION("""COMPUTED_VALUE"""),45762.66666666667)</f>
        <v>45762.66667</v>
      </c>
      <c r="C180" s="9">
        <f>IFERROR(__xludf.DUMMYFUNCTION("""COMPUTED_VALUE"""),150.31)</f>
        <v>150.31</v>
      </c>
      <c r="K180" s="16">
        <f>IFERROR(__xludf.DUMMYFUNCTION("""COMPUTED_VALUE"""),45762.66666666667)</f>
        <v>45762.66667</v>
      </c>
      <c r="L180" s="9">
        <f>IFERROR(__xludf.DUMMYFUNCTION("""COMPUTED_VALUE"""),150.31)</f>
        <v>150.31</v>
      </c>
      <c r="T180" s="17"/>
      <c r="AC180" s="17"/>
    </row>
    <row r="181">
      <c r="B181" s="11">
        <f>IFERROR(__xludf.DUMMYFUNCTION("""COMPUTED_VALUE"""),45761.66666666667)</f>
        <v>45761.66667</v>
      </c>
      <c r="C181" s="9">
        <f>IFERROR(__xludf.DUMMYFUNCTION("""COMPUTED_VALUE"""),150.87)</f>
        <v>150.87</v>
      </c>
      <c r="K181" s="16">
        <f>IFERROR(__xludf.DUMMYFUNCTION("""COMPUTED_VALUE"""),45761.66666666667)</f>
        <v>45761.66667</v>
      </c>
      <c r="L181" s="9">
        <f>IFERROR(__xludf.DUMMYFUNCTION("""COMPUTED_VALUE"""),150.87)</f>
        <v>150.87</v>
      </c>
      <c r="T181" s="17"/>
      <c r="AC181" s="17"/>
    </row>
    <row r="182">
      <c r="B182" s="11">
        <f>IFERROR(__xludf.DUMMYFUNCTION("""COMPUTED_VALUE"""),45758.66666666667)</f>
        <v>45758.66667</v>
      </c>
      <c r="C182" s="9">
        <f>IFERROR(__xludf.DUMMYFUNCTION("""COMPUTED_VALUE"""),149.11)</f>
        <v>149.11</v>
      </c>
      <c r="K182" s="16">
        <f>IFERROR(__xludf.DUMMYFUNCTION("""COMPUTED_VALUE"""),45758.66666666667)</f>
        <v>45758.66667</v>
      </c>
      <c r="L182" s="9">
        <f>IFERROR(__xludf.DUMMYFUNCTION("""COMPUTED_VALUE"""),149.11)</f>
        <v>149.11</v>
      </c>
      <c r="T182" s="17"/>
      <c r="AC182" s="17"/>
    </row>
    <row r="183">
      <c r="B183" s="11">
        <f>IFERROR(__xludf.DUMMYFUNCTION("""COMPUTED_VALUE"""),45757.66666666667)</f>
        <v>45757.66667</v>
      </c>
      <c r="C183" s="9">
        <f>IFERROR(__xludf.DUMMYFUNCTION("""COMPUTED_VALUE"""),147.08)</f>
        <v>147.08</v>
      </c>
      <c r="K183" s="16">
        <f>IFERROR(__xludf.DUMMYFUNCTION("""COMPUTED_VALUE"""),45757.66666666667)</f>
        <v>45757.66667</v>
      </c>
      <c r="L183" s="9">
        <f>IFERROR(__xludf.DUMMYFUNCTION("""COMPUTED_VALUE"""),147.08)</f>
        <v>147.08</v>
      </c>
      <c r="T183" s="17"/>
      <c r="AC183" s="17"/>
    </row>
    <row r="184">
      <c r="B184" s="11">
        <f>IFERROR(__xludf.DUMMYFUNCTION("""COMPUTED_VALUE"""),45756.66666666667)</f>
        <v>45756.66667</v>
      </c>
      <c r="C184" s="9">
        <f>IFERROR(__xludf.DUMMYFUNCTION("""COMPUTED_VALUE"""),149.83)</f>
        <v>149.83</v>
      </c>
      <c r="K184" s="16">
        <f>IFERROR(__xludf.DUMMYFUNCTION("""COMPUTED_VALUE"""),45756.66666666667)</f>
        <v>45756.66667</v>
      </c>
      <c r="L184" s="9">
        <f>IFERROR(__xludf.DUMMYFUNCTION("""COMPUTED_VALUE"""),149.83)</f>
        <v>149.83</v>
      </c>
      <c r="T184" s="17"/>
      <c r="AC184" s="17"/>
    </row>
    <row r="185">
      <c r="B185" s="11">
        <f>IFERROR(__xludf.DUMMYFUNCTION("""COMPUTED_VALUE"""),45755.66666666667)</f>
        <v>45755.66667</v>
      </c>
      <c r="C185" s="9">
        <f>IFERROR(__xludf.DUMMYFUNCTION("""COMPUTED_VALUE"""),137.4)</f>
        <v>137.4</v>
      </c>
      <c r="K185" s="16">
        <f>IFERROR(__xludf.DUMMYFUNCTION("""COMPUTED_VALUE"""),45755.66666666667)</f>
        <v>45755.66667</v>
      </c>
      <c r="L185" s="9">
        <f>IFERROR(__xludf.DUMMYFUNCTION("""COMPUTED_VALUE"""),137.4)</f>
        <v>137.4</v>
      </c>
      <c r="T185" s="17"/>
      <c r="AC185" s="17"/>
    </row>
    <row r="186">
      <c r="B186" s="11">
        <f>IFERROR(__xludf.DUMMYFUNCTION("""COMPUTED_VALUE"""),45754.66666666667)</f>
        <v>45754.66667</v>
      </c>
      <c r="C186" s="9">
        <f>IFERROR(__xludf.DUMMYFUNCTION("""COMPUTED_VALUE"""),135.8)</f>
        <v>135.8</v>
      </c>
      <c r="K186" s="16">
        <f>IFERROR(__xludf.DUMMYFUNCTION("""COMPUTED_VALUE"""),45754.66666666667)</f>
        <v>45754.66667</v>
      </c>
      <c r="L186" s="9">
        <f>IFERROR(__xludf.DUMMYFUNCTION("""COMPUTED_VALUE"""),135.8)</f>
        <v>135.8</v>
      </c>
      <c r="T186" s="17"/>
      <c r="AC186" s="17"/>
    </row>
    <row r="187">
      <c r="B187" s="11">
        <f>IFERROR(__xludf.DUMMYFUNCTION("""COMPUTED_VALUE"""),45751.66666666667)</f>
        <v>45751.66667</v>
      </c>
      <c r="C187" s="9">
        <f>IFERROR(__xludf.DUMMYFUNCTION("""COMPUTED_VALUE"""),135.31)</f>
        <v>135.31</v>
      </c>
      <c r="K187" s="16">
        <f>IFERROR(__xludf.DUMMYFUNCTION("""COMPUTED_VALUE"""),45751.66666666667)</f>
        <v>45751.66667</v>
      </c>
      <c r="L187" s="9">
        <f>IFERROR(__xludf.DUMMYFUNCTION("""COMPUTED_VALUE"""),135.31)</f>
        <v>135.31</v>
      </c>
      <c r="T187" s="17"/>
      <c r="AC187" s="17"/>
    </row>
    <row r="188">
      <c r="B188" s="11">
        <f>IFERROR(__xludf.DUMMYFUNCTION("""COMPUTED_VALUE"""),45750.66666666667)</f>
        <v>45750.66667</v>
      </c>
      <c r="C188" s="9">
        <f>IFERROR(__xludf.DUMMYFUNCTION("""COMPUTED_VALUE"""),147.78)</f>
        <v>147.78</v>
      </c>
      <c r="K188" s="16">
        <f>IFERROR(__xludf.DUMMYFUNCTION("""COMPUTED_VALUE"""),45750.66666666667)</f>
        <v>45750.66667</v>
      </c>
      <c r="L188" s="9">
        <f>IFERROR(__xludf.DUMMYFUNCTION("""COMPUTED_VALUE"""),147.78)</f>
        <v>147.78</v>
      </c>
      <c r="T188" s="17"/>
      <c r="AC188" s="17"/>
    </row>
    <row r="189">
      <c r="B189" s="11">
        <f>IFERROR(__xludf.DUMMYFUNCTION("""COMPUTED_VALUE"""),45749.66666666667)</f>
        <v>45749.66667</v>
      </c>
      <c r="C189" s="9">
        <f>IFERROR(__xludf.DUMMYFUNCTION("""COMPUTED_VALUE"""),154.78)</f>
        <v>154.78</v>
      </c>
      <c r="K189" s="16">
        <f>IFERROR(__xludf.DUMMYFUNCTION("""COMPUTED_VALUE"""),45749.66666666667)</f>
        <v>45749.66667</v>
      </c>
      <c r="L189" s="9">
        <f>IFERROR(__xludf.DUMMYFUNCTION("""COMPUTED_VALUE"""),154.78)</f>
        <v>154.78</v>
      </c>
      <c r="T189" s="17"/>
      <c r="AC189" s="17"/>
    </row>
    <row r="190">
      <c r="B190" s="11">
        <f>IFERROR(__xludf.DUMMYFUNCTION("""COMPUTED_VALUE"""),45748.66666666667)</f>
        <v>45748.66667</v>
      </c>
      <c r="C190" s="9">
        <f>IFERROR(__xludf.DUMMYFUNCTION("""COMPUTED_VALUE"""),154.21)</f>
        <v>154.21</v>
      </c>
      <c r="K190" s="16">
        <f>IFERROR(__xludf.DUMMYFUNCTION("""COMPUTED_VALUE"""),45748.66666666667)</f>
        <v>45748.66667</v>
      </c>
      <c r="L190" s="9">
        <f>IFERROR(__xludf.DUMMYFUNCTION("""COMPUTED_VALUE"""),154.21)</f>
        <v>154.21</v>
      </c>
      <c r="T190" s="17"/>
      <c r="AC190" s="17"/>
    </row>
    <row r="191">
      <c r="B191" s="11">
        <f>IFERROR(__xludf.DUMMYFUNCTION("""COMPUTED_VALUE"""),45747.66666666667)</f>
        <v>45747.66667</v>
      </c>
      <c r="C191" s="9">
        <f>IFERROR(__xludf.DUMMYFUNCTION("""COMPUTED_VALUE"""),153.1)</f>
        <v>153.1</v>
      </c>
      <c r="K191" s="16">
        <f>IFERROR(__xludf.DUMMYFUNCTION("""COMPUTED_VALUE"""),45747.66666666667)</f>
        <v>45747.66667</v>
      </c>
      <c r="L191" s="9">
        <f>IFERROR(__xludf.DUMMYFUNCTION("""COMPUTED_VALUE"""),153.1)</f>
        <v>153.1</v>
      </c>
      <c r="T191" s="17"/>
      <c r="AC191" s="17"/>
    </row>
    <row r="192">
      <c r="B192" s="11">
        <f>IFERROR(__xludf.DUMMYFUNCTION("""COMPUTED_VALUE"""),45744.66666666667)</f>
        <v>45744.66667</v>
      </c>
      <c r="C192" s="9">
        <f>IFERROR(__xludf.DUMMYFUNCTION("""COMPUTED_VALUE"""),153.23)</f>
        <v>153.23</v>
      </c>
      <c r="K192" s="16">
        <f>IFERROR(__xludf.DUMMYFUNCTION("""COMPUTED_VALUE"""),45744.66666666667)</f>
        <v>45744.66667</v>
      </c>
      <c r="L192" s="9">
        <f>IFERROR(__xludf.DUMMYFUNCTION("""COMPUTED_VALUE"""),153.23)</f>
        <v>153.23</v>
      </c>
      <c r="T192" s="17"/>
      <c r="AC192" s="17"/>
    </row>
    <row r="193">
      <c r="B193" s="11">
        <f>IFERROR(__xludf.DUMMYFUNCTION("""COMPUTED_VALUE"""),45743.66666666667)</f>
        <v>45743.66667</v>
      </c>
      <c r="C193" s="9">
        <f>IFERROR(__xludf.DUMMYFUNCTION("""COMPUTED_VALUE"""),156.37)</f>
        <v>156.37</v>
      </c>
      <c r="K193" s="16">
        <f>IFERROR(__xludf.DUMMYFUNCTION("""COMPUTED_VALUE"""),45743.66666666667)</f>
        <v>45743.66667</v>
      </c>
      <c r="L193" s="9">
        <f>IFERROR(__xludf.DUMMYFUNCTION("""COMPUTED_VALUE"""),156.37)</f>
        <v>156.37</v>
      </c>
      <c r="T193" s="17"/>
      <c r="AC193" s="17"/>
    </row>
    <row r="194">
      <c r="B194" s="11">
        <f>IFERROR(__xludf.DUMMYFUNCTION("""COMPUTED_VALUE"""),45742.66666666667)</f>
        <v>45742.66667</v>
      </c>
      <c r="C194" s="9">
        <f>IFERROR(__xludf.DUMMYFUNCTION("""COMPUTED_VALUE"""),157.13)</f>
        <v>157.13</v>
      </c>
      <c r="K194" s="16">
        <f>IFERROR(__xludf.DUMMYFUNCTION("""COMPUTED_VALUE"""),45742.66666666667)</f>
        <v>45742.66667</v>
      </c>
      <c r="L194" s="9">
        <f>IFERROR(__xludf.DUMMYFUNCTION("""COMPUTED_VALUE"""),157.13)</f>
        <v>157.13</v>
      </c>
      <c r="T194" s="17"/>
      <c r="AC194" s="17"/>
    </row>
    <row r="195">
      <c r="B195" s="11">
        <f>IFERROR(__xludf.DUMMYFUNCTION("""COMPUTED_VALUE"""),45741.66666666667)</f>
        <v>45741.66667</v>
      </c>
      <c r="C195" s="9">
        <f>IFERROR(__xludf.DUMMYFUNCTION("""COMPUTED_VALUE"""),159.5)</f>
        <v>159.5</v>
      </c>
      <c r="K195" s="16">
        <f>IFERROR(__xludf.DUMMYFUNCTION("""COMPUTED_VALUE"""),45741.66666666667)</f>
        <v>45741.66667</v>
      </c>
      <c r="L195" s="9">
        <f>IFERROR(__xludf.DUMMYFUNCTION("""COMPUTED_VALUE"""),159.5)</f>
        <v>159.5</v>
      </c>
      <c r="T195" s="17"/>
      <c r="AC195" s="17"/>
    </row>
    <row r="196">
      <c r="B196" s="11">
        <f>IFERROR(__xludf.DUMMYFUNCTION("""COMPUTED_VALUE"""),45740.66666666667)</f>
        <v>45740.66667</v>
      </c>
      <c r="C196" s="9">
        <f>IFERROR(__xludf.DUMMYFUNCTION("""COMPUTED_VALUE"""),158.12)</f>
        <v>158.12</v>
      </c>
      <c r="K196" s="16">
        <f>IFERROR(__xludf.DUMMYFUNCTION("""COMPUTED_VALUE"""),45740.66666666667)</f>
        <v>45740.66667</v>
      </c>
      <c r="L196" s="9">
        <f>IFERROR(__xludf.DUMMYFUNCTION("""COMPUTED_VALUE"""),158.12)</f>
        <v>158.12</v>
      </c>
      <c r="T196" s="17"/>
      <c r="AC196" s="17"/>
    </row>
    <row r="197">
      <c r="B197" s="11">
        <f>IFERROR(__xludf.DUMMYFUNCTION("""COMPUTED_VALUE"""),45737.66666666667)</f>
        <v>45737.66667</v>
      </c>
      <c r="C197" s="9">
        <f>IFERROR(__xludf.DUMMYFUNCTION("""COMPUTED_VALUE"""),154.74)</f>
        <v>154.74</v>
      </c>
      <c r="K197" s="16">
        <f>IFERROR(__xludf.DUMMYFUNCTION("""COMPUTED_VALUE"""),45737.66666666667)</f>
        <v>45737.66667</v>
      </c>
      <c r="L197" s="9">
        <f>IFERROR(__xludf.DUMMYFUNCTION("""COMPUTED_VALUE"""),154.74)</f>
        <v>154.74</v>
      </c>
      <c r="T197" s="17"/>
      <c r="AC197" s="17"/>
    </row>
    <row r="198">
      <c r="B198" s="11">
        <f>IFERROR(__xludf.DUMMYFUNCTION("""COMPUTED_VALUE"""),45736.66666666667)</f>
        <v>45736.66667</v>
      </c>
      <c r="C198" s="9">
        <f>IFERROR(__xludf.DUMMYFUNCTION("""COMPUTED_VALUE"""),155.13)</f>
        <v>155.13</v>
      </c>
      <c r="K198" s="16">
        <f>IFERROR(__xludf.DUMMYFUNCTION("""COMPUTED_VALUE"""),45736.66666666667)</f>
        <v>45736.66667</v>
      </c>
      <c r="L198" s="9">
        <f>IFERROR(__xludf.DUMMYFUNCTION("""COMPUTED_VALUE"""),155.13)</f>
        <v>155.13</v>
      </c>
      <c r="T198" s="17"/>
      <c r="AC198" s="17"/>
    </row>
    <row r="199">
      <c r="B199" s="11">
        <f>IFERROR(__xludf.DUMMYFUNCTION("""COMPUTED_VALUE"""),45735.66666666667)</f>
        <v>45735.66667</v>
      </c>
      <c r="C199" s="9">
        <f>IFERROR(__xludf.DUMMYFUNCTION("""COMPUTED_VALUE"""),156.38)</f>
        <v>156.38</v>
      </c>
      <c r="K199" s="16">
        <f>IFERROR(__xludf.DUMMYFUNCTION("""COMPUTED_VALUE"""),45735.66666666667)</f>
        <v>45735.66667</v>
      </c>
      <c r="L199" s="9">
        <f>IFERROR(__xludf.DUMMYFUNCTION("""COMPUTED_VALUE"""),156.38)</f>
        <v>156.38</v>
      </c>
      <c r="T199" s="17"/>
      <c r="AC199" s="17"/>
    </row>
    <row r="200">
      <c r="B200" s="11">
        <f>IFERROR(__xludf.DUMMYFUNCTION("""COMPUTED_VALUE"""),45734.66666666667)</f>
        <v>45734.66667</v>
      </c>
      <c r="C200" s="9">
        <f>IFERROR(__xludf.DUMMYFUNCTION("""COMPUTED_VALUE"""),152.73)</f>
        <v>152.73</v>
      </c>
      <c r="K200" s="16">
        <f>IFERROR(__xludf.DUMMYFUNCTION("""COMPUTED_VALUE"""),45734.66666666667)</f>
        <v>45734.66667</v>
      </c>
      <c r="L200" s="9">
        <f>IFERROR(__xludf.DUMMYFUNCTION("""COMPUTED_VALUE"""),152.73)</f>
        <v>152.73</v>
      </c>
      <c r="T200" s="17"/>
      <c r="AC200" s="17"/>
    </row>
    <row r="201">
      <c r="B201" s="11">
        <f>IFERROR(__xludf.DUMMYFUNCTION("""COMPUTED_VALUE"""),45733.66666666667)</f>
        <v>45733.66667</v>
      </c>
      <c r="C201" s="9">
        <f>IFERROR(__xludf.DUMMYFUNCTION("""COMPUTED_VALUE"""),153.43)</f>
        <v>153.43</v>
      </c>
      <c r="K201" s="16">
        <f>IFERROR(__xludf.DUMMYFUNCTION("""COMPUTED_VALUE"""),45733.66666666667)</f>
        <v>45733.66667</v>
      </c>
      <c r="L201" s="9">
        <f>IFERROR(__xludf.DUMMYFUNCTION("""COMPUTED_VALUE"""),153.43)</f>
        <v>153.43</v>
      </c>
      <c r="T201" s="17"/>
      <c r="AC201" s="17"/>
    </row>
    <row r="202">
      <c r="B202" s="11">
        <f>IFERROR(__xludf.DUMMYFUNCTION("""COMPUTED_VALUE"""),45730.66666666667)</f>
        <v>45730.66667</v>
      </c>
      <c r="C202" s="9">
        <f>IFERROR(__xludf.DUMMYFUNCTION("""COMPUTED_VALUE"""),151.24)</f>
        <v>151.24</v>
      </c>
      <c r="K202" s="16">
        <f>IFERROR(__xludf.DUMMYFUNCTION("""COMPUTED_VALUE"""),45730.66666666667)</f>
        <v>45730.66667</v>
      </c>
      <c r="L202" s="9">
        <f>IFERROR(__xludf.DUMMYFUNCTION("""COMPUTED_VALUE"""),151.24)</f>
        <v>151.24</v>
      </c>
      <c r="T202" s="17"/>
      <c r="AC202" s="17"/>
    </row>
    <row r="203">
      <c r="B203" s="11">
        <f>IFERROR(__xludf.DUMMYFUNCTION("""COMPUTED_VALUE"""),45729.66666666667)</f>
        <v>45729.66667</v>
      </c>
      <c r="C203" s="9">
        <f>IFERROR(__xludf.DUMMYFUNCTION("""COMPUTED_VALUE"""),148.93)</f>
        <v>148.93</v>
      </c>
      <c r="K203" s="16">
        <f>IFERROR(__xludf.DUMMYFUNCTION("""COMPUTED_VALUE"""),45729.66666666667)</f>
        <v>45729.66667</v>
      </c>
      <c r="L203" s="9">
        <f>IFERROR(__xludf.DUMMYFUNCTION("""COMPUTED_VALUE"""),148.93)</f>
        <v>148.93</v>
      </c>
      <c r="T203" s="17"/>
      <c r="AC203" s="17"/>
    </row>
    <row r="204">
      <c r="B204" s="11">
        <f>IFERROR(__xludf.DUMMYFUNCTION("""COMPUTED_VALUE"""),45728.66666666667)</f>
        <v>45728.66667</v>
      </c>
      <c r="C204" s="9">
        <f>IFERROR(__xludf.DUMMYFUNCTION("""COMPUTED_VALUE"""),149.33)</f>
        <v>149.33</v>
      </c>
      <c r="K204" s="16">
        <f>IFERROR(__xludf.DUMMYFUNCTION("""COMPUTED_VALUE"""),45728.66666666667)</f>
        <v>45728.66667</v>
      </c>
      <c r="L204" s="9">
        <f>IFERROR(__xludf.DUMMYFUNCTION("""COMPUTED_VALUE"""),149.33)</f>
        <v>149.33</v>
      </c>
      <c r="T204" s="17"/>
      <c r="AC204" s="17"/>
    </row>
    <row r="205">
      <c r="B205" s="11">
        <f>IFERROR(__xludf.DUMMYFUNCTION("""COMPUTED_VALUE"""),45727.66666666667)</f>
        <v>45727.66667</v>
      </c>
      <c r="C205" s="9">
        <f>IFERROR(__xludf.DUMMYFUNCTION("""COMPUTED_VALUE"""),148.33)</f>
        <v>148.33</v>
      </c>
      <c r="K205" s="16">
        <f>IFERROR(__xludf.DUMMYFUNCTION("""COMPUTED_VALUE"""),45727.66666666667)</f>
        <v>45727.66667</v>
      </c>
      <c r="L205" s="9">
        <f>IFERROR(__xludf.DUMMYFUNCTION("""COMPUTED_VALUE"""),148.33)</f>
        <v>148.33</v>
      </c>
      <c r="T205" s="17"/>
      <c r="AC205" s="17"/>
    </row>
    <row r="206">
      <c r="B206" s="11">
        <f>IFERROR(__xludf.DUMMYFUNCTION("""COMPUTED_VALUE"""),45726.66666666667)</f>
        <v>45726.66667</v>
      </c>
      <c r="C206" s="9">
        <f>IFERROR(__xludf.DUMMYFUNCTION("""COMPUTED_VALUE"""),148.12)</f>
        <v>148.12</v>
      </c>
      <c r="K206" s="16">
        <f>IFERROR(__xludf.DUMMYFUNCTION("""COMPUTED_VALUE"""),45726.66666666667)</f>
        <v>45726.66667</v>
      </c>
      <c r="L206" s="9">
        <f>IFERROR(__xludf.DUMMYFUNCTION("""COMPUTED_VALUE"""),148.12)</f>
        <v>148.12</v>
      </c>
      <c r="T206" s="17"/>
      <c r="AC206" s="17"/>
    </row>
    <row r="207">
      <c r="B207" s="11">
        <f>IFERROR(__xludf.DUMMYFUNCTION("""COMPUTED_VALUE"""),45723.66666666667)</f>
        <v>45723.66667</v>
      </c>
      <c r="C207" s="9">
        <f>IFERROR(__xludf.DUMMYFUNCTION("""COMPUTED_VALUE"""),149.74)</f>
        <v>149.74</v>
      </c>
      <c r="K207" s="16">
        <f>IFERROR(__xludf.DUMMYFUNCTION("""COMPUTED_VALUE"""),45723.66666666667)</f>
        <v>45723.66667</v>
      </c>
      <c r="L207" s="9">
        <f>IFERROR(__xludf.DUMMYFUNCTION("""COMPUTED_VALUE"""),149.74)</f>
        <v>149.74</v>
      </c>
      <c r="T207" s="17"/>
      <c r="AC207" s="17"/>
    </row>
    <row r="208">
      <c r="B208" s="11">
        <f>IFERROR(__xludf.DUMMYFUNCTION("""COMPUTED_VALUE"""),45722.66666666667)</f>
        <v>45722.66667</v>
      </c>
      <c r="C208" s="9">
        <f>IFERROR(__xludf.DUMMYFUNCTION("""COMPUTED_VALUE"""),149.43)</f>
        <v>149.43</v>
      </c>
      <c r="K208" s="16">
        <f>IFERROR(__xludf.DUMMYFUNCTION("""COMPUTED_VALUE"""),45722.66666666667)</f>
        <v>45722.66667</v>
      </c>
      <c r="L208" s="9">
        <f>IFERROR(__xludf.DUMMYFUNCTION("""COMPUTED_VALUE"""),149.43)</f>
        <v>149.43</v>
      </c>
      <c r="T208" s="17"/>
      <c r="AC208" s="17"/>
    </row>
    <row r="209">
      <c r="B209" s="11">
        <f>IFERROR(__xludf.DUMMYFUNCTION("""COMPUTED_VALUE"""),45721.66666666667)</f>
        <v>45721.66667</v>
      </c>
      <c r="C209" s="9">
        <f>IFERROR(__xludf.DUMMYFUNCTION("""COMPUTED_VALUE"""),152.52)</f>
        <v>152.52</v>
      </c>
      <c r="K209" s="16">
        <f>IFERROR(__xludf.DUMMYFUNCTION("""COMPUTED_VALUE"""),45721.66666666667)</f>
        <v>45721.66667</v>
      </c>
      <c r="L209" s="9">
        <f>IFERROR(__xludf.DUMMYFUNCTION("""COMPUTED_VALUE"""),152.52)</f>
        <v>152.52</v>
      </c>
      <c r="T209" s="17"/>
      <c r="AC209" s="17"/>
    </row>
    <row r="210">
      <c r="B210" s="11">
        <f>IFERROR(__xludf.DUMMYFUNCTION("""COMPUTED_VALUE"""),45720.66666666667)</f>
        <v>45720.66667</v>
      </c>
      <c r="C210" s="9">
        <f>IFERROR(__xludf.DUMMYFUNCTION("""COMPUTED_VALUE"""),149.35)</f>
        <v>149.35</v>
      </c>
      <c r="K210" s="16">
        <f>IFERROR(__xludf.DUMMYFUNCTION("""COMPUTED_VALUE"""),45720.66666666667)</f>
        <v>45720.66667</v>
      </c>
      <c r="L210" s="9">
        <f>IFERROR(__xludf.DUMMYFUNCTION("""COMPUTED_VALUE"""),149.35)</f>
        <v>149.35</v>
      </c>
      <c r="T210" s="17"/>
      <c r="AC210" s="17"/>
    </row>
    <row r="211">
      <c r="B211" s="11">
        <f>IFERROR(__xludf.DUMMYFUNCTION("""COMPUTED_VALUE"""),45719.66666666667)</f>
        <v>45719.66667</v>
      </c>
      <c r="C211" s="9">
        <f>IFERROR(__xludf.DUMMYFUNCTION("""COMPUTED_VALUE"""),153.05)</f>
        <v>153.05</v>
      </c>
      <c r="K211" s="16">
        <f>IFERROR(__xludf.DUMMYFUNCTION("""COMPUTED_VALUE"""),45719.66666666667)</f>
        <v>45719.66667</v>
      </c>
      <c r="L211" s="9">
        <f>IFERROR(__xludf.DUMMYFUNCTION("""COMPUTED_VALUE"""),153.05)</f>
        <v>153.05</v>
      </c>
      <c r="T211" s="17"/>
      <c r="AC211" s="17"/>
    </row>
    <row r="212">
      <c r="B212" s="11">
        <f>IFERROR(__xludf.DUMMYFUNCTION("""COMPUTED_VALUE"""),45716.66666666667)</f>
        <v>45716.66667</v>
      </c>
      <c r="C212" s="9">
        <f>IFERROR(__xludf.DUMMYFUNCTION("""COMPUTED_VALUE"""),154.79)</f>
        <v>154.79</v>
      </c>
      <c r="K212" s="16">
        <f>IFERROR(__xludf.DUMMYFUNCTION("""COMPUTED_VALUE"""),45716.66666666667)</f>
        <v>45716.66667</v>
      </c>
      <c r="L212" s="9">
        <f>IFERROR(__xludf.DUMMYFUNCTION("""COMPUTED_VALUE"""),154.79)</f>
        <v>154.79</v>
      </c>
      <c r="T212" s="17"/>
      <c r="AC212" s="17"/>
    </row>
    <row r="213">
      <c r="B213" s="11">
        <f>IFERROR(__xludf.DUMMYFUNCTION("""COMPUTED_VALUE"""),45715.66666666667)</f>
        <v>45715.66667</v>
      </c>
      <c r="C213" s="9">
        <f>IFERROR(__xludf.DUMMYFUNCTION("""COMPUTED_VALUE"""),152.3)</f>
        <v>152.3</v>
      </c>
      <c r="K213" s="16">
        <f>IFERROR(__xludf.DUMMYFUNCTION("""COMPUTED_VALUE"""),45715.66666666667)</f>
        <v>45715.66667</v>
      </c>
      <c r="L213" s="9">
        <f>IFERROR(__xludf.DUMMYFUNCTION("""COMPUTED_VALUE"""),152.3)</f>
        <v>152.3</v>
      </c>
      <c r="T213" s="17"/>
      <c r="AC213" s="17"/>
    </row>
    <row r="214">
      <c r="B214" s="11">
        <f>IFERROR(__xludf.DUMMYFUNCTION("""COMPUTED_VALUE"""),45714.66666666667)</f>
        <v>45714.66667</v>
      </c>
      <c r="C214" s="9">
        <f>IFERROR(__xludf.DUMMYFUNCTION("""COMPUTED_VALUE"""),151.14)</f>
        <v>151.14</v>
      </c>
      <c r="K214" s="16">
        <f>IFERROR(__xludf.DUMMYFUNCTION("""COMPUTED_VALUE"""),45714.66666666667)</f>
        <v>45714.66667</v>
      </c>
      <c r="L214" s="9">
        <f>IFERROR(__xludf.DUMMYFUNCTION("""COMPUTED_VALUE"""),151.14)</f>
        <v>151.14</v>
      </c>
      <c r="T214" s="17"/>
      <c r="AC214" s="17"/>
    </row>
    <row r="215">
      <c r="B215" s="11">
        <f>IFERROR(__xludf.DUMMYFUNCTION("""COMPUTED_VALUE"""),45713.66666666667)</f>
        <v>45713.66667</v>
      </c>
      <c r="C215" s="9">
        <f>IFERROR(__xludf.DUMMYFUNCTION("""COMPUTED_VALUE"""),150.45)</f>
        <v>150.45</v>
      </c>
      <c r="K215" s="16">
        <f>IFERROR(__xludf.DUMMYFUNCTION("""COMPUTED_VALUE"""),45713.66666666667)</f>
        <v>45713.66667</v>
      </c>
      <c r="L215" s="9">
        <f>IFERROR(__xludf.DUMMYFUNCTION("""COMPUTED_VALUE"""),150.45)</f>
        <v>150.45</v>
      </c>
      <c r="T215" s="17"/>
      <c r="AC215" s="17"/>
    </row>
    <row r="216">
      <c r="B216" s="11">
        <f>IFERROR(__xludf.DUMMYFUNCTION("""COMPUTED_VALUE"""),45712.66666666667)</f>
        <v>45712.66667</v>
      </c>
      <c r="C216" s="9">
        <f>IFERROR(__xludf.DUMMYFUNCTION("""COMPUTED_VALUE"""),149.59)</f>
        <v>149.59</v>
      </c>
      <c r="K216" s="16">
        <f>IFERROR(__xludf.DUMMYFUNCTION("""COMPUTED_VALUE"""),45712.66666666667)</f>
        <v>45712.66667</v>
      </c>
      <c r="L216" s="9">
        <f>IFERROR(__xludf.DUMMYFUNCTION("""COMPUTED_VALUE"""),149.59)</f>
        <v>149.59</v>
      </c>
      <c r="T216" s="17"/>
      <c r="AC216" s="17"/>
    </row>
    <row r="217">
      <c r="B217" s="11">
        <f>IFERROR(__xludf.DUMMYFUNCTION("""COMPUTED_VALUE"""),45709.66666666667)</f>
        <v>45709.66667</v>
      </c>
      <c r="C217" s="9">
        <f>IFERROR(__xludf.DUMMYFUNCTION("""COMPUTED_VALUE"""),149.35)</f>
        <v>149.35</v>
      </c>
      <c r="K217" s="16">
        <f>IFERROR(__xludf.DUMMYFUNCTION("""COMPUTED_VALUE"""),45709.66666666667)</f>
        <v>45709.66667</v>
      </c>
      <c r="L217" s="9">
        <f>IFERROR(__xludf.DUMMYFUNCTION("""COMPUTED_VALUE"""),149.35)</f>
        <v>149.35</v>
      </c>
      <c r="T217" s="17"/>
      <c r="AC217" s="17"/>
    </row>
    <row r="218">
      <c r="B218" s="11">
        <f>IFERROR(__xludf.DUMMYFUNCTION("""COMPUTED_VALUE"""),45708.66666666667)</f>
        <v>45708.66667</v>
      </c>
      <c r="C218" s="9">
        <f>IFERROR(__xludf.DUMMYFUNCTION("""COMPUTED_VALUE"""),152.92)</f>
        <v>152.92</v>
      </c>
      <c r="K218" s="16">
        <f>IFERROR(__xludf.DUMMYFUNCTION("""COMPUTED_VALUE"""),45708.66666666667)</f>
        <v>45708.66667</v>
      </c>
      <c r="L218" s="9">
        <f>IFERROR(__xludf.DUMMYFUNCTION("""COMPUTED_VALUE"""),152.92)</f>
        <v>152.92</v>
      </c>
      <c r="T218" s="17"/>
      <c r="AC218" s="17"/>
    </row>
    <row r="219">
      <c r="B219" s="11">
        <f>IFERROR(__xludf.DUMMYFUNCTION("""COMPUTED_VALUE"""),45707.66666666667)</f>
        <v>45707.66667</v>
      </c>
      <c r="C219" s="9">
        <f>IFERROR(__xludf.DUMMYFUNCTION("""COMPUTED_VALUE"""),154.37)</f>
        <v>154.37</v>
      </c>
      <c r="K219" s="16">
        <f>IFERROR(__xludf.DUMMYFUNCTION("""COMPUTED_VALUE"""),45707.66666666667)</f>
        <v>45707.66667</v>
      </c>
      <c r="L219" s="9">
        <f>IFERROR(__xludf.DUMMYFUNCTION("""COMPUTED_VALUE"""),154.37)</f>
        <v>154.37</v>
      </c>
      <c r="T219" s="17"/>
      <c r="AC219" s="17"/>
    </row>
    <row r="220">
      <c r="B220" s="11">
        <f>IFERROR(__xludf.DUMMYFUNCTION("""COMPUTED_VALUE"""),45706.66666666667)</f>
        <v>45706.66667</v>
      </c>
      <c r="C220" s="9">
        <f>IFERROR(__xludf.DUMMYFUNCTION("""COMPUTED_VALUE"""),154.74)</f>
        <v>154.74</v>
      </c>
      <c r="K220" s="16">
        <f>IFERROR(__xludf.DUMMYFUNCTION("""COMPUTED_VALUE"""),45706.66666666667)</f>
        <v>45706.66667</v>
      </c>
      <c r="L220" s="9">
        <f>IFERROR(__xludf.DUMMYFUNCTION("""COMPUTED_VALUE"""),154.74)</f>
        <v>154.74</v>
      </c>
      <c r="T220" s="17"/>
      <c r="AC220" s="17"/>
    </row>
    <row r="221">
      <c r="B221" s="11">
        <f>IFERROR(__xludf.DUMMYFUNCTION("""COMPUTED_VALUE"""),45702.66666666667)</f>
        <v>45702.66667</v>
      </c>
      <c r="C221" s="9">
        <f>IFERROR(__xludf.DUMMYFUNCTION("""COMPUTED_VALUE"""),153.55)</f>
        <v>153.55</v>
      </c>
      <c r="K221" s="16">
        <f>IFERROR(__xludf.DUMMYFUNCTION("""COMPUTED_VALUE"""),45702.66666666667)</f>
        <v>45702.66667</v>
      </c>
      <c r="L221" s="9">
        <f>IFERROR(__xludf.DUMMYFUNCTION("""COMPUTED_VALUE"""),153.55)</f>
        <v>153.55</v>
      </c>
      <c r="T221" s="17"/>
      <c r="AC221" s="17"/>
    </row>
    <row r="222">
      <c r="B222" s="11">
        <f>IFERROR(__xludf.DUMMYFUNCTION("""COMPUTED_VALUE"""),45701.66666666667)</f>
        <v>45701.66667</v>
      </c>
      <c r="C222" s="9">
        <f>IFERROR(__xludf.DUMMYFUNCTION("""COMPUTED_VALUE"""),155.05)</f>
        <v>155.05</v>
      </c>
      <c r="K222" s="16">
        <f>IFERROR(__xludf.DUMMYFUNCTION("""COMPUTED_VALUE"""),45701.66666666667)</f>
        <v>45701.66667</v>
      </c>
      <c r="L222" s="9">
        <f>IFERROR(__xludf.DUMMYFUNCTION("""COMPUTED_VALUE"""),155.05)</f>
        <v>155.05</v>
      </c>
      <c r="T222" s="17"/>
      <c r="AC222" s="17"/>
    </row>
    <row r="223">
      <c r="B223" s="11">
        <f>IFERROR(__xludf.DUMMYFUNCTION("""COMPUTED_VALUE"""),45700.66666666667)</f>
        <v>45700.66667</v>
      </c>
      <c r="C223" s="9">
        <f>IFERROR(__xludf.DUMMYFUNCTION("""COMPUTED_VALUE"""),156.41)</f>
        <v>156.41</v>
      </c>
      <c r="K223" s="16">
        <f>IFERROR(__xludf.DUMMYFUNCTION("""COMPUTED_VALUE"""),45700.66666666667)</f>
        <v>45700.66667</v>
      </c>
      <c r="L223" s="9">
        <f>IFERROR(__xludf.DUMMYFUNCTION("""COMPUTED_VALUE"""),156.41)</f>
        <v>156.41</v>
      </c>
      <c r="T223" s="17"/>
      <c r="AC223" s="17"/>
    </row>
    <row r="224">
      <c r="B224" s="11">
        <f>IFERROR(__xludf.DUMMYFUNCTION("""COMPUTED_VALUE"""),45699.66666666667)</f>
        <v>45699.66667</v>
      </c>
      <c r="C224" s="9">
        <f>IFERROR(__xludf.DUMMYFUNCTION("""COMPUTED_VALUE"""),157.48)</f>
        <v>157.48</v>
      </c>
      <c r="K224" s="16">
        <f>IFERROR(__xludf.DUMMYFUNCTION("""COMPUTED_VALUE"""),45699.66666666667)</f>
        <v>45699.66667</v>
      </c>
      <c r="L224" s="9">
        <f>IFERROR(__xludf.DUMMYFUNCTION("""COMPUTED_VALUE"""),157.48)</f>
        <v>157.48</v>
      </c>
      <c r="T224" s="17"/>
      <c r="AC224" s="17"/>
    </row>
    <row r="225">
      <c r="B225" s="11">
        <f>IFERROR(__xludf.DUMMYFUNCTION("""COMPUTED_VALUE"""),45698.66666666667)</f>
        <v>45698.66667</v>
      </c>
      <c r="C225" s="9">
        <f>IFERROR(__xludf.DUMMYFUNCTION("""COMPUTED_VALUE"""),157.18)</f>
        <v>157.18</v>
      </c>
      <c r="K225" s="16">
        <f>IFERROR(__xludf.DUMMYFUNCTION("""COMPUTED_VALUE"""),45698.66666666667)</f>
        <v>45698.66667</v>
      </c>
      <c r="L225" s="9">
        <f>IFERROR(__xludf.DUMMYFUNCTION("""COMPUTED_VALUE"""),157.18)</f>
        <v>157.18</v>
      </c>
      <c r="T225" s="17"/>
      <c r="AC225" s="17"/>
    </row>
    <row r="226">
      <c r="B226" s="11">
        <f>IFERROR(__xludf.DUMMYFUNCTION("""COMPUTED_VALUE"""),45695.66666666667)</f>
        <v>45695.66667</v>
      </c>
      <c r="C226" s="9">
        <f>IFERROR(__xludf.DUMMYFUNCTION("""COMPUTED_VALUE"""),156.45)</f>
        <v>156.45</v>
      </c>
      <c r="K226" s="16">
        <f>IFERROR(__xludf.DUMMYFUNCTION("""COMPUTED_VALUE"""),45695.66666666667)</f>
        <v>45695.66667</v>
      </c>
      <c r="L226" s="9">
        <f>IFERROR(__xludf.DUMMYFUNCTION("""COMPUTED_VALUE"""),156.45)</f>
        <v>156.45</v>
      </c>
      <c r="T226" s="17"/>
      <c r="AC226" s="17"/>
    </row>
    <row r="227">
      <c r="B227" s="11">
        <f>IFERROR(__xludf.DUMMYFUNCTION("""COMPUTED_VALUE"""),45694.66666666667)</f>
        <v>45694.66667</v>
      </c>
      <c r="C227" s="9">
        <f>IFERROR(__xludf.DUMMYFUNCTION("""COMPUTED_VALUE"""),157.03)</f>
        <v>157.03</v>
      </c>
      <c r="K227" s="16">
        <f>IFERROR(__xludf.DUMMYFUNCTION("""COMPUTED_VALUE"""),45694.66666666667)</f>
        <v>45694.66667</v>
      </c>
      <c r="L227" s="9">
        <f>IFERROR(__xludf.DUMMYFUNCTION("""COMPUTED_VALUE"""),157.03)</f>
        <v>157.03</v>
      </c>
      <c r="T227" s="17"/>
      <c r="AC227" s="17"/>
    </row>
    <row r="228">
      <c r="B228" s="11">
        <f>IFERROR(__xludf.DUMMYFUNCTION("""COMPUTED_VALUE"""),45693.66666666667)</f>
        <v>45693.66667</v>
      </c>
      <c r="C228" s="9">
        <f>IFERROR(__xludf.DUMMYFUNCTION("""COMPUTED_VALUE"""),157.32)</f>
        <v>157.32</v>
      </c>
      <c r="K228" s="16">
        <f>IFERROR(__xludf.DUMMYFUNCTION("""COMPUTED_VALUE"""),45693.66666666667)</f>
        <v>45693.66667</v>
      </c>
      <c r="L228" s="9">
        <f>IFERROR(__xludf.DUMMYFUNCTION("""COMPUTED_VALUE"""),157.32)</f>
        <v>157.32</v>
      </c>
      <c r="T228" s="17"/>
      <c r="AC228" s="17"/>
    </row>
    <row r="229">
      <c r="B229" s="11">
        <f>IFERROR(__xludf.DUMMYFUNCTION("""COMPUTED_VALUE"""),45692.66666666667)</f>
        <v>45692.66667</v>
      </c>
      <c r="C229" s="9">
        <f>IFERROR(__xludf.DUMMYFUNCTION("""COMPUTED_VALUE"""),155.83)</f>
        <v>155.83</v>
      </c>
      <c r="K229" s="16">
        <f>IFERROR(__xludf.DUMMYFUNCTION("""COMPUTED_VALUE"""),45692.66666666667)</f>
        <v>45692.66667</v>
      </c>
      <c r="L229" s="9">
        <f>IFERROR(__xludf.DUMMYFUNCTION("""COMPUTED_VALUE"""),155.83)</f>
        <v>155.83</v>
      </c>
      <c r="T229" s="17"/>
      <c r="AC229" s="17"/>
    </row>
    <row r="230">
      <c r="B230" s="11">
        <f>IFERROR(__xludf.DUMMYFUNCTION("""COMPUTED_VALUE"""),45691.66666666667)</f>
        <v>45691.66667</v>
      </c>
      <c r="C230" s="9">
        <f>IFERROR(__xludf.DUMMYFUNCTION("""COMPUTED_VALUE"""),156.79)</f>
        <v>156.79</v>
      </c>
      <c r="K230" s="16">
        <f>IFERROR(__xludf.DUMMYFUNCTION("""COMPUTED_VALUE"""),45691.66666666667)</f>
        <v>45691.66667</v>
      </c>
      <c r="L230" s="9">
        <f>IFERROR(__xludf.DUMMYFUNCTION("""COMPUTED_VALUE"""),156.79)</f>
        <v>156.79</v>
      </c>
      <c r="T230" s="17"/>
      <c r="AC230" s="17"/>
    </row>
    <row r="231">
      <c r="B231" s="11">
        <f>IFERROR(__xludf.DUMMYFUNCTION("""COMPUTED_VALUE"""),45688.66666666667)</f>
        <v>45688.66667</v>
      </c>
      <c r="C231" s="9">
        <f>IFERROR(__xludf.DUMMYFUNCTION("""COMPUTED_VALUE"""),156.58)</f>
        <v>156.58</v>
      </c>
      <c r="K231" s="16">
        <f>IFERROR(__xludf.DUMMYFUNCTION("""COMPUTED_VALUE"""),45688.66666666667)</f>
        <v>45688.66667</v>
      </c>
      <c r="L231" s="9">
        <f>IFERROR(__xludf.DUMMYFUNCTION("""COMPUTED_VALUE"""),156.58)</f>
        <v>156.58</v>
      </c>
      <c r="T231" s="17"/>
      <c r="AC231" s="17"/>
    </row>
    <row r="232">
      <c r="B232" s="11">
        <f>IFERROR(__xludf.DUMMYFUNCTION("""COMPUTED_VALUE"""),45687.66666666667)</f>
        <v>45687.66667</v>
      </c>
      <c r="C232" s="9">
        <f>IFERROR(__xludf.DUMMYFUNCTION("""COMPUTED_VALUE"""),157.22)</f>
        <v>157.22</v>
      </c>
      <c r="K232" s="16">
        <f>IFERROR(__xludf.DUMMYFUNCTION("""COMPUTED_VALUE"""),45687.66666666667)</f>
        <v>45687.66667</v>
      </c>
      <c r="L232" s="9">
        <f>IFERROR(__xludf.DUMMYFUNCTION("""COMPUTED_VALUE"""),157.22)</f>
        <v>157.22</v>
      </c>
      <c r="T232" s="17"/>
      <c r="AC232" s="17"/>
    </row>
    <row r="233">
      <c r="B233" s="11">
        <f>IFERROR(__xludf.DUMMYFUNCTION("""COMPUTED_VALUE"""),45686.66666666667)</f>
        <v>45686.66667</v>
      </c>
      <c r="C233" s="9">
        <f>IFERROR(__xludf.DUMMYFUNCTION("""COMPUTED_VALUE"""),153.96)</f>
        <v>153.96</v>
      </c>
      <c r="K233" s="16">
        <f>IFERROR(__xludf.DUMMYFUNCTION("""COMPUTED_VALUE"""),45686.66666666667)</f>
        <v>45686.66667</v>
      </c>
      <c r="L233" s="9">
        <f>IFERROR(__xludf.DUMMYFUNCTION("""COMPUTED_VALUE"""),153.96)</f>
        <v>153.96</v>
      </c>
      <c r="T233" s="17"/>
      <c r="AC233" s="17"/>
    </row>
    <row r="234">
      <c r="B234" s="11">
        <f>IFERROR(__xludf.DUMMYFUNCTION("""COMPUTED_VALUE"""),45685.66666666667)</f>
        <v>45685.66667</v>
      </c>
      <c r="C234" s="9">
        <f>IFERROR(__xludf.DUMMYFUNCTION("""COMPUTED_VALUE"""),154.93)</f>
        <v>154.93</v>
      </c>
      <c r="K234" s="16">
        <f>IFERROR(__xludf.DUMMYFUNCTION("""COMPUTED_VALUE"""),45685.66666666667)</f>
        <v>45685.66667</v>
      </c>
      <c r="L234" s="9">
        <f>IFERROR(__xludf.DUMMYFUNCTION("""COMPUTED_VALUE"""),154.93)</f>
        <v>154.93</v>
      </c>
      <c r="T234" s="17"/>
      <c r="AC234" s="17"/>
    </row>
    <row r="235">
      <c r="B235" s="11">
        <f>IFERROR(__xludf.DUMMYFUNCTION("""COMPUTED_VALUE"""),45684.66666666667)</f>
        <v>45684.66667</v>
      </c>
      <c r="C235" s="9">
        <f>IFERROR(__xludf.DUMMYFUNCTION("""COMPUTED_VALUE"""),155.02)</f>
        <v>155.02</v>
      </c>
      <c r="K235" s="16">
        <f>IFERROR(__xludf.DUMMYFUNCTION("""COMPUTED_VALUE"""),45684.66666666667)</f>
        <v>45684.66667</v>
      </c>
      <c r="L235" s="9">
        <f>IFERROR(__xludf.DUMMYFUNCTION("""COMPUTED_VALUE"""),155.02)</f>
        <v>155.02</v>
      </c>
      <c r="T235" s="17"/>
      <c r="AC235" s="17"/>
    </row>
    <row r="236">
      <c r="B236" s="11">
        <f>IFERROR(__xludf.DUMMYFUNCTION("""COMPUTED_VALUE"""),45681.66666666667)</f>
        <v>45681.66667</v>
      </c>
      <c r="C236" s="9">
        <f>IFERROR(__xludf.DUMMYFUNCTION("""COMPUTED_VALUE"""),156.72)</f>
        <v>156.72</v>
      </c>
      <c r="K236" s="16">
        <f>IFERROR(__xludf.DUMMYFUNCTION("""COMPUTED_VALUE"""),45681.66666666667)</f>
        <v>45681.66667</v>
      </c>
      <c r="L236" s="9">
        <f>IFERROR(__xludf.DUMMYFUNCTION("""COMPUTED_VALUE"""),156.72)</f>
        <v>156.72</v>
      </c>
      <c r="T236" s="17"/>
      <c r="AC236" s="17"/>
    </row>
    <row r="237">
      <c r="B237" s="11">
        <f>IFERROR(__xludf.DUMMYFUNCTION("""COMPUTED_VALUE"""),45680.66666666667)</f>
        <v>45680.66667</v>
      </c>
      <c r="C237" s="9">
        <f>IFERROR(__xludf.DUMMYFUNCTION("""COMPUTED_VALUE"""),158.5)</f>
        <v>158.5</v>
      </c>
      <c r="K237" s="16">
        <f>IFERROR(__xludf.DUMMYFUNCTION("""COMPUTED_VALUE"""),45680.66666666667)</f>
        <v>45680.66667</v>
      </c>
      <c r="L237" s="9">
        <f>IFERROR(__xludf.DUMMYFUNCTION("""COMPUTED_VALUE"""),158.5)</f>
        <v>158.5</v>
      </c>
      <c r="T237" s="17"/>
      <c r="AC237" s="17"/>
    </row>
    <row r="238">
      <c r="B238" s="11">
        <f>IFERROR(__xludf.DUMMYFUNCTION("""COMPUTED_VALUE"""),45679.66666666667)</f>
        <v>45679.66667</v>
      </c>
      <c r="C238" s="9">
        <f>IFERROR(__xludf.DUMMYFUNCTION("""COMPUTED_VALUE"""),155.58)</f>
        <v>155.58</v>
      </c>
      <c r="K238" s="16">
        <f>IFERROR(__xludf.DUMMYFUNCTION("""COMPUTED_VALUE"""),45679.66666666667)</f>
        <v>45679.66667</v>
      </c>
      <c r="L238" s="9">
        <f>IFERROR(__xludf.DUMMYFUNCTION("""COMPUTED_VALUE"""),155.58)</f>
        <v>155.58</v>
      </c>
      <c r="T238" s="17"/>
      <c r="AC238" s="17"/>
    </row>
    <row r="239">
      <c r="B239" s="11">
        <f>IFERROR(__xludf.DUMMYFUNCTION("""COMPUTED_VALUE"""),45678.66666666667)</f>
        <v>45678.66667</v>
      </c>
      <c r="C239" s="9">
        <f>IFERROR(__xludf.DUMMYFUNCTION("""COMPUTED_VALUE"""),156.5)</f>
        <v>156.5</v>
      </c>
      <c r="K239" s="16">
        <f>IFERROR(__xludf.DUMMYFUNCTION("""COMPUTED_VALUE"""),45678.66666666667)</f>
        <v>45678.66667</v>
      </c>
      <c r="L239" s="9">
        <f>IFERROR(__xludf.DUMMYFUNCTION("""COMPUTED_VALUE"""),156.5)</f>
        <v>156.5</v>
      </c>
      <c r="T239" s="17"/>
      <c r="AC239" s="17"/>
    </row>
    <row r="240">
      <c r="B240" s="11">
        <f>IFERROR(__xludf.DUMMYFUNCTION("""COMPUTED_VALUE"""),45674.66666666667)</f>
        <v>45674.66667</v>
      </c>
      <c r="C240" s="9">
        <f>IFERROR(__xludf.DUMMYFUNCTION("""COMPUTED_VALUE"""),151.62)</f>
        <v>151.62</v>
      </c>
      <c r="K240" s="16">
        <f>IFERROR(__xludf.DUMMYFUNCTION("""COMPUTED_VALUE"""),45674.66666666667)</f>
        <v>45674.66667</v>
      </c>
      <c r="L240" s="9">
        <f>IFERROR(__xludf.DUMMYFUNCTION("""COMPUTED_VALUE"""),151.62)</f>
        <v>151.62</v>
      </c>
      <c r="T240" s="17"/>
      <c r="AC240" s="17"/>
    </row>
    <row r="241">
      <c r="B241" s="11">
        <f>IFERROR(__xludf.DUMMYFUNCTION("""COMPUTED_VALUE"""),45673.66666666667)</f>
        <v>45673.66667</v>
      </c>
      <c r="C241" s="9">
        <f>IFERROR(__xludf.DUMMYFUNCTION("""COMPUTED_VALUE"""),150.35)</f>
        <v>150.35</v>
      </c>
      <c r="K241" s="16">
        <f>IFERROR(__xludf.DUMMYFUNCTION("""COMPUTED_VALUE"""),45673.66666666667)</f>
        <v>45673.66667</v>
      </c>
      <c r="L241" s="9">
        <f>IFERROR(__xludf.DUMMYFUNCTION("""COMPUTED_VALUE"""),150.35)</f>
        <v>150.35</v>
      </c>
      <c r="T241" s="17"/>
      <c r="AC241" s="17"/>
    </row>
    <row r="242">
      <c r="B242" s="11">
        <f>IFERROR(__xludf.DUMMYFUNCTION("""COMPUTED_VALUE"""),45672.66666666667)</f>
        <v>45672.66667</v>
      </c>
      <c r="C242" s="9">
        <f>IFERROR(__xludf.DUMMYFUNCTION("""COMPUTED_VALUE"""),148.89)</f>
        <v>148.89</v>
      </c>
      <c r="K242" s="16">
        <f>IFERROR(__xludf.DUMMYFUNCTION("""COMPUTED_VALUE"""),45672.66666666667)</f>
        <v>45672.66667</v>
      </c>
      <c r="L242" s="9">
        <f>IFERROR(__xludf.DUMMYFUNCTION("""COMPUTED_VALUE"""),148.89)</f>
        <v>148.89</v>
      </c>
      <c r="T242" s="17"/>
      <c r="AC242" s="17"/>
    </row>
    <row r="243">
      <c r="B243" s="11">
        <f>IFERROR(__xludf.DUMMYFUNCTION("""COMPUTED_VALUE"""),45671.66666666667)</f>
        <v>45671.66667</v>
      </c>
      <c r="C243" s="9">
        <f>IFERROR(__xludf.DUMMYFUNCTION("""COMPUTED_VALUE"""),148.08)</f>
        <v>148.08</v>
      </c>
      <c r="K243" s="16">
        <f>IFERROR(__xludf.DUMMYFUNCTION("""COMPUTED_VALUE"""),45671.66666666667)</f>
        <v>45671.66667</v>
      </c>
      <c r="L243" s="9">
        <f>IFERROR(__xludf.DUMMYFUNCTION("""COMPUTED_VALUE"""),148.08)</f>
        <v>148.08</v>
      </c>
      <c r="T243" s="17"/>
      <c r="AC243" s="17"/>
    </row>
    <row r="244">
      <c r="B244" s="11">
        <f>IFERROR(__xludf.DUMMYFUNCTION("""COMPUTED_VALUE"""),45670.66666666667)</f>
        <v>45670.66667</v>
      </c>
      <c r="C244" s="9">
        <f>IFERROR(__xludf.DUMMYFUNCTION("""COMPUTED_VALUE"""),146.13)</f>
        <v>146.13</v>
      </c>
      <c r="K244" s="16">
        <f>IFERROR(__xludf.DUMMYFUNCTION("""COMPUTED_VALUE"""),45670.66666666667)</f>
        <v>45670.66667</v>
      </c>
      <c r="L244" s="9">
        <f>IFERROR(__xludf.DUMMYFUNCTION("""COMPUTED_VALUE"""),146.13)</f>
        <v>146.13</v>
      </c>
      <c r="T244" s="17"/>
      <c r="AC244" s="17"/>
    </row>
    <row r="245">
      <c r="B245" s="11">
        <f>IFERROR(__xludf.DUMMYFUNCTION("""COMPUTED_VALUE"""),45667.66666666667)</f>
        <v>45667.66667</v>
      </c>
      <c r="C245" s="9">
        <f>IFERROR(__xludf.DUMMYFUNCTION("""COMPUTED_VALUE"""),145.08)</f>
        <v>145.08</v>
      </c>
      <c r="K245" s="16">
        <f>IFERROR(__xludf.DUMMYFUNCTION("""COMPUTED_VALUE"""),45667.66666666667)</f>
        <v>45667.66667</v>
      </c>
      <c r="L245" s="9">
        <f>IFERROR(__xludf.DUMMYFUNCTION("""COMPUTED_VALUE"""),145.08)</f>
        <v>145.08</v>
      </c>
      <c r="T245" s="17"/>
      <c r="AC245" s="17"/>
    </row>
    <row r="246">
      <c r="B246" s="11">
        <f>IFERROR(__xludf.DUMMYFUNCTION("""COMPUTED_VALUE"""),45665.66666666667)</f>
        <v>45665.66667</v>
      </c>
      <c r="C246" s="9">
        <f>IFERROR(__xludf.DUMMYFUNCTION("""COMPUTED_VALUE"""),146.0)</f>
        <v>146</v>
      </c>
      <c r="K246" s="16">
        <f>IFERROR(__xludf.DUMMYFUNCTION("""COMPUTED_VALUE"""),45665.66666666667)</f>
        <v>45665.66667</v>
      </c>
      <c r="L246" s="9">
        <f>IFERROR(__xludf.DUMMYFUNCTION("""COMPUTED_VALUE"""),146.0)</f>
        <v>146</v>
      </c>
      <c r="T246" s="17"/>
      <c r="AC246" s="17"/>
    </row>
    <row r="247">
      <c r="B247" s="11">
        <f>IFERROR(__xludf.DUMMYFUNCTION("""COMPUTED_VALUE"""),45664.66666666667)</f>
        <v>45664.66667</v>
      </c>
      <c r="C247" s="9">
        <f>IFERROR(__xludf.DUMMYFUNCTION("""COMPUTED_VALUE"""),144.84)</f>
        <v>144.84</v>
      </c>
      <c r="K247" s="16">
        <f>IFERROR(__xludf.DUMMYFUNCTION("""COMPUTED_VALUE"""),45664.66666666667)</f>
        <v>45664.66667</v>
      </c>
      <c r="L247" s="9">
        <f>IFERROR(__xludf.DUMMYFUNCTION("""COMPUTED_VALUE"""),144.84)</f>
        <v>144.84</v>
      </c>
      <c r="T247" s="17"/>
      <c r="AC247" s="17"/>
    </row>
    <row r="248">
      <c r="B248" s="11">
        <f>IFERROR(__xludf.DUMMYFUNCTION("""COMPUTED_VALUE"""),45663.66666666667)</f>
        <v>45663.66667</v>
      </c>
      <c r="C248" s="9">
        <f>IFERROR(__xludf.DUMMYFUNCTION("""COMPUTED_VALUE"""),144.97)</f>
        <v>144.97</v>
      </c>
      <c r="K248" s="16">
        <f>IFERROR(__xludf.DUMMYFUNCTION("""COMPUTED_VALUE"""),45663.66666666667)</f>
        <v>45663.66667</v>
      </c>
      <c r="L248" s="9">
        <f>IFERROR(__xludf.DUMMYFUNCTION("""COMPUTED_VALUE"""),144.97)</f>
        <v>144.97</v>
      </c>
      <c r="T248" s="17"/>
      <c r="AC248" s="17"/>
    </row>
    <row r="249">
      <c r="B249" s="11">
        <f>IFERROR(__xludf.DUMMYFUNCTION("""COMPUTED_VALUE"""),45660.66666666667)</f>
        <v>45660.66667</v>
      </c>
      <c r="C249" s="9">
        <f>IFERROR(__xludf.DUMMYFUNCTION("""COMPUTED_VALUE"""),146.2)</f>
        <v>146.2</v>
      </c>
      <c r="K249" s="16">
        <f>IFERROR(__xludf.DUMMYFUNCTION("""COMPUTED_VALUE"""),45660.66666666667)</f>
        <v>45660.66667</v>
      </c>
      <c r="L249" s="9">
        <f>IFERROR(__xludf.DUMMYFUNCTION("""COMPUTED_VALUE"""),146.2)</f>
        <v>146.2</v>
      </c>
      <c r="T249" s="17"/>
      <c r="AC249" s="17"/>
    </row>
    <row r="250">
      <c r="B250" s="11">
        <f>IFERROR(__xludf.DUMMYFUNCTION("""COMPUTED_VALUE"""),45659.66666666667)</f>
        <v>45659.66667</v>
      </c>
      <c r="C250" s="9">
        <f>IFERROR(__xludf.DUMMYFUNCTION("""COMPUTED_VALUE"""),144.86)</f>
        <v>144.86</v>
      </c>
      <c r="K250" s="16"/>
      <c r="T250" s="17"/>
      <c r="AC250" s="17"/>
    </row>
    <row r="251">
      <c r="B251" s="11">
        <f>IFERROR(__xludf.DUMMYFUNCTION("""COMPUTED_VALUE"""),45657.66666666667)</f>
        <v>45657.66667</v>
      </c>
      <c r="C251" s="9">
        <f>IFERROR(__xludf.DUMMYFUNCTION("""COMPUTED_VALUE"""),145.35)</f>
        <v>145.35</v>
      </c>
      <c r="K251" s="16"/>
      <c r="T251" s="17"/>
      <c r="AC251" s="17"/>
    </row>
    <row r="252">
      <c r="B252" s="11">
        <f>IFERROR(__xludf.DUMMYFUNCTION("""COMPUTED_VALUE"""),45656.66666666667)</f>
        <v>45656.66667</v>
      </c>
      <c r="C252" s="9">
        <f>IFERROR(__xludf.DUMMYFUNCTION("""COMPUTED_VALUE"""),145.71)</f>
        <v>145.71</v>
      </c>
      <c r="K252" s="16"/>
      <c r="T252" s="17"/>
      <c r="AC252" s="17"/>
    </row>
    <row r="253">
      <c r="B253" s="11">
        <f>IFERROR(__xludf.DUMMYFUNCTION("""COMPUTED_VALUE"""),45653.66666666667)</f>
        <v>45653.66667</v>
      </c>
      <c r="C253" s="9">
        <f>IFERROR(__xludf.DUMMYFUNCTION("""COMPUTED_VALUE"""),147.62)</f>
        <v>147.62</v>
      </c>
      <c r="K253" s="16"/>
      <c r="T253" s="17"/>
      <c r="AC253" s="17"/>
    </row>
    <row r="254">
      <c r="B254" s="11">
        <f>IFERROR(__xludf.DUMMYFUNCTION("""COMPUTED_VALUE"""),45652.66666666667)</f>
        <v>45652.66667</v>
      </c>
      <c r="C254" s="9">
        <f>IFERROR(__xludf.DUMMYFUNCTION("""COMPUTED_VALUE"""),148.45)</f>
        <v>148.45</v>
      </c>
      <c r="K254" s="16"/>
      <c r="T254" s="17"/>
      <c r="AC254" s="17"/>
    </row>
    <row r="255">
      <c r="B255" s="11">
        <f>IFERROR(__xludf.DUMMYFUNCTION("""COMPUTED_VALUE"""),45650.66666666667)</f>
        <v>45650.66667</v>
      </c>
      <c r="C255" s="9">
        <f>IFERROR(__xludf.DUMMYFUNCTION("""COMPUTED_VALUE"""),147.86)</f>
        <v>147.86</v>
      </c>
      <c r="K255" s="16"/>
      <c r="T255" s="17"/>
      <c r="AC255" s="17"/>
    </row>
    <row r="256">
      <c r="B256" s="11">
        <f>IFERROR(__xludf.DUMMYFUNCTION("""COMPUTED_VALUE"""),45649.66666666667)</f>
        <v>45649.66667</v>
      </c>
      <c r="C256" s="9">
        <f>IFERROR(__xludf.DUMMYFUNCTION("""COMPUTED_VALUE"""),146.51)</f>
        <v>146.51</v>
      </c>
      <c r="K256" s="16"/>
      <c r="T256" s="17"/>
      <c r="AC256" s="17"/>
    </row>
    <row r="257">
      <c r="B257" s="11">
        <f>IFERROR(__xludf.DUMMYFUNCTION("""COMPUTED_VALUE"""),45646.66666666667)</f>
        <v>45646.66667</v>
      </c>
      <c r="C257" s="9">
        <f>IFERROR(__xludf.DUMMYFUNCTION("""COMPUTED_VALUE"""),146.32)</f>
        <v>146.32</v>
      </c>
      <c r="K257" s="16"/>
      <c r="T257" s="17"/>
      <c r="AC257" s="17"/>
    </row>
    <row r="258">
      <c r="B258" s="11">
        <f>IFERROR(__xludf.DUMMYFUNCTION("""COMPUTED_VALUE"""),45645.66666666667)</f>
        <v>45645.66667</v>
      </c>
      <c r="C258" s="9">
        <f>IFERROR(__xludf.DUMMYFUNCTION("""COMPUTED_VALUE"""),144.31)</f>
        <v>144.31</v>
      </c>
      <c r="K258" s="16"/>
      <c r="T258" s="17"/>
      <c r="AC258" s="17"/>
    </row>
    <row r="259">
      <c r="B259" s="11">
        <f>IFERROR(__xludf.DUMMYFUNCTION("""COMPUTED_VALUE"""),45644.66666666667)</f>
        <v>45644.66667</v>
      </c>
      <c r="C259" s="9">
        <f>IFERROR(__xludf.DUMMYFUNCTION("""COMPUTED_VALUE"""),143.03)</f>
        <v>143.03</v>
      </c>
      <c r="K259" s="16"/>
      <c r="T259" s="17"/>
      <c r="AC259" s="17"/>
    </row>
    <row r="260">
      <c r="B260" s="11">
        <f>IFERROR(__xludf.DUMMYFUNCTION("""COMPUTED_VALUE"""),45643.66666666667)</f>
        <v>45643.66667</v>
      </c>
      <c r="C260" s="9">
        <f>IFERROR(__xludf.DUMMYFUNCTION("""COMPUTED_VALUE"""),147.86)</f>
        <v>147.86</v>
      </c>
      <c r="K260" s="16"/>
      <c r="T260" s="17"/>
      <c r="AC260" s="17"/>
    </row>
    <row r="261">
      <c r="B261" s="11">
        <f>IFERROR(__xludf.DUMMYFUNCTION("""COMPUTED_VALUE"""),45642.66666666667)</f>
        <v>45642.66667</v>
      </c>
      <c r="C261" s="9">
        <f>IFERROR(__xludf.DUMMYFUNCTION("""COMPUTED_VALUE"""),149.62)</f>
        <v>149.62</v>
      </c>
      <c r="K261" s="16"/>
      <c r="T261" s="17"/>
      <c r="AC261" s="17"/>
    </row>
    <row r="262">
      <c r="B262" s="11">
        <f>IFERROR(__xludf.DUMMYFUNCTION("""COMPUTED_VALUE"""),45639.66666666667)</f>
        <v>45639.66667</v>
      </c>
      <c r="C262" s="9">
        <f>IFERROR(__xludf.DUMMYFUNCTION("""COMPUTED_VALUE"""),148.37)</f>
        <v>148.37</v>
      </c>
      <c r="K262" s="16"/>
      <c r="T262" s="17"/>
      <c r="AC262" s="17"/>
    </row>
    <row r="263">
      <c r="B263" s="11">
        <f>IFERROR(__xludf.DUMMYFUNCTION("""COMPUTED_VALUE"""),45638.66666666667)</f>
        <v>45638.66667</v>
      </c>
      <c r="C263" s="9">
        <f>IFERROR(__xludf.DUMMYFUNCTION("""COMPUTED_VALUE"""),147.54)</f>
        <v>147.54</v>
      </c>
      <c r="K263" s="16"/>
      <c r="T263" s="17"/>
      <c r="AC263" s="17"/>
    </row>
    <row r="264">
      <c r="B264" s="11">
        <f>IFERROR(__xludf.DUMMYFUNCTION("""COMPUTED_VALUE"""),45637.66666666667)</f>
        <v>45637.66667</v>
      </c>
      <c r="C264" s="9">
        <f>IFERROR(__xludf.DUMMYFUNCTION("""COMPUTED_VALUE"""),149.29)</f>
        <v>149.29</v>
      </c>
      <c r="K264" s="16"/>
      <c r="T264" s="17"/>
      <c r="AC264" s="17"/>
    </row>
    <row r="265">
      <c r="B265" s="11">
        <f>IFERROR(__xludf.DUMMYFUNCTION("""COMPUTED_VALUE"""),45636.66666666667)</f>
        <v>45636.66667</v>
      </c>
      <c r="C265" s="9">
        <f>IFERROR(__xludf.DUMMYFUNCTION("""COMPUTED_VALUE"""),149.78)</f>
        <v>149.78</v>
      </c>
      <c r="K265" s="16"/>
      <c r="T265" s="17"/>
      <c r="AC265" s="17"/>
    </row>
    <row r="266">
      <c r="B266" s="11">
        <f>IFERROR(__xludf.DUMMYFUNCTION("""COMPUTED_VALUE"""),45635.66666666667)</f>
        <v>45635.66667</v>
      </c>
      <c r="C266" s="9">
        <f>IFERROR(__xludf.DUMMYFUNCTION("""COMPUTED_VALUE"""),149.3)</f>
        <v>149.3</v>
      </c>
      <c r="K266" s="16"/>
      <c r="T266" s="17"/>
      <c r="AC266" s="17"/>
    </row>
    <row r="267">
      <c r="B267" s="11">
        <f>IFERROR(__xludf.DUMMYFUNCTION("""COMPUTED_VALUE"""),45632.66666666667)</f>
        <v>45632.66667</v>
      </c>
      <c r="C267" s="9">
        <f>IFERROR(__xludf.DUMMYFUNCTION("""COMPUTED_VALUE"""),152.11)</f>
        <v>152.11</v>
      </c>
      <c r="K267" s="16"/>
      <c r="T267" s="17"/>
      <c r="AC267" s="17"/>
    </row>
    <row r="268">
      <c r="B268" s="11">
        <f>IFERROR(__xludf.DUMMYFUNCTION("""COMPUTED_VALUE"""),45631.66666666667)</f>
        <v>45631.66667</v>
      </c>
      <c r="C268" s="9">
        <f>IFERROR(__xludf.DUMMYFUNCTION("""COMPUTED_VALUE"""),152.78)</f>
        <v>152.78</v>
      </c>
      <c r="K268" s="16"/>
      <c r="T268" s="17"/>
      <c r="AC268" s="17"/>
    </row>
    <row r="269">
      <c r="B269" s="11">
        <f>IFERROR(__xludf.DUMMYFUNCTION("""COMPUTED_VALUE"""),45630.66666666667)</f>
        <v>45630.66667</v>
      </c>
      <c r="C269" s="9">
        <f>IFERROR(__xludf.DUMMYFUNCTION("""COMPUTED_VALUE"""),155.24)</f>
        <v>155.24</v>
      </c>
      <c r="K269" s="16"/>
      <c r="T269" s="17"/>
      <c r="AC269" s="17"/>
    </row>
    <row r="270">
      <c r="B270" s="11">
        <f>IFERROR(__xludf.DUMMYFUNCTION("""COMPUTED_VALUE"""),45629.66666666667)</f>
        <v>45629.66667</v>
      </c>
      <c r="C270" s="9">
        <f>IFERROR(__xludf.DUMMYFUNCTION("""COMPUTED_VALUE"""),153.41)</f>
        <v>153.41</v>
      </c>
      <c r="K270" s="16"/>
      <c r="T270" s="17"/>
      <c r="AC270" s="17"/>
    </row>
    <row r="271">
      <c r="B271" s="11">
        <f>IFERROR(__xludf.DUMMYFUNCTION("""COMPUTED_VALUE"""),45628.66666666667)</f>
        <v>45628.66667</v>
      </c>
      <c r="C271" s="9">
        <f>IFERROR(__xludf.DUMMYFUNCTION("""COMPUTED_VALUE"""),153.37)</f>
        <v>153.37</v>
      </c>
      <c r="K271" s="16"/>
      <c r="T271" s="17"/>
      <c r="AC271" s="17"/>
    </row>
    <row r="272">
      <c r="B272" s="11">
        <f>IFERROR(__xludf.DUMMYFUNCTION("""COMPUTED_VALUE"""),45625.51041666667)</f>
        <v>45625.51042</v>
      </c>
      <c r="C272" s="9">
        <f>IFERROR(__xludf.DUMMYFUNCTION("""COMPUTED_VALUE"""),155.57)</f>
        <v>155.57</v>
      </c>
      <c r="K272" s="16"/>
      <c r="T272" s="17"/>
      <c r="AC272" s="17"/>
    </row>
    <row r="273">
      <c r="B273" s="11">
        <f>IFERROR(__xludf.DUMMYFUNCTION("""COMPUTED_VALUE"""),45623.66666666667)</f>
        <v>45623.66667</v>
      </c>
      <c r="C273" s="9">
        <f>IFERROR(__xludf.DUMMYFUNCTION("""COMPUTED_VALUE"""),153.86)</f>
        <v>153.86</v>
      </c>
      <c r="K273" s="16"/>
      <c r="T273" s="17"/>
      <c r="AC273" s="17"/>
    </row>
    <row r="274">
      <c r="B274" s="11">
        <f>IFERROR(__xludf.DUMMYFUNCTION("""COMPUTED_VALUE"""),45622.66666666667)</f>
        <v>45622.66667</v>
      </c>
      <c r="C274" s="9">
        <f>IFERROR(__xludf.DUMMYFUNCTION("""COMPUTED_VALUE"""),154.69)</f>
        <v>154.69</v>
      </c>
      <c r="K274" s="16"/>
      <c r="T274" s="17"/>
      <c r="AC274" s="17"/>
    </row>
    <row r="275">
      <c r="B275" s="11">
        <f>IFERROR(__xludf.DUMMYFUNCTION("""COMPUTED_VALUE"""),45621.66666666667)</f>
        <v>45621.66667</v>
      </c>
      <c r="C275" s="9">
        <f>IFERROR(__xludf.DUMMYFUNCTION("""COMPUTED_VALUE"""),152.88)</f>
        <v>152.88</v>
      </c>
      <c r="K275" s="16"/>
      <c r="T275" s="17"/>
      <c r="AC275" s="17"/>
    </row>
    <row r="276">
      <c r="B276" s="11">
        <f>IFERROR(__xludf.DUMMYFUNCTION("""COMPUTED_VALUE"""),45618.66666666667)</f>
        <v>45618.66667</v>
      </c>
      <c r="C276" s="9">
        <f>IFERROR(__xludf.DUMMYFUNCTION("""COMPUTED_VALUE"""),154.51)</f>
        <v>154.51</v>
      </c>
      <c r="K276" s="16"/>
      <c r="T276" s="17"/>
      <c r="AC276" s="17"/>
    </row>
    <row r="277">
      <c r="B277" s="11">
        <f>IFERROR(__xludf.DUMMYFUNCTION("""COMPUTED_VALUE"""),45617.66666666667)</f>
        <v>45617.66667</v>
      </c>
      <c r="C277" s="9">
        <f>IFERROR(__xludf.DUMMYFUNCTION("""COMPUTED_VALUE"""),152.92)</f>
        <v>152.92</v>
      </c>
      <c r="K277" s="16"/>
      <c r="T277" s="17"/>
      <c r="AC277" s="17"/>
    </row>
    <row r="278">
      <c r="B278" s="11">
        <f>IFERROR(__xludf.DUMMYFUNCTION("""COMPUTED_VALUE"""),45616.66666666667)</f>
        <v>45616.66667</v>
      </c>
      <c r="C278" s="9">
        <f>IFERROR(__xludf.DUMMYFUNCTION("""COMPUTED_VALUE"""),151.66)</f>
        <v>151.66</v>
      </c>
      <c r="K278" s="16"/>
      <c r="T278" s="17"/>
      <c r="AC278" s="17"/>
    </row>
    <row r="279">
      <c r="B279" s="11">
        <f>IFERROR(__xludf.DUMMYFUNCTION("""COMPUTED_VALUE"""),45615.66666666667)</f>
        <v>45615.66667</v>
      </c>
      <c r="C279" s="9">
        <f>IFERROR(__xludf.DUMMYFUNCTION("""COMPUTED_VALUE"""),150.98)</f>
        <v>150.98</v>
      </c>
      <c r="K279" s="16"/>
      <c r="T279" s="17"/>
      <c r="AC279" s="17"/>
    </row>
    <row r="280">
      <c r="B280" s="11">
        <f>IFERROR(__xludf.DUMMYFUNCTION("""COMPUTED_VALUE"""),45614.66666666667)</f>
        <v>45614.66667</v>
      </c>
      <c r="C280" s="9">
        <f>IFERROR(__xludf.DUMMYFUNCTION("""COMPUTED_VALUE"""),150.31)</f>
        <v>150.31</v>
      </c>
      <c r="K280" s="16"/>
      <c r="T280" s="17"/>
      <c r="AC280" s="17"/>
    </row>
    <row r="281">
      <c r="B281" s="11">
        <f>IFERROR(__xludf.DUMMYFUNCTION("""COMPUTED_VALUE"""),45611.66666666667)</f>
        <v>45611.66667</v>
      </c>
      <c r="C281" s="9">
        <f>IFERROR(__xludf.DUMMYFUNCTION("""COMPUTED_VALUE"""),150.09)</f>
        <v>150.09</v>
      </c>
      <c r="K281" s="16"/>
      <c r="T281" s="17"/>
      <c r="AC281" s="17"/>
    </row>
    <row r="282">
      <c r="B282" s="11">
        <f>IFERROR(__xludf.DUMMYFUNCTION("""COMPUTED_VALUE"""),45610.66666666667)</f>
        <v>45610.66667</v>
      </c>
      <c r="C282" s="9">
        <f>IFERROR(__xludf.DUMMYFUNCTION("""COMPUTED_VALUE"""),151.17)</f>
        <v>151.17</v>
      </c>
      <c r="K282" s="16"/>
      <c r="T282" s="17"/>
      <c r="AC282" s="17"/>
    </row>
    <row r="283">
      <c r="B283" s="11">
        <f>IFERROR(__xludf.DUMMYFUNCTION("""COMPUTED_VALUE"""),45609.66666666667)</f>
        <v>45609.66667</v>
      </c>
      <c r="C283" s="9">
        <f>IFERROR(__xludf.DUMMYFUNCTION("""COMPUTED_VALUE"""),156.07)</f>
        <v>156.07</v>
      </c>
      <c r="K283" s="16"/>
      <c r="T283" s="17"/>
      <c r="AC283" s="17"/>
    </row>
    <row r="284">
      <c r="B284" s="11">
        <f>IFERROR(__xludf.DUMMYFUNCTION("""COMPUTED_VALUE"""),45608.66666666667)</f>
        <v>45608.66667</v>
      </c>
      <c r="C284" s="9">
        <f>IFERROR(__xludf.DUMMYFUNCTION("""COMPUTED_VALUE"""),155.5)</f>
        <v>155.5</v>
      </c>
      <c r="K284" s="16"/>
      <c r="T284" s="17"/>
      <c r="AC284" s="17"/>
    </row>
    <row r="285">
      <c r="B285" s="11">
        <f>IFERROR(__xludf.DUMMYFUNCTION("""COMPUTED_VALUE"""),45607.66666666667)</f>
        <v>45607.66667</v>
      </c>
      <c r="C285" s="9">
        <f>IFERROR(__xludf.DUMMYFUNCTION("""COMPUTED_VALUE"""),157.31)</f>
        <v>157.31</v>
      </c>
      <c r="K285" s="16"/>
      <c r="T285" s="17"/>
      <c r="AC285" s="17"/>
    </row>
    <row r="286">
      <c r="B286" s="11">
        <f>IFERROR(__xludf.DUMMYFUNCTION("""COMPUTED_VALUE"""),45604.66666666667)</f>
        <v>45604.66667</v>
      </c>
      <c r="C286" s="9">
        <f>IFERROR(__xludf.DUMMYFUNCTION("""COMPUTED_VALUE"""),155.82)</f>
        <v>155.82</v>
      </c>
      <c r="K286" s="16"/>
      <c r="T286" s="17"/>
      <c r="AC286" s="17"/>
    </row>
    <row r="287">
      <c r="B287" s="11">
        <f>IFERROR(__xludf.DUMMYFUNCTION("""COMPUTED_VALUE"""),45603.66666666667)</f>
        <v>45603.66667</v>
      </c>
      <c r="C287" s="9">
        <f>IFERROR(__xludf.DUMMYFUNCTION("""COMPUTED_VALUE"""),150.26)</f>
        <v>150.26</v>
      </c>
      <c r="K287" s="16"/>
      <c r="T287" s="17"/>
      <c r="AC287" s="17"/>
    </row>
    <row r="288">
      <c r="B288" s="11">
        <f>IFERROR(__xludf.DUMMYFUNCTION("""COMPUTED_VALUE"""),45602.66666666667)</f>
        <v>45602.66667</v>
      </c>
      <c r="C288" s="9">
        <f>IFERROR(__xludf.DUMMYFUNCTION("""COMPUTED_VALUE"""),151.16)</f>
        <v>151.16</v>
      </c>
      <c r="K288" s="16"/>
      <c r="T288" s="17"/>
      <c r="AC288" s="17"/>
    </row>
    <row r="289">
      <c r="B289" s="11">
        <f>IFERROR(__xludf.DUMMYFUNCTION("""COMPUTED_VALUE"""),45601.66666666667)</f>
        <v>45601.66667</v>
      </c>
      <c r="C289" s="9">
        <f>IFERROR(__xludf.DUMMYFUNCTION("""COMPUTED_VALUE"""),146.49)</f>
        <v>146.49</v>
      </c>
      <c r="K289" s="16"/>
      <c r="T289" s="17"/>
      <c r="AC289" s="17"/>
    </row>
    <row r="290">
      <c r="B290" s="11">
        <f>IFERROR(__xludf.DUMMYFUNCTION("""COMPUTED_VALUE"""),45600.66666666667)</f>
        <v>45600.66667</v>
      </c>
      <c r="C290" s="9">
        <f>IFERROR(__xludf.DUMMYFUNCTION("""COMPUTED_VALUE"""),144.76)</f>
        <v>144.76</v>
      </c>
      <c r="K290" s="16"/>
      <c r="T290" s="17"/>
      <c r="AC290" s="17"/>
    </row>
    <row r="291">
      <c r="B291" s="11">
        <f>IFERROR(__xludf.DUMMYFUNCTION("""COMPUTED_VALUE"""),45597.66666666667)</f>
        <v>45597.66667</v>
      </c>
      <c r="C291" s="9">
        <f>IFERROR(__xludf.DUMMYFUNCTION("""COMPUTED_VALUE"""),144.54)</f>
        <v>144.54</v>
      </c>
      <c r="K291" s="16"/>
      <c r="T291" s="17"/>
      <c r="AC291" s="17"/>
    </row>
    <row r="292">
      <c r="B292" s="11">
        <f>IFERROR(__xludf.DUMMYFUNCTION("""COMPUTED_VALUE"""),45596.66666666667)</f>
        <v>45596.66667</v>
      </c>
      <c r="C292" s="9">
        <f>IFERROR(__xludf.DUMMYFUNCTION("""COMPUTED_VALUE"""),144.43)</f>
        <v>144.43</v>
      </c>
      <c r="K292" s="16"/>
      <c r="T292" s="17"/>
      <c r="AC292" s="17"/>
    </row>
    <row r="293">
      <c r="B293" s="11">
        <f>IFERROR(__xludf.DUMMYFUNCTION("""COMPUTED_VALUE"""),45595.66666666667)</f>
        <v>45595.66667</v>
      </c>
      <c r="C293" s="9">
        <f>IFERROR(__xludf.DUMMYFUNCTION("""COMPUTED_VALUE"""),147.34)</f>
        <v>147.34</v>
      </c>
      <c r="K293" s="16"/>
      <c r="T293" s="17"/>
      <c r="AC293" s="17"/>
    </row>
    <row r="294">
      <c r="B294" s="11">
        <f>IFERROR(__xludf.DUMMYFUNCTION("""COMPUTED_VALUE"""),45594.66666666667)</f>
        <v>45594.66667</v>
      </c>
      <c r="C294" s="9">
        <f>IFERROR(__xludf.DUMMYFUNCTION("""COMPUTED_VALUE"""),147.53)</f>
        <v>147.53</v>
      </c>
      <c r="K294" s="16"/>
      <c r="T294" s="17"/>
      <c r="AC294" s="17"/>
    </row>
    <row r="295">
      <c r="B295" s="11">
        <f>IFERROR(__xludf.DUMMYFUNCTION("""COMPUTED_VALUE"""),45593.66666666667)</f>
        <v>45593.66667</v>
      </c>
      <c r="C295" s="9">
        <f>IFERROR(__xludf.DUMMYFUNCTION("""COMPUTED_VALUE"""),148.7)</f>
        <v>148.7</v>
      </c>
      <c r="K295" s="16"/>
      <c r="T295" s="17"/>
      <c r="AC295" s="17"/>
    </row>
    <row r="296">
      <c r="B296" s="11">
        <f>IFERROR(__xludf.DUMMYFUNCTION("""COMPUTED_VALUE"""),45590.66666666667)</f>
        <v>45590.66667</v>
      </c>
      <c r="C296" s="9">
        <f>IFERROR(__xludf.DUMMYFUNCTION("""COMPUTED_VALUE"""),149.62)</f>
        <v>149.62</v>
      </c>
      <c r="K296" s="16"/>
      <c r="T296" s="17"/>
      <c r="AC296" s="17"/>
    </row>
    <row r="297">
      <c r="B297" s="11">
        <f>IFERROR(__xludf.DUMMYFUNCTION("""COMPUTED_VALUE"""),45589.66666666667)</f>
        <v>45589.66667</v>
      </c>
      <c r="C297" s="9">
        <f>IFERROR(__xludf.DUMMYFUNCTION("""COMPUTED_VALUE"""),149.39)</f>
        <v>149.39</v>
      </c>
      <c r="K297" s="16"/>
      <c r="T297" s="17"/>
      <c r="AC297" s="17"/>
    </row>
    <row r="298">
      <c r="B298" s="11">
        <f>IFERROR(__xludf.DUMMYFUNCTION("""COMPUTED_VALUE"""),45588.66666666667)</f>
        <v>45588.66667</v>
      </c>
      <c r="C298" s="9">
        <f>IFERROR(__xludf.DUMMYFUNCTION("""COMPUTED_VALUE"""),150.98)</f>
        <v>150.98</v>
      </c>
      <c r="K298" s="16"/>
      <c r="T298" s="17"/>
      <c r="AC298" s="17"/>
    </row>
    <row r="299">
      <c r="B299" s="11">
        <f>IFERROR(__xludf.DUMMYFUNCTION("""COMPUTED_VALUE"""),45587.66666666667)</f>
        <v>45587.66667</v>
      </c>
      <c r="C299" s="9">
        <f>IFERROR(__xludf.DUMMYFUNCTION("""COMPUTED_VALUE"""),150.52)</f>
        <v>150.52</v>
      </c>
      <c r="K299" s="16"/>
      <c r="T299" s="17"/>
      <c r="AC299" s="17"/>
    </row>
    <row r="300">
      <c r="B300" s="11">
        <f>IFERROR(__xludf.DUMMYFUNCTION("""COMPUTED_VALUE"""),45586.66666666667)</f>
        <v>45586.66667</v>
      </c>
      <c r="C300" s="9">
        <f>IFERROR(__xludf.DUMMYFUNCTION("""COMPUTED_VALUE"""),155.61)</f>
        <v>155.61</v>
      </c>
      <c r="K300" s="16"/>
      <c r="T300" s="17"/>
      <c r="AC300" s="17"/>
    </row>
    <row r="301">
      <c r="B301" s="11">
        <f>IFERROR(__xludf.DUMMYFUNCTION("""COMPUTED_VALUE"""),45583.66666666667)</f>
        <v>45583.66667</v>
      </c>
      <c r="C301" s="9">
        <f>IFERROR(__xludf.DUMMYFUNCTION("""COMPUTED_VALUE"""),154.86)</f>
        <v>154.86</v>
      </c>
      <c r="K301" s="16"/>
      <c r="T301" s="17"/>
      <c r="AC301" s="17"/>
    </row>
    <row r="302">
      <c r="B302" s="11">
        <f>IFERROR(__xludf.DUMMYFUNCTION("""COMPUTED_VALUE"""),45582.66666666667)</f>
        <v>45582.66667</v>
      </c>
      <c r="C302" s="9">
        <f>IFERROR(__xludf.DUMMYFUNCTION("""COMPUTED_VALUE"""),154.9)</f>
        <v>154.9</v>
      </c>
      <c r="K302" s="16"/>
      <c r="T302" s="17"/>
      <c r="AC302" s="17"/>
    </row>
    <row r="303">
      <c r="B303" s="11">
        <f>IFERROR(__xludf.DUMMYFUNCTION("""COMPUTED_VALUE"""),45581.66666666667)</f>
        <v>45581.66667</v>
      </c>
      <c r="C303" s="9">
        <f>IFERROR(__xludf.DUMMYFUNCTION("""COMPUTED_VALUE"""),154.69)</f>
        <v>154.69</v>
      </c>
      <c r="K303" s="16"/>
      <c r="T303" s="17"/>
      <c r="AC303" s="17"/>
    </row>
    <row r="304">
      <c r="B304" s="11">
        <f>IFERROR(__xludf.DUMMYFUNCTION("""COMPUTED_VALUE"""),45580.66666666667)</f>
        <v>45580.66667</v>
      </c>
      <c r="C304" s="9">
        <f>IFERROR(__xludf.DUMMYFUNCTION("""COMPUTED_VALUE"""),152.96)</f>
        <v>152.96</v>
      </c>
      <c r="K304" s="16"/>
      <c r="T304" s="17"/>
      <c r="AC304" s="17"/>
    </row>
    <row r="305">
      <c r="B305" s="11">
        <f>IFERROR(__xludf.DUMMYFUNCTION("""COMPUTED_VALUE"""),45579.66666666667)</f>
        <v>45579.66667</v>
      </c>
      <c r="C305" s="9">
        <f>IFERROR(__xludf.DUMMYFUNCTION("""COMPUTED_VALUE"""),153.75)</f>
        <v>153.75</v>
      </c>
      <c r="K305" s="16"/>
      <c r="T305" s="17"/>
      <c r="AC305" s="17"/>
    </row>
    <row r="306">
      <c r="B306" s="11">
        <f>IFERROR(__xludf.DUMMYFUNCTION("""COMPUTED_VALUE"""),45576.66666666667)</f>
        <v>45576.66667</v>
      </c>
      <c r="C306" s="9">
        <f>IFERROR(__xludf.DUMMYFUNCTION("""COMPUTED_VALUE"""),152.86)</f>
        <v>152.86</v>
      </c>
      <c r="K306" s="16"/>
      <c r="T306" s="17"/>
      <c r="AC306" s="17"/>
    </row>
    <row r="307">
      <c r="B307" s="11">
        <f>IFERROR(__xludf.DUMMYFUNCTION("""COMPUTED_VALUE"""),45575.66666666667)</f>
        <v>45575.66667</v>
      </c>
      <c r="C307" s="9">
        <f>IFERROR(__xludf.DUMMYFUNCTION("""COMPUTED_VALUE"""),150.39)</f>
        <v>150.39</v>
      </c>
      <c r="K307" s="16"/>
      <c r="T307" s="17"/>
      <c r="AC307" s="17"/>
    </row>
    <row r="308">
      <c r="B308" s="11">
        <f>IFERROR(__xludf.DUMMYFUNCTION("""COMPUTED_VALUE"""),45574.66666666667)</f>
        <v>45574.66667</v>
      </c>
      <c r="C308" s="9">
        <f>IFERROR(__xludf.DUMMYFUNCTION("""COMPUTED_VALUE"""),151.84)</f>
        <v>151.84</v>
      </c>
      <c r="K308" s="16"/>
      <c r="T308" s="17"/>
      <c r="AC308" s="17"/>
    </row>
    <row r="309">
      <c r="B309" s="11">
        <f>IFERROR(__xludf.DUMMYFUNCTION("""COMPUTED_VALUE"""),45573.66666666667)</f>
        <v>45573.66667</v>
      </c>
      <c r="C309" s="9">
        <f>IFERROR(__xludf.DUMMYFUNCTION("""COMPUTED_VALUE"""),151.38)</f>
        <v>151.38</v>
      </c>
      <c r="K309" s="16"/>
      <c r="T309" s="17"/>
      <c r="AC309" s="17"/>
    </row>
    <row r="310">
      <c r="B310" s="11">
        <f>IFERROR(__xludf.DUMMYFUNCTION("""COMPUTED_VALUE"""),45572.66666666667)</f>
        <v>45572.66667</v>
      </c>
      <c r="C310" s="9">
        <f>IFERROR(__xludf.DUMMYFUNCTION("""COMPUTED_VALUE"""),151.33)</f>
        <v>151.33</v>
      </c>
      <c r="K310" s="16"/>
      <c r="T310" s="17"/>
      <c r="AC310" s="17"/>
    </row>
    <row r="311">
      <c r="B311" s="11">
        <f>IFERROR(__xludf.DUMMYFUNCTION("""COMPUTED_VALUE"""),45569.66666666667)</f>
        <v>45569.66667</v>
      </c>
      <c r="C311" s="9">
        <f>IFERROR(__xludf.DUMMYFUNCTION("""COMPUTED_VALUE"""),151.8)</f>
        <v>151.8</v>
      </c>
      <c r="K311" s="16"/>
      <c r="T311" s="17"/>
      <c r="AC311" s="17"/>
    </row>
    <row r="312">
      <c r="B312" s="11">
        <f>IFERROR(__xludf.DUMMYFUNCTION("""COMPUTED_VALUE"""),45568.66666666667)</f>
        <v>45568.66667</v>
      </c>
      <c r="C312" s="9">
        <f>IFERROR(__xludf.DUMMYFUNCTION("""COMPUTED_VALUE"""),150.37)</f>
        <v>150.37</v>
      </c>
      <c r="K312" s="16"/>
      <c r="T312" s="17"/>
      <c r="AC312" s="17"/>
    </row>
    <row r="313">
      <c r="B313" s="11">
        <f>IFERROR(__xludf.DUMMYFUNCTION("""COMPUTED_VALUE"""),45567.66666666667)</f>
        <v>45567.66667</v>
      </c>
      <c r="C313" s="9">
        <f>IFERROR(__xludf.DUMMYFUNCTION("""COMPUTED_VALUE"""),151.36)</f>
        <v>151.36</v>
      </c>
      <c r="K313" s="16"/>
      <c r="T313" s="17"/>
      <c r="AC313" s="17"/>
    </row>
    <row r="314">
      <c r="B314" s="11">
        <f>IFERROR(__xludf.DUMMYFUNCTION("""COMPUTED_VALUE"""),45566.66666666667)</f>
        <v>45566.66667</v>
      </c>
      <c r="C314" s="9">
        <f>IFERROR(__xludf.DUMMYFUNCTION("""COMPUTED_VALUE"""),151.35)</f>
        <v>151.35</v>
      </c>
      <c r="K314" s="16"/>
      <c r="T314" s="17"/>
      <c r="AC314" s="17"/>
    </row>
    <row r="315">
      <c r="B315" s="11">
        <f>IFERROR(__xludf.DUMMYFUNCTION("""COMPUTED_VALUE"""),45565.66666666667)</f>
        <v>45565.66667</v>
      </c>
      <c r="C315" s="9">
        <f>IFERROR(__xludf.DUMMYFUNCTION("""COMPUTED_VALUE"""),149.64)</f>
        <v>149.64</v>
      </c>
      <c r="K315" s="16"/>
      <c r="T315" s="17"/>
      <c r="AC315" s="17"/>
    </row>
    <row r="316">
      <c r="B316" s="11">
        <f>IFERROR(__xludf.DUMMYFUNCTION("""COMPUTED_VALUE"""),45562.66666666667)</f>
        <v>45562.66667</v>
      </c>
      <c r="C316" s="9">
        <f>IFERROR(__xludf.DUMMYFUNCTION("""COMPUTED_VALUE"""),148.51)</f>
        <v>148.51</v>
      </c>
      <c r="K316" s="16"/>
      <c r="T316" s="17"/>
      <c r="AC316" s="17"/>
    </row>
    <row r="317">
      <c r="B317" s="11">
        <f>IFERROR(__xludf.DUMMYFUNCTION("""COMPUTED_VALUE"""),45561.66666666667)</f>
        <v>45561.66667</v>
      </c>
      <c r="C317" s="9">
        <f>IFERROR(__xludf.DUMMYFUNCTION("""COMPUTED_VALUE"""),147.8)</f>
        <v>147.8</v>
      </c>
      <c r="K317" s="16"/>
      <c r="T317" s="17"/>
      <c r="AC317" s="17"/>
    </row>
    <row r="318">
      <c r="B318" s="11">
        <f>IFERROR(__xludf.DUMMYFUNCTION("""COMPUTED_VALUE"""),45560.66666666667)</f>
        <v>45560.66667</v>
      </c>
      <c r="C318" s="9">
        <f>IFERROR(__xludf.DUMMYFUNCTION("""COMPUTED_VALUE"""),148.74)</f>
        <v>148.74</v>
      </c>
      <c r="K318" s="16"/>
      <c r="T318" s="17"/>
      <c r="AC318" s="17"/>
    </row>
    <row r="319">
      <c r="B319" s="11">
        <f>IFERROR(__xludf.DUMMYFUNCTION("""COMPUTED_VALUE"""),45559.66666666667)</f>
        <v>45559.66667</v>
      </c>
      <c r="C319" s="9">
        <f>IFERROR(__xludf.DUMMYFUNCTION("""COMPUTED_VALUE"""),149.21)</f>
        <v>149.21</v>
      </c>
      <c r="K319" s="16"/>
      <c r="T319" s="17"/>
      <c r="AC319" s="17"/>
    </row>
    <row r="320">
      <c r="B320" s="11">
        <f>IFERROR(__xludf.DUMMYFUNCTION("""COMPUTED_VALUE"""),45558.66666666667)</f>
        <v>45558.66667</v>
      </c>
      <c r="C320" s="9">
        <f>IFERROR(__xludf.DUMMYFUNCTION("""COMPUTED_VALUE"""),149.62)</f>
        <v>149.62</v>
      </c>
      <c r="K320" s="16"/>
      <c r="T320" s="17"/>
      <c r="AC320" s="17"/>
    </row>
    <row r="321">
      <c r="B321" s="11">
        <f>IFERROR(__xludf.DUMMYFUNCTION("""COMPUTED_VALUE"""),45555.66666666667)</f>
        <v>45555.66667</v>
      </c>
      <c r="C321" s="9">
        <f>IFERROR(__xludf.DUMMYFUNCTION("""COMPUTED_VALUE"""),147.89)</f>
        <v>147.89</v>
      </c>
      <c r="K321" s="16"/>
      <c r="T321" s="17"/>
      <c r="AC321" s="17"/>
    </row>
    <row r="322">
      <c r="B322" s="11">
        <f>IFERROR(__xludf.DUMMYFUNCTION("""COMPUTED_VALUE"""),45554.66666666667)</f>
        <v>45554.66667</v>
      </c>
      <c r="C322" s="9">
        <f>IFERROR(__xludf.DUMMYFUNCTION("""COMPUTED_VALUE"""),147.28)</f>
        <v>147.28</v>
      </c>
      <c r="K322" s="16"/>
      <c r="T322" s="17"/>
      <c r="AC322" s="17"/>
    </row>
    <row r="323">
      <c r="B323" s="11">
        <f>IFERROR(__xludf.DUMMYFUNCTION("""COMPUTED_VALUE"""),45553.66666666667)</f>
        <v>45553.66667</v>
      </c>
      <c r="C323" s="9">
        <f>IFERROR(__xludf.DUMMYFUNCTION("""COMPUTED_VALUE"""),145.81)</f>
        <v>145.81</v>
      </c>
      <c r="K323" s="16"/>
      <c r="T323" s="17"/>
      <c r="AC323" s="17"/>
    </row>
    <row r="324">
      <c r="B324" s="11">
        <f>IFERROR(__xludf.DUMMYFUNCTION("""COMPUTED_VALUE"""),45552.66666666667)</f>
        <v>45552.66667</v>
      </c>
      <c r="C324" s="9">
        <f>IFERROR(__xludf.DUMMYFUNCTION("""COMPUTED_VALUE"""),145.72)</f>
        <v>145.72</v>
      </c>
      <c r="K324" s="16"/>
      <c r="T324" s="17"/>
      <c r="AC324" s="17"/>
    </row>
    <row r="325">
      <c r="B325" s="11">
        <f>IFERROR(__xludf.DUMMYFUNCTION("""COMPUTED_VALUE"""),45551.66666666667)</f>
        <v>45551.66667</v>
      </c>
      <c r="C325" s="9">
        <f>IFERROR(__xludf.DUMMYFUNCTION("""COMPUTED_VALUE"""),146.07)</f>
        <v>146.07</v>
      </c>
      <c r="K325" s="16"/>
      <c r="T325" s="17"/>
      <c r="AC325" s="17"/>
    </row>
    <row r="326">
      <c r="B326" s="11">
        <f>IFERROR(__xludf.DUMMYFUNCTION("""COMPUTED_VALUE"""),45548.66666666667)</f>
        <v>45548.66667</v>
      </c>
      <c r="C326" s="9">
        <f>IFERROR(__xludf.DUMMYFUNCTION("""COMPUTED_VALUE"""),145.39)</f>
        <v>145.39</v>
      </c>
      <c r="K326" s="16"/>
      <c r="T326" s="17"/>
      <c r="AC326" s="17"/>
    </row>
    <row r="327">
      <c r="B327" s="11">
        <f>IFERROR(__xludf.DUMMYFUNCTION("""COMPUTED_VALUE"""),45547.66666666667)</f>
        <v>45547.66667</v>
      </c>
      <c r="C327" s="9">
        <f>IFERROR(__xludf.DUMMYFUNCTION("""COMPUTED_VALUE"""),144.17)</f>
        <v>144.17</v>
      </c>
      <c r="K327" s="16"/>
      <c r="T327" s="17"/>
      <c r="AC327" s="17"/>
    </row>
    <row r="328">
      <c r="B328" s="11">
        <f>IFERROR(__xludf.DUMMYFUNCTION("""COMPUTED_VALUE"""),45546.66666666667)</f>
        <v>45546.66667</v>
      </c>
      <c r="C328" s="9">
        <f>IFERROR(__xludf.DUMMYFUNCTION("""COMPUTED_VALUE"""),142.29)</f>
        <v>142.29</v>
      </c>
      <c r="K328" s="16"/>
      <c r="T328" s="17"/>
      <c r="AC328" s="17"/>
    </row>
    <row r="329">
      <c r="B329" s="11">
        <f>IFERROR(__xludf.DUMMYFUNCTION("""COMPUTED_VALUE"""),45545.66666666667)</f>
        <v>45545.66667</v>
      </c>
      <c r="C329" s="9">
        <f>IFERROR(__xludf.DUMMYFUNCTION("""COMPUTED_VALUE"""),142.39)</f>
        <v>142.39</v>
      </c>
      <c r="K329" s="16"/>
      <c r="T329" s="17"/>
      <c r="AC329" s="17"/>
    </row>
    <row r="330">
      <c r="B330" s="11">
        <f>IFERROR(__xludf.DUMMYFUNCTION("""COMPUTED_VALUE"""),45544.66666666667)</f>
        <v>45544.66667</v>
      </c>
      <c r="C330" s="9">
        <f>IFERROR(__xludf.DUMMYFUNCTION("""COMPUTED_VALUE"""),142.93)</f>
        <v>142.93</v>
      </c>
      <c r="K330" s="16"/>
      <c r="T330" s="17"/>
      <c r="AC330" s="17"/>
    </row>
    <row r="331">
      <c r="B331" s="11">
        <f>IFERROR(__xludf.DUMMYFUNCTION("""COMPUTED_VALUE"""),45541.66666666667)</f>
        <v>45541.66667</v>
      </c>
      <c r="C331" s="9">
        <f>IFERROR(__xludf.DUMMYFUNCTION("""COMPUTED_VALUE"""),139.97)</f>
        <v>139.97</v>
      </c>
      <c r="K331" s="16"/>
      <c r="T331" s="17"/>
      <c r="AC331" s="17"/>
    </row>
    <row r="332">
      <c r="B332" s="11">
        <f>IFERROR(__xludf.DUMMYFUNCTION("""COMPUTED_VALUE"""),45540.66666666667)</f>
        <v>45540.66667</v>
      </c>
      <c r="C332" s="9">
        <f>IFERROR(__xludf.DUMMYFUNCTION("""COMPUTED_VALUE"""),142.25)</f>
        <v>142.25</v>
      </c>
      <c r="K332" s="16"/>
      <c r="T332" s="17"/>
      <c r="AC332" s="17"/>
    </row>
    <row r="333">
      <c r="B333" s="11">
        <f>IFERROR(__xludf.DUMMYFUNCTION("""COMPUTED_VALUE"""),45539.66666666667)</f>
        <v>45539.66667</v>
      </c>
      <c r="C333" s="9">
        <f>IFERROR(__xludf.DUMMYFUNCTION("""COMPUTED_VALUE"""),143.61)</f>
        <v>143.61</v>
      </c>
      <c r="K333" s="16"/>
      <c r="T333" s="17"/>
      <c r="AC333" s="17"/>
    </row>
    <row r="334">
      <c r="B334" s="11">
        <f>IFERROR(__xludf.DUMMYFUNCTION("""COMPUTED_VALUE"""),45538.66666666667)</f>
        <v>45538.66667</v>
      </c>
      <c r="C334" s="9">
        <f>IFERROR(__xludf.DUMMYFUNCTION("""COMPUTED_VALUE"""),142.66)</f>
        <v>142.66</v>
      </c>
      <c r="K334" s="16"/>
      <c r="T334" s="17"/>
      <c r="AC334" s="17"/>
    </row>
    <row r="335">
      <c r="B335" s="11">
        <f>IFERROR(__xludf.DUMMYFUNCTION("""COMPUTED_VALUE"""),45534.66666666667)</f>
        <v>45534.66667</v>
      </c>
      <c r="C335" s="9">
        <f>IFERROR(__xludf.DUMMYFUNCTION("""COMPUTED_VALUE"""),147.71)</f>
        <v>147.71</v>
      </c>
      <c r="K335" s="16"/>
      <c r="T335" s="17"/>
      <c r="AC335" s="17"/>
    </row>
    <row r="336">
      <c r="B336" s="11">
        <f>IFERROR(__xludf.DUMMYFUNCTION("""COMPUTED_VALUE"""),45533.66666666667)</f>
        <v>45533.66667</v>
      </c>
      <c r="C336" s="9">
        <f>IFERROR(__xludf.DUMMYFUNCTION("""COMPUTED_VALUE"""),146.76)</f>
        <v>146.76</v>
      </c>
      <c r="K336" s="16"/>
      <c r="T336" s="17"/>
      <c r="AC336" s="17"/>
    </row>
    <row r="337">
      <c r="B337" s="11">
        <f>IFERROR(__xludf.DUMMYFUNCTION("""COMPUTED_VALUE"""),45532.66666666667)</f>
        <v>45532.66667</v>
      </c>
      <c r="C337" s="9">
        <f>IFERROR(__xludf.DUMMYFUNCTION("""COMPUTED_VALUE"""),145.3)</f>
        <v>145.3</v>
      </c>
      <c r="K337" s="16"/>
      <c r="T337" s="17"/>
      <c r="AC337" s="17"/>
    </row>
    <row r="338">
      <c r="B338" s="11">
        <f>IFERROR(__xludf.DUMMYFUNCTION("""COMPUTED_VALUE"""),45531.66666666667)</f>
        <v>45531.66667</v>
      </c>
      <c r="C338" s="9">
        <f>IFERROR(__xludf.DUMMYFUNCTION("""COMPUTED_VALUE"""),144.75)</f>
        <v>144.75</v>
      </c>
      <c r="K338" s="16"/>
      <c r="T338" s="17"/>
      <c r="AC338" s="17"/>
    </row>
    <row r="339">
      <c r="B339" s="11">
        <f>IFERROR(__xludf.DUMMYFUNCTION("""COMPUTED_VALUE"""),45530.66666666667)</f>
        <v>45530.66667</v>
      </c>
      <c r="C339" s="9">
        <f>IFERROR(__xludf.DUMMYFUNCTION("""COMPUTED_VALUE"""),144.4)</f>
        <v>144.4</v>
      </c>
      <c r="K339" s="16"/>
      <c r="T339" s="17"/>
      <c r="AC339" s="17"/>
    </row>
    <row r="340">
      <c r="B340" s="11">
        <f>IFERROR(__xludf.DUMMYFUNCTION("""COMPUTED_VALUE"""),45527.66666666667)</f>
        <v>45527.66667</v>
      </c>
      <c r="C340" s="9">
        <f>IFERROR(__xludf.DUMMYFUNCTION("""COMPUTED_VALUE"""),144.81)</f>
        <v>144.81</v>
      </c>
      <c r="K340" s="16"/>
      <c r="T340" s="17"/>
      <c r="AC340" s="17"/>
    </row>
    <row r="341">
      <c r="B341" s="11">
        <f>IFERROR(__xludf.DUMMYFUNCTION("""COMPUTED_VALUE"""),45526.66666666667)</f>
        <v>45526.66667</v>
      </c>
      <c r="C341" s="9">
        <f>IFERROR(__xludf.DUMMYFUNCTION("""COMPUTED_VALUE"""),143.95)</f>
        <v>143.95</v>
      </c>
      <c r="K341" s="16"/>
      <c r="T341" s="17"/>
      <c r="AC341" s="17"/>
    </row>
    <row r="342">
      <c r="B342" s="11">
        <f>IFERROR(__xludf.DUMMYFUNCTION("""COMPUTED_VALUE"""),45525.66666666667)</f>
        <v>45525.66667</v>
      </c>
      <c r="C342" s="9">
        <f>IFERROR(__xludf.DUMMYFUNCTION("""COMPUTED_VALUE"""),143.89)</f>
        <v>143.89</v>
      </c>
      <c r="K342" s="16"/>
      <c r="T342" s="17"/>
      <c r="AC342" s="17"/>
    </row>
    <row r="343">
      <c r="B343" s="11">
        <f>IFERROR(__xludf.DUMMYFUNCTION("""COMPUTED_VALUE"""),45524.66666666667)</f>
        <v>45524.66667</v>
      </c>
      <c r="C343" s="9">
        <f>IFERROR(__xludf.DUMMYFUNCTION("""COMPUTED_VALUE"""),143.34)</f>
        <v>143.34</v>
      </c>
      <c r="K343" s="16"/>
      <c r="T343" s="17"/>
      <c r="AC343" s="17"/>
    </row>
    <row r="344">
      <c r="B344" s="11">
        <f>IFERROR(__xludf.DUMMYFUNCTION("""COMPUTED_VALUE"""),45523.66666666667)</f>
        <v>45523.66667</v>
      </c>
      <c r="C344" s="9">
        <f>IFERROR(__xludf.DUMMYFUNCTION("""COMPUTED_VALUE"""),144.49)</f>
        <v>144.49</v>
      </c>
      <c r="K344" s="16"/>
      <c r="T344" s="17"/>
      <c r="AC344" s="17"/>
    </row>
    <row r="345">
      <c r="B345" s="11">
        <f>IFERROR(__xludf.DUMMYFUNCTION("""COMPUTED_VALUE"""),45520.66666666667)</f>
        <v>45520.66667</v>
      </c>
      <c r="C345" s="9">
        <f>IFERROR(__xludf.DUMMYFUNCTION("""COMPUTED_VALUE"""),143.88)</f>
        <v>143.88</v>
      </c>
      <c r="K345" s="16"/>
      <c r="T345" s="17"/>
      <c r="AC345" s="17"/>
    </row>
    <row r="346">
      <c r="B346" s="11">
        <f>IFERROR(__xludf.DUMMYFUNCTION("""COMPUTED_VALUE"""),45519.66666666667)</f>
        <v>45519.66667</v>
      </c>
      <c r="C346" s="9">
        <f>IFERROR(__xludf.DUMMYFUNCTION("""COMPUTED_VALUE"""),143.35)</f>
        <v>143.35</v>
      </c>
      <c r="K346" s="16"/>
      <c r="T346" s="17"/>
      <c r="AC346" s="17"/>
    </row>
    <row r="347">
      <c r="B347" s="11">
        <f>IFERROR(__xludf.DUMMYFUNCTION("""COMPUTED_VALUE"""),45518.66666666667)</f>
        <v>45518.66667</v>
      </c>
      <c r="C347" s="9">
        <f>IFERROR(__xludf.DUMMYFUNCTION("""COMPUTED_VALUE"""),141.38)</f>
        <v>141.38</v>
      </c>
      <c r="K347" s="16"/>
      <c r="T347" s="17"/>
      <c r="AC347" s="17"/>
    </row>
    <row r="348">
      <c r="B348" s="11">
        <f>IFERROR(__xludf.DUMMYFUNCTION("""COMPUTED_VALUE"""),45517.66666666667)</f>
        <v>45517.66667</v>
      </c>
      <c r="C348" s="9">
        <f>IFERROR(__xludf.DUMMYFUNCTION("""COMPUTED_VALUE"""),140.99)</f>
        <v>140.99</v>
      </c>
      <c r="K348" s="16"/>
      <c r="T348" s="17"/>
      <c r="AC348" s="17"/>
    </row>
    <row r="349">
      <c r="B349" s="11">
        <f>IFERROR(__xludf.DUMMYFUNCTION("""COMPUTED_VALUE"""),45516.66666666667)</f>
        <v>45516.66667</v>
      </c>
      <c r="C349" s="9">
        <f>IFERROR(__xludf.DUMMYFUNCTION("""COMPUTED_VALUE"""),140.15)</f>
        <v>140.15</v>
      </c>
      <c r="K349" s="16"/>
      <c r="T349" s="17"/>
      <c r="AC349" s="17"/>
    </row>
    <row r="350">
      <c r="B350" s="11">
        <f>IFERROR(__xludf.DUMMYFUNCTION("""COMPUTED_VALUE"""),45513.66666666667)</f>
        <v>45513.66667</v>
      </c>
      <c r="C350" s="9">
        <f>IFERROR(__xludf.DUMMYFUNCTION("""COMPUTED_VALUE"""),140.22)</f>
        <v>140.22</v>
      </c>
      <c r="K350" s="16"/>
      <c r="T350" s="17"/>
      <c r="AC350" s="17"/>
    </row>
    <row r="351">
      <c r="B351" s="11">
        <f>IFERROR(__xludf.DUMMYFUNCTION("""COMPUTED_VALUE"""),45512.66666666667)</f>
        <v>45512.66667</v>
      </c>
      <c r="C351" s="9">
        <f>IFERROR(__xludf.DUMMYFUNCTION("""COMPUTED_VALUE"""),139.53)</f>
        <v>139.53</v>
      </c>
      <c r="K351" s="16"/>
      <c r="T351" s="17"/>
      <c r="AC351" s="17"/>
    </row>
    <row r="352">
      <c r="B352" s="11">
        <f>IFERROR(__xludf.DUMMYFUNCTION("""COMPUTED_VALUE"""),45511.66666666667)</f>
        <v>45511.66667</v>
      </c>
      <c r="C352" s="9">
        <f>IFERROR(__xludf.DUMMYFUNCTION("""COMPUTED_VALUE"""),136.51)</f>
        <v>136.51</v>
      </c>
      <c r="K352" s="16"/>
      <c r="T352" s="17"/>
      <c r="AC352" s="17"/>
    </row>
    <row r="353">
      <c r="B353" s="11">
        <f>IFERROR(__xludf.DUMMYFUNCTION("""COMPUTED_VALUE"""),45510.66666666667)</f>
        <v>45510.66667</v>
      </c>
      <c r="C353" s="9">
        <f>IFERROR(__xludf.DUMMYFUNCTION("""COMPUTED_VALUE"""),135.82)</f>
        <v>135.82</v>
      </c>
      <c r="K353" s="16"/>
      <c r="T353" s="17"/>
      <c r="AC353" s="17"/>
    </row>
    <row r="354">
      <c r="B354" s="11">
        <f>IFERROR(__xludf.DUMMYFUNCTION("""COMPUTED_VALUE"""),45509.66666666667)</f>
        <v>45509.66667</v>
      </c>
      <c r="C354" s="9">
        <f>IFERROR(__xludf.DUMMYFUNCTION("""COMPUTED_VALUE"""),135.05)</f>
        <v>135.05</v>
      </c>
      <c r="K354" s="16"/>
      <c r="T354" s="17"/>
      <c r="AC354" s="17"/>
    </row>
    <row r="355">
      <c r="B355" s="11">
        <f>IFERROR(__xludf.DUMMYFUNCTION("""COMPUTED_VALUE"""),45506.66666666667)</f>
        <v>45506.66667</v>
      </c>
      <c r="C355" s="9">
        <f>IFERROR(__xludf.DUMMYFUNCTION("""COMPUTED_VALUE"""),137.19)</f>
        <v>137.19</v>
      </c>
      <c r="K355" s="16"/>
      <c r="T355" s="17"/>
      <c r="AC355" s="17"/>
    </row>
    <row r="356">
      <c r="B356" s="11">
        <f>IFERROR(__xludf.DUMMYFUNCTION("""COMPUTED_VALUE"""),45505.66666666667)</f>
        <v>45505.66667</v>
      </c>
      <c r="C356" s="9">
        <f>IFERROR(__xludf.DUMMYFUNCTION("""COMPUTED_VALUE"""),141.48)</f>
        <v>141.48</v>
      </c>
      <c r="K356" s="16"/>
      <c r="T356" s="17"/>
      <c r="AC356" s="17"/>
    </row>
    <row r="357">
      <c r="B357" s="11">
        <f>IFERROR(__xludf.DUMMYFUNCTION("""COMPUTED_VALUE"""),45504.66666666667)</f>
        <v>45504.66667</v>
      </c>
      <c r="C357" s="9">
        <f>IFERROR(__xludf.DUMMYFUNCTION("""COMPUTED_VALUE"""),143.18)</f>
        <v>143.18</v>
      </c>
      <c r="K357" s="16"/>
      <c r="T357" s="17"/>
      <c r="AC357" s="17"/>
    </row>
    <row r="358">
      <c r="B358" s="11">
        <f>IFERROR(__xludf.DUMMYFUNCTION("""COMPUTED_VALUE"""),45503.66666666667)</f>
        <v>45503.66667</v>
      </c>
      <c r="C358" s="9">
        <f>IFERROR(__xludf.DUMMYFUNCTION("""COMPUTED_VALUE"""),141.63)</f>
        <v>141.63</v>
      </c>
      <c r="K358" s="16"/>
      <c r="T358" s="17"/>
      <c r="AC358" s="17"/>
    </row>
    <row r="359">
      <c r="B359" s="11">
        <f>IFERROR(__xludf.DUMMYFUNCTION("""COMPUTED_VALUE"""),45502.66666666667)</f>
        <v>45502.66667</v>
      </c>
      <c r="C359" s="9">
        <f>IFERROR(__xludf.DUMMYFUNCTION("""COMPUTED_VALUE"""),140.74)</f>
        <v>140.74</v>
      </c>
      <c r="K359" s="16"/>
      <c r="T359" s="17"/>
      <c r="AC359" s="17"/>
    </row>
    <row r="360">
      <c r="B360" s="11">
        <f>IFERROR(__xludf.DUMMYFUNCTION("""COMPUTED_VALUE"""),45499.66666666667)</f>
        <v>45499.66667</v>
      </c>
      <c r="C360" s="9">
        <f>IFERROR(__xludf.DUMMYFUNCTION("""COMPUTED_VALUE"""),140.9)</f>
        <v>140.9</v>
      </c>
      <c r="K360" s="16"/>
      <c r="T360" s="17"/>
      <c r="AC360" s="17"/>
    </row>
    <row r="361">
      <c r="B361" s="11">
        <f>IFERROR(__xludf.DUMMYFUNCTION("""COMPUTED_VALUE"""),45498.66666666667)</f>
        <v>45498.66667</v>
      </c>
      <c r="C361" s="9">
        <f>IFERROR(__xludf.DUMMYFUNCTION("""COMPUTED_VALUE"""),139.52)</f>
        <v>139.52</v>
      </c>
      <c r="K361" s="16"/>
      <c r="T361" s="17"/>
      <c r="AC361" s="17"/>
    </row>
    <row r="362">
      <c r="B362" s="11">
        <f>IFERROR(__xludf.DUMMYFUNCTION("""COMPUTED_VALUE"""),45497.66666666667)</f>
        <v>45497.66667</v>
      </c>
      <c r="C362" s="9">
        <f>IFERROR(__xludf.DUMMYFUNCTION("""COMPUTED_VALUE"""),135.94)</f>
        <v>135.94</v>
      </c>
      <c r="K362" s="16"/>
      <c r="T362" s="17"/>
      <c r="AC362" s="17"/>
    </row>
    <row r="363">
      <c r="B363" s="11">
        <f>IFERROR(__xludf.DUMMYFUNCTION("""COMPUTED_VALUE"""),45496.66666666667)</f>
        <v>45496.66667</v>
      </c>
      <c r="C363" s="9">
        <f>IFERROR(__xludf.DUMMYFUNCTION("""COMPUTED_VALUE"""),139.38)</f>
        <v>139.38</v>
      </c>
      <c r="K363" s="16"/>
      <c r="T363" s="17"/>
      <c r="AC363" s="17"/>
    </row>
    <row r="364">
      <c r="B364" s="11">
        <f>IFERROR(__xludf.DUMMYFUNCTION("""COMPUTED_VALUE"""),45495.66666666667)</f>
        <v>45495.66667</v>
      </c>
      <c r="C364" s="9">
        <f>IFERROR(__xludf.DUMMYFUNCTION("""COMPUTED_VALUE"""),135.68)</f>
        <v>135.68</v>
      </c>
      <c r="K364" s="16"/>
      <c r="T364" s="17"/>
      <c r="AC364" s="17"/>
    </row>
    <row r="365">
      <c r="B365" s="11">
        <f>IFERROR(__xludf.DUMMYFUNCTION("""COMPUTED_VALUE"""),45492.66666666667)</f>
        <v>45492.66667</v>
      </c>
      <c r="C365" s="9">
        <f>IFERROR(__xludf.DUMMYFUNCTION("""COMPUTED_VALUE"""),133.9)</f>
        <v>133.9</v>
      </c>
      <c r="K365" s="16"/>
      <c r="T365" s="17"/>
      <c r="AC365" s="17"/>
    </row>
    <row r="366">
      <c r="B366" s="11">
        <f>IFERROR(__xludf.DUMMYFUNCTION("""COMPUTED_VALUE"""),45491.66666666667)</f>
        <v>45491.66667</v>
      </c>
      <c r="C366" s="9">
        <f>IFERROR(__xludf.DUMMYFUNCTION("""COMPUTED_VALUE"""),134.75)</f>
        <v>134.75</v>
      </c>
      <c r="K366" s="16"/>
      <c r="T366" s="17"/>
      <c r="AC366" s="17"/>
    </row>
    <row r="367">
      <c r="B367" s="11">
        <f>IFERROR(__xludf.DUMMYFUNCTION("""COMPUTED_VALUE"""),45490.66666666667)</f>
        <v>45490.66667</v>
      </c>
      <c r="C367" s="9">
        <f>IFERROR(__xludf.DUMMYFUNCTION("""COMPUTED_VALUE"""),135.64)</f>
        <v>135.64</v>
      </c>
      <c r="K367" s="16"/>
      <c r="T367" s="17"/>
      <c r="AC367" s="17"/>
    </row>
    <row r="368">
      <c r="B368" s="11">
        <f>IFERROR(__xludf.DUMMYFUNCTION("""COMPUTED_VALUE"""),45489.66666666667)</f>
        <v>45489.66667</v>
      </c>
      <c r="C368" s="9">
        <f>IFERROR(__xludf.DUMMYFUNCTION("""COMPUTED_VALUE"""),137.34)</f>
        <v>137.34</v>
      </c>
      <c r="K368" s="16"/>
      <c r="T368" s="17"/>
      <c r="AC368" s="17"/>
    </row>
    <row r="369">
      <c r="B369" s="11">
        <f>IFERROR(__xludf.DUMMYFUNCTION("""COMPUTED_VALUE"""),45488.66666666667)</f>
        <v>45488.66667</v>
      </c>
      <c r="C369" s="9">
        <f>IFERROR(__xludf.DUMMYFUNCTION("""COMPUTED_VALUE"""),133.88)</f>
        <v>133.88</v>
      </c>
      <c r="K369" s="16"/>
      <c r="T369" s="17"/>
      <c r="AC369" s="17"/>
    </row>
    <row r="370">
      <c r="B370" s="11">
        <f>IFERROR(__xludf.DUMMYFUNCTION("""COMPUTED_VALUE"""),45485.66666666667)</f>
        <v>45485.66667</v>
      </c>
      <c r="C370" s="9">
        <f>IFERROR(__xludf.DUMMYFUNCTION("""COMPUTED_VALUE"""),133.11)</f>
        <v>133.11</v>
      </c>
      <c r="K370" s="16"/>
      <c r="T370" s="17"/>
      <c r="AC370" s="17"/>
    </row>
    <row r="371">
      <c r="B371" s="11">
        <f>IFERROR(__xludf.DUMMYFUNCTION("""COMPUTED_VALUE"""),45484.66666666667)</f>
        <v>45484.66667</v>
      </c>
      <c r="C371" s="9">
        <f>IFERROR(__xludf.DUMMYFUNCTION("""COMPUTED_VALUE"""),133.63)</f>
        <v>133.63</v>
      </c>
      <c r="K371" s="16"/>
      <c r="T371" s="17"/>
      <c r="AC371" s="17"/>
    </row>
    <row r="372">
      <c r="B372" s="11">
        <f>IFERROR(__xludf.DUMMYFUNCTION("""COMPUTED_VALUE"""),45483.66666666667)</f>
        <v>45483.66667</v>
      </c>
      <c r="C372" s="9">
        <f>IFERROR(__xludf.DUMMYFUNCTION("""COMPUTED_VALUE"""),133.56)</f>
        <v>133.56</v>
      </c>
      <c r="K372" s="16"/>
      <c r="T372" s="17"/>
      <c r="AC372" s="17"/>
    </row>
    <row r="373">
      <c r="B373" s="11">
        <f>IFERROR(__xludf.DUMMYFUNCTION("""COMPUTED_VALUE"""),45482.66666666667)</f>
        <v>45482.66667</v>
      </c>
      <c r="C373" s="9">
        <f>IFERROR(__xludf.DUMMYFUNCTION("""COMPUTED_VALUE"""),132.81)</f>
        <v>132.81</v>
      </c>
      <c r="K373" s="16"/>
      <c r="T373" s="17"/>
      <c r="AC373" s="17"/>
    </row>
    <row r="374">
      <c r="B374" s="11">
        <f>IFERROR(__xludf.DUMMYFUNCTION("""COMPUTED_VALUE"""),45481.66666666667)</f>
        <v>45481.66667</v>
      </c>
      <c r="C374" s="9">
        <f>IFERROR(__xludf.DUMMYFUNCTION("""COMPUTED_VALUE"""),133.23)</f>
        <v>133.23</v>
      </c>
      <c r="K374" s="16"/>
      <c r="T374" s="17"/>
      <c r="AC374" s="17"/>
    </row>
    <row r="375">
      <c r="B375" s="11">
        <f>IFERROR(__xludf.DUMMYFUNCTION("""COMPUTED_VALUE"""),45478.66666666667)</f>
        <v>45478.66667</v>
      </c>
      <c r="C375" s="9">
        <f>IFERROR(__xludf.DUMMYFUNCTION("""COMPUTED_VALUE"""),132.4)</f>
        <v>132.4</v>
      </c>
      <c r="K375" s="16"/>
      <c r="T375" s="17"/>
      <c r="AC375" s="17"/>
    </row>
    <row r="376">
      <c r="B376" s="11">
        <f>IFERROR(__xludf.DUMMYFUNCTION("""COMPUTED_VALUE"""),45476.5)</f>
        <v>45476.5</v>
      </c>
      <c r="C376" s="9">
        <f>IFERROR(__xludf.DUMMYFUNCTION("""COMPUTED_VALUE"""),133.15)</f>
        <v>133.15</v>
      </c>
      <c r="K376" s="16"/>
      <c r="T376" s="17"/>
      <c r="AC376" s="17"/>
    </row>
    <row r="377">
      <c r="B377" s="11">
        <f>IFERROR(__xludf.DUMMYFUNCTION("""COMPUTED_VALUE"""),45475.66666666667)</f>
        <v>45475.66667</v>
      </c>
      <c r="C377" s="9">
        <f>IFERROR(__xludf.DUMMYFUNCTION("""COMPUTED_VALUE"""),132.53)</f>
        <v>132.53</v>
      </c>
      <c r="K377" s="16"/>
      <c r="T377" s="17"/>
      <c r="AC377" s="17"/>
    </row>
    <row r="378">
      <c r="B378" s="11">
        <f>IFERROR(__xludf.DUMMYFUNCTION("""COMPUTED_VALUE"""),45474.66666666667)</f>
        <v>45474.66667</v>
      </c>
      <c r="C378" s="9">
        <f>IFERROR(__xludf.DUMMYFUNCTION("""COMPUTED_VALUE"""),131.58)</f>
        <v>131.58</v>
      </c>
      <c r="K378" s="16"/>
      <c r="T378" s="17"/>
      <c r="AC378" s="17"/>
    </row>
    <row r="379">
      <c r="B379" s="11">
        <f>IFERROR(__xludf.DUMMYFUNCTION("""COMPUTED_VALUE"""),45471.66666666667)</f>
        <v>45471.66667</v>
      </c>
      <c r="C379" s="9">
        <f>IFERROR(__xludf.DUMMYFUNCTION("""COMPUTED_VALUE"""),132.05)</f>
        <v>132.05</v>
      </c>
      <c r="K379" s="16"/>
      <c r="T379" s="17"/>
      <c r="AC379" s="17"/>
    </row>
    <row r="380">
      <c r="B380" s="11">
        <f>IFERROR(__xludf.DUMMYFUNCTION("""COMPUTED_VALUE"""),45470.66666666667)</f>
        <v>45470.66667</v>
      </c>
      <c r="C380" s="9">
        <f>IFERROR(__xludf.DUMMYFUNCTION("""COMPUTED_VALUE"""),132.77)</f>
        <v>132.77</v>
      </c>
      <c r="K380" s="16"/>
      <c r="T380" s="17"/>
      <c r="AC380" s="17"/>
    </row>
    <row r="381">
      <c r="B381" s="11">
        <f>IFERROR(__xludf.DUMMYFUNCTION("""COMPUTED_VALUE"""),45469.66666666667)</f>
        <v>45469.66667</v>
      </c>
      <c r="C381" s="9">
        <f>IFERROR(__xludf.DUMMYFUNCTION("""COMPUTED_VALUE"""),132.54)</f>
        <v>132.54</v>
      </c>
      <c r="K381" s="16"/>
      <c r="T381" s="17"/>
      <c r="AC381" s="17"/>
    </row>
    <row r="382">
      <c r="B382" s="11">
        <f>IFERROR(__xludf.DUMMYFUNCTION("""COMPUTED_VALUE"""),45468.66666666667)</f>
        <v>45468.66667</v>
      </c>
      <c r="C382" s="9">
        <f>IFERROR(__xludf.DUMMYFUNCTION("""COMPUTED_VALUE"""),132.29)</f>
        <v>132.29</v>
      </c>
      <c r="K382" s="16"/>
      <c r="T382" s="17"/>
      <c r="AC382" s="17"/>
    </row>
    <row r="383">
      <c r="B383" s="11">
        <f>IFERROR(__xludf.DUMMYFUNCTION("""COMPUTED_VALUE"""),45467.66666666667)</f>
        <v>45467.66667</v>
      </c>
      <c r="C383" s="9">
        <f>IFERROR(__xludf.DUMMYFUNCTION("""COMPUTED_VALUE"""),133.27)</f>
        <v>133.27</v>
      </c>
      <c r="K383" s="16"/>
      <c r="T383" s="17"/>
      <c r="AC383" s="17"/>
    </row>
    <row r="384">
      <c r="B384" s="11">
        <f>IFERROR(__xludf.DUMMYFUNCTION("""COMPUTED_VALUE"""),45464.66666666667)</f>
        <v>45464.66667</v>
      </c>
      <c r="C384" s="9">
        <f>IFERROR(__xludf.DUMMYFUNCTION("""COMPUTED_VALUE"""),134.38)</f>
        <v>134.38</v>
      </c>
      <c r="K384" s="16"/>
      <c r="T384" s="17"/>
      <c r="AC384" s="17"/>
    </row>
    <row r="385">
      <c r="B385" s="11">
        <f>IFERROR(__xludf.DUMMYFUNCTION("""COMPUTED_VALUE"""),45463.66666666667)</f>
        <v>45463.66667</v>
      </c>
      <c r="C385" s="9">
        <f>IFERROR(__xludf.DUMMYFUNCTION("""COMPUTED_VALUE"""),134.08)</f>
        <v>134.08</v>
      </c>
      <c r="K385" s="16"/>
      <c r="T385" s="17"/>
      <c r="AC385" s="17"/>
    </row>
    <row r="386">
      <c r="B386" s="11">
        <f>IFERROR(__xludf.DUMMYFUNCTION("""COMPUTED_VALUE"""),45461.66666666667)</f>
        <v>45461.66667</v>
      </c>
      <c r="C386" s="9">
        <f>IFERROR(__xludf.DUMMYFUNCTION("""COMPUTED_VALUE"""),133.74)</f>
        <v>133.74</v>
      </c>
      <c r="K386" s="16"/>
      <c r="T386" s="17"/>
      <c r="AC386" s="17"/>
    </row>
    <row r="387">
      <c r="B387" s="11">
        <f>IFERROR(__xludf.DUMMYFUNCTION("""COMPUTED_VALUE"""),45460.66666666667)</f>
        <v>45460.66667</v>
      </c>
      <c r="C387" s="9">
        <f>IFERROR(__xludf.DUMMYFUNCTION("""COMPUTED_VALUE"""),133.42)</f>
        <v>133.42</v>
      </c>
      <c r="K387" s="16"/>
      <c r="T387" s="17"/>
      <c r="AC387" s="17"/>
    </row>
    <row r="388">
      <c r="B388" s="11">
        <f>IFERROR(__xludf.DUMMYFUNCTION("""COMPUTED_VALUE"""),45457.66666666667)</f>
        <v>45457.66667</v>
      </c>
      <c r="C388" s="9">
        <f>IFERROR(__xludf.DUMMYFUNCTION("""COMPUTED_VALUE"""),132.29)</f>
        <v>132.29</v>
      </c>
      <c r="K388" s="16"/>
      <c r="T388" s="17"/>
      <c r="AC388" s="17"/>
    </row>
    <row r="389">
      <c r="B389" s="11">
        <f>IFERROR(__xludf.DUMMYFUNCTION("""COMPUTED_VALUE"""),45456.66666666667)</f>
        <v>45456.66667</v>
      </c>
      <c r="C389" s="9">
        <f>IFERROR(__xludf.DUMMYFUNCTION("""COMPUTED_VALUE"""),133.69)</f>
        <v>133.69</v>
      </c>
      <c r="K389" s="16"/>
      <c r="T389" s="17"/>
      <c r="AC389" s="17"/>
    </row>
    <row r="390">
      <c r="B390" s="11">
        <f>IFERROR(__xludf.DUMMYFUNCTION("""COMPUTED_VALUE"""),45455.66666666667)</f>
        <v>45455.66667</v>
      </c>
      <c r="C390" s="9">
        <f>IFERROR(__xludf.DUMMYFUNCTION("""COMPUTED_VALUE"""),134.85)</f>
        <v>134.85</v>
      </c>
      <c r="K390" s="16"/>
      <c r="T390" s="17"/>
      <c r="AC390" s="17"/>
    </row>
    <row r="391">
      <c r="B391" s="11">
        <f>IFERROR(__xludf.DUMMYFUNCTION("""COMPUTED_VALUE"""),45454.66666666667)</f>
        <v>45454.66667</v>
      </c>
      <c r="C391" s="9">
        <f>IFERROR(__xludf.DUMMYFUNCTION("""COMPUTED_VALUE"""),134.69)</f>
        <v>134.69</v>
      </c>
      <c r="K391" s="16"/>
      <c r="T391" s="17"/>
      <c r="AC391" s="17"/>
    </row>
    <row r="392">
      <c r="B392" s="11">
        <f>IFERROR(__xludf.DUMMYFUNCTION("""COMPUTED_VALUE"""),45453.66666666667)</f>
        <v>45453.66667</v>
      </c>
      <c r="C392" s="9">
        <f>IFERROR(__xludf.DUMMYFUNCTION("""COMPUTED_VALUE"""),136.17)</f>
        <v>136.17</v>
      </c>
      <c r="K392" s="16"/>
      <c r="T392" s="17"/>
      <c r="AC392" s="17"/>
    </row>
    <row r="393">
      <c r="B393" s="11">
        <f>IFERROR(__xludf.DUMMYFUNCTION("""COMPUTED_VALUE"""),45450.66666666667)</f>
        <v>45450.66667</v>
      </c>
      <c r="C393" s="9">
        <f>IFERROR(__xludf.DUMMYFUNCTION("""COMPUTED_VALUE"""),136.47)</f>
        <v>136.47</v>
      </c>
      <c r="K393" s="16"/>
      <c r="T393" s="17"/>
      <c r="AC393" s="17"/>
    </row>
    <row r="394">
      <c r="B394" s="11">
        <f>IFERROR(__xludf.DUMMYFUNCTION("""COMPUTED_VALUE"""),45449.66666666667)</f>
        <v>45449.66667</v>
      </c>
      <c r="C394" s="9">
        <f>IFERROR(__xludf.DUMMYFUNCTION("""COMPUTED_VALUE"""),136.84)</f>
        <v>136.84</v>
      </c>
      <c r="K394" s="16"/>
      <c r="T394" s="17"/>
      <c r="AC394" s="17"/>
    </row>
    <row r="395">
      <c r="B395" s="11">
        <f>IFERROR(__xludf.DUMMYFUNCTION("""COMPUTED_VALUE"""),45448.66666666667)</f>
        <v>45448.66667</v>
      </c>
      <c r="C395" s="9">
        <f>IFERROR(__xludf.DUMMYFUNCTION("""COMPUTED_VALUE"""),137.39)</f>
        <v>137.39</v>
      </c>
      <c r="K395" s="16"/>
      <c r="T395" s="17"/>
      <c r="AC395" s="17"/>
    </row>
    <row r="396">
      <c r="B396" s="11">
        <f>IFERROR(__xludf.DUMMYFUNCTION("""COMPUTED_VALUE"""),45447.66666666667)</f>
        <v>45447.66667</v>
      </c>
      <c r="C396" s="9">
        <f>IFERROR(__xludf.DUMMYFUNCTION("""COMPUTED_VALUE"""),136.77)</f>
        <v>136.77</v>
      </c>
      <c r="K396" s="16"/>
      <c r="T396" s="17"/>
      <c r="AC396" s="17"/>
    </row>
    <row r="397">
      <c r="B397" s="11">
        <f>IFERROR(__xludf.DUMMYFUNCTION("""COMPUTED_VALUE"""),45446.66666666667)</f>
        <v>45446.66667</v>
      </c>
      <c r="C397" s="9">
        <f>IFERROR(__xludf.DUMMYFUNCTION("""COMPUTED_VALUE"""),136.57)</f>
        <v>136.57</v>
      </c>
      <c r="K397" s="16"/>
      <c r="T397" s="17"/>
      <c r="AC397" s="17"/>
    </row>
    <row r="398">
      <c r="B398" s="11">
        <f>IFERROR(__xludf.DUMMYFUNCTION("""COMPUTED_VALUE"""),45443.66666666667)</f>
        <v>45443.66667</v>
      </c>
      <c r="C398" s="9">
        <f>IFERROR(__xludf.DUMMYFUNCTION("""COMPUTED_VALUE"""),136.02)</f>
        <v>136.02</v>
      </c>
      <c r="K398" s="16"/>
      <c r="T398" s="17"/>
      <c r="AC398" s="17"/>
    </row>
    <row r="399">
      <c r="B399" s="11">
        <f>IFERROR(__xludf.DUMMYFUNCTION("""COMPUTED_VALUE"""),45442.66666666667)</f>
        <v>45442.66667</v>
      </c>
      <c r="C399" s="9">
        <f>IFERROR(__xludf.DUMMYFUNCTION("""COMPUTED_VALUE"""),133.79)</f>
        <v>133.79</v>
      </c>
      <c r="K399" s="16"/>
      <c r="T399" s="17"/>
      <c r="AC399" s="17"/>
    </row>
    <row r="400">
      <c r="B400" s="11">
        <f>IFERROR(__xludf.DUMMYFUNCTION("""COMPUTED_VALUE"""),45441.66666666667)</f>
        <v>45441.66667</v>
      </c>
      <c r="C400" s="9">
        <f>IFERROR(__xludf.DUMMYFUNCTION("""COMPUTED_VALUE"""),132.64)</f>
        <v>132.64</v>
      </c>
      <c r="K400" s="16"/>
      <c r="T400" s="17"/>
      <c r="AC400" s="17"/>
    </row>
    <row r="401">
      <c r="B401" s="11">
        <f>IFERROR(__xludf.DUMMYFUNCTION("""COMPUTED_VALUE"""),45440.66666666667)</f>
        <v>45440.66667</v>
      </c>
      <c r="C401" s="9">
        <f>IFERROR(__xludf.DUMMYFUNCTION("""COMPUTED_VALUE"""),134.28)</f>
        <v>134.28</v>
      </c>
      <c r="K401" s="16"/>
      <c r="T401" s="17"/>
      <c r="AC401" s="17"/>
    </row>
    <row r="402">
      <c r="B402" s="11">
        <f>IFERROR(__xludf.DUMMYFUNCTION("""COMPUTED_VALUE"""),45436.66666666667)</f>
        <v>45436.66667</v>
      </c>
      <c r="C402" s="9">
        <f>IFERROR(__xludf.DUMMYFUNCTION("""COMPUTED_VALUE"""),135.55)</f>
        <v>135.55</v>
      </c>
      <c r="K402" s="16"/>
      <c r="T402" s="17"/>
      <c r="AC402" s="17"/>
    </row>
    <row r="403">
      <c r="B403" s="11">
        <f>IFERROR(__xludf.DUMMYFUNCTION("""COMPUTED_VALUE"""),45435.66666666667)</f>
        <v>45435.66667</v>
      </c>
      <c r="C403" s="9">
        <f>IFERROR(__xludf.DUMMYFUNCTION("""COMPUTED_VALUE"""),134.16)</f>
        <v>134.16</v>
      </c>
      <c r="K403" s="16"/>
      <c r="T403" s="17"/>
      <c r="AC403" s="17"/>
    </row>
    <row r="404">
      <c r="B404" s="11">
        <f>IFERROR(__xludf.DUMMYFUNCTION("""COMPUTED_VALUE"""),45434.66666666667)</f>
        <v>45434.66667</v>
      </c>
      <c r="C404" s="9">
        <f>IFERROR(__xludf.DUMMYFUNCTION("""COMPUTED_VALUE"""),136.65)</f>
        <v>136.65</v>
      </c>
      <c r="K404" s="16"/>
      <c r="T404" s="17"/>
      <c r="AC404" s="17"/>
    </row>
    <row r="405">
      <c r="B405" s="11">
        <f>IFERROR(__xludf.DUMMYFUNCTION("""COMPUTED_VALUE"""),45433.66666666667)</f>
        <v>45433.66667</v>
      </c>
      <c r="C405" s="9">
        <f>IFERROR(__xludf.DUMMYFUNCTION("""COMPUTED_VALUE"""),136.49)</f>
        <v>136.49</v>
      </c>
      <c r="K405" s="16"/>
      <c r="T405" s="17"/>
      <c r="AC405" s="17"/>
    </row>
    <row r="406">
      <c r="B406" s="11">
        <f>IFERROR(__xludf.DUMMYFUNCTION("""COMPUTED_VALUE"""),45432.66666666667)</f>
        <v>45432.66667</v>
      </c>
      <c r="C406" s="9">
        <f>IFERROR(__xludf.DUMMYFUNCTION("""COMPUTED_VALUE"""),136.38)</f>
        <v>136.38</v>
      </c>
      <c r="K406" s="16"/>
      <c r="T406" s="17"/>
      <c r="AC406" s="17"/>
    </row>
    <row r="407">
      <c r="B407" s="11">
        <f>IFERROR(__xludf.DUMMYFUNCTION("""COMPUTED_VALUE"""),45429.66666666667)</f>
        <v>45429.66667</v>
      </c>
      <c r="C407" s="9">
        <f>IFERROR(__xludf.DUMMYFUNCTION("""COMPUTED_VALUE"""),135.5)</f>
        <v>135.5</v>
      </c>
      <c r="K407" s="16"/>
      <c r="T407" s="17"/>
      <c r="AC407" s="17"/>
    </row>
    <row r="408">
      <c r="B408" s="11">
        <f>IFERROR(__xludf.DUMMYFUNCTION("""COMPUTED_VALUE"""),45428.66666666667)</f>
        <v>45428.66667</v>
      </c>
      <c r="C408" s="9">
        <f>IFERROR(__xludf.DUMMYFUNCTION("""COMPUTED_VALUE"""),134.94)</f>
        <v>134.94</v>
      </c>
      <c r="K408" s="16"/>
      <c r="T408" s="17"/>
      <c r="AC408" s="17"/>
    </row>
    <row r="409">
      <c r="B409" s="11">
        <f>IFERROR(__xludf.DUMMYFUNCTION("""COMPUTED_VALUE"""),45427.66666666667)</f>
        <v>45427.66667</v>
      </c>
      <c r="C409" s="9">
        <f>IFERROR(__xludf.DUMMYFUNCTION("""COMPUTED_VALUE"""),134.36)</f>
        <v>134.36</v>
      </c>
      <c r="K409" s="16"/>
      <c r="T409" s="17"/>
      <c r="AC409" s="17"/>
    </row>
    <row r="410">
      <c r="B410" s="11">
        <f>IFERROR(__xludf.DUMMYFUNCTION("""COMPUTED_VALUE"""),45426.66666666667)</f>
        <v>45426.66667</v>
      </c>
      <c r="C410" s="9">
        <f>IFERROR(__xludf.DUMMYFUNCTION("""COMPUTED_VALUE"""),134.66)</f>
        <v>134.66</v>
      </c>
      <c r="K410" s="16"/>
      <c r="T410" s="17"/>
      <c r="AC410" s="17"/>
    </row>
    <row r="411">
      <c r="B411" s="11">
        <f>IFERROR(__xludf.DUMMYFUNCTION("""COMPUTED_VALUE"""),45425.66666666667)</f>
        <v>45425.66667</v>
      </c>
      <c r="C411" s="9">
        <f>IFERROR(__xludf.DUMMYFUNCTION("""COMPUTED_VALUE"""),134.31)</f>
        <v>134.31</v>
      </c>
      <c r="K411" s="16"/>
      <c r="T411" s="17"/>
      <c r="AC411" s="17"/>
    </row>
    <row r="412">
      <c r="B412" s="11">
        <f>IFERROR(__xludf.DUMMYFUNCTION("""COMPUTED_VALUE"""),45422.66666666667)</f>
        <v>45422.66667</v>
      </c>
      <c r="C412" s="9">
        <f>IFERROR(__xludf.DUMMYFUNCTION("""COMPUTED_VALUE"""),135.1)</f>
        <v>135.1</v>
      </c>
      <c r="K412" s="16"/>
      <c r="T412" s="17"/>
      <c r="AC412" s="17"/>
    </row>
    <row r="413">
      <c r="B413" s="11">
        <f>IFERROR(__xludf.DUMMYFUNCTION("""COMPUTED_VALUE"""),45421.66666666667)</f>
        <v>45421.66667</v>
      </c>
      <c r="C413" s="9">
        <f>IFERROR(__xludf.DUMMYFUNCTION("""COMPUTED_VALUE"""),135.36)</f>
        <v>135.36</v>
      </c>
      <c r="K413" s="16"/>
      <c r="T413" s="17"/>
      <c r="AC413" s="17"/>
    </row>
    <row r="414">
      <c r="B414" s="11">
        <f>IFERROR(__xludf.DUMMYFUNCTION("""COMPUTED_VALUE"""),45420.66666666667)</f>
        <v>45420.66667</v>
      </c>
      <c r="C414" s="9">
        <f>IFERROR(__xludf.DUMMYFUNCTION("""COMPUTED_VALUE"""),134.09)</f>
        <v>134.09</v>
      </c>
      <c r="K414" s="16"/>
      <c r="T414" s="17"/>
      <c r="AC414" s="17"/>
    </row>
    <row r="415">
      <c r="B415" s="11">
        <f>IFERROR(__xludf.DUMMYFUNCTION("""COMPUTED_VALUE"""),45419.66666666667)</f>
        <v>45419.66667</v>
      </c>
      <c r="C415" s="9">
        <f>IFERROR(__xludf.DUMMYFUNCTION("""COMPUTED_VALUE"""),133.44)</f>
        <v>133.44</v>
      </c>
      <c r="K415" s="16"/>
      <c r="T415" s="17"/>
      <c r="AC415" s="17"/>
    </row>
    <row r="416">
      <c r="B416" s="11">
        <f>IFERROR(__xludf.DUMMYFUNCTION("""COMPUTED_VALUE"""),45418.66666666667)</f>
        <v>45418.66667</v>
      </c>
      <c r="C416" s="9">
        <f>IFERROR(__xludf.DUMMYFUNCTION("""COMPUTED_VALUE"""),133.61)</f>
        <v>133.61</v>
      </c>
      <c r="K416" s="16"/>
      <c r="T416" s="17"/>
      <c r="AC416" s="17"/>
    </row>
    <row r="417">
      <c r="B417" s="11">
        <f>IFERROR(__xludf.DUMMYFUNCTION("""COMPUTED_VALUE"""),45415.66666666667)</f>
        <v>45415.66667</v>
      </c>
      <c r="C417" s="9">
        <f>IFERROR(__xludf.DUMMYFUNCTION("""COMPUTED_VALUE"""),132.57)</f>
        <v>132.57</v>
      </c>
      <c r="K417" s="16"/>
      <c r="T417" s="17"/>
      <c r="AC417" s="17"/>
    </row>
    <row r="418">
      <c r="B418" s="11">
        <f>IFERROR(__xludf.DUMMYFUNCTION("""COMPUTED_VALUE"""),45414.66666666667)</f>
        <v>45414.66667</v>
      </c>
      <c r="C418" s="9">
        <f>IFERROR(__xludf.DUMMYFUNCTION("""COMPUTED_VALUE"""),132.06)</f>
        <v>132.06</v>
      </c>
      <c r="K418" s="16"/>
      <c r="T418" s="17"/>
      <c r="AC418" s="17"/>
    </row>
    <row r="419">
      <c r="B419" s="11">
        <f>IFERROR(__xludf.DUMMYFUNCTION("""COMPUTED_VALUE"""),45413.66666666667)</f>
        <v>45413.66667</v>
      </c>
      <c r="C419" s="9">
        <f>IFERROR(__xludf.DUMMYFUNCTION("""COMPUTED_VALUE"""),130.11)</f>
        <v>130.11</v>
      </c>
      <c r="K419" s="16"/>
      <c r="T419" s="17"/>
      <c r="AC419" s="17"/>
    </row>
    <row r="420">
      <c r="B420" s="11">
        <f>IFERROR(__xludf.DUMMYFUNCTION("""COMPUTED_VALUE"""),45412.66666666667)</f>
        <v>45412.66667</v>
      </c>
      <c r="C420" s="9">
        <f>IFERROR(__xludf.DUMMYFUNCTION("""COMPUTED_VALUE"""),129.85)</f>
        <v>129.85</v>
      </c>
      <c r="K420" s="16"/>
      <c r="T420" s="17"/>
      <c r="AC420" s="17"/>
    </row>
    <row r="421">
      <c r="B421" s="11">
        <f>IFERROR(__xludf.DUMMYFUNCTION("""COMPUTED_VALUE"""),45411.66666666667)</f>
        <v>45411.66667</v>
      </c>
      <c r="C421" s="9">
        <f>IFERROR(__xludf.DUMMYFUNCTION("""COMPUTED_VALUE"""),131.13)</f>
        <v>131.13</v>
      </c>
      <c r="K421" s="16"/>
      <c r="T421" s="17"/>
      <c r="AC421" s="17"/>
    </row>
    <row r="422">
      <c r="B422" s="11">
        <f>IFERROR(__xludf.DUMMYFUNCTION("""COMPUTED_VALUE"""),45408.66666666667)</f>
        <v>45408.66667</v>
      </c>
      <c r="C422" s="9">
        <f>IFERROR(__xludf.DUMMYFUNCTION("""COMPUTED_VALUE"""),129.53)</f>
        <v>129.53</v>
      </c>
      <c r="K422" s="16"/>
      <c r="T422" s="17"/>
      <c r="AC422" s="17"/>
    </row>
    <row r="423">
      <c r="B423" s="11">
        <f>IFERROR(__xludf.DUMMYFUNCTION("""COMPUTED_VALUE"""),45407.66666666667)</f>
        <v>45407.66667</v>
      </c>
      <c r="C423" s="9">
        <f>IFERROR(__xludf.DUMMYFUNCTION("""COMPUTED_VALUE"""),129.01)</f>
        <v>129.01</v>
      </c>
      <c r="K423" s="16"/>
      <c r="T423" s="17"/>
      <c r="AC423" s="17"/>
    </row>
    <row r="424">
      <c r="B424" s="11">
        <f>IFERROR(__xludf.DUMMYFUNCTION("""COMPUTED_VALUE"""),45406.66666666667)</f>
        <v>45406.66667</v>
      </c>
      <c r="C424" s="9">
        <f>IFERROR(__xludf.DUMMYFUNCTION("""COMPUTED_VALUE"""),128.51)</f>
        <v>128.51</v>
      </c>
      <c r="K424" s="16"/>
      <c r="T424" s="17"/>
      <c r="AC424" s="17"/>
    </row>
    <row r="425">
      <c r="B425" s="11">
        <f>IFERROR(__xludf.DUMMYFUNCTION("""COMPUTED_VALUE"""),45405.66666666667)</f>
        <v>45405.66667</v>
      </c>
      <c r="C425" s="9">
        <f>IFERROR(__xludf.DUMMYFUNCTION("""COMPUTED_VALUE"""),129.37)</f>
        <v>129.37</v>
      </c>
      <c r="K425" s="16"/>
      <c r="T425" s="17"/>
      <c r="AC425" s="17"/>
    </row>
    <row r="426">
      <c r="B426" s="11">
        <f>IFERROR(__xludf.DUMMYFUNCTION("""COMPUTED_VALUE"""),45404.66666666667)</f>
        <v>45404.66667</v>
      </c>
      <c r="C426" s="9">
        <f>IFERROR(__xludf.DUMMYFUNCTION("""COMPUTED_VALUE"""),128.5)</f>
        <v>128.5</v>
      </c>
      <c r="K426" s="16"/>
      <c r="T426" s="17"/>
      <c r="AC426" s="17"/>
    </row>
    <row r="427">
      <c r="B427" s="11">
        <f>IFERROR(__xludf.DUMMYFUNCTION("""COMPUTED_VALUE"""),45401.66666666667)</f>
        <v>45401.66667</v>
      </c>
      <c r="C427" s="9">
        <f>IFERROR(__xludf.DUMMYFUNCTION("""COMPUTED_VALUE"""),128.0)</f>
        <v>128</v>
      </c>
      <c r="K427" s="16"/>
      <c r="T427" s="17"/>
      <c r="AC427" s="17"/>
    </row>
    <row r="428">
      <c r="B428" s="11">
        <f>IFERROR(__xludf.DUMMYFUNCTION("""COMPUTED_VALUE"""),45400.66666666667)</f>
        <v>45400.66667</v>
      </c>
      <c r="C428" s="9">
        <f>IFERROR(__xludf.DUMMYFUNCTION("""COMPUTED_VALUE"""),127.46)</f>
        <v>127.46</v>
      </c>
      <c r="K428" s="16"/>
      <c r="T428" s="17"/>
      <c r="AC428" s="17"/>
    </row>
    <row r="429">
      <c r="B429" s="11">
        <f>IFERROR(__xludf.DUMMYFUNCTION("""COMPUTED_VALUE"""),45399.66666666667)</f>
        <v>45399.66667</v>
      </c>
      <c r="C429" s="9">
        <f>IFERROR(__xludf.DUMMYFUNCTION("""COMPUTED_VALUE"""),127.51)</f>
        <v>127.51</v>
      </c>
      <c r="K429" s="16"/>
      <c r="T429" s="17"/>
      <c r="AC429" s="17"/>
    </row>
    <row r="430">
      <c r="B430" s="11">
        <f>IFERROR(__xludf.DUMMYFUNCTION("""COMPUTED_VALUE"""),45398.66666666667)</f>
        <v>45398.66667</v>
      </c>
      <c r="C430" s="9">
        <f>IFERROR(__xludf.DUMMYFUNCTION("""COMPUTED_VALUE"""),127.66)</f>
        <v>127.66</v>
      </c>
      <c r="K430" s="16"/>
      <c r="T430" s="17"/>
      <c r="AC430" s="17"/>
    </row>
    <row r="431">
      <c r="B431" s="11">
        <f>IFERROR(__xludf.DUMMYFUNCTION("""COMPUTED_VALUE"""),45397.66666666667)</f>
        <v>45397.66667</v>
      </c>
      <c r="C431" s="9">
        <f>IFERROR(__xludf.DUMMYFUNCTION("""COMPUTED_VALUE"""),127.05)</f>
        <v>127.05</v>
      </c>
      <c r="K431" s="16"/>
      <c r="T431" s="17"/>
      <c r="AC431" s="17"/>
    </row>
    <row r="432">
      <c r="B432" s="11">
        <f>IFERROR(__xludf.DUMMYFUNCTION("""COMPUTED_VALUE"""),45394.66666666667)</f>
        <v>45394.66667</v>
      </c>
      <c r="C432" s="9">
        <f>IFERROR(__xludf.DUMMYFUNCTION("""COMPUTED_VALUE"""),127.72)</f>
        <v>127.72</v>
      </c>
      <c r="K432" s="16"/>
      <c r="T432" s="17"/>
      <c r="AC432" s="17"/>
    </row>
    <row r="433">
      <c r="B433" s="11">
        <f>IFERROR(__xludf.DUMMYFUNCTION("""COMPUTED_VALUE"""),45393.66666666667)</f>
        <v>45393.66667</v>
      </c>
      <c r="C433" s="9">
        <f>IFERROR(__xludf.DUMMYFUNCTION("""COMPUTED_VALUE"""),129.16)</f>
        <v>129.16</v>
      </c>
      <c r="K433" s="16"/>
      <c r="T433" s="17"/>
      <c r="AC433" s="17"/>
    </row>
    <row r="434">
      <c r="B434" s="11">
        <f>IFERROR(__xludf.DUMMYFUNCTION("""COMPUTED_VALUE"""),45392.66666666667)</f>
        <v>45392.66667</v>
      </c>
      <c r="C434" s="9">
        <f>IFERROR(__xludf.DUMMYFUNCTION("""COMPUTED_VALUE"""),129.22)</f>
        <v>129.22</v>
      </c>
      <c r="K434" s="16"/>
      <c r="T434" s="17"/>
      <c r="AC434" s="17"/>
    </row>
    <row r="435">
      <c r="B435" s="11">
        <f>IFERROR(__xludf.DUMMYFUNCTION("""COMPUTED_VALUE"""),45391.66666666667)</f>
        <v>45391.66667</v>
      </c>
      <c r="C435" s="9">
        <f>IFERROR(__xludf.DUMMYFUNCTION("""COMPUTED_VALUE"""),129.68)</f>
        <v>129.68</v>
      </c>
      <c r="K435" s="16"/>
      <c r="T435" s="17"/>
      <c r="AC435" s="17"/>
    </row>
    <row r="436">
      <c r="B436" s="11">
        <f>IFERROR(__xludf.DUMMYFUNCTION("""COMPUTED_VALUE"""),45390.66666666667)</f>
        <v>45390.66667</v>
      </c>
      <c r="C436" s="9">
        <f>IFERROR(__xludf.DUMMYFUNCTION("""COMPUTED_VALUE"""),131.07)</f>
        <v>131.07</v>
      </c>
      <c r="K436" s="16"/>
      <c r="T436" s="17"/>
      <c r="AC436" s="17"/>
    </row>
    <row r="437">
      <c r="B437" s="11">
        <f>IFERROR(__xludf.DUMMYFUNCTION("""COMPUTED_VALUE"""),45387.66666666667)</f>
        <v>45387.66667</v>
      </c>
      <c r="C437" s="9">
        <f>IFERROR(__xludf.DUMMYFUNCTION("""COMPUTED_VALUE"""),131.35)</f>
        <v>131.35</v>
      </c>
      <c r="K437" s="16"/>
      <c r="T437" s="17"/>
      <c r="AC437" s="17"/>
    </row>
    <row r="438">
      <c r="B438" s="11">
        <f>IFERROR(__xludf.DUMMYFUNCTION("""COMPUTED_VALUE"""),45386.66666666667)</f>
        <v>45386.66667</v>
      </c>
      <c r="C438" s="9">
        <f>IFERROR(__xludf.DUMMYFUNCTION("""COMPUTED_VALUE"""),130.17)</f>
        <v>130.17</v>
      </c>
      <c r="K438" s="16"/>
      <c r="T438" s="17"/>
      <c r="AC438" s="17"/>
    </row>
    <row r="439">
      <c r="B439" s="11">
        <f>IFERROR(__xludf.DUMMYFUNCTION("""COMPUTED_VALUE"""),45385.66666666667)</f>
        <v>45385.66667</v>
      </c>
      <c r="C439" s="9">
        <f>IFERROR(__xludf.DUMMYFUNCTION("""COMPUTED_VALUE"""),129.66)</f>
        <v>129.66</v>
      </c>
      <c r="K439" s="16"/>
      <c r="T439" s="17"/>
      <c r="AC439" s="17"/>
    </row>
    <row r="440">
      <c r="B440" s="11">
        <f>IFERROR(__xludf.DUMMYFUNCTION("""COMPUTED_VALUE"""),45384.66666666667)</f>
        <v>45384.66667</v>
      </c>
      <c r="C440" s="9">
        <f>IFERROR(__xludf.DUMMYFUNCTION("""COMPUTED_VALUE"""),130.23)</f>
        <v>130.23</v>
      </c>
      <c r="K440" s="16"/>
      <c r="T440" s="17"/>
      <c r="AC440" s="17"/>
    </row>
    <row r="441">
      <c r="B441" s="11">
        <f>IFERROR(__xludf.DUMMYFUNCTION("""COMPUTED_VALUE"""),45383.66666666667)</f>
        <v>45383.66667</v>
      </c>
      <c r="C441" s="9">
        <f>IFERROR(__xludf.DUMMYFUNCTION("""COMPUTED_VALUE"""),130.89)</f>
        <v>130.89</v>
      </c>
      <c r="K441" s="16"/>
      <c r="T441" s="17"/>
      <c r="AC441" s="17"/>
    </row>
    <row r="442">
      <c r="B442" s="11">
        <f>IFERROR(__xludf.DUMMYFUNCTION("""COMPUTED_VALUE"""),45379.66666666667)</f>
        <v>45379.66667</v>
      </c>
      <c r="C442" s="9">
        <f>IFERROR(__xludf.DUMMYFUNCTION("""COMPUTED_VALUE"""),131.93)</f>
        <v>131.93</v>
      </c>
      <c r="K442" s="16"/>
      <c r="T442" s="17"/>
      <c r="AC442" s="17"/>
    </row>
    <row r="443">
      <c r="B443" s="11">
        <f>IFERROR(__xludf.DUMMYFUNCTION("""COMPUTED_VALUE"""),45378.66666666667)</f>
        <v>45378.66667</v>
      </c>
      <c r="C443" s="9">
        <f>IFERROR(__xludf.DUMMYFUNCTION("""COMPUTED_VALUE"""),131.85)</f>
        <v>131.85</v>
      </c>
      <c r="K443" s="16"/>
      <c r="T443" s="17"/>
      <c r="AC443" s="17"/>
    </row>
    <row r="444">
      <c r="B444" s="11">
        <f>IFERROR(__xludf.DUMMYFUNCTION("""COMPUTED_VALUE"""),45377.66666666667)</f>
        <v>45377.66667</v>
      </c>
      <c r="C444" s="9">
        <f>IFERROR(__xludf.DUMMYFUNCTION("""COMPUTED_VALUE"""),129.98)</f>
        <v>129.98</v>
      </c>
      <c r="K444" s="16"/>
      <c r="T444" s="17"/>
      <c r="AC444" s="17"/>
    </row>
    <row r="445">
      <c r="B445" s="11">
        <f>IFERROR(__xludf.DUMMYFUNCTION("""COMPUTED_VALUE"""),45376.66666666667)</f>
        <v>45376.66667</v>
      </c>
      <c r="C445" s="9">
        <f>IFERROR(__xludf.DUMMYFUNCTION("""COMPUTED_VALUE"""),130.22)</f>
        <v>130.22</v>
      </c>
      <c r="K445" s="16"/>
      <c r="T445" s="17"/>
      <c r="AC445" s="17"/>
    </row>
    <row r="446">
      <c r="B446" s="11">
        <f>IFERROR(__xludf.DUMMYFUNCTION("""COMPUTED_VALUE"""),45373.66666666667)</f>
        <v>45373.66667</v>
      </c>
      <c r="C446" s="9">
        <f>IFERROR(__xludf.DUMMYFUNCTION("""COMPUTED_VALUE"""),130.1)</f>
        <v>130.1</v>
      </c>
      <c r="K446" s="16"/>
      <c r="T446" s="17"/>
      <c r="AC446" s="17"/>
    </row>
    <row r="447">
      <c r="B447" s="11">
        <f>IFERROR(__xludf.DUMMYFUNCTION("""COMPUTED_VALUE"""),45372.66666666667)</f>
        <v>45372.66667</v>
      </c>
      <c r="C447" s="9">
        <f>IFERROR(__xludf.DUMMYFUNCTION("""COMPUTED_VALUE"""),129.59)</f>
        <v>129.59</v>
      </c>
      <c r="K447" s="16"/>
      <c r="T447" s="17"/>
      <c r="AC447" s="17"/>
    </row>
    <row r="448">
      <c r="B448" s="11">
        <f>IFERROR(__xludf.DUMMYFUNCTION("""COMPUTED_VALUE"""),45371.66666666667)</f>
        <v>45371.66667</v>
      </c>
      <c r="C448" s="9">
        <f>IFERROR(__xludf.DUMMYFUNCTION("""COMPUTED_VALUE"""),129.68)</f>
        <v>129.68</v>
      </c>
      <c r="K448" s="16"/>
      <c r="T448" s="17"/>
      <c r="AC448" s="17"/>
    </row>
    <row r="449">
      <c r="B449" s="11">
        <f>IFERROR(__xludf.DUMMYFUNCTION("""COMPUTED_VALUE"""),45370.66666666667)</f>
        <v>45370.66667</v>
      </c>
      <c r="C449" s="9">
        <f>IFERROR(__xludf.DUMMYFUNCTION("""COMPUTED_VALUE"""),128.24)</f>
        <v>128.24</v>
      </c>
      <c r="K449" s="16"/>
      <c r="T449" s="17"/>
      <c r="AC449" s="17"/>
    </row>
    <row r="450">
      <c r="B450" s="11">
        <f>IFERROR(__xludf.DUMMYFUNCTION("""COMPUTED_VALUE"""),45369.66666666667)</f>
        <v>45369.66667</v>
      </c>
      <c r="C450" s="9">
        <f>IFERROR(__xludf.DUMMYFUNCTION("""COMPUTED_VALUE"""),127.08)</f>
        <v>127.08</v>
      </c>
      <c r="K450" s="16"/>
      <c r="T450" s="17"/>
      <c r="AC450" s="17"/>
    </row>
    <row r="451">
      <c r="B451" s="11">
        <f>IFERROR(__xludf.DUMMYFUNCTION("""COMPUTED_VALUE"""),45366.66666666667)</f>
        <v>45366.66667</v>
      </c>
      <c r="C451" s="9">
        <f>IFERROR(__xludf.DUMMYFUNCTION("""COMPUTED_VALUE"""),127.21)</f>
        <v>127.21</v>
      </c>
      <c r="K451" s="16"/>
      <c r="T451" s="17"/>
      <c r="AC451" s="17"/>
    </row>
    <row r="452">
      <c r="B452" s="11">
        <f>IFERROR(__xludf.DUMMYFUNCTION("""COMPUTED_VALUE"""),45365.66666666667)</f>
        <v>45365.66667</v>
      </c>
      <c r="C452" s="9">
        <f>IFERROR(__xludf.DUMMYFUNCTION("""COMPUTED_VALUE"""),126.77)</f>
        <v>126.77</v>
      </c>
      <c r="K452" s="16"/>
      <c r="T452" s="17"/>
      <c r="AC452" s="17"/>
    </row>
    <row r="453">
      <c r="B453" s="11">
        <f>IFERROR(__xludf.DUMMYFUNCTION("""COMPUTED_VALUE"""),45364.66666666667)</f>
        <v>45364.66667</v>
      </c>
      <c r="C453" s="9">
        <f>IFERROR(__xludf.DUMMYFUNCTION("""COMPUTED_VALUE"""),126.95)</f>
        <v>126.95</v>
      </c>
      <c r="K453" s="16"/>
      <c r="T453" s="17"/>
      <c r="AC453" s="17"/>
    </row>
    <row r="454">
      <c r="B454" s="11">
        <f>IFERROR(__xludf.DUMMYFUNCTION("""COMPUTED_VALUE"""),45363.66666666667)</f>
        <v>45363.66667</v>
      </c>
      <c r="C454" s="9">
        <f>IFERROR(__xludf.DUMMYFUNCTION("""COMPUTED_VALUE"""),126.95)</f>
        <v>126.95</v>
      </c>
      <c r="K454" s="16"/>
      <c r="T454" s="17"/>
      <c r="AC454" s="17"/>
    </row>
    <row r="455">
      <c r="B455" s="11">
        <f>IFERROR(__xludf.DUMMYFUNCTION("""COMPUTED_VALUE"""),45362.66666666667)</f>
        <v>45362.66667</v>
      </c>
      <c r="C455" s="9">
        <f>IFERROR(__xludf.DUMMYFUNCTION("""COMPUTED_VALUE"""),127.93)</f>
        <v>127.93</v>
      </c>
      <c r="K455" s="16"/>
      <c r="T455" s="17"/>
      <c r="AC455" s="17"/>
    </row>
    <row r="456">
      <c r="B456" s="11">
        <f>IFERROR(__xludf.DUMMYFUNCTION("""COMPUTED_VALUE"""),45359.66666666667)</f>
        <v>45359.66667</v>
      </c>
      <c r="C456" s="9">
        <f>IFERROR(__xludf.DUMMYFUNCTION("""COMPUTED_VALUE"""),129.18)</f>
        <v>129.18</v>
      </c>
      <c r="K456" s="16"/>
      <c r="T456" s="17"/>
      <c r="AC456" s="17"/>
    </row>
    <row r="457">
      <c r="B457" s="11">
        <f>IFERROR(__xludf.DUMMYFUNCTION("""COMPUTED_VALUE"""),45358.66666666667)</f>
        <v>45358.66667</v>
      </c>
      <c r="C457" s="9">
        <f>IFERROR(__xludf.DUMMYFUNCTION("""COMPUTED_VALUE"""),129.87)</f>
        <v>129.87</v>
      </c>
      <c r="K457" s="16"/>
      <c r="T457" s="17"/>
      <c r="AC457" s="17"/>
    </row>
    <row r="458">
      <c r="B458" s="11">
        <f>IFERROR(__xludf.DUMMYFUNCTION("""COMPUTED_VALUE"""),45357.66666666667)</f>
        <v>45357.66667</v>
      </c>
      <c r="C458" s="9">
        <f>IFERROR(__xludf.DUMMYFUNCTION("""COMPUTED_VALUE"""),129.53)</f>
        <v>129.53</v>
      </c>
      <c r="K458" s="16"/>
      <c r="T458" s="17"/>
      <c r="AC458" s="17"/>
    </row>
    <row r="459">
      <c r="B459" s="11">
        <f>IFERROR(__xludf.DUMMYFUNCTION("""COMPUTED_VALUE"""),45356.66666666667)</f>
        <v>45356.66667</v>
      </c>
      <c r="C459" s="9">
        <f>IFERROR(__xludf.DUMMYFUNCTION("""COMPUTED_VALUE"""),128.75)</f>
        <v>128.75</v>
      </c>
      <c r="K459" s="16"/>
      <c r="T459" s="17"/>
      <c r="AC459" s="17"/>
    </row>
    <row r="460">
      <c r="B460" s="11">
        <f>IFERROR(__xludf.DUMMYFUNCTION("""COMPUTED_VALUE"""),45355.66666666667)</f>
        <v>45355.66667</v>
      </c>
      <c r="C460" s="9">
        <f>IFERROR(__xludf.DUMMYFUNCTION("""COMPUTED_VALUE"""),128.88)</f>
        <v>128.88</v>
      </c>
      <c r="K460" s="16"/>
      <c r="T460" s="17"/>
      <c r="AC460" s="17"/>
    </row>
    <row r="461">
      <c r="B461" s="11">
        <f>IFERROR(__xludf.DUMMYFUNCTION("""COMPUTED_VALUE"""),45352.66666666667)</f>
        <v>45352.66667</v>
      </c>
      <c r="C461" s="9">
        <f>IFERROR(__xludf.DUMMYFUNCTION("""COMPUTED_VALUE"""),127.89)</f>
        <v>127.89</v>
      </c>
      <c r="K461" s="16"/>
      <c r="T461" s="17"/>
      <c r="AC461" s="17"/>
    </row>
    <row r="462">
      <c r="B462" s="11">
        <f>IFERROR(__xludf.DUMMYFUNCTION("""COMPUTED_VALUE"""),45351.66666666667)</f>
        <v>45351.66667</v>
      </c>
      <c r="C462" s="9">
        <f>IFERROR(__xludf.DUMMYFUNCTION("""COMPUTED_VALUE"""),127.88)</f>
        <v>127.88</v>
      </c>
      <c r="K462" s="16"/>
      <c r="T462" s="17"/>
      <c r="AC462" s="17"/>
    </row>
    <row r="463">
      <c r="B463" s="11">
        <f>IFERROR(__xludf.DUMMYFUNCTION("""COMPUTED_VALUE"""),45350.66666666667)</f>
        <v>45350.66667</v>
      </c>
      <c r="C463" s="9">
        <f>IFERROR(__xludf.DUMMYFUNCTION("""COMPUTED_VALUE"""),128.13)</f>
        <v>128.13</v>
      </c>
      <c r="K463" s="16"/>
      <c r="T463" s="17"/>
      <c r="AC463" s="17"/>
    </row>
    <row r="464">
      <c r="B464" s="11">
        <f>IFERROR(__xludf.DUMMYFUNCTION("""COMPUTED_VALUE"""),45349.66666666667)</f>
        <v>45349.66667</v>
      </c>
      <c r="C464" s="9">
        <f>IFERROR(__xludf.DUMMYFUNCTION("""COMPUTED_VALUE"""),126.38)</f>
        <v>126.38</v>
      </c>
      <c r="K464" s="16"/>
      <c r="T464" s="17"/>
      <c r="AC464" s="17"/>
    </row>
    <row r="465">
      <c r="B465" s="11">
        <f>IFERROR(__xludf.DUMMYFUNCTION("""COMPUTED_VALUE"""),45348.66666666667)</f>
        <v>45348.66667</v>
      </c>
      <c r="C465" s="9">
        <f>IFERROR(__xludf.DUMMYFUNCTION("""COMPUTED_VALUE"""),126.23)</f>
        <v>126.23</v>
      </c>
      <c r="K465" s="16"/>
      <c r="T465" s="17"/>
      <c r="AC465" s="17"/>
    </row>
    <row r="466">
      <c r="B466" s="11">
        <f>IFERROR(__xludf.DUMMYFUNCTION("""COMPUTED_VALUE"""),45345.66666666667)</f>
        <v>45345.66667</v>
      </c>
      <c r="C466" s="9">
        <f>IFERROR(__xludf.DUMMYFUNCTION("""COMPUTED_VALUE"""),126.42)</f>
        <v>126.42</v>
      </c>
      <c r="K466" s="16"/>
      <c r="T466" s="17"/>
      <c r="AC466" s="17"/>
    </row>
    <row r="467">
      <c r="B467" s="11">
        <f>IFERROR(__xludf.DUMMYFUNCTION("""COMPUTED_VALUE"""),45344.66666666667)</f>
        <v>45344.66667</v>
      </c>
      <c r="C467" s="9">
        <f>IFERROR(__xludf.DUMMYFUNCTION("""COMPUTED_VALUE"""),125.98)</f>
        <v>125.98</v>
      </c>
      <c r="K467" s="16"/>
      <c r="T467" s="17"/>
      <c r="AC467" s="17"/>
    </row>
    <row r="468">
      <c r="B468" s="11">
        <f>IFERROR(__xludf.DUMMYFUNCTION("""COMPUTED_VALUE"""),45343.66666666667)</f>
        <v>45343.66667</v>
      </c>
      <c r="C468" s="9">
        <f>IFERROR(__xludf.DUMMYFUNCTION("""COMPUTED_VALUE"""),125.52)</f>
        <v>125.52</v>
      </c>
      <c r="K468" s="16"/>
      <c r="T468" s="17"/>
      <c r="AC468" s="17"/>
    </row>
    <row r="469">
      <c r="B469" s="11">
        <f>IFERROR(__xludf.DUMMYFUNCTION("""COMPUTED_VALUE"""),45342.66666666667)</f>
        <v>45342.66667</v>
      </c>
      <c r="C469" s="9">
        <f>IFERROR(__xludf.DUMMYFUNCTION("""COMPUTED_VALUE"""),125.43)</f>
        <v>125.43</v>
      </c>
      <c r="K469" s="16"/>
      <c r="T469" s="17"/>
      <c r="AC469" s="17"/>
    </row>
    <row r="470">
      <c r="B470" s="11">
        <f>IFERROR(__xludf.DUMMYFUNCTION("""COMPUTED_VALUE"""),45338.66666666667)</f>
        <v>45338.66667</v>
      </c>
      <c r="C470" s="9">
        <f>IFERROR(__xludf.DUMMYFUNCTION("""COMPUTED_VALUE"""),125.64)</f>
        <v>125.64</v>
      </c>
      <c r="K470" s="16"/>
      <c r="T470" s="17"/>
      <c r="AC470" s="17"/>
    </row>
    <row r="471">
      <c r="B471" s="11">
        <f>IFERROR(__xludf.DUMMYFUNCTION("""COMPUTED_VALUE"""),45337.66666666667)</f>
        <v>45337.66667</v>
      </c>
      <c r="C471" s="9">
        <f>IFERROR(__xludf.DUMMYFUNCTION("""COMPUTED_VALUE"""),126.24)</f>
        <v>126.24</v>
      </c>
      <c r="K471" s="16"/>
      <c r="T471" s="17"/>
      <c r="AC471" s="17"/>
    </row>
    <row r="472">
      <c r="B472" s="11">
        <f>IFERROR(__xludf.DUMMYFUNCTION("""COMPUTED_VALUE"""),45336.66666666667)</f>
        <v>45336.66667</v>
      </c>
      <c r="C472" s="9">
        <f>IFERROR(__xludf.DUMMYFUNCTION("""COMPUTED_VALUE"""),125.32)</f>
        <v>125.32</v>
      </c>
      <c r="K472" s="16"/>
      <c r="T472" s="17"/>
      <c r="AC472" s="17"/>
    </row>
    <row r="473">
      <c r="B473" s="11">
        <f>IFERROR(__xludf.DUMMYFUNCTION("""COMPUTED_VALUE"""),45335.66666666667)</f>
        <v>45335.66667</v>
      </c>
      <c r="C473" s="9">
        <f>IFERROR(__xludf.DUMMYFUNCTION("""COMPUTED_VALUE"""),124.1)</f>
        <v>124.1</v>
      </c>
      <c r="K473" s="16"/>
      <c r="T473" s="17"/>
      <c r="AC473" s="17"/>
    </row>
    <row r="474">
      <c r="B474" s="11">
        <f>IFERROR(__xludf.DUMMYFUNCTION("""COMPUTED_VALUE"""),45334.66666666667)</f>
        <v>45334.66667</v>
      </c>
      <c r="C474" s="9">
        <f>IFERROR(__xludf.DUMMYFUNCTION("""COMPUTED_VALUE"""),124.89)</f>
        <v>124.89</v>
      </c>
      <c r="K474" s="16"/>
      <c r="T474" s="17"/>
      <c r="AC474" s="17"/>
    </row>
    <row r="475">
      <c r="B475" s="11">
        <f>IFERROR(__xludf.DUMMYFUNCTION("""COMPUTED_VALUE"""),45331.66666666667)</f>
        <v>45331.66667</v>
      </c>
      <c r="C475" s="9">
        <f>IFERROR(__xludf.DUMMYFUNCTION("""COMPUTED_VALUE"""),124.66)</f>
        <v>124.66</v>
      </c>
      <c r="K475" s="16"/>
      <c r="T475" s="17"/>
      <c r="AC475" s="17"/>
    </row>
    <row r="476">
      <c r="B476" s="11">
        <f>IFERROR(__xludf.DUMMYFUNCTION("""COMPUTED_VALUE"""),45330.66666666667)</f>
        <v>45330.66667</v>
      </c>
      <c r="C476" s="9">
        <f>IFERROR(__xludf.DUMMYFUNCTION("""COMPUTED_VALUE"""),124.45)</f>
        <v>124.45</v>
      </c>
      <c r="K476" s="16"/>
      <c r="T476" s="17"/>
      <c r="AC476" s="17"/>
    </row>
    <row r="477">
      <c r="B477" s="11">
        <f>IFERROR(__xludf.DUMMYFUNCTION("""COMPUTED_VALUE"""),45329.66666666667)</f>
        <v>45329.66667</v>
      </c>
      <c r="C477" s="9">
        <f>IFERROR(__xludf.DUMMYFUNCTION("""COMPUTED_VALUE"""),125.03)</f>
        <v>125.03</v>
      </c>
      <c r="K477" s="16"/>
      <c r="T477" s="17"/>
      <c r="AC477" s="17"/>
    </row>
    <row r="478">
      <c r="B478" s="11">
        <f>IFERROR(__xludf.DUMMYFUNCTION("""COMPUTED_VALUE"""),45328.66666666667)</f>
        <v>45328.66667</v>
      </c>
      <c r="C478" s="9">
        <f>IFERROR(__xludf.DUMMYFUNCTION("""COMPUTED_VALUE"""),124.11)</f>
        <v>124.11</v>
      </c>
      <c r="K478" s="16"/>
      <c r="T478" s="17"/>
      <c r="AC478" s="17"/>
    </row>
    <row r="479">
      <c r="B479" s="11">
        <f>IFERROR(__xludf.DUMMYFUNCTION("""COMPUTED_VALUE"""),45327.66666666667)</f>
        <v>45327.66667</v>
      </c>
      <c r="C479" s="9">
        <f>IFERROR(__xludf.DUMMYFUNCTION("""COMPUTED_VALUE"""),123.18)</f>
        <v>123.18</v>
      </c>
      <c r="K479" s="16"/>
      <c r="T479" s="17"/>
      <c r="AC479" s="17"/>
    </row>
    <row r="480">
      <c r="B480" s="11">
        <f>IFERROR(__xludf.DUMMYFUNCTION("""COMPUTED_VALUE"""),45324.66666666667)</f>
        <v>45324.66667</v>
      </c>
      <c r="C480" s="9">
        <f>IFERROR(__xludf.DUMMYFUNCTION("""COMPUTED_VALUE"""),123.63)</f>
        <v>123.63</v>
      </c>
      <c r="K480" s="16"/>
      <c r="T480" s="17"/>
      <c r="AC480" s="17"/>
    </row>
    <row r="481">
      <c r="B481" s="11">
        <f>IFERROR(__xludf.DUMMYFUNCTION("""COMPUTED_VALUE"""),45323.66666666667)</f>
        <v>45323.66667</v>
      </c>
      <c r="C481" s="9">
        <f>IFERROR(__xludf.DUMMYFUNCTION("""COMPUTED_VALUE"""),123.7)</f>
        <v>123.7</v>
      </c>
      <c r="K481" s="16"/>
      <c r="T481" s="17"/>
      <c r="AC481" s="17"/>
    </row>
    <row r="482">
      <c r="B482" s="11">
        <f>IFERROR(__xludf.DUMMYFUNCTION("""COMPUTED_VALUE"""),45322.66666666667)</f>
        <v>45322.66667</v>
      </c>
      <c r="C482" s="9">
        <f>IFERROR(__xludf.DUMMYFUNCTION("""COMPUTED_VALUE"""),122.65)</f>
        <v>122.65</v>
      </c>
      <c r="K482" s="16"/>
      <c r="T482" s="17"/>
      <c r="AC482" s="17"/>
    </row>
    <row r="483">
      <c r="B483" s="11">
        <f>IFERROR(__xludf.DUMMYFUNCTION("""COMPUTED_VALUE"""),45321.66666666667)</f>
        <v>45321.66667</v>
      </c>
      <c r="C483" s="9">
        <f>IFERROR(__xludf.DUMMYFUNCTION("""COMPUTED_VALUE"""),122.09)</f>
        <v>122.09</v>
      </c>
      <c r="K483" s="16"/>
      <c r="T483" s="17"/>
      <c r="AC483" s="17"/>
    </row>
    <row r="484">
      <c r="B484" s="11">
        <f>IFERROR(__xludf.DUMMYFUNCTION("""COMPUTED_VALUE"""),45320.66666666667)</f>
        <v>45320.66667</v>
      </c>
      <c r="C484" s="9">
        <f>IFERROR(__xludf.DUMMYFUNCTION("""COMPUTED_VALUE"""),122.26)</f>
        <v>122.26</v>
      </c>
      <c r="K484" s="16"/>
      <c r="T484" s="17"/>
      <c r="AC484" s="17"/>
    </row>
    <row r="485">
      <c r="B485" s="11">
        <f>IFERROR(__xludf.DUMMYFUNCTION("""COMPUTED_VALUE"""),45317.66666666667)</f>
        <v>45317.66667</v>
      </c>
      <c r="C485" s="9">
        <f>IFERROR(__xludf.DUMMYFUNCTION("""COMPUTED_VALUE"""),122.04)</f>
        <v>122.04</v>
      </c>
      <c r="K485" s="16"/>
      <c r="T485" s="17"/>
      <c r="AC485" s="17"/>
    </row>
    <row r="486">
      <c r="B486" s="11">
        <f>IFERROR(__xludf.DUMMYFUNCTION("""COMPUTED_VALUE"""),45316.66666666667)</f>
        <v>45316.66667</v>
      </c>
      <c r="C486" s="9">
        <f>IFERROR(__xludf.DUMMYFUNCTION("""COMPUTED_VALUE"""),121.67)</f>
        <v>121.67</v>
      </c>
      <c r="K486" s="16"/>
      <c r="T486" s="17"/>
      <c r="AC486" s="17"/>
    </row>
    <row r="487">
      <c r="B487" s="11">
        <f>IFERROR(__xludf.DUMMYFUNCTION("""COMPUTED_VALUE"""),45315.66666666667)</f>
        <v>45315.66667</v>
      </c>
      <c r="C487" s="9">
        <f>IFERROR(__xludf.DUMMYFUNCTION("""COMPUTED_VALUE"""),122.77)</f>
        <v>122.77</v>
      </c>
      <c r="K487" s="16"/>
      <c r="T487" s="17"/>
      <c r="AC487" s="17"/>
    </row>
    <row r="488">
      <c r="B488" s="11">
        <f>IFERROR(__xludf.DUMMYFUNCTION("""COMPUTED_VALUE"""),45314.66666666667)</f>
        <v>45314.66667</v>
      </c>
      <c r="C488" s="9">
        <f>IFERROR(__xludf.DUMMYFUNCTION("""COMPUTED_VALUE"""),122.43)</f>
        <v>122.43</v>
      </c>
      <c r="K488" s="16"/>
      <c r="T488" s="17"/>
      <c r="AC488" s="17"/>
    </row>
    <row r="489">
      <c r="B489" s="11">
        <f>IFERROR(__xludf.DUMMYFUNCTION("""COMPUTED_VALUE"""),45313.66666666667)</f>
        <v>45313.66667</v>
      </c>
      <c r="C489" s="9">
        <f>IFERROR(__xludf.DUMMYFUNCTION("""COMPUTED_VALUE"""),122.17)</f>
        <v>122.17</v>
      </c>
      <c r="K489" s="16"/>
      <c r="T489" s="17"/>
      <c r="AC489" s="17"/>
    </row>
    <row r="490">
      <c r="B490" s="11">
        <f>IFERROR(__xludf.DUMMYFUNCTION("""COMPUTED_VALUE"""),45310.66666666667)</f>
        <v>45310.66667</v>
      </c>
      <c r="C490" s="9">
        <f>IFERROR(__xludf.DUMMYFUNCTION("""COMPUTED_VALUE"""),121.71)</f>
        <v>121.71</v>
      </c>
      <c r="K490" s="16"/>
      <c r="T490" s="17"/>
      <c r="AC490" s="17"/>
    </row>
    <row r="491">
      <c r="B491" s="11">
        <f>IFERROR(__xludf.DUMMYFUNCTION("""COMPUTED_VALUE"""),45309.66666666667)</f>
        <v>45309.66667</v>
      </c>
      <c r="C491" s="9">
        <f>IFERROR(__xludf.DUMMYFUNCTION("""COMPUTED_VALUE"""),121.21)</f>
        <v>121.21</v>
      </c>
      <c r="K491" s="16"/>
      <c r="T491" s="17"/>
      <c r="AC491" s="17"/>
    </row>
    <row r="492">
      <c r="B492" s="11">
        <f>IFERROR(__xludf.DUMMYFUNCTION("""COMPUTED_VALUE"""),45308.66666666667)</f>
        <v>45308.66667</v>
      </c>
      <c r="C492" s="9">
        <f>IFERROR(__xludf.DUMMYFUNCTION("""COMPUTED_VALUE"""),119.32)</f>
        <v>119.32</v>
      </c>
      <c r="K492" s="16"/>
      <c r="T492" s="17"/>
      <c r="AC492" s="17"/>
    </row>
    <row r="493">
      <c r="B493" s="11">
        <f>IFERROR(__xludf.DUMMYFUNCTION("""COMPUTED_VALUE"""),45307.66666666667)</f>
        <v>45307.66667</v>
      </c>
      <c r="C493" s="9">
        <f>IFERROR(__xludf.DUMMYFUNCTION("""COMPUTED_VALUE"""),119.3)</f>
        <v>119.3</v>
      </c>
      <c r="K493" s="16"/>
      <c r="T493" s="17"/>
      <c r="AC493" s="17"/>
    </row>
    <row r="494">
      <c r="B494" s="11">
        <f>IFERROR(__xludf.DUMMYFUNCTION("""COMPUTED_VALUE"""),45303.66666666667)</f>
        <v>45303.66667</v>
      </c>
      <c r="C494" s="9">
        <f>IFERROR(__xludf.DUMMYFUNCTION("""COMPUTED_VALUE"""),122.34)</f>
        <v>122.34</v>
      </c>
      <c r="K494" s="16"/>
      <c r="T494" s="17"/>
      <c r="AC494" s="17"/>
    </row>
    <row r="495">
      <c r="B495" s="11">
        <f>IFERROR(__xludf.DUMMYFUNCTION("""COMPUTED_VALUE"""),45302.66666666667)</f>
        <v>45302.66667</v>
      </c>
      <c r="C495" s="9">
        <f>IFERROR(__xludf.DUMMYFUNCTION("""COMPUTED_VALUE"""),121.47)</f>
        <v>121.47</v>
      </c>
      <c r="K495" s="16"/>
      <c r="T495" s="17"/>
      <c r="AC495" s="17"/>
    </row>
    <row r="496">
      <c r="B496" s="11">
        <f>IFERROR(__xludf.DUMMYFUNCTION("""COMPUTED_VALUE"""),45301.66666666667)</f>
        <v>45301.66667</v>
      </c>
      <c r="C496" s="9">
        <f>IFERROR(__xludf.DUMMYFUNCTION("""COMPUTED_VALUE"""),122.26)</f>
        <v>122.26</v>
      </c>
      <c r="K496" s="16"/>
      <c r="T496" s="17"/>
      <c r="AC496" s="17"/>
    </row>
    <row r="497">
      <c r="B497" s="11">
        <f>IFERROR(__xludf.DUMMYFUNCTION("""COMPUTED_VALUE"""),45300.66666666667)</f>
        <v>45300.66667</v>
      </c>
      <c r="C497" s="9">
        <f>IFERROR(__xludf.DUMMYFUNCTION("""COMPUTED_VALUE"""),121.47)</f>
        <v>121.47</v>
      </c>
      <c r="K497" s="16"/>
      <c r="T497" s="17"/>
      <c r="AC497" s="17"/>
    </row>
    <row r="498">
      <c r="B498" s="11">
        <f>IFERROR(__xludf.DUMMYFUNCTION("""COMPUTED_VALUE"""),45299.66666666667)</f>
        <v>45299.66667</v>
      </c>
      <c r="C498" s="9">
        <f>IFERROR(__xludf.DUMMYFUNCTION("""COMPUTED_VALUE"""),122.43)</f>
        <v>122.43</v>
      </c>
      <c r="K498" s="16"/>
      <c r="T498" s="17"/>
      <c r="AC498" s="17"/>
    </row>
    <row r="499">
      <c r="B499" s="11">
        <f>IFERROR(__xludf.DUMMYFUNCTION("""COMPUTED_VALUE"""),45296.66666666667)</f>
        <v>45296.66667</v>
      </c>
      <c r="C499" s="9">
        <f>IFERROR(__xludf.DUMMYFUNCTION("""COMPUTED_VALUE"""),123.84)</f>
        <v>123.84</v>
      </c>
      <c r="K499" s="16"/>
      <c r="T499" s="17"/>
      <c r="AC499" s="17"/>
    </row>
    <row r="500">
      <c r="B500" s="11">
        <f>IFERROR(__xludf.DUMMYFUNCTION("""COMPUTED_VALUE"""),45295.66666666667)</f>
        <v>45295.66667</v>
      </c>
      <c r="C500" s="9">
        <f>IFERROR(__xludf.DUMMYFUNCTION("""COMPUTED_VALUE"""),123.72)</f>
        <v>123.72</v>
      </c>
      <c r="K500" s="16"/>
      <c r="T500" s="17"/>
      <c r="AC500" s="17"/>
    </row>
    <row r="501">
      <c r="B501" s="11">
        <f>IFERROR(__xludf.DUMMYFUNCTION("""COMPUTED_VALUE"""),45294.66666666667)</f>
        <v>45294.66667</v>
      </c>
      <c r="C501" s="9">
        <f>IFERROR(__xludf.DUMMYFUNCTION("""COMPUTED_VALUE"""),123.73)</f>
        <v>123.73</v>
      </c>
      <c r="K501" s="16"/>
      <c r="T501" s="17"/>
      <c r="AC501" s="17"/>
    </row>
    <row r="502">
      <c r="B502" s="11">
        <f>IFERROR(__xludf.DUMMYFUNCTION("""COMPUTED_VALUE"""),45293.66666666667)</f>
        <v>45293.66667</v>
      </c>
      <c r="C502" s="9">
        <f>IFERROR(__xludf.DUMMYFUNCTION("""COMPUTED_VALUE"""),125.44)</f>
        <v>125.44</v>
      </c>
      <c r="K502" s="16"/>
      <c r="T502" s="17"/>
      <c r="AC502" s="17"/>
    </row>
    <row r="503">
      <c r="B503" s="11">
        <f>IFERROR(__xludf.DUMMYFUNCTION("""COMPUTED_VALUE"""),45289.66666666667)</f>
        <v>45289.66667</v>
      </c>
      <c r="C503" s="9">
        <f>IFERROR(__xludf.DUMMYFUNCTION("""COMPUTED_VALUE"""),126.6)</f>
        <v>126.6</v>
      </c>
      <c r="K503" s="16"/>
      <c r="T503" s="17"/>
      <c r="AC503" s="17"/>
    </row>
    <row r="504">
      <c r="B504" s="11">
        <f>IFERROR(__xludf.DUMMYFUNCTION("""COMPUTED_VALUE"""),45288.66666666667)</f>
        <v>45288.66667</v>
      </c>
      <c r="C504" s="9">
        <f>IFERROR(__xludf.DUMMYFUNCTION("""COMPUTED_VALUE"""),126.61)</f>
        <v>126.61</v>
      </c>
      <c r="K504" s="16"/>
      <c r="T504" s="17"/>
      <c r="AC504" s="17"/>
    </row>
    <row r="505">
      <c r="B505" s="11">
        <f>IFERROR(__xludf.DUMMYFUNCTION("""COMPUTED_VALUE"""),45287.66666666667)</f>
        <v>45287.66667</v>
      </c>
      <c r="C505" s="9">
        <f>IFERROR(__xludf.DUMMYFUNCTION("""COMPUTED_VALUE"""),126.68)</f>
        <v>126.68</v>
      </c>
      <c r="K505" s="16"/>
      <c r="T505" s="17"/>
      <c r="AC505" s="17"/>
    </row>
    <row r="506">
      <c r="B506" s="11">
        <f>IFERROR(__xludf.DUMMYFUNCTION("""COMPUTED_VALUE"""),45286.66666666667)</f>
        <v>45286.66667</v>
      </c>
      <c r="C506" s="9">
        <f>IFERROR(__xludf.DUMMYFUNCTION("""COMPUTED_VALUE"""),126.6)</f>
        <v>126.6</v>
      </c>
      <c r="K506" s="16"/>
      <c r="T506" s="17"/>
      <c r="AC506" s="17"/>
    </row>
    <row r="507">
      <c r="B507" s="11">
        <f>IFERROR(__xludf.DUMMYFUNCTION("""COMPUTED_VALUE"""),45282.66666666667)</f>
        <v>45282.66667</v>
      </c>
      <c r="C507" s="9">
        <f>IFERROR(__xludf.DUMMYFUNCTION("""COMPUTED_VALUE"""),125.92)</f>
        <v>125.92</v>
      </c>
      <c r="K507" s="16"/>
      <c r="T507" s="17"/>
      <c r="AC507" s="17"/>
    </row>
    <row r="508">
      <c r="B508" s="11">
        <f>IFERROR(__xludf.DUMMYFUNCTION("""COMPUTED_VALUE"""),45281.66666666667)</f>
        <v>45281.66667</v>
      </c>
      <c r="C508" s="9">
        <f>IFERROR(__xludf.DUMMYFUNCTION("""COMPUTED_VALUE"""),125.2)</f>
        <v>125.2</v>
      </c>
      <c r="K508" s="16"/>
      <c r="T508" s="17"/>
      <c r="AC508" s="17"/>
    </row>
    <row r="509">
      <c r="B509" s="11">
        <f>IFERROR(__xludf.DUMMYFUNCTION("""COMPUTED_VALUE"""),45280.66666666667)</f>
        <v>45280.66667</v>
      </c>
      <c r="C509" s="9">
        <f>IFERROR(__xludf.DUMMYFUNCTION("""COMPUTED_VALUE"""),124.01)</f>
        <v>124.01</v>
      </c>
      <c r="K509" s="16"/>
      <c r="T509" s="17"/>
      <c r="AC509" s="17"/>
    </row>
    <row r="510">
      <c r="B510" s="11">
        <f>IFERROR(__xludf.DUMMYFUNCTION("""COMPUTED_VALUE"""),45279.66666666667)</f>
        <v>45279.66667</v>
      </c>
      <c r="C510" s="9">
        <f>IFERROR(__xludf.DUMMYFUNCTION("""COMPUTED_VALUE"""),126.46)</f>
        <v>126.46</v>
      </c>
      <c r="K510" s="16"/>
      <c r="T510" s="17"/>
      <c r="AC510" s="17"/>
    </row>
    <row r="511">
      <c r="B511" s="11">
        <f>IFERROR(__xludf.DUMMYFUNCTION("""COMPUTED_VALUE"""),45278.66666666667)</f>
        <v>45278.66667</v>
      </c>
      <c r="C511" s="9">
        <f>IFERROR(__xludf.DUMMYFUNCTION("""COMPUTED_VALUE"""),125.14)</f>
        <v>125.14</v>
      </c>
      <c r="K511" s="16"/>
      <c r="T511" s="17"/>
      <c r="AC511" s="17"/>
    </row>
    <row r="512">
      <c r="B512" s="11">
        <f>IFERROR(__xludf.DUMMYFUNCTION("""COMPUTED_VALUE"""),45275.66666666667)</f>
        <v>45275.66667</v>
      </c>
      <c r="C512" s="9">
        <f>IFERROR(__xludf.DUMMYFUNCTION("""COMPUTED_VALUE"""),124.91)</f>
        <v>124.91</v>
      </c>
      <c r="K512" s="16"/>
      <c r="T512" s="17"/>
      <c r="AC512" s="17"/>
    </row>
    <row r="513">
      <c r="B513" s="11">
        <f>IFERROR(__xludf.DUMMYFUNCTION("""COMPUTED_VALUE"""),45274.66666666667)</f>
        <v>45274.66667</v>
      </c>
      <c r="C513" s="9">
        <f>IFERROR(__xludf.DUMMYFUNCTION("""COMPUTED_VALUE"""),124.85)</f>
        <v>124.85</v>
      </c>
      <c r="K513" s="16"/>
      <c r="T513" s="17"/>
      <c r="AC513" s="17"/>
    </row>
    <row r="514">
      <c r="B514" s="11">
        <f>IFERROR(__xludf.DUMMYFUNCTION("""COMPUTED_VALUE"""),45273.66666666667)</f>
        <v>45273.66667</v>
      </c>
      <c r="C514" s="9">
        <f>IFERROR(__xludf.DUMMYFUNCTION("""COMPUTED_VALUE"""),125.59)</f>
        <v>125.59</v>
      </c>
      <c r="K514" s="16"/>
      <c r="T514" s="17"/>
      <c r="AC514" s="17"/>
    </row>
    <row r="515">
      <c r="B515" s="11">
        <f>IFERROR(__xludf.DUMMYFUNCTION("""COMPUTED_VALUE"""),45272.66666666667)</f>
        <v>45272.66667</v>
      </c>
      <c r="C515" s="9">
        <f>IFERROR(__xludf.DUMMYFUNCTION("""COMPUTED_VALUE"""),123.78)</f>
        <v>123.78</v>
      </c>
      <c r="K515" s="16"/>
      <c r="T515" s="17"/>
      <c r="AC515" s="17"/>
    </row>
    <row r="516">
      <c r="B516" s="11">
        <f>IFERROR(__xludf.DUMMYFUNCTION("""COMPUTED_VALUE"""),45271.66666666667)</f>
        <v>45271.66667</v>
      </c>
      <c r="C516" s="9">
        <f>IFERROR(__xludf.DUMMYFUNCTION("""COMPUTED_VALUE"""),123.47)</f>
        <v>123.47</v>
      </c>
      <c r="K516" s="16"/>
      <c r="T516" s="17"/>
      <c r="AC516" s="17"/>
    </row>
    <row r="517">
      <c r="B517" s="11">
        <f>IFERROR(__xludf.DUMMYFUNCTION("""COMPUTED_VALUE"""),45268.66666666667)</f>
        <v>45268.66667</v>
      </c>
      <c r="C517" s="9">
        <f>IFERROR(__xludf.DUMMYFUNCTION("""COMPUTED_VALUE"""),122.28)</f>
        <v>122.28</v>
      </c>
      <c r="K517" s="16"/>
      <c r="T517" s="17"/>
      <c r="AC517" s="17"/>
    </row>
    <row r="518">
      <c r="B518" s="11">
        <f>IFERROR(__xludf.DUMMYFUNCTION("""COMPUTED_VALUE"""),45267.66666666667)</f>
        <v>45267.66667</v>
      </c>
      <c r="C518" s="9">
        <f>IFERROR(__xludf.DUMMYFUNCTION("""COMPUTED_VALUE"""),121.35)</f>
        <v>121.35</v>
      </c>
      <c r="K518" s="16"/>
      <c r="T518" s="17"/>
      <c r="AC518" s="17"/>
    </row>
    <row r="519">
      <c r="B519" s="11">
        <f>IFERROR(__xludf.DUMMYFUNCTION("""COMPUTED_VALUE"""),45266.66666666667)</f>
        <v>45266.66667</v>
      </c>
      <c r="C519" s="9">
        <f>IFERROR(__xludf.DUMMYFUNCTION("""COMPUTED_VALUE"""),121.58)</f>
        <v>121.58</v>
      </c>
      <c r="K519" s="16"/>
      <c r="T519" s="17"/>
      <c r="AC519" s="17"/>
    </row>
    <row r="520">
      <c r="B520" s="11">
        <f>IFERROR(__xludf.DUMMYFUNCTION("""COMPUTED_VALUE"""),45265.66666666667)</f>
        <v>45265.66667</v>
      </c>
      <c r="C520" s="9">
        <f>IFERROR(__xludf.DUMMYFUNCTION("""COMPUTED_VALUE"""),121.18)</f>
        <v>121.18</v>
      </c>
      <c r="K520" s="16"/>
      <c r="T520" s="17"/>
      <c r="AC520" s="17"/>
    </row>
    <row r="521">
      <c r="B521" s="11">
        <f>IFERROR(__xludf.DUMMYFUNCTION("""COMPUTED_VALUE"""),45264.66666666667)</f>
        <v>45264.66667</v>
      </c>
      <c r="C521" s="9">
        <f>IFERROR(__xludf.DUMMYFUNCTION("""COMPUTED_VALUE"""),122.24)</f>
        <v>122.24</v>
      </c>
      <c r="K521" s="16"/>
      <c r="T521" s="17"/>
      <c r="AC521" s="17"/>
    </row>
    <row r="522">
      <c r="B522" s="11">
        <f>IFERROR(__xludf.DUMMYFUNCTION("""COMPUTED_VALUE"""),45261.66666666667)</f>
        <v>45261.66667</v>
      </c>
      <c r="C522" s="9">
        <f>IFERROR(__xludf.DUMMYFUNCTION("""COMPUTED_VALUE"""),121.28)</f>
        <v>121.28</v>
      </c>
      <c r="K522" s="16"/>
      <c r="T522" s="17"/>
      <c r="AC522" s="17"/>
    </row>
    <row r="523">
      <c r="B523" s="11">
        <f>IFERROR(__xludf.DUMMYFUNCTION("""COMPUTED_VALUE"""),45260.66666666667)</f>
        <v>45260.66667</v>
      </c>
      <c r="C523" s="9">
        <f>IFERROR(__xludf.DUMMYFUNCTION("""COMPUTED_VALUE"""),119.86)</f>
        <v>119.86</v>
      </c>
      <c r="K523" s="16"/>
      <c r="T523" s="17"/>
      <c r="AC523" s="17"/>
    </row>
    <row r="524">
      <c r="B524" s="11">
        <f>IFERROR(__xludf.DUMMYFUNCTION("""COMPUTED_VALUE"""),45259.66666666667)</f>
        <v>45259.66667</v>
      </c>
      <c r="C524" s="9">
        <f>IFERROR(__xludf.DUMMYFUNCTION("""COMPUTED_VALUE"""),117.8)</f>
        <v>117.8</v>
      </c>
      <c r="K524" s="16"/>
      <c r="T524" s="17"/>
      <c r="AC524" s="17"/>
    </row>
    <row r="525">
      <c r="B525" s="11">
        <f>IFERROR(__xludf.DUMMYFUNCTION("""COMPUTED_VALUE"""),45258.66666666667)</f>
        <v>45258.66667</v>
      </c>
      <c r="C525" s="9">
        <f>IFERROR(__xludf.DUMMYFUNCTION("""COMPUTED_VALUE"""),117.92)</f>
        <v>117.92</v>
      </c>
      <c r="K525" s="16"/>
      <c r="T525" s="17"/>
      <c r="AC525" s="17"/>
    </row>
    <row r="526">
      <c r="B526" s="11">
        <f>IFERROR(__xludf.DUMMYFUNCTION("""COMPUTED_VALUE"""),45257.66666666667)</f>
        <v>45257.66667</v>
      </c>
      <c r="C526" s="9">
        <f>IFERROR(__xludf.DUMMYFUNCTION("""COMPUTED_VALUE"""),117.86)</f>
        <v>117.86</v>
      </c>
      <c r="K526" s="16"/>
      <c r="T526" s="17"/>
      <c r="AC526" s="17"/>
    </row>
    <row r="527">
      <c r="B527" s="11">
        <f>IFERROR(__xludf.DUMMYFUNCTION("""COMPUTED_VALUE"""),45254.66666666667)</f>
        <v>45254.66667</v>
      </c>
      <c r="C527" s="9">
        <f>IFERROR(__xludf.DUMMYFUNCTION("""COMPUTED_VALUE"""),118.49)</f>
        <v>118.49</v>
      </c>
      <c r="K527" s="16"/>
      <c r="T527" s="17"/>
      <c r="AC527" s="17"/>
    </row>
    <row r="528">
      <c r="B528" s="11">
        <f>IFERROR(__xludf.DUMMYFUNCTION("""COMPUTED_VALUE"""),45252.66666666667)</f>
        <v>45252.66667</v>
      </c>
      <c r="C528" s="9">
        <f>IFERROR(__xludf.DUMMYFUNCTION("""COMPUTED_VALUE"""),117.96)</f>
        <v>117.96</v>
      </c>
      <c r="K528" s="16"/>
      <c r="T528" s="17"/>
      <c r="AC528" s="17"/>
    </row>
    <row r="529">
      <c r="B529" s="11">
        <f>IFERROR(__xludf.DUMMYFUNCTION("""COMPUTED_VALUE"""),45251.66666666667)</f>
        <v>45251.66667</v>
      </c>
      <c r="C529" s="9">
        <f>IFERROR(__xludf.DUMMYFUNCTION("""COMPUTED_VALUE"""),117.16)</f>
        <v>117.16</v>
      </c>
      <c r="K529" s="16"/>
      <c r="T529" s="17"/>
      <c r="AC529" s="17"/>
    </row>
    <row r="530">
      <c r="B530" s="11">
        <f>IFERROR(__xludf.DUMMYFUNCTION("""COMPUTED_VALUE"""),45250.66666666667)</f>
        <v>45250.66667</v>
      </c>
      <c r="C530" s="9">
        <f>IFERROR(__xludf.DUMMYFUNCTION("""COMPUTED_VALUE"""),117.02)</f>
        <v>117.02</v>
      </c>
      <c r="K530" s="16"/>
      <c r="T530" s="17"/>
      <c r="AC530" s="17"/>
    </row>
    <row r="531">
      <c r="B531" s="11">
        <f>IFERROR(__xludf.DUMMYFUNCTION("""COMPUTED_VALUE"""),45247.66666666667)</f>
        <v>45247.66667</v>
      </c>
      <c r="C531" s="9">
        <f>IFERROR(__xludf.DUMMYFUNCTION("""COMPUTED_VALUE"""),115.75)</f>
        <v>115.75</v>
      </c>
      <c r="K531" s="16"/>
      <c r="T531" s="17"/>
      <c r="AC531" s="17"/>
    </row>
    <row r="532">
      <c r="B532" s="11">
        <f>IFERROR(__xludf.DUMMYFUNCTION("""COMPUTED_VALUE"""),45246.66666666667)</f>
        <v>45246.66667</v>
      </c>
      <c r="C532" s="9">
        <f>IFERROR(__xludf.DUMMYFUNCTION("""COMPUTED_VALUE"""),115.67)</f>
        <v>115.67</v>
      </c>
      <c r="K532" s="16"/>
      <c r="T532" s="17"/>
      <c r="AC532" s="17"/>
    </row>
    <row r="533">
      <c r="B533" s="11">
        <f>IFERROR(__xludf.DUMMYFUNCTION("""COMPUTED_VALUE"""),45245.66666666667)</f>
        <v>45245.66667</v>
      </c>
      <c r="C533" s="9">
        <f>IFERROR(__xludf.DUMMYFUNCTION("""COMPUTED_VALUE"""),116.17)</f>
        <v>116.17</v>
      </c>
      <c r="K533" s="16"/>
      <c r="T533" s="17"/>
      <c r="AC533" s="17"/>
    </row>
    <row r="534">
      <c r="B534" s="11">
        <f>IFERROR(__xludf.DUMMYFUNCTION("""COMPUTED_VALUE"""),45244.66666666667)</f>
        <v>45244.66667</v>
      </c>
      <c r="C534" s="9">
        <f>IFERROR(__xludf.DUMMYFUNCTION("""COMPUTED_VALUE"""),116.18)</f>
        <v>116.18</v>
      </c>
      <c r="K534" s="16"/>
      <c r="T534" s="17"/>
      <c r="AC534" s="17"/>
    </row>
    <row r="535">
      <c r="B535" s="11">
        <f>IFERROR(__xludf.DUMMYFUNCTION("""COMPUTED_VALUE"""),45243.66666666667)</f>
        <v>45243.66667</v>
      </c>
      <c r="C535" s="9">
        <f>IFERROR(__xludf.DUMMYFUNCTION("""COMPUTED_VALUE"""),115.29)</f>
        <v>115.29</v>
      </c>
      <c r="K535" s="16"/>
      <c r="T535" s="17"/>
      <c r="AC535" s="17"/>
    </row>
    <row r="536">
      <c r="B536" s="11">
        <f>IFERROR(__xludf.DUMMYFUNCTION("""COMPUTED_VALUE"""),45240.66666666667)</f>
        <v>45240.66667</v>
      </c>
      <c r="C536" s="9">
        <f>IFERROR(__xludf.DUMMYFUNCTION("""COMPUTED_VALUE"""),113.96)</f>
        <v>113.96</v>
      </c>
      <c r="K536" s="16"/>
      <c r="T536" s="17"/>
      <c r="AC536" s="17"/>
    </row>
    <row r="537">
      <c r="B537" s="11">
        <f>IFERROR(__xludf.DUMMYFUNCTION("""COMPUTED_VALUE"""),45239.66666666667)</f>
        <v>45239.66667</v>
      </c>
      <c r="C537" s="9">
        <f>IFERROR(__xludf.DUMMYFUNCTION("""COMPUTED_VALUE"""),112.77)</f>
        <v>112.77</v>
      </c>
      <c r="K537" s="16"/>
      <c r="T537" s="17"/>
      <c r="AC537" s="17"/>
    </row>
    <row r="538">
      <c r="B538" s="11">
        <f>IFERROR(__xludf.DUMMYFUNCTION("""COMPUTED_VALUE"""),45238.66666666667)</f>
        <v>45238.66667</v>
      </c>
      <c r="C538" s="9">
        <f>IFERROR(__xludf.DUMMYFUNCTION("""COMPUTED_VALUE"""),112.76)</f>
        <v>112.76</v>
      </c>
      <c r="K538" s="16"/>
      <c r="T538" s="17"/>
      <c r="AC538" s="17"/>
    </row>
    <row r="539">
      <c r="B539" s="11">
        <f>IFERROR(__xludf.DUMMYFUNCTION("""COMPUTED_VALUE"""),45237.66666666667)</f>
        <v>45237.66667</v>
      </c>
      <c r="C539" s="9">
        <f>IFERROR(__xludf.DUMMYFUNCTION("""COMPUTED_VALUE"""),112.92)</f>
        <v>112.92</v>
      </c>
      <c r="K539" s="16"/>
      <c r="T539" s="17"/>
      <c r="AC539" s="17"/>
    </row>
    <row r="540">
      <c r="B540" s="11">
        <f>IFERROR(__xludf.DUMMYFUNCTION("""COMPUTED_VALUE"""),45236.66666666667)</f>
        <v>45236.66667</v>
      </c>
      <c r="C540" s="9">
        <f>IFERROR(__xludf.DUMMYFUNCTION("""COMPUTED_VALUE"""),113.12)</f>
        <v>113.12</v>
      </c>
      <c r="K540" s="16"/>
      <c r="T540" s="17"/>
      <c r="AC540" s="17"/>
    </row>
    <row r="541">
      <c r="B541" s="11">
        <f>IFERROR(__xludf.DUMMYFUNCTION("""COMPUTED_VALUE"""),45233.66666666667)</f>
        <v>45233.66667</v>
      </c>
      <c r="C541" s="9">
        <f>IFERROR(__xludf.DUMMYFUNCTION("""COMPUTED_VALUE"""),113.42)</f>
        <v>113.42</v>
      </c>
      <c r="K541" s="16"/>
      <c r="T541" s="17"/>
      <c r="AC541" s="17"/>
    </row>
    <row r="542">
      <c r="B542" s="11">
        <f>IFERROR(__xludf.DUMMYFUNCTION("""COMPUTED_VALUE"""),45232.66666666667)</f>
        <v>45232.66667</v>
      </c>
      <c r="C542" s="9">
        <f>IFERROR(__xludf.DUMMYFUNCTION("""COMPUTED_VALUE"""),112.83)</f>
        <v>112.83</v>
      </c>
      <c r="K542" s="16"/>
      <c r="T542" s="17"/>
      <c r="AC542" s="17"/>
    </row>
    <row r="543">
      <c r="B543" s="11">
        <f>IFERROR(__xludf.DUMMYFUNCTION("""COMPUTED_VALUE"""),45231.66666666667)</f>
        <v>45231.66667</v>
      </c>
      <c r="C543" s="9">
        <f>IFERROR(__xludf.DUMMYFUNCTION("""COMPUTED_VALUE"""),110.57)</f>
        <v>110.57</v>
      </c>
      <c r="K543" s="16"/>
      <c r="T543" s="17"/>
      <c r="AC543" s="17"/>
    </row>
    <row r="544">
      <c r="B544" s="11">
        <f>IFERROR(__xludf.DUMMYFUNCTION("""COMPUTED_VALUE"""),45230.66666666667)</f>
        <v>45230.66667</v>
      </c>
      <c r="C544" s="9">
        <f>IFERROR(__xludf.DUMMYFUNCTION("""COMPUTED_VALUE"""),109.86)</f>
        <v>109.86</v>
      </c>
      <c r="K544" s="16"/>
      <c r="T544" s="17"/>
      <c r="AC544" s="17"/>
    </row>
    <row r="545">
      <c r="B545" s="11">
        <f>IFERROR(__xludf.DUMMYFUNCTION("""COMPUTED_VALUE"""),45229.66666666667)</f>
        <v>45229.66667</v>
      </c>
      <c r="C545" s="9">
        <f>IFERROR(__xludf.DUMMYFUNCTION("""COMPUTED_VALUE"""),107.72)</f>
        <v>107.72</v>
      </c>
      <c r="K545" s="16"/>
      <c r="T545" s="17"/>
      <c r="AC545" s="17"/>
    </row>
    <row r="546">
      <c r="B546" s="11">
        <f>IFERROR(__xludf.DUMMYFUNCTION("""COMPUTED_VALUE"""),45226.66666666667)</f>
        <v>45226.66667</v>
      </c>
      <c r="C546" s="9">
        <f>IFERROR(__xludf.DUMMYFUNCTION("""COMPUTED_VALUE"""),107.25)</f>
        <v>107.25</v>
      </c>
      <c r="K546" s="16"/>
      <c r="T546" s="17"/>
      <c r="AC546" s="17"/>
    </row>
    <row r="547">
      <c r="B547" s="11">
        <f>IFERROR(__xludf.DUMMYFUNCTION("""COMPUTED_VALUE"""),45225.66666666667)</f>
        <v>45225.66667</v>
      </c>
      <c r="C547" s="9">
        <f>IFERROR(__xludf.DUMMYFUNCTION("""COMPUTED_VALUE"""),108.05)</f>
        <v>108.05</v>
      </c>
      <c r="K547" s="16"/>
      <c r="T547" s="17"/>
      <c r="AC547" s="17"/>
    </row>
    <row r="548">
      <c r="B548" s="11">
        <f>IFERROR(__xludf.DUMMYFUNCTION("""COMPUTED_VALUE"""),45224.66666666667)</f>
        <v>45224.66667</v>
      </c>
      <c r="C548" s="9">
        <f>IFERROR(__xludf.DUMMYFUNCTION("""COMPUTED_VALUE"""),107.73)</f>
        <v>107.73</v>
      </c>
      <c r="K548" s="16"/>
      <c r="T548" s="17"/>
      <c r="AC548" s="17"/>
    </row>
    <row r="549">
      <c r="B549" s="11">
        <f>IFERROR(__xludf.DUMMYFUNCTION("""COMPUTED_VALUE"""),45223.66666666667)</f>
        <v>45223.66667</v>
      </c>
      <c r="C549" s="9">
        <f>IFERROR(__xludf.DUMMYFUNCTION("""COMPUTED_VALUE"""),107.93)</f>
        <v>107.93</v>
      </c>
      <c r="K549" s="16"/>
      <c r="T549" s="17"/>
      <c r="AC549" s="17"/>
    </row>
    <row r="550">
      <c r="B550" s="11">
        <f>IFERROR(__xludf.DUMMYFUNCTION("""COMPUTED_VALUE"""),45222.66666666667)</f>
        <v>45222.66667</v>
      </c>
      <c r="C550" s="9">
        <f>IFERROR(__xludf.DUMMYFUNCTION("""COMPUTED_VALUE"""),106.81)</f>
        <v>106.81</v>
      </c>
      <c r="K550" s="16"/>
      <c r="T550" s="17"/>
      <c r="AC550" s="17"/>
    </row>
    <row r="551">
      <c r="B551" s="11">
        <f>IFERROR(__xludf.DUMMYFUNCTION("""COMPUTED_VALUE"""),45219.66666666667)</f>
        <v>45219.66667</v>
      </c>
      <c r="C551" s="9">
        <f>IFERROR(__xludf.DUMMYFUNCTION("""COMPUTED_VALUE"""),106.88)</f>
        <v>106.88</v>
      </c>
      <c r="K551" s="16"/>
      <c r="T551" s="17"/>
      <c r="AC551" s="17"/>
    </row>
    <row r="552">
      <c r="B552" s="11">
        <f>IFERROR(__xludf.DUMMYFUNCTION("""COMPUTED_VALUE"""),45218.66666666667)</f>
        <v>45218.66667</v>
      </c>
      <c r="C552" s="9">
        <f>IFERROR(__xludf.DUMMYFUNCTION("""COMPUTED_VALUE"""),108.25)</f>
        <v>108.25</v>
      </c>
      <c r="K552" s="16"/>
      <c r="T552" s="17"/>
      <c r="AC552" s="17"/>
    </row>
    <row r="553">
      <c r="B553" s="11">
        <f>IFERROR(__xludf.DUMMYFUNCTION("""COMPUTED_VALUE"""),45217.66666666667)</f>
        <v>45217.66667</v>
      </c>
      <c r="C553" s="9">
        <f>IFERROR(__xludf.DUMMYFUNCTION("""COMPUTED_VALUE"""),109.31)</f>
        <v>109.31</v>
      </c>
      <c r="K553" s="16"/>
      <c r="T553" s="17"/>
      <c r="AC553" s="17"/>
    </row>
    <row r="554">
      <c r="B554" s="11">
        <f>IFERROR(__xludf.DUMMYFUNCTION("""COMPUTED_VALUE"""),45216.66666666667)</f>
        <v>45216.66667</v>
      </c>
      <c r="C554" s="9">
        <f>IFERROR(__xludf.DUMMYFUNCTION("""COMPUTED_VALUE"""),109.66)</f>
        <v>109.66</v>
      </c>
      <c r="K554" s="16"/>
      <c r="T554" s="17"/>
      <c r="AC554" s="17"/>
    </row>
    <row r="555">
      <c r="B555" s="11">
        <f>IFERROR(__xludf.DUMMYFUNCTION("""COMPUTED_VALUE"""),45215.66666666667)</f>
        <v>45215.66667</v>
      </c>
      <c r="C555" s="9">
        <f>IFERROR(__xludf.DUMMYFUNCTION("""COMPUTED_VALUE"""),109.33)</f>
        <v>109.33</v>
      </c>
      <c r="K555" s="16"/>
      <c r="T555" s="17"/>
      <c r="AC555" s="17"/>
    </row>
    <row r="556">
      <c r="B556" s="11">
        <f>IFERROR(__xludf.DUMMYFUNCTION("""COMPUTED_VALUE"""),45212.66666666667)</f>
        <v>45212.66667</v>
      </c>
      <c r="C556" s="9">
        <f>IFERROR(__xludf.DUMMYFUNCTION("""COMPUTED_VALUE"""),108.66)</f>
        <v>108.66</v>
      </c>
      <c r="K556" s="16"/>
      <c r="T556" s="17"/>
      <c r="AC556" s="17"/>
    </row>
    <row r="557">
      <c r="B557" s="11">
        <f>IFERROR(__xludf.DUMMYFUNCTION("""COMPUTED_VALUE"""),45211.66666666667)</f>
        <v>45211.66667</v>
      </c>
      <c r="C557" s="9">
        <f>IFERROR(__xludf.DUMMYFUNCTION("""COMPUTED_VALUE"""),108.81)</f>
        <v>108.81</v>
      </c>
      <c r="K557" s="16"/>
      <c r="T557" s="17"/>
      <c r="AC557" s="17"/>
    </row>
    <row r="558">
      <c r="B558" s="11">
        <f>IFERROR(__xludf.DUMMYFUNCTION("""COMPUTED_VALUE"""),45210.66666666667)</f>
        <v>45210.66667</v>
      </c>
      <c r="C558" s="9">
        <f>IFERROR(__xludf.DUMMYFUNCTION("""COMPUTED_VALUE"""),110.16)</f>
        <v>110.16</v>
      </c>
      <c r="K558" s="16"/>
      <c r="T558" s="17"/>
      <c r="AC558" s="17"/>
    </row>
    <row r="559">
      <c r="B559" s="11">
        <f>IFERROR(__xludf.DUMMYFUNCTION("""COMPUTED_VALUE"""),45209.66666666667)</f>
        <v>45209.66667</v>
      </c>
      <c r="C559" s="9">
        <f>IFERROR(__xludf.DUMMYFUNCTION("""COMPUTED_VALUE"""),109.5)</f>
        <v>109.5</v>
      </c>
      <c r="K559" s="16"/>
      <c r="T559" s="17"/>
      <c r="AC559" s="17"/>
    </row>
    <row r="560">
      <c r="B560" s="11">
        <f>IFERROR(__xludf.DUMMYFUNCTION("""COMPUTED_VALUE"""),45208.66666666667)</f>
        <v>45208.66667</v>
      </c>
      <c r="C560" s="9">
        <f>IFERROR(__xludf.DUMMYFUNCTION("""COMPUTED_VALUE"""),108.72)</f>
        <v>108.72</v>
      </c>
      <c r="K560" s="16"/>
      <c r="T560" s="17"/>
      <c r="AC560" s="17"/>
    </row>
    <row r="561">
      <c r="B561" s="11">
        <f>IFERROR(__xludf.DUMMYFUNCTION("""COMPUTED_VALUE"""),45205.66666666667)</f>
        <v>45205.66667</v>
      </c>
      <c r="C561" s="9">
        <f>IFERROR(__xludf.DUMMYFUNCTION("""COMPUTED_VALUE"""),104.09)</f>
        <v>104.09</v>
      </c>
      <c r="K561" s="16"/>
      <c r="T561" s="17"/>
      <c r="AC561" s="17"/>
    </row>
    <row r="562">
      <c r="B562" s="11">
        <f>IFERROR(__xludf.DUMMYFUNCTION("""COMPUTED_VALUE"""),45204.66666666667)</f>
        <v>45204.66667</v>
      </c>
      <c r="C562" s="9">
        <f>IFERROR(__xludf.DUMMYFUNCTION("""COMPUTED_VALUE"""),103.16)</f>
        <v>103.16</v>
      </c>
      <c r="K562" s="16"/>
      <c r="T562" s="17"/>
      <c r="AC562" s="17"/>
    </row>
    <row r="563">
      <c r="B563" s="11">
        <f>IFERROR(__xludf.DUMMYFUNCTION("""COMPUTED_VALUE"""),45203.66666666667)</f>
        <v>45203.66667</v>
      </c>
      <c r="C563" s="9">
        <f>IFERROR(__xludf.DUMMYFUNCTION("""COMPUTED_VALUE"""),103.56)</f>
        <v>103.56</v>
      </c>
      <c r="K563" s="16"/>
      <c r="T563" s="17"/>
      <c r="AC563" s="17"/>
    </row>
    <row r="564">
      <c r="B564" s="11">
        <f>IFERROR(__xludf.DUMMYFUNCTION("""COMPUTED_VALUE"""),45202.66666666667)</f>
        <v>45202.66667</v>
      </c>
      <c r="C564" s="9">
        <f>IFERROR(__xludf.DUMMYFUNCTION("""COMPUTED_VALUE"""),104.01)</f>
        <v>104.01</v>
      </c>
      <c r="K564" s="16"/>
      <c r="T564" s="17"/>
      <c r="AC564" s="17"/>
    </row>
    <row r="565">
      <c r="B565" s="11">
        <f>IFERROR(__xludf.DUMMYFUNCTION("""COMPUTED_VALUE"""),45201.66666666667)</f>
        <v>45201.66667</v>
      </c>
      <c r="C565" s="9">
        <f>IFERROR(__xludf.DUMMYFUNCTION("""COMPUTED_VALUE"""),104.78)</f>
        <v>104.78</v>
      </c>
      <c r="K565" s="16"/>
      <c r="T565" s="17"/>
      <c r="AC565" s="17"/>
    </row>
    <row r="566">
      <c r="B566" s="11">
        <f>IFERROR(__xludf.DUMMYFUNCTION("""COMPUTED_VALUE"""),45198.66666666667)</f>
        <v>45198.66667</v>
      </c>
      <c r="C566" s="9">
        <f>IFERROR(__xludf.DUMMYFUNCTION("""COMPUTED_VALUE"""),105.97)</f>
        <v>105.97</v>
      </c>
      <c r="K566" s="16"/>
      <c r="T566" s="17"/>
      <c r="AC566" s="17"/>
    </row>
    <row r="567">
      <c r="B567" s="11">
        <f>IFERROR(__xludf.DUMMYFUNCTION("""COMPUTED_VALUE"""),45197.66666666667)</f>
        <v>45197.66667</v>
      </c>
      <c r="C567" s="9">
        <f>IFERROR(__xludf.DUMMYFUNCTION("""COMPUTED_VALUE"""),105.86)</f>
        <v>105.86</v>
      </c>
      <c r="K567" s="16"/>
      <c r="T567" s="17"/>
      <c r="AC567" s="17"/>
    </row>
    <row r="568">
      <c r="B568" s="11">
        <f>IFERROR(__xludf.DUMMYFUNCTION("""COMPUTED_VALUE"""),45196.66666666667)</f>
        <v>45196.66667</v>
      </c>
      <c r="C568" s="9">
        <f>IFERROR(__xludf.DUMMYFUNCTION("""COMPUTED_VALUE"""),106.39)</f>
        <v>106.39</v>
      </c>
      <c r="K568" s="16"/>
      <c r="T568" s="17"/>
      <c r="AC568" s="17"/>
    </row>
    <row r="569">
      <c r="B569" s="11">
        <f>IFERROR(__xludf.DUMMYFUNCTION("""COMPUTED_VALUE"""),45195.66666666667)</f>
        <v>45195.66667</v>
      </c>
      <c r="C569" s="9">
        <f>IFERROR(__xludf.DUMMYFUNCTION("""COMPUTED_VALUE"""),105.4)</f>
        <v>105.4</v>
      </c>
      <c r="K569" s="16"/>
      <c r="T569" s="17"/>
      <c r="AC569" s="17"/>
    </row>
    <row r="570">
      <c r="B570" s="11">
        <f>IFERROR(__xludf.DUMMYFUNCTION("""COMPUTED_VALUE"""),45194.66666666667)</f>
        <v>45194.66667</v>
      </c>
      <c r="C570" s="9">
        <f>IFERROR(__xludf.DUMMYFUNCTION("""COMPUTED_VALUE"""),106.57)</f>
        <v>106.57</v>
      </c>
      <c r="K570" s="16"/>
      <c r="T570" s="17"/>
      <c r="AC570" s="17"/>
    </row>
    <row r="571">
      <c r="B571" s="11">
        <f>IFERROR(__xludf.DUMMYFUNCTION("""COMPUTED_VALUE"""),45191.66666666667)</f>
        <v>45191.66667</v>
      </c>
      <c r="C571" s="9">
        <f>IFERROR(__xludf.DUMMYFUNCTION("""COMPUTED_VALUE"""),106.13)</f>
        <v>106.13</v>
      </c>
      <c r="K571" s="16"/>
      <c r="T571" s="17"/>
      <c r="AC571" s="17"/>
    </row>
    <row r="572">
      <c r="B572" s="11">
        <f>IFERROR(__xludf.DUMMYFUNCTION("""COMPUTED_VALUE"""),45190.66666666667)</f>
        <v>45190.66667</v>
      </c>
      <c r="C572" s="9">
        <f>IFERROR(__xludf.DUMMYFUNCTION("""COMPUTED_VALUE"""),107.12)</f>
        <v>107.12</v>
      </c>
      <c r="K572" s="16"/>
      <c r="T572" s="17"/>
      <c r="AC572" s="17"/>
    </row>
    <row r="573">
      <c r="B573" s="11">
        <f>IFERROR(__xludf.DUMMYFUNCTION("""COMPUTED_VALUE"""),45189.66666666667)</f>
        <v>45189.66667</v>
      </c>
      <c r="C573" s="9">
        <f>IFERROR(__xludf.DUMMYFUNCTION("""COMPUTED_VALUE"""),108.99)</f>
        <v>108.99</v>
      </c>
      <c r="K573" s="16"/>
      <c r="T573" s="17"/>
      <c r="AC573" s="17"/>
    </row>
    <row r="574">
      <c r="B574" s="11">
        <f>IFERROR(__xludf.DUMMYFUNCTION("""COMPUTED_VALUE"""),45188.66666666667)</f>
        <v>45188.66667</v>
      </c>
      <c r="C574" s="9">
        <f>IFERROR(__xludf.DUMMYFUNCTION("""COMPUTED_VALUE"""),109.41)</f>
        <v>109.41</v>
      </c>
      <c r="K574" s="16"/>
      <c r="T574" s="17"/>
      <c r="AC574" s="17"/>
    </row>
    <row r="575">
      <c r="B575" s="11">
        <f>IFERROR(__xludf.DUMMYFUNCTION("""COMPUTED_VALUE"""),45187.66666666667)</f>
        <v>45187.66667</v>
      </c>
      <c r="C575" s="9">
        <f>IFERROR(__xludf.DUMMYFUNCTION("""COMPUTED_VALUE"""),110.04)</f>
        <v>110.04</v>
      </c>
      <c r="K575" s="16"/>
      <c r="T575" s="17"/>
      <c r="AC575" s="17"/>
    </row>
    <row r="576">
      <c r="B576" s="11">
        <f>IFERROR(__xludf.DUMMYFUNCTION("""COMPUTED_VALUE"""),45184.66666666667)</f>
        <v>45184.66667</v>
      </c>
      <c r="C576" s="9">
        <f>IFERROR(__xludf.DUMMYFUNCTION("""COMPUTED_VALUE"""),109.82)</f>
        <v>109.82</v>
      </c>
      <c r="K576" s="16"/>
      <c r="T576" s="17"/>
      <c r="AC576" s="17"/>
    </row>
    <row r="577">
      <c r="B577" s="11">
        <f>IFERROR(__xludf.DUMMYFUNCTION("""COMPUTED_VALUE"""),45183.66666666667)</f>
        <v>45183.66667</v>
      </c>
      <c r="C577" s="9">
        <f>IFERROR(__xludf.DUMMYFUNCTION("""COMPUTED_VALUE"""),110.11)</f>
        <v>110.11</v>
      </c>
      <c r="K577" s="16"/>
      <c r="T577" s="17"/>
      <c r="AC577" s="17"/>
    </row>
    <row r="578">
      <c r="B578" s="11">
        <f>IFERROR(__xludf.DUMMYFUNCTION("""COMPUTED_VALUE"""),45182.66666666667)</f>
        <v>45182.66667</v>
      </c>
      <c r="C578" s="9">
        <f>IFERROR(__xludf.DUMMYFUNCTION("""COMPUTED_VALUE"""),109.49)</f>
        <v>109.49</v>
      </c>
      <c r="K578" s="16"/>
      <c r="T578" s="17"/>
      <c r="AC578" s="17"/>
    </row>
    <row r="579">
      <c r="B579" s="11">
        <f>IFERROR(__xludf.DUMMYFUNCTION("""COMPUTED_VALUE"""),45181.66666666667)</f>
        <v>45181.66667</v>
      </c>
      <c r="C579" s="9">
        <f>IFERROR(__xludf.DUMMYFUNCTION("""COMPUTED_VALUE"""),109.93)</f>
        <v>109.93</v>
      </c>
      <c r="K579" s="16"/>
      <c r="T579" s="17"/>
      <c r="AC579" s="17"/>
    </row>
    <row r="580">
      <c r="B580" s="11">
        <f>IFERROR(__xludf.DUMMYFUNCTION("""COMPUTED_VALUE"""),45180.66666666667)</f>
        <v>45180.66667</v>
      </c>
      <c r="C580" s="9">
        <f>IFERROR(__xludf.DUMMYFUNCTION("""COMPUTED_VALUE"""),110.51)</f>
        <v>110.51</v>
      </c>
      <c r="K580" s="16"/>
      <c r="T580" s="17"/>
      <c r="AC580" s="17"/>
    </row>
    <row r="581">
      <c r="B581" s="11">
        <f>IFERROR(__xludf.DUMMYFUNCTION("""COMPUTED_VALUE"""),45177.66666666667)</f>
        <v>45177.66667</v>
      </c>
      <c r="C581" s="9">
        <f>IFERROR(__xludf.DUMMYFUNCTION("""COMPUTED_VALUE"""),112.13)</f>
        <v>112.13</v>
      </c>
      <c r="K581" s="16"/>
      <c r="T581" s="17"/>
      <c r="AC581" s="17"/>
    </row>
    <row r="582">
      <c r="B582" s="11">
        <f>IFERROR(__xludf.DUMMYFUNCTION("""COMPUTED_VALUE"""),45176.66666666667)</f>
        <v>45176.66667</v>
      </c>
      <c r="C582" s="9">
        <f>IFERROR(__xludf.DUMMYFUNCTION("""COMPUTED_VALUE"""),113.32)</f>
        <v>113.32</v>
      </c>
      <c r="K582" s="16"/>
      <c r="T582" s="17"/>
      <c r="AC582" s="17"/>
    </row>
    <row r="583">
      <c r="B583" s="11">
        <f>IFERROR(__xludf.DUMMYFUNCTION("""COMPUTED_VALUE"""),45175.66666666667)</f>
        <v>45175.66667</v>
      </c>
      <c r="C583" s="9">
        <f>IFERROR(__xludf.DUMMYFUNCTION("""COMPUTED_VALUE"""),113.37)</f>
        <v>113.37</v>
      </c>
      <c r="K583" s="16"/>
      <c r="T583" s="17"/>
      <c r="AC583" s="17"/>
    </row>
    <row r="584">
      <c r="B584" s="11">
        <f>IFERROR(__xludf.DUMMYFUNCTION("""COMPUTED_VALUE"""),45174.66666666667)</f>
        <v>45174.66667</v>
      </c>
      <c r="C584" s="9">
        <f>IFERROR(__xludf.DUMMYFUNCTION("""COMPUTED_VALUE"""),114.83)</f>
        <v>114.83</v>
      </c>
      <c r="K584" s="16"/>
      <c r="T584" s="17"/>
      <c r="AC584" s="17"/>
    </row>
    <row r="585">
      <c r="B585" s="11">
        <f>IFERROR(__xludf.DUMMYFUNCTION("""COMPUTED_VALUE"""),45170.66666666667)</f>
        <v>45170.66667</v>
      </c>
      <c r="C585" s="9">
        <f>IFERROR(__xludf.DUMMYFUNCTION("""COMPUTED_VALUE"""),116.44)</f>
        <v>116.44</v>
      </c>
      <c r="K585" s="16"/>
      <c r="T585" s="17"/>
      <c r="AC585" s="17"/>
    </row>
    <row r="586">
      <c r="B586" s="11">
        <f>IFERROR(__xludf.DUMMYFUNCTION("""COMPUTED_VALUE"""),45169.66666666667)</f>
        <v>45169.66667</v>
      </c>
      <c r="C586" s="9">
        <f>IFERROR(__xludf.DUMMYFUNCTION("""COMPUTED_VALUE"""),116.17)</f>
        <v>116.17</v>
      </c>
      <c r="K586" s="16"/>
      <c r="T586" s="17"/>
      <c r="AC586" s="17"/>
    </row>
    <row r="587">
      <c r="B587" s="11">
        <f>IFERROR(__xludf.DUMMYFUNCTION("""COMPUTED_VALUE"""),45168.66666666667)</f>
        <v>45168.66667</v>
      </c>
      <c r="C587" s="9">
        <f>IFERROR(__xludf.DUMMYFUNCTION("""COMPUTED_VALUE"""),116.72)</f>
        <v>116.72</v>
      </c>
      <c r="K587" s="16"/>
      <c r="T587" s="17"/>
      <c r="AC587" s="17"/>
    </row>
    <row r="588">
      <c r="B588" s="11">
        <f>IFERROR(__xludf.DUMMYFUNCTION("""COMPUTED_VALUE"""),45167.66666666667)</f>
        <v>45167.66667</v>
      </c>
      <c r="C588" s="9">
        <f>IFERROR(__xludf.DUMMYFUNCTION("""COMPUTED_VALUE"""),115.71)</f>
        <v>115.71</v>
      </c>
      <c r="K588" s="16"/>
      <c r="T588" s="17"/>
      <c r="AC588" s="17"/>
    </row>
    <row r="589">
      <c r="B589" s="11">
        <f>IFERROR(__xludf.DUMMYFUNCTION("""COMPUTED_VALUE"""),45166.66666666667)</f>
        <v>45166.66667</v>
      </c>
      <c r="C589" s="9">
        <f>IFERROR(__xludf.DUMMYFUNCTION("""COMPUTED_VALUE"""),115.43)</f>
        <v>115.43</v>
      </c>
      <c r="K589" s="16"/>
      <c r="T589" s="17"/>
      <c r="AC589" s="17"/>
    </row>
    <row r="590">
      <c r="B590" s="11">
        <f>IFERROR(__xludf.DUMMYFUNCTION("""COMPUTED_VALUE"""),45163.66666666667)</f>
        <v>45163.66667</v>
      </c>
      <c r="C590" s="9">
        <f>IFERROR(__xludf.DUMMYFUNCTION("""COMPUTED_VALUE"""),114.06)</f>
        <v>114.06</v>
      </c>
      <c r="K590" s="16"/>
      <c r="T590" s="17"/>
      <c r="AC590" s="17"/>
    </row>
    <row r="591">
      <c r="B591" s="11">
        <f>IFERROR(__xludf.DUMMYFUNCTION("""COMPUTED_VALUE"""),45162.66666666667)</f>
        <v>45162.66667</v>
      </c>
      <c r="C591" s="9">
        <f>IFERROR(__xludf.DUMMYFUNCTION("""COMPUTED_VALUE"""),113.44)</f>
        <v>113.44</v>
      </c>
      <c r="K591" s="16"/>
      <c r="T591" s="17"/>
      <c r="AC591" s="17"/>
    </row>
    <row r="592">
      <c r="B592" s="11">
        <f>IFERROR(__xludf.DUMMYFUNCTION("""COMPUTED_VALUE"""),45161.66666666667)</f>
        <v>45161.66667</v>
      </c>
      <c r="C592" s="9">
        <f>IFERROR(__xludf.DUMMYFUNCTION("""COMPUTED_VALUE"""),115.54)</f>
        <v>115.54</v>
      </c>
      <c r="K592" s="16"/>
      <c r="T592" s="17"/>
      <c r="AC592" s="17"/>
    </row>
    <row r="593">
      <c r="B593" s="11">
        <f>IFERROR(__xludf.DUMMYFUNCTION("""COMPUTED_VALUE"""),45160.66666666667)</f>
        <v>45160.66667</v>
      </c>
      <c r="C593" s="9">
        <f>IFERROR(__xludf.DUMMYFUNCTION("""COMPUTED_VALUE"""),115.16)</f>
        <v>115.16</v>
      </c>
      <c r="K593" s="16"/>
      <c r="T593" s="17"/>
      <c r="AC593" s="17"/>
    </row>
    <row r="594">
      <c r="B594" s="11">
        <f>IFERROR(__xludf.DUMMYFUNCTION("""COMPUTED_VALUE"""),45159.66666666667)</f>
        <v>45159.66667</v>
      </c>
      <c r="C594" s="9">
        <f>IFERROR(__xludf.DUMMYFUNCTION("""COMPUTED_VALUE"""),114.7)</f>
        <v>114.7</v>
      </c>
      <c r="K594" s="16"/>
      <c r="T594" s="17"/>
      <c r="AC594" s="17"/>
    </row>
    <row r="595">
      <c r="B595" s="11">
        <f>IFERROR(__xludf.DUMMYFUNCTION("""COMPUTED_VALUE"""),45156.66666666667)</f>
        <v>45156.66667</v>
      </c>
      <c r="C595" s="9">
        <f>IFERROR(__xludf.DUMMYFUNCTION("""COMPUTED_VALUE"""),114.64)</f>
        <v>114.64</v>
      </c>
      <c r="K595" s="16"/>
      <c r="T595" s="17"/>
      <c r="AC595" s="17"/>
    </row>
    <row r="596">
      <c r="B596" s="11">
        <f>IFERROR(__xludf.DUMMYFUNCTION("""COMPUTED_VALUE"""),45155.66666666667)</f>
        <v>45155.66667</v>
      </c>
      <c r="C596" s="9">
        <f>IFERROR(__xludf.DUMMYFUNCTION("""COMPUTED_VALUE"""),113.79)</f>
        <v>113.79</v>
      </c>
      <c r="K596" s="16"/>
      <c r="T596" s="17"/>
      <c r="AC596" s="17"/>
    </row>
    <row r="597">
      <c r="B597" s="11">
        <f>IFERROR(__xludf.DUMMYFUNCTION("""COMPUTED_VALUE"""),45154.66666666667)</f>
        <v>45154.66667</v>
      </c>
      <c r="C597" s="9">
        <f>IFERROR(__xludf.DUMMYFUNCTION("""COMPUTED_VALUE"""),114.8)</f>
        <v>114.8</v>
      </c>
      <c r="K597" s="16"/>
      <c r="T597" s="17"/>
      <c r="AC597" s="17"/>
    </row>
    <row r="598">
      <c r="B598" s="11">
        <f>IFERROR(__xludf.DUMMYFUNCTION("""COMPUTED_VALUE"""),45153.66666666667)</f>
        <v>45153.66667</v>
      </c>
      <c r="C598" s="9">
        <f>IFERROR(__xludf.DUMMYFUNCTION("""COMPUTED_VALUE"""),115.25)</f>
        <v>115.25</v>
      </c>
      <c r="K598" s="16"/>
      <c r="T598" s="17"/>
      <c r="AC598" s="17"/>
    </row>
    <row r="599">
      <c r="B599" s="11">
        <f>IFERROR(__xludf.DUMMYFUNCTION("""COMPUTED_VALUE"""),45152.66666666667)</f>
        <v>45152.66667</v>
      </c>
      <c r="C599" s="9">
        <f>IFERROR(__xludf.DUMMYFUNCTION("""COMPUTED_VALUE"""),116.89)</f>
        <v>116.89</v>
      </c>
      <c r="K599" s="16"/>
      <c r="T599" s="17"/>
      <c r="AC599" s="17"/>
    </row>
    <row r="600">
      <c r="B600" s="11">
        <f>IFERROR(__xludf.DUMMYFUNCTION("""COMPUTED_VALUE"""),45149.66666666667)</f>
        <v>45149.66667</v>
      </c>
      <c r="C600" s="9">
        <f>IFERROR(__xludf.DUMMYFUNCTION("""COMPUTED_VALUE"""),117.23)</f>
        <v>117.23</v>
      </c>
      <c r="K600" s="16"/>
      <c r="T600" s="17"/>
      <c r="AC600" s="17"/>
    </row>
    <row r="601">
      <c r="B601" s="11">
        <f>IFERROR(__xludf.DUMMYFUNCTION("""COMPUTED_VALUE"""),45148.66666666667)</f>
        <v>45148.66667</v>
      </c>
      <c r="C601" s="9">
        <f>IFERROR(__xludf.DUMMYFUNCTION("""COMPUTED_VALUE"""),116.91)</f>
        <v>116.91</v>
      </c>
      <c r="K601" s="16"/>
      <c r="T601" s="17"/>
      <c r="AC601" s="17"/>
    </row>
    <row r="602">
      <c r="B602" s="11">
        <f>IFERROR(__xludf.DUMMYFUNCTION("""COMPUTED_VALUE"""),45147.66666666667)</f>
        <v>45147.66667</v>
      </c>
      <c r="C602" s="9">
        <f>IFERROR(__xludf.DUMMYFUNCTION("""COMPUTED_VALUE"""),117.49)</f>
        <v>117.49</v>
      </c>
      <c r="K602" s="16"/>
      <c r="T602" s="17"/>
      <c r="AC602" s="17"/>
    </row>
    <row r="603">
      <c r="B603" s="11">
        <f>IFERROR(__xludf.DUMMYFUNCTION("""COMPUTED_VALUE"""),45146.66666666667)</f>
        <v>45146.66667</v>
      </c>
      <c r="C603" s="9">
        <f>IFERROR(__xludf.DUMMYFUNCTION("""COMPUTED_VALUE"""),116.82)</f>
        <v>116.82</v>
      </c>
      <c r="K603" s="16"/>
      <c r="T603" s="17"/>
      <c r="AC603" s="17"/>
    </row>
    <row r="604">
      <c r="B604" s="11">
        <f>IFERROR(__xludf.DUMMYFUNCTION("""COMPUTED_VALUE"""),45145.66666666667)</f>
        <v>45145.66667</v>
      </c>
      <c r="C604" s="9">
        <f>IFERROR(__xludf.DUMMYFUNCTION("""COMPUTED_VALUE"""),117.33)</f>
        <v>117.33</v>
      </c>
      <c r="K604" s="16"/>
      <c r="T604" s="17"/>
      <c r="AC604" s="17"/>
    </row>
    <row r="605">
      <c r="B605" s="11">
        <f>IFERROR(__xludf.DUMMYFUNCTION("""COMPUTED_VALUE"""),45142.66666666667)</f>
        <v>45142.66667</v>
      </c>
      <c r="C605" s="9">
        <f>IFERROR(__xludf.DUMMYFUNCTION("""COMPUTED_VALUE"""),115.65)</f>
        <v>115.65</v>
      </c>
      <c r="K605" s="16"/>
      <c r="T605" s="17"/>
      <c r="AC605" s="17"/>
    </row>
    <row r="606">
      <c r="B606" s="11">
        <f>IFERROR(__xludf.DUMMYFUNCTION("""COMPUTED_VALUE"""),45141.66666666667)</f>
        <v>45141.66667</v>
      </c>
      <c r="C606" s="9">
        <f>IFERROR(__xludf.DUMMYFUNCTION("""COMPUTED_VALUE"""),115.05)</f>
        <v>115.05</v>
      </c>
      <c r="K606" s="16"/>
      <c r="T606" s="17"/>
      <c r="AC606" s="17"/>
    </row>
    <row r="607">
      <c r="B607" s="11">
        <f>IFERROR(__xludf.DUMMYFUNCTION("""COMPUTED_VALUE"""),45140.66666666667)</f>
        <v>45140.66667</v>
      </c>
      <c r="C607" s="9">
        <f>IFERROR(__xludf.DUMMYFUNCTION("""COMPUTED_VALUE"""),115.3)</f>
        <v>115.3</v>
      </c>
      <c r="K607" s="16"/>
      <c r="T607" s="17"/>
      <c r="AC607" s="17"/>
    </row>
    <row r="608">
      <c r="B608" s="11">
        <f>IFERROR(__xludf.DUMMYFUNCTION("""COMPUTED_VALUE"""),45139.66666666667)</f>
        <v>45139.66667</v>
      </c>
      <c r="C608" s="9">
        <f>IFERROR(__xludf.DUMMYFUNCTION("""COMPUTED_VALUE"""),117.72)</f>
        <v>117.72</v>
      </c>
      <c r="K608" s="16"/>
      <c r="T608" s="17"/>
      <c r="AC608" s="17"/>
    </row>
    <row r="609">
      <c r="B609" s="11">
        <f>IFERROR(__xludf.DUMMYFUNCTION("""COMPUTED_VALUE"""),45138.66666666667)</f>
        <v>45138.66667</v>
      </c>
      <c r="C609" s="9">
        <f>IFERROR(__xludf.DUMMYFUNCTION("""COMPUTED_VALUE"""),117.72)</f>
        <v>117.72</v>
      </c>
      <c r="K609" s="16"/>
      <c r="T609" s="17"/>
      <c r="AC609" s="17"/>
    </row>
    <row r="610">
      <c r="B610" s="11">
        <f>IFERROR(__xludf.DUMMYFUNCTION("""COMPUTED_VALUE"""),45135.66666666667)</f>
        <v>45135.66667</v>
      </c>
      <c r="C610" s="9">
        <f>IFERROR(__xludf.DUMMYFUNCTION("""COMPUTED_VALUE"""),116.93)</f>
        <v>116.93</v>
      </c>
      <c r="K610" s="16"/>
      <c r="T610" s="17"/>
      <c r="AC610" s="17"/>
    </row>
    <row r="611">
      <c r="B611" s="11">
        <f>IFERROR(__xludf.DUMMYFUNCTION("""COMPUTED_VALUE"""),45134.66666666667)</f>
        <v>45134.66667</v>
      </c>
      <c r="C611" s="9">
        <f>IFERROR(__xludf.DUMMYFUNCTION("""COMPUTED_VALUE"""),115.84)</f>
        <v>115.84</v>
      </c>
      <c r="K611" s="16"/>
      <c r="T611" s="17"/>
      <c r="AC611" s="17"/>
    </row>
    <row r="612">
      <c r="B612" s="11">
        <f>IFERROR(__xludf.DUMMYFUNCTION("""COMPUTED_VALUE"""),45133.66666666667)</f>
        <v>45133.66667</v>
      </c>
      <c r="C612" s="9">
        <f>IFERROR(__xludf.DUMMYFUNCTION("""COMPUTED_VALUE"""),116.29)</f>
        <v>116.29</v>
      </c>
      <c r="K612" s="16"/>
      <c r="T612" s="17"/>
      <c r="AC612" s="17"/>
    </row>
    <row r="613">
      <c r="B613" s="11">
        <f>IFERROR(__xludf.DUMMYFUNCTION("""COMPUTED_VALUE"""),45132.66666666667)</f>
        <v>45132.66667</v>
      </c>
      <c r="C613" s="9">
        <f>IFERROR(__xludf.DUMMYFUNCTION("""COMPUTED_VALUE"""),114.57)</f>
        <v>114.57</v>
      </c>
      <c r="K613" s="16"/>
      <c r="T613" s="17"/>
      <c r="AC613" s="17"/>
    </row>
    <row r="614">
      <c r="B614" s="11">
        <f>IFERROR(__xludf.DUMMYFUNCTION("""COMPUTED_VALUE"""),45131.66666666667)</f>
        <v>45131.66667</v>
      </c>
      <c r="C614" s="9">
        <f>IFERROR(__xludf.DUMMYFUNCTION("""COMPUTED_VALUE"""),116.97)</f>
        <v>116.97</v>
      </c>
      <c r="K614" s="16"/>
      <c r="T614" s="17"/>
      <c r="AC614" s="17"/>
    </row>
    <row r="615">
      <c r="B615" s="11">
        <f>IFERROR(__xludf.DUMMYFUNCTION("""COMPUTED_VALUE"""),45128.66666666667)</f>
        <v>45128.66667</v>
      </c>
      <c r="C615" s="9">
        <f>IFERROR(__xludf.DUMMYFUNCTION("""COMPUTED_VALUE"""),116.38)</f>
        <v>116.38</v>
      </c>
      <c r="K615" s="16"/>
      <c r="T615" s="17"/>
      <c r="AC615" s="17"/>
    </row>
    <row r="616">
      <c r="B616" s="11">
        <f>IFERROR(__xludf.DUMMYFUNCTION("""COMPUTED_VALUE"""),45127.66666666667)</f>
        <v>45127.66667</v>
      </c>
      <c r="C616" s="9">
        <f>IFERROR(__xludf.DUMMYFUNCTION("""COMPUTED_VALUE"""),117.01)</f>
        <v>117.01</v>
      </c>
      <c r="K616" s="16"/>
      <c r="T616" s="17"/>
      <c r="AC616" s="17"/>
    </row>
    <row r="617">
      <c r="B617" s="11">
        <f>IFERROR(__xludf.DUMMYFUNCTION("""COMPUTED_VALUE"""),45126.66666666667)</f>
        <v>45126.66667</v>
      </c>
      <c r="C617" s="9">
        <f>IFERROR(__xludf.DUMMYFUNCTION("""COMPUTED_VALUE"""),115.61)</f>
        <v>115.61</v>
      </c>
      <c r="K617" s="16"/>
      <c r="T617" s="17"/>
      <c r="AC617" s="17"/>
    </row>
    <row r="618">
      <c r="B618" s="11">
        <f>IFERROR(__xludf.DUMMYFUNCTION("""COMPUTED_VALUE"""),45125.66666666667)</f>
        <v>45125.66667</v>
      </c>
      <c r="C618" s="9">
        <f>IFERROR(__xludf.DUMMYFUNCTION("""COMPUTED_VALUE"""),116.28)</f>
        <v>116.28</v>
      </c>
      <c r="K618" s="16"/>
      <c r="T618" s="17"/>
      <c r="AC618" s="17"/>
    </row>
    <row r="619">
      <c r="B619" s="11">
        <f>IFERROR(__xludf.DUMMYFUNCTION("""COMPUTED_VALUE"""),45124.66666666667)</f>
        <v>45124.66667</v>
      </c>
      <c r="C619" s="9">
        <f>IFERROR(__xludf.DUMMYFUNCTION("""COMPUTED_VALUE"""),116.8)</f>
        <v>116.8</v>
      </c>
      <c r="K619" s="16"/>
      <c r="T619" s="17"/>
      <c r="AC619" s="17"/>
    </row>
    <row r="620">
      <c r="B620" s="11">
        <f>IFERROR(__xludf.DUMMYFUNCTION("""COMPUTED_VALUE"""),45121.66666666667)</f>
        <v>45121.66667</v>
      </c>
      <c r="C620" s="9">
        <f>IFERROR(__xludf.DUMMYFUNCTION("""COMPUTED_VALUE"""),116.2)</f>
        <v>116.2</v>
      </c>
      <c r="K620" s="16"/>
      <c r="T620" s="17"/>
      <c r="AC620" s="17"/>
    </row>
    <row r="621">
      <c r="B621" s="11">
        <f>IFERROR(__xludf.DUMMYFUNCTION("""COMPUTED_VALUE"""),45120.66666666667)</f>
        <v>45120.66667</v>
      </c>
      <c r="C621" s="9">
        <f>IFERROR(__xludf.DUMMYFUNCTION("""COMPUTED_VALUE"""),117.56)</f>
        <v>117.56</v>
      </c>
      <c r="K621" s="16"/>
      <c r="T621" s="17"/>
      <c r="AC621" s="17"/>
    </row>
    <row r="622">
      <c r="B622" s="11">
        <f>IFERROR(__xludf.DUMMYFUNCTION("""COMPUTED_VALUE"""),45119.66666666667)</f>
        <v>45119.66667</v>
      </c>
      <c r="C622" s="9">
        <f>IFERROR(__xludf.DUMMYFUNCTION("""COMPUTED_VALUE"""),117.42)</f>
        <v>117.42</v>
      </c>
      <c r="K622" s="16"/>
      <c r="T622" s="17"/>
      <c r="AC622" s="17"/>
    </row>
    <row r="623">
      <c r="B623" s="11">
        <f>IFERROR(__xludf.DUMMYFUNCTION("""COMPUTED_VALUE"""),45118.66666666667)</f>
        <v>45118.66667</v>
      </c>
      <c r="C623" s="9">
        <f>IFERROR(__xludf.DUMMYFUNCTION("""COMPUTED_VALUE"""),118.17)</f>
        <v>118.17</v>
      </c>
      <c r="K623" s="16"/>
      <c r="T623" s="17"/>
      <c r="AC623" s="17"/>
    </row>
    <row r="624">
      <c r="B624" s="11">
        <f>IFERROR(__xludf.DUMMYFUNCTION("""COMPUTED_VALUE"""),45117.66666666667)</f>
        <v>45117.66667</v>
      </c>
      <c r="C624" s="9">
        <f>IFERROR(__xludf.DUMMYFUNCTION("""COMPUTED_VALUE"""),116.75)</f>
        <v>116.75</v>
      </c>
      <c r="K624" s="16"/>
      <c r="T624" s="17"/>
      <c r="AC624" s="17"/>
    </row>
    <row r="625">
      <c r="B625" s="11">
        <f>IFERROR(__xludf.DUMMYFUNCTION("""COMPUTED_VALUE"""),45114.66666666667)</f>
        <v>45114.66667</v>
      </c>
      <c r="C625" s="9">
        <f>IFERROR(__xludf.DUMMYFUNCTION("""COMPUTED_VALUE"""),116.04)</f>
        <v>116.04</v>
      </c>
      <c r="K625" s="16"/>
      <c r="T625" s="17"/>
      <c r="AC625" s="17"/>
    </row>
    <row r="626">
      <c r="B626" s="11">
        <f>IFERROR(__xludf.DUMMYFUNCTION("""COMPUTED_VALUE"""),45113.66666666667)</f>
        <v>45113.66667</v>
      </c>
      <c r="C626" s="9">
        <f>IFERROR(__xludf.DUMMYFUNCTION("""COMPUTED_VALUE"""),116.09)</f>
        <v>116.09</v>
      </c>
      <c r="K626" s="16"/>
      <c r="T626" s="17"/>
      <c r="AC626" s="17"/>
    </row>
    <row r="627">
      <c r="B627" s="11">
        <f>IFERROR(__xludf.DUMMYFUNCTION("""COMPUTED_VALUE"""),45112.66666666667)</f>
        <v>45112.66667</v>
      </c>
      <c r="C627" s="9">
        <f>IFERROR(__xludf.DUMMYFUNCTION("""COMPUTED_VALUE"""),116.73)</f>
        <v>116.73</v>
      </c>
      <c r="K627" s="16"/>
      <c r="T627" s="17"/>
      <c r="AC627" s="17"/>
    </row>
    <row r="628">
      <c r="B628" s="11">
        <f>IFERROR(__xludf.DUMMYFUNCTION("""COMPUTED_VALUE"""),45110.5)</f>
        <v>45110.5</v>
      </c>
      <c r="C628" s="9">
        <f>IFERROR(__xludf.DUMMYFUNCTION("""COMPUTED_VALUE"""),116.92)</f>
        <v>116.92</v>
      </c>
      <c r="K628" s="16"/>
      <c r="T628" s="17"/>
      <c r="AC628" s="17"/>
    </row>
    <row r="629">
      <c r="B629" s="11">
        <f>IFERROR(__xludf.DUMMYFUNCTION("""COMPUTED_VALUE"""),45107.66666666667)</f>
        <v>45107.66667</v>
      </c>
      <c r="C629" s="9">
        <f>IFERROR(__xludf.DUMMYFUNCTION("""COMPUTED_VALUE"""),116.67)</f>
        <v>116.67</v>
      </c>
      <c r="K629" s="16"/>
      <c r="T629" s="17"/>
      <c r="AC629" s="17"/>
    </row>
    <row r="630">
      <c r="B630" s="11">
        <f>IFERROR(__xludf.DUMMYFUNCTION("""COMPUTED_VALUE"""),45106.66666666667)</f>
        <v>45106.66667</v>
      </c>
      <c r="C630" s="9">
        <f>IFERROR(__xludf.DUMMYFUNCTION("""COMPUTED_VALUE"""),116.36)</f>
        <v>116.36</v>
      </c>
      <c r="K630" s="16"/>
      <c r="T630" s="17"/>
      <c r="AC630" s="17"/>
    </row>
    <row r="631">
      <c r="B631" s="11">
        <f>IFERROR(__xludf.DUMMYFUNCTION("""COMPUTED_VALUE"""),45105.66666666667)</f>
        <v>45105.66667</v>
      </c>
      <c r="C631" s="9">
        <f>IFERROR(__xludf.DUMMYFUNCTION("""COMPUTED_VALUE"""),114.75)</f>
        <v>114.75</v>
      </c>
      <c r="K631" s="16"/>
      <c r="T631" s="17"/>
      <c r="AC631" s="17"/>
    </row>
    <row r="632">
      <c r="B632" s="11">
        <f>IFERROR(__xludf.DUMMYFUNCTION("""COMPUTED_VALUE"""),45104.66666666667)</f>
        <v>45104.66667</v>
      </c>
      <c r="C632" s="9">
        <f>IFERROR(__xludf.DUMMYFUNCTION("""COMPUTED_VALUE"""),114.88)</f>
        <v>114.88</v>
      </c>
      <c r="K632" s="16"/>
      <c r="T632" s="17"/>
      <c r="AC632" s="17"/>
    </row>
    <row r="633">
      <c r="B633" s="11">
        <f>IFERROR(__xludf.DUMMYFUNCTION("""COMPUTED_VALUE"""),45103.66666666667)</f>
        <v>45103.66667</v>
      </c>
      <c r="C633" s="9">
        <f>IFERROR(__xludf.DUMMYFUNCTION("""COMPUTED_VALUE"""),113.47)</f>
        <v>113.47</v>
      </c>
      <c r="K633" s="16"/>
      <c r="T633" s="17"/>
      <c r="AC633" s="17"/>
    </row>
    <row r="634">
      <c r="B634" s="11">
        <f>IFERROR(__xludf.DUMMYFUNCTION("""COMPUTED_VALUE"""),45100.66666666667)</f>
        <v>45100.66667</v>
      </c>
      <c r="C634" s="9">
        <f>IFERROR(__xludf.DUMMYFUNCTION("""COMPUTED_VALUE"""),113.65)</f>
        <v>113.65</v>
      </c>
      <c r="K634" s="16"/>
      <c r="T634" s="17"/>
      <c r="AC634" s="17"/>
    </row>
    <row r="635">
      <c r="B635" s="11">
        <f>IFERROR(__xludf.DUMMYFUNCTION("""COMPUTED_VALUE"""),45099.66666666667)</f>
        <v>45099.66667</v>
      </c>
      <c r="C635" s="9">
        <f>IFERROR(__xludf.DUMMYFUNCTION("""COMPUTED_VALUE"""),114.51)</f>
        <v>114.51</v>
      </c>
      <c r="K635" s="16"/>
      <c r="T635" s="17"/>
      <c r="AC635" s="17"/>
    </row>
    <row r="636">
      <c r="B636" s="11">
        <f>IFERROR(__xludf.DUMMYFUNCTION("""COMPUTED_VALUE"""),45098.66666666667)</f>
        <v>45098.66667</v>
      </c>
      <c r="C636" s="9">
        <f>IFERROR(__xludf.DUMMYFUNCTION("""COMPUTED_VALUE"""),116.3)</f>
        <v>116.3</v>
      </c>
      <c r="K636" s="16"/>
      <c r="T636" s="17"/>
      <c r="AC636" s="17"/>
    </row>
    <row r="637">
      <c r="B637" s="11">
        <f>IFERROR(__xludf.DUMMYFUNCTION("""COMPUTED_VALUE"""),45097.66666666667)</f>
        <v>45097.66667</v>
      </c>
      <c r="C637" s="9">
        <f>IFERROR(__xludf.DUMMYFUNCTION("""COMPUTED_VALUE"""),115.24)</f>
        <v>115.24</v>
      </c>
      <c r="K637" s="16"/>
      <c r="T637" s="17"/>
      <c r="AC637" s="17"/>
    </row>
    <row r="638">
      <c r="B638" s="11">
        <f>IFERROR(__xludf.DUMMYFUNCTION("""COMPUTED_VALUE"""),45093.66666666667)</f>
        <v>45093.66667</v>
      </c>
      <c r="C638" s="9">
        <f>IFERROR(__xludf.DUMMYFUNCTION("""COMPUTED_VALUE"""),115.88)</f>
        <v>115.88</v>
      </c>
      <c r="K638" s="16"/>
      <c r="T638" s="17"/>
      <c r="AC638" s="17"/>
    </row>
    <row r="639">
      <c r="B639" s="11">
        <f>IFERROR(__xludf.DUMMYFUNCTION("""COMPUTED_VALUE"""),45092.66666666667)</f>
        <v>45092.66667</v>
      </c>
      <c r="C639" s="9">
        <f>IFERROR(__xludf.DUMMYFUNCTION("""COMPUTED_VALUE"""),115.74)</f>
        <v>115.74</v>
      </c>
      <c r="K639" s="16"/>
      <c r="T639" s="17"/>
      <c r="AC639" s="17"/>
    </row>
    <row r="640">
      <c r="B640" s="11">
        <f>IFERROR(__xludf.DUMMYFUNCTION("""COMPUTED_VALUE"""),45091.66666666667)</f>
        <v>45091.66667</v>
      </c>
      <c r="C640" s="9">
        <f>IFERROR(__xludf.DUMMYFUNCTION("""COMPUTED_VALUE"""),114.5)</f>
        <v>114.5</v>
      </c>
      <c r="K640" s="16"/>
      <c r="T640" s="17"/>
      <c r="AC640" s="17"/>
    </row>
    <row r="641">
      <c r="B641" s="11">
        <f>IFERROR(__xludf.DUMMYFUNCTION("""COMPUTED_VALUE"""),45090.66666666667)</f>
        <v>45090.66667</v>
      </c>
      <c r="C641" s="9">
        <f>IFERROR(__xludf.DUMMYFUNCTION("""COMPUTED_VALUE"""),115.76)</f>
        <v>115.76</v>
      </c>
      <c r="K641" s="16"/>
      <c r="T641" s="17"/>
      <c r="AC641" s="17"/>
    </row>
    <row r="642">
      <c r="B642" s="11">
        <f>IFERROR(__xludf.DUMMYFUNCTION("""COMPUTED_VALUE"""),45089.66666666667)</f>
        <v>45089.66667</v>
      </c>
      <c r="C642" s="9">
        <f>IFERROR(__xludf.DUMMYFUNCTION("""COMPUTED_VALUE"""),115.85)</f>
        <v>115.85</v>
      </c>
      <c r="K642" s="16"/>
      <c r="T642" s="17"/>
      <c r="AC642" s="17"/>
    </row>
    <row r="643">
      <c r="B643" s="11">
        <f>IFERROR(__xludf.DUMMYFUNCTION("""COMPUTED_VALUE"""),45086.66666666667)</f>
        <v>45086.66667</v>
      </c>
      <c r="C643" s="9">
        <f>IFERROR(__xludf.DUMMYFUNCTION("""COMPUTED_VALUE"""),115.09)</f>
        <v>115.09</v>
      </c>
      <c r="K643" s="16"/>
      <c r="T643" s="17"/>
      <c r="AC643" s="17"/>
    </row>
    <row r="644">
      <c r="B644" s="11">
        <f>IFERROR(__xludf.DUMMYFUNCTION("""COMPUTED_VALUE"""),45085.66666666667)</f>
        <v>45085.66667</v>
      </c>
      <c r="C644" s="9">
        <f>IFERROR(__xludf.DUMMYFUNCTION("""COMPUTED_VALUE"""),115.45)</f>
        <v>115.45</v>
      </c>
      <c r="K644" s="16"/>
      <c r="T644" s="17"/>
      <c r="AC644" s="17"/>
    </row>
    <row r="645">
      <c r="B645" s="11">
        <f>IFERROR(__xludf.DUMMYFUNCTION("""COMPUTED_VALUE"""),45084.66666666667)</f>
        <v>45084.66667</v>
      </c>
      <c r="C645" s="9">
        <f>IFERROR(__xludf.DUMMYFUNCTION("""COMPUTED_VALUE"""),114.52)</f>
        <v>114.52</v>
      </c>
      <c r="K645" s="16"/>
      <c r="T645" s="17"/>
      <c r="AC645" s="17"/>
    </row>
    <row r="646">
      <c r="B646" s="11">
        <f>IFERROR(__xludf.DUMMYFUNCTION("""COMPUTED_VALUE"""),45083.66666666667)</f>
        <v>45083.66667</v>
      </c>
      <c r="C646" s="9">
        <f>IFERROR(__xludf.DUMMYFUNCTION("""COMPUTED_VALUE"""),112.83)</f>
        <v>112.83</v>
      </c>
      <c r="K646" s="16"/>
      <c r="T646" s="17"/>
      <c r="AC646" s="17"/>
    </row>
    <row r="647">
      <c r="B647" s="11">
        <f>IFERROR(__xludf.DUMMYFUNCTION("""COMPUTED_VALUE"""),45082.66666666667)</f>
        <v>45082.66667</v>
      </c>
      <c r="C647" s="9">
        <f>IFERROR(__xludf.DUMMYFUNCTION("""COMPUTED_VALUE"""),111.82)</f>
        <v>111.82</v>
      </c>
      <c r="K647" s="16"/>
      <c r="T647" s="17"/>
      <c r="AC647" s="17"/>
    </row>
    <row r="648">
      <c r="B648" s="11">
        <f>IFERROR(__xludf.DUMMYFUNCTION("""COMPUTED_VALUE"""),45079.66666666667)</f>
        <v>45079.66667</v>
      </c>
      <c r="C648" s="9">
        <f>IFERROR(__xludf.DUMMYFUNCTION("""COMPUTED_VALUE"""),112.68)</f>
        <v>112.68</v>
      </c>
      <c r="K648" s="16"/>
      <c r="T648" s="17"/>
      <c r="AC648" s="17"/>
    </row>
    <row r="649">
      <c r="B649" s="11">
        <f>IFERROR(__xludf.DUMMYFUNCTION("""COMPUTED_VALUE"""),45078.66666666667)</f>
        <v>45078.66667</v>
      </c>
      <c r="C649" s="9">
        <f>IFERROR(__xludf.DUMMYFUNCTION("""COMPUTED_VALUE"""),110.16)</f>
        <v>110.16</v>
      </c>
      <c r="K649" s="16"/>
      <c r="T649" s="17"/>
      <c r="AC649" s="17"/>
    </row>
    <row r="650">
      <c r="B650" s="11">
        <f>IFERROR(__xludf.DUMMYFUNCTION("""COMPUTED_VALUE"""),45077.66666666667)</f>
        <v>45077.66667</v>
      </c>
      <c r="C650" s="9">
        <f>IFERROR(__xludf.DUMMYFUNCTION("""COMPUTED_VALUE"""),108.66)</f>
        <v>108.66</v>
      </c>
      <c r="K650" s="16"/>
      <c r="T650" s="17"/>
      <c r="AC650" s="17"/>
    </row>
    <row r="651">
      <c r="B651" s="11">
        <f>IFERROR(__xludf.DUMMYFUNCTION("""COMPUTED_VALUE"""),45076.66666666667)</f>
        <v>45076.66667</v>
      </c>
      <c r="C651" s="9">
        <f>IFERROR(__xludf.DUMMYFUNCTION("""COMPUTED_VALUE"""),109.46)</f>
        <v>109.46</v>
      </c>
      <c r="K651" s="16"/>
      <c r="T651" s="17"/>
      <c r="AC651" s="17"/>
    </row>
    <row r="652">
      <c r="B652" s="11">
        <f>IFERROR(__xludf.DUMMYFUNCTION("""COMPUTED_VALUE"""),45072.66666666667)</f>
        <v>45072.66667</v>
      </c>
      <c r="C652" s="9">
        <f>IFERROR(__xludf.DUMMYFUNCTION("""COMPUTED_VALUE"""),109.67)</f>
        <v>109.67</v>
      </c>
      <c r="K652" s="16"/>
      <c r="T652" s="17"/>
      <c r="AC652" s="17"/>
    </row>
    <row r="653">
      <c r="B653" s="11">
        <f>IFERROR(__xludf.DUMMYFUNCTION("""COMPUTED_VALUE"""),45071.66666666667)</f>
        <v>45071.66667</v>
      </c>
      <c r="C653" s="9">
        <f>IFERROR(__xludf.DUMMYFUNCTION("""COMPUTED_VALUE"""),109.0)</f>
        <v>109</v>
      </c>
      <c r="K653" s="16"/>
      <c r="T653" s="17"/>
      <c r="AC653" s="17"/>
    </row>
    <row r="654">
      <c r="B654" s="11">
        <f>IFERROR(__xludf.DUMMYFUNCTION("""COMPUTED_VALUE"""),45070.66666666667)</f>
        <v>45070.66667</v>
      </c>
      <c r="C654" s="9">
        <f>IFERROR(__xludf.DUMMYFUNCTION("""COMPUTED_VALUE"""),109.8)</f>
        <v>109.8</v>
      </c>
      <c r="K654" s="16"/>
      <c r="T654" s="17"/>
      <c r="AC654" s="17"/>
    </row>
    <row r="655">
      <c r="B655" s="11">
        <f>IFERROR(__xludf.DUMMYFUNCTION("""COMPUTED_VALUE"""),45069.66666666667)</f>
        <v>45069.66667</v>
      </c>
      <c r="C655" s="9">
        <f>IFERROR(__xludf.DUMMYFUNCTION("""COMPUTED_VALUE"""),110.92)</f>
        <v>110.92</v>
      </c>
      <c r="K655" s="16"/>
      <c r="T655" s="17"/>
      <c r="AC655" s="17"/>
    </row>
    <row r="656">
      <c r="B656" s="11">
        <f>IFERROR(__xludf.DUMMYFUNCTION("""COMPUTED_VALUE"""),45068.66666666667)</f>
        <v>45068.66667</v>
      </c>
      <c r="C656" s="9">
        <f>IFERROR(__xludf.DUMMYFUNCTION("""COMPUTED_VALUE"""),113.06)</f>
        <v>113.06</v>
      </c>
      <c r="K656" s="16"/>
      <c r="T656" s="17"/>
      <c r="AC656" s="17"/>
    </row>
    <row r="657">
      <c r="B657" s="11">
        <f>IFERROR(__xludf.DUMMYFUNCTION("""COMPUTED_VALUE"""),45065.66666666667)</f>
        <v>45065.66667</v>
      </c>
      <c r="C657" s="9">
        <f>IFERROR(__xludf.DUMMYFUNCTION("""COMPUTED_VALUE"""),112.57)</f>
        <v>112.57</v>
      </c>
      <c r="K657" s="16"/>
      <c r="T657" s="17"/>
      <c r="AC657" s="17"/>
    </row>
    <row r="658">
      <c r="B658" s="11">
        <f>IFERROR(__xludf.DUMMYFUNCTION("""COMPUTED_VALUE"""),45064.66666666667)</f>
        <v>45064.66667</v>
      </c>
      <c r="C658" s="9">
        <f>IFERROR(__xludf.DUMMYFUNCTION("""COMPUTED_VALUE"""),113.33)</f>
        <v>113.33</v>
      </c>
      <c r="K658" s="16"/>
      <c r="T658" s="17"/>
      <c r="AC658" s="17"/>
    </row>
    <row r="659">
      <c r="B659" s="11">
        <f>IFERROR(__xludf.DUMMYFUNCTION("""COMPUTED_VALUE"""),45063.66666666667)</f>
        <v>45063.66667</v>
      </c>
      <c r="C659" s="9">
        <f>IFERROR(__xludf.DUMMYFUNCTION("""COMPUTED_VALUE"""),113.04)</f>
        <v>113.04</v>
      </c>
      <c r="K659" s="16"/>
      <c r="T659" s="17"/>
      <c r="AC659" s="17"/>
    </row>
    <row r="660">
      <c r="B660" s="11">
        <f>IFERROR(__xludf.DUMMYFUNCTION("""COMPUTED_VALUE"""),45062.66666666667)</f>
        <v>45062.66667</v>
      </c>
      <c r="C660" s="9">
        <f>IFERROR(__xludf.DUMMYFUNCTION("""COMPUTED_VALUE"""),111.13)</f>
        <v>111.13</v>
      </c>
      <c r="K660" s="16"/>
      <c r="T660" s="17"/>
      <c r="AC660" s="17"/>
    </row>
    <row r="661">
      <c r="B661" s="11">
        <f>IFERROR(__xludf.DUMMYFUNCTION("""COMPUTED_VALUE"""),45061.66666666667)</f>
        <v>45061.66667</v>
      </c>
      <c r="C661" s="9">
        <f>IFERROR(__xludf.DUMMYFUNCTION("""COMPUTED_VALUE"""),112.22)</f>
        <v>112.22</v>
      </c>
      <c r="K661" s="16"/>
      <c r="T661" s="17"/>
      <c r="AC661" s="17"/>
    </row>
    <row r="662">
      <c r="B662" s="11">
        <f>IFERROR(__xludf.DUMMYFUNCTION("""COMPUTED_VALUE"""),45058.66666666667)</f>
        <v>45058.66667</v>
      </c>
      <c r="C662" s="9">
        <f>IFERROR(__xludf.DUMMYFUNCTION("""COMPUTED_VALUE"""),110.89)</f>
        <v>110.89</v>
      </c>
      <c r="K662" s="16"/>
      <c r="T662" s="17"/>
      <c r="AC662" s="17"/>
    </row>
    <row r="663">
      <c r="B663" s="11">
        <f>IFERROR(__xludf.DUMMYFUNCTION("""COMPUTED_VALUE"""),45057.66666666667)</f>
        <v>45057.66667</v>
      </c>
      <c r="C663" s="9">
        <f>IFERROR(__xludf.DUMMYFUNCTION("""COMPUTED_VALUE"""),111.13)</f>
        <v>111.13</v>
      </c>
      <c r="K663" s="16"/>
      <c r="T663" s="17"/>
      <c r="AC663" s="17"/>
    </row>
    <row r="664">
      <c r="B664" s="11">
        <f>IFERROR(__xludf.DUMMYFUNCTION("""COMPUTED_VALUE"""),45056.66666666667)</f>
        <v>45056.66667</v>
      </c>
      <c r="C664" s="9">
        <f>IFERROR(__xludf.DUMMYFUNCTION("""COMPUTED_VALUE"""),111.5)</f>
        <v>111.5</v>
      </c>
      <c r="K664" s="16"/>
      <c r="T664" s="17"/>
      <c r="AC664" s="17"/>
    </row>
    <row r="665">
      <c r="B665" s="11">
        <f>IFERROR(__xludf.DUMMYFUNCTION("""COMPUTED_VALUE"""),45055.66666666667)</f>
        <v>45055.66667</v>
      </c>
      <c r="C665" s="9">
        <f>IFERROR(__xludf.DUMMYFUNCTION("""COMPUTED_VALUE"""),112.43)</f>
        <v>112.43</v>
      </c>
      <c r="K665" s="16"/>
      <c r="T665" s="17"/>
      <c r="AC665" s="17"/>
    </row>
    <row r="666">
      <c r="B666" s="11">
        <f>IFERROR(__xludf.DUMMYFUNCTION("""COMPUTED_VALUE"""),45054.66666666667)</f>
        <v>45054.66667</v>
      </c>
      <c r="C666" s="9">
        <f>IFERROR(__xludf.DUMMYFUNCTION("""COMPUTED_VALUE"""),111.14)</f>
        <v>111.14</v>
      </c>
      <c r="K666" s="16"/>
      <c r="T666" s="17"/>
      <c r="AC666" s="17"/>
    </row>
    <row r="667">
      <c r="B667" s="11">
        <f>IFERROR(__xludf.DUMMYFUNCTION("""COMPUTED_VALUE"""),45051.66666666667)</f>
        <v>45051.66667</v>
      </c>
      <c r="C667" s="9">
        <f>IFERROR(__xludf.DUMMYFUNCTION("""COMPUTED_VALUE"""),111.76)</f>
        <v>111.76</v>
      </c>
      <c r="K667" s="16"/>
      <c r="T667" s="17"/>
      <c r="AC667" s="17"/>
    </row>
    <row r="668">
      <c r="B668" s="11">
        <f>IFERROR(__xludf.DUMMYFUNCTION("""COMPUTED_VALUE"""),45050.66666666667)</f>
        <v>45050.66667</v>
      </c>
      <c r="C668" s="9">
        <f>IFERROR(__xludf.DUMMYFUNCTION("""COMPUTED_VALUE"""),110.72)</f>
        <v>110.72</v>
      </c>
      <c r="K668" s="16"/>
      <c r="T668" s="17"/>
      <c r="AC668" s="17"/>
    </row>
    <row r="669">
      <c r="B669" s="11">
        <f>IFERROR(__xludf.DUMMYFUNCTION("""COMPUTED_VALUE"""),45049.66666666667)</f>
        <v>45049.66667</v>
      </c>
      <c r="C669" s="9">
        <f>IFERROR(__xludf.DUMMYFUNCTION("""COMPUTED_VALUE"""),112.34)</f>
        <v>112.34</v>
      </c>
      <c r="K669" s="16"/>
      <c r="T669" s="17"/>
      <c r="AC669" s="17"/>
    </row>
    <row r="670">
      <c r="B670" s="11">
        <f>IFERROR(__xludf.DUMMYFUNCTION("""COMPUTED_VALUE"""),45048.66666666667)</f>
        <v>45048.66667</v>
      </c>
      <c r="C670" s="9">
        <f>IFERROR(__xludf.DUMMYFUNCTION("""COMPUTED_VALUE"""),113.68)</f>
        <v>113.68</v>
      </c>
      <c r="K670" s="16"/>
      <c r="T670" s="17"/>
      <c r="AC670" s="17"/>
    </row>
    <row r="671">
      <c r="B671" s="11">
        <f>IFERROR(__xludf.DUMMYFUNCTION("""COMPUTED_VALUE"""),45047.66666666667)</f>
        <v>45047.66667</v>
      </c>
      <c r="C671" s="9">
        <f>IFERROR(__xludf.DUMMYFUNCTION("""COMPUTED_VALUE"""),114.25)</f>
        <v>114.25</v>
      </c>
      <c r="K671" s="16"/>
      <c r="T671" s="17"/>
      <c r="AC671" s="17"/>
    </row>
    <row r="672">
      <c r="B672" s="11">
        <f>IFERROR(__xludf.DUMMYFUNCTION("""COMPUTED_VALUE"""),45044.66666666667)</f>
        <v>45044.66667</v>
      </c>
      <c r="C672" s="9">
        <f>IFERROR(__xludf.DUMMYFUNCTION("""COMPUTED_VALUE"""),113.96)</f>
        <v>113.96</v>
      </c>
      <c r="K672" s="16"/>
      <c r="T672" s="17"/>
      <c r="AC672" s="17"/>
    </row>
    <row r="673">
      <c r="B673" s="11">
        <f>IFERROR(__xludf.DUMMYFUNCTION("""COMPUTED_VALUE"""),45043.66666666667)</f>
        <v>45043.66667</v>
      </c>
      <c r="C673" s="9">
        <f>IFERROR(__xludf.DUMMYFUNCTION("""COMPUTED_VALUE"""),113.55)</f>
        <v>113.55</v>
      </c>
      <c r="K673" s="16"/>
      <c r="T673" s="17"/>
      <c r="AC673" s="17"/>
    </row>
    <row r="674">
      <c r="B674" s="11">
        <f>IFERROR(__xludf.DUMMYFUNCTION("""COMPUTED_VALUE"""),45042.66666666667)</f>
        <v>45042.66667</v>
      </c>
      <c r="C674" s="9">
        <f>IFERROR(__xludf.DUMMYFUNCTION("""COMPUTED_VALUE"""),111.9)</f>
        <v>111.9</v>
      </c>
      <c r="K674" s="16"/>
      <c r="T674" s="17"/>
      <c r="AC674" s="17"/>
    </row>
    <row r="675">
      <c r="B675" s="11">
        <f>IFERROR(__xludf.DUMMYFUNCTION("""COMPUTED_VALUE"""),45041.66666666667)</f>
        <v>45041.66667</v>
      </c>
      <c r="C675" s="9">
        <f>IFERROR(__xludf.DUMMYFUNCTION("""COMPUTED_VALUE"""),114.27)</f>
        <v>114.27</v>
      </c>
      <c r="K675" s="16"/>
      <c r="T675" s="17"/>
      <c r="AC675" s="17"/>
    </row>
    <row r="676">
      <c r="B676" s="11">
        <f>IFERROR(__xludf.DUMMYFUNCTION("""COMPUTED_VALUE"""),45040.66666666667)</f>
        <v>45040.66667</v>
      </c>
      <c r="C676" s="9">
        <f>IFERROR(__xludf.DUMMYFUNCTION("""COMPUTED_VALUE"""),115.62)</f>
        <v>115.62</v>
      </c>
      <c r="K676" s="16"/>
      <c r="T676" s="17"/>
      <c r="AC676" s="17"/>
    </row>
    <row r="677">
      <c r="B677" s="11">
        <f>IFERROR(__xludf.DUMMYFUNCTION("""COMPUTED_VALUE"""),45037.66666666667)</f>
        <v>45037.66667</v>
      </c>
      <c r="C677" s="9">
        <f>IFERROR(__xludf.DUMMYFUNCTION("""COMPUTED_VALUE"""),115.57)</f>
        <v>115.57</v>
      </c>
      <c r="K677" s="16"/>
      <c r="T677" s="17"/>
      <c r="AC677" s="17"/>
    </row>
    <row r="678">
      <c r="B678" s="11">
        <f>IFERROR(__xludf.DUMMYFUNCTION("""COMPUTED_VALUE"""),45036.66666666667)</f>
        <v>45036.66667</v>
      </c>
      <c r="C678" s="9">
        <f>IFERROR(__xludf.DUMMYFUNCTION("""COMPUTED_VALUE"""),116.4)</f>
        <v>116.4</v>
      </c>
      <c r="K678" s="16"/>
      <c r="T678" s="17"/>
      <c r="AC678" s="17"/>
    </row>
    <row r="679">
      <c r="B679" s="11">
        <f>IFERROR(__xludf.DUMMYFUNCTION("""COMPUTED_VALUE"""),45035.66666666667)</f>
        <v>45035.66667</v>
      </c>
      <c r="C679" s="9">
        <f>IFERROR(__xludf.DUMMYFUNCTION("""COMPUTED_VALUE"""),116.96)</f>
        <v>116.96</v>
      </c>
      <c r="K679" s="16"/>
      <c r="T679" s="17"/>
      <c r="AC679" s="17"/>
    </row>
    <row r="680">
      <c r="B680" s="11">
        <f>IFERROR(__xludf.DUMMYFUNCTION("""COMPUTED_VALUE"""),45034.66666666667)</f>
        <v>45034.66667</v>
      </c>
      <c r="C680" s="9">
        <f>IFERROR(__xludf.DUMMYFUNCTION("""COMPUTED_VALUE"""),117.41)</f>
        <v>117.41</v>
      </c>
      <c r="K680" s="16"/>
      <c r="T680" s="17"/>
      <c r="AC680" s="17"/>
    </row>
    <row r="681">
      <c r="B681" s="11">
        <f>IFERROR(__xludf.DUMMYFUNCTION("""COMPUTED_VALUE"""),45033.66666666667)</f>
        <v>45033.66667</v>
      </c>
      <c r="C681" s="9">
        <f>IFERROR(__xludf.DUMMYFUNCTION("""COMPUTED_VALUE"""),116.13)</f>
        <v>116.13</v>
      </c>
      <c r="K681" s="16"/>
      <c r="T681" s="17"/>
      <c r="AC681" s="17"/>
    </row>
    <row r="682">
      <c r="B682" s="11">
        <f>IFERROR(__xludf.DUMMYFUNCTION("""COMPUTED_VALUE"""),45030.66666666667)</f>
        <v>45030.66667</v>
      </c>
      <c r="C682" s="9">
        <f>IFERROR(__xludf.DUMMYFUNCTION("""COMPUTED_VALUE"""),114.94)</f>
        <v>114.94</v>
      </c>
      <c r="K682" s="16"/>
      <c r="T682" s="17"/>
      <c r="AC682" s="17"/>
    </row>
    <row r="683">
      <c r="B683" s="11">
        <f>IFERROR(__xludf.DUMMYFUNCTION("""COMPUTED_VALUE"""),45029.66666666667)</f>
        <v>45029.66667</v>
      </c>
      <c r="C683" s="9">
        <f>IFERROR(__xludf.DUMMYFUNCTION("""COMPUTED_VALUE"""),116.89)</f>
        <v>116.89</v>
      </c>
      <c r="K683" s="16"/>
      <c r="T683" s="17"/>
      <c r="AC683" s="17"/>
    </row>
    <row r="684">
      <c r="B684" s="11">
        <f>IFERROR(__xludf.DUMMYFUNCTION("""COMPUTED_VALUE"""),45028.66666666667)</f>
        <v>45028.66667</v>
      </c>
      <c r="C684" s="9">
        <f>IFERROR(__xludf.DUMMYFUNCTION("""COMPUTED_VALUE"""),116.33)</f>
        <v>116.33</v>
      </c>
      <c r="K684" s="16"/>
      <c r="T684" s="17"/>
      <c r="AC684" s="17"/>
    </row>
    <row r="685">
      <c r="B685" s="11">
        <f>IFERROR(__xludf.DUMMYFUNCTION("""COMPUTED_VALUE"""),45027.66666666667)</f>
        <v>45027.66667</v>
      </c>
      <c r="C685" s="9">
        <f>IFERROR(__xludf.DUMMYFUNCTION("""COMPUTED_VALUE"""),115.65)</f>
        <v>115.65</v>
      </c>
      <c r="K685" s="16"/>
      <c r="T685" s="17"/>
      <c r="AC685" s="17"/>
    </row>
    <row r="686">
      <c r="B686" s="11">
        <f>IFERROR(__xludf.DUMMYFUNCTION("""COMPUTED_VALUE"""),45026.66666666667)</f>
        <v>45026.66667</v>
      </c>
      <c r="C686" s="9">
        <f>IFERROR(__xludf.DUMMYFUNCTION("""COMPUTED_VALUE"""),115.54)</f>
        <v>115.54</v>
      </c>
      <c r="K686" s="16"/>
      <c r="T686" s="17"/>
      <c r="AC686" s="17"/>
    </row>
    <row r="687">
      <c r="B687" s="11">
        <f>IFERROR(__xludf.DUMMYFUNCTION("""COMPUTED_VALUE"""),45022.66666666667)</f>
        <v>45022.66667</v>
      </c>
      <c r="C687" s="9">
        <f>IFERROR(__xludf.DUMMYFUNCTION("""COMPUTED_VALUE"""),114.42)</f>
        <v>114.42</v>
      </c>
      <c r="K687" s="16"/>
      <c r="T687" s="17"/>
      <c r="AC687" s="17"/>
    </row>
    <row r="688">
      <c r="B688" s="11">
        <f>IFERROR(__xludf.DUMMYFUNCTION("""COMPUTED_VALUE"""),45021.66666666667)</f>
        <v>45021.66667</v>
      </c>
      <c r="C688" s="9">
        <f>IFERROR(__xludf.DUMMYFUNCTION("""COMPUTED_VALUE"""),114.61)</f>
        <v>114.61</v>
      </c>
      <c r="K688" s="16"/>
      <c r="T688" s="17"/>
      <c r="AC688" s="17"/>
    </row>
    <row r="689">
      <c r="B689" s="11">
        <f>IFERROR(__xludf.DUMMYFUNCTION("""COMPUTED_VALUE"""),45020.66666666667)</f>
        <v>45020.66667</v>
      </c>
      <c r="C689" s="9">
        <f>IFERROR(__xludf.DUMMYFUNCTION("""COMPUTED_VALUE"""),115.58)</f>
        <v>115.58</v>
      </c>
      <c r="K689" s="16"/>
      <c r="T689" s="17"/>
      <c r="AC689" s="17"/>
    </row>
    <row r="690">
      <c r="B690" s="11">
        <f>IFERROR(__xludf.DUMMYFUNCTION("""COMPUTED_VALUE"""),45019.66666666667)</f>
        <v>45019.66667</v>
      </c>
      <c r="C690" s="9">
        <f>IFERROR(__xludf.DUMMYFUNCTION("""COMPUTED_VALUE"""),116.88)</f>
        <v>116.88</v>
      </c>
      <c r="K690" s="16"/>
      <c r="T690" s="17"/>
      <c r="AC690" s="17"/>
    </row>
    <row r="691">
      <c r="B691" s="11">
        <f>IFERROR(__xludf.DUMMYFUNCTION("""COMPUTED_VALUE"""),45016.66666666667)</f>
        <v>45016.66667</v>
      </c>
      <c r="C691" s="9">
        <f>IFERROR(__xludf.DUMMYFUNCTION("""COMPUTED_VALUE"""),115.08)</f>
        <v>115.08</v>
      </c>
      <c r="K691" s="16"/>
      <c r="T691" s="17"/>
      <c r="AC691" s="17"/>
    </row>
    <row r="692">
      <c r="B692" s="11">
        <f>IFERROR(__xludf.DUMMYFUNCTION("""COMPUTED_VALUE"""),45015.66666666667)</f>
        <v>45015.66667</v>
      </c>
      <c r="C692" s="9">
        <f>IFERROR(__xludf.DUMMYFUNCTION("""COMPUTED_VALUE"""),114.38)</f>
        <v>114.38</v>
      </c>
      <c r="K692" s="16"/>
      <c r="T692" s="17"/>
      <c r="AC692" s="17"/>
    </row>
    <row r="693">
      <c r="B693" s="11">
        <f>IFERROR(__xludf.DUMMYFUNCTION("""COMPUTED_VALUE"""),45014.66666666667)</f>
        <v>45014.66667</v>
      </c>
      <c r="C693" s="9">
        <f>IFERROR(__xludf.DUMMYFUNCTION("""COMPUTED_VALUE"""),114.07)</f>
        <v>114.07</v>
      </c>
      <c r="K693" s="16"/>
      <c r="T693" s="17"/>
      <c r="AC693" s="17"/>
    </row>
    <row r="694">
      <c r="B694" s="11">
        <f>IFERROR(__xludf.DUMMYFUNCTION("""COMPUTED_VALUE"""),45013.66666666667)</f>
        <v>45013.66667</v>
      </c>
      <c r="C694" s="9">
        <f>IFERROR(__xludf.DUMMYFUNCTION("""COMPUTED_VALUE"""),112.85)</f>
        <v>112.85</v>
      </c>
      <c r="K694" s="16"/>
      <c r="T694" s="17"/>
      <c r="AC694" s="17"/>
    </row>
    <row r="695">
      <c r="B695" s="11">
        <f>IFERROR(__xludf.DUMMYFUNCTION("""COMPUTED_VALUE"""),45012.66666666667)</f>
        <v>45012.66667</v>
      </c>
      <c r="C695" s="9">
        <f>IFERROR(__xludf.DUMMYFUNCTION("""COMPUTED_VALUE"""),112.3)</f>
        <v>112.3</v>
      </c>
      <c r="K695" s="16"/>
      <c r="T695" s="17"/>
      <c r="AC695" s="17"/>
    </row>
    <row r="696">
      <c r="B696" s="11">
        <f>IFERROR(__xludf.DUMMYFUNCTION("""COMPUTED_VALUE"""),45009.66666666667)</f>
        <v>45009.66667</v>
      </c>
      <c r="C696" s="9">
        <f>IFERROR(__xludf.DUMMYFUNCTION("""COMPUTED_VALUE"""),111.26)</f>
        <v>111.26</v>
      </c>
      <c r="K696" s="16"/>
      <c r="T696" s="17"/>
      <c r="AC696" s="17"/>
    </row>
    <row r="697">
      <c r="B697" s="11">
        <f>IFERROR(__xludf.DUMMYFUNCTION("""COMPUTED_VALUE"""),45008.66666666667)</f>
        <v>45008.66667</v>
      </c>
      <c r="C697" s="9">
        <f>IFERROR(__xludf.DUMMYFUNCTION("""COMPUTED_VALUE"""),110.53)</f>
        <v>110.53</v>
      </c>
      <c r="K697" s="16"/>
      <c r="T697" s="17"/>
      <c r="AC697" s="17"/>
    </row>
    <row r="698">
      <c r="B698" s="11">
        <f>IFERROR(__xludf.DUMMYFUNCTION("""COMPUTED_VALUE"""),45007.66666666667)</f>
        <v>45007.66667</v>
      </c>
      <c r="C698" s="9">
        <f>IFERROR(__xludf.DUMMYFUNCTION("""COMPUTED_VALUE"""),110.91)</f>
        <v>110.91</v>
      </c>
      <c r="K698" s="16"/>
      <c r="T698" s="17"/>
      <c r="AC698" s="17"/>
    </row>
    <row r="699">
      <c r="B699" s="11">
        <f>IFERROR(__xludf.DUMMYFUNCTION("""COMPUTED_VALUE"""),45006.66666666667)</f>
        <v>45006.66667</v>
      </c>
      <c r="C699" s="9">
        <f>IFERROR(__xludf.DUMMYFUNCTION("""COMPUTED_VALUE"""),113.17)</f>
        <v>113.17</v>
      </c>
      <c r="K699" s="16"/>
      <c r="T699" s="17"/>
      <c r="AC699" s="17"/>
    </row>
    <row r="700">
      <c r="B700" s="11">
        <f>IFERROR(__xludf.DUMMYFUNCTION("""COMPUTED_VALUE"""),45005.66666666667)</f>
        <v>45005.66667</v>
      </c>
      <c r="C700" s="9">
        <f>IFERROR(__xludf.DUMMYFUNCTION("""COMPUTED_VALUE"""),112.14)</f>
        <v>112.14</v>
      </c>
      <c r="K700" s="16"/>
      <c r="T700" s="17"/>
      <c r="AC700" s="17"/>
    </row>
    <row r="701">
      <c r="B701" s="11">
        <f>IFERROR(__xludf.DUMMYFUNCTION("""COMPUTED_VALUE"""),45002.66666666667)</f>
        <v>45002.66667</v>
      </c>
      <c r="C701" s="9">
        <f>IFERROR(__xludf.DUMMYFUNCTION("""COMPUTED_VALUE"""),110.46)</f>
        <v>110.46</v>
      </c>
      <c r="K701" s="16"/>
      <c r="T701" s="17"/>
      <c r="AC701" s="17"/>
    </row>
    <row r="702">
      <c r="B702" s="11">
        <f>IFERROR(__xludf.DUMMYFUNCTION("""COMPUTED_VALUE"""),45001.66666666667)</f>
        <v>45001.66667</v>
      </c>
      <c r="C702" s="9">
        <f>IFERROR(__xludf.DUMMYFUNCTION("""COMPUTED_VALUE"""),112.92)</f>
        <v>112.92</v>
      </c>
      <c r="K702" s="16"/>
      <c r="T702" s="17"/>
      <c r="AC702" s="17"/>
    </row>
    <row r="703">
      <c r="B703" s="11">
        <f>IFERROR(__xludf.DUMMYFUNCTION("""COMPUTED_VALUE"""),45000.66666666667)</f>
        <v>45000.66667</v>
      </c>
      <c r="C703" s="9">
        <f>IFERROR(__xludf.DUMMYFUNCTION("""COMPUTED_VALUE"""),111.28)</f>
        <v>111.28</v>
      </c>
      <c r="K703" s="16"/>
      <c r="T703" s="17"/>
      <c r="AC703" s="17"/>
    </row>
    <row r="704">
      <c r="B704" s="11">
        <f>IFERROR(__xludf.DUMMYFUNCTION("""COMPUTED_VALUE"""),44999.66666666667)</f>
        <v>44999.66667</v>
      </c>
      <c r="C704" s="9">
        <f>IFERROR(__xludf.DUMMYFUNCTION("""COMPUTED_VALUE"""),113.82)</f>
        <v>113.82</v>
      </c>
      <c r="K704" s="16"/>
      <c r="T704" s="17"/>
      <c r="AC704" s="17"/>
    </row>
    <row r="705">
      <c r="B705" s="11">
        <f>IFERROR(__xludf.DUMMYFUNCTION("""COMPUTED_VALUE"""),44998.66666666667)</f>
        <v>44998.66667</v>
      </c>
      <c r="C705" s="9">
        <f>IFERROR(__xludf.DUMMYFUNCTION("""COMPUTED_VALUE"""),112.54)</f>
        <v>112.54</v>
      </c>
      <c r="K705" s="16"/>
      <c r="T705" s="17"/>
      <c r="AC705" s="17"/>
    </row>
    <row r="706">
      <c r="B706" s="11">
        <f>IFERROR(__xludf.DUMMYFUNCTION("""COMPUTED_VALUE"""),44995.66666666667)</f>
        <v>44995.66667</v>
      </c>
      <c r="C706" s="9">
        <f>IFERROR(__xludf.DUMMYFUNCTION("""COMPUTED_VALUE"""),113.03)</f>
        <v>113.03</v>
      </c>
      <c r="K706" s="16"/>
      <c r="T706" s="17"/>
      <c r="AC706" s="17"/>
    </row>
    <row r="707">
      <c r="B707" s="11">
        <f>IFERROR(__xludf.DUMMYFUNCTION("""COMPUTED_VALUE"""),44994.66666666667)</f>
        <v>44994.66667</v>
      </c>
      <c r="C707" s="9">
        <f>IFERROR(__xludf.DUMMYFUNCTION("""COMPUTED_VALUE"""),114.12)</f>
        <v>114.12</v>
      </c>
      <c r="K707" s="16"/>
      <c r="T707" s="17"/>
      <c r="AC707" s="17"/>
    </row>
    <row r="708">
      <c r="B708" s="11">
        <f>IFERROR(__xludf.DUMMYFUNCTION("""COMPUTED_VALUE"""),44993.66666666667)</f>
        <v>44993.66667</v>
      </c>
      <c r="C708" s="9">
        <f>IFERROR(__xludf.DUMMYFUNCTION("""COMPUTED_VALUE"""),116.11)</f>
        <v>116.11</v>
      </c>
      <c r="K708" s="16"/>
      <c r="T708" s="17"/>
      <c r="AC708" s="17"/>
    </row>
    <row r="709">
      <c r="B709" s="11">
        <f>IFERROR(__xludf.DUMMYFUNCTION("""COMPUTED_VALUE"""),44992.66666666667)</f>
        <v>44992.66667</v>
      </c>
      <c r="C709" s="9">
        <f>IFERROR(__xludf.DUMMYFUNCTION("""COMPUTED_VALUE"""),116.57)</f>
        <v>116.57</v>
      </c>
      <c r="K709" s="16"/>
      <c r="T709" s="17"/>
      <c r="AC709" s="17"/>
    </row>
    <row r="710">
      <c r="B710" s="11">
        <f>IFERROR(__xludf.DUMMYFUNCTION("""COMPUTED_VALUE"""),44991.66666666667)</f>
        <v>44991.66667</v>
      </c>
      <c r="C710" s="9">
        <f>IFERROR(__xludf.DUMMYFUNCTION("""COMPUTED_VALUE"""),117.51)</f>
        <v>117.51</v>
      </c>
      <c r="K710" s="16"/>
      <c r="T710" s="17"/>
      <c r="AC710" s="17"/>
    </row>
    <row r="711">
      <c r="B711" s="11">
        <f>IFERROR(__xludf.DUMMYFUNCTION("""COMPUTED_VALUE"""),44988.66666666667)</f>
        <v>44988.66667</v>
      </c>
      <c r="C711" s="9">
        <f>IFERROR(__xludf.DUMMYFUNCTION("""COMPUTED_VALUE"""),117.74)</f>
        <v>117.74</v>
      </c>
      <c r="K711" s="16"/>
      <c r="T711" s="17"/>
      <c r="AC711" s="17"/>
    </row>
    <row r="712">
      <c r="B712" s="11">
        <f>IFERROR(__xludf.DUMMYFUNCTION("""COMPUTED_VALUE"""),44987.66666666667)</f>
        <v>44987.66667</v>
      </c>
      <c r="C712" s="9">
        <f>IFERROR(__xludf.DUMMYFUNCTION("""COMPUTED_VALUE"""),117.08)</f>
        <v>117.08</v>
      </c>
      <c r="K712" s="16"/>
      <c r="T712" s="17"/>
      <c r="AC712" s="17"/>
    </row>
    <row r="713">
      <c r="B713" s="11">
        <f>IFERROR(__xludf.DUMMYFUNCTION("""COMPUTED_VALUE"""),44986.66666666667)</f>
        <v>44986.66667</v>
      </c>
      <c r="C713" s="9">
        <f>IFERROR(__xludf.DUMMYFUNCTION("""COMPUTED_VALUE"""),115.76)</f>
        <v>115.76</v>
      </c>
      <c r="K713" s="16"/>
      <c r="T713" s="17"/>
      <c r="AC713" s="17"/>
    </row>
    <row r="714">
      <c r="B714" s="11">
        <f>IFERROR(__xludf.DUMMYFUNCTION("""COMPUTED_VALUE"""),44985.66666666667)</f>
        <v>44985.66667</v>
      </c>
      <c r="C714" s="9">
        <f>IFERROR(__xludf.DUMMYFUNCTION("""COMPUTED_VALUE"""),114.71)</f>
        <v>114.71</v>
      </c>
      <c r="K714" s="16"/>
      <c r="T714" s="17"/>
      <c r="AC714" s="17"/>
    </row>
    <row r="715">
      <c r="B715" s="11">
        <f>IFERROR(__xludf.DUMMYFUNCTION("""COMPUTED_VALUE"""),44984.66666666667)</f>
        <v>44984.66667</v>
      </c>
      <c r="C715" s="9">
        <f>IFERROR(__xludf.DUMMYFUNCTION("""COMPUTED_VALUE"""),115.5)</f>
        <v>115.5</v>
      </c>
      <c r="K715" s="16"/>
      <c r="T715" s="17"/>
      <c r="AC715" s="17"/>
    </row>
    <row r="716">
      <c r="B716" s="11">
        <f>IFERROR(__xludf.DUMMYFUNCTION("""COMPUTED_VALUE"""),44981.66666666667)</f>
        <v>44981.66667</v>
      </c>
      <c r="C716" s="9">
        <f>IFERROR(__xludf.DUMMYFUNCTION("""COMPUTED_VALUE"""),115.51)</f>
        <v>115.51</v>
      </c>
      <c r="K716" s="16"/>
      <c r="T716" s="17"/>
      <c r="AC716" s="17"/>
    </row>
    <row r="717">
      <c r="B717" s="11">
        <f>IFERROR(__xludf.DUMMYFUNCTION("""COMPUTED_VALUE"""),44980.66666666667)</f>
        <v>44980.66667</v>
      </c>
      <c r="C717" s="9">
        <f>IFERROR(__xludf.DUMMYFUNCTION("""COMPUTED_VALUE"""),116.15)</f>
        <v>116.15</v>
      </c>
      <c r="K717" s="16"/>
      <c r="T717" s="17"/>
      <c r="AC717" s="17"/>
    </row>
    <row r="718">
      <c r="B718" s="11">
        <f>IFERROR(__xludf.DUMMYFUNCTION("""COMPUTED_VALUE"""),44979.66666666667)</f>
        <v>44979.66667</v>
      </c>
      <c r="C718" s="9">
        <f>IFERROR(__xludf.DUMMYFUNCTION("""COMPUTED_VALUE"""),116.0)</f>
        <v>116</v>
      </c>
      <c r="K718" s="16"/>
      <c r="T718" s="17"/>
      <c r="AC718" s="17"/>
    </row>
    <row r="719">
      <c r="B719" s="11">
        <f>IFERROR(__xludf.DUMMYFUNCTION("""COMPUTED_VALUE"""),44978.66666666667)</f>
        <v>44978.66667</v>
      </c>
      <c r="C719" s="9">
        <f>IFERROR(__xludf.DUMMYFUNCTION("""COMPUTED_VALUE"""),115.68)</f>
        <v>115.68</v>
      </c>
      <c r="K719" s="16"/>
      <c r="T719" s="17"/>
      <c r="AC719" s="17"/>
    </row>
    <row r="720">
      <c r="B720" s="11">
        <f>IFERROR(__xludf.DUMMYFUNCTION("""COMPUTED_VALUE"""),44974.66666666667)</f>
        <v>44974.66667</v>
      </c>
      <c r="C720" s="9">
        <f>IFERROR(__xludf.DUMMYFUNCTION("""COMPUTED_VALUE"""),116.82)</f>
        <v>116.82</v>
      </c>
      <c r="K720" s="16"/>
      <c r="T720" s="17"/>
      <c r="AC720" s="17"/>
    </row>
    <row r="721">
      <c r="B721" s="11">
        <f>IFERROR(__xludf.DUMMYFUNCTION("""COMPUTED_VALUE"""),44973.66666666667)</f>
        <v>44973.66667</v>
      </c>
      <c r="C721" s="9">
        <f>IFERROR(__xludf.DUMMYFUNCTION("""COMPUTED_VALUE"""),116.33)</f>
        <v>116.33</v>
      </c>
      <c r="K721" s="16"/>
      <c r="T721" s="17"/>
      <c r="AC721" s="17"/>
    </row>
    <row r="722">
      <c r="B722" s="11">
        <f>IFERROR(__xludf.DUMMYFUNCTION("""COMPUTED_VALUE"""),44972.66666666667)</f>
        <v>44972.66667</v>
      </c>
      <c r="C722" s="9">
        <f>IFERROR(__xludf.DUMMYFUNCTION("""COMPUTED_VALUE"""),117.58)</f>
        <v>117.58</v>
      </c>
      <c r="K722" s="16"/>
      <c r="T722" s="17"/>
      <c r="AC722" s="17"/>
    </row>
    <row r="723">
      <c r="B723" s="11">
        <f>IFERROR(__xludf.DUMMYFUNCTION("""COMPUTED_VALUE"""),44971.66666666667)</f>
        <v>44971.66667</v>
      </c>
      <c r="C723" s="9">
        <f>IFERROR(__xludf.DUMMYFUNCTION("""COMPUTED_VALUE"""),117.2)</f>
        <v>117.2</v>
      </c>
      <c r="K723" s="16"/>
      <c r="T723" s="17"/>
      <c r="AC723" s="17"/>
    </row>
    <row r="724">
      <c r="B724" s="11">
        <f>IFERROR(__xludf.DUMMYFUNCTION("""COMPUTED_VALUE"""),44970.66666666667)</f>
        <v>44970.66667</v>
      </c>
      <c r="C724" s="9">
        <f>IFERROR(__xludf.DUMMYFUNCTION("""COMPUTED_VALUE"""),116.34)</f>
        <v>116.34</v>
      </c>
      <c r="K724" s="16"/>
      <c r="T724" s="17"/>
      <c r="AC724" s="17"/>
    </row>
    <row r="725">
      <c r="B725" s="11">
        <f>IFERROR(__xludf.DUMMYFUNCTION("""COMPUTED_VALUE"""),44967.66666666667)</f>
        <v>44967.66667</v>
      </c>
      <c r="C725" s="9">
        <f>IFERROR(__xludf.DUMMYFUNCTION("""COMPUTED_VALUE"""),115.58)</f>
        <v>115.58</v>
      </c>
      <c r="K725" s="16"/>
      <c r="T725" s="17"/>
      <c r="AC725" s="17"/>
    </row>
    <row r="726">
      <c r="B726" s="11">
        <f>IFERROR(__xludf.DUMMYFUNCTION("""COMPUTED_VALUE"""),44966.66666666667)</f>
        <v>44966.66667</v>
      </c>
      <c r="C726" s="9">
        <f>IFERROR(__xludf.DUMMYFUNCTION("""COMPUTED_VALUE"""),114.14)</f>
        <v>114.14</v>
      </c>
      <c r="K726" s="16"/>
      <c r="T726" s="17"/>
      <c r="AC726" s="17"/>
    </row>
    <row r="727">
      <c r="B727" s="11">
        <f>IFERROR(__xludf.DUMMYFUNCTION("""COMPUTED_VALUE"""),44965.66666666667)</f>
        <v>44965.66667</v>
      </c>
      <c r="C727" s="9">
        <f>IFERROR(__xludf.DUMMYFUNCTION("""COMPUTED_VALUE"""),114.8)</f>
        <v>114.8</v>
      </c>
      <c r="K727" s="16"/>
      <c r="T727" s="17"/>
      <c r="AC727" s="17"/>
    </row>
    <row r="728">
      <c r="B728" s="11">
        <f>IFERROR(__xludf.DUMMYFUNCTION("""COMPUTED_VALUE"""),44964.66666666667)</f>
        <v>44964.66667</v>
      </c>
      <c r="C728" s="9">
        <f>IFERROR(__xludf.DUMMYFUNCTION("""COMPUTED_VALUE"""),115.29)</f>
        <v>115.29</v>
      </c>
      <c r="K728" s="16"/>
      <c r="T728" s="17"/>
      <c r="AC728" s="17"/>
    </row>
    <row r="729">
      <c r="B729" s="11">
        <f>IFERROR(__xludf.DUMMYFUNCTION("""COMPUTED_VALUE"""),44963.66666666667)</f>
        <v>44963.66667</v>
      </c>
      <c r="C729" s="9">
        <f>IFERROR(__xludf.DUMMYFUNCTION("""COMPUTED_VALUE"""),114.28)</f>
        <v>114.28</v>
      </c>
      <c r="K729" s="16"/>
      <c r="T729" s="17"/>
      <c r="AC729" s="17"/>
    </row>
    <row r="730">
      <c r="B730" s="11">
        <f>IFERROR(__xludf.DUMMYFUNCTION("""COMPUTED_VALUE"""),44960.66666666667)</f>
        <v>44960.66667</v>
      </c>
      <c r="C730" s="9">
        <f>IFERROR(__xludf.DUMMYFUNCTION("""COMPUTED_VALUE"""),113.51)</f>
        <v>113.51</v>
      </c>
      <c r="K730" s="16"/>
      <c r="T730" s="17"/>
      <c r="AC730" s="17"/>
    </row>
    <row r="731">
      <c r="B731" s="11">
        <f>IFERROR(__xludf.DUMMYFUNCTION("""COMPUTED_VALUE"""),44959.66666666667)</f>
        <v>44959.66667</v>
      </c>
      <c r="C731" s="9">
        <f>IFERROR(__xludf.DUMMYFUNCTION("""COMPUTED_VALUE"""),114.13)</f>
        <v>114.13</v>
      </c>
      <c r="K731" s="16"/>
      <c r="T731" s="17"/>
      <c r="AC731" s="17"/>
    </row>
    <row r="732">
      <c r="B732" s="11">
        <f>IFERROR(__xludf.DUMMYFUNCTION("""COMPUTED_VALUE"""),44958.66666666667)</f>
        <v>44958.66667</v>
      </c>
      <c r="C732" s="9">
        <f>IFERROR(__xludf.DUMMYFUNCTION("""COMPUTED_VALUE"""),114.77)</f>
        <v>114.77</v>
      </c>
      <c r="K732" s="16"/>
      <c r="T732" s="17"/>
      <c r="AC732" s="17"/>
    </row>
    <row r="733">
      <c r="B733" s="11">
        <f>IFERROR(__xludf.DUMMYFUNCTION("""COMPUTED_VALUE"""),44957.66666666667)</f>
        <v>44957.66667</v>
      </c>
      <c r="C733" s="9">
        <f>IFERROR(__xludf.DUMMYFUNCTION("""COMPUTED_VALUE"""),114.67)</f>
        <v>114.67</v>
      </c>
      <c r="K733" s="16"/>
      <c r="T733" s="17"/>
      <c r="AC733" s="17"/>
    </row>
    <row r="734">
      <c r="B734" s="11">
        <f>IFERROR(__xludf.DUMMYFUNCTION("""COMPUTED_VALUE"""),44956.66666666667)</f>
        <v>44956.66667</v>
      </c>
      <c r="C734" s="9">
        <f>IFERROR(__xludf.DUMMYFUNCTION("""COMPUTED_VALUE"""),113.19)</f>
        <v>113.19</v>
      </c>
      <c r="K734" s="16"/>
      <c r="T734" s="17"/>
      <c r="AC734" s="17"/>
    </row>
    <row r="735">
      <c r="B735" s="11">
        <f>IFERROR(__xludf.DUMMYFUNCTION("""COMPUTED_VALUE"""),44953.66666666667)</f>
        <v>44953.66667</v>
      </c>
      <c r="C735" s="9">
        <f>IFERROR(__xludf.DUMMYFUNCTION("""COMPUTED_VALUE"""),113.71)</f>
        <v>113.71</v>
      </c>
      <c r="K735" s="16"/>
      <c r="T735" s="17"/>
      <c r="AC735" s="17"/>
    </row>
    <row r="736">
      <c r="B736" s="11">
        <f>IFERROR(__xludf.DUMMYFUNCTION("""COMPUTED_VALUE"""),44952.66666666667)</f>
        <v>44952.66667</v>
      </c>
      <c r="C736" s="9">
        <f>IFERROR(__xludf.DUMMYFUNCTION("""COMPUTED_VALUE"""),113.64)</f>
        <v>113.64</v>
      </c>
      <c r="K736" s="16"/>
      <c r="T736" s="17"/>
      <c r="AC736" s="17"/>
    </row>
    <row r="737">
      <c r="B737" s="11">
        <f>IFERROR(__xludf.DUMMYFUNCTION("""COMPUTED_VALUE"""),44951.66666666667)</f>
        <v>44951.66667</v>
      </c>
      <c r="C737" s="9">
        <f>IFERROR(__xludf.DUMMYFUNCTION("""COMPUTED_VALUE"""),112.68)</f>
        <v>112.68</v>
      </c>
      <c r="K737" s="16"/>
      <c r="T737" s="17"/>
      <c r="AC737" s="17"/>
    </row>
    <row r="738">
      <c r="B738" s="11">
        <f>IFERROR(__xludf.DUMMYFUNCTION("""COMPUTED_VALUE"""),44950.66666666667)</f>
        <v>44950.66667</v>
      </c>
      <c r="C738" s="9">
        <f>IFERROR(__xludf.DUMMYFUNCTION("""COMPUTED_VALUE"""),112.21)</f>
        <v>112.21</v>
      </c>
      <c r="K738" s="16"/>
      <c r="T738" s="17"/>
      <c r="AC738" s="17"/>
    </row>
    <row r="739">
      <c r="B739" s="11">
        <f>IFERROR(__xludf.DUMMYFUNCTION("""COMPUTED_VALUE"""),44949.66666666667)</f>
        <v>44949.66667</v>
      </c>
      <c r="C739" s="9">
        <f>IFERROR(__xludf.DUMMYFUNCTION("""COMPUTED_VALUE"""),110.53)</f>
        <v>110.53</v>
      </c>
      <c r="K739" s="16"/>
      <c r="T739" s="17"/>
      <c r="AC739" s="17"/>
    </row>
    <row r="740">
      <c r="B740" s="11">
        <f>IFERROR(__xludf.DUMMYFUNCTION("""COMPUTED_VALUE"""),44946.66666666667)</f>
        <v>44946.66667</v>
      </c>
      <c r="C740" s="9">
        <f>IFERROR(__xludf.DUMMYFUNCTION("""COMPUTED_VALUE"""),109.35)</f>
        <v>109.35</v>
      </c>
      <c r="K740" s="16"/>
      <c r="T740" s="17"/>
      <c r="AC740" s="17"/>
    </row>
    <row r="741">
      <c r="B741" s="11">
        <f>IFERROR(__xludf.DUMMYFUNCTION("""COMPUTED_VALUE"""),44945.66666666667)</f>
        <v>44945.66667</v>
      </c>
      <c r="C741" s="9">
        <f>IFERROR(__xludf.DUMMYFUNCTION("""COMPUTED_VALUE"""),108.43)</f>
        <v>108.43</v>
      </c>
      <c r="K741" s="16"/>
      <c r="T741" s="17"/>
      <c r="AC741" s="17"/>
    </row>
    <row r="742">
      <c r="B742" s="11">
        <f>IFERROR(__xludf.DUMMYFUNCTION("""COMPUTED_VALUE"""),44944.66666666667)</f>
        <v>44944.66667</v>
      </c>
      <c r="C742" s="9">
        <f>IFERROR(__xludf.DUMMYFUNCTION("""COMPUTED_VALUE"""),109.86)</f>
        <v>109.86</v>
      </c>
      <c r="K742" s="16"/>
      <c r="T742" s="17"/>
      <c r="AC742" s="17"/>
    </row>
    <row r="743">
      <c r="B743" s="11">
        <f>IFERROR(__xludf.DUMMYFUNCTION("""COMPUTED_VALUE"""),44943.66666666667)</f>
        <v>44943.66667</v>
      </c>
      <c r="C743" s="9">
        <f>IFERROR(__xludf.DUMMYFUNCTION("""COMPUTED_VALUE"""),111.79)</f>
        <v>111.79</v>
      </c>
      <c r="K743" s="16"/>
      <c r="T743" s="17"/>
      <c r="AC743" s="17"/>
    </row>
    <row r="744">
      <c r="B744" s="11">
        <f>IFERROR(__xludf.DUMMYFUNCTION("""COMPUTED_VALUE"""),44939.66666666667)</f>
        <v>44939.66667</v>
      </c>
      <c r="C744" s="9">
        <f>IFERROR(__xludf.DUMMYFUNCTION("""COMPUTED_VALUE"""),112.35)</f>
        <v>112.35</v>
      </c>
      <c r="K744" s="16"/>
      <c r="T744" s="17"/>
      <c r="AC744" s="17"/>
    </row>
    <row r="745">
      <c r="B745" s="11">
        <f>IFERROR(__xludf.DUMMYFUNCTION("""COMPUTED_VALUE"""),44938.66666666667)</f>
        <v>44938.66667</v>
      </c>
      <c r="C745" s="9">
        <f>IFERROR(__xludf.DUMMYFUNCTION("""COMPUTED_VALUE"""),113.72)</f>
        <v>113.72</v>
      </c>
      <c r="K745" s="16"/>
      <c r="T745" s="17"/>
      <c r="AC745" s="17"/>
    </row>
    <row r="746">
      <c r="B746" s="11">
        <f>IFERROR(__xludf.DUMMYFUNCTION("""COMPUTED_VALUE"""),44937.66666666667)</f>
        <v>44937.66667</v>
      </c>
      <c r="C746" s="9">
        <f>IFERROR(__xludf.DUMMYFUNCTION("""COMPUTED_VALUE"""),112.83)</f>
        <v>112.83</v>
      </c>
      <c r="K746" s="16"/>
      <c r="T746" s="17"/>
      <c r="AC746" s="17"/>
    </row>
    <row r="747">
      <c r="B747" s="11">
        <f>IFERROR(__xludf.DUMMYFUNCTION("""COMPUTED_VALUE"""),44936.66666666667)</f>
        <v>44936.66667</v>
      </c>
      <c r="C747" s="9">
        <f>IFERROR(__xludf.DUMMYFUNCTION("""COMPUTED_VALUE"""),112.16)</f>
        <v>112.16</v>
      </c>
      <c r="K747" s="16"/>
      <c r="T747" s="17"/>
      <c r="AC747" s="17"/>
    </row>
    <row r="748">
      <c r="B748" s="11">
        <f>IFERROR(__xludf.DUMMYFUNCTION("""COMPUTED_VALUE"""),44935.66666666667)</f>
        <v>44935.66667</v>
      </c>
      <c r="C748" s="9">
        <f>IFERROR(__xludf.DUMMYFUNCTION("""COMPUTED_VALUE"""),111.52)</f>
        <v>111.52</v>
      </c>
      <c r="K748" s="16"/>
      <c r="T748" s="17"/>
      <c r="AC748" s="17"/>
    </row>
    <row r="749">
      <c r="B749" s="11">
        <f>IFERROR(__xludf.DUMMYFUNCTION("""COMPUTED_VALUE"""),44932.66666666667)</f>
        <v>44932.66667</v>
      </c>
      <c r="C749" s="9">
        <f>IFERROR(__xludf.DUMMYFUNCTION("""COMPUTED_VALUE"""),113.69)</f>
        <v>113.69</v>
      </c>
      <c r="K749" s="16"/>
      <c r="T749" s="17"/>
      <c r="AC749" s="17"/>
    </row>
    <row r="750">
      <c r="B750" s="11">
        <f>IFERROR(__xludf.DUMMYFUNCTION("""COMPUTED_VALUE"""),44931.66666666667)</f>
        <v>44931.66667</v>
      </c>
      <c r="C750" s="9">
        <f>IFERROR(__xludf.DUMMYFUNCTION("""COMPUTED_VALUE"""),111.96)</f>
        <v>111.96</v>
      </c>
      <c r="K750" s="16"/>
      <c r="T750" s="17"/>
      <c r="AC750" s="17"/>
    </row>
    <row r="751">
      <c r="B751" s="11">
        <f>IFERROR(__xludf.DUMMYFUNCTION("""COMPUTED_VALUE"""),44930.66666666667)</f>
        <v>44930.66667</v>
      </c>
      <c r="C751" s="9">
        <f>IFERROR(__xludf.DUMMYFUNCTION("""COMPUTED_VALUE"""),112.11)</f>
        <v>112.11</v>
      </c>
      <c r="K751" s="16"/>
      <c r="T751" s="17"/>
      <c r="AC751" s="17"/>
    </row>
    <row r="752">
      <c r="B752" s="11">
        <f>IFERROR(__xludf.DUMMYFUNCTION("""COMPUTED_VALUE"""),44929.66666666667)</f>
        <v>44929.66667</v>
      </c>
      <c r="C752" s="9">
        <f>IFERROR(__xludf.DUMMYFUNCTION("""COMPUTED_VALUE"""),111.47)</f>
        <v>111.47</v>
      </c>
      <c r="K752" s="16"/>
      <c r="T752" s="17"/>
      <c r="AC752" s="17"/>
    </row>
    <row r="753">
      <c r="B753" s="11">
        <f>IFERROR(__xludf.DUMMYFUNCTION("""COMPUTED_VALUE"""),44925.66666666667)</f>
        <v>44925.66667</v>
      </c>
      <c r="C753" s="9">
        <f>IFERROR(__xludf.DUMMYFUNCTION("""COMPUTED_VALUE"""),111.86)</f>
        <v>111.86</v>
      </c>
      <c r="K753" s="16"/>
      <c r="T753" s="17"/>
      <c r="AC753" s="17"/>
    </row>
    <row r="754">
      <c r="B754" s="11">
        <f>IFERROR(__xludf.DUMMYFUNCTION("""COMPUTED_VALUE"""),44924.66666666667)</f>
        <v>44924.66667</v>
      </c>
      <c r="C754" s="9">
        <f>IFERROR(__xludf.DUMMYFUNCTION("""COMPUTED_VALUE"""),111.52)</f>
        <v>111.52</v>
      </c>
      <c r="K754" s="16"/>
      <c r="T754" s="17"/>
      <c r="AC754" s="17"/>
    </row>
    <row r="755">
      <c r="B755" s="11">
        <f>IFERROR(__xludf.DUMMYFUNCTION("""COMPUTED_VALUE"""),44923.66666666667)</f>
        <v>44923.66667</v>
      </c>
      <c r="C755" s="9">
        <f>IFERROR(__xludf.DUMMYFUNCTION("""COMPUTED_VALUE"""),110.38)</f>
        <v>110.38</v>
      </c>
      <c r="K755" s="16"/>
      <c r="T755" s="17"/>
      <c r="AC755" s="17"/>
    </row>
    <row r="756">
      <c r="B756" s="11">
        <f>IFERROR(__xludf.DUMMYFUNCTION("""COMPUTED_VALUE"""),44922.66666666667)</f>
        <v>44922.66667</v>
      </c>
      <c r="C756" s="9">
        <f>IFERROR(__xludf.DUMMYFUNCTION("""COMPUTED_VALUE"""),111.2)</f>
        <v>111.2</v>
      </c>
      <c r="K756" s="16"/>
      <c r="T756" s="17"/>
      <c r="AC756" s="17"/>
    </row>
    <row r="757">
      <c r="B757" s="11">
        <f>IFERROR(__xludf.DUMMYFUNCTION("""COMPUTED_VALUE"""),44918.66666666667)</f>
        <v>44918.66667</v>
      </c>
      <c r="C757" s="9">
        <f>IFERROR(__xludf.DUMMYFUNCTION("""COMPUTED_VALUE"""),110.86)</f>
        <v>110.86</v>
      </c>
      <c r="K757" s="16"/>
      <c r="T757" s="17"/>
      <c r="AC757" s="17"/>
    </row>
    <row r="758">
      <c r="B758" s="11">
        <f>IFERROR(__xludf.DUMMYFUNCTION("""COMPUTED_VALUE"""),44917.66666666667)</f>
        <v>44917.66667</v>
      </c>
      <c r="C758" s="9">
        <f>IFERROR(__xludf.DUMMYFUNCTION("""COMPUTED_VALUE"""),110.08)</f>
        <v>110.08</v>
      </c>
      <c r="K758" s="16"/>
      <c r="T758" s="17"/>
      <c r="AC758" s="17"/>
    </row>
    <row r="759">
      <c r="B759" s="11">
        <f>IFERROR(__xludf.DUMMYFUNCTION("""COMPUTED_VALUE"""),44916.66666666667)</f>
        <v>44916.66667</v>
      </c>
      <c r="C759" s="9">
        <f>IFERROR(__xludf.DUMMYFUNCTION("""COMPUTED_VALUE"""),112.07)</f>
        <v>112.07</v>
      </c>
      <c r="K759" s="16"/>
      <c r="T759" s="17"/>
      <c r="AC759" s="17"/>
    </row>
    <row r="760">
      <c r="B760" s="11">
        <f>IFERROR(__xludf.DUMMYFUNCTION("""COMPUTED_VALUE"""),44915.66666666667)</f>
        <v>44915.66667</v>
      </c>
      <c r="C760" s="9">
        <f>IFERROR(__xludf.DUMMYFUNCTION("""COMPUTED_VALUE"""),110.23)</f>
        <v>110.23</v>
      </c>
      <c r="K760" s="16"/>
      <c r="T760" s="17"/>
      <c r="AC760" s="17"/>
    </row>
    <row r="761">
      <c r="B761" s="11">
        <f>IFERROR(__xludf.DUMMYFUNCTION("""COMPUTED_VALUE"""),44914.66666666667)</f>
        <v>44914.66667</v>
      </c>
      <c r="C761" s="9">
        <f>IFERROR(__xludf.DUMMYFUNCTION("""COMPUTED_VALUE"""),109.33)</f>
        <v>109.33</v>
      </c>
      <c r="K761" s="16"/>
      <c r="T761" s="17"/>
      <c r="AC761" s="17"/>
    </row>
    <row r="762">
      <c r="B762" s="11">
        <f>IFERROR(__xludf.DUMMYFUNCTION("""COMPUTED_VALUE"""),44911.66666666667)</f>
        <v>44911.66667</v>
      </c>
      <c r="C762" s="9">
        <f>IFERROR(__xludf.DUMMYFUNCTION("""COMPUTED_VALUE"""),109.98)</f>
        <v>109.98</v>
      </c>
      <c r="K762" s="16"/>
      <c r="T762" s="17"/>
      <c r="AC762" s="17"/>
    </row>
    <row r="763">
      <c r="B763" s="11">
        <f>IFERROR(__xludf.DUMMYFUNCTION("""COMPUTED_VALUE"""),44910.66666666667)</f>
        <v>44910.66667</v>
      </c>
      <c r="C763" s="9">
        <f>IFERROR(__xludf.DUMMYFUNCTION("""COMPUTED_VALUE"""),109.51)</f>
        <v>109.51</v>
      </c>
      <c r="K763" s="16"/>
      <c r="T763" s="17"/>
      <c r="AC763" s="17"/>
    </row>
    <row r="764">
      <c r="B764" s="11">
        <f>IFERROR(__xludf.DUMMYFUNCTION("""COMPUTED_VALUE"""),44909.66666666667)</f>
        <v>44909.66667</v>
      </c>
      <c r="C764" s="9">
        <f>IFERROR(__xludf.DUMMYFUNCTION("""COMPUTED_VALUE"""),111.65)</f>
        <v>111.65</v>
      </c>
      <c r="K764" s="16"/>
      <c r="T764" s="17"/>
      <c r="AC764" s="17"/>
    </row>
    <row r="765">
      <c r="B765" s="11">
        <f>IFERROR(__xludf.DUMMYFUNCTION("""COMPUTED_VALUE"""),44908.66666666667)</f>
        <v>44908.66667</v>
      </c>
      <c r="C765" s="9">
        <f>IFERROR(__xludf.DUMMYFUNCTION("""COMPUTED_VALUE"""),111.36)</f>
        <v>111.36</v>
      </c>
      <c r="K765" s="16"/>
      <c r="T765" s="17"/>
      <c r="AC765" s="17"/>
    </row>
    <row r="766">
      <c r="B766" s="11">
        <f>IFERROR(__xludf.DUMMYFUNCTION("""COMPUTED_VALUE"""),44907.66666666667)</f>
        <v>44907.66667</v>
      </c>
      <c r="C766" s="9">
        <f>IFERROR(__xludf.DUMMYFUNCTION("""COMPUTED_VALUE"""),111.69)</f>
        <v>111.69</v>
      </c>
      <c r="K766" s="16"/>
      <c r="T766" s="17"/>
      <c r="AC766" s="17"/>
    </row>
    <row r="767">
      <c r="B767" s="11">
        <f>IFERROR(__xludf.DUMMYFUNCTION("""COMPUTED_VALUE"""),44904.66666666667)</f>
        <v>44904.66667</v>
      </c>
      <c r="C767" s="9">
        <f>IFERROR(__xludf.DUMMYFUNCTION("""COMPUTED_VALUE"""),110.22)</f>
        <v>110.22</v>
      </c>
      <c r="K767" s="16"/>
      <c r="T767" s="17"/>
      <c r="AC767" s="17"/>
    </row>
    <row r="768">
      <c r="B768" s="11">
        <f>IFERROR(__xludf.DUMMYFUNCTION("""COMPUTED_VALUE"""),44903.66666666667)</f>
        <v>44903.66667</v>
      </c>
      <c r="C768" s="9">
        <f>IFERROR(__xludf.DUMMYFUNCTION("""COMPUTED_VALUE"""),111.04)</f>
        <v>111.04</v>
      </c>
      <c r="K768" s="16"/>
      <c r="T768" s="17"/>
      <c r="AC768" s="17"/>
    </row>
    <row r="769">
      <c r="B769" s="11">
        <f>IFERROR(__xludf.DUMMYFUNCTION("""COMPUTED_VALUE"""),44902.66666666667)</f>
        <v>44902.66667</v>
      </c>
      <c r="C769" s="9">
        <f>IFERROR(__xludf.DUMMYFUNCTION("""COMPUTED_VALUE"""),110.47)</f>
        <v>110.47</v>
      </c>
      <c r="K769" s="16"/>
      <c r="T769" s="17"/>
      <c r="AC769" s="17"/>
    </row>
    <row r="770">
      <c r="B770" s="11">
        <f>IFERROR(__xludf.DUMMYFUNCTION("""COMPUTED_VALUE"""),44901.66666666667)</f>
        <v>44901.66667</v>
      </c>
      <c r="C770" s="9">
        <f>IFERROR(__xludf.DUMMYFUNCTION("""COMPUTED_VALUE"""),110.86)</f>
        <v>110.86</v>
      </c>
      <c r="K770" s="16"/>
      <c r="T770" s="17"/>
      <c r="AC770" s="17"/>
    </row>
    <row r="771">
      <c r="B771" s="11">
        <f>IFERROR(__xludf.DUMMYFUNCTION("""COMPUTED_VALUE"""),44900.66666666667)</f>
        <v>44900.66667</v>
      </c>
      <c r="C771" s="9">
        <f>IFERROR(__xludf.DUMMYFUNCTION("""COMPUTED_VALUE"""),112.94)</f>
        <v>112.94</v>
      </c>
      <c r="K771" s="16"/>
      <c r="T771" s="17"/>
      <c r="AC771" s="17"/>
    </row>
    <row r="772">
      <c r="B772" s="11">
        <f>IFERROR(__xludf.DUMMYFUNCTION("""COMPUTED_VALUE"""),44897.66666666667)</f>
        <v>44897.66667</v>
      </c>
      <c r="C772" s="9">
        <f>IFERROR(__xludf.DUMMYFUNCTION("""COMPUTED_VALUE"""),114.11)</f>
        <v>114.11</v>
      </c>
      <c r="K772" s="16"/>
      <c r="T772" s="17"/>
      <c r="AC772" s="17"/>
    </row>
    <row r="773">
      <c r="B773" s="11">
        <f>IFERROR(__xludf.DUMMYFUNCTION("""COMPUTED_VALUE"""),44896.66666666667)</f>
        <v>44896.66667</v>
      </c>
      <c r="C773" s="9">
        <f>IFERROR(__xludf.DUMMYFUNCTION("""COMPUTED_VALUE"""),112.01)</f>
        <v>112.01</v>
      </c>
      <c r="K773" s="16"/>
      <c r="T773" s="17"/>
      <c r="AC773" s="17"/>
    </row>
    <row r="774">
      <c r="B774" s="11">
        <f>IFERROR(__xludf.DUMMYFUNCTION("""COMPUTED_VALUE"""),44895.66666666667)</f>
        <v>44895.66667</v>
      </c>
      <c r="C774" s="9">
        <f>IFERROR(__xludf.DUMMYFUNCTION("""COMPUTED_VALUE"""),111.92)</f>
        <v>111.92</v>
      </c>
      <c r="K774" s="16"/>
      <c r="T774" s="17"/>
      <c r="AC774" s="17"/>
    </row>
    <row r="775">
      <c r="B775" s="11">
        <f>IFERROR(__xludf.DUMMYFUNCTION("""COMPUTED_VALUE"""),44894.66666666667)</f>
        <v>44894.66667</v>
      </c>
      <c r="C775" s="9">
        <f>IFERROR(__xludf.DUMMYFUNCTION("""COMPUTED_VALUE"""),110.0)</f>
        <v>110</v>
      </c>
      <c r="K775" s="16"/>
      <c r="T775" s="17"/>
      <c r="AC775" s="17"/>
    </row>
    <row r="776">
      <c r="B776" s="11">
        <f>IFERROR(__xludf.DUMMYFUNCTION("""COMPUTED_VALUE"""),44893.66666666667)</f>
        <v>44893.66667</v>
      </c>
      <c r="C776" s="9">
        <f>IFERROR(__xludf.DUMMYFUNCTION("""COMPUTED_VALUE"""),109.8)</f>
        <v>109.8</v>
      </c>
      <c r="K776" s="16"/>
      <c r="T776" s="17"/>
      <c r="AC776" s="17"/>
    </row>
    <row r="777">
      <c r="B777" s="11">
        <f>IFERROR(__xludf.DUMMYFUNCTION("""COMPUTED_VALUE"""),44890.5)</f>
        <v>44890.5</v>
      </c>
      <c r="C777" s="9">
        <f>IFERROR(__xludf.DUMMYFUNCTION("""COMPUTED_VALUE"""),111.63)</f>
        <v>111.63</v>
      </c>
      <c r="K777" s="16"/>
      <c r="T777" s="17"/>
      <c r="AC777" s="17"/>
    </row>
    <row r="778">
      <c r="B778" s="11">
        <f>IFERROR(__xludf.DUMMYFUNCTION("""COMPUTED_VALUE"""),44888.66666666667)</f>
        <v>44888.66667</v>
      </c>
      <c r="C778" s="9">
        <f>IFERROR(__xludf.DUMMYFUNCTION("""COMPUTED_VALUE"""),111.02)</f>
        <v>111.02</v>
      </c>
      <c r="K778" s="16"/>
      <c r="T778" s="17"/>
      <c r="AC778" s="17"/>
    </row>
    <row r="779">
      <c r="B779" s="11">
        <f>IFERROR(__xludf.DUMMYFUNCTION("""COMPUTED_VALUE"""),44887.66666666667)</f>
        <v>44887.66667</v>
      </c>
      <c r="C779" s="9">
        <f>IFERROR(__xludf.DUMMYFUNCTION("""COMPUTED_VALUE"""),110.8)</f>
        <v>110.8</v>
      </c>
      <c r="K779" s="16"/>
      <c r="T779" s="17"/>
      <c r="AC779" s="17"/>
    </row>
    <row r="780">
      <c r="B780" s="11">
        <f>IFERROR(__xludf.DUMMYFUNCTION("""COMPUTED_VALUE"""),44886.66666666667)</f>
        <v>44886.66667</v>
      </c>
      <c r="C780" s="9">
        <f>IFERROR(__xludf.DUMMYFUNCTION("""COMPUTED_VALUE"""),110.38)</f>
        <v>110.38</v>
      </c>
      <c r="K780" s="16"/>
      <c r="T780" s="17"/>
      <c r="AC780" s="17"/>
    </row>
    <row r="781">
      <c r="B781" s="11">
        <f>IFERROR(__xludf.DUMMYFUNCTION("""COMPUTED_VALUE"""),44883.66666666667)</f>
        <v>44883.66667</v>
      </c>
      <c r="C781" s="9">
        <f>IFERROR(__xludf.DUMMYFUNCTION("""COMPUTED_VALUE"""),109.83)</f>
        <v>109.83</v>
      </c>
      <c r="K781" s="16"/>
      <c r="T781" s="17"/>
      <c r="AC781" s="17"/>
    </row>
    <row r="782">
      <c r="B782" s="11">
        <f>IFERROR(__xludf.DUMMYFUNCTION("""COMPUTED_VALUE"""),44882.66666666667)</f>
        <v>44882.66667</v>
      </c>
      <c r="C782" s="9">
        <f>IFERROR(__xludf.DUMMYFUNCTION("""COMPUTED_VALUE"""),109.01)</f>
        <v>109.01</v>
      </c>
      <c r="K782" s="16"/>
      <c r="T782" s="17"/>
      <c r="AC782" s="17"/>
    </row>
    <row r="783">
      <c r="B783" s="11">
        <f>IFERROR(__xludf.DUMMYFUNCTION("""COMPUTED_VALUE"""),44881.66666666667)</f>
        <v>44881.66667</v>
      </c>
      <c r="C783" s="9">
        <f>IFERROR(__xludf.DUMMYFUNCTION("""COMPUTED_VALUE"""),108.4)</f>
        <v>108.4</v>
      </c>
      <c r="K783" s="16"/>
      <c r="T783" s="17"/>
      <c r="AC783" s="17"/>
    </row>
    <row r="784">
      <c r="B784" s="11">
        <f>IFERROR(__xludf.DUMMYFUNCTION("""COMPUTED_VALUE"""),44880.66666666667)</f>
        <v>44880.66667</v>
      </c>
      <c r="C784" s="9">
        <f>IFERROR(__xludf.DUMMYFUNCTION("""COMPUTED_VALUE"""),109.17)</f>
        <v>109.17</v>
      </c>
      <c r="K784" s="16"/>
      <c r="T784" s="17"/>
      <c r="AC784" s="17"/>
    </row>
    <row r="785">
      <c r="B785" s="11">
        <f>IFERROR(__xludf.DUMMYFUNCTION("""COMPUTED_VALUE"""),44879.66666666667)</f>
        <v>44879.66667</v>
      </c>
      <c r="C785" s="9">
        <f>IFERROR(__xludf.DUMMYFUNCTION("""COMPUTED_VALUE"""),107.41)</f>
        <v>107.41</v>
      </c>
      <c r="K785" s="16"/>
      <c r="T785" s="17"/>
      <c r="AC785" s="17"/>
    </row>
    <row r="786">
      <c r="B786" s="11">
        <f>IFERROR(__xludf.DUMMYFUNCTION("""COMPUTED_VALUE"""),44876.66666666667)</f>
        <v>44876.66667</v>
      </c>
      <c r="C786" s="9">
        <f>IFERROR(__xludf.DUMMYFUNCTION("""COMPUTED_VALUE"""),108.73)</f>
        <v>108.73</v>
      </c>
      <c r="K786" s="16"/>
      <c r="T786" s="17"/>
      <c r="AC786" s="17"/>
    </row>
    <row r="787">
      <c r="B787" s="11">
        <f>IFERROR(__xludf.DUMMYFUNCTION("""COMPUTED_VALUE"""),44875.66666666667)</f>
        <v>44875.66667</v>
      </c>
      <c r="C787" s="9">
        <f>IFERROR(__xludf.DUMMYFUNCTION("""COMPUTED_VALUE"""),112.55)</f>
        <v>112.55</v>
      </c>
      <c r="K787" s="16"/>
      <c r="T787" s="17"/>
      <c r="AC787" s="17"/>
    </row>
    <row r="788">
      <c r="B788" s="11">
        <f>IFERROR(__xludf.DUMMYFUNCTION("""COMPUTED_VALUE"""),44874.66666666667)</f>
        <v>44874.66667</v>
      </c>
      <c r="C788" s="9">
        <f>IFERROR(__xludf.DUMMYFUNCTION("""COMPUTED_VALUE"""),108.81)</f>
        <v>108.81</v>
      </c>
      <c r="K788" s="16"/>
      <c r="T788" s="17"/>
      <c r="AC788" s="17"/>
    </row>
    <row r="789">
      <c r="B789" s="11">
        <f>IFERROR(__xludf.DUMMYFUNCTION("""COMPUTED_VALUE"""),44873.66666666667)</f>
        <v>44873.66667</v>
      </c>
      <c r="C789" s="9">
        <f>IFERROR(__xludf.DUMMYFUNCTION("""COMPUTED_VALUE"""),109.56)</f>
        <v>109.56</v>
      </c>
      <c r="K789" s="16"/>
      <c r="T789" s="17"/>
      <c r="AC789" s="17"/>
    </row>
    <row r="790">
      <c r="B790" s="11">
        <f>IFERROR(__xludf.DUMMYFUNCTION("""COMPUTED_VALUE"""),44872.66666666667)</f>
        <v>44872.66667</v>
      </c>
      <c r="C790" s="9">
        <f>IFERROR(__xludf.DUMMYFUNCTION("""COMPUTED_VALUE"""),108.67)</f>
        <v>108.67</v>
      </c>
      <c r="K790" s="16"/>
      <c r="T790" s="17"/>
      <c r="AC790" s="17"/>
    </row>
    <row r="791">
      <c r="B791" s="11">
        <f>IFERROR(__xludf.DUMMYFUNCTION("""COMPUTED_VALUE"""),44869.66666666667)</f>
        <v>44869.66667</v>
      </c>
      <c r="C791" s="9">
        <f>IFERROR(__xludf.DUMMYFUNCTION("""COMPUTED_VALUE"""),107.17)</f>
        <v>107.17</v>
      </c>
      <c r="K791" s="16"/>
      <c r="T791" s="17"/>
      <c r="AC791" s="17"/>
    </row>
    <row r="792">
      <c r="B792" s="11">
        <f>IFERROR(__xludf.DUMMYFUNCTION("""COMPUTED_VALUE"""),44868.66666666667)</f>
        <v>44868.66667</v>
      </c>
      <c r="C792" s="9">
        <f>IFERROR(__xludf.DUMMYFUNCTION("""COMPUTED_VALUE"""),106.54)</f>
        <v>106.54</v>
      </c>
      <c r="K792" s="16"/>
      <c r="T792" s="17"/>
      <c r="AC792" s="17"/>
    </row>
    <row r="793">
      <c r="B793" s="11">
        <f>IFERROR(__xludf.DUMMYFUNCTION("""COMPUTED_VALUE"""),44867.66666666667)</f>
        <v>44867.66667</v>
      </c>
      <c r="C793" s="9">
        <f>IFERROR(__xludf.DUMMYFUNCTION("""COMPUTED_VALUE"""),105.79)</f>
        <v>105.79</v>
      </c>
      <c r="K793" s="16"/>
      <c r="T793" s="17"/>
      <c r="AC793" s="17"/>
    </row>
    <row r="794">
      <c r="B794" s="11">
        <f>IFERROR(__xludf.DUMMYFUNCTION("""COMPUTED_VALUE"""),44866.66666666667)</f>
        <v>44866.66667</v>
      </c>
      <c r="C794" s="9">
        <f>IFERROR(__xludf.DUMMYFUNCTION("""COMPUTED_VALUE"""),107.34)</f>
        <v>107.34</v>
      </c>
      <c r="K794" s="16"/>
      <c r="T794" s="17"/>
      <c r="AC794" s="17"/>
    </row>
    <row r="795">
      <c r="B795" s="11">
        <f>IFERROR(__xludf.DUMMYFUNCTION("""COMPUTED_VALUE"""),44865.66666666667)</f>
        <v>44865.66667</v>
      </c>
      <c r="C795" s="9">
        <f>IFERROR(__xludf.DUMMYFUNCTION("""COMPUTED_VALUE"""),107.21)</f>
        <v>107.21</v>
      </c>
      <c r="K795" s="16"/>
      <c r="T795" s="17"/>
      <c r="AC795" s="17"/>
    </row>
    <row r="796">
      <c r="B796" s="11">
        <f>IFERROR(__xludf.DUMMYFUNCTION("""COMPUTED_VALUE"""),44862.66666666667)</f>
        <v>44862.66667</v>
      </c>
      <c r="C796" s="9">
        <f>IFERROR(__xludf.DUMMYFUNCTION("""COMPUTED_VALUE"""),107.58)</f>
        <v>107.58</v>
      </c>
      <c r="K796" s="16"/>
      <c r="T796" s="17"/>
      <c r="AC796" s="17"/>
    </row>
    <row r="797">
      <c r="B797" s="11">
        <f>IFERROR(__xludf.DUMMYFUNCTION("""COMPUTED_VALUE"""),44861.66666666667)</f>
        <v>44861.66667</v>
      </c>
      <c r="C797" s="9">
        <f>IFERROR(__xludf.DUMMYFUNCTION("""COMPUTED_VALUE"""),104.8)</f>
        <v>104.8</v>
      </c>
      <c r="K797" s="16"/>
      <c r="T797" s="17"/>
      <c r="AC797" s="17"/>
    </row>
    <row r="798">
      <c r="B798" s="11">
        <f>IFERROR(__xludf.DUMMYFUNCTION("""COMPUTED_VALUE"""),44860.66666666667)</f>
        <v>44860.66667</v>
      </c>
      <c r="C798" s="9">
        <f>IFERROR(__xludf.DUMMYFUNCTION("""COMPUTED_VALUE"""),103.06)</f>
        <v>103.06</v>
      </c>
      <c r="K798" s="16"/>
      <c r="T798" s="17"/>
      <c r="AC798" s="17"/>
    </row>
    <row r="799">
      <c r="B799" s="11">
        <f>IFERROR(__xludf.DUMMYFUNCTION("""COMPUTED_VALUE"""),44859.66666666667)</f>
        <v>44859.66667</v>
      </c>
      <c r="C799" s="9">
        <f>IFERROR(__xludf.DUMMYFUNCTION("""COMPUTED_VALUE"""),103.49)</f>
        <v>103.49</v>
      </c>
      <c r="K799" s="16"/>
      <c r="T799" s="17"/>
      <c r="AC799" s="17"/>
    </row>
    <row r="800">
      <c r="B800" s="11">
        <f>IFERROR(__xludf.DUMMYFUNCTION("""COMPUTED_VALUE"""),44858.66666666667)</f>
        <v>44858.66667</v>
      </c>
      <c r="C800" s="9">
        <f>IFERROR(__xludf.DUMMYFUNCTION("""COMPUTED_VALUE"""),103.05)</f>
        <v>103.05</v>
      </c>
      <c r="K800" s="16"/>
      <c r="T800" s="17"/>
      <c r="AC800" s="17"/>
    </row>
    <row r="801">
      <c r="B801" s="11">
        <f>IFERROR(__xludf.DUMMYFUNCTION("""COMPUTED_VALUE"""),44855.66666666667)</f>
        <v>44855.66667</v>
      </c>
      <c r="C801" s="9">
        <f>IFERROR(__xludf.DUMMYFUNCTION("""COMPUTED_VALUE"""),101.95)</f>
        <v>101.95</v>
      </c>
      <c r="K801" s="16"/>
      <c r="T801" s="17"/>
      <c r="AC801" s="17"/>
    </row>
    <row r="802">
      <c r="B802" s="11">
        <f>IFERROR(__xludf.DUMMYFUNCTION("""COMPUTED_VALUE"""),44854.66666666667)</f>
        <v>44854.66667</v>
      </c>
      <c r="C802" s="9">
        <f>IFERROR(__xludf.DUMMYFUNCTION("""COMPUTED_VALUE"""),99.64)</f>
        <v>99.64</v>
      </c>
      <c r="K802" s="16"/>
      <c r="T802" s="17"/>
      <c r="AC802" s="17"/>
    </row>
    <row r="803">
      <c r="B803" s="11">
        <f>IFERROR(__xludf.DUMMYFUNCTION("""COMPUTED_VALUE"""),44853.66666666667)</f>
        <v>44853.66667</v>
      </c>
      <c r="C803" s="9">
        <f>IFERROR(__xludf.DUMMYFUNCTION("""COMPUTED_VALUE"""),99.83)</f>
        <v>99.83</v>
      </c>
      <c r="K803" s="16"/>
      <c r="T803" s="17"/>
      <c r="AC803" s="17"/>
    </row>
    <row r="804">
      <c r="B804" s="11">
        <f>IFERROR(__xludf.DUMMYFUNCTION("""COMPUTED_VALUE"""),44852.66666666667)</f>
        <v>44852.66667</v>
      </c>
      <c r="C804" s="9">
        <f>IFERROR(__xludf.DUMMYFUNCTION("""COMPUTED_VALUE"""),99.34)</f>
        <v>99.34</v>
      </c>
      <c r="K804" s="16"/>
      <c r="T804" s="17"/>
      <c r="AC804" s="17"/>
    </row>
    <row r="805">
      <c r="B805" s="11">
        <f>IFERROR(__xludf.DUMMYFUNCTION("""COMPUTED_VALUE"""),44851.66666666667)</f>
        <v>44851.66667</v>
      </c>
      <c r="C805" s="9">
        <f>IFERROR(__xludf.DUMMYFUNCTION("""COMPUTED_VALUE"""),95.52)</f>
        <v>95.52</v>
      </c>
      <c r="K805" s="16"/>
      <c r="T805" s="17"/>
      <c r="AC805" s="17"/>
    </row>
    <row r="806">
      <c r="B806" s="11">
        <f>IFERROR(__xludf.DUMMYFUNCTION("""COMPUTED_VALUE"""),44848.66666666667)</f>
        <v>44848.66667</v>
      </c>
      <c r="C806" s="9">
        <f>IFERROR(__xludf.DUMMYFUNCTION("""COMPUTED_VALUE"""),93.07)</f>
        <v>93.07</v>
      </c>
      <c r="K806" s="16"/>
      <c r="T806" s="17"/>
      <c r="AC806" s="17"/>
    </row>
    <row r="807">
      <c r="B807" s="11">
        <f>IFERROR(__xludf.DUMMYFUNCTION("""COMPUTED_VALUE"""),44847.66666666667)</f>
        <v>44847.66667</v>
      </c>
      <c r="C807" s="9">
        <f>IFERROR(__xludf.DUMMYFUNCTION("""COMPUTED_VALUE"""),95.7)</f>
        <v>95.7</v>
      </c>
      <c r="K807" s="16"/>
      <c r="T807" s="17"/>
      <c r="AC807" s="17"/>
    </row>
    <row r="808">
      <c r="B808" s="11">
        <f>IFERROR(__xludf.DUMMYFUNCTION("""COMPUTED_VALUE"""),44846.66666666667)</f>
        <v>44846.66667</v>
      </c>
      <c r="C808" s="9">
        <f>IFERROR(__xludf.DUMMYFUNCTION("""COMPUTED_VALUE"""),93.86)</f>
        <v>93.86</v>
      </c>
      <c r="K808" s="16"/>
      <c r="T808" s="17"/>
      <c r="AC808" s="17"/>
    </row>
    <row r="809">
      <c r="B809" s="11">
        <f>IFERROR(__xludf.DUMMYFUNCTION("""COMPUTED_VALUE"""),44845.66666666667)</f>
        <v>44845.66667</v>
      </c>
      <c r="C809" s="9">
        <f>IFERROR(__xludf.DUMMYFUNCTION("""COMPUTED_VALUE"""),96.01)</f>
        <v>96.01</v>
      </c>
      <c r="K809" s="16"/>
      <c r="T809" s="17"/>
      <c r="AC809" s="17"/>
    </row>
    <row r="810">
      <c r="B810" s="11">
        <f>IFERROR(__xludf.DUMMYFUNCTION("""COMPUTED_VALUE"""),44844.66666666667)</f>
        <v>44844.66667</v>
      </c>
      <c r="C810" s="9">
        <f>IFERROR(__xludf.DUMMYFUNCTION("""COMPUTED_VALUE"""),96.04)</f>
        <v>96.04</v>
      </c>
      <c r="K810" s="16"/>
      <c r="T810" s="17"/>
      <c r="AC810" s="17"/>
    </row>
    <row r="811">
      <c r="B811" s="11">
        <f>IFERROR(__xludf.DUMMYFUNCTION("""COMPUTED_VALUE"""),44841.66666666667)</f>
        <v>44841.66667</v>
      </c>
      <c r="C811" s="9">
        <f>IFERROR(__xludf.DUMMYFUNCTION("""COMPUTED_VALUE"""),95.21)</f>
        <v>95.21</v>
      </c>
      <c r="K811" s="16"/>
      <c r="T811" s="17"/>
      <c r="AC811" s="17"/>
    </row>
    <row r="812">
      <c r="B812" s="11">
        <f>IFERROR(__xludf.DUMMYFUNCTION("""COMPUTED_VALUE"""),44840.66666666667)</f>
        <v>44840.66667</v>
      </c>
      <c r="C812" s="9">
        <f>IFERROR(__xludf.DUMMYFUNCTION("""COMPUTED_VALUE"""),95.61)</f>
        <v>95.61</v>
      </c>
      <c r="K812" s="16"/>
      <c r="T812" s="17"/>
      <c r="AC812" s="17"/>
    </row>
    <row r="813">
      <c r="B813" s="11">
        <f>IFERROR(__xludf.DUMMYFUNCTION("""COMPUTED_VALUE"""),44839.66666666667)</f>
        <v>44839.66667</v>
      </c>
      <c r="C813" s="9">
        <f>IFERROR(__xludf.DUMMYFUNCTION("""COMPUTED_VALUE"""),96.24)</f>
        <v>96.24</v>
      </c>
      <c r="K813" s="16"/>
      <c r="T813" s="17"/>
      <c r="AC813" s="17"/>
    </row>
    <row r="814">
      <c r="B814" s="11">
        <f>IFERROR(__xludf.DUMMYFUNCTION("""COMPUTED_VALUE"""),44838.66666666667)</f>
        <v>44838.66667</v>
      </c>
      <c r="C814" s="9">
        <f>IFERROR(__xludf.DUMMYFUNCTION("""COMPUTED_VALUE"""),96.94)</f>
        <v>96.94</v>
      </c>
      <c r="K814" s="16"/>
      <c r="T814" s="17"/>
      <c r="AC814" s="17"/>
    </row>
    <row r="815">
      <c r="B815" s="11">
        <f>IFERROR(__xludf.DUMMYFUNCTION("""COMPUTED_VALUE"""),44837.66666666667)</f>
        <v>44837.66667</v>
      </c>
      <c r="C815" s="9">
        <f>IFERROR(__xludf.DUMMYFUNCTION("""COMPUTED_VALUE"""),93.83)</f>
        <v>93.83</v>
      </c>
      <c r="K815" s="16"/>
      <c r="T815" s="17"/>
      <c r="AC815" s="17"/>
    </row>
    <row r="816">
      <c r="B816" s="11">
        <f>IFERROR(__xludf.DUMMYFUNCTION("""COMPUTED_VALUE"""),44834.66666666667)</f>
        <v>44834.66667</v>
      </c>
      <c r="C816" s="9">
        <f>IFERROR(__xludf.DUMMYFUNCTION("""COMPUTED_VALUE"""),91.19)</f>
        <v>91.19</v>
      </c>
      <c r="K816" s="16"/>
      <c r="T816" s="17"/>
      <c r="AC816" s="17"/>
    </row>
    <row r="817">
      <c r="B817" s="11">
        <f>IFERROR(__xludf.DUMMYFUNCTION("""COMPUTED_VALUE"""),44833.66666666667)</f>
        <v>44833.66667</v>
      </c>
      <c r="C817" s="9">
        <f>IFERROR(__xludf.DUMMYFUNCTION("""COMPUTED_VALUE"""),91.91)</f>
        <v>91.91</v>
      </c>
      <c r="K817" s="16"/>
      <c r="T817" s="17"/>
      <c r="AC817" s="17"/>
    </row>
    <row r="818">
      <c r="B818" s="11">
        <f>IFERROR(__xludf.DUMMYFUNCTION("""COMPUTED_VALUE"""),44832.66666666667)</f>
        <v>44832.66667</v>
      </c>
      <c r="C818" s="9">
        <f>IFERROR(__xludf.DUMMYFUNCTION("""COMPUTED_VALUE"""),94.05)</f>
        <v>94.05</v>
      </c>
      <c r="K818" s="16"/>
      <c r="T818" s="17"/>
      <c r="AC818" s="17"/>
    </row>
    <row r="819">
      <c r="B819" s="11">
        <f>IFERROR(__xludf.DUMMYFUNCTION("""COMPUTED_VALUE"""),44831.66666666667)</f>
        <v>44831.66667</v>
      </c>
      <c r="C819" s="9">
        <f>IFERROR(__xludf.DUMMYFUNCTION("""COMPUTED_VALUE"""),92.23)</f>
        <v>92.23</v>
      </c>
      <c r="K819" s="16"/>
      <c r="T819" s="17"/>
      <c r="AC819" s="17"/>
    </row>
    <row r="820">
      <c r="B820" s="11">
        <f>IFERROR(__xludf.DUMMYFUNCTION("""COMPUTED_VALUE"""),44830.66666666667)</f>
        <v>44830.66667</v>
      </c>
      <c r="C820" s="9">
        <f>IFERROR(__xludf.DUMMYFUNCTION("""COMPUTED_VALUE"""),92.71)</f>
        <v>92.71</v>
      </c>
      <c r="K820" s="16"/>
      <c r="T820" s="17"/>
      <c r="AC820" s="17"/>
    </row>
    <row r="821">
      <c r="B821" s="11">
        <f>IFERROR(__xludf.DUMMYFUNCTION("""COMPUTED_VALUE"""),44827.66666666667)</f>
        <v>44827.66667</v>
      </c>
      <c r="C821" s="9">
        <f>IFERROR(__xludf.DUMMYFUNCTION("""COMPUTED_VALUE"""),94.53)</f>
        <v>94.53</v>
      </c>
      <c r="K821" s="16"/>
      <c r="T821" s="17"/>
      <c r="AC821" s="17"/>
    </row>
    <row r="822">
      <c r="B822" s="11">
        <f>IFERROR(__xludf.DUMMYFUNCTION("""COMPUTED_VALUE"""),44826.66666666667)</f>
        <v>44826.66667</v>
      </c>
      <c r="C822" s="9">
        <f>IFERROR(__xludf.DUMMYFUNCTION("""COMPUTED_VALUE"""),97.04)</f>
        <v>97.04</v>
      </c>
      <c r="K822" s="16"/>
      <c r="T822" s="17"/>
      <c r="AC822" s="17"/>
    </row>
    <row r="823">
      <c r="B823" s="11">
        <f>IFERROR(__xludf.DUMMYFUNCTION("""COMPUTED_VALUE"""),44825.66666666667)</f>
        <v>44825.66667</v>
      </c>
      <c r="C823" s="9">
        <f>IFERROR(__xludf.DUMMYFUNCTION("""COMPUTED_VALUE"""),98.12)</f>
        <v>98.12</v>
      </c>
      <c r="K823" s="16"/>
      <c r="T823" s="17"/>
      <c r="AC823" s="17"/>
    </row>
    <row r="824">
      <c r="B824" s="11">
        <f>IFERROR(__xludf.DUMMYFUNCTION("""COMPUTED_VALUE"""),44824.66666666667)</f>
        <v>44824.66667</v>
      </c>
      <c r="C824" s="9">
        <f>IFERROR(__xludf.DUMMYFUNCTION("""COMPUTED_VALUE"""),99.1)</f>
        <v>99.1</v>
      </c>
      <c r="K824" s="16"/>
      <c r="T824" s="17"/>
      <c r="AC824" s="17"/>
    </row>
    <row r="825">
      <c r="B825" s="11">
        <f>IFERROR(__xludf.DUMMYFUNCTION("""COMPUTED_VALUE"""),44823.66666666667)</f>
        <v>44823.66667</v>
      </c>
      <c r="C825" s="9">
        <f>IFERROR(__xludf.DUMMYFUNCTION("""COMPUTED_VALUE"""),99.23)</f>
        <v>99.23</v>
      </c>
      <c r="K825" s="16"/>
      <c r="T825" s="17"/>
      <c r="AC825" s="17"/>
    </row>
    <row r="826">
      <c r="B826" s="11">
        <f>IFERROR(__xludf.DUMMYFUNCTION("""COMPUTED_VALUE"""),44820.66666666667)</f>
        <v>44820.66667</v>
      </c>
      <c r="C826" s="9">
        <f>IFERROR(__xludf.DUMMYFUNCTION("""COMPUTED_VALUE"""),98.54)</f>
        <v>98.54</v>
      </c>
      <c r="K826" s="16"/>
      <c r="T826" s="17"/>
      <c r="AC826" s="17"/>
    </row>
    <row r="827">
      <c r="B827" s="11">
        <f>IFERROR(__xludf.DUMMYFUNCTION("""COMPUTED_VALUE"""),44819.66666666667)</f>
        <v>44819.66667</v>
      </c>
      <c r="C827" s="9">
        <f>IFERROR(__xludf.DUMMYFUNCTION("""COMPUTED_VALUE"""),99.68)</f>
        <v>99.68</v>
      </c>
      <c r="K827" s="16"/>
      <c r="T827" s="17"/>
      <c r="AC827" s="17"/>
    </row>
    <row r="828">
      <c r="B828" s="11">
        <f>IFERROR(__xludf.DUMMYFUNCTION("""COMPUTED_VALUE"""),44818.66666666667)</f>
        <v>44818.66667</v>
      </c>
      <c r="C828" s="9">
        <f>IFERROR(__xludf.DUMMYFUNCTION("""COMPUTED_VALUE"""),100.54)</f>
        <v>100.54</v>
      </c>
      <c r="K828" s="16"/>
      <c r="T828" s="17"/>
      <c r="AC828" s="17"/>
    </row>
    <row r="829">
      <c r="B829" s="11">
        <f>IFERROR(__xludf.DUMMYFUNCTION("""COMPUTED_VALUE"""),44817.66666666667)</f>
        <v>44817.66667</v>
      </c>
      <c r="C829" s="9">
        <f>IFERROR(__xludf.DUMMYFUNCTION("""COMPUTED_VALUE"""),98.98)</f>
        <v>98.98</v>
      </c>
      <c r="K829" s="16"/>
      <c r="T829" s="17"/>
      <c r="AC829" s="17"/>
    </row>
    <row r="830">
      <c r="B830" s="11">
        <f>IFERROR(__xludf.DUMMYFUNCTION("""COMPUTED_VALUE"""),44816.66666666667)</f>
        <v>44816.66667</v>
      </c>
      <c r="C830" s="9">
        <f>IFERROR(__xludf.DUMMYFUNCTION("""COMPUTED_VALUE"""),103.3)</f>
        <v>103.3</v>
      </c>
      <c r="K830" s="16"/>
      <c r="T830" s="17"/>
      <c r="AC830" s="17"/>
    </row>
    <row r="831">
      <c r="B831" s="11">
        <f>IFERROR(__xludf.DUMMYFUNCTION("""COMPUTED_VALUE"""),44813.66666666667)</f>
        <v>44813.66667</v>
      </c>
      <c r="C831" s="9">
        <f>IFERROR(__xludf.DUMMYFUNCTION("""COMPUTED_VALUE"""),103.12)</f>
        <v>103.12</v>
      </c>
      <c r="K831" s="16"/>
      <c r="T831" s="17"/>
      <c r="AC831" s="17"/>
    </row>
    <row r="832">
      <c r="B832" s="11">
        <f>IFERROR(__xludf.DUMMYFUNCTION("""COMPUTED_VALUE"""),44812.66666666667)</f>
        <v>44812.66667</v>
      </c>
      <c r="C832" s="9">
        <f>IFERROR(__xludf.DUMMYFUNCTION("""COMPUTED_VALUE"""),101.85)</f>
        <v>101.85</v>
      </c>
      <c r="K832" s="16"/>
      <c r="T832" s="17"/>
      <c r="AC832" s="17"/>
    </row>
    <row r="833">
      <c r="B833" s="11">
        <f>IFERROR(__xludf.DUMMYFUNCTION("""COMPUTED_VALUE"""),44811.66666666667)</f>
        <v>44811.66667</v>
      </c>
      <c r="C833" s="9">
        <f>IFERROR(__xludf.DUMMYFUNCTION("""COMPUTED_VALUE"""),101.7)</f>
        <v>101.7</v>
      </c>
      <c r="K833" s="16"/>
      <c r="T833" s="17"/>
      <c r="AC833" s="17"/>
    </row>
    <row r="834">
      <c r="B834" s="11">
        <f>IFERROR(__xludf.DUMMYFUNCTION("""COMPUTED_VALUE"""),44810.66666666667)</f>
        <v>44810.66667</v>
      </c>
      <c r="C834" s="9">
        <f>IFERROR(__xludf.DUMMYFUNCTION("""COMPUTED_VALUE"""),100.03)</f>
        <v>100.03</v>
      </c>
      <c r="K834" s="16"/>
      <c r="T834" s="17"/>
      <c r="AC834" s="17"/>
    </row>
    <row r="835">
      <c r="B835" s="11">
        <f>IFERROR(__xludf.DUMMYFUNCTION("""COMPUTED_VALUE"""),44806.66666666667)</f>
        <v>44806.66667</v>
      </c>
      <c r="C835" s="9">
        <f>IFERROR(__xludf.DUMMYFUNCTION("""COMPUTED_VALUE"""),100.13)</f>
        <v>100.13</v>
      </c>
      <c r="K835" s="16"/>
      <c r="T835" s="17"/>
      <c r="AC835" s="17"/>
    </row>
    <row r="836">
      <c r="B836" s="11">
        <f>IFERROR(__xludf.DUMMYFUNCTION("""COMPUTED_VALUE"""),44805.66666666667)</f>
        <v>44805.66667</v>
      </c>
      <c r="C836" s="9">
        <f>IFERROR(__xludf.DUMMYFUNCTION("""COMPUTED_VALUE"""),100.55)</f>
        <v>100.55</v>
      </c>
      <c r="K836" s="16"/>
      <c r="T836" s="17"/>
      <c r="AC836" s="17"/>
    </row>
    <row r="837">
      <c r="B837" s="11">
        <f>IFERROR(__xludf.DUMMYFUNCTION("""COMPUTED_VALUE"""),44804.66666666667)</f>
        <v>44804.66667</v>
      </c>
      <c r="C837" s="9">
        <f>IFERROR(__xludf.DUMMYFUNCTION("""COMPUTED_VALUE"""),101.71)</f>
        <v>101.71</v>
      </c>
      <c r="K837" s="16"/>
      <c r="T837" s="17"/>
      <c r="AC837" s="17"/>
    </row>
    <row r="838">
      <c r="B838" s="11">
        <f>IFERROR(__xludf.DUMMYFUNCTION("""COMPUTED_VALUE"""),44803.66666666667)</f>
        <v>44803.66667</v>
      </c>
      <c r="C838" s="9">
        <f>IFERROR(__xludf.DUMMYFUNCTION("""COMPUTED_VALUE"""),102.76)</f>
        <v>102.76</v>
      </c>
      <c r="K838" s="16"/>
      <c r="T838" s="17"/>
      <c r="AC838" s="17"/>
    </row>
    <row r="839">
      <c r="B839" s="11">
        <f>IFERROR(__xludf.DUMMYFUNCTION("""COMPUTED_VALUE"""),44802.66666666667)</f>
        <v>44802.66667</v>
      </c>
      <c r="C839" s="9">
        <f>IFERROR(__xludf.DUMMYFUNCTION("""COMPUTED_VALUE"""),104.21)</f>
        <v>104.21</v>
      </c>
      <c r="K839" s="16"/>
      <c r="T839" s="17"/>
      <c r="AC839" s="17"/>
    </row>
    <row r="840">
      <c r="B840" s="11">
        <f>IFERROR(__xludf.DUMMYFUNCTION("""COMPUTED_VALUE"""),44799.66666666667)</f>
        <v>44799.66667</v>
      </c>
      <c r="C840" s="9">
        <f>IFERROR(__xludf.DUMMYFUNCTION("""COMPUTED_VALUE"""),104.9)</f>
        <v>104.9</v>
      </c>
      <c r="K840" s="16"/>
      <c r="T840" s="17"/>
      <c r="AC840" s="17"/>
    </row>
    <row r="841">
      <c r="B841" s="11">
        <f>IFERROR(__xludf.DUMMYFUNCTION("""COMPUTED_VALUE"""),44798.66666666667)</f>
        <v>44798.66667</v>
      </c>
      <c r="C841" s="9">
        <f>IFERROR(__xludf.DUMMYFUNCTION("""COMPUTED_VALUE"""),107.86)</f>
        <v>107.86</v>
      </c>
      <c r="K841" s="16"/>
      <c r="T841" s="17"/>
      <c r="AC841" s="17"/>
    </row>
    <row r="842">
      <c r="B842" s="11">
        <f>IFERROR(__xludf.DUMMYFUNCTION("""COMPUTED_VALUE"""),44797.66666666667)</f>
        <v>44797.66667</v>
      </c>
      <c r="C842" s="9">
        <f>IFERROR(__xludf.DUMMYFUNCTION("""COMPUTED_VALUE"""),105.63)</f>
        <v>105.63</v>
      </c>
      <c r="K842" s="16"/>
      <c r="T842" s="17"/>
      <c r="AC842" s="17"/>
    </row>
    <row r="843">
      <c r="B843" s="11">
        <f>IFERROR(__xludf.DUMMYFUNCTION("""COMPUTED_VALUE"""),44796.66666666667)</f>
        <v>44796.66667</v>
      </c>
      <c r="C843" s="9">
        <f>IFERROR(__xludf.DUMMYFUNCTION("""COMPUTED_VALUE"""),104.68)</f>
        <v>104.68</v>
      </c>
      <c r="K843" s="16"/>
      <c r="T843" s="17"/>
      <c r="AC843" s="17"/>
    </row>
    <row r="844">
      <c r="B844" s="11">
        <f>IFERROR(__xludf.DUMMYFUNCTION("""COMPUTED_VALUE"""),44795.66666666667)</f>
        <v>44795.66667</v>
      </c>
      <c r="C844" s="9">
        <f>IFERROR(__xludf.DUMMYFUNCTION("""COMPUTED_VALUE"""),104.45)</f>
        <v>104.45</v>
      </c>
      <c r="K844" s="16"/>
      <c r="T844" s="17"/>
      <c r="AC844" s="17"/>
    </row>
    <row r="845">
      <c r="B845" s="11">
        <f>IFERROR(__xludf.DUMMYFUNCTION("""COMPUTED_VALUE"""),44792.66666666667)</f>
        <v>44792.66667</v>
      </c>
      <c r="C845" s="9">
        <f>IFERROR(__xludf.DUMMYFUNCTION("""COMPUTED_VALUE"""),106.77)</f>
        <v>106.77</v>
      </c>
      <c r="K845" s="16"/>
      <c r="T845" s="17"/>
      <c r="AC845" s="17"/>
    </row>
    <row r="846">
      <c r="B846" s="11">
        <f>IFERROR(__xludf.DUMMYFUNCTION("""COMPUTED_VALUE"""),44791.66666666667)</f>
        <v>44791.66667</v>
      </c>
      <c r="C846" s="9">
        <f>IFERROR(__xludf.DUMMYFUNCTION("""COMPUTED_VALUE"""),108.23)</f>
        <v>108.23</v>
      </c>
      <c r="K846" s="16"/>
      <c r="T846" s="17"/>
      <c r="AC846" s="17"/>
    </row>
    <row r="847">
      <c r="B847" s="11">
        <f>IFERROR(__xludf.DUMMYFUNCTION("""COMPUTED_VALUE"""),44790.66666666667)</f>
        <v>44790.66667</v>
      </c>
      <c r="C847" s="9">
        <f>IFERROR(__xludf.DUMMYFUNCTION("""COMPUTED_VALUE"""),108.0)</f>
        <v>108</v>
      </c>
      <c r="K847" s="16"/>
      <c r="T847" s="17"/>
      <c r="AC847" s="17"/>
    </row>
    <row r="848">
      <c r="B848" s="11">
        <f>IFERROR(__xludf.DUMMYFUNCTION("""COMPUTED_VALUE"""),44789.66666666667)</f>
        <v>44789.66667</v>
      </c>
      <c r="C848" s="9">
        <f>IFERROR(__xludf.DUMMYFUNCTION("""COMPUTED_VALUE"""),108.67)</f>
        <v>108.67</v>
      </c>
      <c r="K848" s="16"/>
      <c r="T848" s="17"/>
      <c r="AC848" s="17"/>
    </row>
    <row r="849">
      <c r="B849" s="11">
        <f>IFERROR(__xludf.DUMMYFUNCTION("""COMPUTED_VALUE"""),44788.66666666667)</f>
        <v>44788.66667</v>
      </c>
      <c r="C849" s="9">
        <f>IFERROR(__xludf.DUMMYFUNCTION("""COMPUTED_VALUE"""),108.54)</f>
        <v>108.54</v>
      </c>
      <c r="K849" s="16"/>
      <c r="T849" s="17"/>
      <c r="AC849" s="17"/>
    </row>
    <row r="850">
      <c r="B850" s="11">
        <f>IFERROR(__xludf.DUMMYFUNCTION("""COMPUTED_VALUE"""),44785.66666666667)</f>
        <v>44785.66667</v>
      </c>
      <c r="C850" s="9">
        <f>IFERROR(__xludf.DUMMYFUNCTION("""COMPUTED_VALUE"""),107.68)</f>
        <v>107.68</v>
      </c>
      <c r="K850" s="16"/>
      <c r="T850" s="17"/>
      <c r="AC850" s="17"/>
    </row>
    <row r="851">
      <c r="B851" s="11">
        <f>IFERROR(__xludf.DUMMYFUNCTION("""COMPUTED_VALUE"""),44784.66666666667)</f>
        <v>44784.66667</v>
      </c>
      <c r="C851" s="9">
        <f>IFERROR(__xludf.DUMMYFUNCTION("""COMPUTED_VALUE"""),105.67)</f>
        <v>105.67</v>
      </c>
      <c r="K851" s="16"/>
      <c r="T851" s="17"/>
      <c r="AC851" s="17"/>
    </row>
    <row r="852">
      <c r="B852" s="11">
        <f>IFERROR(__xludf.DUMMYFUNCTION("""COMPUTED_VALUE"""),44783.66666666667)</f>
        <v>44783.66667</v>
      </c>
      <c r="C852" s="9">
        <f>IFERROR(__xludf.DUMMYFUNCTION("""COMPUTED_VALUE"""),105.89)</f>
        <v>105.89</v>
      </c>
      <c r="K852" s="16"/>
      <c r="T852" s="17"/>
      <c r="AC852" s="17"/>
    </row>
    <row r="853">
      <c r="B853" s="11">
        <f>IFERROR(__xludf.DUMMYFUNCTION("""COMPUTED_VALUE"""),44782.66666666667)</f>
        <v>44782.66667</v>
      </c>
      <c r="C853" s="9">
        <f>IFERROR(__xludf.DUMMYFUNCTION("""COMPUTED_VALUE"""),103.92)</f>
        <v>103.92</v>
      </c>
      <c r="K853" s="16"/>
      <c r="T853" s="17"/>
      <c r="AC853" s="17"/>
    </row>
    <row r="854">
      <c r="B854" s="11">
        <f>IFERROR(__xludf.DUMMYFUNCTION("""COMPUTED_VALUE"""),44781.66666666667)</f>
        <v>44781.66667</v>
      </c>
      <c r="C854" s="9">
        <f>IFERROR(__xludf.DUMMYFUNCTION("""COMPUTED_VALUE"""),103.76)</f>
        <v>103.76</v>
      </c>
      <c r="K854" s="16"/>
      <c r="T854" s="17"/>
      <c r="AC854" s="17"/>
    </row>
    <row r="855">
      <c r="B855" s="11">
        <f>IFERROR(__xludf.DUMMYFUNCTION("""COMPUTED_VALUE"""),44778.66666666667)</f>
        <v>44778.66667</v>
      </c>
      <c r="C855" s="9">
        <f>IFERROR(__xludf.DUMMYFUNCTION("""COMPUTED_VALUE"""),104.23)</f>
        <v>104.23</v>
      </c>
      <c r="K855" s="16"/>
      <c r="T855" s="17"/>
      <c r="AC855" s="17"/>
    </row>
    <row r="856">
      <c r="B856" s="11">
        <f>IFERROR(__xludf.DUMMYFUNCTION("""COMPUTED_VALUE"""),44777.66666666667)</f>
        <v>44777.66667</v>
      </c>
      <c r="C856" s="9">
        <f>IFERROR(__xludf.DUMMYFUNCTION("""COMPUTED_VALUE"""),104.4)</f>
        <v>104.4</v>
      </c>
      <c r="K856" s="16"/>
      <c r="T856" s="17"/>
      <c r="AC856" s="17"/>
    </row>
    <row r="857">
      <c r="B857" s="11">
        <f>IFERROR(__xludf.DUMMYFUNCTION("""COMPUTED_VALUE"""),44776.66666666667)</f>
        <v>44776.66667</v>
      </c>
      <c r="C857" s="9">
        <f>IFERROR(__xludf.DUMMYFUNCTION("""COMPUTED_VALUE"""),105.13)</f>
        <v>105.13</v>
      </c>
      <c r="K857" s="16"/>
      <c r="T857" s="17"/>
      <c r="AC857" s="17"/>
    </row>
    <row r="858">
      <c r="B858" s="11">
        <f>IFERROR(__xludf.DUMMYFUNCTION("""COMPUTED_VALUE"""),44775.66666666667)</f>
        <v>44775.66667</v>
      </c>
      <c r="C858" s="9">
        <f>IFERROR(__xludf.DUMMYFUNCTION("""COMPUTED_VALUE"""),104.66)</f>
        <v>104.66</v>
      </c>
      <c r="K858" s="16"/>
      <c r="T858" s="17"/>
      <c r="AC858" s="17"/>
    </row>
    <row r="859">
      <c r="B859" s="11">
        <f>IFERROR(__xludf.DUMMYFUNCTION("""COMPUTED_VALUE"""),44774.66666666667)</f>
        <v>44774.66667</v>
      </c>
      <c r="C859" s="9">
        <f>IFERROR(__xludf.DUMMYFUNCTION("""COMPUTED_VALUE"""),104.58)</f>
        <v>104.58</v>
      </c>
      <c r="K859" s="16"/>
      <c r="T859" s="17"/>
      <c r="AC859" s="17"/>
    </row>
    <row r="860">
      <c r="B860" s="11">
        <f>IFERROR(__xludf.DUMMYFUNCTION("""COMPUTED_VALUE"""),44771.66666666667)</f>
        <v>44771.66667</v>
      </c>
      <c r="C860" s="9">
        <f>IFERROR(__xludf.DUMMYFUNCTION("""COMPUTED_VALUE"""),103.8)</f>
        <v>103.8</v>
      </c>
      <c r="K860" s="16"/>
      <c r="T860" s="17"/>
      <c r="AC860" s="17"/>
    </row>
    <row r="861">
      <c r="B861" s="11">
        <f>IFERROR(__xludf.DUMMYFUNCTION("""COMPUTED_VALUE"""),44770.66666666667)</f>
        <v>44770.66667</v>
      </c>
      <c r="C861" s="9">
        <f>IFERROR(__xludf.DUMMYFUNCTION("""COMPUTED_VALUE"""),101.75)</f>
        <v>101.75</v>
      </c>
      <c r="K861" s="16"/>
      <c r="T861" s="17"/>
      <c r="AC861" s="17"/>
    </row>
    <row r="862">
      <c r="B862" s="11">
        <f>IFERROR(__xludf.DUMMYFUNCTION("""COMPUTED_VALUE"""),44769.66666666667)</f>
        <v>44769.66667</v>
      </c>
      <c r="C862" s="9">
        <f>IFERROR(__xludf.DUMMYFUNCTION("""COMPUTED_VALUE"""),99.62)</f>
        <v>99.62</v>
      </c>
      <c r="K862" s="16"/>
      <c r="T862" s="17"/>
      <c r="AC862" s="17"/>
    </row>
    <row r="863">
      <c r="B863" s="11">
        <f>IFERROR(__xludf.DUMMYFUNCTION("""COMPUTED_VALUE"""),44768.66666666667)</f>
        <v>44768.66667</v>
      </c>
      <c r="C863" s="9">
        <f>IFERROR(__xludf.DUMMYFUNCTION("""COMPUTED_VALUE"""),98.9)</f>
        <v>98.9</v>
      </c>
      <c r="K863" s="16"/>
      <c r="T863" s="17"/>
      <c r="AC863" s="17"/>
    </row>
    <row r="864">
      <c r="B864" s="11">
        <f>IFERROR(__xludf.DUMMYFUNCTION("""COMPUTED_VALUE"""),44767.66666666667)</f>
        <v>44767.66667</v>
      </c>
      <c r="C864" s="9">
        <f>IFERROR(__xludf.DUMMYFUNCTION("""COMPUTED_VALUE"""),100.38)</f>
        <v>100.38</v>
      </c>
      <c r="K864" s="16"/>
      <c r="T864" s="17"/>
      <c r="AC864" s="17"/>
    </row>
    <row r="865">
      <c r="B865" s="11">
        <f>IFERROR(__xludf.DUMMYFUNCTION("""COMPUTED_VALUE"""),44764.66666666667)</f>
        <v>44764.66667</v>
      </c>
      <c r="C865" s="9">
        <f>IFERROR(__xludf.DUMMYFUNCTION("""COMPUTED_VALUE"""),99.99)</f>
        <v>99.99</v>
      </c>
      <c r="K865" s="16"/>
      <c r="T865" s="17"/>
      <c r="AC865" s="17"/>
    </row>
    <row r="866">
      <c r="B866" s="11">
        <f>IFERROR(__xludf.DUMMYFUNCTION("""COMPUTED_VALUE"""),44763.66666666667)</f>
        <v>44763.66667</v>
      </c>
      <c r="C866" s="9">
        <f>IFERROR(__xludf.DUMMYFUNCTION("""COMPUTED_VALUE"""),100.76)</f>
        <v>100.76</v>
      </c>
      <c r="K866" s="16"/>
      <c r="T866" s="17"/>
      <c r="AC866" s="17"/>
    </row>
    <row r="867">
      <c r="B867" s="11">
        <f>IFERROR(__xludf.DUMMYFUNCTION("""COMPUTED_VALUE"""),44762.66666666667)</f>
        <v>44762.66667</v>
      </c>
      <c r="C867" s="9">
        <f>IFERROR(__xludf.DUMMYFUNCTION("""COMPUTED_VALUE"""),100.49)</f>
        <v>100.49</v>
      </c>
      <c r="K867" s="16"/>
      <c r="T867" s="17"/>
      <c r="AC867" s="17"/>
    </row>
    <row r="868">
      <c r="B868" s="11">
        <f>IFERROR(__xludf.DUMMYFUNCTION("""COMPUTED_VALUE"""),44761.66666666667)</f>
        <v>44761.66667</v>
      </c>
      <c r="C868" s="9">
        <f>IFERROR(__xludf.DUMMYFUNCTION("""COMPUTED_VALUE"""),99.2)</f>
        <v>99.2</v>
      </c>
      <c r="K868" s="16"/>
      <c r="T868" s="17"/>
      <c r="AC868" s="17"/>
    </row>
    <row r="869">
      <c r="B869" s="11">
        <f>IFERROR(__xludf.DUMMYFUNCTION("""COMPUTED_VALUE"""),44760.66666666667)</f>
        <v>44760.66667</v>
      </c>
      <c r="C869" s="9">
        <f>IFERROR(__xludf.DUMMYFUNCTION("""COMPUTED_VALUE"""),95.75)</f>
        <v>95.75</v>
      </c>
      <c r="K869" s="16"/>
      <c r="T869" s="17"/>
      <c r="AC869" s="17"/>
    </row>
    <row r="870">
      <c r="B870" s="11">
        <f>IFERROR(__xludf.DUMMYFUNCTION("""COMPUTED_VALUE"""),44757.66666666667)</f>
        <v>44757.66667</v>
      </c>
      <c r="C870" s="9">
        <f>IFERROR(__xludf.DUMMYFUNCTION("""COMPUTED_VALUE"""),96.94)</f>
        <v>96.94</v>
      </c>
      <c r="K870" s="16"/>
      <c r="T870" s="17"/>
      <c r="AC870" s="17"/>
    </row>
    <row r="871">
      <c r="B871" s="11">
        <f>IFERROR(__xludf.DUMMYFUNCTION("""COMPUTED_VALUE"""),44756.66666666667)</f>
        <v>44756.66667</v>
      </c>
      <c r="C871" s="9">
        <f>IFERROR(__xludf.DUMMYFUNCTION("""COMPUTED_VALUE"""),96.1)</f>
        <v>96.1</v>
      </c>
      <c r="K871" s="16"/>
      <c r="T871" s="17"/>
      <c r="AC871" s="17"/>
    </row>
    <row r="872">
      <c r="B872" s="11">
        <f>IFERROR(__xludf.DUMMYFUNCTION("""COMPUTED_VALUE"""),44755.66666666667)</f>
        <v>44755.66667</v>
      </c>
      <c r="C872" s="9">
        <f>IFERROR(__xludf.DUMMYFUNCTION("""COMPUTED_VALUE"""),97.15)</f>
        <v>97.15</v>
      </c>
      <c r="K872" s="16"/>
      <c r="T872" s="17"/>
      <c r="AC872" s="17"/>
    </row>
    <row r="873">
      <c r="B873" s="11">
        <f>IFERROR(__xludf.DUMMYFUNCTION("""COMPUTED_VALUE"""),44754.66666666667)</f>
        <v>44754.66667</v>
      </c>
      <c r="C873" s="9">
        <f>IFERROR(__xludf.DUMMYFUNCTION("""COMPUTED_VALUE"""),98.65)</f>
        <v>98.65</v>
      </c>
      <c r="K873" s="16"/>
      <c r="T873" s="17"/>
      <c r="AC873" s="17"/>
    </row>
    <row r="874">
      <c r="B874" s="11">
        <f>IFERROR(__xludf.DUMMYFUNCTION("""COMPUTED_VALUE"""),44753.66666666667)</f>
        <v>44753.66667</v>
      </c>
      <c r="C874" s="9">
        <f>IFERROR(__xludf.DUMMYFUNCTION("""COMPUTED_VALUE"""),98.5)</f>
        <v>98.5</v>
      </c>
      <c r="K874" s="16"/>
      <c r="T874" s="17"/>
      <c r="AC874" s="17"/>
    </row>
    <row r="875">
      <c r="B875" s="11">
        <f>IFERROR(__xludf.DUMMYFUNCTION("""COMPUTED_VALUE"""),44750.66666666667)</f>
        <v>44750.66667</v>
      </c>
      <c r="C875" s="9">
        <f>IFERROR(__xludf.DUMMYFUNCTION("""COMPUTED_VALUE"""),99.32)</f>
        <v>99.32</v>
      </c>
      <c r="K875" s="16"/>
      <c r="T875" s="17"/>
      <c r="AC875" s="17"/>
    </row>
    <row r="876">
      <c r="B876" s="11">
        <f>IFERROR(__xludf.DUMMYFUNCTION("""COMPUTED_VALUE"""),44749.66666666667)</f>
        <v>44749.66667</v>
      </c>
      <c r="C876" s="9">
        <f>IFERROR(__xludf.DUMMYFUNCTION("""COMPUTED_VALUE"""),99.24)</f>
        <v>99.24</v>
      </c>
      <c r="K876" s="16"/>
      <c r="T876" s="17"/>
      <c r="AC876" s="17"/>
    </row>
    <row r="877">
      <c r="B877" s="11">
        <f>IFERROR(__xludf.DUMMYFUNCTION("""COMPUTED_VALUE"""),44748.66666666667)</f>
        <v>44748.66667</v>
      </c>
      <c r="C877" s="9">
        <f>IFERROR(__xludf.DUMMYFUNCTION("""COMPUTED_VALUE"""),98.4)</f>
        <v>98.4</v>
      </c>
      <c r="K877" s="16"/>
      <c r="T877" s="17"/>
      <c r="AC877" s="17"/>
    </row>
    <row r="878">
      <c r="B878" s="11">
        <f>IFERROR(__xludf.DUMMYFUNCTION("""COMPUTED_VALUE"""),44747.66666666667)</f>
        <v>44747.66667</v>
      </c>
      <c r="C878" s="9">
        <f>IFERROR(__xludf.DUMMYFUNCTION("""COMPUTED_VALUE"""),97.15)</f>
        <v>97.15</v>
      </c>
      <c r="K878" s="16"/>
      <c r="T878" s="17"/>
      <c r="AC878" s="17"/>
    </row>
    <row r="879">
      <c r="B879" s="11">
        <f>IFERROR(__xludf.DUMMYFUNCTION("""COMPUTED_VALUE"""),44743.66666666667)</f>
        <v>44743.66667</v>
      </c>
      <c r="C879" s="9">
        <f>IFERROR(__xludf.DUMMYFUNCTION("""COMPUTED_VALUE"""),100.25)</f>
        <v>100.25</v>
      </c>
      <c r="K879" s="16"/>
      <c r="T879" s="17"/>
      <c r="AC879" s="17"/>
    </row>
    <row r="880">
      <c r="B880" s="11">
        <f>IFERROR(__xludf.DUMMYFUNCTION("""COMPUTED_VALUE"""),44742.66666666667)</f>
        <v>44742.66667</v>
      </c>
      <c r="C880" s="9">
        <f>IFERROR(__xludf.DUMMYFUNCTION("""COMPUTED_VALUE"""),99.17)</f>
        <v>99.17</v>
      </c>
      <c r="K880" s="16"/>
      <c r="T880" s="17"/>
      <c r="AC880" s="17"/>
    </row>
    <row r="881">
      <c r="B881" s="11">
        <f>IFERROR(__xludf.DUMMYFUNCTION("""COMPUTED_VALUE"""),44741.66666666667)</f>
        <v>44741.66667</v>
      </c>
      <c r="C881" s="9">
        <f>IFERROR(__xludf.DUMMYFUNCTION("""COMPUTED_VALUE"""),97.4)</f>
        <v>97.4</v>
      </c>
      <c r="K881" s="16"/>
      <c r="T881" s="17"/>
      <c r="AC881" s="17"/>
    </row>
    <row r="882">
      <c r="B882" s="11">
        <f>IFERROR(__xludf.DUMMYFUNCTION("""COMPUTED_VALUE"""),44740.66666666667)</f>
        <v>44740.66667</v>
      </c>
      <c r="C882" s="9">
        <f>IFERROR(__xludf.DUMMYFUNCTION("""COMPUTED_VALUE"""),97.97)</f>
        <v>97.97</v>
      </c>
      <c r="K882" s="16"/>
      <c r="T882" s="17"/>
      <c r="AC882" s="17"/>
    </row>
    <row r="883">
      <c r="B883" s="11">
        <f>IFERROR(__xludf.DUMMYFUNCTION("""COMPUTED_VALUE"""),44739.66666666667)</f>
        <v>44739.66667</v>
      </c>
      <c r="C883" s="9">
        <f>IFERROR(__xludf.DUMMYFUNCTION("""COMPUTED_VALUE"""),98.62)</f>
        <v>98.62</v>
      </c>
      <c r="K883" s="16"/>
      <c r="T883" s="17"/>
      <c r="AC883" s="17"/>
    </row>
    <row r="884">
      <c r="B884" s="11">
        <f>IFERROR(__xludf.DUMMYFUNCTION("""COMPUTED_VALUE"""),44736.66666666667)</f>
        <v>44736.66667</v>
      </c>
      <c r="C884" s="9">
        <f>IFERROR(__xludf.DUMMYFUNCTION("""COMPUTED_VALUE"""),98.43)</f>
        <v>98.43</v>
      </c>
      <c r="K884" s="16"/>
      <c r="T884" s="17"/>
      <c r="AC884" s="17"/>
    </row>
    <row r="885">
      <c r="B885" s="11">
        <f>IFERROR(__xludf.DUMMYFUNCTION("""COMPUTED_VALUE"""),44735.66666666667)</f>
        <v>44735.66667</v>
      </c>
      <c r="C885" s="9">
        <f>IFERROR(__xludf.DUMMYFUNCTION("""COMPUTED_VALUE"""),95.39)</f>
        <v>95.39</v>
      </c>
      <c r="K885" s="16"/>
      <c r="T885" s="17"/>
      <c r="AC885" s="17"/>
    </row>
    <row r="886">
      <c r="B886" s="11">
        <f>IFERROR(__xludf.DUMMYFUNCTION("""COMPUTED_VALUE"""),44734.66666666667)</f>
        <v>44734.66667</v>
      </c>
      <c r="C886" s="9">
        <f>IFERROR(__xludf.DUMMYFUNCTION("""COMPUTED_VALUE"""),96.15)</f>
        <v>96.15</v>
      </c>
      <c r="K886" s="16"/>
      <c r="T886" s="17"/>
      <c r="AC886" s="17"/>
    </row>
    <row r="887">
      <c r="B887" s="11">
        <f>IFERROR(__xludf.DUMMYFUNCTION("""COMPUTED_VALUE"""),44733.66666666667)</f>
        <v>44733.66667</v>
      </c>
      <c r="C887" s="9">
        <f>IFERROR(__xludf.DUMMYFUNCTION("""COMPUTED_VALUE"""),96.56)</f>
        <v>96.56</v>
      </c>
      <c r="K887" s="16"/>
      <c r="T887" s="17"/>
      <c r="AC887" s="17"/>
    </row>
    <row r="888">
      <c r="B888" s="11">
        <f>IFERROR(__xludf.DUMMYFUNCTION("""COMPUTED_VALUE"""),44729.66666666667)</f>
        <v>44729.66667</v>
      </c>
      <c r="C888" s="9">
        <f>IFERROR(__xludf.DUMMYFUNCTION("""COMPUTED_VALUE"""),93.99)</f>
        <v>93.99</v>
      </c>
      <c r="K888" s="16"/>
      <c r="T888" s="17"/>
      <c r="AC888" s="17"/>
    </row>
    <row r="889">
      <c r="B889" s="11">
        <f>IFERROR(__xludf.DUMMYFUNCTION("""COMPUTED_VALUE"""),44728.66666666667)</f>
        <v>44728.66667</v>
      </c>
      <c r="C889" s="9">
        <f>IFERROR(__xludf.DUMMYFUNCTION("""COMPUTED_VALUE"""),93.66)</f>
        <v>93.66</v>
      </c>
      <c r="K889" s="16"/>
      <c r="T889" s="17"/>
      <c r="AC889" s="17"/>
    </row>
    <row r="890">
      <c r="B890" s="11">
        <f>IFERROR(__xludf.DUMMYFUNCTION("""COMPUTED_VALUE"""),44727.66666666667)</f>
        <v>44727.66667</v>
      </c>
      <c r="C890" s="9">
        <f>IFERROR(__xludf.DUMMYFUNCTION("""COMPUTED_VALUE"""),96.94)</f>
        <v>96.94</v>
      </c>
      <c r="K890" s="16"/>
      <c r="T890" s="17"/>
      <c r="AC890" s="17"/>
    </row>
    <row r="891">
      <c r="B891" s="11">
        <f>IFERROR(__xludf.DUMMYFUNCTION("""COMPUTED_VALUE"""),44726.66666666667)</f>
        <v>44726.66667</v>
      </c>
      <c r="C891" s="9">
        <f>IFERROR(__xludf.DUMMYFUNCTION("""COMPUTED_VALUE"""),95.61)</f>
        <v>95.61</v>
      </c>
      <c r="K891" s="16"/>
      <c r="T891" s="17"/>
      <c r="AC891" s="17"/>
    </row>
    <row r="892">
      <c r="B892" s="11">
        <f>IFERROR(__xludf.DUMMYFUNCTION("""COMPUTED_VALUE"""),44725.66666666667)</f>
        <v>44725.66667</v>
      </c>
      <c r="C892" s="9">
        <f>IFERROR(__xludf.DUMMYFUNCTION("""COMPUTED_VALUE"""),96.48)</f>
        <v>96.48</v>
      </c>
      <c r="K892" s="16"/>
      <c r="T892" s="17"/>
      <c r="AC892" s="17"/>
    </row>
    <row r="893">
      <c r="B893" s="11">
        <f>IFERROR(__xludf.DUMMYFUNCTION("""COMPUTED_VALUE"""),44722.66666666667)</f>
        <v>44722.66667</v>
      </c>
      <c r="C893" s="9">
        <f>IFERROR(__xludf.DUMMYFUNCTION("""COMPUTED_VALUE"""),100.23)</f>
        <v>100.23</v>
      </c>
      <c r="K893" s="16"/>
      <c r="T893" s="17"/>
      <c r="AC893" s="17"/>
    </row>
    <row r="894">
      <c r="B894" s="11">
        <f>IFERROR(__xludf.DUMMYFUNCTION("""COMPUTED_VALUE"""),44721.66666666667)</f>
        <v>44721.66667</v>
      </c>
      <c r="C894" s="9">
        <f>IFERROR(__xludf.DUMMYFUNCTION("""COMPUTED_VALUE"""),102.44)</f>
        <v>102.44</v>
      </c>
      <c r="K894" s="16"/>
      <c r="T894" s="17"/>
      <c r="AC894" s="17"/>
    </row>
    <row r="895">
      <c r="B895" s="11">
        <f>IFERROR(__xludf.DUMMYFUNCTION("""COMPUTED_VALUE"""),44720.66666666667)</f>
        <v>44720.66667</v>
      </c>
      <c r="C895" s="9">
        <f>IFERROR(__xludf.DUMMYFUNCTION("""COMPUTED_VALUE"""),104.93)</f>
        <v>104.93</v>
      </c>
      <c r="K895" s="16"/>
      <c r="T895" s="17"/>
      <c r="AC895" s="17"/>
    </row>
    <row r="896">
      <c r="B896" s="11">
        <f>IFERROR(__xludf.DUMMYFUNCTION("""COMPUTED_VALUE"""),44719.66666666667)</f>
        <v>44719.66667</v>
      </c>
      <c r="C896" s="9">
        <f>IFERROR(__xludf.DUMMYFUNCTION("""COMPUTED_VALUE"""),106.92)</f>
        <v>106.92</v>
      </c>
      <c r="K896" s="16"/>
      <c r="T896" s="17"/>
      <c r="AC896" s="17"/>
    </row>
    <row r="897">
      <c r="B897" s="11">
        <f>IFERROR(__xludf.DUMMYFUNCTION("""COMPUTED_VALUE"""),44718.66666666667)</f>
        <v>44718.66667</v>
      </c>
      <c r="C897" s="9">
        <f>IFERROR(__xludf.DUMMYFUNCTION("""COMPUTED_VALUE"""),104.45)</f>
        <v>104.45</v>
      </c>
      <c r="K897" s="16"/>
      <c r="T897" s="17"/>
      <c r="AC897" s="17"/>
    </row>
    <row r="898">
      <c r="B898" s="11">
        <f>IFERROR(__xludf.DUMMYFUNCTION("""COMPUTED_VALUE"""),44715.66666666667)</f>
        <v>44715.66667</v>
      </c>
      <c r="C898" s="9">
        <f>IFERROR(__xludf.DUMMYFUNCTION("""COMPUTED_VALUE"""),104.02)</f>
        <v>104.02</v>
      </c>
      <c r="K898" s="16"/>
      <c r="T898" s="17"/>
      <c r="AC898" s="17"/>
    </row>
    <row r="899">
      <c r="B899" s="11">
        <f>IFERROR(__xludf.DUMMYFUNCTION("""COMPUTED_VALUE"""),44714.66666666667)</f>
        <v>44714.66667</v>
      </c>
      <c r="C899" s="9">
        <f>IFERROR(__xludf.DUMMYFUNCTION("""COMPUTED_VALUE"""),104.08)</f>
        <v>104.08</v>
      </c>
      <c r="K899" s="16"/>
      <c r="T899" s="17"/>
      <c r="AC899" s="17"/>
    </row>
    <row r="900">
      <c r="B900" s="11">
        <f>IFERROR(__xludf.DUMMYFUNCTION("""COMPUTED_VALUE"""),44713.66666666667)</f>
        <v>44713.66667</v>
      </c>
      <c r="C900" s="9">
        <f>IFERROR(__xludf.DUMMYFUNCTION("""COMPUTED_VALUE"""),102.06)</f>
        <v>102.06</v>
      </c>
      <c r="K900" s="16"/>
      <c r="T900" s="17"/>
      <c r="AC900" s="17"/>
    </row>
    <row r="901">
      <c r="B901" s="11">
        <f>IFERROR(__xludf.DUMMYFUNCTION("""COMPUTED_VALUE"""),44712.66666666667)</f>
        <v>44712.66667</v>
      </c>
      <c r="C901" s="9">
        <f>IFERROR(__xludf.DUMMYFUNCTION("""COMPUTED_VALUE"""),102.18)</f>
        <v>102.18</v>
      </c>
      <c r="K901" s="16"/>
      <c r="T901" s="17"/>
      <c r="AC901" s="17"/>
    </row>
    <row r="902">
      <c r="B902" s="11">
        <f>IFERROR(__xludf.DUMMYFUNCTION("""COMPUTED_VALUE"""),44708.66666666667)</f>
        <v>44708.66667</v>
      </c>
      <c r="C902" s="9">
        <f>IFERROR(__xludf.DUMMYFUNCTION("""COMPUTED_VALUE"""),103.42)</f>
        <v>103.42</v>
      </c>
      <c r="K902" s="16"/>
      <c r="T902" s="17"/>
      <c r="AC902" s="17"/>
    </row>
    <row r="903">
      <c r="B903" s="11">
        <f>IFERROR(__xludf.DUMMYFUNCTION("""COMPUTED_VALUE"""),44707.66666666667)</f>
        <v>44707.66667</v>
      </c>
      <c r="C903" s="9">
        <f>IFERROR(__xludf.DUMMYFUNCTION("""COMPUTED_VALUE"""),101.3)</f>
        <v>101.3</v>
      </c>
      <c r="K903" s="16"/>
      <c r="T903" s="17"/>
      <c r="AC903" s="17"/>
    </row>
    <row r="904">
      <c r="B904" s="11">
        <f>IFERROR(__xludf.DUMMYFUNCTION("""COMPUTED_VALUE"""),44706.66666666667)</f>
        <v>44706.66667</v>
      </c>
      <c r="C904" s="9">
        <f>IFERROR(__xludf.DUMMYFUNCTION("""COMPUTED_VALUE"""),99.68)</f>
        <v>99.68</v>
      </c>
      <c r="K904" s="16"/>
      <c r="T904" s="17"/>
      <c r="AC904" s="17"/>
    </row>
    <row r="905">
      <c r="B905" s="11">
        <f>IFERROR(__xludf.DUMMYFUNCTION("""COMPUTED_VALUE"""),44705.66666666667)</f>
        <v>44705.66667</v>
      </c>
      <c r="C905" s="9">
        <f>IFERROR(__xludf.DUMMYFUNCTION("""COMPUTED_VALUE"""),98.84)</f>
        <v>98.84</v>
      </c>
      <c r="K905" s="16"/>
      <c r="T905" s="17"/>
      <c r="AC905" s="17"/>
    </row>
    <row r="906">
      <c r="B906" s="11">
        <f>IFERROR(__xludf.DUMMYFUNCTION("""COMPUTED_VALUE"""),44704.66666666667)</f>
        <v>44704.66667</v>
      </c>
      <c r="C906" s="9">
        <f>IFERROR(__xludf.DUMMYFUNCTION("""COMPUTED_VALUE"""),98.11)</f>
        <v>98.11</v>
      </c>
      <c r="K906" s="16"/>
      <c r="T906" s="17"/>
      <c r="AC906" s="17"/>
    </row>
    <row r="907">
      <c r="B907" s="11">
        <f>IFERROR(__xludf.DUMMYFUNCTION("""COMPUTED_VALUE"""),44701.66666666667)</f>
        <v>44701.66667</v>
      </c>
      <c r="C907" s="9">
        <f>IFERROR(__xludf.DUMMYFUNCTION("""COMPUTED_VALUE"""),96.27)</f>
        <v>96.27</v>
      </c>
      <c r="K907" s="16"/>
      <c r="T907" s="17"/>
      <c r="AC907" s="17"/>
    </row>
    <row r="908">
      <c r="B908" s="11">
        <f>IFERROR(__xludf.DUMMYFUNCTION("""COMPUTED_VALUE"""),44700.66666666667)</f>
        <v>44700.66667</v>
      </c>
      <c r="C908" s="9">
        <f>IFERROR(__xludf.DUMMYFUNCTION("""COMPUTED_VALUE"""),97.17)</f>
        <v>97.17</v>
      </c>
      <c r="K908" s="16"/>
      <c r="T908" s="17"/>
      <c r="AC908" s="17"/>
    </row>
    <row r="909">
      <c r="B909" s="11">
        <f>IFERROR(__xludf.DUMMYFUNCTION("""COMPUTED_VALUE"""),44699.66666666667)</f>
        <v>44699.66667</v>
      </c>
      <c r="C909" s="9">
        <f>IFERROR(__xludf.DUMMYFUNCTION("""COMPUTED_VALUE"""),98.36)</f>
        <v>98.36</v>
      </c>
      <c r="K909" s="16"/>
      <c r="T909" s="17"/>
      <c r="AC909" s="17"/>
    </row>
    <row r="910">
      <c r="B910" s="11">
        <f>IFERROR(__xludf.DUMMYFUNCTION("""COMPUTED_VALUE"""),44698.66666666667)</f>
        <v>44698.66667</v>
      </c>
      <c r="C910" s="9">
        <f>IFERROR(__xludf.DUMMYFUNCTION("""COMPUTED_VALUE"""),100.89)</f>
        <v>100.89</v>
      </c>
      <c r="K910" s="16"/>
      <c r="T910" s="17"/>
      <c r="AC910" s="17"/>
    </row>
    <row r="911">
      <c r="B911" s="11">
        <f>IFERROR(__xludf.DUMMYFUNCTION("""COMPUTED_VALUE"""),44697.66666666667)</f>
        <v>44697.66667</v>
      </c>
      <c r="C911" s="9">
        <f>IFERROR(__xludf.DUMMYFUNCTION("""COMPUTED_VALUE"""),98.56)</f>
        <v>98.56</v>
      </c>
      <c r="K911" s="16"/>
      <c r="T911" s="17"/>
      <c r="AC911" s="17"/>
    </row>
    <row r="912">
      <c r="B912" s="11">
        <f>IFERROR(__xludf.DUMMYFUNCTION("""COMPUTED_VALUE"""),44694.66666666667)</f>
        <v>44694.66667</v>
      </c>
      <c r="C912" s="9">
        <f>IFERROR(__xludf.DUMMYFUNCTION("""COMPUTED_VALUE"""),98.72)</f>
        <v>98.72</v>
      </c>
      <c r="K912" s="16"/>
      <c r="T912" s="17"/>
      <c r="AC912" s="17"/>
    </row>
    <row r="913">
      <c r="B913" s="11">
        <f>IFERROR(__xludf.DUMMYFUNCTION("""COMPUTED_VALUE"""),44693.66666666667)</f>
        <v>44693.66667</v>
      </c>
      <c r="C913" s="9">
        <f>IFERROR(__xludf.DUMMYFUNCTION("""COMPUTED_VALUE"""),97.08)</f>
        <v>97.08</v>
      </c>
      <c r="K913" s="16"/>
      <c r="T913" s="17"/>
      <c r="AC913" s="17"/>
    </row>
    <row r="914">
      <c r="B914" s="11">
        <f>IFERROR(__xludf.DUMMYFUNCTION("""COMPUTED_VALUE"""),44692.66666666667)</f>
        <v>44692.66667</v>
      </c>
      <c r="C914" s="9">
        <f>IFERROR(__xludf.DUMMYFUNCTION("""COMPUTED_VALUE"""),97.72)</f>
        <v>97.72</v>
      </c>
      <c r="K914" s="16"/>
      <c r="T914" s="17"/>
      <c r="AC914" s="17"/>
    </row>
    <row r="915">
      <c r="B915" s="11">
        <f>IFERROR(__xludf.DUMMYFUNCTION("""COMPUTED_VALUE"""),44691.66666666667)</f>
        <v>44691.66667</v>
      </c>
      <c r="C915" s="9">
        <f>IFERROR(__xludf.DUMMYFUNCTION("""COMPUTED_VALUE"""),98.8)</f>
        <v>98.8</v>
      </c>
      <c r="K915" s="16"/>
      <c r="T915" s="17"/>
      <c r="AC915" s="17"/>
    </row>
    <row r="916">
      <c r="B916" s="11">
        <f>IFERROR(__xludf.DUMMYFUNCTION("""COMPUTED_VALUE"""),44690.66666666667)</f>
        <v>44690.66667</v>
      </c>
      <c r="C916" s="9">
        <f>IFERROR(__xludf.DUMMYFUNCTION("""COMPUTED_VALUE"""),98.62)</f>
        <v>98.62</v>
      </c>
      <c r="K916" s="16"/>
      <c r="T916" s="17"/>
      <c r="AC916" s="17"/>
    </row>
    <row r="917">
      <c r="B917" s="11">
        <f>IFERROR(__xludf.DUMMYFUNCTION("""COMPUTED_VALUE"""),44687.66666666667)</f>
        <v>44687.66667</v>
      </c>
      <c r="C917" s="9">
        <f>IFERROR(__xludf.DUMMYFUNCTION("""COMPUTED_VALUE"""),103.2)</f>
        <v>103.2</v>
      </c>
      <c r="K917" s="16"/>
      <c r="T917" s="17"/>
      <c r="AC917" s="17"/>
    </row>
    <row r="918">
      <c r="B918" s="11">
        <f>IFERROR(__xludf.DUMMYFUNCTION("""COMPUTED_VALUE"""),44686.66666666667)</f>
        <v>44686.66667</v>
      </c>
      <c r="C918" s="9">
        <f>IFERROR(__xludf.DUMMYFUNCTION("""COMPUTED_VALUE"""),103.89)</f>
        <v>103.89</v>
      </c>
      <c r="K918" s="16"/>
      <c r="T918" s="17"/>
      <c r="AC918" s="17"/>
    </row>
    <row r="919">
      <c r="B919" s="11">
        <f>IFERROR(__xludf.DUMMYFUNCTION("""COMPUTED_VALUE"""),44685.66666666667)</f>
        <v>44685.66667</v>
      </c>
      <c r="C919" s="9">
        <f>IFERROR(__xludf.DUMMYFUNCTION("""COMPUTED_VALUE"""),106.46)</f>
        <v>106.46</v>
      </c>
      <c r="K919" s="16"/>
      <c r="T919" s="17"/>
      <c r="AC919" s="17"/>
    </row>
    <row r="920">
      <c r="B920" s="11">
        <f>IFERROR(__xludf.DUMMYFUNCTION("""COMPUTED_VALUE"""),44684.66666666667)</f>
        <v>44684.66667</v>
      </c>
      <c r="C920" s="9">
        <f>IFERROR(__xludf.DUMMYFUNCTION("""COMPUTED_VALUE"""),103.73)</f>
        <v>103.73</v>
      </c>
      <c r="K920" s="16"/>
      <c r="T920" s="17"/>
      <c r="AC920" s="17"/>
    </row>
    <row r="921">
      <c r="B921" s="11">
        <f>IFERROR(__xludf.DUMMYFUNCTION("""COMPUTED_VALUE"""),44683.66666666667)</f>
        <v>44683.66667</v>
      </c>
      <c r="C921" s="9">
        <f>IFERROR(__xludf.DUMMYFUNCTION("""COMPUTED_VALUE"""),102.91)</f>
        <v>102.91</v>
      </c>
      <c r="K921" s="16"/>
      <c r="T921" s="17"/>
      <c r="AC921" s="17"/>
    </row>
    <row r="922">
      <c r="B922" s="11">
        <f>IFERROR(__xludf.DUMMYFUNCTION("""COMPUTED_VALUE"""),44680.66666666667)</f>
        <v>44680.66667</v>
      </c>
      <c r="C922" s="9">
        <f>IFERROR(__xludf.DUMMYFUNCTION("""COMPUTED_VALUE"""),102.86)</f>
        <v>102.86</v>
      </c>
      <c r="K922" s="16"/>
      <c r="T922" s="17"/>
      <c r="AC922" s="17"/>
    </row>
    <row r="923">
      <c r="B923" s="11">
        <f>IFERROR(__xludf.DUMMYFUNCTION("""COMPUTED_VALUE"""),44679.66666666667)</f>
        <v>44679.66667</v>
      </c>
      <c r="C923" s="9">
        <f>IFERROR(__xludf.DUMMYFUNCTION("""COMPUTED_VALUE"""),105.87)</f>
        <v>105.87</v>
      </c>
      <c r="K923" s="16"/>
      <c r="T923" s="17"/>
      <c r="AC923" s="17"/>
    </row>
    <row r="924">
      <c r="B924" s="11">
        <f>IFERROR(__xludf.DUMMYFUNCTION("""COMPUTED_VALUE"""),44678.66666666667)</f>
        <v>44678.66667</v>
      </c>
      <c r="C924" s="9">
        <f>IFERROR(__xludf.DUMMYFUNCTION("""COMPUTED_VALUE"""),105.3)</f>
        <v>105.3</v>
      </c>
      <c r="K924" s="16"/>
      <c r="T924" s="17"/>
      <c r="AC924" s="17"/>
    </row>
    <row r="925">
      <c r="B925" s="11">
        <f>IFERROR(__xludf.DUMMYFUNCTION("""COMPUTED_VALUE"""),44677.66666666667)</f>
        <v>44677.66667</v>
      </c>
      <c r="C925" s="9">
        <f>IFERROR(__xludf.DUMMYFUNCTION("""COMPUTED_VALUE"""),106.16)</f>
        <v>106.16</v>
      </c>
      <c r="K925" s="16"/>
      <c r="T925" s="17"/>
      <c r="AC925" s="17"/>
    </row>
    <row r="926">
      <c r="B926" s="11">
        <f>IFERROR(__xludf.DUMMYFUNCTION("""COMPUTED_VALUE"""),44676.66666666667)</f>
        <v>44676.66667</v>
      </c>
      <c r="C926" s="9">
        <f>IFERROR(__xludf.DUMMYFUNCTION("""COMPUTED_VALUE"""),107.64)</f>
        <v>107.64</v>
      </c>
      <c r="K926" s="16"/>
      <c r="T926" s="17"/>
      <c r="AC926" s="17"/>
    </row>
    <row r="927">
      <c r="B927" s="11">
        <f>IFERROR(__xludf.DUMMYFUNCTION("""COMPUTED_VALUE"""),44673.66666666667)</f>
        <v>44673.66667</v>
      </c>
      <c r="C927" s="9">
        <f>IFERROR(__xludf.DUMMYFUNCTION("""COMPUTED_VALUE"""),108.31)</f>
        <v>108.31</v>
      </c>
      <c r="K927" s="16"/>
      <c r="T927" s="17"/>
      <c r="AC927" s="17"/>
    </row>
    <row r="928">
      <c r="B928" s="11">
        <f>IFERROR(__xludf.DUMMYFUNCTION("""COMPUTED_VALUE"""),44672.66666666667)</f>
        <v>44672.66667</v>
      </c>
      <c r="C928" s="9">
        <f>IFERROR(__xludf.DUMMYFUNCTION("""COMPUTED_VALUE"""),109.25)</f>
        <v>109.25</v>
      </c>
      <c r="K928" s="16"/>
      <c r="T928" s="17"/>
      <c r="AC928" s="17"/>
    </row>
    <row r="929">
      <c r="B929" s="11">
        <f>IFERROR(__xludf.DUMMYFUNCTION("""COMPUTED_VALUE"""),44671.66666666667)</f>
        <v>44671.66667</v>
      </c>
      <c r="C929" s="9">
        <f>IFERROR(__xludf.DUMMYFUNCTION("""COMPUTED_VALUE"""),112.58)</f>
        <v>112.58</v>
      </c>
      <c r="K929" s="16"/>
      <c r="T929" s="17"/>
      <c r="AC929" s="17"/>
    </row>
    <row r="930">
      <c r="B930" s="11">
        <f>IFERROR(__xludf.DUMMYFUNCTION("""COMPUTED_VALUE"""),44670.66666666667)</f>
        <v>44670.66667</v>
      </c>
      <c r="C930" s="9">
        <f>IFERROR(__xludf.DUMMYFUNCTION("""COMPUTED_VALUE"""),112.65)</f>
        <v>112.65</v>
      </c>
      <c r="K930" s="16"/>
      <c r="T930" s="17"/>
      <c r="AC930" s="17"/>
    </row>
    <row r="931">
      <c r="B931" s="11">
        <f>IFERROR(__xludf.DUMMYFUNCTION("""COMPUTED_VALUE"""),44669.66666666667)</f>
        <v>44669.66667</v>
      </c>
      <c r="C931" s="9">
        <f>IFERROR(__xludf.DUMMYFUNCTION("""COMPUTED_VALUE"""),111.68)</f>
        <v>111.68</v>
      </c>
      <c r="K931" s="16"/>
      <c r="T931" s="17"/>
      <c r="AC931" s="17"/>
    </row>
    <row r="932">
      <c r="B932" s="11">
        <f>IFERROR(__xludf.DUMMYFUNCTION("""COMPUTED_VALUE"""),44665.66666666667)</f>
        <v>44665.66667</v>
      </c>
      <c r="C932" s="9">
        <f>IFERROR(__xludf.DUMMYFUNCTION("""COMPUTED_VALUE"""),111.92)</f>
        <v>111.92</v>
      </c>
      <c r="K932" s="16"/>
      <c r="T932" s="17"/>
      <c r="AC932" s="17"/>
    </row>
    <row r="933">
      <c r="B933" s="11">
        <f>IFERROR(__xludf.DUMMYFUNCTION("""COMPUTED_VALUE"""),44664.66666666667)</f>
        <v>44664.66667</v>
      </c>
      <c r="C933" s="9">
        <f>IFERROR(__xludf.DUMMYFUNCTION("""COMPUTED_VALUE"""),111.62)</f>
        <v>111.62</v>
      </c>
      <c r="K933" s="16"/>
      <c r="T933" s="17"/>
      <c r="AC933" s="17"/>
    </row>
    <row r="934">
      <c r="B934" s="11">
        <f>IFERROR(__xludf.DUMMYFUNCTION("""COMPUTED_VALUE"""),44663.66666666667)</f>
        <v>44663.66667</v>
      </c>
      <c r="C934" s="9">
        <f>IFERROR(__xludf.DUMMYFUNCTION("""COMPUTED_VALUE"""),110.66)</f>
        <v>110.66</v>
      </c>
      <c r="K934" s="16"/>
      <c r="T934" s="17"/>
      <c r="AC934" s="17"/>
    </row>
    <row r="935">
      <c r="B935" s="11">
        <f>IFERROR(__xludf.DUMMYFUNCTION("""COMPUTED_VALUE"""),44662.66666666667)</f>
        <v>44662.66667</v>
      </c>
      <c r="C935" s="9">
        <f>IFERROR(__xludf.DUMMYFUNCTION("""COMPUTED_VALUE"""),110.04)</f>
        <v>110.04</v>
      </c>
      <c r="K935" s="16"/>
      <c r="T935" s="17"/>
      <c r="AC935" s="17"/>
    </row>
    <row r="936">
      <c r="B936" s="11">
        <f>IFERROR(__xludf.DUMMYFUNCTION("""COMPUTED_VALUE"""),44659.66666666667)</f>
        <v>44659.66667</v>
      </c>
      <c r="C936" s="9">
        <f>IFERROR(__xludf.DUMMYFUNCTION("""COMPUTED_VALUE"""),109.66)</f>
        <v>109.66</v>
      </c>
      <c r="K936" s="16"/>
      <c r="T936" s="17"/>
      <c r="AC936" s="17"/>
    </row>
    <row r="937">
      <c r="B937" s="11">
        <f>IFERROR(__xludf.DUMMYFUNCTION("""COMPUTED_VALUE"""),44658.66666666667)</f>
        <v>44658.66667</v>
      </c>
      <c r="C937" s="9">
        <f>IFERROR(__xludf.DUMMYFUNCTION("""COMPUTED_VALUE"""),111.17)</f>
        <v>111.17</v>
      </c>
      <c r="K937" s="16"/>
      <c r="T937" s="17"/>
      <c r="AC937" s="17"/>
    </row>
    <row r="938">
      <c r="B938" s="11">
        <f>IFERROR(__xludf.DUMMYFUNCTION("""COMPUTED_VALUE"""),44657.66666666667)</f>
        <v>44657.66667</v>
      </c>
      <c r="C938" s="9">
        <f>IFERROR(__xludf.DUMMYFUNCTION("""COMPUTED_VALUE"""),109.59)</f>
        <v>109.59</v>
      </c>
      <c r="K938" s="16"/>
      <c r="T938" s="17"/>
      <c r="AC938" s="17"/>
    </row>
    <row r="939">
      <c r="B939" s="11">
        <f>IFERROR(__xludf.DUMMYFUNCTION("""COMPUTED_VALUE"""),44656.66666666667)</f>
        <v>44656.66667</v>
      </c>
      <c r="C939" s="9">
        <f>IFERROR(__xludf.DUMMYFUNCTION("""COMPUTED_VALUE"""),110.01)</f>
        <v>110.01</v>
      </c>
      <c r="K939" s="16"/>
      <c r="T939" s="17"/>
      <c r="AC939" s="17"/>
    </row>
    <row r="940">
      <c r="B940" s="11">
        <f>IFERROR(__xludf.DUMMYFUNCTION("""COMPUTED_VALUE"""),44655.66666666667)</f>
        <v>44655.66667</v>
      </c>
      <c r="C940" s="9">
        <f>IFERROR(__xludf.DUMMYFUNCTION("""COMPUTED_VALUE"""),111.33)</f>
        <v>111.33</v>
      </c>
      <c r="K940" s="16"/>
      <c r="T940" s="17"/>
      <c r="AC940" s="17"/>
    </row>
    <row r="941">
      <c r="B941" s="11">
        <f>IFERROR(__xludf.DUMMYFUNCTION("""COMPUTED_VALUE"""),44652.66666666667)</f>
        <v>44652.66667</v>
      </c>
      <c r="C941" s="9">
        <f>IFERROR(__xludf.DUMMYFUNCTION("""COMPUTED_VALUE"""),111.64)</f>
        <v>111.64</v>
      </c>
      <c r="K941" s="16"/>
      <c r="T941" s="17"/>
      <c r="AC941" s="17"/>
    </row>
    <row r="942">
      <c r="B942" s="11">
        <f>IFERROR(__xludf.DUMMYFUNCTION("""COMPUTED_VALUE"""),44651.66666666667)</f>
        <v>44651.66667</v>
      </c>
      <c r="C942" s="9">
        <f>IFERROR(__xludf.DUMMYFUNCTION("""COMPUTED_VALUE"""),110.79)</f>
        <v>110.79</v>
      </c>
      <c r="K942" s="16"/>
      <c r="T942" s="17"/>
      <c r="AC942" s="17"/>
    </row>
    <row r="943">
      <c r="B943" s="11">
        <f>IFERROR(__xludf.DUMMYFUNCTION("""COMPUTED_VALUE"""),44650.66666666667)</f>
        <v>44650.66667</v>
      </c>
      <c r="C943" s="9">
        <f>IFERROR(__xludf.DUMMYFUNCTION("""COMPUTED_VALUE"""),112.24)</f>
        <v>112.24</v>
      </c>
      <c r="K943" s="16"/>
      <c r="T943" s="17"/>
      <c r="AC943" s="17"/>
    </row>
    <row r="944">
      <c r="B944" s="11">
        <f>IFERROR(__xludf.DUMMYFUNCTION("""COMPUTED_VALUE"""),44649.66666666667)</f>
        <v>44649.66667</v>
      </c>
      <c r="C944" s="9">
        <f>IFERROR(__xludf.DUMMYFUNCTION("""COMPUTED_VALUE"""),112.02)</f>
        <v>112.02</v>
      </c>
      <c r="K944" s="16"/>
      <c r="T944" s="17"/>
      <c r="AC944" s="17"/>
    </row>
    <row r="945">
      <c r="B945" s="11">
        <f>IFERROR(__xludf.DUMMYFUNCTION("""COMPUTED_VALUE"""),44648.66666666667)</f>
        <v>44648.66667</v>
      </c>
      <c r="C945" s="9">
        <f>IFERROR(__xludf.DUMMYFUNCTION("""COMPUTED_VALUE"""),111.43)</f>
        <v>111.43</v>
      </c>
      <c r="K945" s="16"/>
      <c r="T945" s="17"/>
      <c r="AC945" s="17"/>
    </row>
    <row r="946">
      <c r="B946" s="11">
        <f>IFERROR(__xludf.DUMMYFUNCTION("""COMPUTED_VALUE"""),44645.66666666667)</f>
        <v>44645.66667</v>
      </c>
      <c r="C946" s="9">
        <f>IFERROR(__xludf.DUMMYFUNCTION("""COMPUTED_VALUE"""),112.95)</f>
        <v>112.95</v>
      </c>
      <c r="K946" s="16"/>
      <c r="T946" s="17"/>
      <c r="AC946" s="17"/>
    </row>
    <row r="947">
      <c r="B947" s="11">
        <f>IFERROR(__xludf.DUMMYFUNCTION("""COMPUTED_VALUE"""),44644.66666666667)</f>
        <v>44644.66667</v>
      </c>
      <c r="C947" s="9">
        <f>IFERROR(__xludf.DUMMYFUNCTION("""COMPUTED_VALUE"""),112.56)</f>
        <v>112.56</v>
      </c>
      <c r="K947" s="16"/>
      <c r="T947" s="17"/>
      <c r="AC947" s="17"/>
    </row>
    <row r="948">
      <c r="B948" s="11">
        <f>IFERROR(__xludf.DUMMYFUNCTION("""COMPUTED_VALUE"""),44643.66666666667)</f>
        <v>44643.66667</v>
      </c>
      <c r="C948" s="9">
        <f>IFERROR(__xludf.DUMMYFUNCTION("""COMPUTED_VALUE"""),111.49)</f>
        <v>111.49</v>
      </c>
      <c r="K948" s="16"/>
      <c r="T948" s="17"/>
      <c r="AC948" s="17"/>
    </row>
    <row r="949">
      <c r="B949" s="11">
        <f>IFERROR(__xludf.DUMMYFUNCTION("""COMPUTED_VALUE"""),44642.66666666667)</f>
        <v>44642.66667</v>
      </c>
      <c r="C949" s="9">
        <f>IFERROR(__xludf.DUMMYFUNCTION("""COMPUTED_VALUE"""),111.93)</f>
        <v>111.93</v>
      </c>
      <c r="K949" s="16"/>
      <c r="T949" s="17"/>
      <c r="AC949" s="17"/>
    </row>
    <row r="950">
      <c r="B950" s="11">
        <f>IFERROR(__xludf.DUMMYFUNCTION("""COMPUTED_VALUE"""),44641.66666666667)</f>
        <v>44641.66667</v>
      </c>
      <c r="C950" s="9">
        <f>IFERROR(__xludf.DUMMYFUNCTION("""COMPUTED_VALUE"""),110.6)</f>
        <v>110.6</v>
      </c>
      <c r="K950" s="16"/>
      <c r="T950" s="17"/>
      <c r="AC950" s="17"/>
    </row>
    <row r="951">
      <c r="B951" s="11">
        <f>IFERROR(__xludf.DUMMYFUNCTION("""COMPUTED_VALUE"""),44638.66666666667)</f>
        <v>44638.66667</v>
      </c>
      <c r="C951" s="9">
        <f>IFERROR(__xludf.DUMMYFUNCTION("""COMPUTED_VALUE"""),109.2)</f>
        <v>109.2</v>
      </c>
      <c r="K951" s="16"/>
      <c r="T951" s="17"/>
      <c r="AC951" s="17"/>
    </row>
    <row r="952">
      <c r="B952" s="11">
        <f>IFERROR(__xludf.DUMMYFUNCTION("""COMPUTED_VALUE"""),44637.66666666667)</f>
        <v>44637.66667</v>
      </c>
      <c r="C952" s="9">
        <f>IFERROR(__xludf.DUMMYFUNCTION("""COMPUTED_VALUE"""),108.56)</f>
        <v>108.56</v>
      </c>
      <c r="K952" s="16"/>
      <c r="T952" s="17"/>
      <c r="AC952" s="17"/>
    </row>
    <row r="953">
      <c r="B953" s="11">
        <f>IFERROR(__xludf.DUMMYFUNCTION("""COMPUTED_VALUE"""),44636.66666666667)</f>
        <v>44636.66667</v>
      </c>
      <c r="C953" s="9">
        <f>IFERROR(__xludf.DUMMYFUNCTION("""COMPUTED_VALUE"""),106.9)</f>
        <v>106.9</v>
      </c>
      <c r="K953" s="16"/>
      <c r="T953" s="17"/>
      <c r="AC953" s="17"/>
    </row>
    <row r="954">
      <c r="B954" s="11">
        <f>IFERROR(__xludf.DUMMYFUNCTION("""COMPUTED_VALUE"""),44635.66666666667)</f>
        <v>44635.66667</v>
      </c>
      <c r="C954" s="9">
        <f>IFERROR(__xludf.DUMMYFUNCTION("""COMPUTED_VALUE"""),107.14)</f>
        <v>107.14</v>
      </c>
      <c r="K954" s="16"/>
      <c r="T954" s="17"/>
      <c r="AC954" s="17"/>
    </row>
    <row r="955">
      <c r="B955" s="11">
        <f>IFERROR(__xludf.DUMMYFUNCTION("""COMPUTED_VALUE"""),44634.66666666667)</f>
        <v>44634.66667</v>
      </c>
      <c r="C955" s="9">
        <f>IFERROR(__xludf.DUMMYFUNCTION("""COMPUTED_VALUE"""),105.35)</f>
        <v>105.35</v>
      </c>
      <c r="K955" s="16"/>
      <c r="T955" s="17"/>
      <c r="AC955" s="17"/>
    </row>
    <row r="956">
      <c r="B956" s="11">
        <f>IFERROR(__xludf.DUMMYFUNCTION("""COMPUTED_VALUE"""),44631.66666666667)</f>
        <v>44631.66667</v>
      </c>
      <c r="C956" s="9">
        <f>IFERROR(__xludf.DUMMYFUNCTION("""COMPUTED_VALUE"""),105.84)</f>
        <v>105.84</v>
      </c>
      <c r="K956" s="16"/>
      <c r="T956" s="17"/>
      <c r="AC956" s="17"/>
    </row>
    <row r="957">
      <c r="B957" s="11">
        <f>IFERROR(__xludf.DUMMYFUNCTION("""COMPUTED_VALUE"""),44630.66666666667)</f>
        <v>44630.66667</v>
      </c>
      <c r="C957" s="9">
        <f>IFERROR(__xludf.DUMMYFUNCTION("""COMPUTED_VALUE"""),107.42)</f>
        <v>107.42</v>
      </c>
      <c r="K957" s="16"/>
      <c r="T957" s="17"/>
      <c r="AC957" s="17"/>
    </row>
    <row r="958">
      <c r="B958" s="11">
        <f>IFERROR(__xludf.DUMMYFUNCTION("""COMPUTED_VALUE"""),44629.66666666667)</f>
        <v>44629.66667</v>
      </c>
      <c r="C958" s="9">
        <f>IFERROR(__xludf.DUMMYFUNCTION("""COMPUTED_VALUE"""),107.52)</f>
        <v>107.52</v>
      </c>
      <c r="K958" s="16"/>
      <c r="T958" s="17"/>
      <c r="AC958" s="17"/>
    </row>
    <row r="959">
      <c r="B959" s="11">
        <f>IFERROR(__xludf.DUMMYFUNCTION("""COMPUTED_VALUE"""),44628.66666666667)</f>
        <v>44628.66667</v>
      </c>
      <c r="C959" s="9">
        <f>IFERROR(__xludf.DUMMYFUNCTION("""COMPUTED_VALUE"""),105.05)</f>
        <v>105.05</v>
      </c>
      <c r="K959" s="16"/>
      <c r="T959" s="17"/>
      <c r="AC959" s="17"/>
    </row>
    <row r="960">
      <c r="B960" s="11">
        <f>IFERROR(__xludf.DUMMYFUNCTION("""COMPUTED_VALUE"""),44627.66666666667)</f>
        <v>44627.66667</v>
      </c>
      <c r="C960" s="9">
        <f>IFERROR(__xludf.DUMMYFUNCTION("""COMPUTED_VALUE"""),107.11)</f>
        <v>107.11</v>
      </c>
      <c r="K960" s="16"/>
      <c r="T960" s="17"/>
      <c r="AC960" s="17"/>
    </row>
    <row r="961">
      <c r="B961" s="11">
        <f>IFERROR(__xludf.DUMMYFUNCTION("""COMPUTED_VALUE"""),44624.66666666667)</f>
        <v>44624.66667</v>
      </c>
      <c r="C961" s="9">
        <f>IFERROR(__xludf.DUMMYFUNCTION("""COMPUTED_VALUE"""),109.33)</f>
        <v>109.33</v>
      </c>
      <c r="K961" s="16"/>
      <c r="T961" s="17"/>
      <c r="AC961" s="17"/>
    </row>
    <row r="962">
      <c r="B962" s="11">
        <f>IFERROR(__xludf.DUMMYFUNCTION("""COMPUTED_VALUE"""),44623.66666666667)</f>
        <v>44623.66667</v>
      </c>
      <c r="C962" s="9">
        <f>IFERROR(__xludf.DUMMYFUNCTION("""COMPUTED_VALUE"""),109.85)</f>
        <v>109.85</v>
      </c>
      <c r="K962" s="16"/>
      <c r="T962" s="17"/>
      <c r="AC962" s="17"/>
    </row>
    <row r="963">
      <c r="B963" s="11">
        <f>IFERROR(__xludf.DUMMYFUNCTION("""COMPUTED_VALUE"""),44622.66666666667)</f>
        <v>44622.66667</v>
      </c>
      <c r="C963" s="9">
        <f>IFERROR(__xludf.DUMMYFUNCTION("""COMPUTED_VALUE"""),111.54)</f>
        <v>111.54</v>
      </c>
      <c r="K963" s="16"/>
      <c r="T963" s="17"/>
      <c r="AC963" s="17"/>
    </row>
    <row r="964">
      <c r="B964" s="11">
        <f>IFERROR(__xludf.DUMMYFUNCTION("""COMPUTED_VALUE"""),44621.66666666667)</f>
        <v>44621.66667</v>
      </c>
      <c r="C964" s="9">
        <f>IFERROR(__xludf.DUMMYFUNCTION("""COMPUTED_VALUE"""),110.71)</f>
        <v>110.71</v>
      </c>
      <c r="K964" s="16"/>
      <c r="T964" s="17"/>
      <c r="AC964" s="17"/>
    </row>
    <row r="965">
      <c r="B965" s="11">
        <f>IFERROR(__xludf.DUMMYFUNCTION("""COMPUTED_VALUE"""),44620.66666666667)</f>
        <v>44620.66667</v>
      </c>
      <c r="C965" s="9">
        <f>IFERROR(__xludf.DUMMYFUNCTION("""COMPUTED_VALUE"""),111.9)</f>
        <v>111.9</v>
      </c>
      <c r="K965" s="16"/>
      <c r="T965" s="17"/>
      <c r="AC965" s="17"/>
    </row>
    <row r="966">
      <c r="B966" s="11">
        <f>IFERROR(__xludf.DUMMYFUNCTION("""COMPUTED_VALUE"""),44617.66666666667)</f>
        <v>44617.66667</v>
      </c>
      <c r="C966" s="9">
        <f>IFERROR(__xludf.DUMMYFUNCTION("""COMPUTED_VALUE"""),107.63)</f>
        <v>107.63</v>
      </c>
      <c r="K966" s="16"/>
      <c r="T966" s="17"/>
      <c r="AC966" s="17"/>
    </row>
    <row r="967">
      <c r="B967" s="11">
        <f>IFERROR(__xludf.DUMMYFUNCTION("""COMPUTED_VALUE"""),44616.66666666667)</f>
        <v>44616.66667</v>
      </c>
      <c r="C967" s="9">
        <f>IFERROR(__xludf.DUMMYFUNCTION("""COMPUTED_VALUE"""),104.49)</f>
        <v>104.49</v>
      </c>
      <c r="K967" s="16"/>
      <c r="T967" s="17"/>
      <c r="AC967" s="17"/>
    </row>
    <row r="968">
      <c r="B968" s="11">
        <f>IFERROR(__xludf.DUMMYFUNCTION("""COMPUTED_VALUE"""),44615.66666666667)</f>
        <v>44615.66667</v>
      </c>
      <c r="C968" s="9">
        <f>IFERROR(__xludf.DUMMYFUNCTION("""COMPUTED_VALUE"""),101.69)</f>
        <v>101.69</v>
      </c>
      <c r="K968" s="16"/>
      <c r="T968" s="17"/>
      <c r="AC968" s="17"/>
    </row>
    <row r="969">
      <c r="B969" s="11">
        <f>IFERROR(__xludf.DUMMYFUNCTION("""COMPUTED_VALUE"""),44614.66666666667)</f>
        <v>44614.66667</v>
      </c>
      <c r="C969" s="9">
        <f>IFERROR(__xludf.DUMMYFUNCTION("""COMPUTED_VALUE"""),102.86)</f>
        <v>102.86</v>
      </c>
      <c r="K969" s="16"/>
      <c r="T969" s="17"/>
      <c r="AC969" s="17"/>
    </row>
    <row r="970">
      <c r="B970" s="11">
        <f>IFERROR(__xludf.DUMMYFUNCTION("""COMPUTED_VALUE"""),44610.66666666667)</f>
        <v>44610.66667</v>
      </c>
      <c r="C970" s="9">
        <f>IFERROR(__xludf.DUMMYFUNCTION("""COMPUTED_VALUE"""),104.3)</f>
        <v>104.3</v>
      </c>
      <c r="K970" s="16"/>
      <c r="T970" s="17"/>
      <c r="AC970" s="17"/>
    </row>
    <row r="971">
      <c r="B971" s="11">
        <f>IFERROR(__xludf.DUMMYFUNCTION("""COMPUTED_VALUE"""),44609.66666666667)</f>
        <v>44609.66667</v>
      </c>
      <c r="C971" s="9">
        <f>IFERROR(__xludf.DUMMYFUNCTION("""COMPUTED_VALUE"""),105.59)</f>
        <v>105.59</v>
      </c>
      <c r="K971" s="16"/>
      <c r="T971" s="17"/>
      <c r="AC971" s="17"/>
    </row>
    <row r="972">
      <c r="B972" s="11">
        <f>IFERROR(__xludf.DUMMYFUNCTION("""COMPUTED_VALUE"""),44608.66666666667)</f>
        <v>44608.66667</v>
      </c>
      <c r="C972" s="9">
        <f>IFERROR(__xludf.DUMMYFUNCTION("""COMPUTED_VALUE"""),106.97)</f>
        <v>106.97</v>
      </c>
      <c r="K972" s="16"/>
      <c r="T972" s="17"/>
      <c r="AC972" s="17"/>
    </row>
    <row r="973">
      <c r="B973" s="11">
        <f>IFERROR(__xludf.DUMMYFUNCTION("""COMPUTED_VALUE"""),44607.66666666667)</f>
        <v>44607.66667</v>
      </c>
      <c r="C973" s="9">
        <f>IFERROR(__xludf.DUMMYFUNCTION("""COMPUTED_VALUE"""),105.9)</f>
        <v>105.9</v>
      </c>
      <c r="K973" s="16"/>
      <c r="T973" s="17"/>
      <c r="AC973" s="17"/>
    </row>
    <row r="974">
      <c r="B974" s="11">
        <f>IFERROR(__xludf.DUMMYFUNCTION("""COMPUTED_VALUE"""),44606.66666666667)</f>
        <v>44606.66667</v>
      </c>
      <c r="C974" s="9">
        <f>IFERROR(__xludf.DUMMYFUNCTION("""COMPUTED_VALUE"""),104.09)</f>
        <v>104.09</v>
      </c>
      <c r="K974" s="16"/>
      <c r="T974" s="17"/>
      <c r="AC974" s="17"/>
    </row>
    <row r="975">
      <c r="B975" s="11">
        <f>IFERROR(__xludf.DUMMYFUNCTION("""COMPUTED_VALUE"""),44603.66666666667)</f>
        <v>44603.66667</v>
      </c>
      <c r="C975" s="9">
        <f>IFERROR(__xludf.DUMMYFUNCTION("""COMPUTED_VALUE"""),105.18)</f>
        <v>105.18</v>
      </c>
      <c r="K975" s="16"/>
      <c r="T975" s="17"/>
      <c r="AC975" s="17"/>
    </row>
    <row r="976">
      <c r="B976" s="11">
        <f>IFERROR(__xludf.DUMMYFUNCTION("""COMPUTED_VALUE"""),44602.66666666667)</f>
        <v>44602.66667</v>
      </c>
      <c r="C976" s="9">
        <f>IFERROR(__xludf.DUMMYFUNCTION("""COMPUTED_VALUE"""),105.55)</f>
        <v>105.55</v>
      </c>
      <c r="K976" s="16"/>
      <c r="T976" s="17"/>
      <c r="AC976" s="17"/>
    </row>
    <row r="977">
      <c r="B977" s="11">
        <f>IFERROR(__xludf.DUMMYFUNCTION("""COMPUTED_VALUE"""),44601.66666666667)</f>
        <v>44601.66667</v>
      </c>
      <c r="C977" s="9">
        <f>IFERROR(__xludf.DUMMYFUNCTION("""COMPUTED_VALUE"""),106.32)</f>
        <v>106.32</v>
      </c>
      <c r="K977" s="16"/>
      <c r="T977" s="17"/>
      <c r="AC977" s="17"/>
    </row>
    <row r="978">
      <c r="B978" s="11">
        <f>IFERROR(__xludf.DUMMYFUNCTION("""COMPUTED_VALUE"""),44600.66666666667)</f>
        <v>44600.66667</v>
      </c>
      <c r="C978" s="9">
        <f>IFERROR(__xludf.DUMMYFUNCTION("""COMPUTED_VALUE"""),105.05)</f>
        <v>105.05</v>
      </c>
      <c r="K978" s="16"/>
      <c r="T978" s="17"/>
      <c r="AC978" s="17"/>
    </row>
    <row r="979">
      <c r="B979" s="11">
        <f>IFERROR(__xludf.DUMMYFUNCTION("""COMPUTED_VALUE"""),44599.66666666667)</f>
        <v>44599.66667</v>
      </c>
      <c r="C979" s="9">
        <f>IFERROR(__xludf.DUMMYFUNCTION("""COMPUTED_VALUE"""),103.76)</f>
        <v>103.76</v>
      </c>
      <c r="K979" s="16"/>
      <c r="T979" s="17"/>
      <c r="AC979" s="17"/>
    </row>
    <row r="980">
      <c r="B980" s="11">
        <f>IFERROR(__xludf.DUMMYFUNCTION("""COMPUTED_VALUE"""),44596.66666666667)</f>
        <v>44596.66667</v>
      </c>
      <c r="C980" s="9">
        <f>IFERROR(__xludf.DUMMYFUNCTION("""COMPUTED_VALUE"""),102.42)</f>
        <v>102.42</v>
      </c>
      <c r="K980" s="16"/>
      <c r="T980" s="17"/>
      <c r="AC980" s="17"/>
    </row>
    <row r="981">
      <c r="B981" s="11">
        <f>IFERROR(__xludf.DUMMYFUNCTION("""COMPUTED_VALUE"""),44595.66666666667)</f>
        <v>44595.66667</v>
      </c>
      <c r="C981" s="9">
        <f>IFERROR(__xludf.DUMMYFUNCTION("""COMPUTED_VALUE"""),102.3)</f>
        <v>102.3</v>
      </c>
      <c r="K981" s="16"/>
      <c r="T981" s="17"/>
      <c r="AC981" s="17"/>
    </row>
    <row r="982">
      <c r="B982" s="11">
        <f>IFERROR(__xludf.DUMMYFUNCTION("""COMPUTED_VALUE"""),44594.66666666667)</f>
        <v>44594.66667</v>
      </c>
      <c r="C982" s="9">
        <f>IFERROR(__xludf.DUMMYFUNCTION("""COMPUTED_VALUE"""),102.96)</f>
        <v>102.96</v>
      </c>
      <c r="K982" s="16"/>
      <c r="T982" s="17"/>
      <c r="AC982" s="17"/>
    </row>
    <row r="983">
      <c r="B983" s="11">
        <f>IFERROR(__xludf.DUMMYFUNCTION("""COMPUTED_VALUE"""),44593.66666666667)</f>
        <v>44593.66667</v>
      </c>
      <c r="C983" s="9">
        <f>IFERROR(__xludf.DUMMYFUNCTION("""COMPUTED_VALUE"""),102.34)</f>
        <v>102.34</v>
      </c>
      <c r="K983" s="16"/>
      <c r="T983" s="17"/>
      <c r="AC983" s="17"/>
    </row>
    <row r="984">
      <c r="B984" s="11">
        <f>IFERROR(__xludf.DUMMYFUNCTION("""COMPUTED_VALUE"""),44592.66666666667)</f>
        <v>44592.66667</v>
      </c>
      <c r="C984" s="9">
        <f>IFERROR(__xludf.DUMMYFUNCTION("""COMPUTED_VALUE"""),101.13)</f>
        <v>101.13</v>
      </c>
      <c r="K984" s="16"/>
      <c r="T984" s="17"/>
      <c r="AC984" s="17"/>
    </row>
    <row r="985">
      <c r="B985" s="11">
        <f>IFERROR(__xludf.DUMMYFUNCTION("""COMPUTED_VALUE"""),44589.66666666667)</f>
        <v>44589.66667</v>
      </c>
      <c r="C985" s="9">
        <f>IFERROR(__xludf.DUMMYFUNCTION("""COMPUTED_VALUE"""),99.69)</f>
        <v>99.69</v>
      </c>
      <c r="K985" s="16"/>
      <c r="T985" s="17"/>
      <c r="AC985" s="17"/>
    </row>
    <row r="986">
      <c r="B986" s="11">
        <f>IFERROR(__xludf.DUMMYFUNCTION("""COMPUTED_VALUE"""),44588.66666666667)</f>
        <v>44588.66667</v>
      </c>
      <c r="C986" s="9">
        <f>IFERROR(__xludf.DUMMYFUNCTION("""COMPUTED_VALUE"""),98.82)</f>
        <v>98.82</v>
      </c>
      <c r="K986" s="16"/>
      <c r="T986" s="17"/>
      <c r="AC986" s="17"/>
    </row>
    <row r="987">
      <c r="B987" s="11">
        <f>IFERROR(__xludf.DUMMYFUNCTION("""COMPUTED_VALUE"""),44587.66666666667)</f>
        <v>44587.66667</v>
      </c>
      <c r="C987" s="9">
        <f>IFERROR(__xludf.DUMMYFUNCTION("""COMPUTED_VALUE"""),100.77)</f>
        <v>100.77</v>
      </c>
      <c r="K987" s="16"/>
      <c r="T987" s="17"/>
      <c r="AC987" s="17"/>
    </row>
    <row r="988">
      <c r="B988" s="11">
        <f>IFERROR(__xludf.DUMMYFUNCTION("""COMPUTED_VALUE"""),44586.66666666667)</f>
        <v>44586.66667</v>
      </c>
      <c r="C988" s="9">
        <f>IFERROR(__xludf.DUMMYFUNCTION("""COMPUTED_VALUE"""),102.62)</f>
        <v>102.62</v>
      </c>
      <c r="K988" s="16"/>
      <c r="T988" s="17"/>
      <c r="AC988" s="17"/>
    </row>
    <row r="989">
      <c r="B989" s="11">
        <f>IFERROR(__xludf.DUMMYFUNCTION("""COMPUTED_VALUE"""),44585.66666666667)</f>
        <v>44585.66667</v>
      </c>
      <c r="C989" s="9">
        <f>IFERROR(__xludf.DUMMYFUNCTION("""COMPUTED_VALUE"""),102.92)</f>
        <v>102.92</v>
      </c>
      <c r="K989" s="16"/>
      <c r="T989" s="17"/>
      <c r="AC989" s="17"/>
    </row>
    <row r="990">
      <c r="B990" s="11">
        <f>IFERROR(__xludf.DUMMYFUNCTION("""COMPUTED_VALUE"""),44582.66666666667)</f>
        <v>44582.66667</v>
      </c>
      <c r="C990" s="9">
        <f>IFERROR(__xludf.DUMMYFUNCTION("""COMPUTED_VALUE"""),102.22)</f>
        <v>102.22</v>
      </c>
      <c r="K990" s="16"/>
      <c r="T990" s="17"/>
      <c r="AC990" s="17"/>
    </row>
    <row r="991">
      <c r="B991" s="11">
        <f>IFERROR(__xludf.DUMMYFUNCTION("""COMPUTED_VALUE"""),44581.66666666667)</f>
        <v>44581.66667</v>
      </c>
      <c r="C991" s="9">
        <f>IFERROR(__xludf.DUMMYFUNCTION("""COMPUTED_VALUE"""),104.21)</f>
        <v>104.21</v>
      </c>
      <c r="K991" s="16"/>
      <c r="T991" s="17"/>
      <c r="AC991" s="17"/>
    </row>
    <row r="992">
      <c r="B992" s="11">
        <f>IFERROR(__xludf.DUMMYFUNCTION("""COMPUTED_VALUE"""),44580.66666666667)</f>
        <v>44580.66667</v>
      </c>
      <c r="C992" s="9">
        <f>IFERROR(__xludf.DUMMYFUNCTION("""COMPUTED_VALUE"""),105.3)</f>
        <v>105.3</v>
      </c>
      <c r="K992" s="16"/>
      <c r="T992" s="17"/>
      <c r="AC992" s="17"/>
    </row>
    <row r="993">
      <c r="B993" s="11">
        <f>IFERROR(__xludf.DUMMYFUNCTION("""COMPUTED_VALUE"""),44579.66666666667)</f>
        <v>44579.66667</v>
      </c>
      <c r="C993" s="9">
        <f>IFERROR(__xludf.DUMMYFUNCTION("""COMPUTED_VALUE"""),106.69)</f>
        <v>106.69</v>
      </c>
      <c r="K993" s="16"/>
      <c r="T993" s="17"/>
      <c r="AC993" s="17"/>
    </row>
    <row r="994">
      <c r="B994" s="11">
        <f>IFERROR(__xludf.DUMMYFUNCTION("""COMPUTED_VALUE"""),44575.66666666667)</f>
        <v>44575.66667</v>
      </c>
      <c r="C994" s="9">
        <f>IFERROR(__xludf.DUMMYFUNCTION("""COMPUTED_VALUE"""),108.08)</f>
        <v>108.08</v>
      </c>
      <c r="K994" s="16"/>
      <c r="T994" s="17"/>
      <c r="AC994" s="17"/>
    </row>
    <row r="995">
      <c r="B995" s="11">
        <f>IFERROR(__xludf.DUMMYFUNCTION("""COMPUTED_VALUE"""),44574.66666666667)</f>
        <v>44574.66667</v>
      </c>
      <c r="C995" s="9">
        <f>IFERROR(__xludf.DUMMYFUNCTION("""COMPUTED_VALUE"""),107.19)</f>
        <v>107.19</v>
      </c>
      <c r="K995" s="16"/>
      <c r="T995" s="17"/>
      <c r="AC995" s="17"/>
    </row>
    <row r="996">
      <c r="B996" s="11">
        <f>IFERROR(__xludf.DUMMYFUNCTION("""COMPUTED_VALUE"""),44573.66666666667)</f>
        <v>44573.66667</v>
      </c>
      <c r="C996" s="9">
        <f>IFERROR(__xludf.DUMMYFUNCTION("""COMPUTED_VALUE"""),106.68)</f>
        <v>106.68</v>
      </c>
      <c r="K996" s="16"/>
      <c r="T996" s="17"/>
      <c r="AC996" s="17"/>
    </row>
    <row r="997">
      <c r="B997" s="11">
        <f>IFERROR(__xludf.DUMMYFUNCTION("""COMPUTED_VALUE"""),44572.66666666667)</f>
        <v>44572.66667</v>
      </c>
      <c r="C997" s="9">
        <f>IFERROR(__xludf.DUMMYFUNCTION("""COMPUTED_VALUE"""),106.64)</f>
        <v>106.64</v>
      </c>
      <c r="K997" s="16"/>
      <c r="T997" s="17"/>
      <c r="AC997" s="17"/>
    </row>
    <row r="998">
      <c r="B998" s="11">
        <f>IFERROR(__xludf.DUMMYFUNCTION("""COMPUTED_VALUE"""),44571.66666666667)</f>
        <v>44571.66667</v>
      </c>
      <c r="C998" s="9">
        <f>IFERROR(__xludf.DUMMYFUNCTION("""COMPUTED_VALUE"""),105.42)</f>
        <v>105.42</v>
      </c>
      <c r="K998" s="16"/>
      <c r="T998" s="17"/>
      <c r="AC998" s="17"/>
    </row>
    <row r="999">
      <c r="B999" s="11">
        <f>IFERROR(__xludf.DUMMYFUNCTION("""COMPUTED_VALUE"""),44568.66666666667)</f>
        <v>44568.66667</v>
      </c>
      <c r="C999" s="9">
        <f>IFERROR(__xludf.DUMMYFUNCTION("""COMPUTED_VALUE"""),106.41)</f>
        <v>106.41</v>
      </c>
      <c r="K999" s="16"/>
      <c r="T999" s="17"/>
      <c r="AC999" s="17"/>
    </row>
    <row r="1000">
      <c r="B1000" s="11">
        <f>IFERROR(__xludf.DUMMYFUNCTION("""COMPUTED_VALUE"""),44567.66666666667)</f>
        <v>44567.66667</v>
      </c>
      <c r="C1000" s="9">
        <f>IFERROR(__xludf.DUMMYFUNCTION("""COMPUTED_VALUE"""),105.54)</f>
        <v>105.54</v>
      </c>
      <c r="K1000" s="16"/>
      <c r="T1000" s="17"/>
      <c r="AC1000" s="17"/>
    </row>
    <row r="1001">
      <c r="B1001" s="11">
        <f>IFERROR(__xludf.DUMMYFUNCTION("""COMPUTED_VALUE"""),44566.66666666667)</f>
        <v>44566.66667</v>
      </c>
      <c r="C1001" s="9">
        <f>IFERROR(__xludf.DUMMYFUNCTION("""COMPUTED_VALUE"""),105.19)</f>
        <v>105.19</v>
      </c>
      <c r="K1001" s="16"/>
      <c r="T1001" s="17"/>
      <c r="AC1001" s="17"/>
    </row>
    <row r="1002">
      <c r="B1002" s="11">
        <f>IFERROR(__xludf.DUMMYFUNCTION("""COMPUTED_VALUE"""),44565.66666666667)</f>
        <v>44565.66667</v>
      </c>
      <c r="C1002" s="9">
        <f>IFERROR(__xludf.DUMMYFUNCTION("""COMPUTED_VALUE"""),106.26)</f>
        <v>106.26</v>
      </c>
      <c r="K1002" s="16"/>
      <c r="T1002" s="17"/>
      <c r="AC1002" s="17"/>
    </row>
    <row r="1003">
      <c r="B1003" s="11">
        <f>IFERROR(__xludf.DUMMYFUNCTION("""COMPUTED_VALUE"""),44564.66666666667)</f>
        <v>44564.66667</v>
      </c>
      <c r="C1003" s="9">
        <f>IFERROR(__xludf.DUMMYFUNCTION("""COMPUTED_VALUE"""),103.75)</f>
        <v>103.75</v>
      </c>
      <c r="K1003" s="16"/>
      <c r="T1003" s="17"/>
      <c r="AC1003" s="17"/>
    </row>
    <row r="1004">
      <c r="B1004" s="11">
        <f>IFERROR(__xludf.DUMMYFUNCTION("""COMPUTED_VALUE"""),44561.66666666667)</f>
        <v>44561.66667</v>
      </c>
      <c r="C1004" s="9">
        <f>IFERROR(__xludf.DUMMYFUNCTION("""COMPUTED_VALUE"""),102.78)</f>
        <v>102.78</v>
      </c>
      <c r="K1004" s="16"/>
      <c r="T1004" s="17"/>
      <c r="AC1004" s="17"/>
    </row>
    <row r="1005">
      <c r="B1005" s="11">
        <f>IFERROR(__xludf.DUMMYFUNCTION("""COMPUTED_VALUE"""),44560.66666666667)</f>
        <v>44560.66667</v>
      </c>
      <c r="C1005" s="9">
        <f>IFERROR(__xludf.DUMMYFUNCTION("""COMPUTED_VALUE"""),102.72)</f>
        <v>102.72</v>
      </c>
      <c r="K1005" s="16"/>
      <c r="T1005" s="17"/>
      <c r="AC1005" s="17"/>
    </row>
    <row r="1006">
      <c r="B1006" s="11">
        <f>IFERROR(__xludf.DUMMYFUNCTION("""COMPUTED_VALUE"""),44559.66666666667)</f>
        <v>44559.66667</v>
      </c>
      <c r="C1006" s="9">
        <f>IFERROR(__xludf.DUMMYFUNCTION("""COMPUTED_VALUE"""),102.82)</f>
        <v>102.82</v>
      </c>
      <c r="K1006" s="16"/>
      <c r="T1006" s="17"/>
      <c r="AC1006" s="17"/>
    </row>
    <row r="1007">
      <c r="B1007" s="11">
        <f>IFERROR(__xludf.DUMMYFUNCTION("""COMPUTED_VALUE"""),44558.66666666667)</f>
        <v>44558.66667</v>
      </c>
      <c r="C1007" s="9">
        <f>IFERROR(__xludf.DUMMYFUNCTION("""COMPUTED_VALUE"""),103.26)</f>
        <v>103.26</v>
      </c>
      <c r="K1007" s="16"/>
      <c r="T1007" s="17"/>
      <c r="AC1007" s="17"/>
    </row>
    <row r="1008">
      <c r="B1008" s="11">
        <f>IFERROR(__xludf.DUMMYFUNCTION("""COMPUTED_VALUE"""),44557.66666666667)</f>
        <v>44557.66667</v>
      </c>
      <c r="C1008" s="9">
        <f>IFERROR(__xludf.DUMMYFUNCTION("""COMPUTED_VALUE"""),102.64)</f>
        <v>102.64</v>
      </c>
      <c r="K1008" s="16"/>
      <c r="T1008" s="17"/>
      <c r="AC1008" s="17"/>
    </row>
    <row r="1009">
      <c r="B1009" s="11">
        <f>IFERROR(__xludf.DUMMYFUNCTION("""COMPUTED_VALUE"""),44553.66666666667)</f>
        <v>44553.66667</v>
      </c>
      <c r="C1009" s="9">
        <f>IFERROR(__xludf.DUMMYFUNCTION("""COMPUTED_VALUE"""),102.32)</f>
        <v>102.32</v>
      </c>
      <c r="K1009" s="16"/>
      <c r="T1009" s="17"/>
      <c r="AC1009" s="17"/>
    </row>
    <row r="1010">
      <c r="B1010" s="11">
        <f>IFERROR(__xludf.DUMMYFUNCTION("""COMPUTED_VALUE"""),44552.66666666667)</f>
        <v>44552.66667</v>
      </c>
      <c r="C1010" s="9">
        <f>IFERROR(__xludf.DUMMYFUNCTION("""COMPUTED_VALUE"""),101.21)</f>
        <v>101.21</v>
      </c>
      <c r="K1010" s="16"/>
      <c r="T1010" s="17"/>
      <c r="AC1010" s="17"/>
    </row>
    <row r="1011">
      <c r="B1011" s="11">
        <f>IFERROR(__xludf.DUMMYFUNCTION("""COMPUTED_VALUE"""),44551.66666666667)</f>
        <v>44551.66667</v>
      </c>
      <c r="C1011" s="9">
        <f>IFERROR(__xludf.DUMMYFUNCTION("""COMPUTED_VALUE"""),100.72)</f>
        <v>100.72</v>
      </c>
      <c r="K1011" s="16"/>
      <c r="T1011" s="17"/>
      <c r="AC1011" s="17"/>
    </row>
    <row r="1012">
      <c r="B1012" s="11">
        <f>IFERROR(__xludf.DUMMYFUNCTION("""COMPUTED_VALUE"""),44550.66666666667)</f>
        <v>44550.66667</v>
      </c>
      <c r="C1012" s="9">
        <f>IFERROR(__xludf.DUMMYFUNCTION("""COMPUTED_VALUE"""),97.04)</f>
        <v>97.04</v>
      </c>
      <c r="K1012" s="16"/>
      <c r="T1012" s="17"/>
      <c r="AC1012" s="17"/>
    </row>
    <row r="1013">
      <c r="B1013" s="11">
        <f>IFERROR(__xludf.DUMMYFUNCTION("""COMPUTED_VALUE"""),44547.66666666667)</f>
        <v>44547.66667</v>
      </c>
      <c r="C1013" s="9">
        <f>IFERROR(__xludf.DUMMYFUNCTION("""COMPUTED_VALUE"""),98.5)</f>
        <v>98.5</v>
      </c>
      <c r="K1013" s="16"/>
      <c r="T1013" s="17"/>
      <c r="AC1013" s="17"/>
    </row>
    <row r="1014">
      <c r="B1014" s="11">
        <f>IFERROR(__xludf.DUMMYFUNCTION("""COMPUTED_VALUE"""),44546.66666666667)</f>
        <v>44546.66667</v>
      </c>
      <c r="C1014" s="9">
        <f>IFERROR(__xludf.DUMMYFUNCTION("""COMPUTED_VALUE"""),98.48)</f>
        <v>98.48</v>
      </c>
      <c r="K1014" s="16"/>
      <c r="T1014" s="17"/>
      <c r="AC1014" s="17"/>
    </row>
    <row r="1015">
      <c r="B1015" s="11">
        <f>IFERROR(__xludf.DUMMYFUNCTION("""COMPUTED_VALUE"""),44545.66666666667)</f>
        <v>44545.66667</v>
      </c>
      <c r="C1015" s="9">
        <f>IFERROR(__xludf.DUMMYFUNCTION("""COMPUTED_VALUE"""),99.71)</f>
        <v>99.71</v>
      </c>
      <c r="K1015" s="16"/>
      <c r="T1015" s="17"/>
      <c r="AC1015" s="17"/>
    </row>
    <row r="1016">
      <c r="B1016" s="11">
        <f>IFERROR(__xludf.DUMMYFUNCTION("""COMPUTED_VALUE"""),44544.66666666667)</f>
        <v>44544.66667</v>
      </c>
      <c r="C1016" s="9">
        <f>IFERROR(__xludf.DUMMYFUNCTION("""COMPUTED_VALUE"""),99.18)</f>
        <v>99.18</v>
      </c>
      <c r="K1016" s="16"/>
      <c r="T1016" s="17"/>
      <c r="AC1016" s="17"/>
    </row>
    <row r="1017">
      <c r="B1017" s="11">
        <f>IFERROR(__xludf.DUMMYFUNCTION("""COMPUTED_VALUE"""),44543.66666666667)</f>
        <v>44543.66667</v>
      </c>
      <c r="C1017" s="9">
        <f>IFERROR(__xludf.DUMMYFUNCTION("""COMPUTED_VALUE"""),99.87)</f>
        <v>99.87</v>
      </c>
      <c r="K1017" s="16"/>
      <c r="T1017" s="17"/>
      <c r="AC1017" s="17"/>
    </row>
    <row r="1018">
      <c r="B1018" s="11">
        <f>IFERROR(__xludf.DUMMYFUNCTION("""COMPUTED_VALUE"""),44540.66666666667)</f>
        <v>44540.66667</v>
      </c>
      <c r="C1018" s="9">
        <f>IFERROR(__xludf.DUMMYFUNCTION("""COMPUTED_VALUE"""),101.86)</f>
        <v>101.86</v>
      </c>
      <c r="K1018" s="16"/>
      <c r="T1018" s="17"/>
      <c r="AC1018" s="17"/>
    </row>
    <row r="1019">
      <c r="B1019" s="11">
        <f>IFERROR(__xludf.DUMMYFUNCTION("""COMPUTED_VALUE"""),44539.66666666667)</f>
        <v>44539.66667</v>
      </c>
      <c r="C1019" s="9">
        <f>IFERROR(__xludf.DUMMYFUNCTION("""COMPUTED_VALUE"""),102.06)</f>
        <v>102.06</v>
      </c>
      <c r="K1019" s="16"/>
      <c r="T1019" s="17"/>
      <c r="AC1019" s="17"/>
    </row>
    <row r="1020">
      <c r="B1020" s="11">
        <f>IFERROR(__xludf.DUMMYFUNCTION("""COMPUTED_VALUE"""),44538.66666666667)</f>
        <v>44538.66667</v>
      </c>
      <c r="C1020" s="9">
        <f>IFERROR(__xludf.DUMMYFUNCTION("""COMPUTED_VALUE"""),102.86)</f>
        <v>102.86</v>
      </c>
      <c r="K1020" s="16"/>
      <c r="T1020" s="17"/>
      <c r="AC1020" s="17"/>
    </row>
    <row r="1021">
      <c r="B1021" s="11">
        <f>IFERROR(__xludf.DUMMYFUNCTION("""COMPUTED_VALUE"""),44537.66666666667)</f>
        <v>44537.66667</v>
      </c>
      <c r="C1021" s="9">
        <f>IFERROR(__xludf.DUMMYFUNCTION("""COMPUTED_VALUE"""),101.73)</f>
        <v>101.73</v>
      </c>
      <c r="K1021" s="16"/>
      <c r="T1021" s="17"/>
      <c r="AC1021" s="17"/>
    </row>
    <row r="1022">
      <c r="B1022" s="11">
        <f>IFERROR(__xludf.DUMMYFUNCTION("""COMPUTED_VALUE"""),44536.66666666667)</f>
        <v>44536.66667</v>
      </c>
      <c r="C1022" s="9">
        <f>IFERROR(__xludf.DUMMYFUNCTION("""COMPUTED_VALUE"""),100.93)</f>
        <v>100.93</v>
      </c>
      <c r="K1022" s="16"/>
      <c r="T1022" s="17"/>
      <c r="AC1022" s="17"/>
    </row>
    <row r="1023">
      <c r="B1023" s="11">
        <f>IFERROR(__xludf.DUMMYFUNCTION("""COMPUTED_VALUE"""),44533.66666666667)</f>
        <v>44533.66667</v>
      </c>
      <c r="C1023" s="9">
        <f>IFERROR(__xludf.DUMMYFUNCTION("""COMPUTED_VALUE"""),98.36)</f>
        <v>98.36</v>
      </c>
      <c r="K1023" s="16"/>
      <c r="T1023" s="17"/>
      <c r="AC1023" s="17"/>
    </row>
    <row r="1024">
      <c r="B1024" s="11">
        <f>IFERROR(__xludf.DUMMYFUNCTION("""COMPUTED_VALUE"""),44532.66666666667)</f>
        <v>44532.66667</v>
      </c>
      <c r="C1024" s="9">
        <f>IFERROR(__xludf.DUMMYFUNCTION("""COMPUTED_VALUE"""),99.1)</f>
        <v>99.1</v>
      </c>
      <c r="K1024" s="16"/>
      <c r="T1024" s="17"/>
      <c r="AC1024" s="17"/>
    </row>
    <row r="1025">
      <c r="B1025" s="11">
        <f>IFERROR(__xludf.DUMMYFUNCTION("""COMPUTED_VALUE"""),44531.66666666667)</f>
        <v>44531.66667</v>
      </c>
      <c r="C1025" s="9">
        <f>IFERROR(__xludf.DUMMYFUNCTION("""COMPUTED_VALUE"""),95.53)</f>
        <v>95.53</v>
      </c>
      <c r="K1025" s="16"/>
      <c r="T1025" s="17"/>
      <c r="AC1025" s="17"/>
    </row>
    <row r="1026">
      <c r="B1026" s="11">
        <f>IFERROR(__xludf.DUMMYFUNCTION("""COMPUTED_VALUE"""),44530.66666666667)</f>
        <v>44530.66667</v>
      </c>
      <c r="C1026" s="9">
        <f>IFERROR(__xludf.DUMMYFUNCTION("""COMPUTED_VALUE"""),98.1)</f>
        <v>98.1</v>
      </c>
      <c r="K1026" s="16"/>
      <c r="T1026" s="17"/>
      <c r="AC1026" s="17"/>
    </row>
    <row r="1027">
      <c r="B1027" s="11">
        <f>IFERROR(__xludf.DUMMYFUNCTION("""COMPUTED_VALUE"""),44529.66666666667)</f>
        <v>44529.66667</v>
      </c>
      <c r="C1027" s="9">
        <f>IFERROR(__xludf.DUMMYFUNCTION("""COMPUTED_VALUE"""),100.01)</f>
        <v>100.01</v>
      </c>
      <c r="K1027" s="16"/>
      <c r="T1027" s="17"/>
      <c r="AC1027" s="17"/>
    </row>
    <row r="1028">
      <c r="B1028" s="11">
        <f>IFERROR(__xludf.DUMMYFUNCTION("""COMPUTED_VALUE"""),44526.5)</f>
        <v>44526.5</v>
      </c>
      <c r="C1028" s="9">
        <f>IFERROR(__xludf.DUMMYFUNCTION("""COMPUTED_VALUE"""),99.88)</f>
        <v>99.88</v>
      </c>
      <c r="K1028" s="16"/>
      <c r="T1028" s="17"/>
      <c r="AC1028" s="17"/>
    </row>
    <row r="1029">
      <c r="B1029" s="11">
        <f>IFERROR(__xludf.DUMMYFUNCTION("""COMPUTED_VALUE"""),44524.66666666667)</f>
        <v>44524.66667</v>
      </c>
      <c r="C1029" s="9">
        <f>IFERROR(__xludf.DUMMYFUNCTION("""COMPUTED_VALUE"""),104.52)</f>
        <v>104.52</v>
      </c>
      <c r="K1029" s="16"/>
      <c r="T1029" s="17"/>
      <c r="AC1029" s="17"/>
    </row>
    <row r="1030">
      <c r="B1030" s="11">
        <f>IFERROR(__xludf.DUMMYFUNCTION("""COMPUTED_VALUE"""),44523.66666666667)</f>
        <v>44523.66667</v>
      </c>
      <c r="C1030" s="9">
        <f>IFERROR(__xludf.DUMMYFUNCTION("""COMPUTED_VALUE"""),104.48)</f>
        <v>104.48</v>
      </c>
      <c r="K1030" s="16"/>
      <c r="T1030" s="17"/>
      <c r="AC1030" s="17"/>
    </row>
    <row r="1031">
      <c r="B1031" s="11">
        <f>IFERROR(__xludf.DUMMYFUNCTION("""COMPUTED_VALUE"""),44522.66666666667)</f>
        <v>44522.66667</v>
      </c>
      <c r="C1031" s="9">
        <f>IFERROR(__xludf.DUMMYFUNCTION("""COMPUTED_VALUE"""),104.55)</f>
        <v>104.55</v>
      </c>
      <c r="K1031" s="16"/>
      <c r="T1031" s="17"/>
      <c r="AC1031" s="17"/>
    </row>
    <row r="1032">
      <c r="B1032" s="11">
        <f>IFERROR(__xludf.DUMMYFUNCTION("""COMPUTED_VALUE"""),44519.66666666667)</f>
        <v>44519.66667</v>
      </c>
      <c r="C1032" s="9">
        <f>IFERROR(__xludf.DUMMYFUNCTION("""COMPUTED_VALUE"""),104.18)</f>
        <v>104.18</v>
      </c>
      <c r="K1032" s="16"/>
      <c r="T1032" s="17"/>
      <c r="AC1032" s="17"/>
    </row>
    <row r="1033">
      <c r="B1033" s="11">
        <f>IFERROR(__xludf.DUMMYFUNCTION("""COMPUTED_VALUE"""),44518.66666666667)</f>
        <v>44518.66667</v>
      </c>
      <c r="C1033" s="9">
        <f>IFERROR(__xludf.DUMMYFUNCTION("""COMPUTED_VALUE"""),106.53)</f>
        <v>106.53</v>
      </c>
      <c r="K1033" s="16"/>
      <c r="T1033" s="17"/>
      <c r="AC1033" s="17"/>
    </row>
    <row r="1034">
      <c r="B1034" s="11">
        <f>IFERROR(__xludf.DUMMYFUNCTION("""COMPUTED_VALUE"""),44517.66666666667)</f>
        <v>44517.66667</v>
      </c>
      <c r="C1034" s="9">
        <f>IFERROR(__xludf.DUMMYFUNCTION("""COMPUTED_VALUE"""),106.71)</f>
        <v>106.71</v>
      </c>
      <c r="K1034" s="16"/>
      <c r="T1034" s="17"/>
      <c r="AC1034" s="17"/>
    </row>
    <row r="1035">
      <c r="B1035" s="11">
        <f>IFERROR(__xludf.DUMMYFUNCTION("""COMPUTED_VALUE"""),44516.66666666667)</f>
        <v>44516.66667</v>
      </c>
      <c r="C1035" s="9">
        <f>IFERROR(__xludf.DUMMYFUNCTION("""COMPUTED_VALUE"""),106.93)</f>
        <v>106.93</v>
      </c>
      <c r="K1035" s="16"/>
      <c r="T1035" s="17"/>
      <c r="AC1035" s="17"/>
    </row>
    <row r="1036">
      <c r="B1036" s="11">
        <f>IFERROR(__xludf.DUMMYFUNCTION("""COMPUTED_VALUE"""),44515.66666666667)</f>
        <v>44515.66667</v>
      </c>
      <c r="C1036" s="9">
        <f>IFERROR(__xludf.DUMMYFUNCTION("""COMPUTED_VALUE"""),108.35)</f>
        <v>108.35</v>
      </c>
      <c r="K1036" s="16"/>
      <c r="T1036" s="17"/>
      <c r="AC1036" s="17"/>
    </row>
    <row r="1037">
      <c r="B1037" s="11">
        <f>IFERROR(__xludf.DUMMYFUNCTION("""COMPUTED_VALUE"""),44512.66666666667)</f>
        <v>44512.66667</v>
      </c>
      <c r="C1037" s="9">
        <f>IFERROR(__xludf.DUMMYFUNCTION("""COMPUTED_VALUE"""),106.86)</f>
        <v>106.86</v>
      </c>
      <c r="K1037" s="16"/>
      <c r="T1037" s="17"/>
      <c r="AC1037" s="17"/>
    </row>
    <row r="1038">
      <c r="B1038" s="11">
        <f>IFERROR(__xludf.DUMMYFUNCTION("""COMPUTED_VALUE"""),44511.66666666667)</f>
        <v>44511.66667</v>
      </c>
      <c r="C1038" s="9">
        <f>IFERROR(__xludf.DUMMYFUNCTION("""COMPUTED_VALUE"""),106.69)</f>
        <v>106.69</v>
      </c>
      <c r="K1038" s="16"/>
      <c r="T1038" s="17"/>
      <c r="AC1038" s="17"/>
    </row>
    <row r="1039">
      <c r="B1039" s="11">
        <f>IFERROR(__xludf.DUMMYFUNCTION("""COMPUTED_VALUE"""),44510.66666666667)</f>
        <v>44510.66667</v>
      </c>
      <c r="C1039" s="9">
        <f>IFERROR(__xludf.DUMMYFUNCTION("""COMPUTED_VALUE"""),107.56)</f>
        <v>107.56</v>
      </c>
      <c r="K1039" s="16"/>
      <c r="T1039" s="17"/>
      <c r="AC1039" s="17"/>
    </row>
    <row r="1040">
      <c r="B1040" s="11">
        <f>IFERROR(__xludf.DUMMYFUNCTION("""COMPUTED_VALUE"""),44509.66666666667)</f>
        <v>44509.66667</v>
      </c>
      <c r="C1040" s="9">
        <f>IFERROR(__xludf.DUMMYFUNCTION("""COMPUTED_VALUE"""),108.63)</f>
        <v>108.63</v>
      </c>
      <c r="K1040" s="16"/>
      <c r="T1040" s="17"/>
      <c r="AC1040" s="17"/>
    </row>
    <row r="1041">
      <c r="B1041" s="11">
        <f>IFERROR(__xludf.DUMMYFUNCTION("""COMPUTED_VALUE"""),44508.66666666667)</f>
        <v>44508.66667</v>
      </c>
      <c r="C1041" s="9">
        <f>IFERROR(__xludf.DUMMYFUNCTION("""COMPUTED_VALUE"""),108.5)</f>
        <v>108.5</v>
      </c>
      <c r="K1041" s="16"/>
      <c r="T1041" s="17"/>
      <c r="AC1041" s="17"/>
    </row>
    <row r="1042">
      <c r="B1042" s="11">
        <f>IFERROR(__xludf.DUMMYFUNCTION("""COMPUTED_VALUE"""),44505.66666666667)</f>
        <v>44505.66667</v>
      </c>
      <c r="C1042" s="9">
        <f>IFERROR(__xludf.DUMMYFUNCTION("""COMPUTED_VALUE"""),108.96)</f>
        <v>108.96</v>
      </c>
      <c r="K1042" s="16"/>
      <c r="T1042" s="17"/>
      <c r="AC1042" s="17"/>
    </row>
    <row r="1043">
      <c r="B1043" s="11">
        <f>IFERROR(__xludf.DUMMYFUNCTION("""COMPUTED_VALUE"""),44504.66666666667)</f>
        <v>44504.66667</v>
      </c>
      <c r="C1043" s="9">
        <f>IFERROR(__xludf.DUMMYFUNCTION("""COMPUTED_VALUE"""),105.26)</f>
        <v>105.26</v>
      </c>
      <c r="K1043" s="16"/>
      <c r="T1043" s="17"/>
      <c r="AC1043" s="17"/>
    </row>
    <row r="1044">
      <c r="B1044" s="11">
        <f>IFERROR(__xludf.DUMMYFUNCTION("""COMPUTED_VALUE"""),44503.66666666667)</f>
        <v>44503.66667</v>
      </c>
      <c r="C1044" s="9">
        <f>IFERROR(__xludf.DUMMYFUNCTION("""COMPUTED_VALUE"""),105.46)</f>
        <v>105.46</v>
      </c>
      <c r="K1044" s="16"/>
      <c r="T1044" s="17"/>
      <c r="AC1044" s="17"/>
    </row>
    <row r="1045">
      <c r="B1045" s="11">
        <f>IFERROR(__xludf.DUMMYFUNCTION("""COMPUTED_VALUE"""),44502.66666666667)</f>
        <v>44502.66667</v>
      </c>
      <c r="C1045" s="9">
        <f>IFERROR(__xludf.DUMMYFUNCTION("""COMPUTED_VALUE"""),104.62)</f>
        <v>104.62</v>
      </c>
      <c r="K1045" s="16"/>
      <c r="T1045" s="17"/>
      <c r="AC1045" s="17"/>
    </row>
    <row r="1046">
      <c r="B1046" s="11">
        <f>IFERROR(__xludf.DUMMYFUNCTION("""COMPUTED_VALUE"""),44501.66666666667)</f>
        <v>44501.66667</v>
      </c>
      <c r="C1046" s="9">
        <f>IFERROR(__xludf.DUMMYFUNCTION("""COMPUTED_VALUE"""),105.36)</f>
        <v>105.36</v>
      </c>
      <c r="K1046" s="16"/>
      <c r="T1046" s="17"/>
      <c r="AC1046" s="17"/>
    </row>
    <row r="1047">
      <c r="B1047" s="11">
        <f>IFERROR(__xludf.DUMMYFUNCTION("""COMPUTED_VALUE"""),44498.66666666667)</f>
        <v>44498.66667</v>
      </c>
      <c r="C1047" s="9">
        <f>IFERROR(__xludf.DUMMYFUNCTION("""COMPUTED_VALUE"""),104.5)</f>
        <v>104.5</v>
      </c>
      <c r="K1047" s="16"/>
      <c r="T1047" s="17"/>
      <c r="AC1047" s="17"/>
    </row>
    <row r="1048">
      <c r="B1048" s="11">
        <f>IFERROR(__xludf.DUMMYFUNCTION("""COMPUTED_VALUE"""),44497.66666666667)</f>
        <v>44497.66667</v>
      </c>
      <c r="C1048" s="9">
        <f>IFERROR(__xludf.DUMMYFUNCTION("""COMPUTED_VALUE"""),104.37)</f>
        <v>104.37</v>
      </c>
      <c r="K1048" s="16"/>
      <c r="T1048" s="17"/>
      <c r="AC1048" s="17"/>
    </row>
    <row r="1049">
      <c r="B1049" s="11">
        <f>IFERROR(__xludf.DUMMYFUNCTION("""COMPUTED_VALUE"""),44496.66666666667)</f>
        <v>44496.66667</v>
      </c>
      <c r="C1049" s="9">
        <f>IFERROR(__xludf.DUMMYFUNCTION("""COMPUTED_VALUE"""),104.52)</f>
        <v>104.52</v>
      </c>
      <c r="K1049" s="16"/>
      <c r="T1049" s="17"/>
      <c r="AC1049" s="17"/>
    </row>
    <row r="1050">
      <c r="B1050" s="11">
        <f>IFERROR(__xludf.DUMMYFUNCTION("""COMPUTED_VALUE"""),44495.66666666667)</f>
        <v>44495.66667</v>
      </c>
      <c r="C1050" s="9">
        <f>IFERROR(__xludf.DUMMYFUNCTION("""COMPUTED_VALUE"""),105.71)</f>
        <v>105.71</v>
      </c>
      <c r="K1050" s="16"/>
      <c r="T1050" s="17"/>
      <c r="AC1050" s="17"/>
    </row>
    <row r="1051">
      <c r="B1051" s="11">
        <f>IFERROR(__xludf.DUMMYFUNCTION("""COMPUTED_VALUE"""),44494.66666666667)</f>
        <v>44494.66667</v>
      </c>
      <c r="C1051" s="9">
        <f>IFERROR(__xludf.DUMMYFUNCTION("""COMPUTED_VALUE"""),108.13)</f>
        <v>108.13</v>
      </c>
      <c r="K1051" s="16"/>
      <c r="T1051" s="17"/>
      <c r="AC1051" s="17"/>
    </row>
    <row r="1052">
      <c r="B1052" s="11">
        <f>IFERROR(__xludf.DUMMYFUNCTION("""COMPUTED_VALUE"""),44491.66666666667)</f>
        <v>44491.66667</v>
      </c>
      <c r="C1052" s="9">
        <f>IFERROR(__xludf.DUMMYFUNCTION("""COMPUTED_VALUE"""),108.41)</f>
        <v>108.41</v>
      </c>
      <c r="K1052" s="16"/>
      <c r="T1052" s="17"/>
      <c r="AC1052" s="17"/>
    </row>
    <row r="1053">
      <c r="B1053" s="11">
        <f>IFERROR(__xludf.DUMMYFUNCTION("""COMPUTED_VALUE"""),44490.66666666667)</f>
        <v>44490.66667</v>
      </c>
      <c r="C1053" s="9">
        <f>IFERROR(__xludf.DUMMYFUNCTION("""COMPUTED_VALUE"""),108.46)</f>
        <v>108.46</v>
      </c>
      <c r="K1053" s="16"/>
      <c r="T1053" s="17"/>
      <c r="AC1053" s="17"/>
    </row>
    <row r="1054">
      <c r="B1054" s="11">
        <f>IFERROR(__xludf.DUMMYFUNCTION("""COMPUTED_VALUE"""),44489.66666666667)</f>
        <v>44489.66667</v>
      </c>
      <c r="C1054" s="9">
        <f>IFERROR(__xludf.DUMMYFUNCTION("""COMPUTED_VALUE"""),108.38)</f>
        <v>108.38</v>
      </c>
      <c r="K1054" s="16"/>
      <c r="T1054" s="17"/>
      <c r="AC1054" s="17"/>
    </row>
    <row r="1055">
      <c r="B1055" s="11">
        <f>IFERROR(__xludf.DUMMYFUNCTION("""COMPUTED_VALUE"""),44488.66666666667)</f>
        <v>44488.66667</v>
      </c>
      <c r="C1055" s="9">
        <f>IFERROR(__xludf.DUMMYFUNCTION("""COMPUTED_VALUE"""),108.18)</f>
        <v>108.18</v>
      </c>
      <c r="K1055" s="16"/>
      <c r="T1055" s="17"/>
      <c r="AC1055" s="17"/>
    </row>
    <row r="1056">
      <c r="B1056" s="11">
        <f>IFERROR(__xludf.DUMMYFUNCTION("""COMPUTED_VALUE"""),44487.66666666667)</f>
        <v>44487.66667</v>
      </c>
      <c r="C1056" s="9">
        <f>IFERROR(__xludf.DUMMYFUNCTION("""COMPUTED_VALUE"""),107.7)</f>
        <v>107.7</v>
      </c>
      <c r="K1056" s="16"/>
      <c r="T1056" s="17"/>
      <c r="AC1056" s="17"/>
    </row>
    <row r="1057">
      <c r="B1057" s="11">
        <f>IFERROR(__xludf.DUMMYFUNCTION("""COMPUTED_VALUE"""),44484.66666666667)</f>
        <v>44484.66667</v>
      </c>
      <c r="C1057" s="9">
        <f>IFERROR(__xludf.DUMMYFUNCTION("""COMPUTED_VALUE"""),107.95)</f>
        <v>107.95</v>
      </c>
      <c r="K1057" s="16"/>
      <c r="T1057" s="17"/>
      <c r="AC1057" s="17"/>
    </row>
    <row r="1058">
      <c r="B1058" s="11">
        <f>IFERROR(__xludf.DUMMYFUNCTION("""COMPUTED_VALUE"""),44483.66666666667)</f>
        <v>44483.66667</v>
      </c>
      <c r="C1058" s="9">
        <f>IFERROR(__xludf.DUMMYFUNCTION("""COMPUTED_VALUE"""),107.39)</f>
        <v>107.39</v>
      </c>
      <c r="K1058" s="16"/>
      <c r="T1058" s="17"/>
      <c r="AC1058" s="17"/>
    </row>
    <row r="1059">
      <c r="B1059" s="11">
        <f>IFERROR(__xludf.DUMMYFUNCTION("""COMPUTED_VALUE"""),44482.66666666667)</f>
        <v>44482.66667</v>
      </c>
      <c r="C1059" s="9">
        <f>IFERROR(__xludf.DUMMYFUNCTION("""COMPUTED_VALUE"""),107.33)</f>
        <v>107.33</v>
      </c>
      <c r="K1059" s="16"/>
      <c r="T1059" s="17"/>
      <c r="AC1059" s="17"/>
    </row>
    <row r="1060">
      <c r="B1060" s="11">
        <f>IFERROR(__xludf.DUMMYFUNCTION("""COMPUTED_VALUE"""),44481.66666666667)</f>
        <v>44481.66667</v>
      </c>
      <c r="C1060" s="9">
        <f>IFERROR(__xludf.DUMMYFUNCTION("""COMPUTED_VALUE"""),107.61)</f>
        <v>107.61</v>
      </c>
      <c r="K1060" s="16"/>
      <c r="T1060" s="17"/>
      <c r="AC1060" s="17"/>
    </row>
    <row r="1061">
      <c r="B1061" s="11">
        <f>IFERROR(__xludf.DUMMYFUNCTION("""COMPUTED_VALUE"""),44480.66666666667)</f>
        <v>44480.66667</v>
      </c>
      <c r="C1061" s="9">
        <f>IFERROR(__xludf.DUMMYFUNCTION("""COMPUTED_VALUE"""),107.72)</f>
        <v>107.72</v>
      </c>
      <c r="K1061" s="16"/>
      <c r="T1061" s="17"/>
      <c r="AC1061" s="17"/>
    </row>
    <row r="1062">
      <c r="B1062" s="11">
        <f>IFERROR(__xludf.DUMMYFUNCTION("""COMPUTED_VALUE"""),44477.66666666667)</f>
        <v>44477.66667</v>
      </c>
      <c r="C1062" s="9">
        <f>IFERROR(__xludf.DUMMYFUNCTION("""COMPUTED_VALUE"""),107.78)</f>
        <v>107.78</v>
      </c>
      <c r="K1062" s="16"/>
      <c r="T1062" s="17"/>
      <c r="AC1062" s="17"/>
    </row>
    <row r="1063">
      <c r="B1063" s="11">
        <f>IFERROR(__xludf.DUMMYFUNCTION("""COMPUTED_VALUE"""),44476.66666666667)</f>
        <v>44476.66667</v>
      </c>
      <c r="C1063" s="9">
        <f>IFERROR(__xludf.DUMMYFUNCTION("""COMPUTED_VALUE"""),107.86)</f>
        <v>107.86</v>
      </c>
      <c r="K1063" s="16"/>
      <c r="T1063" s="17"/>
      <c r="AC1063" s="17"/>
    </row>
    <row r="1064">
      <c r="B1064" s="11">
        <f>IFERROR(__xludf.DUMMYFUNCTION("""COMPUTED_VALUE"""),44475.66666666667)</f>
        <v>44475.66667</v>
      </c>
      <c r="C1064" s="9">
        <f>IFERROR(__xludf.DUMMYFUNCTION("""COMPUTED_VALUE"""),106.69)</f>
        <v>106.69</v>
      </c>
      <c r="K1064" s="16"/>
      <c r="T1064" s="17"/>
      <c r="AC1064" s="17"/>
    </row>
    <row r="1065">
      <c r="B1065" s="11">
        <f>IFERROR(__xludf.DUMMYFUNCTION("""COMPUTED_VALUE"""),44474.66666666667)</f>
        <v>44474.66667</v>
      </c>
      <c r="C1065" s="9">
        <f>IFERROR(__xludf.DUMMYFUNCTION("""COMPUTED_VALUE"""),106.14)</f>
        <v>106.14</v>
      </c>
      <c r="K1065" s="16"/>
      <c r="T1065" s="17"/>
      <c r="AC1065" s="17"/>
    </row>
    <row r="1066">
      <c r="B1066" s="11">
        <f>IFERROR(__xludf.DUMMYFUNCTION("""COMPUTED_VALUE"""),44473.66666666667)</f>
        <v>44473.66667</v>
      </c>
      <c r="C1066" s="9">
        <f>IFERROR(__xludf.DUMMYFUNCTION("""COMPUTED_VALUE"""),105.54)</f>
        <v>105.54</v>
      </c>
      <c r="K1066" s="16"/>
      <c r="T1066" s="17"/>
      <c r="AC1066" s="17"/>
    </row>
    <row r="1067">
      <c r="B1067" s="11">
        <f>IFERROR(__xludf.DUMMYFUNCTION("""COMPUTED_VALUE"""),44470.66666666667)</f>
        <v>44470.66667</v>
      </c>
      <c r="C1067" s="9">
        <f>IFERROR(__xludf.DUMMYFUNCTION("""COMPUTED_VALUE"""),106.2)</f>
        <v>106.2</v>
      </c>
      <c r="K1067" s="16"/>
      <c r="T1067" s="17"/>
      <c r="AC1067" s="17"/>
    </row>
    <row r="1068">
      <c r="B1068" s="11">
        <f>IFERROR(__xludf.DUMMYFUNCTION("""COMPUTED_VALUE"""),44469.66666666667)</f>
        <v>44469.66667</v>
      </c>
      <c r="C1068" s="9">
        <f>IFERROR(__xludf.DUMMYFUNCTION("""COMPUTED_VALUE"""),104.24)</f>
        <v>104.24</v>
      </c>
      <c r="K1068" s="16"/>
      <c r="T1068" s="17"/>
      <c r="AC1068" s="17"/>
    </row>
    <row r="1069">
      <c r="B1069" s="11">
        <f>IFERROR(__xludf.DUMMYFUNCTION("""COMPUTED_VALUE"""),44468.66666666667)</f>
        <v>44468.66667</v>
      </c>
      <c r="C1069" s="9">
        <f>IFERROR(__xludf.DUMMYFUNCTION("""COMPUTED_VALUE"""),105.72)</f>
        <v>105.72</v>
      </c>
      <c r="K1069" s="16"/>
      <c r="T1069" s="17"/>
      <c r="AC1069" s="17"/>
    </row>
    <row r="1070">
      <c r="B1070" s="11">
        <f>IFERROR(__xludf.DUMMYFUNCTION("""COMPUTED_VALUE"""),44467.66666666667)</f>
        <v>44467.66667</v>
      </c>
      <c r="C1070" s="9">
        <f>IFERROR(__xludf.DUMMYFUNCTION("""COMPUTED_VALUE"""),105.09)</f>
        <v>105.09</v>
      </c>
      <c r="K1070" s="16"/>
      <c r="T1070" s="17"/>
      <c r="AC1070" s="17"/>
    </row>
    <row r="1071">
      <c r="B1071" s="11">
        <f>IFERROR(__xludf.DUMMYFUNCTION("""COMPUTED_VALUE"""),44466.66666666667)</f>
        <v>44466.66667</v>
      </c>
      <c r="C1071" s="9">
        <f>IFERROR(__xludf.DUMMYFUNCTION("""COMPUTED_VALUE"""),106.49)</f>
        <v>106.49</v>
      </c>
      <c r="K1071" s="16"/>
      <c r="T1071" s="17"/>
      <c r="AC1071" s="17"/>
    </row>
    <row r="1072">
      <c r="B1072" s="11">
        <f>IFERROR(__xludf.DUMMYFUNCTION("""COMPUTED_VALUE"""),44463.66666666667)</f>
        <v>44463.66667</v>
      </c>
      <c r="C1072" s="9">
        <f>IFERROR(__xludf.DUMMYFUNCTION("""COMPUTED_VALUE"""),105.31)</f>
        <v>105.31</v>
      </c>
      <c r="K1072" s="16"/>
      <c r="T1072" s="17"/>
      <c r="AC1072" s="17"/>
    </row>
    <row r="1073">
      <c r="B1073" s="11">
        <f>IFERROR(__xludf.DUMMYFUNCTION("""COMPUTED_VALUE"""),44462.66666666667)</f>
        <v>44462.66667</v>
      </c>
      <c r="C1073" s="9">
        <f>IFERROR(__xludf.DUMMYFUNCTION("""COMPUTED_VALUE"""),105.1)</f>
        <v>105.1</v>
      </c>
      <c r="K1073" s="16"/>
      <c r="T1073" s="17"/>
      <c r="AC1073" s="17"/>
    </row>
    <row r="1074">
      <c r="B1074" s="11">
        <f>IFERROR(__xludf.DUMMYFUNCTION("""COMPUTED_VALUE"""),44461.66666666667)</f>
        <v>44461.66667</v>
      </c>
      <c r="C1074" s="9">
        <f>IFERROR(__xludf.DUMMYFUNCTION("""COMPUTED_VALUE"""),103.35)</f>
        <v>103.35</v>
      </c>
      <c r="K1074" s="16"/>
      <c r="T1074" s="17"/>
      <c r="AC1074" s="17"/>
    </row>
    <row r="1075">
      <c r="B1075" s="11">
        <f>IFERROR(__xludf.DUMMYFUNCTION("""COMPUTED_VALUE"""),44460.66666666667)</f>
        <v>44460.66667</v>
      </c>
      <c r="C1075" s="9">
        <f>IFERROR(__xludf.DUMMYFUNCTION("""COMPUTED_VALUE"""),100.96)</f>
        <v>100.96</v>
      </c>
      <c r="K1075" s="16"/>
      <c r="T1075" s="17"/>
      <c r="AC1075" s="17"/>
    </row>
    <row r="1076">
      <c r="B1076" s="11">
        <f>IFERROR(__xludf.DUMMYFUNCTION("""COMPUTED_VALUE"""),44459.66666666667)</f>
        <v>44459.66667</v>
      </c>
      <c r="C1076" s="9">
        <f>IFERROR(__xludf.DUMMYFUNCTION("""COMPUTED_VALUE"""),101.79)</f>
        <v>101.79</v>
      </c>
      <c r="K1076" s="16"/>
      <c r="T1076" s="17"/>
      <c r="AC1076" s="17"/>
    </row>
    <row r="1077">
      <c r="B1077" s="11">
        <f>IFERROR(__xludf.DUMMYFUNCTION("""COMPUTED_VALUE"""),44456.66666666667)</f>
        <v>44456.66667</v>
      </c>
      <c r="C1077" s="9">
        <f>IFERROR(__xludf.DUMMYFUNCTION("""COMPUTED_VALUE"""),102.4)</f>
        <v>102.4</v>
      </c>
      <c r="K1077" s="16"/>
      <c r="T1077" s="17"/>
      <c r="AC1077" s="17"/>
    </row>
    <row r="1078">
      <c r="B1078" s="11">
        <f>IFERROR(__xludf.DUMMYFUNCTION("""COMPUTED_VALUE"""),44455.66666666667)</f>
        <v>44455.66667</v>
      </c>
      <c r="C1078" s="9">
        <f>IFERROR(__xludf.DUMMYFUNCTION("""COMPUTED_VALUE"""),102.53)</f>
        <v>102.53</v>
      </c>
      <c r="K1078" s="16"/>
      <c r="T1078" s="17"/>
      <c r="AC1078" s="17"/>
    </row>
    <row r="1079">
      <c r="B1079" s="11">
        <f>IFERROR(__xludf.DUMMYFUNCTION("""COMPUTED_VALUE"""),44454.66666666667)</f>
        <v>44454.66667</v>
      </c>
      <c r="C1079" s="9">
        <f>IFERROR(__xludf.DUMMYFUNCTION("""COMPUTED_VALUE"""),103.62)</f>
        <v>103.62</v>
      </c>
      <c r="K1079" s="16"/>
      <c r="T1079" s="17"/>
      <c r="AC1079" s="17"/>
    </row>
    <row r="1080">
      <c r="B1080" s="11">
        <f>IFERROR(__xludf.DUMMYFUNCTION("""COMPUTED_VALUE"""),44453.66666666667)</f>
        <v>44453.66667</v>
      </c>
      <c r="C1080" s="9">
        <f>IFERROR(__xludf.DUMMYFUNCTION("""COMPUTED_VALUE"""),102.44)</f>
        <v>102.44</v>
      </c>
      <c r="K1080" s="16"/>
      <c r="T1080" s="17"/>
      <c r="AC1080" s="17"/>
    </row>
    <row r="1081">
      <c r="B1081" s="11">
        <f>IFERROR(__xludf.DUMMYFUNCTION("""COMPUTED_VALUE"""),44452.66666666667)</f>
        <v>44452.66667</v>
      </c>
      <c r="C1081" s="9">
        <f>IFERROR(__xludf.DUMMYFUNCTION("""COMPUTED_VALUE"""),103.56)</f>
        <v>103.56</v>
      </c>
      <c r="K1081" s="16"/>
      <c r="T1081" s="17"/>
      <c r="AC1081" s="17"/>
    </row>
    <row r="1082">
      <c r="B1082" s="11">
        <f>IFERROR(__xludf.DUMMYFUNCTION("""COMPUTED_VALUE"""),44449.66666666667)</f>
        <v>44449.66667</v>
      </c>
      <c r="C1082" s="9">
        <f>IFERROR(__xludf.DUMMYFUNCTION("""COMPUTED_VALUE"""),102.75)</f>
        <v>102.75</v>
      </c>
      <c r="K1082" s="16"/>
      <c r="T1082" s="17"/>
      <c r="AC1082" s="17"/>
    </row>
    <row r="1083">
      <c r="B1083" s="11">
        <f>IFERROR(__xludf.DUMMYFUNCTION("""COMPUTED_VALUE"""),44448.66666666667)</f>
        <v>44448.66667</v>
      </c>
      <c r="C1083" s="9">
        <f>IFERROR(__xludf.DUMMYFUNCTION("""COMPUTED_VALUE"""),103.83)</f>
        <v>103.83</v>
      </c>
      <c r="K1083" s="16"/>
      <c r="T1083" s="17"/>
      <c r="AC1083" s="17"/>
    </row>
    <row r="1084">
      <c r="B1084" s="11">
        <f>IFERROR(__xludf.DUMMYFUNCTION("""COMPUTED_VALUE"""),44447.66666666667)</f>
        <v>44447.66667</v>
      </c>
      <c r="C1084" s="9">
        <f>IFERROR(__xludf.DUMMYFUNCTION("""COMPUTED_VALUE"""),103.39)</f>
        <v>103.39</v>
      </c>
      <c r="K1084" s="16"/>
      <c r="T1084" s="17"/>
      <c r="AC1084" s="17"/>
    </row>
    <row r="1085">
      <c r="B1085" s="11">
        <f>IFERROR(__xludf.DUMMYFUNCTION("""COMPUTED_VALUE"""),44446.66666666667)</f>
        <v>44446.66667</v>
      </c>
      <c r="C1085" s="9">
        <f>IFERROR(__xludf.DUMMYFUNCTION("""COMPUTED_VALUE"""),103.81)</f>
        <v>103.81</v>
      </c>
      <c r="K1085" s="16"/>
      <c r="T1085" s="17"/>
      <c r="AC1085" s="17"/>
    </row>
    <row r="1086">
      <c r="B1086" s="11">
        <f>IFERROR(__xludf.DUMMYFUNCTION("""COMPUTED_VALUE"""),44442.66666666667)</f>
        <v>44442.66667</v>
      </c>
      <c r="C1086" s="9">
        <f>IFERROR(__xludf.DUMMYFUNCTION("""COMPUTED_VALUE"""),105.12)</f>
        <v>105.12</v>
      </c>
      <c r="K1086" s="16"/>
      <c r="T1086" s="17"/>
      <c r="AC1086" s="17"/>
    </row>
    <row r="1087">
      <c r="B1087" s="11">
        <f>IFERROR(__xludf.DUMMYFUNCTION("""COMPUTED_VALUE"""),44441.66666666667)</f>
        <v>44441.66667</v>
      </c>
      <c r="C1087" s="9">
        <f>IFERROR(__xludf.DUMMYFUNCTION("""COMPUTED_VALUE"""),106.17)</f>
        <v>106.17</v>
      </c>
      <c r="K1087" s="16"/>
      <c r="T1087" s="17"/>
      <c r="AC1087" s="17"/>
    </row>
    <row r="1088">
      <c r="B1088" s="11">
        <f>IFERROR(__xludf.DUMMYFUNCTION("""COMPUTED_VALUE"""),44440.66666666667)</f>
        <v>44440.66667</v>
      </c>
      <c r="C1088" s="9">
        <f>IFERROR(__xludf.DUMMYFUNCTION("""COMPUTED_VALUE"""),105.46)</f>
        <v>105.46</v>
      </c>
      <c r="K1088" s="16"/>
      <c r="T1088" s="17"/>
      <c r="AC1088" s="17"/>
    </row>
    <row r="1089">
      <c r="B1089" s="11">
        <f>IFERROR(__xludf.DUMMYFUNCTION("""COMPUTED_VALUE"""),44439.66666666667)</f>
        <v>44439.66667</v>
      </c>
      <c r="C1089" s="9">
        <f>IFERROR(__xludf.DUMMYFUNCTION("""COMPUTED_VALUE"""),105.98)</f>
        <v>105.98</v>
      </c>
      <c r="K1089" s="16"/>
      <c r="T1089" s="17"/>
      <c r="AC1089" s="17"/>
    </row>
    <row r="1090">
      <c r="B1090" s="11">
        <f>IFERROR(__xludf.DUMMYFUNCTION("""COMPUTED_VALUE"""),44438.66666666667)</f>
        <v>44438.66667</v>
      </c>
      <c r="C1090" s="9">
        <f>IFERROR(__xludf.DUMMYFUNCTION("""COMPUTED_VALUE"""),105.78)</f>
        <v>105.78</v>
      </c>
      <c r="K1090" s="16"/>
      <c r="T1090" s="17"/>
      <c r="AC1090" s="17"/>
    </row>
    <row r="1091">
      <c r="B1091" s="11">
        <f>IFERROR(__xludf.DUMMYFUNCTION("""COMPUTED_VALUE"""),44435.66666666667)</f>
        <v>44435.66667</v>
      </c>
      <c r="C1091" s="9">
        <f>IFERROR(__xludf.DUMMYFUNCTION("""COMPUTED_VALUE"""),106.68)</f>
        <v>106.68</v>
      </c>
      <c r="K1091" s="16"/>
      <c r="T1091" s="17"/>
      <c r="AC1091" s="17"/>
    </row>
    <row r="1092">
      <c r="B1092" s="11">
        <f>IFERROR(__xludf.DUMMYFUNCTION("""COMPUTED_VALUE"""),44434.66666666667)</f>
        <v>44434.66667</v>
      </c>
      <c r="C1092" s="9">
        <f>IFERROR(__xludf.DUMMYFUNCTION("""COMPUTED_VALUE"""),105.32)</f>
        <v>105.32</v>
      </c>
      <c r="K1092" s="16"/>
      <c r="T1092" s="17"/>
      <c r="AC1092" s="17"/>
    </row>
    <row r="1093">
      <c r="B1093" s="11">
        <f>IFERROR(__xludf.DUMMYFUNCTION("""COMPUTED_VALUE"""),44433.66666666667)</f>
        <v>44433.66667</v>
      </c>
      <c r="C1093" s="9">
        <f>IFERROR(__xludf.DUMMYFUNCTION("""COMPUTED_VALUE"""),106.4)</f>
        <v>106.4</v>
      </c>
      <c r="K1093" s="16"/>
      <c r="T1093" s="17"/>
      <c r="AC1093" s="17"/>
    </row>
    <row r="1094">
      <c r="B1094" s="11">
        <f>IFERROR(__xludf.DUMMYFUNCTION("""COMPUTED_VALUE"""),44432.66666666667)</f>
        <v>44432.66667</v>
      </c>
      <c r="C1094" s="9">
        <f>IFERROR(__xludf.DUMMYFUNCTION("""COMPUTED_VALUE"""),106.17)</f>
        <v>106.17</v>
      </c>
      <c r="K1094" s="16"/>
      <c r="T1094" s="17"/>
      <c r="AC1094" s="17"/>
    </row>
    <row r="1095">
      <c r="B1095" s="11">
        <f>IFERROR(__xludf.DUMMYFUNCTION("""COMPUTED_VALUE"""),44431.66666666667)</f>
        <v>44431.66667</v>
      </c>
      <c r="C1095" s="9">
        <f>IFERROR(__xludf.DUMMYFUNCTION("""COMPUTED_VALUE"""),105.51)</f>
        <v>105.51</v>
      </c>
      <c r="K1095" s="16"/>
      <c r="T1095" s="17"/>
      <c r="AC1095" s="17"/>
    </row>
    <row r="1096">
      <c r="B1096" s="11">
        <f>IFERROR(__xludf.DUMMYFUNCTION("""COMPUTED_VALUE"""),44428.66666666667)</f>
        <v>44428.66667</v>
      </c>
      <c r="C1096" s="9">
        <f>IFERROR(__xludf.DUMMYFUNCTION("""COMPUTED_VALUE"""),104.1)</f>
        <v>104.1</v>
      </c>
      <c r="K1096" s="16"/>
      <c r="T1096" s="17"/>
      <c r="AC1096" s="17"/>
    </row>
    <row r="1097">
      <c r="B1097" s="11">
        <f>IFERROR(__xludf.DUMMYFUNCTION("""COMPUTED_VALUE"""),44427.66666666667)</f>
        <v>44427.66667</v>
      </c>
      <c r="C1097" s="9">
        <f>IFERROR(__xludf.DUMMYFUNCTION("""COMPUTED_VALUE"""),103.18)</f>
        <v>103.18</v>
      </c>
      <c r="K1097" s="16"/>
      <c r="T1097" s="17"/>
      <c r="AC1097" s="17"/>
    </row>
    <row r="1098">
      <c r="B1098" s="11">
        <f>IFERROR(__xludf.DUMMYFUNCTION("""COMPUTED_VALUE"""),44426.66666666667)</f>
        <v>44426.66667</v>
      </c>
      <c r="C1098" s="9">
        <f>IFERROR(__xludf.DUMMYFUNCTION("""COMPUTED_VALUE"""),105.09)</f>
        <v>105.09</v>
      </c>
      <c r="K1098" s="16"/>
      <c r="T1098" s="17"/>
      <c r="AC1098" s="17"/>
    </row>
    <row r="1099">
      <c r="B1099" s="11">
        <f>IFERROR(__xludf.DUMMYFUNCTION("""COMPUTED_VALUE"""),44425.66666666667)</f>
        <v>44425.66667</v>
      </c>
      <c r="C1099" s="9">
        <f>IFERROR(__xludf.DUMMYFUNCTION("""COMPUTED_VALUE"""),106.15)</f>
        <v>106.15</v>
      </c>
      <c r="K1099" s="16"/>
      <c r="T1099" s="17"/>
      <c r="AC1099" s="17"/>
    </row>
    <row r="1100">
      <c r="B1100" s="11">
        <f>IFERROR(__xludf.DUMMYFUNCTION("""COMPUTED_VALUE"""),44424.66666666667)</f>
        <v>44424.66667</v>
      </c>
      <c r="C1100" s="9">
        <f>IFERROR(__xludf.DUMMYFUNCTION("""COMPUTED_VALUE"""),107.27)</f>
        <v>107.27</v>
      </c>
      <c r="K1100" s="16"/>
      <c r="T1100" s="17"/>
      <c r="AC1100" s="17"/>
    </row>
    <row r="1101">
      <c r="B1101" s="11">
        <f>IFERROR(__xludf.DUMMYFUNCTION("""COMPUTED_VALUE"""),44421.66666666667)</f>
        <v>44421.66667</v>
      </c>
      <c r="C1101" s="9">
        <f>IFERROR(__xludf.DUMMYFUNCTION("""COMPUTED_VALUE"""),107.7)</f>
        <v>107.7</v>
      </c>
      <c r="K1101" s="16"/>
      <c r="T1101" s="17"/>
      <c r="AC1101" s="17"/>
    </row>
    <row r="1102">
      <c r="B1102" s="11">
        <f>IFERROR(__xludf.DUMMYFUNCTION("""COMPUTED_VALUE"""),44420.66666666667)</f>
        <v>44420.66667</v>
      </c>
      <c r="C1102" s="9">
        <f>IFERROR(__xludf.DUMMYFUNCTION("""COMPUTED_VALUE"""),108.84)</f>
        <v>108.84</v>
      </c>
      <c r="K1102" s="16"/>
      <c r="T1102" s="17"/>
      <c r="AC1102" s="17"/>
    </row>
    <row r="1103">
      <c r="B1103" s="11">
        <f>IFERROR(__xludf.DUMMYFUNCTION("""COMPUTED_VALUE"""),44419.66666666667)</f>
        <v>44419.66667</v>
      </c>
      <c r="C1103" s="9">
        <f>IFERROR(__xludf.DUMMYFUNCTION("""COMPUTED_VALUE"""),109.65)</f>
        <v>109.65</v>
      </c>
      <c r="K1103" s="16"/>
      <c r="T1103" s="17"/>
      <c r="AC1103" s="17"/>
    </row>
    <row r="1104">
      <c r="B1104" s="11">
        <f>IFERROR(__xludf.DUMMYFUNCTION("""COMPUTED_VALUE"""),44418.66666666667)</f>
        <v>44418.66667</v>
      </c>
      <c r="C1104" s="9">
        <f>IFERROR(__xludf.DUMMYFUNCTION("""COMPUTED_VALUE"""),108.61)</f>
        <v>108.61</v>
      </c>
      <c r="K1104" s="16"/>
      <c r="T1104" s="17"/>
      <c r="AC1104" s="17"/>
    </row>
    <row r="1105">
      <c r="B1105" s="11">
        <f>IFERROR(__xludf.DUMMYFUNCTION("""COMPUTED_VALUE"""),44417.66666666667)</f>
        <v>44417.66667</v>
      </c>
      <c r="C1105" s="9">
        <f>IFERROR(__xludf.DUMMYFUNCTION("""COMPUTED_VALUE"""),107.94)</f>
        <v>107.94</v>
      </c>
      <c r="K1105" s="16"/>
      <c r="T1105" s="17"/>
      <c r="AC1105" s="17"/>
    </row>
    <row r="1106">
      <c r="B1106" s="11">
        <f>IFERROR(__xludf.DUMMYFUNCTION("""COMPUTED_VALUE"""),44414.66666666667)</f>
        <v>44414.66667</v>
      </c>
      <c r="C1106" s="9">
        <f>IFERROR(__xludf.DUMMYFUNCTION("""COMPUTED_VALUE"""),108.44)</f>
        <v>108.44</v>
      </c>
      <c r="K1106" s="16"/>
      <c r="T1106" s="17"/>
      <c r="AC1106" s="17"/>
    </row>
    <row r="1107">
      <c r="B1107" s="11">
        <f>IFERROR(__xludf.DUMMYFUNCTION("""COMPUTED_VALUE"""),44413.66666666667)</f>
        <v>44413.66667</v>
      </c>
      <c r="C1107" s="9">
        <f>IFERROR(__xludf.DUMMYFUNCTION("""COMPUTED_VALUE"""),107.51)</f>
        <v>107.51</v>
      </c>
      <c r="K1107" s="16"/>
      <c r="T1107" s="17"/>
      <c r="AC1107" s="17"/>
    </row>
    <row r="1108">
      <c r="B1108" s="11">
        <f>IFERROR(__xludf.DUMMYFUNCTION("""COMPUTED_VALUE"""),44412.66666666667)</f>
        <v>44412.66667</v>
      </c>
      <c r="C1108" s="9">
        <f>IFERROR(__xludf.DUMMYFUNCTION("""COMPUTED_VALUE"""),106.3)</f>
        <v>106.3</v>
      </c>
      <c r="K1108" s="16"/>
      <c r="T1108" s="17"/>
      <c r="AC1108" s="17"/>
    </row>
    <row r="1109">
      <c r="B1109" s="11">
        <f>IFERROR(__xludf.DUMMYFUNCTION("""COMPUTED_VALUE"""),44411.66666666667)</f>
        <v>44411.66667</v>
      </c>
      <c r="C1109" s="9">
        <f>IFERROR(__xludf.DUMMYFUNCTION("""COMPUTED_VALUE"""),108.56)</f>
        <v>108.56</v>
      </c>
      <c r="K1109" s="16"/>
      <c r="T1109" s="17"/>
      <c r="AC1109" s="17"/>
    </row>
    <row r="1110">
      <c r="B1110" s="11">
        <f>IFERROR(__xludf.DUMMYFUNCTION("""COMPUTED_VALUE"""),44410.66666666667)</f>
        <v>44410.66667</v>
      </c>
      <c r="C1110" s="9">
        <f>IFERROR(__xludf.DUMMYFUNCTION("""COMPUTED_VALUE"""),107.65)</f>
        <v>107.65</v>
      </c>
      <c r="K1110" s="16"/>
      <c r="T1110" s="17"/>
      <c r="AC1110" s="17"/>
    </row>
    <row r="1111">
      <c r="B1111" s="11">
        <f>IFERROR(__xludf.DUMMYFUNCTION("""COMPUTED_VALUE"""),44407.66666666667)</f>
        <v>44407.66667</v>
      </c>
      <c r="C1111" s="9">
        <f>IFERROR(__xludf.DUMMYFUNCTION("""COMPUTED_VALUE"""),107.97)</f>
        <v>107.97</v>
      </c>
      <c r="K1111" s="16"/>
      <c r="T1111" s="17"/>
      <c r="AC1111" s="17"/>
    </row>
    <row r="1112">
      <c r="B1112" s="11">
        <f>IFERROR(__xludf.DUMMYFUNCTION("""COMPUTED_VALUE"""),44406.66666666667)</f>
        <v>44406.66667</v>
      </c>
      <c r="C1112" s="9">
        <f>IFERROR(__xludf.DUMMYFUNCTION("""COMPUTED_VALUE"""),109.21)</f>
        <v>109.21</v>
      </c>
      <c r="K1112" s="16"/>
      <c r="T1112" s="17"/>
      <c r="AC1112" s="17"/>
    </row>
    <row r="1113">
      <c r="B1113" s="11">
        <f>IFERROR(__xludf.DUMMYFUNCTION("""COMPUTED_VALUE"""),44405.66666666667)</f>
        <v>44405.66667</v>
      </c>
      <c r="C1113" s="9">
        <f>IFERROR(__xludf.DUMMYFUNCTION("""COMPUTED_VALUE"""),108.86)</f>
        <v>108.86</v>
      </c>
      <c r="K1113" s="16"/>
      <c r="T1113" s="17"/>
      <c r="AC1113" s="17"/>
    </row>
    <row r="1114">
      <c r="B1114" s="11">
        <f>IFERROR(__xludf.DUMMYFUNCTION("""COMPUTED_VALUE"""),44404.66666666667)</f>
        <v>44404.66667</v>
      </c>
      <c r="C1114" s="9">
        <f>IFERROR(__xludf.DUMMYFUNCTION("""COMPUTED_VALUE"""),107.78)</f>
        <v>107.78</v>
      </c>
      <c r="K1114" s="16"/>
      <c r="T1114" s="17"/>
      <c r="AC1114" s="17"/>
    </row>
    <row r="1115">
      <c r="B1115" s="11">
        <f>IFERROR(__xludf.DUMMYFUNCTION("""COMPUTED_VALUE"""),44403.66666666667)</f>
        <v>44403.66667</v>
      </c>
      <c r="C1115" s="9">
        <f>IFERROR(__xludf.DUMMYFUNCTION("""COMPUTED_VALUE"""),107.54)</f>
        <v>107.54</v>
      </c>
      <c r="K1115" s="16"/>
      <c r="T1115" s="17"/>
      <c r="AC1115" s="17"/>
    </row>
    <row r="1116">
      <c r="B1116" s="11">
        <f>IFERROR(__xludf.DUMMYFUNCTION("""COMPUTED_VALUE"""),44400.66666666667)</f>
        <v>44400.66667</v>
      </c>
      <c r="C1116" s="9">
        <f>IFERROR(__xludf.DUMMYFUNCTION("""COMPUTED_VALUE"""),107.02)</f>
        <v>107.02</v>
      </c>
      <c r="K1116" s="16"/>
      <c r="T1116" s="17"/>
      <c r="AC1116" s="17"/>
    </row>
    <row r="1117">
      <c r="B1117" s="11">
        <f>IFERROR(__xludf.DUMMYFUNCTION("""COMPUTED_VALUE"""),44399.66666666667)</f>
        <v>44399.66667</v>
      </c>
      <c r="C1117" s="9">
        <f>IFERROR(__xludf.DUMMYFUNCTION("""COMPUTED_VALUE"""),106.69)</f>
        <v>106.69</v>
      </c>
      <c r="K1117" s="16"/>
      <c r="T1117" s="17"/>
      <c r="AC1117" s="17"/>
    </row>
    <row r="1118">
      <c r="B1118" s="11">
        <f>IFERROR(__xludf.DUMMYFUNCTION("""COMPUTED_VALUE"""),44398.66666666667)</f>
        <v>44398.66667</v>
      </c>
      <c r="C1118" s="9">
        <f>IFERROR(__xludf.DUMMYFUNCTION("""COMPUTED_VALUE"""),107.56)</f>
        <v>107.56</v>
      </c>
      <c r="K1118" s="16"/>
      <c r="T1118" s="17"/>
      <c r="AC1118" s="17"/>
    </row>
    <row r="1119">
      <c r="B1119" s="11">
        <f>IFERROR(__xludf.DUMMYFUNCTION("""COMPUTED_VALUE"""),44397.66666666667)</f>
        <v>44397.66667</v>
      </c>
      <c r="C1119" s="9">
        <f>IFERROR(__xludf.DUMMYFUNCTION("""COMPUTED_VALUE"""),105.83)</f>
        <v>105.83</v>
      </c>
      <c r="K1119" s="16"/>
      <c r="T1119" s="17"/>
      <c r="AC1119" s="17"/>
    </row>
    <row r="1120">
      <c r="B1120" s="11">
        <f>IFERROR(__xludf.DUMMYFUNCTION("""COMPUTED_VALUE"""),44396.66666666667)</f>
        <v>44396.66667</v>
      </c>
      <c r="C1120" s="9">
        <f>IFERROR(__xludf.DUMMYFUNCTION("""COMPUTED_VALUE"""),101.71)</f>
        <v>101.71</v>
      </c>
      <c r="K1120" s="16"/>
      <c r="T1120" s="17"/>
      <c r="AC1120" s="17"/>
    </row>
    <row r="1121">
      <c r="B1121" s="11">
        <f>IFERROR(__xludf.DUMMYFUNCTION("""COMPUTED_VALUE"""),44393.66666666667)</f>
        <v>44393.66667</v>
      </c>
      <c r="C1121" s="9">
        <f>IFERROR(__xludf.DUMMYFUNCTION("""COMPUTED_VALUE"""),104.94)</f>
        <v>104.94</v>
      </c>
      <c r="K1121" s="16"/>
      <c r="T1121" s="17"/>
      <c r="AC1121" s="17"/>
    </row>
    <row r="1122">
      <c r="B1122" s="11">
        <f>IFERROR(__xludf.DUMMYFUNCTION("""COMPUTED_VALUE"""),44392.66666666667)</f>
        <v>44392.66667</v>
      </c>
      <c r="C1122" s="9">
        <f>IFERROR(__xludf.DUMMYFUNCTION("""COMPUTED_VALUE"""),106.11)</f>
        <v>106.11</v>
      </c>
      <c r="K1122" s="16"/>
      <c r="T1122" s="17"/>
      <c r="AC1122" s="17"/>
    </row>
    <row r="1123">
      <c r="B1123" s="11">
        <f>IFERROR(__xludf.DUMMYFUNCTION("""COMPUTED_VALUE"""),44391.66666666667)</f>
        <v>44391.66667</v>
      </c>
      <c r="C1123" s="9">
        <f>IFERROR(__xludf.DUMMYFUNCTION("""COMPUTED_VALUE"""),106.63)</f>
        <v>106.63</v>
      </c>
      <c r="K1123" s="16"/>
      <c r="T1123" s="17"/>
      <c r="AC1123" s="17"/>
    </row>
    <row r="1124">
      <c r="B1124" s="11">
        <f>IFERROR(__xludf.DUMMYFUNCTION("""COMPUTED_VALUE"""),44390.66666666667)</f>
        <v>44390.66667</v>
      </c>
      <c r="C1124" s="9">
        <f>IFERROR(__xludf.DUMMYFUNCTION("""COMPUTED_VALUE"""),107.72)</f>
        <v>107.72</v>
      </c>
      <c r="K1124" s="16"/>
      <c r="T1124" s="17"/>
      <c r="AC1124" s="17"/>
    </row>
    <row r="1125">
      <c r="B1125" s="11">
        <f>IFERROR(__xludf.DUMMYFUNCTION("""COMPUTED_VALUE"""),44389.66666666667)</f>
        <v>44389.66667</v>
      </c>
      <c r="C1125" s="9">
        <f>IFERROR(__xludf.DUMMYFUNCTION("""COMPUTED_VALUE"""),109.44)</f>
        <v>109.44</v>
      </c>
      <c r="K1125" s="16"/>
      <c r="T1125" s="17"/>
      <c r="AC1125" s="17"/>
    </row>
    <row r="1126">
      <c r="B1126" s="11">
        <f>IFERROR(__xludf.DUMMYFUNCTION("""COMPUTED_VALUE"""),44386.66666666667)</f>
        <v>44386.66667</v>
      </c>
      <c r="C1126" s="9">
        <f>IFERROR(__xludf.DUMMYFUNCTION("""COMPUTED_VALUE"""),110.33)</f>
        <v>110.33</v>
      </c>
      <c r="K1126" s="16"/>
      <c r="T1126" s="17"/>
      <c r="AC1126" s="17"/>
    </row>
    <row r="1127">
      <c r="B1127" s="11">
        <f>IFERROR(__xludf.DUMMYFUNCTION("""COMPUTED_VALUE"""),44385.66666666667)</f>
        <v>44385.66667</v>
      </c>
      <c r="C1127" s="9">
        <f>IFERROR(__xludf.DUMMYFUNCTION("""COMPUTED_VALUE"""),108.97)</f>
        <v>108.97</v>
      </c>
      <c r="K1127" s="16"/>
      <c r="T1127" s="17"/>
      <c r="AC1127" s="17"/>
    </row>
    <row r="1128">
      <c r="B1128" s="11">
        <f>IFERROR(__xludf.DUMMYFUNCTION("""COMPUTED_VALUE"""),44384.66666666667)</f>
        <v>44384.66667</v>
      </c>
      <c r="C1128" s="9">
        <f>IFERROR(__xludf.DUMMYFUNCTION("""COMPUTED_VALUE"""),109.02)</f>
        <v>109.02</v>
      </c>
      <c r="K1128" s="16"/>
      <c r="T1128" s="17"/>
      <c r="AC1128" s="17"/>
    </row>
    <row r="1129">
      <c r="B1129" s="11">
        <f>IFERROR(__xludf.DUMMYFUNCTION("""COMPUTED_VALUE"""),44383.66666666667)</f>
        <v>44383.66667</v>
      </c>
      <c r="C1129" s="9">
        <f>IFERROR(__xludf.DUMMYFUNCTION("""COMPUTED_VALUE"""),109.12)</f>
        <v>109.12</v>
      </c>
      <c r="K1129" s="16"/>
      <c r="T1129" s="17"/>
      <c r="AC1129" s="17"/>
    </row>
    <row r="1130">
      <c r="B1130" s="11">
        <f>IFERROR(__xludf.DUMMYFUNCTION("""COMPUTED_VALUE"""),44379.66666666667)</f>
        <v>44379.66667</v>
      </c>
      <c r="C1130" s="9">
        <f>IFERROR(__xludf.DUMMYFUNCTION("""COMPUTED_VALUE"""),109.98)</f>
        <v>109.98</v>
      </c>
      <c r="K1130" s="16"/>
      <c r="T1130" s="17"/>
      <c r="AC1130" s="17"/>
    </row>
    <row r="1131">
      <c r="B1131" s="11">
        <f>IFERROR(__xludf.DUMMYFUNCTION("""COMPUTED_VALUE"""),44378.66666666667)</f>
        <v>44378.66667</v>
      </c>
      <c r="C1131" s="9">
        <f>IFERROR(__xludf.DUMMYFUNCTION("""COMPUTED_VALUE"""),110.07)</f>
        <v>110.07</v>
      </c>
      <c r="K1131" s="16"/>
      <c r="T1131" s="17"/>
      <c r="AC1131" s="17"/>
    </row>
    <row r="1132">
      <c r="B1132" s="11">
        <f>IFERROR(__xludf.DUMMYFUNCTION("""COMPUTED_VALUE"""),44377.66666666667)</f>
        <v>44377.66667</v>
      </c>
      <c r="C1132" s="9">
        <f>IFERROR(__xludf.DUMMYFUNCTION("""COMPUTED_VALUE"""),109.53)</f>
        <v>109.53</v>
      </c>
      <c r="K1132" s="16"/>
      <c r="T1132" s="17"/>
      <c r="AC1132" s="17"/>
    </row>
    <row r="1133">
      <c r="B1133" s="11">
        <f>IFERROR(__xludf.DUMMYFUNCTION("""COMPUTED_VALUE"""),44376.66666666667)</f>
        <v>44376.66667</v>
      </c>
      <c r="C1133" s="9">
        <f>IFERROR(__xludf.DUMMYFUNCTION("""COMPUTED_VALUE"""),108.53)</f>
        <v>108.53</v>
      </c>
      <c r="K1133" s="16"/>
      <c r="T1133" s="17"/>
      <c r="AC1133" s="17"/>
    </row>
    <row r="1134">
      <c r="B1134" s="11">
        <f>IFERROR(__xludf.DUMMYFUNCTION("""COMPUTED_VALUE"""),44375.66666666667)</f>
        <v>44375.66667</v>
      </c>
      <c r="C1134" s="9">
        <f>IFERROR(__xludf.DUMMYFUNCTION("""COMPUTED_VALUE"""),109.97)</f>
        <v>109.97</v>
      </c>
      <c r="K1134" s="16"/>
      <c r="T1134" s="17"/>
      <c r="AC1134" s="17"/>
    </row>
    <row r="1135">
      <c r="B1135" s="11">
        <f>IFERROR(__xludf.DUMMYFUNCTION("""COMPUTED_VALUE"""),44372.66666666667)</f>
        <v>44372.66667</v>
      </c>
      <c r="C1135" s="9">
        <f>IFERROR(__xludf.DUMMYFUNCTION("""COMPUTED_VALUE"""),112.01)</f>
        <v>112.01</v>
      </c>
      <c r="K1135" s="16"/>
      <c r="T1135" s="17"/>
      <c r="AC1135" s="17"/>
    </row>
    <row r="1136">
      <c r="B1136" s="11">
        <f>IFERROR(__xludf.DUMMYFUNCTION("""COMPUTED_VALUE"""),44371.66666666667)</f>
        <v>44371.66667</v>
      </c>
      <c r="C1136" s="9">
        <f>IFERROR(__xludf.DUMMYFUNCTION("""COMPUTED_VALUE"""),111.37)</f>
        <v>111.37</v>
      </c>
      <c r="K1136" s="16"/>
      <c r="T1136" s="17"/>
      <c r="AC1136" s="17"/>
    </row>
    <row r="1137">
      <c r="B1137" s="11">
        <f>IFERROR(__xludf.DUMMYFUNCTION("""COMPUTED_VALUE"""),44370.66666666667)</f>
        <v>44370.66667</v>
      </c>
      <c r="C1137" s="9">
        <f>IFERROR(__xludf.DUMMYFUNCTION("""COMPUTED_VALUE"""),110.23)</f>
        <v>110.23</v>
      </c>
      <c r="K1137" s="16"/>
      <c r="T1137" s="17"/>
      <c r="AC1137" s="17"/>
    </row>
    <row r="1138">
      <c r="B1138" s="11">
        <f>IFERROR(__xludf.DUMMYFUNCTION("""COMPUTED_VALUE"""),44369.66666666667)</f>
        <v>44369.66667</v>
      </c>
      <c r="C1138" s="9">
        <f>IFERROR(__xludf.DUMMYFUNCTION("""COMPUTED_VALUE"""),110.55)</f>
        <v>110.55</v>
      </c>
      <c r="K1138" s="16"/>
      <c r="T1138" s="17"/>
      <c r="AC1138" s="17"/>
    </row>
    <row r="1139">
      <c r="B1139" s="11">
        <f>IFERROR(__xludf.DUMMYFUNCTION("""COMPUTED_VALUE"""),44368.66666666667)</f>
        <v>44368.66667</v>
      </c>
      <c r="C1139" s="9">
        <f>IFERROR(__xludf.DUMMYFUNCTION("""COMPUTED_VALUE"""),110.82)</f>
        <v>110.82</v>
      </c>
      <c r="K1139" s="16"/>
      <c r="T1139" s="17"/>
      <c r="AC1139" s="17"/>
    </row>
    <row r="1140">
      <c r="B1140" s="11">
        <f>IFERROR(__xludf.DUMMYFUNCTION("""COMPUTED_VALUE"""),44365.66666666667)</f>
        <v>44365.66667</v>
      </c>
      <c r="C1140" s="9">
        <f>IFERROR(__xludf.DUMMYFUNCTION("""COMPUTED_VALUE"""),108.2)</f>
        <v>108.2</v>
      </c>
      <c r="K1140" s="16"/>
      <c r="T1140" s="17"/>
      <c r="AC1140" s="17"/>
    </row>
    <row r="1141">
      <c r="B1141" s="11">
        <f>IFERROR(__xludf.DUMMYFUNCTION("""COMPUTED_VALUE"""),44364.66666666667)</f>
        <v>44364.66667</v>
      </c>
      <c r="C1141" s="9">
        <f>IFERROR(__xludf.DUMMYFUNCTION("""COMPUTED_VALUE"""),109.35)</f>
        <v>109.35</v>
      </c>
      <c r="K1141" s="16"/>
      <c r="T1141" s="17"/>
      <c r="AC1141" s="17"/>
    </row>
    <row r="1142">
      <c r="B1142" s="11">
        <f>IFERROR(__xludf.DUMMYFUNCTION("""COMPUTED_VALUE"""),44363.66666666667)</f>
        <v>44363.66667</v>
      </c>
      <c r="C1142" s="9">
        <f>IFERROR(__xludf.DUMMYFUNCTION("""COMPUTED_VALUE"""),110.75)</f>
        <v>110.75</v>
      </c>
      <c r="K1142" s="16"/>
      <c r="T1142" s="17"/>
      <c r="AC1142" s="17"/>
    </row>
    <row r="1143">
      <c r="B1143" s="11">
        <f>IFERROR(__xludf.DUMMYFUNCTION("""COMPUTED_VALUE"""),44362.66666666667)</f>
        <v>44362.66667</v>
      </c>
      <c r="C1143" s="9">
        <f>IFERROR(__xludf.DUMMYFUNCTION("""COMPUTED_VALUE"""),111.82)</f>
        <v>111.82</v>
      </c>
      <c r="K1143" s="16"/>
      <c r="T1143" s="17"/>
      <c r="AC1143" s="17"/>
    </row>
    <row r="1144">
      <c r="B1144" s="11">
        <f>IFERROR(__xludf.DUMMYFUNCTION("""COMPUTED_VALUE"""),44361.66666666667)</f>
        <v>44361.66667</v>
      </c>
      <c r="C1144" s="9">
        <f>IFERROR(__xludf.DUMMYFUNCTION("""COMPUTED_VALUE"""),111.24)</f>
        <v>111.24</v>
      </c>
      <c r="K1144" s="16"/>
      <c r="T1144" s="17"/>
      <c r="AC1144" s="17"/>
    </row>
    <row r="1145">
      <c r="B1145" s="11">
        <f>IFERROR(__xludf.DUMMYFUNCTION("""COMPUTED_VALUE"""),44358.66666666667)</f>
        <v>44358.66667</v>
      </c>
      <c r="C1145" s="9">
        <f>IFERROR(__xludf.DUMMYFUNCTION("""COMPUTED_VALUE"""),111.59)</f>
        <v>111.59</v>
      </c>
      <c r="K1145" s="16"/>
      <c r="T1145" s="17"/>
      <c r="AC1145" s="17"/>
    </row>
    <row r="1146">
      <c r="B1146" s="11">
        <f>IFERROR(__xludf.DUMMYFUNCTION("""COMPUTED_VALUE"""),44357.66666666667)</f>
        <v>44357.66667</v>
      </c>
      <c r="C1146" s="9">
        <f>IFERROR(__xludf.DUMMYFUNCTION("""COMPUTED_VALUE"""),111.13)</f>
        <v>111.13</v>
      </c>
      <c r="K1146" s="16"/>
      <c r="T1146" s="17"/>
      <c r="AC1146" s="17"/>
    </row>
    <row r="1147">
      <c r="B1147" s="11">
        <f>IFERROR(__xludf.DUMMYFUNCTION("""COMPUTED_VALUE"""),44356.66666666667)</f>
        <v>44356.66667</v>
      </c>
      <c r="C1147" s="9">
        <f>IFERROR(__xludf.DUMMYFUNCTION("""COMPUTED_VALUE"""),111.49)</f>
        <v>111.49</v>
      </c>
      <c r="K1147" s="16"/>
      <c r="T1147" s="17"/>
      <c r="AC1147" s="17"/>
    </row>
    <row r="1148">
      <c r="B1148" s="11">
        <f>IFERROR(__xludf.DUMMYFUNCTION("""COMPUTED_VALUE"""),44355.66666666667)</f>
        <v>44355.66667</v>
      </c>
      <c r="C1148" s="9">
        <f>IFERROR(__xludf.DUMMYFUNCTION("""COMPUTED_VALUE"""),112.9)</f>
        <v>112.9</v>
      </c>
      <c r="K1148" s="16"/>
      <c r="T1148" s="17"/>
      <c r="AC1148" s="17"/>
    </row>
    <row r="1149">
      <c r="B1149" s="11">
        <f>IFERROR(__xludf.DUMMYFUNCTION("""COMPUTED_VALUE"""),44354.66666666667)</f>
        <v>44354.66667</v>
      </c>
      <c r="C1149" s="9">
        <f>IFERROR(__xludf.DUMMYFUNCTION("""COMPUTED_VALUE"""),112.17)</f>
        <v>112.17</v>
      </c>
      <c r="K1149" s="16"/>
      <c r="T1149" s="17"/>
      <c r="AC1149" s="17"/>
    </row>
    <row r="1150">
      <c r="B1150" s="11">
        <f>IFERROR(__xludf.DUMMYFUNCTION("""COMPUTED_VALUE"""),44351.66666666667)</f>
        <v>44351.66667</v>
      </c>
      <c r="C1150" s="9">
        <f>IFERROR(__xludf.DUMMYFUNCTION("""COMPUTED_VALUE"""),111.9)</f>
        <v>111.9</v>
      </c>
      <c r="K1150" s="16"/>
      <c r="T1150" s="17"/>
      <c r="AC1150" s="17"/>
    </row>
    <row r="1151">
      <c r="B1151" s="11">
        <f>IFERROR(__xludf.DUMMYFUNCTION("""COMPUTED_VALUE"""),44350.66666666667)</f>
        <v>44350.66667</v>
      </c>
      <c r="C1151" s="9">
        <f>IFERROR(__xludf.DUMMYFUNCTION("""COMPUTED_VALUE"""),110.98)</f>
        <v>110.98</v>
      </c>
      <c r="K1151" s="16"/>
      <c r="T1151" s="17"/>
      <c r="AC1151" s="17"/>
    </row>
    <row r="1152">
      <c r="B1152" s="11">
        <f>IFERROR(__xludf.DUMMYFUNCTION("""COMPUTED_VALUE"""),44349.66666666667)</f>
        <v>44349.66667</v>
      </c>
      <c r="C1152" s="9">
        <f>IFERROR(__xludf.DUMMYFUNCTION("""COMPUTED_VALUE"""),111.52)</f>
        <v>111.52</v>
      </c>
      <c r="K1152" s="16"/>
      <c r="T1152" s="17"/>
      <c r="AC1152" s="17"/>
    </row>
    <row r="1153">
      <c r="B1153" s="11">
        <f>IFERROR(__xludf.DUMMYFUNCTION("""COMPUTED_VALUE"""),44348.66666666667)</f>
        <v>44348.66667</v>
      </c>
      <c r="C1153" s="9">
        <f>IFERROR(__xludf.DUMMYFUNCTION("""COMPUTED_VALUE"""),111.44)</f>
        <v>111.44</v>
      </c>
      <c r="K1153" s="16"/>
      <c r="T1153" s="17"/>
      <c r="AC1153" s="17"/>
    </row>
    <row r="1154">
      <c r="B1154" s="11">
        <f>IFERROR(__xludf.DUMMYFUNCTION("""COMPUTED_VALUE"""),44344.66666666667)</f>
        <v>44344.66667</v>
      </c>
      <c r="C1154" s="9">
        <f>IFERROR(__xludf.DUMMYFUNCTION("""COMPUTED_VALUE"""),110.3)</f>
        <v>110.3</v>
      </c>
      <c r="K1154" s="16"/>
      <c r="T1154" s="17"/>
      <c r="AC1154" s="17"/>
    </row>
    <row r="1155">
      <c r="B1155" s="11">
        <f>IFERROR(__xludf.DUMMYFUNCTION("""COMPUTED_VALUE"""),44343.66666666667)</f>
        <v>44343.66667</v>
      </c>
      <c r="C1155" s="9">
        <f>IFERROR(__xludf.DUMMYFUNCTION("""COMPUTED_VALUE"""),110.59)</f>
        <v>110.59</v>
      </c>
      <c r="K1155" s="16"/>
      <c r="T1155" s="17"/>
      <c r="AC1155" s="17"/>
    </row>
    <row r="1156">
      <c r="B1156" s="11">
        <f>IFERROR(__xludf.DUMMYFUNCTION("""COMPUTED_VALUE"""),44342.66666666667)</f>
        <v>44342.66667</v>
      </c>
      <c r="C1156" s="9">
        <f>IFERROR(__xludf.DUMMYFUNCTION("""COMPUTED_VALUE"""),107.63)</f>
        <v>107.63</v>
      </c>
      <c r="K1156" s="16"/>
      <c r="T1156" s="17"/>
      <c r="AC1156" s="17"/>
    </row>
    <row r="1157">
      <c r="B1157" s="11">
        <f>IFERROR(__xludf.DUMMYFUNCTION("""COMPUTED_VALUE"""),44341.66666666667)</f>
        <v>44341.66667</v>
      </c>
      <c r="C1157" s="9">
        <f>IFERROR(__xludf.DUMMYFUNCTION("""COMPUTED_VALUE"""),107.1)</f>
        <v>107.1</v>
      </c>
      <c r="K1157" s="16"/>
      <c r="T1157" s="17"/>
      <c r="AC1157" s="17"/>
    </row>
    <row r="1158">
      <c r="B1158" s="11">
        <f>IFERROR(__xludf.DUMMYFUNCTION("""COMPUTED_VALUE"""),44340.66666666667)</f>
        <v>44340.66667</v>
      </c>
      <c r="C1158" s="9">
        <f>IFERROR(__xludf.DUMMYFUNCTION("""COMPUTED_VALUE"""),107.21)</f>
        <v>107.21</v>
      </c>
      <c r="K1158" s="16"/>
      <c r="T1158" s="17"/>
      <c r="AC1158" s="17"/>
    </row>
    <row r="1159">
      <c r="B1159" s="11">
        <f>IFERROR(__xludf.DUMMYFUNCTION("""COMPUTED_VALUE"""),44337.66666666667)</f>
        <v>44337.66667</v>
      </c>
      <c r="C1159" s="9">
        <f>IFERROR(__xludf.DUMMYFUNCTION("""COMPUTED_VALUE"""),106.08)</f>
        <v>106.08</v>
      </c>
      <c r="K1159" s="16"/>
      <c r="T1159" s="17"/>
      <c r="AC1159" s="17"/>
    </row>
    <row r="1160">
      <c r="B1160" s="11">
        <f>IFERROR(__xludf.DUMMYFUNCTION("""COMPUTED_VALUE"""),44336.66666666667)</f>
        <v>44336.66667</v>
      </c>
      <c r="C1160" s="9">
        <f>IFERROR(__xludf.DUMMYFUNCTION("""COMPUTED_VALUE"""),105.19)</f>
        <v>105.19</v>
      </c>
      <c r="K1160" s="16"/>
      <c r="T1160" s="17"/>
      <c r="AC1160" s="17"/>
    </row>
    <row r="1161">
      <c r="B1161" s="11">
        <f>IFERROR(__xludf.DUMMYFUNCTION("""COMPUTED_VALUE"""),44335.66666666667)</f>
        <v>44335.66667</v>
      </c>
      <c r="C1161" s="9">
        <f>IFERROR(__xludf.DUMMYFUNCTION("""COMPUTED_VALUE"""),104.15)</f>
        <v>104.15</v>
      </c>
      <c r="K1161" s="16"/>
      <c r="T1161" s="17"/>
      <c r="AC1161" s="17"/>
    </row>
    <row r="1162">
      <c r="B1162" s="11">
        <f>IFERROR(__xludf.DUMMYFUNCTION("""COMPUTED_VALUE"""),44334.66666666667)</f>
        <v>44334.66667</v>
      </c>
      <c r="C1162" s="9">
        <f>IFERROR(__xludf.DUMMYFUNCTION("""COMPUTED_VALUE"""),104.65)</f>
        <v>104.65</v>
      </c>
      <c r="K1162" s="16"/>
      <c r="T1162" s="17"/>
      <c r="AC1162" s="17"/>
    </row>
    <row r="1163">
      <c r="B1163" s="11">
        <f>IFERROR(__xludf.DUMMYFUNCTION("""COMPUTED_VALUE"""),44333.66666666667)</f>
        <v>44333.66667</v>
      </c>
      <c r="C1163" s="9">
        <f>IFERROR(__xludf.DUMMYFUNCTION("""COMPUTED_VALUE"""),106.0)</f>
        <v>106</v>
      </c>
      <c r="K1163" s="16"/>
      <c r="T1163" s="17"/>
      <c r="AC1163" s="17"/>
    </row>
    <row r="1164">
      <c r="B1164" s="11">
        <f>IFERROR(__xludf.DUMMYFUNCTION("""COMPUTED_VALUE"""),44330.66666666667)</f>
        <v>44330.66667</v>
      </c>
      <c r="C1164" s="9">
        <f>IFERROR(__xludf.DUMMYFUNCTION("""COMPUTED_VALUE"""),105.97)</f>
        <v>105.97</v>
      </c>
      <c r="K1164" s="16"/>
      <c r="T1164" s="17"/>
      <c r="AC1164" s="17"/>
    </row>
    <row r="1165">
      <c r="B1165" s="11">
        <f>IFERROR(__xludf.DUMMYFUNCTION("""COMPUTED_VALUE"""),44329.66666666667)</f>
        <v>44329.66667</v>
      </c>
      <c r="C1165" s="9">
        <f>IFERROR(__xludf.DUMMYFUNCTION("""COMPUTED_VALUE"""),103.85)</f>
        <v>103.85</v>
      </c>
      <c r="K1165" s="16"/>
      <c r="T1165" s="17"/>
      <c r="AC1165" s="17"/>
    </row>
    <row r="1166">
      <c r="B1166" s="11">
        <f>IFERROR(__xludf.DUMMYFUNCTION("""COMPUTED_VALUE"""),44328.66666666667)</f>
        <v>44328.66667</v>
      </c>
      <c r="C1166" s="9">
        <f>IFERROR(__xludf.DUMMYFUNCTION("""COMPUTED_VALUE"""),102.24)</f>
        <v>102.24</v>
      </c>
      <c r="K1166" s="16"/>
      <c r="T1166" s="17"/>
      <c r="AC1166" s="17"/>
    </row>
    <row r="1167">
      <c r="B1167" s="11">
        <f>IFERROR(__xludf.DUMMYFUNCTION("""COMPUTED_VALUE"""),44327.66666666667)</f>
        <v>44327.66667</v>
      </c>
      <c r="C1167" s="9">
        <f>IFERROR(__xludf.DUMMYFUNCTION("""COMPUTED_VALUE"""),105.36)</f>
        <v>105.36</v>
      </c>
      <c r="K1167" s="16"/>
      <c r="T1167" s="17"/>
      <c r="AC1167" s="17"/>
    </row>
    <row r="1168">
      <c r="B1168" s="11">
        <f>IFERROR(__xludf.DUMMYFUNCTION("""COMPUTED_VALUE"""),44326.66666666667)</f>
        <v>44326.66667</v>
      </c>
      <c r="C1168" s="9">
        <f>IFERROR(__xludf.DUMMYFUNCTION("""COMPUTED_VALUE"""),106.56)</f>
        <v>106.56</v>
      </c>
      <c r="K1168" s="16"/>
      <c r="T1168" s="17"/>
      <c r="AC1168" s="17"/>
    </row>
    <row r="1169">
      <c r="B1169" s="11">
        <f>IFERROR(__xludf.DUMMYFUNCTION("""COMPUTED_VALUE"""),44323.66666666667)</f>
        <v>44323.66667</v>
      </c>
      <c r="C1169" s="9">
        <f>IFERROR(__xludf.DUMMYFUNCTION("""COMPUTED_VALUE"""),107.62)</f>
        <v>107.62</v>
      </c>
      <c r="K1169" s="16"/>
      <c r="T1169" s="17"/>
      <c r="AC1169" s="17"/>
    </row>
    <row r="1170">
      <c r="B1170" s="11">
        <f>IFERROR(__xludf.DUMMYFUNCTION("""COMPUTED_VALUE"""),44322.66666666667)</f>
        <v>44322.66667</v>
      </c>
      <c r="C1170" s="9">
        <f>IFERROR(__xludf.DUMMYFUNCTION("""COMPUTED_VALUE"""),105.98)</f>
        <v>105.98</v>
      </c>
      <c r="K1170" s="16"/>
      <c r="T1170" s="17"/>
      <c r="AC1170" s="17"/>
    </row>
    <row r="1171">
      <c r="B1171" s="11">
        <f>IFERROR(__xludf.DUMMYFUNCTION("""COMPUTED_VALUE"""),44321.66666666667)</f>
        <v>44321.66667</v>
      </c>
      <c r="C1171" s="9">
        <f>IFERROR(__xludf.DUMMYFUNCTION("""COMPUTED_VALUE"""),105.25)</f>
        <v>105.25</v>
      </c>
      <c r="K1171" s="16"/>
      <c r="T1171" s="17"/>
      <c r="AC1171" s="17"/>
    </row>
    <row r="1172">
      <c r="B1172" s="11">
        <f>IFERROR(__xludf.DUMMYFUNCTION("""COMPUTED_VALUE"""),44320.66666666667)</f>
        <v>44320.66667</v>
      </c>
      <c r="C1172" s="9">
        <f>IFERROR(__xludf.DUMMYFUNCTION("""COMPUTED_VALUE"""),106.31)</f>
        <v>106.31</v>
      </c>
      <c r="K1172" s="16"/>
      <c r="T1172" s="17"/>
      <c r="AC1172" s="17"/>
    </row>
    <row r="1173">
      <c r="B1173" s="11">
        <f>IFERROR(__xludf.DUMMYFUNCTION("""COMPUTED_VALUE"""),44319.66666666667)</f>
        <v>44319.66667</v>
      </c>
      <c r="C1173" s="9">
        <f>IFERROR(__xludf.DUMMYFUNCTION("""COMPUTED_VALUE"""),106.95)</f>
        <v>106.95</v>
      </c>
      <c r="K1173" s="16"/>
      <c r="T1173" s="17"/>
      <c r="AC1173" s="17"/>
    </row>
    <row r="1174">
      <c r="B1174" s="11">
        <f>IFERROR(__xludf.DUMMYFUNCTION("""COMPUTED_VALUE"""),44316.66666666667)</f>
        <v>44316.66667</v>
      </c>
      <c r="C1174" s="9">
        <f>IFERROR(__xludf.DUMMYFUNCTION("""COMPUTED_VALUE"""),106.44)</f>
        <v>106.44</v>
      </c>
      <c r="K1174" s="16"/>
      <c r="T1174" s="17"/>
      <c r="AC1174" s="17"/>
    </row>
    <row r="1175">
      <c r="B1175" s="11">
        <f>IFERROR(__xludf.DUMMYFUNCTION("""COMPUTED_VALUE"""),44315.66666666667)</f>
        <v>44315.66667</v>
      </c>
      <c r="C1175" s="9">
        <f>IFERROR(__xludf.DUMMYFUNCTION("""COMPUTED_VALUE"""),106.69)</f>
        <v>106.69</v>
      </c>
      <c r="K1175" s="16"/>
      <c r="T1175" s="17"/>
      <c r="AC1175" s="17"/>
    </row>
    <row r="1176">
      <c r="B1176" s="11">
        <f>IFERROR(__xludf.DUMMYFUNCTION("""COMPUTED_VALUE"""),44314.66666666667)</f>
        <v>44314.66667</v>
      </c>
      <c r="C1176" s="9">
        <f>IFERROR(__xludf.DUMMYFUNCTION("""COMPUTED_VALUE"""),105.98)</f>
        <v>105.98</v>
      </c>
      <c r="K1176" s="16"/>
      <c r="T1176" s="17"/>
      <c r="AC1176" s="17"/>
    </row>
    <row r="1177">
      <c r="B1177" s="11">
        <f>IFERROR(__xludf.DUMMYFUNCTION("""COMPUTED_VALUE"""),44313.66666666667)</f>
        <v>44313.66667</v>
      </c>
      <c r="C1177" s="9">
        <f>IFERROR(__xludf.DUMMYFUNCTION("""COMPUTED_VALUE"""),106.48)</f>
        <v>106.48</v>
      </c>
      <c r="K1177" s="16"/>
      <c r="T1177" s="17"/>
      <c r="AC1177" s="17"/>
    </row>
    <row r="1178">
      <c r="B1178" s="11">
        <f>IFERROR(__xludf.DUMMYFUNCTION("""COMPUTED_VALUE"""),44312.66666666667)</f>
        <v>44312.66667</v>
      </c>
      <c r="C1178" s="9">
        <f>IFERROR(__xludf.DUMMYFUNCTION("""COMPUTED_VALUE"""),105.99)</f>
        <v>105.99</v>
      </c>
      <c r="K1178" s="16"/>
      <c r="T1178" s="17"/>
      <c r="AC1178" s="17"/>
    </row>
    <row r="1179">
      <c r="B1179" s="11">
        <f>IFERROR(__xludf.DUMMYFUNCTION("""COMPUTED_VALUE"""),44309.66666666667)</f>
        <v>44309.66667</v>
      </c>
      <c r="C1179" s="9">
        <f>IFERROR(__xludf.DUMMYFUNCTION("""COMPUTED_VALUE"""),105.48)</f>
        <v>105.48</v>
      </c>
      <c r="K1179" s="16"/>
      <c r="T1179" s="17"/>
      <c r="AC1179" s="17"/>
    </row>
    <row r="1180">
      <c r="B1180" s="11">
        <f>IFERROR(__xludf.DUMMYFUNCTION("""COMPUTED_VALUE"""),44308.66666666667)</f>
        <v>44308.66667</v>
      </c>
      <c r="C1180" s="9">
        <f>IFERROR(__xludf.DUMMYFUNCTION("""COMPUTED_VALUE"""),104.19)</f>
        <v>104.19</v>
      </c>
      <c r="K1180" s="16"/>
      <c r="T1180" s="17"/>
      <c r="AC1180" s="17"/>
    </row>
    <row r="1181">
      <c r="B1181" s="11">
        <f>IFERROR(__xludf.DUMMYFUNCTION("""COMPUTED_VALUE"""),44307.66666666667)</f>
        <v>44307.66667</v>
      </c>
      <c r="C1181" s="9">
        <f>IFERROR(__xludf.DUMMYFUNCTION("""COMPUTED_VALUE"""),104.56)</f>
        <v>104.56</v>
      </c>
      <c r="K1181" s="16"/>
      <c r="T1181" s="17"/>
      <c r="AC1181" s="17"/>
    </row>
    <row r="1182">
      <c r="B1182" s="11">
        <f>IFERROR(__xludf.DUMMYFUNCTION("""COMPUTED_VALUE"""),44306.66666666667)</f>
        <v>44306.66667</v>
      </c>
      <c r="C1182" s="9">
        <f>IFERROR(__xludf.DUMMYFUNCTION("""COMPUTED_VALUE"""),103.18)</f>
        <v>103.18</v>
      </c>
      <c r="K1182" s="16"/>
      <c r="T1182" s="17"/>
      <c r="AC1182" s="17"/>
    </row>
    <row r="1183">
      <c r="B1183" s="11">
        <f>IFERROR(__xludf.DUMMYFUNCTION("""COMPUTED_VALUE"""),44305.66666666667)</f>
        <v>44305.66667</v>
      </c>
      <c r="C1183" s="9">
        <f>IFERROR(__xludf.DUMMYFUNCTION("""COMPUTED_VALUE"""),105.26)</f>
        <v>105.26</v>
      </c>
      <c r="K1183" s="16"/>
      <c r="T1183" s="17"/>
      <c r="AC1183" s="17"/>
    </row>
    <row r="1184">
      <c r="B1184" s="11">
        <f>IFERROR(__xludf.DUMMYFUNCTION("""COMPUTED_VALUE"""),44302.66666666667)</f>
        <v>44302.66667</v>
      </c>
      <c r="C1184" s="9">
        <f>IFERROR(__xludf.DUMMYFUNCTION("""COMPUTED_VALUE"""),105.98)</f>
        <v>105.98</v>
      </c>
      <c r="K1184" s="16"/>
      <c r="T1184" s="17"/>
      <c r="AC1184" s="17"/>
    </row>
    <row r="1185">
      <c r="B1185" s="11">
        <f>IFERROR(__xludf.DUMMYFUNCTION("""COMPUTED_VALUE"""),44301.66666666667)</f>
        <v>44301.66667</v>
      </c>
      <c r="C1185" s="9">
        <f>IFERROR(__xludf.DUMMYFUNCTION("""COMPUTED_VALUE"""),105.91)</f>
        <v>105.91</v>
      </c>
      <c r="K1185" s="16"/>
      <c r="T1185" s="17"/>
      <c r="AC1185" s="17"/>
    </row>
    <row r="1186">
      <c r="B1186" s="11">
        <f>IFERROR(__xludf.DUMMYFUNCTION("""COMPUTED_VALUE"""),44300.66666666667)</f>
        <v>44300.66667</v>
      </c>
      <c r="C1186" s="9">
        <f>IFERROR(__xludf.DUMMYFUNCTION("""COMPUTED_VALUE"""),106.1)</f>
        <v>106.1</v>
      </c>
      <c r="K1186" s="16"/>
      <c r="T1186" s="17"/>
      <c r="AC1186" s="17"/>
    </row>
    <row r="1187">
      <c r="B1187" s="11">
        <f>IFERROR(__xludf.DUMMYFUNCTION("""COMPUTED_VALUE"""),44299.66666666667)</f>
        <v>44299.66667</v>
      </c>
      <c r="C1187" s="9">
        <f>IFERROR(__xludf.DUMMYFUNCTION("""COMPUTED_VALUE"""),105.71)</f>
        <v>105.71</v>
      </c>
      <c r="K1187" s="16"/>
      <c r="T1187" s="17"/>
      <c r="AC1187" s="17"/>
    </row>
    <row r="1188">
      <c r="B1188" s="11">
        <f>IFERROR(__xludf.DUMMYFUNCTION("""COMPUTED_VALUE"""),44298.66666666667)</f>
        <v>44298.66667</v>
      </c>
      <c r="C1188" s="9">
        <f>IFERROR(__xludf.DUMMYFUNCTION("""COMPUTED_VALUE"""),106.06)</f>
        <v>106.06</v>
      </c>
      <c r="K1188" s="16"/>
      <c r="T1188" s="17"/>
      <c r="AC1188" s="17"/>
    </row>
    <row r="1189">
      <c r="B1189" s="11">
        <f>IFERROR(__xludf.DUMMYFUNCTION("""COMPUTED_VALUE"""),44295.66666666667)</f>
        <v>44295.66667</v>
      </c>
      <c r="C1189" s="9">
        <f>IFERROR(__xludf.DUMMYFUNCTION("""COMPUTED_VALUE"""),105.79)</f>
        <v>105.79</v>
      </c>
      <c r="K1189" s="16"/>
      <c r="T1189" s="17"/>
      <c r="AC1189" s="17"/>
    </row>
    <row r="1190">
      <c r="B1190" s="11">
        <f>IFERROR(__xludf.DUMMYFUNCTION("""COMPUTED_VALUE"""),44294.66666666667)</f>
        <v>44294.66667</v>
      </c>
      <c r="C1190" s="9">
        <f>IFERROR(__xludf.DUMMYFUNCTION("""COMPUTED_VALUE"""),105.8)</f>
        <v>105.8</v>
      </c>
      <c r="K1190" s="16"/>
      <c r="T1190" s="17"/>
      <c r="AC1190" s="17"/>
    </row>
    <row r="1191">
      <c r="B1191" s="11">
        <f>IFERROR(__xludf.DUMMYFUNCTION("""COMPUTED_VALUE"""),44293.66666666667)</f>
        <v>44293.66667</v>
      </c>
      <c r="C1191" s="9">
        <f>IFERROR(__xludf.DUMMYFUNCTION("""COMPUTED_VALUE"""),104.99)</f>
        <v>104.99</v>
      </c>
      <c r="K1191" s="16"/>
      <c r="T1191" s="17"/>
      <c r="AC1191" s="17"/>
    </row>
    <row r="1192">
      <c r="B1192" s="11">
        <f>IFERROR(__xludf.DUMMYFUNCTION("""COMPUTED_VALUE"""),44292.66666666667)</f>
        <v>44292.66667</v>
      </c>
      <c r="C1192" s="9">
        <f>IFERROR(__xludf.DUMMYFUNCTION("""COMPUTED_VALUE"""),105.49)</f>
        <v>105.49</v>
      </c>
      <c r="K1192" s="16"/>
      <c r="T1192" s="17"/>
      <c r="AC1192" s="17"/>
    </row>
    <row r="1193">
      <c r="B1193" s="11">
        <f>IFERROR(__xludf.DUMMYFUNCTION("""COMPUTED_VALUE"""),44291.66666666667)</f>
        <v>44291.66667</v>
      </c>
      <c r="C1193" s="9">
        <f>IFERROR(__xludf.DUMMYFUNCTION("""COMPUTED_VALUE"""),106.05)</f>
        <v>106.05</v>
      </c>
      <c r="K1193" s="16"/>
      <c r="T1193" s="17"/>
      <c r="AC1193" s="17"/>
    </row>
    <row r="1194">
      <c r="B1194" s="11">
        <f>IFERROR(__xludf.DUMMYFUNCTION("""COMPUTED_VALUE"""),44287.66666666667)</f>
        <v>44287.66667</v>
      </c>
      <c r="C1194" s="9">
        <f>IFERROR(__xludf.DUMMYFUNCTION("""COMPUTED_VALUE"""),104.44)</f>
        <v>104.44</v>
      </c>
      <c r="K1194" s="16"/>
      <c r="T1194" s="17"/>
      <c r="AC1194" s="17"/>
    </row>
    <row r="1195">
      <c r="B1195" s="11">
        <f>IFERROR(__xludf.DUMMYFUNCTION("""COMPUTED_VALUE"""),44286.66666666667)</f>
        <v>44286.66667</v>
      </c>
      <c r="C1195" s="9">
        <f>IFERROR(__xludf.DUMMYFUNCTION("""COMPUTED_VALUE"""),104.11)</f>
        <v>104.11</v>
      </c>
      <c r="K1195" s="16"/>
      <c r="T1195" s="17"/>
      <c r="AC1195" s="17"/>
    </row>
    <row r="1196">
      <c r="B1196" s="11">
        <f>IFERROR(__xludf.DUMMYFUNCTION("""COMPUTED_VALUE"""),44285.66666666667)</f>
        <v>44285.66667</v>
      </c>
      <c r="C1196" s="9">
        <f>IFERROR(__xludf.DUMMYFUNCTION("""COMPUTED_VALUE"""),103.84)</f>
        <v>103.84</v>
      </c>
      <c r="K1196" s="16"/>
      <c r="T1196" s="17"/>
      <c r="AC1196" s="17"/>
    </row>
    <row r="1197">
      <c r="B1197" s="11">
        <f>IFERROR(__xludf.DUMMYFUNCTION("""COMPUTED_VALUE"""),44284.66666666667)</f>
        <v>44284.66667</v>
      </c>
      <c r="C1197" s="9">
        <f>IFERROR(__xludf.DUMMYFUNCTION("""COMPUTED_VALUE"""),103.18)</f>
        <v>103.18</v>
      </c>
      <c r="K1197" s="16"/>
      <c r="T1197" s="17"/>
      <c r="AC1197" s="17"/>
    </row>
    <row r="1198">
      <c r="B1198" s="11">
        <f>IFERROR(__xludf.DUMMYFUNCTION("""COMPUTED_VALUE"""),44281.66666666667)</f>
        <v>44281.66667</v>
      </c>
      <c r="C1198" s="9">
        <f>IFERROR(__xludf.DUMMYFUNCTION("""COMPUTED_VALUE"""),102.64)</f>
        <v>102.64</v>
      </c>
      <c r="K1198" s="16"/>
      <c r="T1198" s="17"/>
      <c r="AC1198" s="17"/>
    </row>
    <row r="1199">
      <c r="B1199" s="11">
        <f>IFERROR(__xludf.DUMMYFUNCTION("""COMPUTED_VALUE"""),44280.66666666667)</f>
        <v>44280.66667</v>
      </c>
      <c r="C1199" s="9">
        <f>IFERROR(__xludf.DUMMYFUNCTION("""COMPUTED_VALUE"""),102.28)</f>
        <v>102.28</v>
      </c>
      <c r="K1199" s="16"/>
      <c r="T1199" s="17"/>
      <c r="AC1199" s="17"/>
    </row>
    <row r="1200">
      <c r="B1200" s="11">
        <f>IFERROR(__xludf.DUMMYFUNCTION("""COMPUTED_VALUE"""),44279.66666666667)</f>
        <v>44279.66667</v>
      </c>
      <c r="C1200" s="9">
        <f>IFERROR(__xludf.DUMMYFUNCTION("""COMPUTED_VALUE"""),100.25)</f>
        <v>100.25</v>
      </c>
      <c r="K1200" s="16"/>
      <c r="T1200" s="17"/>
      <c r="AC1200" s="17"/>
    </row>
    <row r="1201">
      <c r="B1201" s="11">
        <f>IFERROR(__xludf.DUMMYFUNCTION("""COMPUTED_VALUE"""),44278.66666666667)</f>
        <v>44278.66667</v>
      </c>
      <c r="C1201" s="9">
        <f>IFERROR(__xludf.DUMMYFUNCTION("""COMPUTED_VALUE"""),100.37)</f>
        <v>100.37</v>
      </c>
      <c r="K1201" s="16"/>
      <c r="T1201" s="17"/>
      <c r="AC1201" s="17"/>
    </row>
    <row r="1202">
      <c r="B1202" s="11">
        <f>IFERROR(__xludf.DUMMYFUNCTION("""COMPUTED_VALUE"""),44277.66666666667)</f>
        <v>44277.66667</v>
      </c>
      <c r="C1202" s="9">
        <f>IFERROR(__xludf.DUMMYFUNCTION("""COMPUTED_VALUE"""),103.12)</f>
        <v>103.12</v>
      </c>
      <c r="K1202" s="16"/>
      <c r="T1202" s="17"/>
      <c r="AC1202" s="17"/>
    </row>
    <row r="1203">
      <c r="B1203" s="11">
        <f>IFERROR(__xludf.DUMMYFUNCTION("""COMPUTED_VALUE"""),44274.66666666667)</f>
        <v>44274.66667</v>
      </c>
      <c r="C1203" s="9">
        <f>IFERROR(__xludf.DUMMYFUNCTION("""COMPUTED_VALUE"""),103.97)</f>
        <v>103.97</v>
      </c>
      <c r="K1203" s="16"/>
      <c r="T1203" s="17"/>
      <c r="AC1203" s="17"/>
    </row>
    <row r="1204">
      <c r="B1204" s="11">
        <f>IFERROR(__xludf.DUMMYFUNCTION("""COMPUTED_VALUE"""),44273.66666666667)</f>
        <v>44273.66667</v>
      </c>
      <c r="C1204" s="9">
        <f>IFERROR(__xludf.DUMMYFUNCTION("""COMPUTED_VALUE"""),104.14)</f>
        <v>104.14</v>
      </c>
      <c r="K1204" s="16"/>
      <c r="T1204" s="17"/>
      <c r="AC1204" s="17"/>
    </row>
    <row r="1205">
      <c r="B1205" s="11">
        <f>IFERROR(__xludf.DUMMYFUNCTION("""COMPUTED_VALUE"""),44272.66666666667)</f>
        <v>44272.66667</v>
      </c>
      <c r="C1205" s="9">
        <f>IFERROR(__xludf.DUMMYFUNCTION("""COMPUTED_VALUE"""),105.81)</f>
        <v>105.81</v>
      </c>
      <c r="K1205" s="16"/>
      <c r="T1205" s="17"/>
      <c r="AC1205" s="17"/>
    </row>
    <row r="1206">
      <c r="B1206" s="11">
        <f>IFERROR(__xludf.DUMMYFUNCTION("""COMPUTED_VALUE"""),44271.66666666667)</f>
        <v>44271.66667</v>
      </c>
      <c r="C1206" s="9">
        <f>IFERROR(__xludf.DUMMYFUNCTION("""COMPUTED_VALUE"""),103.88)</f>
        <v>103.88</v>
      </c>
      <c r="K1206" s="16"/>
      <c r="T1206" s="17"/>
      <c r="AC1206" s="17"/>
    </row>
    <row r="1207">
      <c r="B1207" s="11">
        <f>IFERROR(__xludf.DUMMYFUNCTION("""COMPUTED_VALUE"""),44270.66666666667)</f>
        <v>44270.66667</v>
      </c>
      <c r="C1207" s="9">
        <f>IFERROR(__xludf.DUMMYFUNCTION("""COMPUTED_VALUE"""),106.06)</f>
        <v>106.06</v>
      </c>
      <c r="K1207" s="16"/>
      <c r="T1207" s="17"/>
      <c r="AC1207" s="17"/>
    </row>
    <row r="1208">
      <c r="B1208" s="11">
        <f>IFERROR(__xludf.DUMMYFUNCTION("""COMPUTED_VALUE"""),44267.66666666667)</f>
        <v>44267.66667</v>
      </c>
      <c r="C1208" s="9">
        <f>IFERROR(__xludf.DUMMYFUNCTION("""COMPUTED_VALUE"""),105.56)</f>
        <v>105.56</v>
      </c>
      <c r="K1208" s="16"/>
      <c r="T1208" s="17"/>
      <c r="AC1208" s="17"/>
    </row>
    <row r="1209">
      <c r="B1209" s="11">
        <f>IFERROR(__xludf.DUMMYFUNCTION("""COMPUTED_VALUE"""),44266.66666666667)</f>
        <v>44266.66667</v>
      </c>
      <c r="C1209" s="9">
        <f>IFERROR(__xludf.DUMMYFUNCTION("""COMPUTED_VALUE"""),102.71)</f>
        <v>102.71</v>
      </c>
      <c r="K1209" s="16"/>
      <c r="T1209" s="17"/>
      <c r="AC1209" s="17"/>
    </row>
    <row r="1210">
      <c r="B1210" s="11">
        <f>IFERROR(__xludf.DUMMYFUNCTION("""COMPUTED_VALUE"""),44265.66666666667)</f>
        <v>44265.66667</v>
      </c>
      <c r="C1210" s="9">
        <f>IFERROR(__xludf.DUMMYFUNCTION("""COMPUTED_VALUE"""),101.27)</f>
        <v>101.27</v>
      </c>
      <c r="K1210" s="16"/>
      <c r="T1210" s="17"/>
      <c r="AC1210" s="17"/>
    </row>
    <row r="1211">
      <c r="B1211" s="11">
        <f>IFERROR(__xludf.DUMMYFUNCTION("""COMPUTED_VALUE"""),44264.66666666667)</f>
        <v>44264.66667</v>
      </c>
      <c r="C1211" s="9">
        <f>IFERROR(__xludf.DUMMYFUNCTION("""COMPUTED_VALUE"""),98.57)</f>
        <v>98.57</v>
      </c>
      <c r="K1211" s="16"/>
      <c r="T1211" s="17"/>
      <c r="AC1211" s="17"/>
    </row>
    <row r="1212">
      <c r="B1212" s="11">
        <f>IFERROR(__xludf.DUMMYFUNCTION("""COMPUTED_VALUE"""),44263.66666666667)</f>
        <v>44263.66667</v>
      </c>
      <c r="C1212" s="9">
        <f>IFERROR(__xludf.DUMMYFUNCTION("""COMPUTED_VALUE"""),98.4)</f>
        <v>98.4</v>
      </c>
      <c r="K1212" s="16"/>
      <c r="T1212" s="17"/>
      <c r="AC1212" s="17"/>
    </row>
    <row r="1213">
      <c r="B1213" s="11">
        <f>IFERROR(__xludf.DUMMYFUNCTION("""COMPUTED_VALUE"""),44260.66666666667)</f>
        <v>44260.66667</v>
      </c>
      <c r="C1213" s="9">
        <f>IFERROR(__xludf.DUMMYFUNCTION("""COMPUTED_VALUE"""),98.05)</f>
        <v>98.05</v>
      </c>
      <c r="K1213" s="16"/>
      <c r="T1213" s="17"/>
      <c r="AC1213" s="17"/>
    </row>
    <row r="1214">
      <c r="B1214" s="11">
        <f>IFERROR(__xludf.DUMMYFUNCTION("""COMPUTED_VALUE"""),44259.66666666667)</f>
        <v>44259.66667</v>
      </c>
      <c r="C1214" s="9">
        <f>IFERROR(__xludf.DUMMYFUNCTION("""COMPUTED_VALUE"""),96.92)</f>
        <v>96.92</v>
      </c>
      <c r="K1214" s="16"/>
      <c r="T1214" s="17"/>
      <c r="AC1214" s="17"/>
    </row>
    <row r="1215">
      <c r="B1215" s="11">
        <f>IFERROR(__xludf.DUMMYFUNCTION("""COMPUTED_VALUE"""),44258.66666666667)</f>
        <v>44258.66667</v>
      </c>
      <c r="C1215" s="9">
        <f>IFERROR(__xludf.DUMMYFUNCTION("""COMPUTED_VALUE"""),98.78)</f>
        <v>98.78</v>
      </c>
      <c r="K1215" s="16"/>
      <c r="T1215" s="17"/>
      <c r="AC1215" s="17"/>
    </row>
    <row r="1216">
      <c r="B1216" s="11">
        <f>IFERROR(__xludf.DUMMYFUNCTION("""COMPUTED_VALUE"""),44257.66666666667)</f>
        <v>44257.66667</v>
      </c>
      <c r="C1216" s="9">
        <f>IFERROR(__xludf.DUMMYFUNCTION("""COMPUTED_VALUE"""),98.46)</f>
        <v>98.46</v>
      </c>
      <c r="K1216" s="16"/>
      <c r="T1216" s="17"/>
      <c r="AC1216" s="17"/>
    </row>
    <row r="1217">
      <c r="B1217" s="11">
        <f>IFERROR(__xludf.DUMMYFUNCTION("""COMPUTED_VALUE"""),44256.66666666667)</f>
        <v>44256.66667</v>
      </c>
      <c r="C1217" s="9">
        <f>IFERROR(__xludf.DUMMYFUNCTION("""COMPUTED_VALUE"""),98.81)</f>
        <v>98.81</v>
      </c>
      <c r="K1217" s="16"/>
      <c r="T1217" s="17"/>
      <c r="AC1217" s="17"/>
    </row>
    <row r="1218">
      <c r="B1218" s="11">
        <f>IFERROR(__xludf.DUMMYFUNCTION("""COMPUTED_VALUE"""),44253.66666666667)</f>
        <v>44253.66667</v>
      </c>
      <c r="C1218" s="9">
        <f>IFERROR(__xludf.DUMMYFUNCTION("""COMPUTED_VALUE"""),95.61)</f>
        <v>95.61</v>
      </c>
      <c r="K1218" s="16"/>
      <c r="T1218" s="17"/>
      <c r="AC1218" s="17"/>
    </row>
    <row r="1219">
      <c r="B1219" s="11">
        <f>IFERROR(__xludf.DUMMYFUNCTION("""COMPUTED_VALUE"""),44252.66666666667)</f>
        <v>44252.66667</v>
      </c>
      <c r="C1219" s="9">
        <f>IFERROR(__xludf.DUMMYFUNCTION("""COMPUTED_VALUE"""),97.38)</f>
        <v>97.38</v>
      </c>
      <c r="K1219" s="16"/>
      <c r="T1219" s="17"/>
      <c r="AC1219" s="17"/>
    </row>
    <row r="1220">
      <c r="B1220" s="11">
        <f>IFERROR(__xludf.DUMMYFUNCTION("""COMPUTED_VALUE"""),44251.66666666667)</f>
        <v>44251.66667</v>
      </c>
      <c r="C1220" s="9">
        <f>IFERROR(__xludf.DUMMYFUNCTION("""COMPUTED_VALUE"""),101.27)</f>
        <v>101.27</v>
      </c>
      <c r="K1220" s="16"/>
      <c r="T1220" s="17"/>
      <c r="AC1220" s="17"/>
    </row>
    <row r="1221">
      <c r="B1221" s="11">
        <f>IFERROR(__xludf.DUMMYFUNCTION("""COMPUTED_VALUE"""),44250.66666666667)</f>
        <v>44250.66667</v>
      </c>
      <c r="C1221" s="9">
        <f>IFERROR(__xludf.DUMMYFUNCTION("""COMPUTED_VALUE"""),98.09)</f>
        <v>98.09</v>
      </c>
      <c r="K1221" s="16"/>
      <c r="T1221" s="17"/>
      <c r="AC1221" s="17"/>
    </row>
    <row r="1222">
      <c r="B1222" s="11">
        <f>IFERROR(__xludf.DUMMYFUNCTION("""COMPUTED_VALUE"""),44249.66666666667)</f>
        <v>44249.66667</v>
      </c>
      <c r="C1222" s="9">
        <f>IFERROR(__xludf.DUMMYFUNCTION("""COMPUTED_VALUE"""),97.99)</f>
        <v>97.99</v>
      </c>
      <c r="K1222" s="16"/>
      <c r="T1222" s="17"/>
      <c r="AC1222" s="17"/>
    </row>
    <row r="1223">
      <c r="B1223" s="11">
        <f>IFERROR(__xludf.DUMMYFUNCTION("""COMPUTED_VALUE"""),44246.66666666667)</f>
        <v>44246.66667</v>
      </c>
      <c r="C1223" s="9">
        <f>IFERROR(__xludf.DUMMYFUNCTION("""COMPUTED_VALUE"""),99.01)</f>
        <v>99.01</v>
      </c>
      <c r="K1223" s="16"/>
      <c r="T1223" s="17"/>
      <c r="AC1223" s="17"/>
    </row>
    <row r="1224">
      <c r="B1224" s="11">
        <f>IFERROR(__xludf.DUMMYFUNCTION("""COMPUTED_VALUE"""),44245.66666666667)</f>
        <v>44245.66667</v>
      </c>
      <c r="C1224" s="9">
        <f>IFERROR(__xludf.DUMMYFUNCTION("""COMPUTED_VALUE"""),96.8)</f>
        <v>96.8</v>
      </c>
      <c r="K1224" s="16"/>
      <c r="T1224" s="17"/>
      <c r="AC1224" s="17"/>
    </row>
    <row r="1225">
      <c r="B1225" s="11">
        <f>IFERROR(__xludf.DUMMYFUNCTION("""COMPUTED_VALUE"""),44244.66666666667)</f>
        <v>44244.66667</v>
      </c>
      <c r="C1225" s="9">
        <f>IFERROR(__xludf.DUMMYFUNCTION("""COMPUTED_VALUE"""),98.1)</f>
        <v>98.1</v>
      </c>
      <c r="K1225" s="16"/>
      <c r="T1225" s="17"/>
      <c r="AC1225" s="17"/>
    </row>
    <row r="1226">
      <c r="B1226" s="11">
        <f>IFERROR(__xludf.DUMMYFUNCTION("""COMPUTED_VALUE"""),44243.66666666667)</f>
        <v>44243.66667</v>
      </c>
      <c r="C1226" s="9">
        <f>IFERROR(__xludf.DUMMYFUNCTION("""COMPUTED_VALUE"""),97.65)</f>
        <v>97.65</v>
      </c>
      <c r="K1226" s="16"/>
      <c r="T1226" s="17"/>
      <c r="AC1226" s="17"/>
    </row>
    <row r="1227">
      <c r="B1227" s="11">
        <f>IFERROR(__xludf.DUMMYFUNCTION("""COMPUTED_VALUE"""),44239.66666666667)</f>
        <v>44239.66667</v>
      </c>
      <c r="C1227" s="9">
        <f>IFERROR(__xludf.DUMMYFUNCTION("""COMPUTED_VALUE"""),97.91)</f>
        <v>97.91</v>
      </c>
      <c r="K1227" s="16"/>
      <c r="T1227" s="17"/>
      <c r="AC1227" s="17"/>
    </row>
    <row r="1228">
      <c r="B1228" s="11">
        <f>IFERROR(__xludf.DUMMYFUNCTION("""COMPUTED_VALUE"""),44238.66666666667)</f>
        <v>44238.66667</v>
      </c>
      <c r="C1228" s="9">
        <f>IFERROR(__xludf.DUMMYFUNCTION("""COMPUTED_VALUE"""),98.19)</f>
        <v>98.19</v>
      </c>
      <c r="K1228" s="16"/>
      <c r="T1228" s="17"/>
      <c r="AC1228" s="17"/>
    </row>
    <row r="1229">
      <c r="B1229" s="11">
        <f>IFERROR(__xludf.DUMMYFUNCTION("""COMPUTED_VALUE"""),44237.66666666667)</f>
        <v>44237.66667</v>
      </c>
      <c r="C1229" s="9">
        <f>IFERROR(__xludf.DUMMYFUNCTION("""COMPUTED_VALUE"""),97.62)</f>
        <v>97.62</v>
      </c>
      <c r="K1229" s="16"/>
      <c r="T1229" s="17"/>
      <c r="AC1229" s="17"/>
    </row>
    <row r="1230">
      <c r="B1230" s="11">
        <f>IFERROR(__xludf.DUMMYFUNCTION("""COMPUTED_VALUE"""),44236.66666666667)</f>
        <v>44236.66667</v>
      </c>
      <c r="C1230" s="9">
        <f>IFERROR(__xludf.DUMMYFUNCTION("""COMPUTED_VALUE"""),98.23)</f>
        <v>98.23</v>
      </c>
      <c r="K1230" s="16"/>
      <c r="T1230" s="17"/>
      <c r="AC1230" s="17"/>
    </row>
    <row r="1231">
      <c r="B1231" s="11">
        <f>IFERROR(__xludf.DUMMYFUNCTION("""COMPUTED_VALUE"""),44235.66666666667)</f>
        <v>44235.66667</v>
      </c>
      <c r="C1231" s="9">
        <f>IFERROR(__xludf.DUMMYFUNCTION("""COMPUTED_VALUE"""),97.4)</f>
        <v>97.4</v>
      </c>
      <c r="K1231" s="16"/>
      <c r="T1231" s="17"/>
      <c r="AC1231" s="17"/>
    </row>
    <row r="1232">
      <c r="B1232" s="11">
        <f>IFERROR(__xludf.DUMMYFUNCTION("""COMPUTED_VALUE"""),44232.66666666667)</f>
        <v>44232.66667</v>
      </c>
      <c r="C1232" s="9">
        <f>IFERROR(__xludf.DUMMYFUNCTION("""COMPUTED_VALUE"""),95.99)</f>
        <v>95.99</v>
      </c>
      <c r="K1232" s="16"/>
      <c r="T1232" s="17"/>
      <c r="AC1232" s="17"/>
    </row>
    <row r="1233">
      <c r="B1233" s="11">
        <f>IFERROR(__xludf.DUMMYFUNCTION("""COMPUTED_VALUE"""),44231.66666666667)</f>
        <v>44231.66667</v>
      </c>
      <c r="C1233" s="9">
        <f>IFERROR(__xludf.DUMMYFUNCTION("""COMPUTED_VALUE"""),96.36)</f>
        <v>96.36</v>
      </c>
      <c r="K1233" s="16"/>
      <c r="T1233" s="17"/>
      <c r="AC1233" s="17"/>
    </row>
    <row r="1234">
      <c r="B1234" s="11">
        <f>IFERROR(__xludf.DUMMYFUNCTION("""COMPUTED_VALUE"""),44230.66666666667)</f>
        <v>44230.66667</v>
      </c>
      <c r="C1234" s="9">
        <f>IFERROR(__xludf.DUMMYFUNCTION("""COMPUTED_VALUE"""),94.5)</f>
        <v>94.5</v>
      </c>
      <c r="K1234" s="16"/>
      <c r="T1234" s="17"/>
      <c r="AC1234" s="17"/>
    </row>
    <row r="1235">
      <c r="B1235" s="11">
        <f>IFERROR(__xludf.DUMMYFUNCTION("""COMPUTED_VALUE"""),44229.66666666667)</f>
        <v>44229.66667</v>
      </c>
      <c r="C1235" s="9">
        <f>IFERROR(__xludf.DUMMYFUNCTION("""COMPUTED_VALUE"""),93.12)</f>
        <v>93.12</v>
      </c>
      <c r="K1235" s="16"/>
      <c r="T1235" s="17"/>
      <c r="AC1235" s="17"/>
    </row>
    <row r="1236">
      <c r="B1236" s="11">
        <f>IFERROR(__xludf.DUMMYFUNCTION("""COMPUTED_VALUE"""),44228.66666666667)</f>
        <v>44228.66667</v>
      </c>
      <c r="C1236" s="9">
        <f>IFERROR(__xludf.DUMMYFUNCTION("""COMPUTED_VALUE"""),90.61)</f>
        <v>90.61</v>
      </c>
      <c r="K1236" s="16"/>
      <c r="T1236" s="17"/>
      <c r="AC1236" s="17"/>
    </row>
    <row r="1237">
      <c r="B1237" s="11">
        <f>IFERROR(__xludf.DUMMYFUNCTION("""COMPUTED_VALUE"""),44225.66666666667)</f>
        <v>44225.66667</v>
      </c>
      <c r="C1237" s="9">
        <f>IFERROR(__xludf.DUMMYFUNCTION("""COMPUTED_VALUE"""),89.08)</f>
        <v>89.08</v>
      </c>
      <c r="K1237" s="16"/>
      <c r="T1237" s="17"/>
      <c r="AC1237" s="17"/>
    </row>
    <row r="1238">
      <c r="B1238" s="11">
        <f>IFERROR(__xludf.DUMMYFUNCTION("""COMPUTED_VALUE"""),44224.66666666667)</f>
        <v>44224.66667</v>
      </c>
      <c r="C1238" s="9">
        <f>IFERROR(__xludf.DUMMYFUNCTION("""COMPUTED_VALUE"""),90.81)</f>
        <v>90.81</v>
      </c>
      <c r="K1238" s="16"/>
      <c r="T1238" s="17"/>
      <c r="AC1238" s="17"/>
    </row>
    <row r="1239">
      <c r="B1239" s="11">
        <f>IFERROR(__xludf.DUMMYFUNCTION("""COMPUTED_VALUE"""),44223.66666666667)</f>
        <v>44223.66667</v>
      </c>
      <c r="C1239" s="9">
        <f>IFERROR(__xludf.DUMMYFUNCTION("""COMPUTED_VALUE"""),89.95)</f>
        <v>89.95</v>
      </c>
      <c r="K1239" s="16"/>
      <c r="T1239" s="17"/>
      <c r="AC1239" s="17"/>
    </row>
    <row r="1240">
      <c r="B1240" s="11">
        <f>IFERROR(__xludf.DUMMYFUNCTION("""COMPUTED_VALUE"""),44222.66666666667)</f>
        <v>44222.66667</v>
      </c>
      <c r="C1240" s="9">
        <f>IFERROR(__xludf.DUMMYFUNCTION("""COMPUTED_VALUE"""),92.23)</f>
        <v>92.23</v>
      </c>
      <c r="K1240" s="16"/>
      <c r="T1240" s="17"/>
      <c r="AC1240" s="17"/>
    </row>
    <row r="1241">
      <c r="B1241" s="11">
        <f>IFERROR(__xludf.DUMMYFUNCTION("""COMPUTED_VALUE"""),44221.66666666667)</f>
        <v>44221.66667</v>
      </c>
      <c r="C1241" s="9">
        <f>IFERROR(__xludf.DUMMYFUNCTION("""COMPUTED_VALUE"""),93.3)</f>
        <v>93.3</v>
      </c>
      <c r="K1241" s="16"/>
      <c r="T1241" s="17"/>
      <c r="AC1241" s="17"/>
    </row>
    <row r="1242">
      <c r="B1242" s="11">
        <f>IFERROR(__xludf.DUMMYFUNCTION("""COMPUTED_VALUE"""),44218.66666666667)</f>
        <v>44218.66667</v>
      </c>
      <c r="C1242" s="9">
        <f>IFERROR(__xludf.DUMMYFUNCTION("""COMPUTED_VALUE"""),93.95)</f>
        <v>93.95</v>
      </c>
      <c r="K1242" s="16"/>
      <c r="T1242" s="17"/>
      <c r="AC1242" s="17"/>
    </row>
    <row r="1243">
      <c r="B1243" s="11">
        <f>IFERROR(__xludf.DUMMYFUNCTION("""COMPUTED_VALUE"""),44217.66666666667)</f>
        <v>44217.66667</v>
      </c>
      <c r="C1243" s="9">
        <f>IFERROR(__xludf.DUMMYFUNCTION("""COMPUTED_VALUE"""),93.87)</f>
        <v>93.87</v>
      </c>
      <c r="K1243" s="16"/>
      <c r="T1243" s="17"/>
      <c r="AC1243" s="17"/>
    </row>
    <row r="1244">
      <c r="B1244" s="11">
        <f>IFERROR(__xludf.DUMMYFUNCTION("""COMPUTED_VALUE"""),44216.66666666667)</f>
        <v>44216.66667</v>
      </c>
      <c r="C1244" s="9">
        <f>IFERROR(__xludf.DUMMYFUNCTION("""COMPUTED_VALUE"""),95.33)</f>
        <v>95.33</v>
      </c>
      <c r="K1244" s="16"/>
      <c r="T1244" s="17"/>
      <c r="AC1244" s="17"/>
    </row>
    <row r="1245">
      <c r="B1245" s="11">
        <f>IFERROR(__xludf.DUMMYFUNCTION("""COMPUTED_VALUE"""),44215.66666666667)</f>
        <v>44215.66667</v>
      </c>
      <c r="C1245" s="9">
        <f>IFERROR(__xludf.DUMMYFUNCTION("""COMPUTED_VALUE"""),95.25)</f>
        <v>95.25</v>
      </c>
      <c r="K1245" s="16"/>
      <c r="T1245" s="17"/>
      <c r="AC1245" s="17"/>
    </row>
    <row r="1246">
      <c r="B1246" s="11">
        <f>IFERROR(__xludf.DUMMYFUNCTION("""COMPUTED_VALUE"""),44211.66666666667)</f>
        <v>44211.66667</v>
      </c>
      <c r="C1246" s="9">
        <f>IFERROR(__xludf.DUMMYFUNCTION("""COMPUTED_VALUE"""),94.3)</f>
        <v>94.3</v>
      </c>
      <c r="K1246" s="16"/>
      <c r="T1246" s="17"/>
      <c r="AC1246" s="17"/>
    </row>
    <row r="1247">
      <c r="B1247" s="11">
        <f>IFERROR(__xludf.DUMMYFUNCTION("""COMPUTED_VALUE"""),44210.66666666667)</f>
        <v>44210.66667</v>
      </c>
      <c r="C1247" s="9">
        <f>IFERROR(__xludf.DUMMYFUNCTION("""COMPUTED_VALUE"""),96.25)</f>
        <v>96.25</v>
      </c>
      <c r="K1247" s="16"/>
      <c r="T1247" s="17"/>
      <c r="AC1247" s="17"/>
    </row>
    <row r="1248">
      <c r="B1248" s="11">
        <f>IFERROR(__xludf.DUMMYFUNCTION("""COMPUTED_VALUE"""),44209.66666666667)</f>
        <v>44209.66667</v>
      </c>
      <c r="C1248" s="9">
        <f>IFERROR(__xludf.DUMMYFUNCTION("""COMPUTED_VALUE"""),94.62)</f>
        <v>94.62</v>
      </c>
      <c r="K1248" s="16"/>
      <c r="T1248" s="17"/>
      <c r="AC1248" s="17"/>
    </row>
    <row r="1249">
      <c r="B1249" s="11">
        <f>IFERROR(__xludf.DUMMYFUNCTION("""COMPUTED_VALUE"""),44208.66666666667)</f>
        <v>44208.66667</v>
      </c>
      <c r="C1249" s="9">
        <f>IFERROR(__xludf.DUMMYFUNCTION("""COMPUTED_VALUE"""),94.96)</f>
        <v>94.96</v>
      </c>
      <c r="K1249" s="16"/>
      <c r="T1249" s="17"/>
      <c r="AC1249" s="17"/>
    </row>
    <row r="1250">
      <c r="B1250" s="11">
        <f>IFERROR(__xludf.DUMMYFUNCTION("""COMPUTED_VALUE"""),44207.66666666667)</f>
        <v>44207.66667</v>
      </c>
      <c r="C1250" s="9">
        <f>IFERROR(__xludf.DUMMYFUNCTION("""COMPUTED_VALUE"""),93.37)</f>
        <v>93.37</v>
      </c>
      <c r="K1250" s="16"/>
      <c r="T1250" s="17"/>
      <c r="AC1250" s="17"/>
    </row>
    <row r="1251">
      <c r="B1251" s="11">
        <f>IFERROR(__xludf.DUMMYFUNCTION("""COMPUTED_VALUE"""),44204.66666666667)</f>
        <v>44204.66667</v>
      </c>
      <c r="C1251" s="9">
        <f>IFERROR(__xludf.DUMMYFUNCTION("""COMPUTED_VALUE"""),93.32)</f>
        <v>93.32</v>
      </c>
      <c r="K1251" s="16"/>
      <c r="T1251" s="17"/>
      <c r="AC1251" s="17"/>
    </row>
    <row r="1252">
      <c r="B1252" s="11">
        <f>IFERROR(__xludf.DUMMYFUNCTION("""COMPUTED_VALUE"""),44203.66666666667)</f>
        <v>44203.66667</v>
      </c>
      <c r="C1252" s="9">
        <f>IFERROR(__xludf.DUMMYFUNCTION("""COMPUTED_VALUE"""),93.66)</f>
        <v>93.66</v>
      </c>
      <c r="K1252" s="16"/>
      <c r="T1252" s="17"/>
      <c r="AC1252" s="17"/>
    </row>
    <row r="1253">
      <c r="B1253" s="11">
        <f>IFERROR(__xludf.DUMMYFUNCTION("""COMPUTED_VALUE"""),44202.66666666667)</f>
        <v>44202.66667</v>
      </c>
      <c r="C1253" s="9">
        <f>IFERROR(__xludf.DUMMYFUNCTION("""COMPUTED_VALUE"""),93.84)</f>
        <v>93.84</v>
      </c>
      <c r="K1253" s="16"/>
      <c r="T1253" s="17"/>
      <c r="AC1253" s="17"/>
    </row>
    <row r="1254">
      <c r="B1254" s="11">
        <f>IFERROR(__xludf.DUMMYFUNCTION("""COMPUTED_VALUE"""),44201.66666666667)</f>
        <v>44201.66667</v>
      </c>
      <c r="C1254" s="9">
        <f>IFERROR(__xludf.DUMMYFUNCTION("""COMPUTED_VALUE"""),92.89)</f>
        <v>92.89</v>
      </c>
      <c r="K1254" s="16"/>
      <c r="T1254" s="17"/>
      <c r="AC1254" s="17"/>
    </row>
    <row r="1255">
      <c r="B1255" s="11">
        <f>IFERROR(__xludf.DUMMYFUNCTION("""COMPUTED_VALUE"""),44200.66666666667)</f>
        <v>44200.66667</v>
      </c>
      <c r="C1255" s="9">
        <f>IFERROR(__xludf.DUMMYFUNCTION("""COMPUTED_VALUE"""),90.82)</f>
        <v>90.82</v>
      </c>
      <c r="K1255" s="16"/>
      <c r="T1255" s="17"/>
      <c r="AC1255" s="17"/>
    </row>
    <row r="1256">
      <c r="B1256" s="11">
        <f>IFERROR(__xludf.DUMMYFUNCTION("""COMPUTED_VALUE"""),44196.66666666667)</f>
        <v>44196.66667</v>
      </c>
      <c r="C1256" s="9">
        <f>IFERROR(__xludf.DUMMYFUNCTION("""COMPUTED_VALUE"""),94.72)</f>
        <v>94.72</v>
      </c>
      <c r="K1256" s="16"/>
      <c r="T1256" s="17"/>
      <c r="AC1256" s="17"/>
    </row>
    <row r="1257">
      <c r="B1257" s="11">
        <f>IFERROR(__xludf.DUMMYFUNCTION("""COMPUTED_VALUE"""),44195.66666666667)</f>
        <v>44195.66667</v>
      </c>
      <c r="C1257" s="9">
        <f>IFERROR(__xludf.DUMMYFUNCTION("""COMPUTED_VALUE"""),94.76)</f>
        <v>94.76</v>
      </c>
      <c r="K1257" s="16"/>
      <c r="T1257" s="17"/>
      <c r="AC1257" s="17"/>
    </row>
    <row r="1258">
      <c r="B1258" s="11">
        <f>IFERROR(__xludf.DUMMYFUNCTION("""COMPUTED_VALUE"""),44194.66666666667)</f>
        <v>44194.66667</v>
      </c>
      <c r="C1258" s="9">
        <f>IFERROR(__xludf.DUMMYFUNCTION("""COMPUTED_VALUE"""),93.88)</f>
        <v>93.88</v>
      </c>
      <c r="K1258" s="16"/>
      <c r="T1258" s="17"/>
      <c r="AC1258" s="17"/>
    </row>
    <row r="1259">
      <c r="B1259" s="11">
        <f>IFERROR(__xludf.DUMMYFUNCTION("""COMPUTED_VALUE"""),44193.66666666667)</f>
        <v>44193.66667</v>
      </c>
      <c r="C1259" s="9">
        <f>IFERROR(__xludf.DUMMYFUNCTION("""COMPUTED_VALUE"""),94.34)</f>
        <v>94.34</v>
      </c>
      <c r="K1259" s="16"/>
      <c r="T1259" s="17"/>
      <c r="AC1259" s="17"/>
    </row>
    <row r="1260">
      <c r="B1260" s="11">
        <f>IFERROR(__xludf.DUMMYFUNCTION("""COMPUTED_VALUE"""),44189.66666666667)</f>
        <v>44189.66667</v>
      </c>
      <c r="C1260" s="9">
        <f>IFERROR(__xludf.DUMMYFUNCTION("""COMPUTED_VALUE"""),94.19)</f>
        <v>94.19</v>
      </c>
      <c r="K1260" s="16"/>
      <c r="T1260" s="17"/>
      <c r="AC1260" s="17"/>
    </row>
    <row r="1261">
      <c r="B1261" s="11">
        <f>IFERROR(__xludf.DUMMYFUNCTION("""COMPUTED_VALUE"""),44188.66666666667)</f>
        <v>44188.66667</v>
      </c>
      <c r="C1261" s="9">
        <f>IFERROR(__xludf.DUMMYFUNCTION("""COMPUTED_VALUE"""),94.81)</f>
        <v>94.81</v>
      </c>
      <c r="K1261" s="16"/>
      <c r="T1261" s="17"/>
      <c r="AC1261" s="17"/>
    </row>
    <row r="1262">
      <c r="B1262" s="11">
        <f>IFERROR(__xludf.DUMMYFUNCTION("""COMPUTED_VALUE"""),44187.66666666667)</f>
        <v>44187.66667</v>
      </c>
      <c r="C1262" s="9">
        <f>IFERROR(__xludf.DUMMYFUNCTION("""COMPUTED_VALUE"""),93.19)</f>
        <v>93.19</v>
      </c>
      <c r="K1262" s="16"/>
      <c r="T1262" s="17"/>
      <c r="AC1262" s="17"/>
    </row>
    <row r="1263">
      <c r="B1263" s="11">
        <f>IFERROR(__xludf.DUMMYFUNCTION("""COMPUTED_VALUE"""),44186.66666666667)</f>
        <v>44186.66667</v>
      </c>
      <c r="C1263" s="9">
        <f>IFERROR(__xludf.DUMMYFUNCTION("""COMPUTED_VALUE"""),93.49)</f>
        <v>93.49</v>
      </c>
      <c r="K1263" s="16"/>
      <c r="T1263" s="17"/>
      <c r="AC1263" s="17"/>
    </row>
    <row r="1264">
      <c r="B1264" s="11">
        <f>IFERROR(__xludf.DUMMYFUNCTION("""COMPUTED_VALUE"""),44183.66666666667)</f>
        <v>44183.66667</v>
      </c>
      <c r="C1264" s="9">
        <f>IFERROR(__xludf.DUMMYFUNCTION("""COMPUTED_VALUE"""),94.2)</f>
        <v>94.2</v>
      </c>
      <c r="K1264" s="16"/>
      <c r="T1264" s="17"/>
      <c r="AC1264" s="17"/>
    </row>
    <row r="1265">
      <c r="B1265" s="11">
        <f>IFERROR(__xludf.DUMMYFUNCTION("""COMPUTED_VALUE"""),44182.66666666667)</f>
        <v>44182.66667</v>
      </c>
      <c r="C1265" s="9">
        <f>IFERROR(__xludf.DUMMYFUNCTION("""COMPUTED_VALUE"""),93.84)</f>
        <v>93.84</v>
      </c>
      <c r="K1265" s="16"/>
      <c r="T1265" s="17"/>
      <c r="AC1265" s="17"/>
    </row>
    <row r="1266">
      <c r="B1266" s="11">
        <f>IFERROR(__xludf.DUMMYFUNCTION("""COMPUTED_VALUE"""),44181.66666666667)</f>
        <v>44181.66667</v>
      </c>
      <c r="C1266" s="9">
        <f>IFERROR(__xludf.DUMMYFUNCTION("""COMPUTED_VALUE"""),94.3)</f>
        <v>94.3</v>
      </c>
      <c r="K1266" s="16"/>
      <c r="T1266" s="17"/>
      <c r="AC1266" s="17"/>
    </row>
    <row r="1267">
      <c r="B1267" s="11">
        <f>IFERROR(__xludf.DUMMYFUNCTION("""COMPUTED_VALUE"""),44180.66666666667)</f>
        <v>44180.66667</v>
      </c>
      <c r="C1267" s="9">
        <f>IFERROR(__xludf.DUMMYFUNCTION("""COMPUTED_VALUE"""),95.45)</f>
        <v>95.45</v>
      </c>
      <c r="K1267" s="16"/>
      <c r="T1267" s="17"/>
      <c r="AC1267" s="17"/>
    </row>
    <row r="1268">
      <c r="B1268" s="11">
        <f>IFERROR(__xludf.DUMMYFUNCTION("""COMPUTED_VALUE"""),44179.66666666667)</f>
        <v>44179.66667</v>
      </c>
      <c r="C1268" s="9">
        <f>IFERROR(__xludf.DUMMYFUNCTION("""COMPUTED_VALUE"""),94.61)</f>
        <v>94.61</v>
      </c>
      <c r="K1268" s="16"/>
      <c r="T1268" s="17"/>
      <c r="AC1268" s="17"/>
    </row>
    <row r="1269">
      <c r="B1269" s="11">
        <f>IFERROR(__xludf.DUMMYFUNCTION("""COMPUTED_VALUE"""),44176.66666666667)</f>
        <v>44176.66667</v>
      </c>
      <c r="C1269" s="9">
        <f>IFERROR(__xludf.DUMMYFUNCTION("""COMPUTED_VALUE"""),96.23)</f>
        <v>96.23</v>
      </c>
      <c r="K1269" s="16"/>
      <c r="T1269" s="17"/>
      <c r="AC1269" s="17"/>
    </row>
    <row r="1270">
      <c r="B1270" s="11">
        <f>IFERROR(__xludf.DUMMYFUNCTION("""COMPUTED_VALUE"""),44175.66666666667)</f>
        <v>44175.66667</v>
      </c>
      <c r="C1270" s="9">
        <f>IFERROR(__xludf.DUMMYFUNCTION("""COMPUTED_VALUE"""),96.14)</f>
        <v>96.14</v>
      </c>
      <c r="K1270" s="16"/>
      <c r="T1270" s="17"/>
      <c r="AC1270" s="17"/>
    </row>
    <row r="1271">
      <c r="B1271" s="11">
        <f>IFERROR(__xludf.DUMMYFUNCTION("""COMPUTED_VALUE"""),44174.66666666667)</f>
        <v>44174.66667</v>
      </c>
      <c r="C1271" s="9">
        <f>IFERROR(__xludf.DUMMYFUNCTION("""COMPUTED_VALUE"""),96.42)</f>
        <v>96.42</v>
      </c>
      <c r="K1271" s="16"/>
      <c r="T1271" s="17"/>
      <c r="AC1271" s="17"/>
    </row>
    <row r="1272">
      <c r="B1272" s="11">
        <f>IFERROR(__xludf.DUMMYFUNCTION("""COMPUTED_VALUE"""),44173.66666666667)</f>
        <v>44173.66667</v>
      </c>
      <c r="C1272" s="9">
        <f>IFERROR(__xludf.DUMMYFUNCTION("""COMPUTED_VALUE"""),96.94)</f>
        <v>96.94</v>
      </c>
      <c r="K1272" s="16"/>
      <c r="T1272" s="17"/>
      <c r="AC1272" s="17"/>
    </row>
    <row r="1273">
      <c r="B1273" s="11">
        <f>IFERROR(__xludf.DUMMYFUNCTION("""COMPUTED_VALUE"""),44172.66666666667)</f>
        <v>44172.66667</v>
      </c>
      <c r="C1273" s="9">
        <f>IFERROR(__xludf.DUMMYFUNCTION("""COMPUTED_VALUE"""),96.49)</f>
        <v>96.49</v>
      </c>
      <c r="K1273" s="16"/>
      <c r="T1273" s="17"/>
      <c r="AC1273" s="17"/>
    </row>
    <row r="1274">
      <c r="B1274" s="11">
        <f>IFERROR(__xludf.DUMMYFUNCTION("""COMPUTED_VALUE"""),44169.66666666667)</f>
        <v>44169.66667</v>
      </c>
      <c r="C1274" s="9">
        <f>IFERROR(__xludf.DUMMYFUNCTION("""COMPUTED_VALUE"""),96.6)</f>
        <v>96.6</v>
      </c>
      <c r="K1274" s="16"/>
      <c r="T1274" s="17"/>
      <c r="AC1274" s="17"/>
    </row>
    <row r="1275">
      <c r="B1275" s="11">
        <f>IFERROR(__xludf.DUMMYFUNCTION("""COMPUTED_VALUE"""),44168.66666666667)</f>
        <v>44168.66667</v>
      </c>
      <c r="C1275" s="9">
        <f>IFERROR(__xludf.DUMMYFUNCTION("""COMPUTED_VALUE"""),95.54)</f>
        <v>95.54</v>
      </c>
      <c r="K1275" s="16"/>
      <c r="T1275" s="17"/>
      <c r="AC1275" s="17"/>
    </row>
    <row r="1276">
      <c r="B1276" s="11">
        <f>IFERROR(__xludf.DUMMYFUNCTION("""COMPUTED_VALUE"""),44167.66666666667)</f>
        <v>44167.66667</v>
      </c>
      <c r="C1276" s="9">
        <f>IFERROR(__xludf.DUMMYFUNCTION("""COMPUTED_VALUE"""),93.98)</f>
        <v>93.98</v>
      </c>
      <c r="K1276" s="16"/>
      <c r="T1276" s="17"/>
      <c r="AC1276" s="17"/>
    </row>
    <row r="1277">
      <c r="B1277" s="11">
        <f>IFERROR(__xludf.DUMMYFUNCTION("""COMPUTED_VALUE"""),44166.66666666667)</f>
        <v>44166.66667</v>
      </c>
      <c r="C1277" s="9">
        <f>IFERROR(__xludf.DUMMYFUNCTION("""COMPUTED_VALUE"""),93.09)</f>
        <v>93.09</v>
      </c>
      <c r="K1277" s="16"/>
      <c r="T1277" s="17"/>
      <c r="AC1277" s="17"/>
    </row>
    <row r="1278">
      <c r="B1278" s="11">
        <f>IFERROR(__xludf.DUMMYFUNCTION("""COMPUTED_VALUE"""),44165.66666666667)</f>
        <v>44165.66667</v>
      </c>
      <c r="C1278" s="9">
        <f>IFERROR(__xludf.DUMMYFUNCTION("""COMPUTED_VALUE"""),92.41)</f>
        <v>92.41</v>
      </c>
      <c r="K1278" s="16"/>
      <c r="T1278" s="17"/>
      <c r="AC1278" s="17"/>
    </row>
    <row r="1279">
      <c r="B1279" s="11">
        <f>IFERROR(__xludf.DUMMYFUNCTION("""COMPUTED_VALUE"""),44162.66666666667)</f>
        <v>44162.66667</v>
      </c>
      <c r="C1279" s="9">
        <f>IFERROR(__xludf.DUMMYFUNCTION("""COMPUTED_VALUE"""),94.67)</f>
        <v>94.67</v>
      </c>
      <c r="K1279" s="16"/>
      <c r="T1279" s="17"/>
      <c r="AC1279" s="17"/>
    </row>
    <row r="1280">
      <c r="B1280" s="11">
        <f>IFERROR(__xludf.DUMMYFUNCTION("""COMPUTED_VALUE"""),44160.66666666667)</f>
        <v>44160.66667</v>
      </c>
      <c r="C1280" s="9">
        <f>IFERROR(__xludf.DUMMYFUNCTION("""COMPUTED_VALUE"""),95.19)</f>
        <v>95.19</v>
      </c>
      <c r="K1280" s="16"/>
      <c r="T1280" s="17"/>
      <c r="AC1280" s="17"/>
    </row>
    <row r="1281">
      <c r="B1281" s="11">
        <f>IFERROR(__xludf.DUMMYFUNCTION("""COMPUTED_VALUE"""),44159.66666666667)</f>
        <v>44159.66667</v>
      </c>
      <c r="C1281" s="9">
        <f>IFERROR(__xludf.DUMMYFUNCTION("""COMPUTED_VALUE"""),95.78)</f>
        <v>95.78</v>
      </c>
      <c r="K1281" s="16"/>
      <c r="T1281" s="17"/>
      <c r="AC1281" s="17"/>
    </row>
    <row r="1282">
      <c r="B1282" s="11">
        <f>IFERROR(__xludf.DUMMYFUNCTION("""COMPUTED_VALUE"""),44158.66666666667)</f>
        <v>44158.66667</v>
      </c>
      <c r="C1282" s="9">
        <f>IFERROR(__xludf.DUMMYFUNCTION("""COMPUTED_VALUE"""),93.47)</f>
        <v>93.47</v>
      </c>
      <c r="K1282" s="16"/>
      <c r="T1282" s="17"/>
      <c r="AC1282" s="17"/>
    </row>
    <row r="1283">
      <c r="B1283" s="11">
        <f>IFERROR(__xludf.DUMMYFUNCTION("""COMPUTED_VALUE"""),44155.66666666667)</f>
        <v>44155.66667</v>
      </c>
      <c r="C1283" s="9">
        <f>IFERROR(__xludf.DUMMYFUNCTION("""COMPUTED_VALUE"""),91.07)</f>
        <v>91.07</v>
      </c>
      <c r="K1283" s="16"/>
      <c r="T1283" s="17"/>
      <c r="AC1283" s="17"/>
    </row>
    <row r="1284">
      <c r="B1284" s="11">
        <f>IFERROR(__xludf.DUMMYFUNCTION("""COMPUTED_VALUE"""),44154.66666666667)</f>
        <v>44154.66667</v>
      </c>
      <c r="C1284" s="9">
        <f>IFERROR(__xludf.DUMMYFUNCTION("""COMPUTED_VALUE"""),92.76)</f>
        <v>92.76</v>
      </c>
      <c r="K1284" s="16"/>
      <c r="T1284" s="17"/>
      <c r="AC1284" s="17"/>
    </row>
    <row r="1285">
      <c r="B1285" s="11">
        <f>IFERROR(__xludf.DUMMYFUNCTION("""COMPUTED_VALUE"""),44153.66666666667)</f>
        <v>44153.66667</v>
      </c>
      <c r="C1285" s="9">
        <f>IFERROR(__xludf.DUMMYFUNCTION("""COMPUTED_VALUE"""),92.3)</f>
        <v>92.3</v>
      </c>
      <c r="K1285" s="16"/>
      <c r="T1285" s="17"/>
      <c r="AC1285" s="17"/>
    </row>
    <row r="1286">
      <c r="B1286" s="11">
        <f>IFERROR(__xludf.DUMMYFUNCTION("""COMPUTED_VALUE"""),44152.66666666667)</f>
        <v>44152.66667</v>
      </c>
      <c r="C1286" s="9">
        <f>IFERROR(__xludf.DUMMYFUNCTION("""COMPUTED_VALUE"""),92.58)</f>
        <v>92.58</v>
      </c>
      <c r="K1286" s="16"/>
      <c r="T1286" s="17"/>
      <c r="AC1286" s="17"/>
    </row>
    <row r="1287">
      <c r="B1287" s="11">
        <f>IFERROR(__xludf.DUMMYFUNCTION("""COMPUTED_VALUE"""),44151.66666666667)</f>
        <v>44151.66667</v>
      </c>
      <c r="C1287" s="9">
        <f>IFERROR(__xludf.DUMMYFUNCTION("""COMPUTED_VALUE"""),91.9)</f>
        <v>91.9</v>
      </c>
      <c r="K1287" s="16"/>
      <c r="T1287" s="17"/>
      <c r="AC1287" s="17"/>
    </row>
    <row r="1288">
      <c r="B1288" s="11">
        <f>IFERROR(__xludf.DUMMYFUNCTION("""COMPUTED_VALUE"""),44148.66666666667)</f>
        <v>44148.66667</v>
      </c>
      <c r="C1288" s="9">
        <f>IFERROR(__xludf.DUMMYFUNCTION("""COMPUTED_VALUE"""),89.37)</f>
        <v>89.37</v>
      </c>
      <c r="K1288" s="16"/>
      <c r="T1288" s="17"/>
      <c r="AC1288" s="17"/>
    </row>
    <row r="1289">
      <c r="B1289" s="11">
        <f>IFERROR(__xludf.DUMMYFUNCTION("""COMPUTED_VALUE"""),44147.66666666667)</f>
        <v>44147.66667</v>
      </c>
      <c r="C1289" s="9">
        <f>IFERROR(__xludf.DUMMYFUNCTION("""COMPUTED_VALUE"""),86.54)</f>
        <v>86.54</v>
      </c>
      <c r="K1289" s="16"/>
      <c r="T1289" s="17"/>
      <c r="AC1289" s="17"/>
    </row>
    <row r="1290">
      <c r="B1290" s="11">
        <f>IFERROR(__xludf.DUMMYFUNCTION("""COMPUTED_VALUE"""),44146.66666666667)</f>
        <v>44146.66667</v>
      </c>
      <c r="C1290" s="9">
        <f>IFERROR(__xludf.DUMMYFUNCTION("""COMPUTED_VALUE"""),87.63)</f>
        <v>87.63</v>
      </c>
      <c r="K1290" s="16"/>
      <c r="T1290" s="17"/>
      <c r="AC1290" s="17"/>
    </row>
    <row r="1291">
      <c r="B1291" s="11">
        <f>IFERROR(__xludf.DUMMYFUNCTION("""COMPUTED_VALUE"""),44145.66666666667)</f>
        <v>44145.66667</v>
      </c>
      <c r="C1291" s="9">
        <f>IFERROR(__xludf.DUMMYFUNCTION("""COMPUTED_VALUE"""),89.23)</f>
        <v>89.23</v>
      </c>
      <c r="K1291" s="16"/>
      <c r="T1291" s="17"/>
      <c r="AC1291" s="17"/>
    </row>
    <row r="1292">
      <c r="B1292" s="11">
        <f>IFERROR(__xludf.DUMMYFUNCTION("""COMPUTED_VALUE"""),44144.66666666667)</f>
        <v>44144.66667</v>
      </c>
      <c r="C1292" s="9">
        <f>IFERROR(__xludf.DUMMYFUNCTION("""COMPUTED_VALUE"""),86.35)</f>
        <v>86.35</v>
      </c>
      <c r="K1292" s="16"/>
      <c r="T1292" s="17"/>
      <c r="AC1292" s="17"/>
    </row>
    <row r="1293">
      <c r="B1293" s="11">
        <f>IFERROR(__xludf.DUMMYFUNCTION("""COMPUTED_VALUE"""),44141.66666666667)</f>
        <v>44141.66667</v>
      </c>
      <c r="C1293" s="9">
        <f>IFERROR(__xludf.DUMMYFUNCTION("""COMPUTED_VALUE"""),80.74)</f>
        <v>80.74</v>
      </c>
      <c r="K1293" s="16"/>
      <c r="T1293" s="17"/>
      <c r="AC1293" s="17"/>
    </row>
    <row r="1294">
      <c r="B1294" s="11">
        <f>IFERROR(__xludf.DUMMYFUNCTION("""COMPUTED_VALUE"""),44140.66666666667)</f>
        <v>44140.66667</v>
      </c>
      <c r="C1294" s="9">
        <f>IFERROR(__xludf.DUMMYFUNCTION("""COMPUTED_VALUE"""),80.8)</f>
        <v>80.8</v>
      </c>
      <c r="K1294" s="16"/>
      <c r="T1294" s="17"/>
      <c r="AC1294" s="17"/>
    </row>
    <row r="1295">
      <c r="B1295" s="11">
        <f>IFERROR(__xludf.DUMMYFUNCTION("""COMPUTED_VALUE"""),44139.66666666667)</f>
        <v>44139.66667</v>
      </c>
      <c r="C1295" s="9">
        <f>IFERROR(__xludf.DUMMYFUNCTION("""COMPUTED_VALUE"""),79.87)</f>
        <v>79.87</v>
      </c>
      <c r="K1295" s="16"/>
      <c r="T1295" s="17"/>
      <c r="AC1295" s="17"/>
    </row>
    <row r="1296">
      <c r="B1296" s="11">
        <f>IFERROR(__xludf.DUMMYFUNCTION("""COMPUTED_VALUE"""),44138.66666666667)</f>
        <v>44138.66667</v>
      </c>
      <c r="C1296" s="9">
        <f>IFERROR(__xludf.DUMMYFUNCTION("""COMPUTED_VALUE"""),79.91)</f>
        <v>79.91</v>
      </c>
      <c r="K1296" s="16"/>
      <c r="T1296" s="17"/>
      <c r="AC1296" s="17"/>
    </row>
    <row r="1297">
      <c r="B1297" s="11">
        <f>IFERROR(__xludf.DUMMYFUNCTION("""COMPUTED_VALUE"""),44137.66666666667)</f>
        <v>44137.66667</v>
      </c>
      <c r="C1297" s="9">
        <f>IFERROR(__xludf.DUMMYFUNCTION("""COMPUTED_VALUE"""),77.44)</f>
        <v>77.44</v>
      </c>
      <c r="K1297" s="16"/>
      <c r="T1297" s="17"/>
      <c r="AC1297" s="17"/>
    </row>
    <row r="1298">
      <c r="B1298" s="11">
        <f>IFERROR(__xludf.DUMMYFUNCTION("""COMPUTED_VALUE"""),44134.66666666667)</f>
        <v>44134.66667</v>
      </c>
      <c r="C1298" s="9">
        <f>IFERROR(__xludf.DUMMYFUNCTION("""COMPUTED_VALUE"""),75.52)</f>
        <v>75.52</v>
      </c>
      <c r="K1298" s="16"/>
      <c r="T1298" s="17"/>
      <c r="AC1298" s="17"/>
    </row>
    <row r="1299">
      <c r="B1299" s="11">
        <f>IFERROR(__xludf.DUMMYFUNCTION("""COMPUTED_VALUE"""),44133.66666666667)</f>
        <v>44133.66667</v>
      </c>
      <c r="C1299" s="9">
        <f>IFERROR(__xludf.DUMMYFUNCTION("""COMPUTED_VALUE"""),75.64)</f>
        <v>75.64</v>
      </c>
      <c r="K1299" s="16"/>
      <c r="T1299" s="17"/>
      <c r="AC1299" s="17"/>
    </row>
    <row r="1300">
      <c r="B1300" s="11">
        <f>IFERROR(__xludf.DUMMYFUNCTION("""COMPUTED_VALUE"""),44132.66666666667)</f>
        <v>44132.66667</v>
      </c>
      <c r="C1300" s="9">
        <f>IFERROR(__xludf.DUMMYFUNCTION("""COMPUTED_VALUE"""),74.72)</f>
        <v>74.72</v>
      </c>
      <c r="K1300" s="16"/>
      <c r="T1300" s="17"/>
      <c r="AC1300" s="17"/>
    </row>
    <row r="1301">
      <c r="B1301" s="11">
        <f>IFERROR(__xludf.DUMMYFUNCTION("""COMPUTED_VALUE"""),44131.66666666667)</f>
        <v>44131.66667</v>
      </c>
      <c r="C1301" s="9">
        <f>IFERROR(__xludf.DUMMYFUNCTION("""COMPUTED_VALUE"""),77.69)</f>
        <v>77.69</v>
      </c>
      <c r="K1301" s="16"/>
      <c r="T1301" s="17"/>
      <c r="AC1301" s="17"/>
    </row>
    <row r="1302">
      <c r="B1302" s="11">
        <f>IFERROR(__xludf.DUMMYFUNCTION("""COMPUTED_VALUE"""),44130.66666666667)</f>
        <v>44130.66667</v>
      </c>
      <c r="C1302" s="9">
        <f>IFERROR(__xludf.DUMMYFUNCTION("""COMPUTED_VALUE"""),80.22)</f>
        <v>80.22</v>
      </c>
      <c r="K1302" s="16"/>
      <c r="T1302" s="17"/>
      <c r="AC1302" s="17"/>
    </row>
    <row r="1303">
      <c r="B1303" s="11">
        <f>IFERROR(__xludf.DUMMYFUNCTION("""COMPUTED_VALUE"""),44127.66666666667)</f>
        <v>44127.66667</v>
      </c>
      <c r="C1303" s="9">
        <f>IFERROR(__xludf.DUMMYFUNCTION("""COMPUTED_VALUE"""),82.42)</f>
        <v>82.42</v>
      </c>
      <c r="K1303" s="16"/>
      <c r="T1303" s="17"/>
      <c r="AC1303" s="17"/>
    </row>
    <row r="1304">
      <c r="B1304" s="11">
        <f>IFERROR(__xludf.DUMMYFUNCTION("""COMPUTED_VALUE"""),44126.66666666667)</f>
        <v>44126.66667</v>
      </c>
      <c r="C1304" s="9">
        <f>IFERROR(__xludf.DUMMYFUNCTION("""COMPUTED_VALUE"""),82.01)</f>
        <v>82.01</v>
      </c>
      <c r="K1304" s="16"/>
      <c r="T1304" s="17"/>
      <c r="AC1304" s="17"/>
    </row>
    <row r="1305">
      <c r="B1305" s="11">
        <f>IFERROR(__xludf.DUMMYFUNCTION("""COMPUTED_VALUE"""),44125.66666666667)</f>
        <v>44125.66667</v>
      </c>
      <c r="C1305" s="9">
        <f>IFERROR(__xludf.DUMMYFUNCTION("""COMPUTED_VALUE"""),80.39)</f>
        <v>80.39</v>
      </c>
      <c r="K1305" s="16"/>
      <c r="T1305" s="17"/>
      <c r="AC1305" s="17"/>
    </row>
    <row r="1306">
      <c r="B1306" s="11">
        <f>IFERROR(__xludf.DUMMYFUNCTION("""COMPUTED_VALUE"""),44124.66666666667)</f>
        <v>44124.66667</v>
      </c>
      <c r="C1306" s="9">
        <f>IFERROR(__xludf.DUMMYFUNCTION("""COMPUTED_VALUE"""),81.67)</f>
        <v>81.67</v>
      </c>
      <c r="K1306" s="16"/>
      <c r="T1306" s="17"/>
      <c r="AC1306" s="17"/>
    </row>
    <row r="1307">
      <c r="B1307" s="11">
        <f>IFERROR(__xludf.DUMMYFUNCTION("""COMPUTED_VALUE"""),44123.66666666667)</f>
        <v>44123.66667</v>
      </c>
      <c r="C1307" s="9">
        <f>IFERROR(__xludf.DUMMYFUNCTION("""COMPUTED_VALUE"""),82.18)</f>
        <v>82.18</v>
      </c>
      <c r="K1307" s="16"/>
      <c r="T1307" s="17"/>
      <c r="AC1307" s="17"/>
    </row>
    <row r="1308">
      <c r="B1308" s="11">
        <f>IFERROR(__xludf.DUMMYFUNCTION("""COMPUTED_VALUE"""),44120.66666666667)</f>
        <v>44120.66667</v>
      </c>
      <c r="C1308" s="9">
        <f>IFERROR(__xludf.DUMMYFUNCTION("""COMPUTED_VALUE"""),82.78)</f>
        <v>82.78</v>
      </c>
      <c r="K1308" s="16"/>
      <c r="T1308" s="17"/>
      <c r="AC1308" s="17"/>
    </row>
    <row r="1309">
      <c r="B1309" s="11">
        <f>IFERROR(__xludf.DUMMYFUNCTION("""COMPUTED_VALUE"""),44119.66666666667)</f>
        <v>44119.66667</v>
      </c>
      <c r="C1309" s="9">
        <f>IFERROR(__xludf.DUMMYFUNCTION("""COMPUTED_VALUE"""),82.17)</f>
        <v>82.17</v>
      </c>
      <c r="K1309" s="16"/>
      <c r="T1309" s="17"/>
      <c r="AC1309" s="17"/>
    </row>
    <row r="1310">
      <c r="B1310" s="11">
        <f>IFERROR(__xludf.DUMMYFUNCTION("""COMPUTED_VALUE"""),44118.66666666667)</f>
        <v>44118.66667</v>
      </c>
      <c r="C1310" s="9">
        <f>IFERROR(__xludf.DUMMYFUNCTION("""COMPUTED_VALUE"""),81.79)</f>
        <v>81.79</v>
      </c>
      <c r="K1310" s="16"/>
      <c r="T1310" s="17"/>
      <c r="AC1310" s="17"/>
    </row>
    <row r="1311">
      <c r="B1311" s="11">
        <f>IFERROR(__xludf.DUMMYFUNCTION("""COMPUTED_VALUE"""),44117.66666666667)</f>
        <v>44117.66667</v>
      </c>
      <c r="C1311" s="9">
        <f>IFERROR(__xludf.DUMMYFUNCTION("""COMPUTED_VALUE"""),81.34)</f>
        <v>81.34</v>
      </c>
      <c r="K1311" s="16"/>
      <c r="T1311" s="17"/>
      <c r="AC1311" s="17"/>
    </row>
    <row r="1312">
      <c r="B1312" s="11">
        <f>IFERROR(__xludf.DUMMYFUNCTION("""COMPUTED_VALUE"""),44116.66666666667)</f>
        <v>44116.66667</v>
      </c>
      <c r="C1312" s="9">
        <f>IFERROR(__xludf.DUMMYFUNCTION("""COMPUTED_VALUE"""),82.42)</f>
        <v>82.42</v>
      </c>
      <c r="K1312" s="16"/>
      <c r="T1312" s="17"/>
      <c r="AC1312" s="17"/>
    </row>
    <row r="1313">
      <c r="B1313" s="11">
        <f>IFERROR(__xludf.DUMMYFUNCTION("""COMPUTED_VALUE"""),44113.66666666667)</f>
        <v>44113.66667</v>
      </c>
      <c r="C1313" s="9">
        <f>IFERROR(__xludf.DUMMYFUNCTION("""COMPUTED_VALUE"""),82.13)</f>
        <v>82.13</v>
      </c>
      <c r="K1313" s="16"/>
      <c r="T1313" s="17"/>
      <c r="AC1313" s="17"/>
    </row>
    <row r="1314">
      <c r="B1314" s="11">
        <f>IFERROR(__xludf.DUMMYFUNCTION("""COMPUTED_VALUE"""),44112.66666666667)</f>
        <v>44112.66667</v>
      </c>
      <c r="C1314" s="9">
        <f>IFERROR(__xludf.DUMMYFUNCTION("""COMPUTED_VALUE"""),82.72)</f>
        <v>82.72</v>
      </c>
      <c r="K1314" s="16"/>
      <c r="T1314" s="17"/>
      <c r="AC1314" s="17"/>
    </row>
    <row r="1315">
      <c r="B1315" s="11">
        <f>IFERROR(__xludf.DUMMYFUNCTION("""COMPUTED_VALUE"""),44111.66666666667)</f>
        <v>44111.66667</v>
      </c>
      <c r="C1315" s="9">
        <f>IFERROR(__xludf.DUMMYFUNCTION("""COMPUTED_VALUE"""),81.34)</f>
        <v>81.34</v>
      </c>
      <c r="K1315" s="16"/>
      <c r="T1315" s="17"/>
      <c r="AC1315" s="17"/>
    </row>
    <row r="1316">
      <c r="B1316" s="11">
        <f>IFERROR(__xludf.DUMMYFUNCTION("""COMPUTED_VALUE"""),44110.66666666667)</f>
        <v>44110.66667</v>
      </c>
      <c r="C1316" s="9">
        <f>IFERROR(__xludf.DUMMYFUNCTION("""COMPUTED_VALUE"""),79.6)</f>
        <v>79.6</v>
      </c>
      <c r="K1316" s="16"/>
      <c r="T1316" s="17"/>
      <c r="AC1316" s="17"/>
    </row>
    <row r="1317">
      <c r="B1317" s="11">
        <f>IFERROR(__xludf.DUMMYFUNCTION("""COMPUTED_VALUE"""),44109.66666666667)</f>
        <v>44109.66667</v>
      </c>
      <c r="C1317" s="9">
        <f>IFERROR(__xludf.DUMMYFUNCTION("""COMPUTED_VALUE"""),81.09)</f>
        <v>81.09</v>
      </c>
      <c r="K1317" s="16"/>
      <c r="T1317" s="17"/>
      <c r="AC1317" s="17"/>
    </row>
    <row r="1318">
      <c r="B1318" s="11">
        <f>IFERROR(__xludf.DUMMYFUNCTION("""COMPUTED_VALUE"""),44106.66666666667)</f>
        <v>44106.66667</v>
      </c>
      <c r="C1318" s="9">
        <f>IFERROR(__xludf.DUMMYFUNCTION("""COMPUTED_VALUE"""),80.44)</f>
        <v>80.44</v>
      </c>
      <c r="K1318" s="16"/>
      <c r="T1318" s="17"/>
      <c r="AC1318" s="17"/>
    </row>
    <row r="1319">
      <c r="B1319" s="11">
        <f>IFERROR(__xludf.DUMMYFUNCTION("""COMPUTED_VALUE"""),44105.66666666667)</f>
        <v>44105.66667</v>
      </c>
      <c r="C1319" s="9">
        <f>IFERROR(__xludf.DUMMYFUNCTION("""COMPUTED_VALUE"""),79.6)</f>
        <v>79.6</v>
      </c>
      <c r="K1319" s="16"/>
      <c r="T1319" s="17"/>
      <c r="AC1319" s="17"/>
    </row>
    <row r="1320">
      <c r="B1320" s="11">
        <f>IFERROR(__xludf.DUMMYFUNCTION("""COMPUTED_VALUE"""),44104.66666666667)</f>
        <v>44104.66667</v>
      </c>
      <c r="C1320" s="9">
        <f>IFERROR(__xludf.DUMMYFUNCTION("""COMPUTED_VALUE"""),79.21)</f>
        <v>79.21</v>
      </c>
      <c r="K1320" s="16"/>
      <c r="T1320" s="17"/>
      <c r="AC1320" s="17"/>
    </row>
    <row r="1321">
      <c r="B1321" s="11">
        <f>IFERROR(__xludf.DUMMYFUNCTION("""COMPUTED_VALUE"""),44103.66666666667)</f>
        <v>44103.66667</v>
      </c>
      <c r="C1321" s="9">
        <f>IFERROR(__xludf.DUMMYFUNCTION("""COMPUTED_VALUE"""),79.93)</f>
        <v>79.93</v>
      </c>
      <c r="K1321" s="16"/>
      <c r="T1321" s="17"/>
      <c r="AC1321" s="17"/>
    </row>
    <row r="1322">
      <c r="B1322" s="11">
        <f>IFERROR(__xludf.DUMMYFUNCTION("""COMPUTED_VALUE"""),44102.66666666667)</f>
        <v>44102.66667</v>
      </c>
      <c r="C1322" s="9">
        <f>IFERROR(__xludf.DUMMYFUNCTION("""COMPUTED_VALUE"""),80.91)</f>
        <v>80.91</v>
      </c>
      <c r="K1322" s="16"/>
      <c r="T1322" s="17"/>
      <c r="AC1322" s="17"/>
    </row>
    <row r="1323">
      <c r="B1323" s="11">
        <f>IFERROR(__xludf.DUMMYFUNCTION("""COMPUTED_VALUE"""),44099.66666666667)</f>
        <v>44099.66667</v>
      </c>
      <c r="C1323" s="9">
        <f>IFERROR(__xludf.DUMMYFUNCTION("""COMPUTED_VALUE"""),79.22)</f>
        <v>79.22</v>
      </c>
      <c r="K1323" s="16"/>
      <c r="T1323" s="17"/>
      <c r="AC1323" s="17"/>
    </row>
    <row r="1324">
      <c r="B1324" s="11">
        <f>IFERROR(__xludf.DUMMYFUNCTION("""COMPUTED_VALUE"""),44098.66666666667)</f>
        <v>44098.66667</v>
      </c>
      <c r="C1324" s="9">
        <f>IFERROR(__xludf.DUMMYFUNCTION("""COMPUTED_VALUE"""),77.63)</f>
        <v>77.63</v>
      </c>
      <c r="K1324" s="16"/>
      <c r="T1324" s="17"/>
      <c r="AC1324" s="17"/>
    </row>
    <row r="1325">
      <c r="B1325" s="11">
        <f>IFERROR(__xludf.DUMMYFUNCTION("""COMPUTED_VALUE"""),44097.66666666667)</f>
        <v>44097.66667</v>
      </c>
      <c r="C1325" s="9">
        <f>IFERROR(__xludf.DUMMYFUNCTION("""COMPUTED_VALUE"""),78.35)</f>
        <v>78.35</v>
      </c>
      <c r="K1325" s="16"/>
      <c r="T1325" s="17"/>
      <c r="AC1325" s="17"/>
    </row>
    <row r="1326">
      <c r="B1326" s="11">
        <f>IFERROR(__xludf.DUMMYFUNCTION("""COMPUTED_VALUE"""),44096.66666666667)</f>
        <v>44096.66667</v>
      </c>
      <c r="C1326" s="9">
        <f>IFERROR(__xludf.DUMMYFUNCTION("""COMPUTED_VALUE"""),80.62)</f>
        <v>80.62</v>
      </c>
      <c r="K1326" s="16"/>
      <c r="T1326" s="17"/>
      <c r="AC1326" s="17"/>
    </row>
    <row r="1327">
      <c r="B1327" s="11">
        <f>IFERROR(__xludf.DUMMYFUNCTION("""COMPUTED_VALUE"""),44095.66666666667)</f>
        <v>44095.66667</v>
      </c>
      <c r="C1327" s="9">
        <f>IFERROR(__xludf.DUMMYFUNCTION("""COMPUTED_VALUE"""),79.83)</f>
        <v>79.83</v>
      </c>
      <c r="K1327" s="16"/>
      <c r="T1327" s="17"/>
      <c r="AC1327" s="17"/>
    </row>
    <row r="1328">
      <c r="B1328" s="11">
        <f>IFERROR(__xludf.DUMMYFUNCTION("""COMPUTED_VALUE"""),44092.66666666667)</f>
        <v>44092.66667</v>
      </c>
      <c r="C1328" s="9">
        <f>IFERROR(__xludf.DUMMYFUNCTION("""COMPUTED_VALUE"""),82.78)</f>
        <v>82.78</v>
      </c>
      <c r="K1328" s="16"/>
      <c r="T1328" s="17"/>
      <c r="AC1328" s="17"/>
    </row>
    <row r="1329">
      <c r="B1329" s="11">
        <f>IFERROR(__xludf.DUMMYFUNCTION("""COMPUTED_VALUE"""),44091.66666666667)</f>
        <v>44091.66667</v>
      </c>
      <c r="C1329" s="9">
        <f>IFERROR(__xludf.DUMMYFUNCTION("""COMPUTED_VALUE"""),84.05)</f>
        <v>84.05</v>
      </c>
      <c r="K1329" s="16"/>
      <c r="T1329" s="17"/>
      <c r="AC1329" s="17"/>
    </row>
    <row r="1330">
      <c r="B1330" s="11">
        <f>IFERROR(__xludf.DUMMYFUNCTION("""COMPUTED_VALUE"""),44090.66666666667)</f>
        <v>44090.66667</v>
      </c>
      <c r="C1330" s="9">
        <f>IFERROR(__xludf.DUMMYFUNCTION("""COMPUTED_VALUE"""),83.84)</f>
        <v>83.84</v>
      </c>
      <c r="K1330" s="16"/>
      <c r="T1330" s="17"/>
      <c r="AC1330" s="17"/>
    </row>
    <row r="1331">
      <c r="B1331" s="11">
        <f>IFERROR(__xludf.DUMMYFUNCTION("""COMPUTED_VALUE"""),44089.66666666667)</f>
        <v>44089.66667</v>
      </c>
      <c r="C1331" s="9">
        <f>IFERROR(__xludf.DUMMYFUNCTION("""COMPUTED_VALUE"""),82.33)</f>
        <v>82.33</v>
      </c>
      <c r="K1331" s="16"/>
      <c r="T1331" s="17"/>
      <c r="AC1331" s="17"/>
    </row>
    <row r="1332">
      <c r="B1332" s="11">
        <f>IFERROR(__xludf.DUMMYFUNCTION("""COMPUTED_VALUE"""),44088.66666666667)</f>
        <v>44088.66667</v>
      </c>
      <c r="C1332" s="9">
        <f>IFERROR(__xludf.DUMMYFUNCTION("""COMPUTED_VALUE"""),82.93)</f>
        <v>82.93</v>
      </c>
      <c r="K1332" s="16"/>
      <c r="T1332" s="17"/>
      <c r="AC1332" s="17"/>
    </row>
    <row r="1333">
      <c r="B1333" s="11">
        <f>IFERROR(__xludf.DUMMYFUNCTION("""COMPUTED_VALUE"""),44085.66666666667)</f>
        <v>44085.66667</v>
      </c>
      <c r="C1333" s="9">
        <f>IFERROR(__xludf.DUMMYFUNCTION("""COMPUTED_VALUE"""),81.5)</f>
        <v>81.5</v>
      </c>
      <c r="K1333" s="16"/>
      <c r="T1333" s="17"/>
      <c r="AC1333" s="17"/>
    </row>
    <row r="1334">
      <c r="B1334" s="11">
        <f>IFERROR(__xludf.DUMMYFUNCTION("""COMPUTED_VALUE"""),44084.66666666667)</f>
        <v>44084.66667</v>
      </c>
      <c r="C1334" s="9">
        <f>IFERROR(__xludf.DUMMYFUNCTION("""COMPUTED_VALUE"""),80.02)</f>
        <v>80.02</v>
      </c>
      <c r="K1334" s="16"/>
      <c r="T1334" s="17"/>
      <c r="AC1334" s="17"/>
    </row>
    <row r="1335">
      <c r="B1335" s="11">
        <f>IFERROR(__xludf.DUMMYFUNCTION("""COMPUTED_VALUE"""),44083.66666666667)</f>
        <v>44083.66667</v>
      </c>
      <c r="C1335" s="9">
        <f>IFERROR(__xludf.DUMMYFUNCTION("""COMPUTED_VALUE"""),81.21)</f>
        <v>81.21</v>
      </c>
      <c r="K1335" s="16"/>
      <c r="T1335" s="17"/>
      <c r="AC1335" s="17"/>
    </row>
    <row r="1336">
      <c r="B1336" s="11">
        <f>IFERROR(__xludf.DUMMYFUNCTION("""COMPUTED_VALUE"""),44082.66666666667)</f>
        <v>44082.66667</v>
      </c>
      <c r="C1336" s="9">
        <f>IFERROR(__xludf.DUMMYFUNCTION("""COMPUTED_VALUE"""),81.07)</f>
        <v>81.07</v>
      </c>
      <c r="K1336" s="16"/>
      <c r="T1336" s="17"/>
      <c r="AC1336" s="17"/>
    </row>
    <row r="1337">
      <c r="B1337" s="11">
        <f>IFERROR(__xludf.DUMMYFUNCTION("""COMPUTED_VALUE"""),44078.66666666667)</f>
        <v>44078.66667</v>
      </c>
      <c r="C1337" s="9">
        <f>IFERROR(__xludf.DUMMYFUNCTION("""COMPUTED_VALUE"""),83.32)</f>
        <v>83.32</v>
      </c>
      <c r="K1337" s="16"/>
      <c r="T1337" s="17"/>
      <c r="AC1337" s="17"/>
    </row>
    <row r="1338">
      <c r="B1338" s="11">
        <f>IFERROR(__xludf.DUMMYFUNCTION("""COMPUTED_VALUE"""),44077.66666666667)</f>
        <v>44077.66667</v>
      </c>
      <c r="C1338" s="9">
        <f>IFERROR(__xludf.DUMMYFUNCTION("""COMPUTED_VALUE"""),83.39)</f>
        <v>83.39</v>
      </c>
      <c r="K1338" s="16"/>
      <c r="T1338" s="17"/>
      <c r="AC1338" s="17"/>
    </row>
    <row r="1339">
      <c r="B1339" s="11">
        <f>IFERROR(__xludf.DUMMYFUNCTION("""COMPUTED_VALUE"""),44076.66666666667)</f>
        <v>44076.66667</v>
      </c>
      <c r="C1339" s="9">
        <f>IFERROR(__xludf.DUMMYFUNCTION("""COMPUTED_VALUE"""),85.24)</f>
        <v>85.24</v>
      </c>
      <c r="K1339" s="16"/>
      <c r="T1339" s="17"/>
      <c r="AC1339" s="17"/>
    </row>
    <row r="1340">
      <c r="B1340" s="11">
        <f>IFERROR(__xludf.DUMMYFUNCTION("""COMPUTED_VALUE"""),44075.66666666667)</f>
        <v>44075.66667</v>
      </c>
      <c r="C1340" s="9">
        <f>IFERROR(__xludf.DUMMYFUNCTION("""COMPUTED_VALUE"""),83.64)</f>
        <v>83.64</v>
      </c>
      <c r="K1340" s="16"/>
      <c r="T1340" s="17"/>
      <c r="AC1340" s="17"/>
    </row>
    <row r="1341">
      <c r="B1341" s="11">
        <f>IFERROR(__xludf.DUMMYFUNCTION("""COMPUTED_VALUE"""),44074.66666666667)</f>
        <v>44074.66667</v>
      </c>
      <c r="C1341" s="9">
        <f>IFERROR(__xludf.DUMMYFUNCTION("""COMPUTED_VALUE"""),83.52)</f>
        <v>83.52</v>
      </c>
      <c r="K1341" s="16"/>
      <c r="T1341" s="17"/>
      <c r="AC1341" s="17"/>
    </row>
    <row r="1342">
      <c r="B1342" s="11">
        <f>IFERROR(__xludf.DUMMYFUNCTION("""COMPUTED_VALUE"""),44071.66666666667)</f>
        <v>44071.66667</v>
      </c>
      <c r="C1342" s="9">
        <f>IFERROR(__xludf.DUMMYFUNCTION("""COMPUTED_VALUE"""),84.71)</f>
        <v>84.71</v>
      </c>
      <c r="K1342" s="16"/>
      <c r="T1342" s="17"/>
      <c r="AC1342" s="17"/>
    </row>
    <row r="1343">
      <c r="B1343" s="11">
        <f>IFERROR(__xludf.DUMMYFUNCTION("""COMPUTED_VALUE"""),44070.66666666667)</f>
        <v>44070.66667</v>
      </c>
      <c r="C1343" s="9">
        <f>IFERROR(__xludf.DUMMYFUNCTION("""COMPUTED_VALUE"""),84.04)</f>
        <v>84.04</v>
      </c>
      <c r="K1343" s="16"/>
      <c r="T1343" s="17"/>
      <c r="AC1343" s="17"/>
    </row>
    <row r="1344">
      <c r="B1344" s="11">
        <f>IFERROR(__xludf.DUMMYFUNCTION("""COMPUTED_VALUE"""),44069.66666666667)</f>
        <v>44069.66667</v>
      </c>
      <c r="C1344" s="9">
        <f>IFERROR(__xludf.DUMMYFUNCTION("""COMPUTED_VALUE"""),83.31)</f>
        <v>83.31</v>
      </c>
      <c r="K1344" s="16"/>
      <c r="T1344" s="17"/>
      <c r="AC1344" s="17"/>
    </row>
    <row r="1345">
      <c r="B1345" s="11">
        <f>IFERROR(__xludf.DUMMYFUNCTION("""COMPUTED_VALUE"""),44068.66666666667)</f>
        <v>44068.66667</v>
      </c>
      <c r="C1345" s="9">
        <f>IFERROR(__xludf.DUMMYFUNCTION("""COMPUTED_VALUE"""),84.06)</f>
        <v>84.06</v>
      </c>
      <c r="K1345" s="16"/>
      <c r="T1345" s="17"/>
      <c r="AC1345" s="17"/>
    </row>
    <row r="1346">
      <c r="B1346" s="11">
        <f>IFERROR(__xludf.DUMMYFUNCTION("""COMPUTED_VALUE"""),44067.66666666667)</f>
        <v>44067.66667</v>
      </c>
      <c r="C1346" s="9">
        <f>IFERROR(__xludf.DUMMYFUNCTION("""COMPUTED_VALUE"""),84.7)</f>
        <v>84.7</v>
      </c>
      <c r="K1346" s="16"/>
      <c r="T1346" s="17"/>
      <c r="AC1346" s="17"/>
    </row>
    <row r="1347">
      <c r="B1347" s="11">
        <f>IFERROR(__xludf.DUMMYFUNCTION("""COMPUTED_VALUE"""),44064.66666666667)</f>
        <v>44064.66667</v>
      </c>
      <c r="C1347" s="9">
        <f>IFERROR(__xludf.DUMMYFUNCTION("""COMPUTED_VALUE"""),82.06)</f>
        <v>82.06</v>
      </c>
      <c r="K1347" s="16"/>
      <c r="T1347" s="17"/>
      <c r="AC1347" s="17"/>
    </row>
    <row r="1348">
      <c r="B1348" s="11">
        <f>IFERROR(__xludf.DUMMYFUNCTION("""COMPUTED_VALUE"""),44063.66666666667)</f>
        <v>44063.66667</v>
      </c>
      <c r="C1348" s="9">
        <f>IFERROR(__xludf.DUMMYFUNCTION("""COMPUTED_VALUE"""),82.71)</f>
        <v>82.71</v>
      </c>
      <c r="K1348" s="16"/>
      <c r="T1348" s="17"/>
      <c r="AC1348" s="17"/>
    </row>
    <row r="1349">
      <c r="B1349" s="11">
        <f>IFERROR(__xludf.DUMMYFUNCTION("""COMPUTED_VALUE"""),44062.66666666667)</f>
        <v>44062.66667</v>
      </c>
      <c r="C1349" s="9">
        <f>IFERROR(__xludf.DUMMYFUNCTION("""COMPUTED_VALUE"""),83.33)</f>
        <v>83.33</v>
      </c>
      <c r="K1349" s="16"/>
      <c r="T1349" s="17"/>
      <c r="AC1349" s="17"/>
    </row>
    <row r="1350">
      <c r="B1350" s="11">
        <f>IFERROR(__xludf.DUMMYFUNCTION("""COMPUTED_VALUE"""),44061.66666666667)</f>
        <v>44061.66667</v>
      </c>
      <c r="C1350" s="9">
        <f>IFERROR(__xludf.DUMMYFUNCTION("""COMPUTED_VALUE"""),83.34)</f>
        <v>83.34</v>
      </c>
      <c r="K1350" s="16"/>
      <c r="T1350" s="17"/>
      <c r="AC1350" s="17"/>
    </row>
    <row r="1351">
      <c r="B1351" s="11">
        <f>IFERROR(__xludf.DUMMYFUNCTION("""COMPUTED_VALUE"""),44060.66666666667)</f>
        <v>44060.66667</v>
      </c>
      <c r="C1351" s="9">
        <f>IFERROR(__xludf.DUMMYFUNCTION("""COMPUTED_VALUE"""),84.28)</f>
        <v>84.28</v>
      </c>
      <c r="K1351" s="16"/>
      <c r="T1351" s="17"/>
      <c r="AC1351" s="17"/>
    </row>
    <row r="1352">
      <c r="B1352" s="11">
        <f>IFERROR(__xludf.DUMMYFUNCTION("""COMPUTED_VALUE"""),44057.66666666667)</f>
        <v>44057.66667</v>
      </c>
      <c r="C1352" s="9">
        <f>IFERROR(__xludf.DUMMYFUNCTION("""COMPUTED_VALUE"""),85.8)</f>
        <v>85.8</v>
      </c>
      <c r="K1352" s="16"/>
      <c r="T1352" s="17"/>
      <c r="AC1352" s="17"/>
    </row>
    <row r="1353">
      <c r="B1353" s="11">
        <f>IFERROR(__xludf.DUMMYFUNCTION("""COMPUTED_VALUE"""),44056.66666666667)</f>
        <v>44056.66667</v>
      </c>
      <c r="C1353" s="9">
        <f>IFERROR(__xludf.DUMMYFUNCTION("""COMPUTED_VALUE"""),84.98)</f>
        <v>84.98</v>
      </c>
      <c r="K1353" s="16"/>
      <c r="T1353" s="17"/>
      <c r="AC1353" s="17"/>
    </row>
    <row r="1354">
      <c r="B1354" s="11">
        <f>IFERROR(__xludf.DUMMYFUNCTION("""COMPUTED_VALUE"""),44055.66666666667)</f>
        <v>44055.66667</v>
      </c>
      <c r="C1354" s="9">
        <f>IFERROR(__xludf.DUMMYFUNCTION("""COMPUTED_VALUE"""),85.46)</f>
        <v>85.46</v>
      </c>
      <c r="K1354" s="16"/>
      <c r="T1354" s="17"/>
      <c r="AC1354" s="17"/>
    </row>
    <row r="1355">
      <c r="B1355" s="11">
        <f>IFERROR(__xludf.DUMMYFUNCTION("""COMPUTED_VALUE"""),44054.66666666667)</f>
        <v>44054.66667</v>
      </c>
      <c r="C1355" s="9">
        <f>IFERROR(__xludf.DUMMYFUNCTION("""COMPUTED_VALUE"""),86.07)</f>
        <v>86.07</v>
      </c>
      <c r="K1355" s="16"/>
      <c r="T1355" s="17"/>
      <c r="AC1355" s="17"/>
    </row>
    <row r="1356">
      <c r="B1356" s="11">
        <f>IFERROR(__xludf.DUMMYFUNCTION("""COMPUTED_VALUE"""),44053.66666666667)</f>
        <v>44053.66667</v>
      </c>
      <c r="C1356" s="9">
        <f>IFERROR(__xludf.DUMMYFUNCTION("""COMPUTED_VALUE"""),85.62)</f>
        <v>85.62</v>
      </c>
      <c r="K1356" s="16"/>
      <c r="T1356" s="17"/>
      <c r="AC1356" s="17"/>
    </row>
    <row r="1357">
      <c r="B1357" s="11">
        <f>IFERROR(__xludf.DUMMYFUNCTION("""COMPUTED_VALUE"""),44050.66666666667)</f>
        <v>44050.66667</v>
      </c>
      <c r="C1357" s="9">
        <f>IFERROR(__xludf.DUMMYFUNCTION("""COMPUTED_VALUE"""),82.96)</f>
        <v>82.96</v>
      </c>
      <c r="K1357" s="16"/>
      <c r="T1357" s="17"/>
      <c r="AC1357" s="17"/>
    </row>
    <row r="1358">
      <c r="B1358" s="11">
        <f>IFERROR(__xludf.DUMMYFUNCTION("""COMPUTED_VALUE"""),44049.66666666667)</f>
        <v>44049.66667</v>
      </c>
      <c r="C1358" s="9">
        <f>IFERROR(__xludf.DUMMYFUNCTION("""COMPUTED_VALUE"""),82.43)</f>
        <v>82.43</v>
      </c>
      <c r="K1358" s="16"/>
      <c r="T1358" s="17"/>
      <c r="AC1358" s="17"/>
    </row>
    <row r="1359">
      <c r="B1359" s="11">
        <f>IFERROR(__xludf.DUMMYFUNCTION("""COMPUTED_VALUE"""),44048.66666666667)</f>
        <v>44048.66667</v>
      </c>
      <c r="C1359" s="9">
        <f>IFERROR(__xludf.DUMMYFUNCTION("""COMPUTED_VALUE"""),82.88)</f>
        <v>82.88</v>
      </c>
      <c r="K1359" s="16"/>
      <c r="T1359" s="17"/>
      <c r="AC1359" s="17"/>
    </row>
    <row r="1360">
      <c r="B1360" s="11">
        <f>IFERROR(__xludf.DUMMYFUNCTION("""COMPUTED_VALUE"""),44047.66666666667)</f>
        <v>44047.66667</v>
      </c>
      <c r="C1360" s="9">
        <f>IFERROR(__xludf.DUMMYFUNCTION("""COMPUTED_VALUE"""),80.1)</f>
        <v>80.1</v>
      </c>
      <c r="K1360" s="16"/>
      <c r="T1360" s="17"/>
      <c r="AC1360" s="17"/>
    </row>
    <row r="1361">
      <c r="B1361" s="11">
        <f>IFERROR(__xludf.DUMMYFUNCTION("""COMPUTED_VALUE"""),44046.66666666667)</f>
        <v>44046.66667</v>
      </c>
      <c r="C1361" s="9">
        <f>IFERROR(__xludf.DUMMYFUNCTION("""COMPUTED_VALUE"""),79.45)</f>
        <v>79.45</v>
      </c>
      <c r="K1361" s="16"/>
      <c r="T1361" s="17"/>
      <c r="AC1361" s="17"/>
    </row>
    <row r="1362">
      <c r="B1362" s="11">
        <f>IFERROR(__xludf.DUMMYFUNCTION("""COMPUTED_VALUE"""),44043.66666666667)</f>
        <v>44043.66667</v>
      </c>
      <c r="C1362" s="9">
        <f>IFERROR(__xludf.DUMMYFUNCTION("""COMPUTED_VALUE"""),78.35)</f>
        <v>78.35</v>
      </c>
      <c r="K1362" s="16"/>
      <c r="T1362" s="17"/>
      <c r="AC1362" s="17"/>
    </row>
    <row r="1363">
      <c r="B1363" s="11">
        <f>IFERROR(__xludf.DUMMYFUNCTION("""COMPUTED_VALUE"""),44042.66666666667)</f>
        <v>44042.66667</v>
      </c>
      <c r="C1363" s="9">
        <f>IFERROR(__xludf.DUMMYFUNCTION("""COMPUTED_VALUE"""),79.26)</f>
        <v>79.26</v>
      </c>
      <c r="K1363" s="16"/>
      <c r="T1363" s="17"/>
      <c r="AC1363" s="17"/>
    </row>
    <row r="1364">
      <c r="B1364" s="11">
        <f>IFERROR(__xludf.DUMMYFUNCTION("""COMPUTED_VALUE"""),44041.66666666667)</f>
        <v>44041.66667</v>
      </c>
      <c r="C1364" s="9">
        <f>IFERROR(__xludf.DUMMYFUNCTION("""COMPUTED_VALUE"""),80.14)</f>
        <v>80.14</v>
      </c>
      <c r="K1364" s="16"/>
      <c r="T1364" s="17"/>
      <c r="AC1364" s="17"/>
    </row>
    <row r="1365">
      <c r="B1365" s="11">
        <f>IFERROR(__xludf.DUMMYFUNCTION("""COMPUTED_VALUE"""),44040.66666666667)</f>
        <v>44040.66667</v>
      </c>
      <c r="C1365" s="9">
        <f>IFERROR(__xludf.DUMMYFUNCTION("""COMPUTED_VALUE"""),80.79)</f>
        <v>80.79</v>
      </c>
      <c r="K1365" s="16"/>
      <c r="T1365" s="17"/>
      <c r="AC1365" s="17"/>
    </row>
    <row r="1366">
      <c r="B1366" s="11">
        <f>IFERROR(__xludf.DUMMYFUNCTION("""COMPUTED_VALUE"""),44039.66666666667)</f>
        <v>44039.66667</v>
      </c>
      <c r="C1366" s="9">
        <f>IFERROR(__xludf.DUMMYFUNCTION("""COMPUTED_VALUE"""),80.53)</f>
        <v>80.53</v>
      </c>
      <c r="K1366" s="16"/>
      <c r="T1366" s="17"/>
      <c r="AC1366" s="17"/>
    </row>
    <row r="1367">
      <c r="B1367" s="11">
        <f>IFERROR(__xludf.DUMMYFUNCTION("""COMPUTED_VALUE"""),44036.66666666667)</f>
        <v>44036.66667</v>
      </c>
      <c r="C1367" s="9">
        <f>IFERROR(__xludf.DUMMYFUNCTION("""COMPUTED_VALUE"""),81.62)</f>
        <v>81.62</v>
      </c>
      <c r="K1367" s="16"/>
      <c r="T1367" s="17"/>
      <c r="AC1367" s="17"/>
    </row>
    <row r="1368">
      <c r="B1368" s="11">
        <f>IFERROR(__xludf.DUMMYFUNCTION("""COMPUTED_VALUE"""),44035.66666666667)</f>
        <v>44035.66667</v>
      </c>
      <c r="C1368" s="9">
        <f>IFERROR(__xludf.DUMMYFUNCTION("""COMPUTED_VALUE"""),82.81)</f>
        <v>82.81</v>
      </c>
      <c r="K1368" s="16"/>
      <c r="T1368" s="17"/>
      <c r="AC1368" s="17"/>
    </row>
    <row r="1369">
      <c r="B1369" s="11">
        <f>IFERROR(__xludf.DUMMYFUNCTION("""COMPUTED_VALUE"""),44034.66666666667)</f>
        <v>44034.66667</v>
      </c>
      <c r="C1369" s="9">
        <f>IFERROR(__xludf.DUMMYFUNCTION("""COMPUTED_VALUE"""),83.61)</f>
        <v>83.61</v>
      </c>
      <c r="K1369" s="16"/>
      <c r="T1369" s="17"/>
      <c r="AC1369" s="17"/>
    </row>
    <row r="1370">
      <c r="B1370" s="11">
        <f>IFERROR(__xludf.DUMMYFUNCTION("""COMPUTED_VALUE"""),44033.66666666667)</f>
        <v>44033.66667</v>
      </c>
      <c r="C1370" s="9">
        <f>IFERROR(__xludf.DUMMYFUNCTION("""COMPUTED_VALUE"""),82.49)</f>
        <v>82.49</v>
      </c>
      <c r="K1370" s="16"/>
      <c r="T1370" s="17"/>
      <c r="AC1370" s="17"/>
    </row>
    <row r="1371">
      <c r="B1371" s="11">
        <f>IFERROR(__xludf.DUMMYFUNCTION("""COMPUTED_VALUE"""),44032.66666666667)</f>
        <v>44032.66667</v>
      </c>
      <c r="C1371" s="9">
        <f>IFERROR(__xludf.DUMMYFUNCTION("""COMPUTED_VALUE"""),80.88)</f>
        <v>80.88</v>
      </c>
      <c r="K1371" s="16"/>
      <c r="T1371" s="17"/>
      <c r="AC1371" s="17"/>
    </row>
    <row r="1372">
      <c r="B1372" s="11">
        <f>IFERROR(__xludf.DUMMYFUNCTION("""COMPUTED_VALUE"""),44029.66666666667)</f>
        <v>44029.66667</v>
      </c>
      <c r="C1372" s="9">
        <f>IFERROR(__xludf.DUMMYFUNCTION("""COMPUTED_VALUE"""),81.85)</f>
        <v>81.85</v>
      </c>
      <c r="K1372" s="16"/>
      <c r="T1372" s="17"/>
      <c r="AC1372" s="17"/>
    </row>
    <row r="1373">
      <c r="B1373" s="11">
        <f>IFERROR(__xludf.DUMMYFUNCTION("""COMPUTED_VALUE"""),44028.66666666667)</f>
        <v>44028.66667</v>
      </c>
      <c r="C1373" s="9">
        <f>IFERROR(__xludf.DUMMYFUNCTION("""COMPUTED_VALUE"""),81.74)</f>
        <v>81.74</v>
      </c>
      <c r="K1373" s="16"/>
      <c r="T1373" s="17"/>
      <c r="AC1373" s="17"/>
    </row>
    <row r="1374">
      <c r="B1374" s="11">
        <f>IFERROR(__xludf.DUMMYFUNCTION("""COMPUTED_VALUE"""),44027.66666666667)</f>
        <v>44027.66667</v>
      </c>
      <c r="C1374" s="9">
        <f>IFERROR(__xludf.DUMMYFUNCTION("""COMPUTED_VALUE"""),82.6)</f>
        <v>82.6</v>
      </c>
      <c r="K1374" s="16"/>
      <c r="T1374" s="17"/>
      <c r="AC1374" s="17"/>
    </row>
    <row r="1375">
      <c r="B1375" s="11">
        <f>IFERROR(__xludf.DUMMYFUNCTION("""COMPUTED_VALUE"""),44026.66666666667)</f>
        <v>44026.66667</v>
      </c>
      <c r="C1375" s="9">
        <f>IFERROR(__xludf.DUMMYFUNCTION("""COMPUTED_VALUE"""),79.81)</f>
        <v>79.81</v>
      </c>
      <c r="K1375" s="16"/>
      <c r="T1375" s="17"/>
      <c r="AC1375" s="17"/>
    </row>
    <row r="1376">
      <c r="B1376" s="11">
        <f>IFERROR(__xludf.DUMMYFUNCTION("""COMPUTED_VALUE"""),44025.66666666667)</f>
        <v>44025.66667</v>
      </c>
      <c r="C1376" s="9">
        <f>IFERROR(__xludf.DUMMYFUNCTION("""COMPUTED_VALUE"""),78.53)</f>
        <v>78.53</v>
      </c>
      <c r="K1376" s="16"/>
      <c r="T1376" s="17"/>
      <c r="AC1376" s="17"/>
    </row>
    <row r="1377">
      <c r="B1377" s="11">
        <f>IFERROR(__xludf.DUMMYFUNCTION("""COMPUTED_VALUE"""),44022.66666666667)</f>
        <v>44022.66667</v>
      </c>
      <c r="C1377" s="9">
        <f>IFERROR(__xludf.DUMMYFUNCTION("""COMPUTED_VALUE"""),79.05)</f>
        <v>79.05</v>
      </c>
      <c r="K1377" s="16"/>
      <c r="T1377" s="17"/>
      <c r="AC1377" s="17"/>
    </row>
    <row r="1378">
      <c r="B1378" s="11">
        <f>IFERROR(__xludf.DUMMYFUNCTION("""COMPUTED_VALUE"""),44021.66666666667)</f>
        <v>44021.66667</v>
      </c>
      <c r="C1378" s="9">
        <f>IFERROR(__xludf.DUMMYFUNCTION("""COMPUTED_VALUE"""),77.31)</f>
        <v>77.31</v>
      </c>
      <c r="K1378" s="16"/>
      <c r="T1378" s="17"/>
      <c r="AC1378" s="17"/>
    </row>
    <row r="1379">
      <c r="B1379" s="11">
        <f>IFERROR(__xludf.DUMMYFUNCTION("""COMPUTED_VALUE"""),44020.66666666667)</f>
        <v>44020.66667</v>
      </c>
      <c r="C1379" s="9">
        <f>IFERROR(__xludf.DUMMYFUNCTION("""COMPUTED_VALUE"""),80.33)</f>
        <v>80.33</v>
      </c>
      <c r="K1379" s="16"/>
      <c r="T1379" s="17"/>
      <c r="AC1379" s="17"/>
    </row>
    <row r="1380">
      <c r="B1380" s="11">
        <f>IFERROR(__xludf.DUMMYFUNCTION("""COMPUTED_VALUE"""),44019.66666666667)</f>
        <v>44019.66667</v>
      </c>
      <c r="C1380" s="9">
        <f>IFERROR(__xludf.DUMMYFUNCTION("""COMPUTED_VALUE"""),80.16)</f>
        <v>80.16</v>
      </c>
      <c r="K1380" s="16"/>
      <c r="T1380" s="17"/>
      <c r="AC1380" s="17"/>
    </row>
    <row r="1381">
      <c r="B1381" s="11">
        <f>IFERROR(__xludf.DUMMYFUNCTION("""COMPUTED_VALUE"""),44018.66666666667)</f>
        <v>44018.66667</v>
      </c>
      <c r="C1381" s="9">
        <f>IFERROR(__xludf.DUMMYFUNCTION("""COMPUTED_VALUE"""),83.21)</f>
        <v>83.21</v>
      </c>
      <c r="K1381" s="16"/>
      <c r="T1381" s="17"/>
      <c r="AC1381" s="17"/>
    </row>
    <row r="1382">
      <c r="B1382" s="11">
        <f>IFERROR(__xludf.DUMMYFUNCTION("""COMPUTED_VALUE"""),44014.66666666667)</f>
        <v>44014.66667</v>
      </c>
      <c r="C1382" s="9">
        <f>IFERROR(__xludf.DUMMYFUNCTION("""COMPUTED_VALUE"""),81.8)</f>
        <v>81.8</v>
      </c>
      <c r="K1382" s="16"/>
      <c r="T1382" s="17"/>
      <c r="AC1382" s="17"/>
    </row>
    <row r="1383">
      <c r="B1383" s="11">
        <f>IFERROR(__xludf.DUMMYFUNCTION("""COMPUTED_VALUE"""),44013.66666666667)</f>
        <v>44013.66667</v>
      </c>
      <c r="C1383" s="9">
        <f>IFERROR(__xludf.DUMMYFUNCTION("""COMPUTED_VALUE"""),81.6)</f>
        <v>81.6</v>
      </c>
      <c r="K1383" s="16"/>
      <c r="T1383" s="17"/>
      <c r="AC1383" s="17"/>
    </row>
    <row r="1384">
      <c r="B1384" s="11">
        <f>IFERROR(__xludf.DUMMYFUNCTION("""COMPUTED_VALUE"""),44012.66666666667)</f>
        <v>44012.66667</v>
      </c>
      <c r="C1384" s="9">
        <f>IFERROR(__xludf.DUMMYFUNCTION("""COMPUTED_VALUE"""),82.36)</f>
        <v>82.36</v>
      </c>
      <c r="K1384" s="16"/>
      <c r="T1384" s="17"/>
      <c r="AC1384" s="17"/>
    </row>
    <row r="1385">
      <c r="B1385" s="11">
        <f>IFERROR(__xludf.DUMMYFUNCTION("""COMPUTED_VALUE"""),44011.66666666667)</f>
        <v>44011.66667</v>
      </c>
      <c r="C1385" s="9">
        <f>IFERROR(__xludf.DUMMYFUNCTION("""COMPUTED_VALUE"""),83.62)</f>
        <v>83.62</v>
      </c>
      <c r="K1385" s="16"/>
      <c r="T1385" s="17"/>
      <c r="AC1385" s="17"/>
    </row>
    <row r="1386">
      <c r="B1386" s="11">
        <f>IFERROR(__xludf.DUMMYFUNCTION("""COMPUTED_VALUE"""),44008.66666666667)</f>
        <v>44008.66667</v>
      </c>
      <c r="C1386" s="9">
        <f>IFERROR(__xludf.DUMMYFUNCTION("""COMPUTED_VALUE"""),79.1)</f>
        <v>79.1</v>
      </c>
      <c r="K1386" s="16"/>
      <c r="T1386" s="17"/>
      <c r="AC1386" s="17"/>
    </row>
    <row r="1387">
      <c r="B1387" s="11">
        <f>IFERROR(__xludf.DUMMYFUNCTION("""COMPUTED_VALUE"""),44007.66666666667)</f>
        <v>44007.66667</v>
      </c>
      <c r="C1387" s="9">
        <f>IFERROR(__xludf.DUMMYFUNCTION("""COMPUTED_VALUE"""),80.64)</f>
        <v>80.64</v>
      </c>
      <c r="K1387" s="16"/>
      <c r="T1387" s="17"/>
      <c r="AC1387" s="17"/>
    </row>
    <row r="1388">
      <c r="B1388" s="11">
        <f>IFERROR(__xludf.DUMMYFUNCTION("""COMPUTED_VALUE"""),44006.66666666667)</f>
        <v>44006.66667</v>
      </c>
      <c r="C1388" s="9">
        <f>IFERROR(__xludf.DUMMYFUNCTION("""COMPUTED_VALUE"""),80.36)</f>
        <v>80.36</v>
      </c>
      <c r="K1388" s="16"/>
      <c r="T1388" s="17"/>
      <c r="AC1388" s="17"/>
    </row>
    <row r="1389">
      <c r="B1389" s="11">
        <f>IFERROR(__xludf.DUMMYFUNCTION("""COMPUTED_VALUE"""),44005.66666666667)</f>
        <v>44005.66667</v>
      </c>
      <c r="C1389" s="9">
        <f>IFERROR(__xludf.DUMMYFUNCTION("""COMPUTED_VALUE"""),84.05)</f>
        <v>84.05</v>
      </c>
      <c r="K1389" s="16"/>
      <c r="T1389" s="17"/>
      <c r="AC1389" s="17"/>
    </row>
    <row r="1390">
      <c r="B1390" s="11">
        <f>IFERROR(__xludf.DUMMYFUNCTION("""COMPUTED_VALUE"""),44004.66666666667)</f>
        <v>44004.66667</v>
      </c>
      <c r="C1390" s="9">
        <f>IFERROR(__xludf.DUMMYFUNCTION("""COMPUTED_VALUE"""),84.87)</f>
        <v>84.87</v>
      </c>
      <c r="K1390" s="16"/>
      <c r="T1390" s="17"/>
      <c r="AC1390" s="17"/>
    </row>
    <row r="1391">
      <c r="B1391" s="11">
        <f>IFERROR(__xludf.DUMMYFUNCTION("""COMPUTED_VALUE"""),44001.66666666667)</f>
        <v>44001.66667</v>
      </c>
      <c r="C1391" s="9">
        <f>IFERROR(__xludf.DUMMYFUNCTION("""COMPUTED_VALUE"""),84.31)</f>
        <v>84.31</v>
      </c>
      <c r="K1391" s="16"/>
      <c r="T1391" s="17"/>
      <c r="AC1391" s="17"/>
    </row>
    <row r="1392">
      <c r="B1392" s="11">
        <f>IFERROR(__xludf.DUMMYFUNCTION("""COMPUTED_VALUE"""),44000.66666666667)</f>
        <v>44000.66667</v>
      </c>
      <c r="C1392" s="9">
        <f>IFERROR(__xludf.DUMMYFUNCTION("""COMPUTED_VALUE"""),86.13)</f>
        <v>86.13</v>
      </c>
      <c r="K1392" s="16"/>
      <c r="T1392" s="17"/>
      <c r="AC1392" s="17"/>
    </row>
    <row r="1393">
      <c r="B1393" s="11">
        <f>IFERROR(__xludf.DUMMYFUNCTION("""COMPUTED_VALUE"""),43999.66666666667)</f>
        <v>43999.66667</v>
      </c>
      <c r="C1393" s="9">
        <f>IFERROR(__xludf.DUMMYFUNCTION("""COMPUTED_VALUE"""),86.52)</f>
        <v>86.52</v>
      </c>
      <c r="K1393" s="16"/>
      <c r="T1393" s="17"/>
      <c r="AC1393" s="17"/>
    </row>
    <row r="1394">
      <c r="B1394" s="11">
        <f>IFERROR(__xludf.DUMMYFUNCTION("""COMPUTED_VALUE"""),43998.66666666667)</f>
        <v>43998.66667</v>
      </c>
      <c r="C1394" s="9">
        <f>IFERROR(__xludf.DUMMYFUNCTION("""COMPUTED_VALUE"""),87.67)</f>
        <v>87.67</v>
      </c>
      <c r="K1394" s="16"/>
      <c r="T1394" s="17"/>
      <c r="AC1394" s="17"/>
    </row>
    <row r="1395">
      <c r="B1395" s="11">
        <f>IFERROR(__xludf.DUMMYFUNCTION("""COMPUTED_VALUE"""),43997.66666666667)</f>
        <v>43997.66667</v>
      </c>
      <c r="C1395" s="9">
        <f>IFERROR(__xludf.DUMMYFUNCTION("""COMPUTED_VALUE"""),86.03)</f>
        <v>86.03</v>
      </c>
      <c r="K1395" s="16"/>
      <c r="T1395" s="17"/>
      <c r="AC1395" s="17"/>
    </row>
    <row r="1396">
      <c r="B1396" s="11">
        <f>IFERROR(__xludf.DUMMYFUNCTION("""COMPUTED_VALUE"""),43994.66666666667)</f>
        <v>43994.66667</v>
      </c>
      <c r="C1396" s="9">
        <f>IFERROR(__xludf.DUMMYFUNCTION("""COMPUTED_VALUE"""),85.52)</f>
        <v>85.52</v>
      </c>
      <c r="K1396" s="16"/>
      <c r="T1396" s="17"/>
      <c r="AC1396" s="17"/>
    </row>
    <row r="1397">
      <c r="B1397" s="11">
        <f>IFERROR(__xludf.DUMMYFUNCTION("""COMPUTED_VALUE"""),43993.66666666667)</f>
        <v>43993.66667</v>
      </c>
      <c r="C1397" s="9">
        <f>IFERROR(__xludf.DUMMYFUNCTION("""COMPUTED_VALUE"""),82.9)</f>
        <v>82.9</v>
      </c>
      <c r="K1397" s="16"/>
      <c r="T1397" s="17"/>
      <c r="AC1397" s="17"/>
    </row>
    <row r="1398">
      <c r="B1398" s="11">
        <f>IFERROR(__xludf.DUMMYFUNCTION("""COMPUTED_VALUE"""),43992.66666666667)</f>
        <v>43992.66667</v>
      </c>
      <c r="C1398" s="9">
        <f>IFERROR(__xludf.DUMMYFUNCTION("""COMPUTED_VALUE"""),90.54)</f>
        <v>90.54</v>
      </c>
      <c r="K1398" s="16"/>
      <c r="T1398" s="17"/>
      <c r="AC1398" s="17"/>
    </row>
    <row r="1399">
      <c r="B1399" s="11">
        <f>IFERROR(__xludf.DUMMYFUNCTION("""COMPUTED_VALUE"""),43991.66666666667)</f>
        <v>43991.66667</v>
      </c>
      <c r="C1399" s="9">
        <f>IFERROR(__xludf.DUMMYFUNCTION("""COMPUTED_VALUE"""),93.59)</f>
        <v>93.59</v>
      </c>
      <c r="K1399" s="16"/>
      <c r="T1399" s="17"/>
      <c r="AC1399" s="17"/>
    </row>
    <row r="1400">
      <c r="B1400" s="11">
        <f>IFERROR(__xludf.DUMMYFUNCTION("""COMPUTED_VALUE"""),43990.66666666667)</f>
        <v>43990.66667</v>
      </c>
      <c r="C1400" s="9">
        <f>IFERROR(__xludf.DUMMYFUNCTION("""COMPUTED_VALUE"""),96.92)</f>
        <v>96.92</v>
      </c>
      <c r="K1400" s="16"/>
      <c r="T1400" s="17"/>
      <c r="AC1400" s="17"/>
    </row>
    <row r="1401">
      <c r="B1401" s="11">
        <f>IFERROR(__xludf.DUMMYFUNCTION("""COMPUTED_VALUE"""),43987.66666666667)</f>
        <v>43987.66667</v>
      </c>
      <c r="C1401" s="9">
        <f>IFERROR(__xludf.DUMMYFUNCTION("""COMPUTED_VALUE"""),93.44)</f>
        <v>93.44</v>
      </c>
      <c r="K1401" s="16"/>
      <c r="T1401" s="17"/>
      <c r="AC1401" s="17"/>
    </row>
    <row r="1402">
      <c r="B1402" s="11">
        <f>IFERROR(__xludf.DUMMYFUNCTION("""COMPUTED_VALUE"""),43986.66666666667)</f>
        <v>43986.66667</v>
      </c>
      <c r="C1402" s="9">
        <f>IFERROR(__xludf.DUMMYFUNCTION("""COMPUTED_VALUE"""),89.19)</f>
        <v>89.19</v>
      </c>
      <c r="K1402" s="16"/>
      <c r="T1402" s="17"/>
      <c r="AC1402" s="17"/>
    </row>
    <row r="1403">
      <c r="B1403" s="11">
        <f>IFERROR(__xludf.DUMMYFUNCTION("""COMPUTED_VALUE"""),43985.66666666667)</f>
        <v>43985.66667</v>
      </c>
      <c r="C1403" s="9">
        <f>IFERROR(__xludf.DUMMYFUNCTION("""COMPUTED_VALUE"""),87.75)</f>
        <v>87.75</v>
      </c>
      <c r="K1403" s="16"/>
      <c r="T1403" s="17"/>
      <c r="AC1403" s="17"/>
    </row>
    <row r="1404">
      <c r="B1404" s="11">
        <f>IFERROR(__xludf.DUMMYFUNCTION("""COMPUTED_VALUE"""),43984.66666666667)</f>
        <v>43984.66667</v>
      </c>
      <c r="C1404" s="9">
        <f>IFERROR(__xludf.DUMMYFUNCTION("""COMPUTED_VALUE"""),83.32)</f>
        <v>83.32</v>
      </c>
      <c r="K1404" s="16"/>
      <c r="T1404" s="17"/>
      <c r="AC1404" s="17"/>
    </row>
    <row r="1405">
      <c r="B1405" s="11">
        <f>IFERROR(__xludf.DUMMYFUNCTION("""COMPUTED_VALUE"""),43983.66666666667)</f>
        <v>43983.66667</v>
      </c>
      <c r="C1405" s="9">
        <f>IFERROR(__xludf.DUMMYFUNCTION("""COMPUTED_VALUE"""),83.14)</f>
        <v>83.14</v>
      </c>
      <c r="K1405" s="16"/>
      <c r="T1405" s="17"/>
      <c r="AC1405" s="17"/>
    </row>
    <row r="1406">
      <c r="B1406" s="11">
        <f>IFERROR(__xludf.DUMMYFUNCTION("""COMPUTED_VALUE"""),43980.66666666667)</f>
        <v>43980.66667</v>
      </c>
      <c r="C1406" s="9">
        <f>IFERROR(__xludf.DUMMYFUNCTION("""COMPUTED_VALUE"""),82.28)</f>
        <v>82.28</v>
      </c>
      <c r="K1406" s="16"/>
      <c r="T1406" s="17"/>
      <c r="AC1406" s="17"/>
    </row>
    <row r="1407">
      <c r="B1407" s="11">
        <f>IFERROR(__xludf.DUMMYFUNCTION("""COMPUTED_VALUE"""),43979.66666666667)</f>
        <v>43979.66667</v>
      </c>
      <c r="C1407" s="9">
        <f>IFERROR(__xludf.DUMMYFUNCTION("""COMPUTED_VALUE"""),83.26)</f>
        <v>83.26</v>
      </c>
      <c r="K1407" s="16"/>
      <c r="T1407" s="17"/>
      <c r="AC1407" s="17"/>
    </row>
    <row r="1408">
      <c r="B1408" s="11">
        <f>IFERROR(__xludf.DUMMYFUNCTION("""COMPUTED_VALUE"""),43978.66666666667)</f>
        <v>43978.66667</v>
      </c>
      <c r="C1408" s="9">
        <f>IFERROR(__xludf.DUMMYFUNCTION("""COMPUTED_VALUE"""),83.6)</f>
        <v>83.6</v>
      </c>
      <c r="K1408" s="16"/>
      <c r="T1408" s="17"/>
      <c r="AC1408" s="17"/>
    </row>
    <row r="1409">
      <c r="B1409" s="11">
        <f>IFERROR(__xludf.DUMMYFUNCTION("""COMPUTED_VALUE"""),43977.66666666667)</f>
        <v>43977.66667</v>
      </c>
      <c r="C1409" s="9">
        <f>IFERROR(__xludf.DUMMYFUNCTION("""COMPUTED_VALUE"""),79.63)</f>
        <v>79.63</v>
      </c>
      <c r="K1409" s="16"/>
      <c r="T1409" s="17"/>
      <c r="AC1409" s="17"/>
    </row>
    <row r="1410">
      <c r="B1410" s="11">
        <f>IFERROR(__xludf.DUMMYFUNCTION("""COMPUTED_VALUE"""),43973.66666666667)</f>
        <v>43973.66667</v>
      </c>
      <c r="C1410" s="9">
        <f>IFERROR(__xludf.DUMMYFUNCTION("""COMPUTED_VALUE"""),76.51)</f>
        <v>76.51</v>
      </c>
      <c r="K1410" s="16"/>
      <c r="T1410" s="17"/>
      <c r="AC1410" s="17"/>
    </row>
    <row r="1411">
      <c r="B1411" s="11">
        <f>IFERROR(__xludf.DUMMYFUNCTION("""COMPUTED_VALUE"""),43972.66666666667)</f>
        <v>43972.66667</v>
      </c>
      <c r="C1411" s="9">
        <f>IFERROR(__xludf.DUMMYFUNCTION("""COMPUTED_VALUE"""),76.67)</f>
        <v>76.67</v>
      </c>
      <c r="K1411" s="16"/>
      <c r="T1411" s="17"/>
      <c r="AC1411" s="17"/>
    </row>
    <row r="1412">
      <c r="B1412" s="11">
        <f>IFERROR(__xludf.DUMMYFUNCTION("""COMPUTED_VALUE"""),43971.66666666667)</f>
        <v>43971.66667</v>
      </c>
      <c r="C1412" s="9">
        <f>IFERROR(__xludf.DUMMYFUNCTION("""COMPUTED_VALUE"""),75.04)</f>
        <v>75.04</v>
      </c>
      <c r="K1412" s="16"/>
      <c r="T1412" s="17"/>
      <c r="AC1412" s="17"/>
    </row>
    <row r="1413">
      <c r="B1413" s="11">
        <f>IFERROR(__xludf.DUMMYFUNCTION("""COMPUTED_VALUE"""),43970.66666666667)</f>
        <v>43970.66667</v>
      </c>
      <c r="C1413" s="9">
        <f>IFERROR(__xludf.DUMMYFUNCTION("""COMPUTED_VALUE"""),74.57)</f>
        <v>74.57</v>
      </c>
      <c r="K1413" s="16"/>
      <c r="T1413" s="17"/>
      <c r="AC1413" s="17"/>
    </row>
    <row r="1414">
      <c r="B1414" s="11">
        <f>IFERROR(__xludf.DUMMYFUNCTION("""COMPUTED_VALUE"""),43969.66666666667)</f>
        <v>43969.66667</v>
      </c>
      <c r="C1414" s="9">
        <f>IFERROR(__xludf.DUMMYFUNCTION("""COMPUTED_VALUE"""),75.69)</f>
        <v>75.69</v>
      </c>
      <c r="K1414" s="16"/>
      <c r="T1414" s="17"/>
      <c r="AC1414" s="17"/>
    </row>
    <row r="1415">
      <c r="B1415" s="11">
        <f>IFERROR(__xludf.DUMMYFUNCTION("""COMPUTED_VALUE"""),43966.66666666667)</f>
        <v>43966.66667</v>
      </c>
      <c r="C1415" s="9">
        <f>IFERROR(__xludf.DUMMYFUNCTION("""COMPUTED_VALUE"""),70.35)</f>
        <v>70.35</v>
      </c>
      <c r="K1415" s="16"/>
      <c r="T1415" s="17"/>
      <c r="AC1415" s="17"/>
    </row>
    <row r="1416">
      <c r="B1416" s="11">
        <f>IFERROR(__xludf.DUMMYFUNCTION("""COMPUTED_VALUE"""),43965.66666666667)</f>
        <v>43965.66667</v>
      </c>
      <c r="C1416" s="9">
        <f>IFERROR(__xludf.DUMMYFUNCTION("""COMPUTED_VALUE"""),70.56)</f>
        <v>70.56</v>
      </c>
      <c r="K1416" s="16"/>
      <c r="T1416" s="17"/>
      <c r="AC1416" s="17"/>
    </row>
    <row r="1417">
      <c r="B1417" s="11">
        <f>IFERROR(__xludf.DUMMYFUNCTION("""COMPUTED_VALUE"""),43964.66666666667)</f>
        <v>43964.66667</v>
      </c>
      <c r="C1417" s="9">
        <f>IFERROR(__xludf.DUMMYFUNCTION("""COMPUTED_VALUE"""),70.85)</f>
        <v>70.85</v>
      </c>
      <c r="K1417" s="16"/>
      <c r="T1417" s="17"/>
      <c r="AC1417" s="17"/>
    </row>
    <row r="1418">
      <c r="B1418" s="11">
        <f>IFERROR(__xludf.DUMMYFUNCTION("""COMPUTED_VALUE"""),43963.66666666667)</f>
        <v>43963.66667</v>
      </c>
      <c r="C1418" s="9">
        <f>IFERROR(__xludf.DUMMYFUNCTION("""COMPUTED_VALUE"""),73.03)</f>
        <v>73.03</v>
      </c>
      <c r="K1418" s="16"/>
      <c r="T1418" s="17"/>
      <c r="AC1418" s="17"/>
    </row>
    <row r="1419">
      <c r="B1419" s="11">
        <f>IFERROR(__xludf.DUMMYFUNCTION("""COMPUTED_VALUE"""),43962.66666666667)</f>
        <v>43962.66667</v>
      </c>
      <c r="C1419" s="9">
        <f>IFERROR(__xludf.DUMMYFUNCTION("""COMPUTED_VALUE"""),74.79)</f>
        <v>74.79</v>
      </c>
      <c r="K1419" s="16"/>
      <c r="T1419" s="17"/>
      <c r="AC1419" s="17"/>
    </row>
    <row r="1420">
      <c r="B1420" s="11">
        <f>IFERROR(__xludf.DUMMYFUNCTION("""COMPUTED_VALUE"""),43959.66666666667)</f>
        <v>43959.66667</v>
      </c>
      <c r="C1420" s="9">
        <f>IFERROR(__xludf.DUMMYFUNCTION("""COMPUTED_VALUE"""),75.88)</f>
        <v>75.88</v>
      </c>
      <c r="K1420" s="16"/>
      <c r="T1420" s="17"/>
      <c r="AC1420" s="17"/>
    </row>
    <row r="1421">
      <c r="B1421" s="11">
        <f>IFERROR(__xludf.DUMMYFUNCTION("""COMPUTED_VALUE"""),43958.66666666667)</f>
        <v>43958.66667</v>
      </c>
      <c r="C1421" s="9">
        <f>IFERROR(__xludf.DUMMYFUNCTION("""COMPUTED_VALUE"""),73.03)</f>
        <v>73.03</v>
      </c>
      <c r="K1421" s="16"/>
      <c r="T1421" s="17"/>
      <c r="AC1421" s="17"/>
    </row>
    <row r="1422">
      <c r="B1422" s="11">
        <f>IFERROR(__xludf.DUMMYFUNCTION("""COMPUTED_VALUE"""),43957.66666666667)</f>
        <v>43957.66667</v>
      </c>
      <c r="C1422" s="9">
        <f>IFERROR(__xludf.DUMMYFUNCTION("""COMPUTED_VALUE"""),72.22)</f>
        <v>72.22</v>
      </c>
      <c r="K1422" s="16"/>
      <c r="T1422" s="17"/>
      <c r="AC1422" s="17"/>
    </row>
    <row r="1423">
      <c r="B1423" s="11">
        <f>IFERROR(__xludf.DUMMYFUNCTION("""COMPUTED_VALUE"""),43956.66666666667)</f>
        <v>43956.66667</v>
      </c>
      <c r="C1423" s="9">
        <f>IFERROR(__xludf.DUMMYFUNCTION("""COMPUTED_VALUE"""),73.72)</f>
        <v>73.72</v>
      </c>
      <c r="K1423" s="16"/>
      <c r="T1423" s="17"/>
      <c r="AC1423" s="17"/>
    </row>
    <row r="1424">
      <c r="B1424" s="11">
        <f>IFERROR(__xludf.DUMMYFUNCTION("""COMPUTED_VALUE"""),43955.66666666667)</f>
        <v>43955.66667</v>
      </c>
      <c r="C1424" s="9">
        <f>IFERROR(__xludf.DUMMYFUNCTION("""COMPUTED_VALUE"""),73.72)</f>
        <v>73.72</v>
      </c>
      <c r="K1424" s="16"/>
      <c r="T1424" s="17"/>
      <c r="AC1424" s="17"/>
    </row>
    <row r="1425">
      <c r="B1425" s="11">
        <f>IFERROR(__xludf.DUMMYFUNCTION("""COMPUTED_VALUE"""),43952.66666666667)</f>
        <v>43952.66667</v>
      </c>
      <c r="C1425" s="9">
        <f>IFERROR(__xludf.DUMMYFUNCTION("""COMPUTED_VALUE"""),75.21)</f>
        <v>75.21</v>
      </c>
      <c r="K1425" s="16"/>
      <c r="T1425" s="17"/>
      <c r="AC1425" s="17"/>
    </row>
    <row r="1426">
      <c r="B1426" s="11">
        <f>IFERROR(__xludf.DUMMYFUNCTION("""COMPUTED_VALUE"""),43951.66666666667)</f>
        <v>43951.66667</v>
      </c>
      <c r="C1426" s="9">
        <f>IFERROR(__xludf.DUMMYFUNCTION("""COMPUTED_VALUE"""),77.88)</f>
        <v>77.88</v>
      </c>
      <c r="K1426" s="16"/>
      <c r="T1426" s="17"/>
      <c r="AC1426" s="17"/>
    </row>
    <row r="1427">
      <c r="B1427" s="11">
        <f>IFERROR(__xludf.DUMMYFUNCTION("""COMPUTED_VALUE"""),43950.66666666667)</f>
        <v>43950.66667</v>
      </c>
      <c r="C1427" s="9">
        <f>IFERROR(__xludf.DUMMYFUNCTION("""COMPUTED_VALUE"""),79.63)</f>
        <v>79.63</v>
      </c>
      <c r="K1427" s="16"/>
      <c r="T1427" s="17"/>
      <c r="AC1427" s="17"/>
    </row>
    <row r="1428">
      <c r="B1428" s="11">
        <f>IFERROR(__xludf.DUMMYFUNCTION("""COMPUTED_VALUE"""),43949.66666666667)</f>
        <v>43949.66667</v>
      </c>
      <c r="C1428" s="9">
        <f>IFERROR(__xludf.DUMMYFUNCTION("""COMPUTED_VALUE"""),76.97)</f>
        <v>76.97</v>
      </c>
      <c r="K1428" s="16"/>
      <c r="T1428" s="17"/>
      <c r="AC1428" s="17"/>
    </row>
    <row r="1429">
      <c r="B1429" s="11">
        <f>IFERROR(__xludf.DUMMYFUNCTION("""COMPUTED_VALUE"""),43948.66666666667)</f>
        <v>43948.66667</v>
      </c>
      <c r="C1429" s="9">
        <f>IFERROR(__xludf.DUMMYFUNCTION("""COMPUTED_VALUE"""),75.53)</f>
        <v>75.53</v>
      </c>
      <c r="K1429" s="16"/>
      <c r="T1429" s="17"/>
      <c r="AC1429" s="17"/>
    </row>
    <row r="1430">
      <c r="B1430" s="11">
        <f>IFERROR(__xludf.DUMMYFUNCTION("""COMPUTED_VALUE"""),43945.66666666667)</f>
        <v>43945.66667</v>
      </c>
      <c r="C1430" s="9">
        <f>IFERROR(__xludf.DUMMYFUNCTION("""COMPUTED_VALUE"""),74.33)</f>
        <v>74.33</v>
      </c>
      <c r="K1430" s="16"/>
      <c r="T1430" s="17"/>
      <c r="AC1430" s="17"/>
    </row>
    <row r="1431">
      <c r="B1431" s="11">
        <f>IFERROR(__xludf.DUMMYFUNCTION("""COMPUTED_VALUE"""),43944.66666666667)</f>
        <v>43944.66667</v>
      </c>
      <c r="C1431" s="9">
        <f>IFERROR(__xludf.DUMMYFUNCTION("""COMPUTED_VALUE"""),74.77)</f>
        <v>74.77</v>
      </c>
      <c r="K1431" s="16"/>
      <c r="T1431" s="17"/>
      <c r="AC1431" s="17"/>
    </row>
    <row r="1432">
      <c r="B1432" s="11">
        <f>IFERROR(__xludf.DUMMYFUNCTION("""COMPUTED_VALUE"""),43943.66666666667)</f>
        <v>43943.66667</v>
      </c>
      <c r="C1432" s="9">
        <f>IFERROR(__xludf.DUMMYFUNCTION("""COMPUTED_VALUE"""),74.52)</f>
        <v>74.52</v>
      </c>
      <c r="K1432" s="16"/>
      <c r="T1432" s="17"/>
      <c r="AC1432" s="17"/>
    </row>
    <row r="1433">
      <c r="B1433" s="11">
        <f>IFERROR(__xludf.DUMMYFUNCTION("""COMPUTED_VALUE"""),43942.66666666667)</f>
        <v>43942.66667</v>
      </c>
      <c r="C1433" s="9">
        <f>IFERROR(__xludf.DUMMYFUNCTION("""COMPUTED_VALUE"""),73.73)</f>
        <v>73.73</v>
      </c>
      <c r="K1433" s="16"/>
      <c r="T1433" s="17"/>
      <c r="AC1433" s="17"/>
    </row>
    <row r="1434">
      <c r="B1434" s="11">
        <f>IFERROR(__xludf.DUMMYFUNCTION("""COMPUTED_VALUE"""),43941.66666666667)</f>
        <v>43941.66667</v>
      </c>
      <c r="C1434" s="9">
        <f>IFERROR(__xludf.DUMMYFUNCTION("""COMPUTED_VALUE"""),76.34)</f>
        <v>76.34</v>
      </c>
      <c r="K1434" s="16"/>
      <c r="T1434" s="17"/>
      <c r="AC1434" s="17"/>
    </row>
    <row r="1435">
      <c r="B1435" s="11">
        <f>IFERROR(__xludf.DUMMYFUNCTION("""COMPUTED_VALUE"""),43938.66666666667)</f>
        <v>43938.66667</v>
      </c>
      <c r="C1435" s="9">
        <f>IFERROR(__xludf.DUMMYFUNCTION("""COMPUTED_VALUE"""),78.79)</f>
        <v>78.79</v>
      </c>
      <c r="K1435" s="16"/>
      <c r="T1435" s="17"/>
      <c r="AC1435" s="17"/>
    </row>
    <row r="1436">
      <c r="B1436" s="11">
        <f>IFERROR(__xludf.DUMMYFUNCTION("""COMPUTED_VALUE"""),43937.66666666667)</f>
        <v>43937.66667</v>
      </c>
      <c r="C1436" s="9">
        <f>IFERROR(__xludf.DUMMYFUNCTION("""COMPUTED_VALUE"""),73.83)</f>
        <v>73.83</v>
      </c>
      <c r="K1436" s="16"/>
      <c r="T1436" s="17"/>
      <c r="AC1436" s="17"/>
    </row>
    <row r="1437">
      <c r="B1437" s="11">
        <f>IFERROR(__xludf.DUMMYFUNCTION("""COMPUTED_VALUE"""),43936.66666666667)</f>
        <v>43936.66667</v>
      </c>
      <c r="C1437" s="9">
        <f>IFERROR(__xludf.DUMMYFUNCTION("""COMPUTED_VALUE"""),74.98)</f>
        <v>74.98</v>
      </c>
      <c r="K1437" s="16"/>
      <c r="T1437" s="17"/>
      <c r="AC1437" s="17"/>
    </row>
    <row r="1438">
      <c r="B1438" s="11">
        <f>IFERROR(__xludf.DUMMYFUNCTION("""COMPUTED_VALUE"""),43935.66666666667)</f>
        <v>43935.66667</v>
      </c>
      <c r="C1438" s="9">
        <f>IFERROR(__xludf.DUMMYFUNCTION("""COMPUTED_VALUE"""),76.57)</f>
        <v>76.57</v>
      </c>
      <c r="K1438" s="16"/>
      <c r="T1438" s="17"/>
      <c r="AC1438" s="17"/>
    </row>
    <row r="1439">
      <c r="B1439" s="11">
        <f>IFERROR(__xludf.DUMMYFUNCTION("""COMPUTED_VALUE"""),43934.66666666667)</f>
        <v>43934.66667</v>
      </c>
      <c r="C1439" s="9">
        <f>IFERROR(__xludf.DUMMYFUNCTION("""COMPUTED_VALUE"""),75.32)</f>
        <v>75.32</v>
      </c>
      <c r="K1439" s="16"/>
      <c r="T1439" s="17"/>
      <c r="AC1439" s="17"/>
    </row>
    <row r="1440">
      <c r="B1440" s="11">
        <f>IFERROR(__xludf.DUMMYFUNCTION("""COMPUTED_VALUE"""),43930.66666666667)</f>
        <v>43930.66667</v>
      </c>
      <c r="C1440" s="9">
        <f>IFERROR(__xludf.DUMMYFUNCTION("""COMPUTED_VALUE"""),77.75)</f>
        <v>77.75</v>
      </c>
      <c r="K1440" s="16"/>
      <c r="T1440" s="17"/>
      <c r="AC1440" s="17"/>
    </row>
    <row r="1441">
      <c r="B1441" s="11">
        <f>IFERROR(__xludf.DUMMYFUNCTION("""COMPUTED_VALUE"""),43929.66666666667)</f>
        <v>43929.66667</v>
      </c>
      <c r="C1441" s="9">
        <f>IFERROR(__xludf.DUMMYFUNCTION("""COMPUTED_VALUE"""),75.47)</f>
        <v>75.47</v>
      </c>
      <c r="K1441" s="16"/>
      <c r="T1441" s="17"/>
      <c r="AC1441" s="17"/>
    </row>
    <row r="1442">
      <c r="B1442" s="11">
        <f>IFERROR(__xludf.DUMMYFUNCTION("""COMPUTED_VALUE"""),43928.66666666667)</f>
        <v>43928.66667</v>
      </c>
      <c r="C1442" s="9">
        <f>IFERROR(__xludf.DUMMYFUNCTION("""COMPUTED_VALUE"""),72.46)</f>
        <v>72.46</v>
      </c>
      <c r="K1442" s="16"/>
      <c r="T1442" s="17"/>
      <c r="AC1442" s="17"/>
    </row>
    <row r="1443">
      <c r="B1443" s="11">
        <f>IFERROR(__xludf.DUMMYFUNCTION("""COMPUTED_VALUE"""),43927.66666666667)</f>
        <v>43927.66667</v>
      </c>
      <c r="C1443" s="9">
        <f>IFERROR(__xludf.DUMMYFUNCTION("""COMPUTED_VALUE"""),73.43)</f>
        <v>73.43</v>
      </c>
      <c r="K1443" s="16"/>
      <c r="T1443" s="17"/>
      <c r="AC1443" s="17"/>
    </row>
    <row r="1444">
      <c r="B1444" s="11">
        <f>IFERROR(__xludf.DUMMYFUNCTION("""COMPUTED_VALUE"""),43924.66666666667)</f>
        <v>43924.66667</v>
      </c>
      <c r="C1444" s="9">
        <f>IFERROR(__xludf.DUMMYFUNCTION("""COMPUTED_VALUE"""),67.95)</f>
        <v>67.95</v>
      </c>
      <c r="K1444" s="16"/>
      <c r="T1444" s="17"/>
      <c r="AC1444" s="17"/>
    </row>
    <row r="1445">
      <c r="B1445" s="11">
        <f>IFERROR(__xludf.DUMMYFUNCTION("""COMPUTED_VALUE"""),43923.66666666667)</f>
        <v>43923.66667</v>
      </c>
      <c r="C1445" s="9">
        <f>IFERROR(__xludf.DUMMYFUNCTION("""COMPUTED_VALUE"""),67.92)</f>
        <v>67.92</v>
      </c>
      <c r="K1445" s="16"/>
      <c r="T1445" s="17"/>
      <c r="AC1445" s="17"/>
    </row>
    <row r="1446">
      <c r="B1446" s="11">
        <f>IFERROR(__xludf.DUMMYFUNCTION("""COMPUTED_VALUE"""),43922.66666666667)</f>
        <v>43922.66667</v>
      </c>
      <c r="C1446" s="9">
        <f>IFERROR(__xludf.DUMMYFUNCTION("""COMPUTED_VALUE"""),68.24)</f>
        <v>68.24</v>
      </c>
      <c r="K1446" s="16"/>
      <c r="T1446" s="17"/>
      <c r="AC1446" s="17"/>
    </row>
    <row r="1447">
      <c r="B1447" s="11">
        <f>IFERROR(__xludf.DUMMYFUNCTION("""COMPUTED_VALUE"""),43921.66666666667)</f>
        <v>43921.66667</v>
      </c>
      <c r="C1447" s="9">
        <f>IFERROR(__xludf.DUMMYFUNCTION("""COMPUTED_VALUE"""),71.93)</f>
        <v>71.93</v>
      </c>
      <c r="K1447" s="16"/>
      <c r="T1447" s="17"/>
      <c r="AC1447" s="17"/>
    </row>
    <row r="1448">
      <c r="B1448" s="11">
        <f>IFERROR(__xludf.DUMMYFUNCTION("""COMPUTED_VALUE"""),43920.66666666667)</f>
        <v>43920.66667</v>
      </c>
      <c r="C1448" s="9">
        <f>IFERROR(__xludf.DUMMYFUNCTION("""COMPUTED_VALUE"""),73.79)</f>
        <v>73.79</v>
      </c>
      <c r="K1448" s="16"/>
      <c r="T1448" s="17"/>
      <c r="AC1448" s="17"/>
    </row>
    <row r="1449">
      <c r="B1449" s="11">
        <f>IFERROR(__xludf.DUMMYFUNCTION("""COMPUTED_VALUE"""),43917.66666666667)</f>
        <v>43917.66667</v>
      </c>
      <c r="C1449" s="9">
        <f>IFERROR(__xludf.DUMMYFUNCTION("""COMPUTED_VALUE"""),74.52)</f>
        <v>74.52</v>
      </c>
      <c r="K1449" s="16"/>
      <c r="T1449" s="17"/>
      <c r="AC1449" s="17"/>
    </row>
    <row r="1450">
      <c r="B1450" s="11">
        <f>IFERROR(__xludf.DUMMYFUNCTION("""COMPUTED_VALUE"""),43916.66666666667)</f>
        <v>43916.66667</v>
      </c>
      <c r="C1450" s="9">
        <f>IFERROR(__xludf.DUMMYFUNCTION("""COMPUTED_VALUE"""),79.53)</f>
        <v>79.53</v>
      </c>
      <c r="K1450" s="16"/>
      <c r="T1450" s="17"/>
      <c r="AC1450" s="17"/>
    </row>
    <row r="1451">
      <c r="B1451" s="11">
        <f>IFERROR(__xludf.DUMMYFUNCTION("""COMPUTED_VALUE"""),43915.66666666667)</f>
        <v>43915.66667</v>
      </c>
      <c r="C1451" s="9">
        <f>IFERROR(__xludf.DUMMYFUNCTION("""COMPUTED_VALUE"""),72.29)</f>
        <v>72.29</v>
      </c>
      <c r="K1451" s="16"/>
      <c r="T1451" s="17"/>
      <c r="AC1451" s="17"/>
    </row>
    <row r="1452">
      <c r="B1452" s="11">
        <f>IFERROR(__xludf.DUMMYFUNCTION("""COMPUTED_VALUE"""),43914.66666666667)</f>
        <v>43914.66667</v>
      </c>
      <c r="C1452" s="9">
        <f>IFERROR(__xludf.DUMMYFUNCTION("""COMPUTED_VALUE"""),65.98)</f>
        <v>65.98</v>
      </c>
      <c r="K1452" s="16"/>
      <c r="T1452" s="17"/>
      <c r="AC1452" s="17"/>
    </row>
    <row r="1453">
      <c r="B1453" s="11">
        <f>IFERROR(__xludf.DUMMYFUNCTION("""COMPUTED_VALUE"""),43913.66666666667)</f>
        <v>43913.66667</v>
      </c>
      <c r="C1453" s="9">
        <f>IFERROR(__xludf.DUMMYFUNCTION("""COMPUTED_VALUE"""),58.76)</f>
        <v>58.76</v>
      </c>
      <c r="K1453" s="16"/>
      <c r="T1453" s="17"/>
      <c r="AC1453" s="17"/>
    </row>
    <row r="1454">
      <c r="B1454" s="11">
        <f>IFERROR(__xludf.DUMMYFUNCTION("""COMPUTED_VALUE"""),43910.66666666667)</f>
        <v>43910.66667</v>
      </c>
      <c r="C1454" s="9">
        <f>IFERROR(__xludf.DUMMYFUNCTION("""COMPUTED_VALUE"""),60.38)</f>
        <v>60.38</v>
      </c>
      <c r="K1454" s="16"/>
      <c r="T1454" s="17"/>
      <c r="AC1454" s="17"/>
    </row>
    <row r="1455">
      <c r="B1455" s="11">
        <f>IFERROR(__xludf.DUMMYFUNCTION("""COMPUTED_VALUE"""),43909.66666666667)</f>
        <v>43909.66667</v>
      </c>
      <c r="C1455" s="9">
        <f>IFERROR(__xludf.DUMMYFUNCTION("""COMPUTED_VALUE"""),62.78)</f>
        <v>62.78</v>
      </c>
      <c r="K1455" s="16"/>
      <c r="T1455" s="17"/>
      <c r="AC1455" s="17"/>
    </row>
    <row r="1456">
      <c r="B1456" s="11">
        <f>IFERROR(__xludf.DUMMYFUNCTION("""COMPUTED_VALUE"""),43908.66666666667)</f>
        <v>43908.66667</v>
      </c>
      <c r="C1456" s="9">
        <f>IFERROR(__xludf.DUMMYFUNCTION("""COMPUTED_VALUE"""),61.71)</f>
        <v>61.71</v>
      </c>
      <c r="K1456" s="16"/>
      <c r="T1456" s="17"/>
      <c r="AC1456" s="17"/>
    </row>
    <row r="1457">
      <c r="B1457" s="11">
        <f>IFERROR(__xludf.DUMMYFUNCTION("""COMPUTED_VALUE"""),43907.66666666667)</f>
        <v>43907.66667</v>
      </c>
      <c r="C1457" s="9">
        <f>IFERROR(__xludf.DUMMYFUNCTION("""COMPUTED_VALUE"""),68.53)</f>
        <v>68.53</v>
      </c>
      <c r="K1457" s="16"/>
      <c r="T1457" s="17"/>
      <c r="AC1457" s="17"/>
    </row>
    <row r="1458">
      <c r="B1458" s="11">
        <f>IFERROR(__xludf.DUMMYFUNCTION("""COMPUTED_VALUE"""),43906.66666666667)</f>
        <v>43906.66667</v>
      </c>
      <c r="C1458" s="9">
        <f>IFERROR(__xludf.DUMMYFUNCTION("""COMPUTED_VALUE"""),67.09)</f>
        <v>67.09</v>
      </c>
      <c r="K1458" s="16"/>
      <c r="T1458" s="17"/>
      <c r="AC1458" s="17"/>
    </row>
    <row r="1459">
      <c r="B1459" s="11">
        <f>IFERROR(__xludf.DUMMYFUNCTION("""COMPUTED_VALUE"""),43903.66666666667)</f>
        <v>43903.66667</v>
      </c>
      <c r="C1459" s="9">
        <f>IFERROR(__xludf.DUMMYFUNCTION("""COMPUTED_VALUE"""),78.69)</f>
        <v>78.69</v>
      </c>
      <c r="K1459" s="16"/>
      <c r="T1459" s="17"/>
      <c r="AC1459" s="17"/>
    </row>
    <row r="1460">
      <c r="B1460" s="11">
        <f>IFERROR(__xludf.DUMMYFUNCTION("""COMPUTED_VALUE"""),43902.66666666667)</f>
        <v>43902.66667</v>
      </c>
      <c r="C1460" s="9">
        <f>IFERROR(__xludf.DUMMYFUNCTION("""COMPUTED_VALUE"""),74.08)</f>
        <v>74.08</v>
      </c>
      <c r="K1460" s="16"/>
      <c r="T1460" s="17"/>
      <c r="AC1460" s="17"/>
    </row>
    <row r="1461">
      <c r="B1461" s="11">
        <f>IFERROR(__xludf.DUMMYFUNCTION("""COMPUTED_VALUE"""),43901.66666666667)</f>
        <v>43901.66667</v>
      </c>
      <c r="C1461" s="9">
        <f>IFERROR(__xludf.DUMMYFUNCTION("""COMPUTED_VALUE"""),83.34)</f>
        <v>83.34</v>
      </c>
      <c r="K1461" s="16"/>
      <c r="T1461" s="17"/>
      <c r="AC1461" s="17"/>
    </row>
    <row r="1462">
      <c r="B1462" s="11">
        <f>IFERROR(__xludf.DUMMYFUNCTION("""COMPUTED_VALUE"""),43900.66666666667)</f>
        <v>43900.66667</v>
      </c>
      <c r="C1462" s="9">
        <f>IFERROR(__xludf.DUMMYFUNCTION("""COMPUTED_VALUE"""),91.66)</f>
        <v>91.66</v>
      </c>
      <c r="K1462" s="16"/>
      <c r="T1462" s="17"/>
      <c r="AC1462" s="17"/>
    </row>
    <row r="1463">
      <c r="B1463" s="11">
        <f>IFERROR(__xludf.DUMMYFUNCTION("""COMPUTED_VALUE"""),43899.66666666667)</f>
        <v>43899.66667</v>
      </c>
      <c r="C1463" s="9">
        <f>IFERROR(__xludf.DUMMYFUNCTION("""COMPUTED_VALUE"""),88.17)</f>
        <v>88.17</v>
      </c>
      <c r="K1463" s="16"/>
      <c r="T1463" s="17"/>
      <c r="AC1463" s="17"/>
    </row>
    <row r="1464">
      <c r="B1464" s="11">
        <f>IFERROR(__xludf.DUMMYFUNCTION("""COMPUTED_VALUE"""),43896.66666666667)</f>
        <v>43896.66667</v>
      </c>
      <c r="C1464" s="9">
        <f>IFERROR(__xludf.DUMMYFUNCTION("""COMPUTED_VALUE"""),97.52)</f>
        <v>97.52</v>
      </c>
      <c r="K1464" s="16"/>
      <c r="T1464" s="17"/>
      <c r="AC1464" s="17"/>
    </row>
    <row r="1465">
      <c r="B1465" s="11">
        <f>IFERROR(__xludf.DUMMYFUNCTION("""COMPUTED_VALUE"""),43895.66666666667)</f>
        <v>43895.66667</v>
      </c>
      <c r="C1465" s="9">
        <f>IFERROR(__xludf.DUMMYFUNCTION("""COMPUTED_VALUE"""),98.84)</f>
        <v>98.84</v>
      </c>
      <c r="K1465" s="16"/>
      <c r="T1465" s="17"/>
      <c r="AC1465" s="17"/>
    </row>
    <row r="1466">
      <c r="B1466" s="11">
        <f>IFERROR(__xludf.DUMMYFUNCTION("""COMPUTED_VALUE"""),43894.66666666667)</f>
        <v>43894.66667</v>
      </c>
      <c r="C1466" s="9">
        <f>IFERROR(__xludf.DUMMYFUNCTION("""COMPUTED_VALUE"""),105.59)</f>
        <v>105.59</v>
      </c>
      <c r="K1466" s="16"/>
      <c r="T1466" s="17"/>
      <c r="AC1466" s="17"/>
    </row>
    <row r="1467">
      <c r="B1467" s="11">
        <f>IFERROR(__xludf.DUMMYFUNCTION("""COMPUTED_VALUE"""),43893.66666666667)</f>
        <v>43893.66667</v>
      </c>
      <c r="C1467" s="9">
        <f>IFERROR(__xludf.DUMMYFUNCTION("""COMPUTED_VALUE"""),101.9)</f>
        <v>101.9</v>
      </c>
      <c r="K1467" s="16"/>
      <c r="T1467" s="17"/>
      <c r="AC1467" s="17"/>
    </row>
    <row r="1468">
      <c r="B1468" s="11">
        <f>IFERROR(__xludf.DUMMYFUNCTION("""COMPUTED_VALUE"""),43892.66666666667)</f>
        <v>43892.66667</v>
      </c>
      <c r="C1468" s="9">
        <f>IFERROR(__xludf.DUMMYFUNCTION("""COMPUTED_VALUE"""),103.59)</f>
        <v>103.59</v>
      </c>
      <c r="K1468" s="16"/>
      <c r="T1468" s="17"/>
      <c r="AC1468" s="17"/>
    </row>
    <row r="1469">
      <c r="B1469" s="11">
        <f>IFERROR(__xludf.DUMMYFUNCTION("""COMPUTED_VALUE"""),43889.66666666667)</f>
        <v>43889.66667</v>
      </c>
      <c r="C1469" s="9">
        <f>IFERROR(__xludf.DUMMYFUNCTION("""COMPUTED_VALUE"""),100.45)</f>
        <v>100.45</v>
      </c>
      <c r="K1469" s="16"/>
      <c r="T1469" s="17"/>
      <c r="AC1469" s="17"/>
    </row>
    <row r="1470">
      <c r="B1470" s="11">
        <f>IFERROR(__xludf.DUMMYFUNCTION("""COMPUTED_VALUE"""),43888.66666666667)</f>
        <v>43888.66667</v>
      </c>
      <c r="C1470" s="9">
        <f>IFERROR(__xludf.DUMMYFUNCTION("""COMPUTED_VALUE"""),102.81)</f>
        <v>102.81</v>
      </c>
      <c r="K1470" s="16"/>
      <c r="T1470" s="17"/>
      <c r="AC1470" s="17"/>
    </row>
    <row r="1471">
      <c r="B1471" s="11">
        <f>IFERROR(__xludf.DUMMYFUNCTION("""COMPUTED_VALUE"""),43887.66666666667)</f>
        <v>43887.66667</v>
      </c>
      <c r="C1471" s="9">
        <f>IFERROR(__xludf.DUMMYFUNCTION("""COMPUTED_VALUE"""),106.99)</f>
        <v>106.99</v>
      </c>
      <c r="K1471" s="16"/>
      <c r="T1471" s="17"/>
      <c r="AC1471" s="17"/>
    </row>
    <row r="1472">
      <c r="B1472" s="11">
        <f>IFERROR(__xludf.DUMMYFUNCTION("""COMPUTED_VALUE"""),43886.66666666667)</f>
        <v>43886.66667</v>
      </c>
      <c r="C1472" s="9">
        <f>IFERROR(__xludf.DUMMYFUNCTION("""COMPUTED_VALUE"""),107.75)</f>
        <v>107.75</v>
      </c>
      <c r="K1472" s="16"/>
      <c r="T1472" s="17"/>
      <c r="AC1472" s="17"/>
    </row>
    <row r="1473">
      <c r="B1473" s="11">
        <f>IFERROR(__xludf.DUMMYFUNCTION("""COMPUTED_VALUE"""),43885.66666666667)</f>
        <v>43885.66667</v>
      </c>
      <c r="C1473" s="9">
        <f>IFERROR(__xludf.DUMMYFUNCTION("""COMPUTED_VALUE"""),113.38)</f>
        <v>113.38</v>
      </c>
      <c r="K1473" s="16"/>
      <c r="T1473" s="17"/>
      <c r="AC1473" s="17"/>
    </row>
    <row r="1474">
      <c r="B1474" s="11">
        <f>IFERROR(__xludf.DUMMYFUNCTION("""COMPUTED_VALUE"""),43882.66666666667)</f>
        <v>43882.66667</v>
      </c>
      <c r="C1474" s="9">
        <f>IFERROR(__xludf.DUMMYFUNCTION("""COMPUTED_VALUE"""),116.93)</f>
        <v>116.93</v>
      </c>
      <c r="K1474" s="16"/>
      <c r="T1474" s="17"/>
      <c r="AC1474" s="17"/>
    </row>
    <row r="1475">
      <c r="B1475" s="11">
        <f>IFERROR(__xludf.DUMMYFUNCTION("""COMPUTED_VALUE"""),43881.66666666667)</f>
        <v>43881.66667</v>
      </c>
      <c r="C1475" s="9">
        <f>IFERROR(__xludf.DUMMYFUNCTION("""COMPUTED_VALUE"""),117.24)</f>
        <v>117.24</v>
      </c>
      <c r="K1475" s="16"/>
      <c r="T1475" s="17"/>
      <c r="AC1475" s="17"/>
    </row>
    <row r="1476">
      <c r="B1476" s="11">
        <f>IFERROR(__xludf.DUMMYFUNCTION("""COMPUTED_VALUE"""),43880.66666666667)</f>
        <v>43880.66667</v>
      </c>
      <c r="C1476" s="9">
        <f>IFERROR(__xludf.DUMMYFUNCTION("""COMPUTED_VALUE"""),117.99)</f>
        <v>117.99</v>
      </c>
      <c r="K1476" s="16"/>
      <c r="T1476" s="17"/>
      <c r="AC1476" s="17"/>
    </row>
    <row r="1477">
      <c r="B1477" s="11">
        <f>IFERROR(__xludf.DUMMYFUNCTION("""COMPUTED_VALUE"""),43879.66666666667)</f>
        <v>43879.66667</v>
      </c>
      <c r="C1477" s="9">
        <f>IFERROR(__xludf.DUMMYFUNCTION("""COMPUTED_VALUE"""),118.17)</f>
        <v>118.17</v>
      </c>
      <c r="K1477" s="16"/>
      <c r="T1477" s="17"/>
      <c r="AC1477" s="17"/>
    </row>
    <row r="1478">
      <c r="B1478" s="11">
        <f>IFERROR(__xludf.DUMMYFUNCTION("""COMPUTED_VALUE"""),43875.66666666667)</f>
        <v>43875.66667</v>
      </c>
      <c r="C1478" s="9">
        <f>IFERROR(__xludf.DUMMYFUNCTION("""COMPUTED_VALUE"""),119.05)</f>
        <v>119.05</v>
      </c>
      <c r="K1478" s="16"/>
      <c r="T1478" s="17"/>
      <c r="AC1478" s="17"/>
    </row>
    <row r="1479">
      <c r="B1479" s="11">
        <f>IFERROR(__xludf.DUMMYFUNCTION("""COMPUTED_VALUE"""),43874.66666666667)</f>
        <v>43874.66667</v>
      </c>
      <c r="C1479" s="9">
        <f>IFERROR(__xludf.DUMMYFUNCTION("""COMPUTED_VALUE"""),119.27)</f>
        <v>119.27</v>
      </c>
      <c r="K1479" s="16"/>
      <c r="T1479" s="17"/>
      <c r="AC1479" s="17"/>
    </row>
    <row r="1480">
      <c r="B1480" s="11">
        <f>IFERROR(__xludf.DUMMYFUNCTION("""COMPUTED_VALUE"""),43873.66666666667)</f>
        <v>43873.66667</v>
      </c>
      <c r="C1480" s="9">
        <f>IFERROR(__xludf.DUMMYFUNCTION("""COMPUTED_VALUE"""),119.9)</f>
        <v>119.9</v>
      </c>
      <c r="K1480" s="16"/>
      <c r="T1480" s="17"/>
      <c r="AC1480" s="17"/>
    </row>
    <row r="1481">
      <c r="B1481" s="11">
        <f>IFERROR(__xludf.DUMMYFUNCTION("""COMPUTED_VALUE"""),43872.66666666667)</f>
        <v>43872.66667</v>
      </c>
      <c r="C1481" s="9">
        <f>IFERROR(__xludf.DUMMYFUNCTION("""COMPUTED_VALUE"""),119.43)</f>
        <v>119.43</v>
      </c>
      <c r="K1481" s="16"/>
      <c r="T1481" s="17"/>
      <c r="AC1481" s="17"/>
    </row>
    <row r="1482">
      <c r="B1482" s="11">
        <f>IFERROR(__xludf.DUMMYFUNCTION("""COMPUTED_VALUE"""),43871.66666666667)</f>
        <v>43871.66667</v>
      </c>
      <c r="C1482" s="9">
        <f>IFERROR(__xludf.DUMMYFUNCTION("""COMPUTED_VALUE"""),119.43)</f>
        <v>119.43</v>
      </c>
      <c r="K1482" s="16"/>
      <c r="T1482" s="17"/>
      <c r="AC1482" s="17"/>
    </row>
    <row r="1483">
      <c r="B1483" s="11">
        <f>IFERROR(__xludf.DUMMYFUNCTION("""COMPUTED_VALUE"""),43868.66666666667)</f>
        <v>43868.66667</v>
      </c>
      <c r="C1483" s="9">
        <f>IFERROR(__xludf.DUMMYFUNCTION("""COMPUTED_VALUE"""),118.68)</f>
        <v>118.68</v>
      </c>
      <c r="K1483" s="16"/>
      <c r="T1483" s="17"/>
      <c r="AC1483" s="17"/>
    </row>
    <row r="1484">
      <c r="B1484" s="11">
        <f>IFERROR(__xludf.DUMMYFUNCTION("""COMPUTED_VALUE"""),43867.66666666667)</f>
        <v>43867.66667</v>
      </c>
      <c r="C1484" s="9">
        <f>IFERROR(__xludf.DUMMYFUNCTION("""COMPUTED_VALUE"""),118.82)</f>
        <v>118.82</v>
      </c>
      <c r="K1484" s="16"/>
      <c r="T1484" s="17"/>
      <c r="AC1484" s="17"/>
    </row>
    <row r="1485">
      <c r="B1485" s="11">
        <f>IFERROR(__xludf.DUMMYFUNCTION("""COMPUTED_VALUE"""),43866.66666666667)</f>
        <v>43866.66667</v>
      </c>
      <c r="C1485" s="9">
        <f>IFERROR(__xludf.DUMMYFUNCTION("""COMPUTED_VALUE"""),117.45)</f>
        <v>117.45</v>
      </c>
      <c r="K1485" s="16"/>
      <c r="T1485" s="17"/>
      <c r="AC1485" s="17"/>
    </row>
    <row r="1486">
      <c r="B1486" s="11">
        <f>IFERROR(__xludf.DUMMYFUNCTION("""COMPUTED_VALUE"""),43865.66666666667)</f>
        <v>43865.66667</v>
      </c>
      <c r="C1486" s="9">
        <f>IFERROR(__xludf.DUMMYFUNCTION("""COMPUTED_VALUE"""),115.56)</f>
        <v>115.56</v>
      </c>
      <c r="K1486" s="16"/>
      <c r="T1486" s="17"/>
      <c r="AC1486" s="17"/>
    </row>
    <row r="1487">
      <c r="B1487" s="11">
        <f>IFERROR(__xludf.DUMMYFUNCTION("""COMPUTED_VALUE"""),43864.66666666667)</f>
        <v>43864.66667</v>
      </c>
      <c r="C1487" s="9">
        <f>IFERROR(__xludf.DUMMYFUNCTION("""COMPUTED_VALUE"""),113.66)</f>
        <v>113.66</v>
      </c>
      <c r="K1487" s="16"/>
      <c r="T1487" s="17"/>
      <c r="AC1487" s="17"/>
    </row>
    <row r="1488">
      <c r="B1488" s="11">
        <f>IFERROR(__xludf.DUMMYFUNCTION("""COMPUTED_VALUE"""),43861.66666666667)</f>
        <v>43861.66667</v>
      </c>
      <c r="C1488" s="9">
        <f>IFERROR(__xludf.DUMMYFUNCTION("""COMPUTED_VALUE"""),113.85)</f>
        <v>113.85</v>
      </c>
      <c r="K1488" s="16"/>
      <c r="T1488" s="17"/>
      <c r="AC1488" s="17"/>
    </row>
    <row r="1489">
      <c r="B1489" s="11">
        <f>IFERROR(__xludf.DUMMYFUNCTION("""COMPUTED_VALUE"""),43860.66666666667)</f>
        <v>43860.66667</v>
      </c>
      <c r="C1489" s="9">
        <f>IFERROR(__xludf.DUMMYFUNCTION("""COMPUTED_VALUE"""),116.13)</f>
        <v>116.13</v>
      </c>
      <c r="K1489" s="16"/>
      <c r="T1489" s="17"/>
      <c r="AC1489" s="17"/>
    </row>
    <row r="1490">
      <c r="B1490" s="11">
        <f>IFERROR(__xludf.DUMMYFUNCTION("""COMPUTED_VALUE"""),43859.66666666667)</f>
        <v>43859.66667</v>
      </c>
      <c r="C1490" s="9">
        <f>IFERROR(__xludf.DUMMYFUNCTION("""COMPUTED_VALUE"""),116.06)</f>
        <v>116.06</v>
      </c>
      <c r="K1490" s="16"/>
      <c r="T1490" s="17"/>
      <c r="AC1490" s="17"/>
    </row>
    <row r="1491">
      <c r="B1491" s="11">
        <f>IFERROR(__xludf.DUMMYFUNCTION("""COMPUTED_VALUE"""),43858.66666666667)</f>
        <v>43858.66667</v>
      </c>
      <c r="C1491" s="9">
        <f>IFERROR(__xludf.DUMMYFUNCTION("""COMPUTED_VALUE"""),116.0)</f>
        <v>116</v>
      </c>
      <c r="K1491" s="16"/>
      <c r="T1491" s="17"/>
      <c r="AC1491" s="17"/>
    </row>
    <row r="1492">
      <c r="B1492" s="11">
        <f>IFERROR(__xludf.DUMMYFUNCTION("""COMPUTED_VALUE"""),43857.66666666667)</f>
        <v>43857.66667</v>
      </c>
      <c r="C1492" s="9">
        <f>IFERROR(__xludf.DUMMYFUNCTION("""COMPUTED_VALUE"""),115.03)</f>
        <v>115.03</v>
      </c>
      <c r="K1492" s="16"/>
      <c r="T1492" s="17"/>
      <c r="AC1492" s="17"/>
    </row>
    <row r="1493">
      <c r="B1493" s="11">
        <f>IFERROR(__xludf.DUMMYFUNCTION("""COMPUTED_VALUE"""),43854.66666666667)</f>
        <v>43854.66667</v>
      </c>
      <c r="C1493" s="9">
        <f>IFERROR(__xludf.DUMMYFUNCTION("""COMPUTED_VALUE"""),115.89)</f>
        <v>115.89</v>
      </c>
      <c r="K1493" s="16"/>
      <c r="T1493" s="17"/>
      <c r="AC1493" s="17"/>
    </row>
    <row r="1494">
      <c r="B1494" s="11">
        <f>IFERROR(__xludf.DUMMYFUNCTION("""COMPUTED_VALUE"""),43853.66666666667)</f>
        <v>43853.66667</v>
      </c>
      <c r="C1494" s="9">
        <f>IFERROR(__xludf.DUMMYFUNCTION("""COMPUTED_VALUE"""),115.62)</f>
        <v>115.62</v>
      </c>
      <c r="K1494" s="16"/>
      <c r="T1494" s="17"/>
      <c r="AC1494" s="17"/>
    </row>
    <row r="1495">
      <c r="B1495" s="11">
        <f>IFERROR(__xludf.DUMMYFUNCTION("""COMPUTED_VALUE"""),43852.66666666667)</f>
        <v>43852.66667</v>
      </c>
      <c r="C1495" s="9">
        <f>IFERROR(__xludf.DUMMYFUNCTION("""COMPUTED_VALUE"""),114.45)</f>
        <v>114.45</v>
      </c>
      <c r="K1495" s="16"/>
      <c r="T1495" s="17"/>
      <c r="AC1495" s="17"/>
    </row>
    <row r="1496">
      <c r="B1496" s="11">
        <f>IFERROR(__xludf.DUMMYFUNCTION("""COMPUTED_VALUE"""),43851.66666666667)</f>
        <v>43851.66667</v>
      </c>
      <c r="C1496" s="9">
        <f>IFERROR(__xludf.DUMMYFUNCTION("""COMPUTED_VALUE"""),115.2)</f>
        <v>115.2</v>
      </c>
      <c r="K1496" s="16"/>
      <c r="T1496" s="17"/>
      <c r="AC1496" s="17"/>
    </row>
    <row r="1497">
      <c r="B1497" s="11">
        <f>IFERROR(__xludf.DUMMYFUNCTION("""COMPUTED_VALUE"""),43847.66666666667)</f>
        <v>43847.66667</v>
      </c>
      <c r="C1497" s="9">
        <f>IFERROR(__xludf.DUMMYFUNCTION("""COMPUTED_VALUE"""),116.11)</f>
        <v>116.11</v>
      </c>
      <c r="K1497" s="16"/>
      <c r="T1497" s="17"/>
      <c r="AC1497" s="17"/>
    </row>
    <row r="1498">
      <c r="B1498" s="11">
        <f>IFERROR(__xludf.DUMMYFUNCTION("""COMPUTED_VALUE"""),43846.66666666667)</f>
        <v>43846.66667</v>
      </c>
      <c r="C1498" s="9">
        <f>IFERROR(__xludf.DUMMYFUNCTION("""COMPUTED_VALUE"""),116.76)</f>
        <v>116.76</v>
      </c>
      <c r="K1498" s="16"/>
      <c r="T1498" s="17"/>
      <c r="AC1498" s="17"/>
    </row>
    <row r="1499">
      <c r="B1499" s="11">
        <f>IFERROR(__xludf.DUMMYFUNCTION("""COMPUTED_VALUE"""),43845.66666666667)</f>
        <v>43845.66667</v>
      </c>
      <c r="C1499" s="9">
        <f>IFERROR(__xludf.DUMMYFUNCTION("""COMPUTED_VALUE"""),115.45)</f>
        <v>115.45</v>
      </c>
      <c r="K1499" s="16"/>
      <c r="T1499" s="17"/>
      <c r="AC1499" s="17"/>
    </row>
    <row r="1500">
      <c r="B1500" s="11">
        <f>IFERROR(__xludf.DUMMYFUNCTION("""COMPUTED_VALUE"""),43844.66666666667)</f>
        <v>43844.66667</v>
      </c>
      <c r="C1500" s="9">
        <f>IFERROR(__xludf.DUMMYFUNCTION("""COMPUTED_VALUE"""),115.18)</f>
        <v>115.18</v>
      </c>
      <c r="K1500" s="16"/>
      <c r="T1500" s="17"/>
      <c r="AC1500" s="17"/>
    </row>
    <row r="1501">
      <c r="B1501" s="11">
        <f>IFERROR(__xludf.DUMMYFUNCTION("""COMPUTED_VALUE"""),43843.66666666667)</f>
        <v>43843.66667</v>
      </c>
      <c r="C1501" s="9">
        <f>IFERROR(__xludf.DUMMYFUNCTION("""COMPUTED_VALUE"""),115.22)</f>
        <v>115.22</v>
      </c>
      <c r="K1501" s="16"/>
      <c r="T1501" s="17"/>
      <c r="AC1501" s="17"/>
    </row>
    <row r="1502">
      <c r="B1502" s="11">
        <f>IFERROR(__xludf.DUMMYFUNCTION("""COMPUTED_VALUE"""),43840.66666666667)</f>
        <v>43840.66667</v>
      </c>
      <c r="C1502" s="9">
        <f>IFERROR(__xludf.DUMMYFUNCTION("""COMPUTED_VALUE"""),114.29)</f>
        <v>114.29</v>
      </c>
      <c r="K1502" s="16"/>
      <c r="T1502" s="17"/>
      <c r="AC1502" s="17"/>
    </row>
    <row r="1503">
      <c r="B1503" s="11">
        <f>IFERROR(__xludf.DUMMYFUNCTION("""COMPUTED_VALUE"""),43839.66666666667)</f>
        <v>43839.66667</v>
      </c>
      <c r="C1503" s="9">
        <f>IFERROR(__xludf.DUMMYFUNCTION("""COMPUTED_VALUE"""),115.77)</f>
        <v>115.77</v>
      </c>
      <c r="K1503" s="16"/>
      <c r="T1503" s="17"/>
      <c r="AC1503" s="17"/>
    </row>
    <row r="1504">
      <c r="B1504" s="11">
        <f>IFERROR(__xludf.DUMMYFUNCTION("""COMPUTED_VALUE"""),43838.66666666667)</f>
        <v>43838.66667</v>
      </c>
      <c r="C1504" s="9">
        <f>IFERROR(__xludf.DUMMYFUNCTION("""COMPUTED_VALUE"""),114.9)</f>
        <v>114.9</v>
      </c>
      <c r="K1504" s="16"/>
      <c r="T1504" s="17"/>
      <c r="AC1504" s="17"/>
    </row>
    <row r="1505">
      <c r="B1505" s="11">
        <f>IFERROR(__xludf.DUMMYFUNCTION("""COMPUTED_VALUE"""),43837.66666666667)</f>
        <v>43837.66667</v>
      </c>
      <c r="C1505" s="9">
        <f>IFERROR(__xludf.DUMMYFUNCTION("""COMPUTED_VALUE"""),115.67)</f>
        <v>115.67</v>
      </c>
      <c r="K1505" s="16"/>
      <c r="T1505" s="17"/>
      <c r="AC1505" s="17"/>
    </row>
    <row r="1506">
      <c r="B1506" s="11">
        <f>IFERROR(__xludf.DUMMYFUNCTION("""COMPUTED_VALUE"""),43836.66666666667)</f>
        <v>43836.66667</v>
      </c>
      <c r="C1506" s="9">
        <f>IFERROR(__xludf.DUMMYFUNCTION("""COMPUTED_VALUE"""),115.15)</f>
        <v>115.15</v>
      </c>
      <c r="K1506" s="16"/>
      <c r="T1506" s="17"/>
      <c r="AC1506" s="17"/>
    </row>
    <row r="1507">
      <c r="B1507" s="11">
        <f>IFERROR(__xludf.DUMMYFUNCTION("""COMPUTED_VALUE"""),43833.66666666667)</f>
        <v>43833.66667</v>
      </c>
      <c r="C1507" s="9">
        <f>IFERROR(__xludf.DUMMYFUNCTION("""COMPUTED_VALUE"""),114.99)</f>
        <v>114.99</v>
      </c>
      <c r="K1507" s="16"/>
      <c r="T1507" s="17"/>
      <c r="AC1507" s="17"/>
    </row>
    <row r="1508">
      <c r="B1508" s="11">
        <f>IFERROR(__xludf.DUMMYFUNCTION("""COMPUTED_VALUE"""),43832.66666666667)</f>
        <v>43832.66667</v>
      </c>
      <c r="C1508" s="9">
        <f>IFERROR(__xludf.DUMMYFUNCTION("""COMPUTED_VALUE"""),113.69)</f>
        <v>113.69</v>
      </c>
      <c r="K1508" s="16"/>
      <c r="T1508" s="17"/>
      <c r="AC1508" s="17"/>
    </row>
    <row r="1509">
      <c r="B1509" s="11">
        <f>IFERROR(__xludf.DUMMYFUNCTION("""COMPUTED_VALUE"""),43830.66666666667)</f>
        <v>43830.66667</v>
      </c>
      <c r="C1509" s="9">
        <f>IFERROR(__xludf.DUMMYFUNCTION("""COMPUTED_VALUE"""),111.04)</f>
        <v>111.04</v>
      </c>
      <c r="K1509" s="16"/>
      <c r="T1509" s="17"/>
      <c r="AC1509" s="17"/>
    </row>
    <row r="1510">
      <c r="B1510" s="11">
        <f>IFERROR(__xludf.DUMMYFUNCTION("""COMPUTED_VALUE"""),43829.66666666667)</f>
        <v>43829.66667</v>
      </c>
      <c r="C1510" s="9">
        <f>IFERROR(__xludf.DUMMYFUNCTION("""COMPUTED_VALUE"""),111.53)</f>
        <v>111.53</v>
      </c>
      <c r="K1510" s="16"/>
      <c r="T1510" s="17"/>
      <c r="AC1510" s="17"/>
    </row>
    <row r="1511">
      <c r="B1511" s="11">
        <f>IFERROR(__xludf.DUMMYFUNCTION("""COMPUTED_VALUE"""),43826.66666666667)</f>
        <v>43826.66667</v>
      </c>
      <c r="C1511" s="9">
        <f>IFERROR(__xludf.DUMMYFUNCTION("""COMPUTED_VALUE"""),112.16)</f>
        <v>112.16</v>
      </c>
      <c r="K1511" s="16"/>
      <c r="T1511" s="17"/>
      <c r="AC1511" s="17"/>
    </row>
    <row r="1512">
      <c r="B1512" s="11">
        <f>IFERROR(__xludf.DUMMYFUNCTION("""COMPUTED_VALUE"""),43825.66666666667)</f>
        <v>43825.66667</v>
      </c>
      <c r="C1512" s="9">
        <f>IFERROR(__xludf.DUMMYFUNCTION("""COMPUTED_VALUE"""),112.45)</f>
        <v>112.45</v>
      </c>
      <c r="K1512" s="16"/>
      <c r="T1512" s="17"/>
      <c r="AC1512" s="17"/>
    </row>
    <row r="1513">
      <c r="B1513" s="11">
        <f>IFERROR(__xludf.DUMMYFUNCTION("""COMPUTED_VALUE"""),43823.54166666667)</f>
        <v>43823.54167</v>
      </c>
      <c r="C1513" s="9">
        <f>IFERROR(__xludf.DUMMYFUNCTION("""COMPUTED_VALUE"""),112.55)</f>
        <v>112.55</v>
      </c>
      <c r="K1513" s="16"/>
      <c r="T1513" s="17"/>
      <c r="AC1513" s="17"/>
    </row>
    <row r="1514">
      <c r="B1514" s="11">
        <f>IFERROR(__xludf.DUMMYFUNCTION("""COMPUTED_VALUE"""),43822.66666666667)</f>
        <v>43822.66667</v>
      </c>
      <c r="C1514" s="9">
        <f>IFERROR(__xludf.DUMMYFUNCTION("""COMPUTED_VALUE"""),113.22)</f>
        <v>113.22</v>
      </c>
      <c r="K1514" s="16"/>
      <c r="T1514" s="17"/>
      <c r="AC1514" s="17"/>
    </row>
    <row r="1515">
      <c r="B1515" s="11">
        <f>IFERROR(__xludf.DUMMYFUNCTION("""COMPUTED_VALUE"""),43819.66666666667)</f>
        <v>43819.66667</v>
      </c>
      <c r="C1515" s="9">
        <f>IFERROR(__xludf.DUMMYFUNCTION("""COMPUTED_VALUE"""),112.0)</f>
        <v>112</v>
      </c>
      <c r="K1515" s="16"/>
      <c r="T1515" s="17"/>
      <c r="AC1515" s="17"/>
    </row>
    <row r="1516">
      <c r="B1516" s="11">
        <f>IFERROR(__xludf.DUMMYFUNCTION("""COMPUTED_VALUE"""),43818.66666666667)</f>
        <v>43818.66667</v>
      </c>
      <c r="C1516" s="9">
        <f>IFERROR(__xludf.DUMMYFUNCTION("""COMPUTED_VALUE"""),111.6)</f>
        <v>111.6</v>
      </c>
      <c r="K1516" s="16"/>
      <c r="T1516" s="17"/>
      <c r="AC1516" s="17"/>
    </row>
    <row r="1517">
      <c r="B1517" s="11">
        <f>IFERROR(__xludf.DUMMYFUNCTION("""COMPUTED_VALUE"""),43817.66666666667)</f>
        <v>43817.66667</v>
      </c>
      <c r="C1517" s="9">
        <f>IFERROR(__xludf.DUMMYFUNCTION("""COMPUTED_VALUE"""),110.93)</f>
        <v>110.93</v>
      </c>
      <c r="K1517" s="16"/>
      <c r="T1517" s="17"/>
      <c r="AC1517" s="17"/>
    </row>
    <row r="1518">
      <c r="B1518" s="11">
        <f>IFERROR(__xludf.DUMMYFUNCTION("""COMPUTED_VALUE"""),43816.66666666667)</f>
        <v>43816.66667</v>
      </c>
      <c r="C1518" s="9">
        <f>IFERROR(__xludf.DUMMYFUNCTION("""COMPUTED_VALUE"""),111.62)</f>
        <v>111.62</v>
      </c>
      <c r="K1518" s="16"/>
      <c r="T1518" s="17"/>
      <c r="AC1518" s="17"/>
    </row>
    <row r="1519">
      <c r="B1519" s="11">
        <f>IFERROR(__xludf.DUMMYFUNCTION("""COMPUTED_VALUE"""),43815.66666666667)</f>
        <v>43815.66667</v>
      </c>
      <c r="C1519" s="9">
        <f>IFERROR(__xludf.DUMMYFUNCTION("""COMPUTED_VALUE"""),112.39)</f>
        <v>112.39</v>
      </c>
      <c r="K1519" s="16"/>
      <c r="T1519" s="17"/>
      <c r="AC1519" s="17"/>
    </row>
    <row r="1520">
      <c r="B1520" s="11">
        <f>IFERROR(__xludf.DUMMYFUNCTION("""COMPUTED_VALUE"""),43812.66666666667)</f>
        <v>43812.66667</v>
      </c>
      <c r="C1520" s="9">
        <f>IFERROR(__xludf.DUMMYFUNCTION("""COMPUTED_VALUE"""),113.75)</f>
        <v>113.75</v>
      </c>
      <c r="K1520" s="16"/>
      <c r="T1520" s="17"/>
      <c r="AC1520" s="17"/>
    </row>
    <row r="1521">
      <c r="B1521" s="11">
        <f>IFERROR(__xludf.DUMMYFUNCTION("""COMPUTED_VALUE"""),43811.66666666667)</f>
        <v>43811.66667</v>
      </c>
      <c r="C1521" s="9">
        <f>IFERROR(__xludf.DUMMYFUNCTION("""COMPUTED_VALUE"""),114.06)</f>
        <v>114.06</v>
      </c>
      <c r="K1521" s="16"/>
      <c r="T1521" s="17"/>
      <c r="AC1521" s="17"/>
    </row>
    <row r="1522">
      <c r="B1522" s="11">
        <f>IFERROR(__xludf.DUMMYFUNCTION("""COMPUTED_VALUE"""),43810.66666666667)</f>
        <v>43810.66667</v>
      </c>
      <c r="C1522" s="9">
        <f>IFERROR(__xludf.DUMMYFUNCTION("""COMPUTED_VALUE"""),114.0)</f>
        <v>114</v>
      </c>
      <c r="K1522" s="16"/>
      <c r="T1522" s="17"/>
      <c r="AC1522" s="17"/>
    </row>
    <row r="1523">
      <c r="B1523" s="11">
        <f>IFERROR(__xludf.DUMMYFUNCTION("""COMPUTED_VALUE"""),43809.66666666667)</f>
        <v>43809.66667</v>
      </c>
      <c r="C1523" s="9">
        <f>IFERROR(__xludf.DUMMYFUNCTION("""COMPUTED_VALUE"""),113.27)</f>
        <v>113.27</v>
      </c>
      <c r="K1523" s="16"/>
      <c r="T1523" s="17"/>
      <c r="AC1523" s="17"/>
    </row>
    <row r="1524">
      <c r="B1524" s="11">
        <f>IFERROR(__xludf.DUMMYFUNCTION("""COMPUTED_VALUE"""),43808.66666666667)</f>
        <v>43808.66667</v>
      </c>
      <c r="C1524" s="9">
        <f>IFERROR(__xludf.DUMMYFUNCTION("""COMPUTED_VALUE"""),113.53)</f>
        <v>113.53</v>
      </c>
      <c r="K1524" s="16"/>
      <c r="T1524" s="17"/>
      <c r="AC1524" s="17"/>
    </row>
    <row r="1525">
      <c r="B1525" s="11">
        <f>IFERROR(__xludf.DUMMYFUNCTION("""COMPUTED_VALUE"""),43805.66666666667)</f>
        <v>43805.66667</v>
      </c>
      <c r="C1525" s="9">
        <f>IFERROR(__xludf.DUMMYFUNCTION("""COMPUTED_VALUE"""),114.34)</f>
        <v>114.34</v>
      </c>
      <c r="K1525" s="16"/>
      <c r="T1525" s="17"/>
      <c r="AC1525" s="17"/>
    </row>
    <row r="1526">
      <c r="B1526" s="11">
        <f>IFERROR(__xludf.DUMMYFUNCTION("""COMPUTED_VALUE"""),43804.66666666667)</f>
        <v>43804.66667</v>
      </c>
      <c r="C1526" s="9">
        <f>IFERROR(__xludf.DUMMYFUNCTION("""COMPUTED_VALUE"""),113.12)</f>
        <v>113.12</v>
      </c>
      <c r="K1526" s="16"/>
      <c r="T1526" s="17"/>
      <c r="AC1526" s="17"/>
    </row>
    <row r="1527">
      <c r="B1527" s="11">
        <f>IFERROR(__xludf.DUMMYFUNCTION("""COMPUTED_VALUE"""),43803.66666666667)</f>
        <v>43803.66667</v>
      </c>
      <c r="C1527" s="9">
        <f>IFERROR(__xludf.DUMMYFUNCTION("""COMPUTED_VALUE"""),113.04)</f>
        <v>113.04</v>
      </c>
      <c r="K1527" s="16"/>
      <c r="T1527" s="17"/>
      <c r="AC1527" s="17"/>
    </row>
    <row r="1528">
      <c r="B1528" s="11">
        <f>IFERROR(__xludf.DUMMYFUNCTION("""COMPUTED_VALUE"""),43802.66666666667)</f>
        <v>43802.66667</v>
      </c>
      <c r="C1528" s="9">
        <f>IFERROR(__xludf.DUMMYFUNCTION("""COMPUTED_VALUE"""),112.86)</f>
        <v>112.86</v>
      </c>
      <c r="K1528" s="16"/>
      <c r="T1528" s="17"/>
      <c r="AC1528" s="17"/>
    </row>
    <row r="1529">
      <c r="B1529" s="11">
        <f>IFERROR(__xludf.DUMMYFUNCTION("""COMPUTED_VALUE"""),43801.66666666667)</f>
        <v>43801.66667</v>
      </c>
      <c r="C1529" s="9">
        <f>IFERROR(__xludf.DUMMYFUNCTION("""COMPUTED_VALUE"""),113.23)</f>
        <v>113.23</v>
      </c>
      <c r="K1529" s="16"/>
      <c r="T1529" s="17"/>
      <c r="AC1529" s="17"/>
    </row>
    <row r="1530">
      <c r="B1530" s="11">
        <f>IFERROR(__xludf.DUMMYFUNCTION("""COMPUTED_VALUE"""),43798.54166666667)</f>
        <v>43798.54167</v>
      </c>
      <c r="C1530" s="9">
        <f>IFERROR(__xludf.DUMMYFUNCTION("""COMPUTED_VALUE"""),115.77)</f>
        <v>115.77</v>
      </c>
      <c r="K1530" s="16"/>
      <c r="T1530" s="17"/>
      <c r="AC1530" s="17"/>
    </row>
    <row r="1531">
      <c r="B1531" s="11">
        <f>IFERROR(__xludf.DUMMYFUNCTION("""COMPUTED_VALUE"""),43796.66666666667)</f>
        <v>43796.66667</v>
      </c>
      <c r="C1531" s="9">
        <f>IFERROR(__xludf.DUMMYFUNCTION("""COMPUTED_VALUE"""),116.24)</f>
        <v>116.24</v>
      </c>
      <c r="K1531" s="16"/>
      <c r="T1531" s="17"/>
      <c r="AC1531" s="17"/>
    </row>
    <row r="1532">
      <c r="B1532" s="11">
        <f>IFERROR(__xludf.DUMMYFUNCTION("""COMPUTED_VALUE"""),43795.66666666667)</f>
        <v>43795.66667</v>
      </c>
      <c r="C1532" s="9">
        <f>IFERROR(__xludf.DUMMYFUNCTION("""COMPUTED_VALUE"""),116.41)</f>
        <v>116.41</v>
      </c>
      <c r="K1532" s="16"/>
      <c r="T1532" s="17"/>
      <c r="AC1532" s="17"/>
    </row>
    <row r="1533">
      <c r="B1533" s="11">
        <f>IFERROR(__xludf.DUMMYFUNCTION("""COMPUTED_VALUE"""),43794.66666666667)</f>
        <v>43794.66667</v>
      </c>
      <c r="C1533" s="9">
        <f>IFERROR(__xludf.DUMMYFUNCTION("""COMPUTED_VALUE"""),115.84)</f>
        <v>115.84</v>
      </c>
      <c r="K1533" s="16"/>
      <c r="T1533" s="17"/>
      <c r="AC1533" s="17"/>
    </row>
    <row r="1534">
      <c r="B1534" s="11">
        <f>IFERROR(__xludf.DUMMYFUNCTION("""COMPUTED_VALUE"""),43791.66666666667)</f>
        <v>43791.66667</v>
      </c>
      <c r="C1534" s="9">
        <f>IFERROR(__xludf.DUMMYFUNCTION("""COMPUTED_VALUE"""),115.59)</f>
        <v>115.59</v>
      </c>
      <c r="K1534" s="16"/>
      <c r="T1534" s="17"/>
      <c r="AC1534" s="17"/>
    </row>
    <row r="1535">
      <c r="B1535" s="11">
        <f>IFERROR(__xludf.DUMMYFUNCTION("""COMPUTED_VALUE"""),43790.66666666667)</f>
        <v>43790.66667</v>
      </c>
      <c r="C1535" s="9">
        <f>IFERROR(__xludf.DUMMYFUNCTION("""COMPUTED_VALUE"""),115.36)</f>
        <v>115.36</v>
      </c>
      <c r="K1535" s="16"/>
      <c r="T1535" s="17"/>
      <c r="AC1535" s="17"/>
    </row>
    <row r="1536">
      <c r="B1536" s="11">
        <f>IFERROR(__xludf.DUMMYFUNCTION("""COMPUTED_VALUE"""),43789.66666666667)</f>
        <v>43789.66667</v>
      </c>
      <c r="C1536" s="9">
        <f>IFERROR(__xludf.DUMMYFUNCTION("""COMPUTED_VALUE"""),116.4)</f>
        <v>116.4</v>
      </c>
      <c r="K1536" s="16"/>
      <c r="T1536" s="17"/>
      <c r="AC1536" s="17"/>
    </row>
    <row r="1537">
      <c r="B1537" s="11">
        <f>IFERROR(__xludf.DUMMYFUNCTION("""COMPUTED_VALUE"""),43788.66666666667)</f>
        <v>43788.66667</v>
      </c>
      <c r="C1537" s="9">
        <f>IFERROR(__xludf.DUMMYFUNCTION("""COMPUTED_VALUE"""),116.28)</f>
        <v>116.28</v>
      </c>
      <c r="K1537" s="16"/>
      <c r="T1537" s="17"/>
      <c r="AC1537" s="17"/>
    </row>
    <row r="1538">
      <c r="B1538" s="11">
        <f>IFERROR(__xludf.DUMMYFUNCTION("""COMPUTED_VALUE"""),43787.66666666667)</f>
        <v>43787.66667</v>
      </c>
      <c r="C1538" s="9">
        <f>IFERROR(__xludf.DUMMYFUNCTION("""COMPUTED_VALUE"""),116.7)</f>
        <v>116.7</v>
      </c>
      <c r="K1538" s="16"/>
      <c r="T1538" s="17"/>
      <c r="AC1538" s="17"/>
    </row>
    <row r="1539">
      <c r="B1539" s="11">
        <f>IFERROR(__xludf.DUMMYFUNCTION("""COMPUTED_VALUE"""),43784.66666666667)</f>
        <v>43784.66667</v>
      </c>
      <c r="C1539" s="9">
        <f>IFERROR(__xludf.DUMMYFUNCTION("""COMPUTED_VALUE"""),116.85)</f>
        <v>116.85</v>
      </c>
      <c r="K1539" s="16"/>
      <c r="T1539" s="17"/>
      <c r="AC1539" s="17"/>
    </row>
    <row r="1540">
      <c r="B1540" s="11">
        <f>IFERROR(__xludf.DUMMYFUNCTION("""COMPUTED_VALUE"""),43783.66666666667)</f>
        <v>43783.66667</v>
      </c>
      <c r="C1540" s="9">
        <f>IFERROR(__xludf.DUMMYFUNCTION("""COMPUTED_VALUE"""),115.82)</f>
        <v>115.82</v>
      </c>
      <c r="K1540" s="16"/>
      <c r="T1540" s="17"/>
      <c r="AC1540" s="17"/>
    </row>
    <row r="1541">
      <c r="B1541" s="11">
        <f>IFERROR(__xludf.DUMMYFUNCTION("""COMPUTED_VALUE"""),43782.66666666667)</f>
        <v>43782.66667</v>
      </c>
      <c r="C1541" s="9">
        <f>IFERROR(__xludf.DUMMYFUNCTION("""COMPUTED_VALUE"""),114.96)</f>
        <v>114.96</v>
      </c>
      <c r="K1541" s="16"/>
      <c r="T1541" s="17"/>
      <c r="AC1541" s="17"/>
    </row>
    <row r="1542">
      <c r="B1542" s="11">
        <f>IFERROR(__xludf.DUMMYFUNCTION("""COMPUTED_VALUE"""),43781.66666666667)</f>
        <v>43781.66667</v>
      </c>
      <c r="C1542" s="9">
        <f>IFERROR(__xludf.DUMMYFUNCTION("""COMPUTED_VALUE"""),114.8)</f>
        <v>114.8</v>
      </c>
      <c r="K1542" s="16"/>
      <c r="T1542" s="17"/>
      <c r="AC1542" s="17"/>
    </row>
    <row r="1543">
      <c r="B1543" s="11">
        <f>IFERROR(__xludf.DUMMYFUNCTION("""COMPUTED_VALUE"""),43780.66666666667)</f>
        <v>43780.66667</v>
      </c>
      <c r="C1543" s="9">
        <f>IFERROR(__xludf.DUMMYFUNCTION("""COMPUTED_VALUE"""),114.59)</f>
        <v>114.59</v>
      </c>
      <c r="K1543" s="16"/>
      <c r="T1543" s="17"/>
      <c r="AC1543" s="17"/>
    </row>
    <row r="1544">
      <c r="B1544" s="11">
        <f>IFERROR(__xludf.DUMMYFUNCTION("""COMPUTED_VALUE"""),43777.66666666667)</f>
        <v>43777.66667</v>
      </c>
      <c r="C1544" s="9">
        <f>IFERROR(__xludf.DUMMYFUNCTION("""COMPUTED_VALUE"""),113.49)</f>
        <v>113.49</v>
      </c>
      <c r="K1544" s="16"/>
      <c r="T1544" s="17"/>
      <c r="AC1544" s="17"/>
    </row>
    <row r="1545">
      <c r="B1545" s="11">
        <f>IFERROR(__xludf.DUMMYFUNCTION("""COMPUTED_VALUE"""),43776.66666666667)</f>
        <v>43776.66667</v>
      </c>
      <c r="C1545" s="9">
        <f>IFERROR(__xludf.DUMMYFUNCTION("""COMPUTED_VALUE"""),112.63)</f>
        <v>112.63</v>
      </c>
      <c r="K1545" s="16"/>
      <c r="T1545" s="17"/>
      <c r="AC1545" s="17"/>
    </row>
    <row r="1546">
      <c r="B1546" s="11">
        <f>IFERROR(__xludf.DUMMYFUNCTION("""COMPUTED_VALUE"""),43775.66666666667)</f>
        <v>43775.66667</v>
      </c>
      <c r="C1546" s="9">
        <f>IFERROR(__xludf.DUMMYFUNCTION("""COMPUTED_VALUE"""),112.63)</f>
        <v>112.63</v>
      </c>
      <c r="K1546" s="16"/>
      <c r="T1546" s="17"/>
      <c r="AC1546" s="17"/>
    </row>
    <row r="1547">
      <c r="B1547" s="11">
        <f>IFERROR(__xludf.DUMMYFUNCTION("""COMPUTED_VALUE"""),43774.66666666667)</f>
        <v>43774.66667</v>
      </c>
      <c r="C1547" s="9">
        <f>IFERROR(__xludf.DUMMYFUNCTION("""COMPUTED_VALUE"""),112.29)</f>
        <v>112.29</v>
      </c>
      <c r="K1547" s="16"/>
      <c r="T1547" s="17"/>
      <c r="AC1547" s="17"/>
    </row>
    <row r="1548">
      <c r="B1548" s="11">
        <f>IFERROR(__xludf.DUMMYFUNCTION("""COMPUTED_VALUE"""),43773.66666666667)</f>
        <v>43773.66667</v>
      </c>
      <c r="C1548" s="9">
        <f>IFERROR(__xludf.DUMMYFUNCTION("""COMPUTED_VALUE"""),111.54)</f>
        <v>111.54</v>
      </c>
      <c r="K1548" s="16"/>
      <c r="T1548" s="17"/>
      <c r="AC1548" s="17"/>
    </row>
    <row r="1549">
      <c r="B1549" s="11">
        <f>IFERROR(__xludf.DUMMYFUNCTION("""COMPUTED_VALUE"""),43770.66666666667)</f>
        <v>43770.66667</v>
      </c>
      <c r="C1549" s="9">
        <f>IFERROR(__xludf.DUMMYFUNCTION("""COMPUTED_VALUE"""),111.8)</f>
        <v>111.8</v>
      </c>
      <c r="K1549" s="16"/>
      <c r="T1549" s="17"/>
      <c r="AC1549" s="17"/>
    </row>
    <row r="1550">
      <c r="B1550" s="11">
        <f>IFERROR(__xludf.DUMMYFUNCTION("""COMPUTED_VALUE"""),43769.66666666667)</f>
        <v>43769.66667</v>
      </c>
      <c r="C1550" s="9">
        <f>IFERROR(__xludf.DUMMYFUNCTION("""COMPUTED_VALUE"""),110.05)</f>
        <v>110.05</v>
      </c>
      <c r="K1550" s="16"/>
      <c r="T1550" s="17"/>
      <c r="AC1550" s="17"/>
    </row>
    <row r="1551">
      <c r="B1551" s="11">
        <f>IFERROR(__xludf.DUMMYFUNCTION("""COMPUTED_VALUE"""),43768.66666666667)</f>
        <v>43768.66667</v>
      </c>
      <c r="C1551" s="9">
        <f>IFERROR(__xludf.DUMMYFUNCTION("""COMPUTED_VALUE"""),110.71)</f>
        <v>110.71</v>
      </c>
      <c r="K1551" s="16"/>
      <c r="T1551" s="17"/>
      <c r="AC1551" s="17"/>
    </row>
    <row r="1552">
      <c r="B1552" s="11">
        <f>IFERROR(__xludf.DUMMYFUNCTION("""COMPUTED_VALUE"""),43767.66666666667)</f>
        <v>43767.66667</v>
      </c>
      <c r="C1552" s="9">
        <f>IFERROR(__xludf.DUMMYFUNCTION("""COMPUTED_VALUE"""),110.03)</f>
        <v>110.03</v>
      </c>
      <c r="K1552" s="16"/>
      <c r="T1552" s="17"/>
      <c r="AC1552" s="17"/>
    </row>
    <row r="1553">
      <c r="B1553" s="11">
        <f>IFERROR(__xludf.DUMMYFUNCTION("""COMPUTED_VALUE"""),43766.66666666667)</f>
        <v>43766.66667</v>
      </c>
      <c r="C1553" s="9">
        <f>IFERROR(__xludf.DUMMYFUNCTION("""COMPUTED_VALUE"""),109.5)</f>
        <v>109.5</v>
      </c>
      <c r="K1553" s="16"/>
      <c r="T1553" s="17"/>
      <c r="AC1553" s="17"/>
    </row>
    <row r="1554">
      <c r="B1554" s="11">
        <f>IFERROR(__xludf.DUMMYFUNCTION("""COMPUTED_VALUE"""),43763.66666666667)</f>
        <v>43763.66667</v>
      </c>
      <c r="C1554" s="9">
        <f>IFERROR(__xludf.DUMMYFUNCTION("""COMPUTED_VALUE"""),109.16)</f>
        <v>109.16</v>
      </c>
      <c r="K1554" s="16"/>
      <c r="T1554" s="17"/>
      <c r="AC1554" s="17"/>
    </row>
    <row r="1555">
      <c r="B1555" s="11">
        <f>IFERROR(__xludf.DUMMYFUNCTION("""COMPUTED_VALUE"""),43762.66666666667)</f>
        <v>43762.66667</v>
      </c>
      <c r="C1555" s="9">
        <f>IFERROR(__xludf.DUMMYFUNCTION("""COMPUTED_VALUE"""),110.11)</f>
        <v>110.11</v>
      </c>
      <c r="K1555" s="16"/>
      <c r="T1555" s="17"/>
      <c r="AC1555" s="17"/>
    </row>
    <row r="1556">
      <c r="B1556" s="11">
        <f>IFERROR(__xludf.DUMMYFUNCTION("""COMPUTED_VALUE"""),43761.66666666667)</f>
        <v>43761.66667</v>
      </c>
      <c r="C1556" s="9">
        <f>IFERROR(__xludf.DUMMYFUNCTION("""COMPUTED_VALUE"""),108.46)</f>
        <v>108.46</v>
      </c>
      <c r="K1556" s="16"/>
      <c r="T1556" s="17"/>
      <c r="AC1556" s="17"/>
    </row>
    <row r="1557">
      <c r="B1557" s="11">
        <f>IFERROR(__xludf.DUMMYFUNCTION("""COMPUTED_VALUE"""),43760.66666666667)</f>
        <v>43760.66667</v>
      </c>
      <c r="C1557" s="9">
        <f>IFERROR(__xludf.DUMMYFUNCTION("""COMPUTED_VALUE"""),108.19)</f>
        <v>108.19</v>
      </c>
      <c r="K1557" s="16"/>
      <c r="T1557" s="17"/>
      <c r="AC1557" s="17"/>
    </row>
    <row r="1558">
      <c r="B1558" s="11">
        <f>IFERROR(__xludf.DUMMYFUNCTION("""COMPUTED_VALUE"""),43759.66666666667)</f>
        <v>43759.66667</v>
      </c>
      <c r="C1558" s="9">
        <f>IFERROR(__xludf.DUMMYFUNCTION("""COMPUTED_VALUE"""),107.34)</f>
        <v>107.34</v>
      </c>
      <c r="K1558" s="16"/>
      <c r="T1558" s="17"/>
      <c r="AC1558" s="17"/>
    </row>
    <row r="1559">
      <c r="B1559" s="11">
        <f>IFERROR(__xludf.DUMMYFUNCTION("""COMPUTED_VALUE"""),43756.66666666667)</f>
        <v>43756.66667</v>
      </c>
      <c r="C1559" s="9">
        <f>IFERROR(__xludf.DUMMYFUNCTION("""COMPUTED_VALUE"""),107.96)</f>
        <v>107.96</v>
      </c>
      <c r="K1559" s="16"/>
      <c r="T1559" s="17"/>
      <c r="AC1559" s="17"/>
    </row>
    <row r="1560">
      <c r="B1560" s="11">
        <f>IFERROR(__xludf.DUMMYFUNCTION("""COMPUTED_VALUE"""),43755.66666666667)</f>
        <v>43755.66667</v>
      </c>
      <c r="C1560" s="9">
        <f>IFERROR(__xludf.DUMMYFUNCTION("""COMPUTED_VALUE"""),110.78)</f>
        <v>110.78</v>
      </c>
      <c r="K1560" s="16"/>
      <c r="T1560" s="17"/>
      <c r="AC1560" s="17"/>
    </row>
    <row r="1561">
      <c r="B1561" s="11">
        <f>IFERROR(__xludf.DUMMYFUNCTION("""COMPUTED_VALUE"""),43754.66666666667)</f>
        <v>43754.66667</v>
      </c>
      <c r="C1561" s="9">
        <f>IFERROR(__xludf.DUMMYFUNCTION("""COMPUTED_VALUE"""),111.44)</f>
        <v>111.44</v>
      </c>
      <c r="K1561" s="16"/>
      <c r="T1561" s="17"/>
      <c r="AC1561" s="17"/>
    </row>
    <row r="1562">
      <c r="B1562" s="11">
        <f>IFERROR(__xludf.DUMMYFUNCTION("""COMPUTED_VALUE"""),43753.66666666667)</f>
        <v>43753.66667</v>
      </c>
      <c r="C1562" s="9">
        <f>IFERROR(__xludf.DUMMYFUNCTION("""COMPUTED_VALUE"""),111.27)</f>
        <v>111.27</v>
      </c>
      <c r="K1562" s="16"/>
      <c r="T1562" s="17"/>
      <c r="AC1562" s="17"/>
    </row>
    <row r="1563">
      <c r="B1563" s="11">
        <f>IFERROR(__xludf.DUMMYFUNCTION("""COMPUTED_VALUE"""),43752.66666666667)</f>
        <v>43752.66667</v>
      </c>
      <c r="C1563" s="9">
        <f>IFERROR(__xludf.DUMMYFUNCTION("""COMPUTED_VALUE"""),111.12)</f>
        <v>111.12</v>
      </c>
      <c r="K1563" s="16"/>
      <c r="T1563" s="17"/>
      <c r="AC1563" s="17"/>
    </row>
    <row r="1564">
      <c r="B1564" s="11">
        <f>IFERROR(__xludf.DUMMYFUNCTION("""COMPUTED_VALUE"""),43749.66666666667)</f>
        <v>43749.66667</v>
      </c>
      <c r="C1564" s="9">
        <f>IFERROR(__xludf.DUMMYFUNCTION("""COMPUTED_VALUE"""),111.21)</f>
        <v>111.21</v>
      </c>
      <c r="K1564" s="16"/>
      <c r="T1564" s="17"/>
      <c r="AC1564" s="17"/>
    </row>
    <row r="1565">
      <c r="B1565" s="11">
        <f>IFERROR(__xludf.DUMMYFUNCTION("""COMPUTED_VALUE"""),43748.66666666667)</f>
        <v>43748.66667</v>
      </c>
      <c r="C1565" s="9">
        <f>IFERROR(__xludf.DUMMYFUNCTION("""COMPUTED_VALUE"""),110.37)</f>
        <v>110.37</v>
      </c>
      <c r="K1565" s="16"/>
      <c r="T1565" s="17"/>
      <c r="AC1565" s="17"/>
    </row>
    <row r="1566">
      <c r="B1566" s="11">
        <f>IFERROR(__xludf.DUMMYFUNCTION("""COMPUTED_VALUE"""),43747.66666666667)</f>
        <v>43747.66667</v>
      </c>
      <c r="C1566" s="9">
        <f>IFERROR(__xludf.DUMMYFUNCTION("""COMPUTED_VALUE"""),109.9)</f>
        <v>109.9</v>
      </c>
      <c r="K1566" s="16"/>
      <c r="T1566" s="17"/>
      <c r="AC1566" s="17"/>
    </row>
    <row r="1567">
      <c r="B1567" s="11">
        <f>IFERROR(__xludf.DUMMYFUNCTION("""COMPUTED_VALUE"""),43746.66666666667)</f>
        <v>43746.66667</v>
      </c>
      <c r="C1567" s="9">
        <f>IFERROR(__xludf.DUMMYFUNCTION("""COMPUTED_VALUE"""),109.11)</f>
        <v>109.11</v>
      </c>
      <c r="K1567" s="16"/>
      <c r="T1567" s="17"/>
      <c r="AC1567" s="17"/>
    </row>
    <row r="1568">
      <c r="B1568" s="11">
        <f>IFERROR(__xludf.DUMMYFUNCTION("""COMPUTED_VALUE"""),43745.66666666667)</f>
        <v>43745.66667</v>
      </c>
      <c r="C1568" s="9">
        <f>IFERROR(__xludf.DUMMYFUNCTION("""COMPUTED_VALUE"""),109.99)</f>
        <v>109.99</v>
      </c>
      <c r="K1568" s="16"/>
      <c r="T1568" s="17"/>
      <c r="AC1568" s="17"/>
    </row>
    <row r="1569">
      <c r="B1569" s="11">
        <f>IFERROR(__xludf.DUMMYFUNCTION("""COMPUTED_VALUE"""),43742.66666666667)</f>
        <v>43742.66667</v>
      </c>
      <c r="C1569" s="9">
        <f>IFERROR(__xludf.DUMMYFUNCTION("""COMPUTED_VALUE"""),110.16)</f>
        <v>110.16</v>
      </c>
      <c r="K1569" s="16"/>
      <c r="T1569" s="17"/>
      <c r="AC1569" s="17"/>
    </row>
    <row r="1570">
      <c r="B1570" s="11">
        <f>IFERROR(__xludf.DUMMYFUNCTION("""COMPUTED_VALUE"""),43741.66666666667)</f>
        <v>43741.66667</v>
      </c>
      <c r="C1570" s="9">
        <f>IFERROR(__xludf.DUMMYFUNCTION("""COMPUTED_VALUE"""),108.96)</f>
        <v>108.96</v>
      </c>
      <c r="K1570" s="16"/>
      <c r="T1570" s="17"/>
      <c r="AC1570" s="17"/>
    </row>
    <row r="1571">
      <c r="B1571" s="11">
        <f>IFERROR(__xludf.DUMMYFUNCTION("""COMPUTED_VALUE"""),43740.66666666667)</f>
        <v>43740.66667</v>
      </c>
      <c r="C1571" s="9">
        <f>IFERROR(__xludf.DUMMYFUNCTION("""COMPUTED_VALUE"""),108.2)</f>
        <v>108.2</v>
      </c>
      <c r="K1571" s="16"/>
      <c r="T1571" s="17"/>
      <c r="AC1571" s="17"/>
    </row>
    <row r="1572">
      <c r="B1572" s="11">
        <f>IFERROR(__xludf.DUMMYFUNCTION("""COMPUTED_VALUE"""),43739.66666666667)</f>
        <v>43739.66667</v>
      </c>
      <c r="C1572" s="9">
        <f>IFERROR(__xludf.DUMMYFUNCTION("""COMPUTED_VALUE"""),109.89)</f>
        <v>109.89</v>
      </c>
      <c r="K1572" s="16"/>
      <c r="T1572" s="17"/>
      <c r="AC1572" s="17"/>
    </row>
    <row r="1573">
      <c r="B1573" s="11">
        <f>IFERROR(__xludf.DUMMYFUNCTION("""COMPUTED_VALUE"""),43738.66666666667)</f>
        <v>43738.66667</v>
      </c>
      <c r="C1573" s="9">
        <f>IFERROR(__xludf.DUMMYFUNCTION("""COMPUTED_VALUE"""),112.35)</f>
        <v>112.35</v>
      </c>
      <c r="K1573" s="16"/>
      <c r="T1573" s="17"/>
      <c r="AC1573" s="17"/>
    </row>
    <row r="1574">
      <c r="B1574" s="11">
        <f>IFERROR(__xludf.DUMMYFUNCTION("""COMPUTED_VALUE"""),43735.66666666667)</f>
        <v>43735.66667</v>
      </c>
      <c r="C1574" s="9">
        <f>IFERROR(__xludf.DUMMYFUNCTION("""COMPUTED_VALUE"""),112.55)</f>
        <v>112.55</v>
      </c>
      <c r="K1574" s="16"/>
      <c r="T1574" s="17"/>
      <c r="AC1574" s="17"/>
    </row>
    <row r="1575">
      <c r="B1575" s="11">
        <f>IFERROR(__xludf.DUMMYFUNCTION("""COMPUTED_VALUE"""),43734.66666666667)</f>
        <v>43734.66667</v>
      </c>
      <c r="C1575" s="9">
        <f>IFERROR(__xludf.DUMMYFUNCTION("""COMPUTED_VALUE"""),113.87)</f>
        <v>113.87</v>
      </c>
      <c r="K1575" s="16"/>
      <c r="T1575" s="17"/>
      <c r="AC1575" s="17"/>
    </row>
    <row r="1576">
      <c r="B1576" s="11">
        <f>IFERROR(__xludf.DUMMYFUNCTION("""COMPUTED_VALUE"""),43733.66666666667)</f>
        <v>43733.66667</v>
      </c>
      <c r="C1576" s="9">
        <f>IFERROR(__xludf.DUMMYFUNCTION("""COMPUTED_VALUE"""),113.88)</f>
        <v>113.88</v>
      </c>
      <c r="K1576" s="16"/>
      <c r="T1576" s="17"/>
      <c r="AC1576" s="17"/>
    </row>
    <row r="1577">
      <c r="B1577" s="11">
        <f>IFERROR(__xludf.DUMMYFUNCTION("""COMPUTED_VALUE"""),43732.66666666667)</f>
        <v>43732.66667</v>
      </c>
      <c r="C1577" s="9">
        <f>IFERROR(__xludf.DUMMYFUNCTION("""COMPUTED_VALUE"""),112.93)</f>
        <v>112.93</v>
      </c>
      <c r="K1577" s="16"/>
      <c r="T1577" s="17"/>
      <c r="AC1577" s="17"/>
    </row>
    <row r="1578">
      <c r="B1578" s="11">
        <f>IFERROR(__xludf.DUMMYFUNCTION("""COMPUTED_VALUE"""),43731.66666666667)</f>
        <v>43731.66667</v>
      </c>
      <c r="C1578" s="9">
        <f>IFERROR(__xludf.DUMMYFUNCTION("""COMPUTED_VALUE"""),113.25)</f>
        <v>113.25</v>
      </c>
      <c r="K1578" s="16"/>
      <c r="T1578" s="17"/>
      <c r="AC1578" s="17"/>
    </row>
    <row r="1579">
      <c r="B1579" s="11">
        <f>IFERROR(__xludf.DUMMYFUNCTION("""COMPUTED_VALUE"""),43728.66666666667)</f>
        <v>43728.66667</v>
      </c>
      <c r="C1579" s="9">
        <f>IFERROR(__xludf.DUMMYFUNCTION("""COMPUTED_VALUE"""),113.47)</f>
        <v>113.47</v>
      </c>
      <c r="K1579" s="16"/>
      <c r="T1579" s="17"/>
      <c r="AC1579" s="17"/>
    </row>
    <row r="1580">
      <c r="B1580" s="11">
        <f>IFERROR(__xludf.DUMMYFUNCTION("""COMPUTED_VALUE"""),43727.66666666667)</f>
        <v>43727.66667</v>
      </c>
      <c r="C1580" s="9">
        <f>IFERROR(__xludf.DUMMYFUNCTION("""COMPUTED_VALUE"""),115.02)</f>
        <v>115.02</v>
      </c>
      <c r="K1580" s="16"/>
      <c r="T1580" s="17"/>
      <c r="AC1580" s="17"/>
    </row>
    <row r="1581">
      <c r="B1581" s="11">
        <f>IFERROR(__xludf.DUMMYFUNCTION("""COMPUTED_VALUE"""),43726.66666666667)</f>
        <v>43726.66667</v>
      </c>
      <c r="C1581" s="9">
        <f>IFERROR(__xludf.DUMMYFUNCTION("""COMPUTED_VALUE"""),115.56)</f>
        <v>115.56</v>
      </c>
      <c r="K1581" s="16"/>
      <c r="T1581" s="17"/>
      <c r="AC1581" s="17"/>
    </row>
    <row r="1582">
      <c r="B1582" s="11">
        <f>IFERROR(__xludf.DUMMYFUNCTION("""COMPUTED_VALUE"""),43725.66666666667)</f>
        <v>43725.66667</v>
      </c>
      <c r="C1582" s="9">
        <f>IFERROR(__xludf.DUMMYFUNCTION("""COMPUTED_VALUE"""),115.28)</f>
        <v>115.28</v>
      </c>
      <c r="K1582" s="16"/>
      <c r="T1582" s="17"/>
      <c r="AC1582" s="17"/>
    </row>
    <row r="1583">
      <c r="B1583" s="11">
        <f>IFERROR(__xludf.DUMMYFUNCTION("""COMPUTED_VALUE"""),43724.66666666667)</f>
        <v>43724.66667</v>
      </c>
      <c r="C1583" s="9">
        <f>IFERROR(__xludf.DUMMYFUNCTION("""COMPUTED_VALUE"""),114.94)</f>
        <v>114.94</v>
      </c>
      <c r="K1583" s="16"/>
      <c r="T1583" s="17"/>
      <c r="AC1583" s="17"/>
    </row>
    <row r="1584">
      <c r="B1584" s="11">
        <f>IFERROR(__xludf.DUMMYFUNCTION("""COMPUTED_VALUE"""),43721.66666666667)</f>
        <v>43721.66667</v>
      </c>
      <c r="C1584" s="9">
        <f>IFERROR(__xludf.DUMMYFUNCTION("""COMPUTED_VALUE"""),113.76)</f>
        <v>113.76</v>
      </c>
      <c r="K1584" s="16"/>
      <c r="T1584" s="17"/>
      <c r="AC1584" s="17"/>
    </row>
    <row r="1585">
      <c r="B1585" s="11">
        <f>IFERROR(__xludf.DUMMYFUNCTION("""COMPUTED_VALUE"""),43720.66666666667)</f>
        <v>43720.66667</v>
      </c>
      <c r="C1585" s="9">
        <f>IFERROR(__xludf.DUMMYFUNCTION("""COMPUTED_VALUE"""),113.25)</f>
        <v>113.25</v>
      </c>
      <c r="K1585" s="16"/>
      <c r="T1585" s="17"/>
      <c r="AC1585" s="17"/>
    </row>
    <row r="1586">
      <c r="B1586" s="11">
        <f>IFERROR(__xludf.DUMMYFUNCTION("""COMPUTED_VALUE"""),43719.66666666667)</f>
        <v>43719.66667</v>
      </c>
      <c r="C1586" s="9">
        <f>IFERROR(__xludf.DUMMYFUNCTION("""COMPUTED_VALUE"""),112.85)</f>
        <v>112.85</v>
      </c>
      <c r="K1586" s="16"/>
      <c r="T1586" s="17"/>
      <c r="AC1586" s="17"/>
    </row>
    <row r="1587">
      <c r="B1587" s="11">
        <f>IFERROR(__xludf.DUMMYFUNCTION("""COMPUTED_VALUE"""),43718.66666666667)</f>
        <v>43718.66667</v>
      </c>
      <c r="C1587" s="9">
        <f>IFERROR(__xludf.DUMMYFUNCTION("""COMPUTED_VALUE"""),111.39)</f>
        <v>111.39</v>
      </c>
      <c r="K1587" s="16"/>
      <c r="T1587" s="17"/>
      <c r="AC1587" s="17"/>
    </row>
    <row r="1588">
      <c r="B1588" s="11">
        <f>IFERROR(__xludf.DUMMYFUNCTION("""COMPUTED_VALUE"""),43717.66666666667)</f>
        <v>43717.66667</v>
      </c>
      <c r="C1588" s="9">
        <f>IFERROR(__xludf.DUMMYFUNCTION("""COMPUTED_VALUE"""),110.73)</f>
        <v>110.73</v>
      </c>
      <c r="K1588" s="16"/>
      <c r="T1588" s="17"/>
      <c r="AC1588" s="17"/>
    </row>
    <row r="1589">
      <c r="B1589" s="11">
        <f>IFERROR(__xludf.DUMMYFUNCTION("""COMPUTED_VALUE"""),43714.66666666667)</f>
        <v>43714.66667</v>
      </c>
      <c r="C1589" s="9">
        <f>IFERROR(__xludf.DUMMYFUNCTION("""COMPUTED_VALUE"""),112.15)</f>
        <v>112.15</v>
      </c>
      <c r="K1589" s="16"/>
      <c r="T1589" s="17"/>
      <c r="AC1589" s="17"/>
    </row>
    <row r="1590">
      <c r="B1590" s="11">
        <f>IFERROR(__xludf.DUMMYFUNCTION("""COMPUTED_VALUE"""),43713.66666666667)</f>
        <v>43713.66667</v>
      </c>
      <c r="C1590" s="9">
        <f>IFERROR(__xludf.DUMMYFUNCTION("""COMPUTED_VALUE"""),111.62)</f>
        <v>111.62</v>
      </c>
      <c r="K1590" s="16"/>
      <c r="T1590" s="17"/>
      <c r="AC1590" s="17"/>
    </row>
    <row r="1591">
      <c r="B1591" s="11">
        <f>IFERROR(__xludf.DUMMYFUNCTION("""COMPUTED_VALUE"""),43712.66666666667)</f>
        <v>43712.66667</v>
      </c>
      <c r="C1591" s="9">
        <f>IFERROR(__xludf.DUMMYFUNCTION("""COMPUTED_VALUE"""),110.8)</f>
        <v>110.8</v>
      </c>
      <c r="K1591" s="16"/>
      <c r="T1591" s="17"/>
      <c r="AC1591" s="17"/>
    </row>
    <row r="1592">
      <c r="B1592" s="11">
        <f>IFERROR(__xludf.DUMMYFUNCTION("""COMPUTED_VALUE"""),43711.66666666667)</f>
        <v>43711.66667</v>
      </c>
      <c r="C1592" s="9">
        <f>IFERROR(__xludf.DUMMYFUNCTION("""COMPUTED_VALUE"""),109.72)</f>
        <v>109.72</v>
      </c>
      <c r="K1592" s="16"/>
      <c r="T1592" s="17"/>
      <c r="AC1592" s="17"/>
    </row>
    <row r="1593">
      <c r="B1593" s="11">
        <f>IFERROR(__xludf.DUMMYFUNCTION("""COMPUTED_VALUE"""),43707.66666666667)</f>
        <v>43707.66667</v>
      </c>
      <c r="C1593" s="9">
        <f>IFERROR(__xludf.DUMMYFUNCTION("""COMPUTED_VALUE"""),110.91)</f>
        <v>110.91</v>
      </c>
      <c r="K1593" s="16"/>
      <c r="T1593" s="17"/>
      <c r="AC1593" s="17"/>
    </row>
    <row r="1594">
      <c r="B1594" s="11">
        <f>IFERROR(__xludf.DUMMYFUNCTION("""COMPUTED_VALUE"""),43706.66666666667)</f>
        <v>43706.66667</v>
      </c>
      <c r="C1594" s="9">
        <f>IFERROR(__xludf.DUMMYFUNCTION("""COMPUTED_VALUE"""),110.61)</f>
        <v>110.61</v>
      </c>
      <c r="K1594" s="16"/>
      <c r="T1594" s="17"/>
      <c r="AC1594" s="17"/>
    </row>
    <row r="1595">
      <c r="B1595" s="11">
        <f>IFERROR(__xludf.DUMMYFUNCTION("""COMPUTED_VALUE"""),43705.66666666667)</f>
        <v>43705.66667</v>
      </c>
      <c r="C1595" s="9">
        <f>IFERROR(__xludf.DUMMYFUNCTION("""COMPUTED_VALUE"""),109.16)</f>
        <v>109.16</v>
      </c>
      <c r="K1595" s="16"/>
      <c r="T1595" s="17"/>
      <c r="AC1595" s="17"/>
    </row>
    <row r="1596">
      <c r="B1596" s="11">
        <f>IFERROR(__xludf.DUMMYFUNCTION("""COMPUTED_VALUE"""),43704.66666666667)</f>
        <v>43704.66667</v>
      </c>
      <c r="C1596" s="9">
        <f>IFERROR(__xludf.DUMMYFUNCTION("""COMPUTED_VALUE"""),107.93)</f>
        <v>107.93</v>
      </c>
      <c r="K1596" s="16"/>
      <c r="T1596" s="17"/>
      <c r="AC1596" s="17"/>
    </row>
    <row r="1597">
      <c r="B1597" s="11">
        <f>IFERROR(__xludf.DUMMYFUNCTION("""COMPUTED_VALUE"""),43703.66666666667)</f>
        <v>43703.66667</v>
      </c>
      <c r="C1597" s="9">
        <f>IFERROR(__xludf.DUMMYFUNCTION("""COMPUTED_VALUE"""),108.82)</f>
        <v>108.82</v>
      </c>
      <c r="K1597" s="16"/>
      <c r="T1597" s="17"/>
      <c r="AC1597" s="17"/>
    </row>
    <row r="1598">
      <c r="B1598" s="11">
        <f>IFERROR(__xludf.DUMMYFUNCTION("""COMPUTED_VALUE"""),43700.66666666667)</f>
        <v>43700.66667</v>
      </c>
      <c r="C1598" s="9">
        <f>IFERROR(__xludf.DUMMYFUNCTION("""COMPUTED_VALUE"""),107.68)</f>
        <v>107.68</v>
      </c>
      <c r="K1598" s="16"/>
      <c r="T1598" s="17"/>
      <c r="AC1598" s="17"/>
    </row>
    <row r="1599">
      <c r="B1599" s="11">
        <f>IFERROR(__xludf.DUMMYFUNCTION("""COMPUTED_VALUE"""),43699.66666666667)</f>
        <v>43699.66667</v>
      </c>
      <c r="C1599" s="9">
        <f>IFERROR(__xludf.DUMMYFUNCTION("""COMPUTED_VALUE"""),109.79)</f>
        <v>109.79</v>
      </c>
      <c r="K1599" s="16"/>
      <c r="T1599" s="17"/>
      <c r="AC1599" s="17"/>
    </row>
    <row r="1600">
      <c r="B1600" s="11">
        <f>IFERROR(__xludf.DUMMYFUNCTION("""COMPUTED_VALUE"""),43698.66666666667)</f>
        <v>43698.66667</v>
      </c>
      <c r="C1600" s="9">
        <f>IFERROR(__xludf.DUMMYFUNCTION("""COMPUTED_VALUE"""),108.56)</f>
        <v>108.56</v>
      </c>
      <c r="K1600" s="16"/>
      <c r="T1600" s="17"/>
      <c r="AC1600" s="17"/>
    </row>
    <row r="1601">
      <c r="B1601" s="11">
        <f>IFERROR(__xludf.DUMMYFUNCTION("""COMPUTED_VALUE"""),43697.66666666667)</f>
        <v>43697.66667</v>
      </c>
      <c r="C1601" s="9">
        <f>IFERROR(__xludf.DUMMYFUNCTION("""COMPUTED_VALUE"""),107.67)</f>
        <v>107.67</v>
      </c>
      <c r="K1601" s="16"/>
      <c r="T1601" s="17"/>
      <c r="AC1601" s="17"/>
    </row>
    <row r="1602">
      <c r="B1602" s="11">
        <f>IFERROR(__xludf.DUMMYFUNCTION("""COMPUTED_VALUE"""),43696.66666666667)</f>
        <v>43696.66667</v>
      </c>
      <c r="C1602" s="9">
        <f>IFERROR(__xludf.DUMMYFUNCTION("""COMPUTED_VALUE"""),107.66)</f>
        <v>107.66</v>
      </c>
      <c r="K1602" s="16"/>
      <c r="T1602" s="17"/>
      <c r="AC1602" s="17"/>
    </row>
    <row r="1603">
      <c r="B1603" s="11">
        <f>IFERROR(__xludf.DUMMYFUNCTION("""COMPUTED_VALUE"""),43693.66666666667)</f>
        <v>43693.66667</v>
      </c>
      <c r="C1603" s="9">
        <f>IFERROR(__xludf.DUMMYFUNCTION("""COMPUTED_VALUE"""),106.49)</f>
        <v>106.49</v>
      </c>
      <c r="K1603" s="16"/>
      <c r="T1603" s="17"/>
      <c r="AC1603" s="17"/>
    </row>
    <row r="1604">
      <c r="B1604" s="11">
        <f>IFERROR(__xludf.DUMMYFUNCTION("""COMPUTED_VALUE"""),43692.66666666667)</f>
        <v>43692.66667</v>
      </c>
      <c r="C1604" s="9">
        <f>IFERROR(__xludf.DUMMYFUNCTION("""COMPUTED_VALUE"""),105.3)</f>
        <v>105.3</v>
      </c>
      <c r="K1604" s="16"/>
      <c r="T1604" s="17"/>
      <c r="AC1604" s="17"/>
    </row>
    <row r="1605">
      <c r="B1605" s="11">
        <f>IFERROR(__xludf.DUMMYFUNCTION("""COMPUTED_VALUE"""),43691.66666666667)</f>
        <v>43691.66667</v>
      </c>
      <c r="C1605" s="9">
        <f>IFERROR(__xludf.DUMMYFUNCTION("""COMPUTED_VALUE"""),104.29)</f>
        <v>104.29</v>
      </c>
      <c r="K1605" s="16"/>
      <c r="T1605" s="17"/>
      <c r="AC1605" s="17"/>
    </row>
    <row r="1606">
      <c r="B1606" s="11">
        <f>IFERROR(__xludf.DUMMYFUNCTION("""COMPUTED_VALUE"""),43690.66666666667)</f>
        <v>43690.66667</v>
      </c>
      <c r="C1606" s="9">
        <f>IFERROR(__xludf.DUMMYFUNCTION("""COMPUTED_VALUE"""),107.12)</f>
        <v>107.12</v>
      </c>
      <c r="K1606" s="16"/>
      <c r="T1606" s="17"/>
      <c r="AC1606" s="17"/>
    </row>
    <row r="1607">
      <c r="B1607" s="11">
        <f>IFERROR(__xludf.DUMMYFUNCTION("""COMPUTED_VALUE"""),43689.66666666667)</f>
        <v>43689.66667</v>
      </c>
      <c r="C1607" s="9">
        <f>IFERROR(__xludf.DUMMYFUNCTION("""COMPUTED_VALUE"""),106.68)</f>
        <v>106.68</v>
      </c>
      <c r="K1607" s="16"/>
      <c r="T1607" s="17"/>
      <c r="AC1607" s="17"/>
    </row>
    <row r="1608">
      <c r="B1608" s="11">
        <f>IFERROR(__xludf.DUMMYFUNCTION("""COMPUTED_VALUE"""),43686.66666666667)</f>
        <v>43686.66667</v>
      </c>
      <c r="C1608" s="9">
        <f>IFERROR(__xludf.DUMMYFUNCTION("""COMPUTED_VALUE"""),108.18)</f>
        <v>108.18</v>
      </c>
      <c r="K1608" s="16"/>
      <c r="T1608" s="17"/>
      <c r="AC1608" s="17"/>
    </row>
    <row r="1609">
      <c r="B1609" s="11">
        <f>IFERROR(__xludf.DUMMYFUNCTION("""COMPUTED_VALUE"""),43685.66666666667)</f>
        <v>43685.66667</v>
      </c>
      <c r="C1609" s="9">
        <f>IFERROR(__xludf.DUMMYFUNCTION("""COMPUTED_VALUE"""),108.84)</f>
        <v>108.84</v>
      </c>
      <c r="K1609" s="16"/>
      <c r="T1609" s="17"/>
      <c r="AC1609" s="17"/>
    </row>
    <row r="1610">
      <c r="B1610" s="11">
        <f>IFERROR(__xludf.DUMMYFUNCTION("""COMPUTED_VALUE"""),43684.66666666667)</f>
        <v>43684.66667</v>
      </c>
      <c r="C1610" s="9">
        <f>IFERROR(__xludf.DUMMYFUNCTION("""COMPUTED_VALUE"""),106.48)</f>
        <v>106.48</v>
      </c>
      <c r="K1610" s="16"/>
      <c r="T1610" s="17"/>
      <c r="AC1610" s="17"/>
    </row>
    <row r="1611">
      <c r="B1611" s="11">
        <f>IFERROR(__xludf.DUMMYFUNCTION("""COMPUTED_VALUE"""),43683.66666666667)</f>
        <v>43683.66667</v>
      </c>
      <c r="C1611" s="9">
        <f>IFERROR(__xludf.DUMMYFUNCTION("""COMPUTED_VALUE"""),105.92)</f>
        <v>105.92</v>
      </c>
      <c r="K1611" s="16"/>
      <c r="T1611" s="17"/>
      <c r="AC1611" s="17"/>
    </row>
    <row r="1612">
      <c r="B1612" s="11">
        <f>IFERROR(__xludf.DUMMYFUNCTION("""COMPUTED_VALUE"""),43682.66666666667)</f>
        <v>43682.66667</v>
      </c>
      <c r="C1612" s="9">
        <f>IFERROR(__xludf.DUMMYFUNCTION("""COMPUTED_VALUE"""),103.28)</f>
        <v>103.28</v>
      </c>
      <c r="K1612" s="16"/>
      <c r="T1612" s="17"/>
      <c r="AC1612" s="17"/>
    </row>
    <row r="1613">
      <c r="B1613" s="11">
        <f>IFERROR(__xludf.DUMMYFUNCTION("""COMPUTED_VALUE"""),43679.66666666667)</f>
        <v>43679.66667</v>
      </c>
      <c r="C1613" s="9">
        <f>IFERROR(__xludf.DUMMYFUNCTION("""COMPUTED_VALUE"""),105.66)</f>
        <v>105.66</v>
      </c>
      <c r="K1613" s="16"/>
      <c r="T1613" s="17"/>
      <c r="AC1613" s="17"/>
    </row>
    <row r="1614">
      <c r="B1614" s="11">
        <f>IFERROR(__xludf.DUMMYFUNCTION("""COMPUTED_VALUE"""),43678.66666666667)</f>
        <v>43678.66667</v>
      </c>
      <c r="C1614" s="9">
        <f>IFERROR(__xludf.DUMMYFUNCTION("""COMPUTED_VALUE"""),106.06)</f>
        <v>106.06</v>
      </c>
      <c r="K1614" s="16"/>
      <c r="T1614" s="17"/>
      <c r="AC1614" s="17"/>
    </row>
    <row r="1615">
      <c r="B1615" s="11">
        <f>IFERROR(__xludf.DUMMYFUNCTION("""COMPUTED_VALUE"""),43677.66666666667)</f>
        <v>43677.66667</v>
      </c>
      <c r="C1615" s="9">
        <f>IFERROR(__xludf.DUMMYFUNCTION("""COMPUTED_VALUE"""),107.64)</f>
        <v>107.64</v>
      </c>
      <c r="K1615" s="16"/>
      <c r="T1615" s="17"/>
      <c r="AC1615" s="17"/>
    </row>
    <row r="1616">
      <c r="B1616" s="11">
        <f>IFERROR(__xludf.DUMMYFUNCTION("""COMPUTED_VALUE"""),43676.66666666667)</f>
        <v>43676.66667</v>
      </c>
      <c r="C1616" s="9">
        <f>IFERROR(__xludf.DUMMYFUNCTION("""COMPUTED_VALUE"""),108.37)</f>
        <v>108.37</v>
      </c>
      <c r="K1616" s="16"/>
      <c r="T1616" s="17"/>
      <c r="AC1616" s="17"/>
    </row>
    <row r="1617">
      <c r="B1617" s="11">
        <f>IFERROR(__xludf.DUMMYFUNCTION("""COMPUTED_VALUE"""),43675.66666666667)</f>
        <v>43675.66667</v>
      </c>
      <c r="C1617" s="9">
        <f>IFERROR(__xludf.DUMMYFUNCTION("""COMPUTED_VALUE"""),108.2)</f>
        <v>108.2</v>
      </c>
      <c r="K1617" s="16"/>
      <c r="T1617" s="17"/>
      <c r="AC1617" s="17"/>
    </row>
    <row r="1618">
      <c r="B1618" s="11">
        <f>IFERROR(__xludf.DUMMYFUNCTION("""COMPUTED_VALUE"""),43672.66666666667)</f>
        <v>43672.66667</v>
      </c>
      <c r="C1618" s="9">
        <f>IFERROR(__xludf.DUMMYFUNCTION("""COMPUTED_VALUE"""),108.72)</f>
        <v>108.72</v>
      </c>
      <c r="K1618" s="16"/>
      <c r="T1618" s="17"/>
      <c r="AC1618" s="17"/>
    </row>
    <row r="1619">
      <c r="B1619" s="11">
        <f>IFERROR(__xludf.DUMMYFUNCTION("""COMPUTED_VALUE"""),43671.66666666667)</f>
        <v>43671.66667</v>
      </c>
      <c r="C1619" s="9">
        <f>IFERROR(__xludf.DUMMYFUNCTION("""COMPUTED_VALUE"""),109.27)</f>
        <v>109.27</v>
      </c>
      <c r="K1619" s="16"/>
      <c r="T1619" s="17"/>
      <c r="AC1619" s="17"/>
    </row>
    <row r="1620">
      <c r="B1620" s="11">
        <f>IFERROR(__xludf.DUMMYFUNCTION("""COMPUTED_VALUE"""),43670.66666666667)</f>
        <v>43670.66667</v>
      </c>
      <c r="C1620" s="9">
        <f>IFERROR(__xludf.DUMMYFUNCTION("""COMPUTED_VALUE"""),109.5)</f>
        <v>109.5</v>
      </c>
      <c r="K1620" s="16"/>
      <c r="T1620" s="17"/>
      <c r="AC1620" s="17"/>
    </row>
    <row r="1621">
      <c r="B1621" s="11">
        <f>IFERROR(__xludf.DUMMYFUNCTION("""COMPUTED_VALUE"""),43669.66666666667)</f>
        <v>43669.66667</v>
      </c>
      <c r="C1621" s="9">
        <f>IFERROR(__xludf.DUMMYFUNCTION("""COMPUTED_VALUE"""),109.11)</f>
        <v>109.11</v>
      </c>
      <c r="K1621" s="16"/>
      <c r="T1621" s="17"/>
      <c r="AC1621" s="17"/>
    </row>
    <row r="1622">
      <c r="B1622" s="11">
        <f>IFERROR(__xludf.DUMMYFUNCTION("""COMPUTED_VALUE"""),43668.66666666667)</f>
        <v>43668.66667</v>
      </c>
      <c r="C1622" s="9">
        <f>IFERROR(__xludf.DUMMYFUNCTION("""COMPUTED_VALUE"""),108.42)</f>
        <v>108.42</v>
      </c>
      <c r="K1622" s="16"/>
      <c r="T1622" s="17"/>
      <c r="AC1622" s="17"/>
    </row>
    <row r="1623">
      <c r="B1623" s="11">
        <f>IFERROR(__xludf.DUMMYFUNCTION("""COMPUTED_VALUE"""),43665.66666666667)</f>
        <v>43665.66667</v>
      </c>
      <c r="C1623" s="9">
        <f>IFERROR(__xludf.DUMMYFUNCTION("""COMPUTED_VALUE"""),108.48)</f>
        <v>108.48</v>
      </c>
      <c r="K1623" s="16"/>
      <c r="T1623" s="17"/>
      <c r="AC1623" s="17"/>
    </row>
    <row r="1624">
      <c r="B1624" s="11">
        <f>IFERROR(__xludf.DUMMYFUNCTION("""COMPUTED_VALUE"""),43664.66666666667)</f>
        <v>43664.66667</v>
      </c>
      <c r="C1624" s="9">
        <f>IFERROR(__xludf.DUMMYFUNCTION("""COMPUTED_VALUE"""),106.96)</f>
        <v>106.96</v>
      </c>
      <c r="K1624" s="16"/>
      <c r="T1624" s="17"/>
      <c r="AC1624" s="17"/>
    </row>
    <row r="1625">
      <c r="B1625" s="11">
        <f>IFERROR(__xludf.DUMMYFUNCTION("""COMPUTED_VALUE"""),43663.66666666667)</f>
        <v>43663.66667</v>
      </c>
      <c r="C1625" s="9">
        <f>IFERROR(__xludf.DUMMYFUNCTION("""COMPUTED_VALUE"""),107.52)</f>
        <v>107.52</v>
      </c>
      <c r="K1625" s="16"/>
      <c r="T1625" s="17"/>
      <c r="AC1625" s="17"/>
    </row>
    <row r="1626">
      <c r="B1626" s="11">
        <f>IFERROR(__xludf.DUMMYFUNCTION("""COMPUTED_VALUE"""),43662.66666666667)</f>
        <v>43662.66667</v>
      </c>
      <c r="C1626" s="9">
        <f>IFERROR(__xludf.DUMMYFUNCTION("""COMPUTED_VALUE"""),108.41)</f>
        <v>108.41</v>
      </c>
      <c r="K1626" s="16"/>
      <c r="T1626" s="17"/>
      <c r="AC1626" s="17"/>
    </row>
    <row r="1627">
      <c r="B1627" s="11">
        <f>IFERROR(__xludf.DUMMYFUNCTION("""COMPUTED_VALUE"""),43661.66666666667)</f>
        <v>43661.66667</v>
      </c>
      <c r="C1627" s="9">
        <f>IFERROR(__xludf.DUMMYFUNCTION("""COMPUTED_VALUE"""),108.17)</f>
        <v>108.17</v>
      </c>
      <c r="K1627" s="16"/>
      <c r="T1627" s="17"/>
      <c r="AC1627" s="17"/>
    </row>
    <row r="1628">
      <c r="B1628" s="11">
        <f>IFERROR(__xludf.DUMMYFUNCTION("""COMPUTED_VALUE"""),43658.66666666667)</f>
        <v>43658.66667</v>
      </c>
      <c r="C1628" s="9">
        <f>IFERROR(__xludf.DUMMYFUNCTION("""COMPUTED_VALUE"""),108.9)</f>
        <v>108.9</v>
      </c>
      <c r="K1628" s="16"/>
      <c r="T1628" s="17"/>
      <c r="AC1628" s="17"/>
    </row>
    <row r="1629">
      <c r="B1629" s="11">
        <f>IFERROR(__xludf.DUMMYFUNCTION("""COMPUTED_VALUE"""),43657.66666666667)</f>
        <v>43657.66667</v>
      </c>
      <c r="C1629" s="9">
        <f>IFERROR(__xludf.DUMMYFUNCTION("""COMPUTED_VALUE"""),107.53)</f>
        <v>107.53</v>
      </c>
      <c r="K1629" s="16"/>
      <c r="T1629" s="17"/>
      <c r="AC1629" s="17"/>
    </row>
    <row r="1630">
      <c r="B1630" s="11">
        <f>IFERROR(__xludf.DUMMYFUNCTION("""COMPUTED_VALUE"""),43656.66666666667)</f>
        <v>43656.66667</v>
      </c>
      <c r="C1630" s="9">
        <f>IFERROR(__xludf.DUMMYFUNCTION("""COMPUTED_VALUE"""),106.7)</f>
        <v>106.7</v>
      </c>
      <c r="K1630" s="16"/>
      <c r="T1630" s="17"/>
      <c r="AC1630" s="17"/>
    </row>
    <row r="1631">
      <c r="B1631" s="11">
        <f>IFERROR(__xludf.DUMMYFUNCTION("""COMPUTED_VALUE"""),43655.66666666667)</f>
        <v>43655.66667</v>
      </c>
      <c r="C1631" s="9">
        <f>IFERROR(__xludf.DUMMYFUNCTION("""COMPUTED_VALUE"""),106.76)</f>
        <v>106.76</v>
      </c>
      <c r="K1631" s="16"/>
      <c r="T1631" s="17"/>
      <c r="AC1631" s="17"/>
    </row>
    <row r="1632">
      <c r="B1632" s="11">
        <f>IFERROR(__xludf.DUMMYFUNCTION("""COMPUTED_VALUE"""),43654.66666666667)</f>
        <v>43654.66667</v>
      </c>
      <c r="C1632" s="9">
        <f>IFERROR(__xludf.DUMMYFUNCTION("""COMPUTED_VALUE"""),106.22)</f>
        <v>106.22</v>
      </c>
      <c r="K1632" s="16"/>
      <c r="T1632" s="17"/>
      <c r="AC1632" s="17"/>
    </row>
    <row r="1633">
      <c r="B1633" s="11">
        <f>IFERROR(__xludf.DUMMYFUNCTION("""COMPUTED_VALUE"""),43651.66666666667)</f>
        <v>43651.66667</v>
      </c>
      <c r="C1633" s="9">
        <f>IFERROR(__xludf.DUMMYFUNCTION("""COMPUTED_VALUE"""),107.28)</f>
        <v>107.28</v>
      </c>
      <c r="K1633" s="16"/>
      <c r="T1633" s="17"/>
      <c r="AC1633" s="17"/>
    </row>
    <row r="1634">
      <c r="B1634" s="11">
        <f>IFERROR(__xludf.DUMMYFUNCTION("""COMPUTED_VALUE"""),43649.66666666667)</f>
        <v>43649.66667</v>
      </c>
      <c r="C1634" s="9">
        <f>IFERROR(__xludf.DUMMYFUNCTION("""COMPUTED_VALUE"""),107.24)</f>
        <v>107.24</v>
      </c>
      <c r="K1634" s="16"/>
      <c r="T1634" s="17"/>
      <c r="AC1634" s="17"/>
    </row>
    <row r="1635">
      <c r="B1635" s="11">
        <f>IFERROR(__xludf.DUMMYFUNCTION("""COMPUTED_VALUE"""),43648.66666666667)</f>
        <v>43648.66667</v>
      </c>
      <c r="C1635" s="9">
        <f>IFERROR(__xludf.DUMMYFUNCTION("""COMPUTED_VALUE"""),106.84)</f>
        <v>106.84</v>
      </c>
      <c r="K1635" s="16"/>
      <c r="T1635" s="17"/>
      <c r="AC1635" s="17"/>
    </row>
    <row r="1636">
      <c r="B1636" s="11">
        <f>IFERROR(__xludf.DUMMYFUNCTION("""COMPUTED_VALUE"""),43647.66666666667)</f>
        <v>43647.66667</v>
      </c>
      <c r="C1636" s="9">
        <f>IFERROR(__xludf.DUMMYFUNCTION("""COMPUTED_VALUE"""),106.15)</f>
        <v>106.15</v>
      </c>
      <c r="K1636" s="16"/>
      <c r="T1636" s="17"/>
      <c r="AC1636" s="17"/>
    </row>
    <row r="1637">
      <c r="B1637" s="11">
        <f>IFERROR(__xludf.DUMMYFUNCTION("""COMPUTED_VALUE"""),43644.66666666667)</f>
        <v>43644.66667</v>
      </c>
      <c r="C1637" s="9">
        <f>IFERROR(__xludf.DUMMYFUNCTION("""COMPUTED_VALUE"""),107.11)</f>
        <v>107.11</v>
      </c>
      <c r="K1637" s="16"/>
      <c r="T1637" s="17"/>
      <c r="AC1637" s="17"/>
    </row>
    <row r="1638">
      <c r="B1638" s="11">
        <f>IFERROR(__xludf.DUMMYFUNCTION("""COMPUTED_VALUE"""),43643.66666666667)</f>
        <v>43643.66667</v>
      </c>
      <c r="C1638" s="9">
        <f>IFERROR(__xludf.DUMMYFUNCTION("""COMPUTED_VALUE"""),106.18)</f>
        <v>106.18</v>
      </c>
      <c r="K1638" s="16"/>
      <c r="T1638" s="17"/>
      <c r="AC1638" s="17"/>
    </row>
    <row r="1639">
      <c r="B1639" s="11">
        <f>IFERROR(__xludf.DUMMYFUNCTION("""COMPUTED_VALUE"""),43642.66666666667)</f>
        <v>43642.66667</v>
      </c>
      <c r="C1639" s="9">
        <f>IFERROR(__xludf.DUMMYFUNCTION("""COMPUTED_VALUE"""),106.73)</f>
        <v>106.73</v>
      </c>
      <c r="K1639" s="16"/>
      <c r="T1639" s="17"/>
      <c r="AC1639" s="17"/>
    </row>
    <row r="1640">
      <c r="B1640" s="11">
        <f>IFERROR(__xludf.DUMMYFUNCTION("""COMPUTED_VALUE"""),43641.66666666667)</f>
        <v>43641.66667</v>
      </c>
      <c r="C1640" s="9">
        <f>IFERROR(__xludf.DUMMYFUNCTION("""COMPUTED_VALUE"""),106.76)</f>
        <v>106.76</v>
      </c>
      <c r="K1640" s="16"/>
      <c r="T1640" s="17"/>
      <c r="AC1640" s="17"/>
    </row>
    <row r="1641">
      <c r="B1641" s="11">
        <f>IFERROR(__xludf.DUMMYFUNCTION("""COMPUTED_VALUE"""),43640.66666666667)</f>
        <v>43640.66667</v>
      </c>
      <c r="C1641" s="9">
        <f>IFERROR(__xludf.DUMMYFUNCTION("""COMPUTED_VALUE"""),107.6)</f>
        <v>107.6</v>
      </c>
      <c r="K1641" s="16"/>
      <c r="T1641" s="17"/>
      <c r="AC1641" s="17"/>
    </row>
    <row r="1642">
      <c r="B1642" s="11">
        <f>IFERROR(__xludf.DUMMYFUNCTION("""COMPUTED_VALUE"""),43637.66666666667)</f>
        <v>43637.66667</v>
      </c>
      <c r="C1642" s="9">
        <f>IFERROR(__xludf.DUMMYFUNCTION("""COMPUTED_VALUE"""),107.27)</f>
        <v>107.27</v>
      </c>
      <c r="K1642" s="16"/>
      <c r="T1642" s="17"/>
      <c r="AC1642" s="17"/>
    </row>
    <row r="1643">
      <c r="B1643" s="11">
        <f>IFERROR(__xludf.DUMMYFUNCTION("""COMPUTED_VALUE"""),43636.66666666667)</f>
        <v>43636.66667</v>
      </c>
      <c r="C1643" s="9">
        <f>IFERROR(__xludf.DUMMYFUNCTION("""COMPUTED_VALUE"""),107.96)</f>
        <v>107.96</v>
      </c>
      <c r="K1643" s="16"/>
      <c r="T1643" s="17"/>
      <c r="AC1643" s="17"/>
    </row>
    <row r="1644">
      <c r="B1644" s="11">
        <f>IFERROR(__xludf.DUMMYFUNCTION("""COMPUTED_VALUE"""),43635.66666666667)</f>
        <v>43635.66667</v>
      </c>
      <c r="C1644" s="9">
        <f>IFERROR(__xludf.DUMMYFUNCTION("""COMPUTED_VALUE"""),106.03)</f>
        <v>106.03</v>
      </c>
      <c r="K1644" s="16"/>
      <c r="T1644" s="17"/>
      <c r="AC1644" s="17"/>
    </row>
    <row r="1645">
      <c r="B1645" s="11">
        <f>IFERROR(__xludf.DUMMYFUNCTION("""COMPUTED_VALUE"""),43634.66666666667)</f>
        <v>43634.66667</v>
      </c>
      <c r="C1645" s="9">
        <f>IFERROR(__xludf.DUMMYFUNCTION("""COMPUTED_VALUE"""),105.88)</f>
        <v>105.88</v>
      </c>
      <c r="K1645" s="16"/>
      <c r="T1645" s="17"/>
      <c r="AC1645" s="17"/>
    </row>
    <row r="1646">
      <c r="B1646" s="11">
        <f>IFERROR(__xludf.DUMMYFUNCTION("""COMPUTED_VALUE"""),43633.66666666667)</f>
        <v>43633.66667</v>
      </c>
      <c r="C1646" s="9">
        <f>IFERROR(__xludf.DUMMYFUNCTION("""COMPUTED_VALUE"""),103.46)</f>
        <v>103.46</v>
      </c>
      <c r="K1646" s="16"/>
      <c r="T1646" s="17"/>
      <c r="AC1646" s="17"/>
    </row>
    <row r="1647">
      <c r="B1647" s="11">
        <f>IFERROR(__xludf.DUMMYFUNCTION("""COMPUTED_VALUE"""),43630.66666666667)</f>
        <v>43630.66667</v>
      </c>
      <c r="C1647" s="9">
        <f>IFERROR(__xludf.DUMMYFUNCTION("""COMPUTED_VALUE"""),103.63)</f>
        <v>103.63</v>
      </c>
      <c r="K1647" s="16"/>
      <c r="T1647" s="17"/>
      <c r="AC1647" s="17"/>
    </row>
    <row r="1648">
      <c r="B1648" s="11">
        <f>IFERROR(__xludf.DUMMYFUNCTION("""COMPUTED_VALUE"""),43629.66666666667)</f>
        <v>43629.66667</v>
      </c>
      <c r="C1648" s="9">
        <f>IFERROR(__xludf.DUMMYFUNCTION("""COMPUTED_VALUE"""),104.11)</f>
        <v>104.11</v>
      </c>
      <c r="K1648" s="16"/>
      <c r="T1648" s="17"/>
      <c r="AC1648" s="17"/>
    </row>
    <row r="1649">
      <c r="B1649" s="11">
        <f>IFERROR(__xludf.DUMMYFUNCTION("""COMPUTED_VALUE"""),43628.66666666667)</f>
        <v>43628.66667</v>
      </c>
      <c r="C1649" s="9">
        <f>IFERROR(__xludf.DUMMYFUNCTION("""COMPUTED_VALUE"""),103.21)</f>
        <v>103.21</v>
      </c>
      <c r="K1649" s="16"/>
      <c r="T1649" s="17"/>
      <c r="AC1649" s="17"/>
    </row>
    <row r="1650">
      <c r="B1650" s="11">
        <f>IFERROR(__xludf.DUMMYFUNCTION("""COMPUTED_VALUE"""),43627.66666666667)</f>
        <v>43627.66667</v>
      </c>
      <c r="C1650" s="9">
        <f>IFERROR(__xludf.DUMMYFUNCTION("""COMPUTED_VALUE"""),102.9)</f>
        <v>102.9</v>
      </c>
      <c r="K1650" s="16"/>
      <c r="T1650" s="17"/>
      <c r="AC1650" s="17"/>
    </row>
    <row r="1651">
      <c r="B1651" s="11">
        <f>IFERROR(__xludf.DUMMYFUNCTION("""COMPUTED_VALUE"""),43626.66666666667)</f>
        <v>43626.66667</v>
      </c>
      <c r="C1651" s="9">
        <f>IFERROR(__xludf.DUMMYFUNCTION("""COMPUTED_VALUE"""),105.33)</f>
        <v>105.33</v>
      </c>
      <c r="K1651" s="16"/>
      <c r="T1651" s="17"/>
      <c r="AC1651" s="17"/>
    </row>
    <row r="1652">
      <c r="B1652" s="11">
        <f>IFERROR(__xludf.DUMMYFUNCTION("""COMPUTED_VALUE"""),43623.66666666667)</f>
        <v>43623.66667</v>
      </c>
      <c r="C1652" s="9">
        <f>IFERROR(__xludf.DUMMYFUNCTION("""COMPUTED_VALUE"""),105.98)</f>
        <v>105.98</v>
      </c>
      <c r="K1652" s="16"/>
      <c r="T1652" s="17"/>
      <c r="AC1652" s="17"/>
    </row>
    <row r="1653">
      <c r="B1653" s="11">
        <f>IFERROR(__xludf.DUMMYFUNCTION("""COMPUTED_VALUE"""),43622.66666666667)</f>
        <v>43622.66667</v>
      </c>
      <c r="C1653" s="9">
        <f>IFERROR(__xludf.DUMMYFUNCTION("""COMPUTED_VALUE"""),105.36)</f>
        <v>105.36</v>
      </c>
      <c r="K1653" s="16"/>
      <c r="T1653" s="17"/>
      <c r="AC1653" s="17"/>
    </row>
    <row r="1654">
      <c r="B1654" s="11">
        <f>IFERROR(__xludf.DUMMYFUNCTION("""COMPUTED_VALUE"""),43621.66666666667)</f>
        <v>43621.66667</v>
      </c>
      <c r="C1654" s="9">
        <f>IFERROR(__xludf.DUMMYFUNCTION("""COMPUTED_VALUE"""),105.08)</f>
        <v>105.08</v>
      </c>
      <c r="K1654" s="16"/>
      <c r="T1654" s="17"/>
      <c r="AC1654" s="17"/>
    </row>
    <row r="1655">
      <c r="B1655" s="11">
        <f>IFERROR(__xludf.DUMMYFUNCTION("""COMPUTED_VALUE"""),43620.66666666667)</f>
        <v>43620.66667</v>
      </c>
      <c r="C1655" s="9">
        <f>IFERROR(__xludf.DUMMYFUNCTION("""COMPUTED_VALUE"""),103.6)</f>
        <v>103.6</v>
      </c>
      <c r="K1655" s="16"/>
      <c r="T1655" s="17"/>
      <c r="AC1655" s="17"/>
    </row>
    <row r="1656">
      <c r="B1656" s="11">
        <f>IFERROR(__xludf.DUMMYFUNCTION("""COMPUTED_VALUE"""),43619.66666666667)</f>
        <v>43619.66667</v>
      </c>
      <c r="C1656" s="9">
        <f>IFERROR(__xludf.DUMMYFUNCTION("""COMPUTED_VALUE"""),101.51)</f>
        <v>101.51</v>
      </c>
      <c r="K1656" s="16"/>
      <c r="T1656" s="17"/>
      <c r="AC1656" s="17"/>
    </row>
    <row r="1657">
      <c r="B1657" s="11">
        <f>IFERROR(__xludf.DUMMYFUNCTION("""COMPUTED_VALUE"""),43616.66666666667)</f>
        <v>43616.66667</v>
      </c>
      <c r="C1657" s="9">
        <f>IFERROR(__xludf.DUMMYFUNCTION("""COMPUTED_VALUE"""),100.97)</f>
        <v>100.97</v>
      </c>
      <c r="K1657" s="16"/>
      <c r="T1657" s="17"/>
      <c r="AC1657" s="17"/>
    </row>
    <row r="1658">
      <c r="B1658" s="11">
        <f>IFERROR(__xludf.DUMMYFUNCTION("""COMPUTED_VALUE"""),43615.66666666667)</f>
        <v>43615.66667</v>
      </c>
      <c r="C1658" s="9">
        <f>IFERROR(__xludf.DUMMYFUNCTION("""COMPUTED_VALUE"""),102.2)</f>
        <v>102.2</v>
      </c>
      <c r="K1658" s="16"/>
      <c r="T1658" s="17"/>
      <c r="AC1658" s="17"/>
    </row>
    <row r="1659">
      <c r="B1659" s="11">
        <f>IFERROR(__xludf.DUMMYFUNCTION("""COMPUTED_VALUE"""),43614.66666666667)</f>
        <v>43614.66667</v>
      </c>
      <c r="C1659" s="9">
        <f>IFERROR(__xludf.DUMMYFUNCTION("""COMPUTED_VALUE"""),102.12)</f>
        <v>102.12</v>
      </c>
      <c r="K1659" s="16"/>
      <c r="T1659" s="17"/>
      <c r="AC1659" s="17"/>
    </row>
    <row r="1660">
      <c r="B1660" s="11">
        <f>IFERROR(__xludf.DUMMYFUNCTION("""COMPUTED_VALUE"""),43613.66666666667)</f>
        <v>43613.66667</v>
      </c>
      <c r="C1660" s="9">
        <f>IFERROR(__xludf.DUMMYFUNCTION("""COMPUTED_VALUE"""),102.36)</f>
        <v>102.36</v>
      </c>
      <c r="K1660" s="16"/>
      <c r="T1660" s="17"/>
      <c r="AC1660" s="17"/>
    </row>
    <row r="1661">
      <c r="B1661" s="11">
        <f>IFERROR(__xludf.DUMMYFUNCTION("""COMPUTED_VALUE"""),43609.66666666667)</f>
        <v>43609.66667</v>
      </c>
      <c r="C1661" s="9">
        <f>IFERROR(__xludf.DUMMYFUNCTION("""COMPUTED_VALUE"""),102.75)</f>
        <v>102.75</v>
      </c>
      <c r="K1661" s="16"/>
      <c r="T1661" s="17"/>
      <c r="AC1661" s="17"/>
    </row>
    <row r="1662">
      <c r="B1662" s="11">
        <f>IFERROR(__xludf.DUMMYFUNCTION("""COMPUTED_VALUE"""),43608.66666666667)</f>
        <v>43608.66667</v>
      </c>
      <c r="C1662" s="9">
        <f>IFERROR(__xludf.DUMMYFUNCTION("""COMPUTED_VALUE"""),102.26)</f>
        <v>102.26</v>
      </c>
      <c r="K1662" s="16"/>
      <c r="T1662" s="17"/>
      <c r="AC1662" s="17"/>
    </row>
    <row r="1663">
      <c r="B1663" s="11">
        <f>IFERROR(__xludf.DUMMYFUNCTION("""COMPUTED_VALUE"""),43607.66666666667)</f>
        <v>43607.66667</v>
      </c>
      <c r="C1663" s="9">
        <f>IFERROR(__xludf.DUMMYFUNCTION("""COMPUTED_VALUE"""),103.96)</f>
        <v>103.96</v>
      </c>
      <c r="K1663" s="16"/>
      <c r="T1663" s="17"/>
      <c r="AC1663" s="17"/>
    </row>
    <row r="1664">
      <c r="B1664" s="11">
        <f>IFERROR(__xludf.DUMMYFUNCTION("""COMPUTED_VALUE"""),43606.66666666667)</f>
        <v>43606.66667</v>
      </c>
      <c r="C1664" s="9">
        <f>IFERROR(__xludf.DUMMYFUNCTION("""COMPUTED_VALUE"""),104.53)</f>
        <v>104.53</v>
      </c>
      <c r="K1664" s="16"/>
      <c r="T1664" s="17"/>
      <c r="AC1664" s="17"/>
    </row>
    <row r="1665">
      <c r="B1665" s="11">
        <f>IFERROR(__xludf.DUMMYFUNCTION("""COMPUTED_VALUE"""),43605.66666666667)</f>
        <v>43605.66667</v>
      </c>
      <c r="C1665" s="9">
        <f>IFERROR(__xludf.DUMMYFUNCTION("""COMPUTED_VALUE"""),102.89)</f>
        <v>102.89</v>
      </c>
      <c r="K1665" s="16"/>
      <c r="T1665" s="17"/>
      <c r="AC1665" s="17"/>
    </row>
    <row r="1666">
      <c r="B1666" s="11">
        <f>IFERROR(__xludf.DUMMYFUNCTION("""COMPUTED_VALUE"""),43602.66666666667)</f>
        <v>43602.66667</v>
      </c>
      <c r="C1666" s="9">
        <f>IFERROR(__xludf.DUMMYFUNCTION("""COMPUTED_VALUE"""),102.85)</f>
        <v>102.85</v>
      </c>
      <c r="K1666" s="16"/>
      <c r="T1666" s="17"/>
      <c r="AC1666" s="17"/>
    </row>
    <row r="1667">
      <c r="B1667" s="11">
        <f>IFERROR(__xludf.DUMMYFUNCTION("""COMPUTED_VALUE"""),43601.66666666667)</f>
        <v>43601.66667</v>
      </c>
      <c r="C1667" s="9">
        <f>IFERROR(__xludf.DUMMYFUNCTION("""COMPUTED_VALUE"""),103.65)</f>
        <v>103.65</v>
      </c>
      <c r="K1667" s="16"/>
      <c r="T1667" s="17"/>
      <c r="AC1667" s="17"/>
    </row>
    <row r="1668">
      <c r="B1668" s="11">
        <f>IFERROR(__xludf.DUMMYFUNCTION("""COMPUTED_VALUE"""),43600.66666666667)</f>
        <v>43600.66667</v>
      </c>
      <c r="C1668" s="9">
        <f>IFERROR(__xludf.DUMMYFUNCTION("""COMPUTED_VALUE"""),102.11)</f>
        <v>102.11</v>
      </c>
      <c r="K1668" s="16"/>
      <c r="T1668" s="17"/>
      <c r="AC1668" s="17"/>
    </row>
    <row r="1669">
      <c r="B1669" s="11">
        <f>IFERROR(__xludf.DUMMYFUNCTION("""COMPUTED_VALUE"""),43599.66666666667)</f>
        <v>43599.66667</v>
      </c>
      <c r="C1669" s="9">
        <f>IFERROR(__xludf.DUMMYFUNCTION("""COMPUTED_VALUE"""),102.0)</f>
        <v>102</v>
      </c>
      <c r="K1669" s="16"/>
      <c r="T1669" s="17"/>
      <c r="AC1669" s="17"/>
    </row>
    <row r="1670">
      <c r="B1670" s="11">
        <f>IFERROR(__xludf.DUMMYFUNCTION("""COMPUTED_VALUE"""),43598.66666666667)</f>
        <v>43598.66667</v>
      </c>
      <c r="C1670" s="9">
        <f>IFERROR(__xludf.DUMMYFUNCTION("""COMPUTED_VALUE"""),100.97)</f>
        <v>100.97</v>
      </c>
      <c r="K1670" s="16"/>
      <c r="T1670" s="17"/>
      <c r="AC1670" s="17"/>
    </row>
    <row r="1671">
      <c r="B1671" s="11">
        <f>IFERROR(__xludf.DUMMYFUNCTION("""COMPUTED_VALUE"""),43595.66666666667)</f>
        <v>43595.66667</v>
      </c>
      <c r="C1671" s="9">
        <f>IFERROR(__xludf.DUMMYFUNCTION("""COMPUTED_VALUE"""),103.99)</f>
        <v>103.99</v>
      </c>
      <c r="K1671" s="16"/>
      <c r="T1671" s="17"/>
      <c r="AC1671" s="17"/>
    </row>
    <row r="1672">
      <c r="B1672" s="11">
        <f>IFERROR(__xludf.DUMMYFUNCTION("""COMPUTED_VALUE"""),43594.66666666667)</f>
        <v>43594.66667</v>
      </c>
      <c r="C1672" s="9">
        <f>IFERROR(__xludf.DUMMYFUNCTION("""COMPUTED_VALUE"""),103.64)</f>
        <v>103.64</v>
      </c>
      <c r="K1672" s="16"/>
      <c r="T1672" s="17"/>
      <c r="AC1672" s="17"/>
    </row>
    <row r="1673">
      <c r="B1673" s="11">
        <f>IFERROR(__xludf.DUMMYFUNCTION("""COMPUTED_VALUE"""),43593.66666666667)</f>
        <v>43593.66667</v>
      </c>
      <c r="C1673" s="9">
        <f>IFERROR(__xludf.DUMMYFUNCTION("""COMPUTED_VALUE"""),103.59)</f>
        <v>103.59</v>
      </c>
      <c r="K1673" s="16"/>
      <c r="T1673" s="17"/>
      <c r="AC1673" s="17"/>
    </row>
    <row r="1674">
      <c r="B1674" s="11">
        <f>IFERROR(__xludf.DUMMYFUNCTION("""COMPUTED_VALUE"""),43592.66666666667)</f>
        <v>43592.66667</v>
      </c>
      <c r="C1674" s="9">
        <f>IFERROR(__xludf.DUMMYFUNCTION("""COMPUTED_VALUE"""),102.71)</f>
        <v>102.71</v>
      </c>
      <c r="K1674" s="16"/>
      <c r="T1674" s="17"/>
      <c r="AC1674" s="17"/>
    </row>
    <row r="1675">
      <c r="B1675" s="11">
        <f>IFERROR(__xludf.DUMMYFUNCTION("""COMPUTED_VALUE"""),43591.66666666667)</f>
        <v>43591.66667</v>
      </c>
      <c r="C1675" s="9">
        <f>IFERROR(__xludf.DUMMYFUNCTION("""COMPUTED_VALUE"""),105.25)</f>
        <v>105.25</v>
      </c>
      <c r="K1675" s="16"/>
      <c r="T1675" s="17"/>
      <c r="AC1675" s="17"/>
    </row>
    <row r="1676">
      <c r="B1676" s="11">
        <f>IFERROR(__xludf.DUMMYFUNCTION("""COMPUTED_VALUE"""),43588.66666666667)</f>
        <v>43588.66667</v>
      </c>
      <c r="C1676" s="9">
        <f>IFERROR(__xludf.DUMMYFUNCTION("""COMPUTED_VALUE"""),105.6)</f>
        <v>105.6</v>
      </c>
      <c r="K1676" s="16"/>
      <c r="T1676" s="17"/>
      <c r="AC1676" s="17"/>
    </row>
    <row r="1677">
      <c r="B1677" s="11">
        <f>IFERROR(__xludf.DUMMYFUNCTION("""COMPUTED_VALUE"""),43587.66666666667)</f>
        <v>43587.66667</v>
      </c>
      <c r="C1677" s="9">
        <f>IFERROR(__xludf.DUMMYFUNCTION("""COMPUTED_VALUE"""),104.52)</f>
        <v>104.52</v>
      </c>
      <c r="K1677" s="16"/>
      <c r="T1677" s="17"/>
      <c r="AC1677" s="17"/>
    </row>
    <row r="1678">
      <c r="B1678" s="11">
        <f>IFERROR(__xludf.DUMMYFUNCTION("""COMPUTED_VALUE"""),43586.66666666667)</f>
        <v>43586.66667</v>
      </c>
      <c r="C1678" s="9">
        <f>IFERROR(__xludf.DUMMYFUNCTION("""COMPUTED_VALUE"""),105.05)</f>
        <v>105.05</v>
      </c>
      <c r="K1678" s="16"/>
      <c r="T1678" s="17"/>
      <c r="AC1678" s="17"/>
    </row>
    <row r="1679">
      <c r="B1679" s="11">
        <f>IFERROR(__xludf.DUMMYFUNCTION("""COMPUTED_VALUE"""),43585.66666666667)</f>
        <v>43585.66667</v>
      </c>
      <c r="C1679" s="9">
        <f>IFERROR(__xludf.DUMMYFUNCTION("""COMPUTED_VALUE"""),104.81)</f>
        <v>104.81</v>
      </c>
      <c r="K1679" s="16"/>
      <c r="T1679" s="17"/>
      <c r="AC1679" s="17"/>
    </row>
    <row r="1680">
      <c r="B1680" s="11">
        <f>IFERROR(__xludf.DUMMYFUNCTION("""COMPUTED_VALUE"""),43584.66666666667)</f>
        <v>43584.66667</v>
      </c>
      <c r="C1680" s="9">
        <f>IFERROR(__xludf.DUMMYFUNCTION("""COMPUTED_VALUE"""),104.62)</f>
        <v>104.62</v>
      </c>
      <c r="K1680" s="16"/>
      <c r="T1680" s="17"/>
      <c r="AC1680" s="17"/>
    </row>
    <row r="1681">
      <c r="B1681" s="11">
        <f>IFERROR(__xludf.DUMMYFUNCTION("""COMPUTED_VALUE"""),43581.66666666667)</f>
        <v>43581.66667</v>
      </c>
      <c r="C1681" s="9">
        <f>IFERROR(__xludf.DUMMYFUNCTION("""COMPUTED_VALUE"""),104.47)</f>
        <v>104.47</v>
      </c>
      <c r="K1681" s="16"/>
      <c r="T1681" s="17"/>
      <c r="AC1681" s="17"/>
    </row>
    <row r="1682">
      <c r="B1682" s="11">
        <f>IFERROR(__xludf.DUMMYFUNCTION("""COMPUTED_VALUE"""),43580.66666666667)</f>
        <v>43580.66667</v>
      </c>
      <c r="C1682" s="9">
        <f>IFERROR(__xludf.DUMMYFUNCTION("""COMPUTED_VALUE"""),104.04)</f>
        <v>104.04</v>
      </c>
      <c r="K1682" s="16"/>
      <c r="T1682" s="17"/>
      <c r="AC1682" s="17"/>
    </row>
    <row r="1683">
      <c r="B1683" s="11">
        <f>IFERROR(__xludf.DUMMYFUNCTION("""COMPUTED_VALUE"""),43579.66666666667)</f>
        <v>43579.66667</v>
      </c>
      <c r="C1683" s="9">
        <f>IFERROR(__xludf.DUMMYFUNCTION("""COMPUTED_VALUE"""),104.11)</f>
        <v>104.11</v>
      </c>
      <c r="K1683" s="16"/>
      <c r="T1683" s="17"/>
      <c r="AC1683" s="17"/>
    </row>
    <row r="1684">
      <c r="B1684" s="11">
        <f>IFERROR(__xludf.DUMMYFUNCTION("""COMPUTED_VALUE"""),43578.66666666667)</f>
        <v>43578.66667</v>
      </c>
      <c r="C1684" s="9">
        <f>IFERROR(__xludf.DUMMYFUNCTION("""COMPUTED_VALUE"""),104.52)</f>
        <v>104.52</v>
      </c>
      <c r="K1684" s="16"/>
      <c r="T1684" s="17"/>
      <c r="AC1684" s="17"/>
    </row>
    <row r="1685">
      <c r="B1685" s="11">
        <f>IFERROR(__xludf.DUMMYFUNCTION("""COMPUTED_VALUE"""),43577.66666666667)</f>
        <v>43577.66667</v>
      </c>
      <c r="C1685" s="9">
        <f>IFERROR(__xludf.DUMMYFUNCTION("""COMPUTED_VALUE"""),102.52)</f>
        <v>102.52</v>
      </c>
      <c r="K1685" s="16"/>
      <c r="T1685" s="17"/>
      <c r="AC1685" s="17"/>
    </row>
    <row r="1686">
      <c r="B1686" s="11">
        <f>IFERROR(__xludf.DUMMYFUNCTION("""COMPUTED_VALUE"""),43573.66666666667)</f>
        <v>43573.66667</v>
      </c>
      <c r="C1686" s="9">
        <f>IFERROR(__xludf.DUMMYFUNCTION("""COMPUTED_VALUE"""),102.83)</f>
        <v>102.83</v>
      </c>
      <c r="K1686" s="16"/>
      <c r="T1686" s="17"/>
      <c r="AC1686" s="17"/>
    </row>
    <row r="1687">
      <c r="B1687" s="11">
        <f>IFERROR(__xludf.DUMMYFUNCTION("""COMPUTED_VALUE"""),43572.66666666667)</f>
        <v>43572.66667</v>
      </c>
      <c r="C1687" s="9">
        <f>IFERROR(__xludf.DUMMYFUNCTION("""COMPUTED_VALUE"""),101.98)</f>
        <v>101.98</v>
      </c>
      <c r="K1687" s="16"/>
      <c r="T1687" s="17"/>
      <c r="AC1687" s="17"/>
    </row>
    <row r="1688">
      <c r="B1688" s="11">
        <f>IFERROR(__xludf.DUMMYFUNCTION("""COMPUTED_VALUE"""),43571.66666666667)</f>
        <v>43571.66667</v>
      </c>
      <c r="C1688" s="9">
        <f>IFERROR(__xludf.DUMMYFUNCTION("""COMPUTED_VALUE"""),102.46)</f>
        <v>102.46</v>
      </c>
      <c r="K1688" s="16"/>
      <c r="T1688" s="17"/>
      <c r="AC1688" s="17"/>
    </row>
    <row r="1689">
      <c r="B1689" s="11">
        <f>IFERROR(__xludf.DUMMYFUNCTION("""COMPUTED_VALUE"""),43570.66666666667)</f>
        <v>43570.66667</v>
      </c>
      <c r="C1689" s="9">
        <f>IFERROR(__xludf.DUMMYFUNCTION("""COMPUTED_VALUE"""),101.7)</f>
        <v>101.7</v>
      </c>
      <c r="K1689" s="16"/>
      <c r="T1689" s="17"/>
      <c r="AC1689" s="17"/>
    </row>
    <row r="1690">
      <c r="B1690" s="11">
        <f>IFERROR(__xludf.DUMMYFUNCTION("""COMPUTED_VALUE"""),43567.66666666667)</f>
        <v>43567.66667</v>
      </c>
      <c r="C1690" s="9">
        <f>IFERROR(__xludf.DUMMYFUNCTION("""COMPUTED_VALUE"""),102.52)</f>
        <v>102.52</v>
      </c>
      <c r="K1690" s="16"/>
      <c r="T1690" s="17"/>
      <c r="AC1690" s="17"/>
    </row>
    <row r="1691">
      <c r="B1691" s="11">
        <f>IFERROR(__xludf.DUMMYFUNCTION("""COMPUTED_VALUE"""),43566.66666666667)</f>
        <v>43566.66667</v>
      </c>
      <c r="C1691" s="9">
        <f>IFERROR(__xludf.DUMMYFUNCTION("""COMPUTED_VALUE"""),100.93)</f>
        <v>100.93</v>
      </c>
      <c r="K1691" s="16"/>
      <c r="T1691" s="17"/>
      <c r="AC1691" s="17"/>
    </row>
    <row r="1692">
      <c r="B1692" s="11">
        <f>IFERROR(__xludf.DUMMYFUNCTION("""COMPUTED_VALUE"""),43565.66666666667)</f>
        <v>43565.66667</v>
      </c>
      <c r="C1692" s="9">
        <f>IFERROR(__xludf.DUMMYFUNCTION("""COMPUTED_VALUE"""),99.63)</f>
        <v>99.63</v>
      </c>
      <c r="K1692" s="16"/>
      <c r="T1692" s="17"/>
      <c r="AC1692" s="17"/>
    </row>
    <row r="1693">
      <c r="B1693" s="11">
        <f>IFERROR(__xludf.DUMMYFUNCTION("""COMPUTED_VALUE"""),43564.66666666667)</f>
        <v>43564.66667</v>
      </c>
      <c r="C1693" s="9">
        <f>IFERROR(__xludf.DUMMYFUNCTION("""COMPUTED_VALUE"""),99.94)</f>
        <v>99.94</v>
      </c>
      <c r="K1693" s="16"/>
      <c r="T1693" s="17"/>
      <c r="AC1693" s="17"/>
    </row>
    <row r="1694">
      <c r="B1694" s="11">
        <f>IFERROR(__xludf.DUMMYFUNCTION("""COMPUTED_VALUE"""),43563.66666666667)</f>
        <v>43563.66667</v>
      </c>
      <c r="C1694" s="9">
        <f>IFERROR(__xludf.DUMMYFUNCTION("""COMPUTED_VALUE"""),101.19)</f>
        <v>101.19</v>
      </c>
      <c r="K1694" s="16"/>
      <c r="T1694" s="17"/>
      <c r="AC1694" s="17"/>
    </row>
    <row r="1695">
      <c r="B1695" s="11">
        <f>IFERROR(__xludf.DUMMYFUNCTION("""COMPUTED_VALUE"""),43560.66666666667)</f>
        <v>43560.66667</v>
      </c>
      <c r="C1695" s="9">
        <f>IFERROR(__xludf.DUMMYFUNCTION("""COMPUTED_VALUE"""),102.17)</f>
        <v>102.17</v>
      </c>
      <c r="K1695" s="16"/>
      <c r="T1695" s="17"/>
      <c r="AC1695" s="17"/>
    </row>
    <row r="1696">
      <c r="B1696" s="11">
        <f>IFERROR(__xludf.DUMMYFUNCTION("""COMPUTED_VALUE"""),43559.66666666667)</f>
        <v>43559.66667</v>
      </c>
      <c r="C1696" s="9">
        <f>IFERROR(__xludf.DUMMYFUNCTION("""COMPUTED_VALUE"""),101.59)</f>
        <v>101.59</v>
      </c>
      <c r="K1696" s="16"/>
      <c r="T1696" s="17"/>
      <c r="AC1696" s="17"/>
    </row>
    <row r="1697">
      <c r="B1697" s="11">
        <f>IFERROR(__xludf.DUMMYFUNCTION("""COMPUTED_VALUE"""),43558.66666666667)</f>
        <v>43558.66667</v>
      </c>
      <c r="C1697" s="9">
        <f>IFERROR(__xludf.DUMMYFUNCTION("""COMPUTED_VALUE"""),100.18)</f>
        <v>100.18</v>
      </c>
      <c r="K1697" s="16"/>
      <c r="T1697" s="17"/>
      <c r="AC1697" s="17"/>
    </row>
    <row r="1698">
      <c r="B1698" s="11">
        <f>IFERROR(__xludf.DUMMYFUNCTION("""COMPUTED_VALUE"""),43557.66666666667)</f>
        <v>43557.66667</v>
      </c>
      <c r="C1698" s="9">
        <f>IFERROR(__xludf.DUMMYFUNCTION("""COMPUTED_VALUE"""),101.4)</f>
        <v>101.4</v>
      </c>
      <c r="K1698" s="16"/>
      <c r="T1698" s="17"/>
      <c r="AC1698" s="17"/>
    </row>
    <row r="1699">
      <c r="B1699" s="11">
        <f>IFERROR(__xludf.DUMMYFUNCTION("""COMPUTED_VALUE"""),43556.66666666667)</f>
        <v>43556.66667</v>
      </c>
      <c r="C1699" s="9">
        <f>IFERROR(__xludf.DUMMYFUNCTION("""COMPUTED_VALUE"""),102.04)</f>
        <v>102.04</v>
      </c>
      <c r="K1699" s="16"/>
      <c r="T1699" s="17"/>
      <c r="AC1699" s="17"/>
    </row>
    <row r="1700">
      <c r="B1700" s="11">
        <f>IFERROR(__xludf.DUMMYFUNCTION("""COMPUTED_VALUE"""),43553.66666666667)</f>
        <v>43553.66667</v>
      </c>
      <c r="C1700" s="9">
        <f>IFERROR(__xludf.DUMMYFUNCTION("""COMPUTED_VALUE"""),99.79)</f>
        <v>99.79</v>
      </c>
      <c r="K1700" s="16"/>
      <c r="T1700" s="17"/>
      <c r="AC1700" s="17"/>
    </row>
    <row r="1701">
      <c r="B1701" s="11">
        <f>IFERROR(__xludf.DUMMYFUNCTION("""COMPUTED_VALUE"""),43552.66666666667)</f>
        <v>43552.66667</v>
      </c>
      <c r="C1701" s="9">
        <f>IFERROR(__xludf.DUMMYFUNCTION("""COMPUTED_VALUE"""),98.7)</f>
        <v>98.7</v>
      </c>
      <c r="K1701" s="16"/>
      <c r="T1701" s="17"/>
      <c r="AC1701" s="17"/>
    </row>
    <row r="1702">
      <c r="B1702" s="11">
        <f>IFERROR(__xludf.DUMMYFUNCTION("""COMPUTED_VALUE"""),43551.66666666667)</f>
        <v>43551.66667</v>
      </c>
      <c r="C1702" s="9">
        <f>IFERROR(__xludf.DUMMYFUNCTION("""COMPUTED_VALUE"""),98.01)</f>
        <v>98.01</v>
      </c>
      <c r="K1702" s="16"/>
      <c r="T1702" s="17"/>
      <c r="AC1702" s="17"/>
    </row>
    <row r="1703">
      <c r="B1703" s="11">
        <f>IFERROR(__xludf.DUMMYFUNCTION("""COMPUTED_VALUE"""),43550.66666666667)</f>
        <v>43550.66667</v>
      </c>
      <c r="C1703" s="9">
        <f>IFERROR(__xludf.DUMMYFUNCTION("""COMPUTED_VALUE"""),97.98)</f>
        <v>97.98</v>
      </c>
      <c r="K1703" s="16"/>
      <c r="T1703" s="17"/>
      <c r="AC1703" s="17"/>
    </row>
    <row r="1704">
      <c r="B1704" s="11">
        <f>IFERROR(__xludf.DUMMYFUNCTION("""COMPUTED_VALUE"""),43549.66666666667)</f>
        <v>43549.66667</v>
      </c>
      <c r="C1704" s="9">
        <f>IFERROR(__xludf.DUMMYFUNCTION("""COMPUTED_VALUE"""),97.84)</f>
        <v>97.84</v>
      </c>
      <c r="K1704" s="16"/>
      <c r="T1704" s="17"/>
      <c r="AC1704" s="17"/>
    </row>
    <row r="1705">
      <c r="B1705" s="11">
        <f>IFERROR(__xludf.DUMMYFUNCTION("""COMPUTED_VALUE"""),43546.66666666667)</f>
        <v>43546.66667</v>
      </c>
      <c r="C1705" s="9">
        <f>IFERROR(__xludf.DUMMYFUNCTION("""COMPUTED_VALUE"""),97.14)</f>
        <v>97.14</v>
      </c>
      <c r="K1705" s="16"/>
      <c r="T1705" s="17"/>
      <c r="AC1705" s="17"/>
    </row>
    <row r="1706">
      <c r="B1706" s="11">
        <f>IFERROR(__xludf.DUMMYFUNCTION("""COMPUTED_VALUE"""),43545.66666666667)</f>
        <v>43545.66667</v>
      </c>
      <c r="C1706" s="9">
        <f>IFERROR(__xludf.DUMMYFUNCTION("""COMPUTED_VALUE"""),99.54)</f>
        <v>99.54</v>
      </c>
      <c r="K1706" s="16"/>
      <c r="T1706" s="17"/>
      <c r="AC1706" s="17"/>
    </row>
    <row r="1707">
      <c r="B1707" s="11">
        <f>IFERROR(__xludf.DUMMYFUNCTION("""COMPUTED_VALUE"""),43544.66666666667)</f>
        <v>43544.66667</v>
      </c>
      <c r="C1707" s="9">
        <f>IFERROR(__xludf.DUMMYFUNCTION("""COMPUTED_VALUE"""),98.78)</f>
        <v>98.78</v>
      </c>
      <c r="K1707" s="16"/>
      <c r="T1707" s="17"/>
      <c r="AC1707" s="17"/>
    </row>
    <row r="1708">
      <c r="B1708" s="11">
        <f>IFERROR(__xludf.DUMMYFUNCTION("""COMPUTED_VALUE"""),43543.66666666667)</f>
        <v>43543.66667</v>
      </c>
      <c r="C1708" s="9">
        <f>IFERROR(__xludf.DUMMYFUNCTION("""COMPUTED_VALUE"""),99.45)</f>
        <v>99.45</v>
      </c>
      <c r="K1708" s="16"/>
      <c r="T1708" s="17"/>
      <c r="AC1708" s="17"/>
    </row>
    <row r="1709">
      <c r="B1709" s="11">
        <f>IFERROR(__xludf.DUMMYFUNCTION("""COMPUTED_VALUE"""),43542.66666666667)</f>
        <v>43542.66667</v>
      </c>
      <c r="C1709" s="9">
        <f>IFERROR(__xludf.DUMMYFUNCTION("""COMPUTED_VALUE"""),99.64)</f>
        <v>99.64</v>
      </c>
      <c r="K1709" s="16"/>
      <c r="T1709" s="17"/>
      <c r="AC1709" s="17"/>
    </row>
    <row r="1710">
      <c r="B1710" s="11">
        <f>IFERROR(__xludf.DUMMYFUNCTION("""COMPUTED_VALUE"""),43539.66666666667)</f>
        <v>43539.66667</v>
      </c>
      <c r="C1710" s="9">
        <f>IFERROR(__xludf.DUMMYFUNCTION("""COMPUTED_VALUE"""),98.96)</f>
        <v>98.96</v>
      </c>
      <c r="K1710" s="16"/>
      <c r="T1710" s="17"/>
      <c r="AC1710" s="17"/>
    </row>
    <row r="1711">
      <c r="B1711" s="11">
        <f>IFERROR(__xludf.DUMMYFUNCTION("""COMPUTED_VALUE"""),43538.66666666667)</f>
        <v>43538.66667</v>
      </c>
      <c r="C1711" s="9">
        <f>IFERROR(__xludf.DUMMYFUNCTION("""COMPUTED_VALUE"""),99.12)</f>
        <v>99.12</v>
      </c>
      <c r="K1711" s="16"/>
      <c r="T1711" s="17"/>
      <c r="AC1711" s="17"/>
    </row>
    <row r="1712">
      <c r="B1712" s="11">
        <f>IFERROR(__xludf.DUMMYFUNCTION("""COMPUTED_VALUE"""),43537.66666666667)</f>
        <v>43537.66667</v>
      </c>
      <c r="C1712" s="9">
        <f>IFERROR(__xludf.DUMMYFUNCTION("""COMPUTED_VALUE"""),99.82)</f>
        <v>99.82</v>
      </c>
      <c r="K1712" s="16"/>
      <c r="T1712" s="17"/>
      <c r="AC1712" s="17"/>
    </row>
    <row r="1713">
      <c r="B1713" s="11">
        <f>IFERROR(__xludf.DUMMYFUNCTION("""COMPUTED_VALUE"""),43536.66666666667)</f>
        <v>43536.66667</v>
      </c>
      <c r="C1713" s="9">
        <f>IFERROR(__xludf.DUMMYFUNCTION("""COMPUTED_VALUE"""),99.17)</f>
        <v>99.17</v>
      </c>
      <c r="K1713" s="16"/>
      <c r="T1713" s="17"/>
      <c r="AC1713" s="17"/>
    </row>
    <row r="1714">
      <c r="B1714" s="11">
        <f>IFERROR(__xludf.DUMMYFUNCTION("""COMPUTED_VALUE"""),43535.66666666667)</f>
        <v>43535.66667</v>
      </c>
      <c r="C1714" s="9">
        <f>IFERROR(__xludf.DUMMYFUNCTION("""COMPUTED_VALUE"""),100.19)</f>
        <v>100.19</v>
      </c>
      <c r="K1714" s="16"/>
      <c r="T1714" s="17"/>
      <c r="AC1714" s="17"/>
    </row>
    <row r="1715">
      <c r="B1715" s="11">
        <f>IFERROR(__xludf.DUMMYFUNCTION("""COMPUTED_VALUE"""),43532.66666666667)</f>
        <v>43532.66667</v>
      </c>
      <c r="C1715" s="9">
        <f>IFERROR(__xludf.DUMMYFUNCTION("""COMPUTED_VALUE"""),100.49)</f>
        <v>100.49</v>
      </c>
      <c r="K1715" s="16"/>
      <c r="T1715" s="17"/>
      <c r="AC1715" s="17"/>
    </row>
    <row r="1716">
      <c r="B1716" s="11">
        <f>IFERROR(__xludf.DUMMYFUNCTION("""COMPUTED_VALUE"""),43531.66666666667)</f>
        <v>43531.66667</v>
      </c>
      <c r="C1716" s="9">
        <f>IFERROR(__xludf.DUMMYFUNCTION("""COMPUTED_VALUE"""),100.75)</f>
        <v>100.75</v>
      </c>
      <c r="K1716" s="16"/>
      <c r="T1716" s="17"/>
      <c r="AC1716" s="17"/>
    </row>
    <row r="1717">
      <c r="B1717" s="11">
        <f>IFERROR(__xludf.DUMMYFUNCTION("""COMPUTED_VALUE"""),43530.66666666667)</f>
        <v>43530.66667</v>
      </c>
      <c r="C1717" s="9">
        <f>IFERROR(__xludf.DUMMYFUNCTION("""COMPUTED_VALUE"""),101.49)</f>
        <v>101.49</v>
      </c>
      <c r="K1717" s="16"/>
      <c r="T1717" s="17"/>
      <c r="AC1717" s="17"/>
    </row>
    <row r="1718">
      <c r="B1718" s="11">
        <f>IFERROR(__xludf.DUMMYFUNCTION("""COMPUTED_VALUE"""),43529.66666666667)</f>
        <v>43529.66667</v>
      </c>
      <c r="C1718" s="9">
        <f>IFERROR(__xludf.DUMMYFUNCTION("""COMPUTED_VALUE"""),102.45)</f>
        <v>102.45</v>
      </c>
      <c r="K1718" s="16"/>
      <c r="T1718" s="17"/>
      <c r="AC1718" s="17"/>
    </row>
    <row r="1719">
      <c r="B1719" s="11">
        <f>IFERROR(__xludf.DUMMYFUNCTION("""COMPUTED_VALUE"""),43528.66666666667)</f>
        <v>43528.66667</v>
      </c>
      <c r="C1719" s="9">
        <f>IFERROR(__xludf.DUMMYFUNCTION("""COMPUTED_VALUE"""),102.99)</f>
        <v>102.99</v>
      </c>
      <c r="K1719" s="16"/>
      <c r="T1719" s="17"/>
      <c r="AC1719" s="17"/>
    </row>
    <row r="1720">
      <c r="B1720" s="11">
        <f>IFERROR(__xludf.DUMMYFUNCTION("""COMPUTED_VALUE"""),43525.66666666667)</f>
        <v>43525.66667</v>
      </c>
      <c r="C1720" s="9">
        <f>IFERROR(__xludf.DUMMYFUNCTION("""COMPUTED_VALUE"""),104.66)</f>
        <v>104.66</v>
      </c>
      <c r="K1720" s="16"/>
      <c r="T1720" s="17"/>
      <c r="AC1720" s="17"/>
    </row>
    <row r="1721">
      <c r="B1721" s="11">
        <f>IFERROR(__xludf.DUMMYFUNCTION("""COMPUTED_VALUE"""),43524.66666666667)</f>
        <v>43524.66667</v>
      </c>
      <c r="C1721" s="9">
        <f>IFERROR(__xludf.DUMMYFUNCTION("""COMPUTED_VALUE"""),104.56)</f>
        <v>104.56</v>
      </c>
      <c r="K1721" s="16"/>
      <c r="T1721" s="17"/>
      <c r="AC1721" s="17"/>
    </row>
    <row r="1722">
      <c r="B1722" s="11">
        <f>IFERROR(__xludf.DUMMYFUNCTION("""COMPUTED_VALUE"""),43523.66666666667)</f>
        <v>43523.66667</v>
      </c>
      <c r="C1722" s="9">
        <f>IFERROR(__xludf.DUMMYFUNCTION("""COMPUTED_VALUE"""),104.28)</f>
        <v>104.28</v>
      </c>
      <c r="K1722" s="16"/>
      <c r="T1722" s="17"/>
      <c r="AC1722" s="17"/>
    </row>
    <row r="1723">
      <c r="B1723" s="11">
        <f>IFERROR(__xludf.DUMMYFUNCTION("""COMPUTED_VALUE"""),43522.66666666667)</f>
        <v>43522.66667</v>
      </c>
      <c r="C1723" s="9">
        <f>IFERROR(__xludf.DUMMYFUNCTION("""COMPUTED_VALUE"""),104.02)</f>
        <v>104.02</v>
      </c>
      <c r="K1723" s="16"/>
      <c r="T1723" s="17"/>
      <c r="AC1723" s="17"/>
    </row>
    <row r="1724">
      <c r="B1724" s="11">
        <f>IFERROR(__xludf.DUMMYFUNCTION("""COMPUTED_VALUE"""),43521.66666666667)</f>
        <v>43521.66667</v>
      </c>
      <c r="C1724" s="9">
        <f>IFERROR(__xludf.DUMMYFUNCTION("""COMPUTED_VALUE"""),104.72)</f>
        <v>104.72</v>
      </c>
      <c r="K1724" s="16"/>
      <c r="T1724" s="17"/>
      <c r="AC1724" s="17"/>
    </row>
    <row r="1725">
      <c r="B1725" s="11">
        <f>IFERROR(__xludf.DUMMYFUNCTION("""COMPUTED_VALUE"""),43518.66666666667)</f>
        <v>43518.66667</v>
      </c>
      <c r="C1725" s="9">
        <f>IFERROR(__xludf.DUMMYFUNCTION("""COMPUTED_VALUE"""),104.73)</f>
        <v>104.73</v>
      </c>
      <c r="K1725" s="16"/>
      <c r="T1725" s="17"/>
      <c r="AC1725" s="17"/>
    </row>
    <row r="1726">
      <c r="B1726" s="11">
        <f>IFERROR(__xludf.DUMMYFUNCTION("""COMPUTED_VALUE"""),43517.66666666667)</f>
        <v>43517.66667</v>
      </c>
      <c r="C1726" s="9">
        <f>IFERROR(__xludf.DUMMYFUNCTION("""COMPUTED_VALUE"""),103.71)</f>
        <v>103.71</v>
      </c>
      <c r="K1726" s="16"/>
      <c r="T1726" s="17"/>
      <c r="AC1726" s="17"/>
    </row>
    <row r="1727">
      <c r="B1727" s="11">
        <f>IFERROR(__xludf.DUMMYFUNCTION("""COMPUTED_VALUE"""),43516.66666666667)</f>
        <v>43516.66667</v>
      </c>
      <c r="C1727" s="9">
        <f>IFERROR(__xludf.DUMMYFUNCTION("""COMPUTED_VALUE"""),104.56)</f>
        <v>104.56</v>
      </c>
      <c r="K1727" s="16"/>
      <c r="T1727" s="17"/>
      <c r="AC1727" s="17"/>
    </row>
    <row r="1728">
      <c r="B1728" s="11">
        <f>IFERROR(__xludf.DUMMYFUNCTION("""COMPUTED_VALUE"""),43515.66666666667)</f>
        <v>43515.66667</v>
      </c>
      <c r="C1728" s="9">
        <f>IFERROR(__xludf.DUMMYFUNCTION("""COMPUTED_VALUE"""),104.03)</f>
        <v>104.03</v>
      </c>
      <c r="K1728" s="16"/>
      <c r="T1728" s="17"/>
      <c r="AC1728" s="17"/>
    </row>
    <row r="1729">
      <c r="B1729" s="11">
        <f>IFERROR(__xludf.DUMMYFUNCTION("""COMPUTED_VALUE"""),43511.66666666667)</f>
        <v>43511.66667</v>
      </c>
      <c r="C1729" s="9">
        <f>IFERROR(__xludf.DUMMYFUNCTION("""COMPUTED_VALUE"""),104.1)</f>
        <v>104.1</v>
      </c>
      <c r="K1729" s="16"/>
      <c r="T1729" s="17"/>
      <c r="AC1729" s="17"/>
    </row>
    <row r="1730">
      <c r="B1730" s="11">
        <f>IFERROR(__xludf.DUMMYFUNCTION("""COMPUTED_VALUE"""),43510.66666666667)</f>
        <v>43510.66667</v>
      </c>
      <c r="C1730" s="9">
        <f>IFERROR(__xludf.DUMMYFUNCTION("""COMPUTED_VALUE"""),101.98)</f>
        <v>101.98</v>
      </c>
      <c r="K1730" s="16"/>
      <c r="T1730" s="17"/>
      <c r="AC1730" s="17"/>
    </row>
    <row r="1731">
      <c r="B1731" s="11">
        <f>IFERROR(__xludf.DUMMYFUNCTION("""COMPUTED_VALUE"""),43509.66666666667)</f>
        <v>43509.66667</v>
      </c>
      <c r="C1731" s="9">
        <f>IFERROR(__xludf.DUMMYFUNCTION("""COMPUTED_VALUE"""),102.11)</f>
        <v>102.11</v>
      </c>
      <c r="K1731" s="16"/>
      <c r="T1731" s="17"/>
      <c r="AC1731" s="17"/>
    </row>
    <row r="1732">
      <c r="B1732" s="11">
        <f>IFERROR(__xludf.DUMMYFUNCTION("""COMPUTED_VALUE"""),43508.66666666667)</f>
        <v>43508.66667</v>
      </c>
      <c r="C1732" s="9">
        <f>IFERROR(__xludf.DUMMYFUNCTION("""COMPUTED_VALUE"""),102.0)</f>
        <v>102</v>
      </c>
      <c r="K1732" s="16"/>
      <c r="T1732" s="17"/>
      <c r="AC1732" s="17"/>
    </row>
    <row r="1733">
      <c r="B1733" s="11">
        <f>IFERROR(__xludf.DUMMYFUNCTION("""COMPUTED_VALUE"""),43507.66666666667)</f>
        <v>43507.66667</v>
      </c>
      <c r="C1733" s="9">
        <f>IFERROR(__xludf.DUMMYFUNCTION("""COMPUTED_VALUE"""),100.8)</f>
        <v>100.8</v>
      </c>
      <c r="K1733" s="16"/>
      <c r="T1733" s="17"/>
      <c r="AC1733" s="17"/>
    </row>
    <row r="1734">
      <c r="B1734" s="11">
        <f>IFERROR(__xludf.DUMMYFUNCTION("""COMPUTED_VALUE"""),43504.66666666667)</f>
        <v>43504.66667</v>
      </c>
      <c r="C1734" s="9">
        <f>IFERROR(__xludf.DUMMYFUNCTION("""COMPUTED_VALUE"""),100.39)</f>
        <v>100.39</v>
      </c>
      <c r="K1734" s="16"/>
      <c r="T1734" s="17"/>
      <c r="AC1734" s="17"/>
    </row>
    <row r="1735">
      <c r="B1735" s="11">
        <f>IFERROR(__xludf.DUMMYFUNCTION("""COMPUTED_VALUE"""),43503.66666666667)</f>
        <v>43503.66667</v>
      </c>
      <c r="C1735" s="9">
        <f>IFERROR(__xludf.DUMMYFUNCTION("""COMPUTED_VALUE"""),100.1)</f>
        <v>100.1</v>
      </c>
      <c r="K1735" s="16"/>
      <c r="T1735" s="17"/>
      <c r="AC1735" s="17"/>
    </row>
    <row r="1736">
      <c r="B1736" s="11">
        <f>IFERROR(__xludf.DUMMYFUNCTION("""COMPUTED_VALUE"""),43502.66666666667)</f>
        <v>43502.66667</v>
      </c>
      <c r="C1736" s="9">
        <f>IFERROR(__xludf.DUMMYFUNCTION("""COMPUTED_VALUE"""),100.6)</f>
        <v>100.6</v>
      </c>
      <c r="K1736" s="16"/>
      <c r="T1736" s="17"/>
      <c r="AC1736" s="17"/>
    </row>
    <row r="1737">
      <c r="B1737" s="11">
        <f>IFERROR(__xludf.DUMMYFUNCTION("""COMPUTED_VALUE"""),43501.66666666667)</f>
        <v>43501.66667</v>
      </c>
      <c r="C1737" s="9">
        <f>IFERROR(__xludf.DUMMYFUNCTION("""COMPUTED_VALUE"""),100.5)</f>
        <v>100.5</v>
      </c>
      <c r="K1737" s="16"/>
      <c r="T1737" s="17"/>
      <c r="AC1737" s="17"/>
    </row>
    <row r="1738">
      <c r="B1738" s="11">
        <f>IFERROR(__xludf.DUMMYFUNCTION("""COMPUTED_VALUE"""),43500.66666666667)</f>
        <v>43500.66667</v>
      </c>
      <c r="C1738" s="9">
        <f>IFERROR(__xludf.DUMMYFUNCTION("""COMPUTED_VALUE"""),99.43)</f>
        <v>99.43</v>
      </c>
      <c r="K1738" s="16"/>
      <c r="T1738" s="17"/>
      <c r="AC1738" s="17"/>
    </row>
    <row r="1739">
      <c r="B1739" s="11">
        <f>IFERROR(__xludf.DUMMYFUNCTION("""COMPUTED_VALUE"""),43497.66666666667)</f>
        <v>43497.66667</v>
      </c>
      <c r="C1739" s="9">
        <f>IFERROR(__xludf.DUMMYFUNCTION("""COMPUTED_VALUE"""),97.4)</f>
        <v>97.4</v>
      </c>
      <c r="K1739" s="16"/>
      <c r="T1739" s="17"/>
      <c r="AC1739" s="17"/>
    </row>
    <row r="1740">
      <c r="B1740" s="11">
        <f>IFERROR(__xludf.DUMMYFUNCTION("""COMPUTED_VALUE"""),43496.66666666667)</f>
        <v>43496.66667</v>
      </c>
      <c r="C1740" s="9">
        <f>IFERROR(__xludf.DUMMYFUNCTION("""COMPUTED_VALUE"""),97.25)</f>
        <v>97.25</v>
      </c>
      <c r="K1740" s="16"/>
      <c r="T1740" s="17"/>
      <c r="AC1740" s="17"/>
    </row>
    <row r="1741">
      <c r="B1741" s="11">
        <f>IFERROR(__xludf.DUMMYFUNCTION("""COMPUTED_VALUE"""),43495.66666666667)</f>
        <v>43495.66667</v>
      </c>
      <c r="C1741" s="9">
        <f>IFERROR(__xludf.DUMMYFUNCTION("""COMPUTED_VALUE"""),97.35)</f>
        <v>97.35</v>
      </c>
      <c r="K1741" s="16"/>
      <c r="T1741" s="17"/>
      <c r="AC1741" s="17"/>
    </row>
    <row r="1742">
      <c r="B1742" s="11">
        <f>IFERROR(__xludf.DUMMYFUNCTION("""COMPUTED_VALUE"""),43494.66666666667)</f>
        <v>43494.66667</v>
      </c>
      <c r="C1742" s="9">
        <f>IFERROR(__xludf.DUMMYFUNCTION("""COMPUTED_VALUE"""),96.01)</f>
        <v>96.01</v>
      </c>
      <c r="K1742" s="16"/>
      <c r="T1742" s="17"/>
      <c r="AC1742" s="17"/>
    </row>
    <row r="1743">
      <c r="B1743" s="11">
        <f>IFERROR(__xludf.DUMMYFUNCTION("""COMPUTED_VALUE"""),43493.66666666667)</f>
        <v>43493.66667</v>
      </c>
      <c r="C1743" s="9">
        <f>IFERROR(__xludf.DUMMYFUNCTION("""COMPUTED_VALUE"""),94.2)</f>
        <v>94.2</v>
      </c>
      <c r="K1743" s="16"/>
      <c r="T1743" s="17"/>
      <c r="AC1743" s="17"/>
    </row>
    <row r="1744">
      <c r="B1744" s="11">
        <f>IFERROR(__xludf.DUMMYFUNCTION("""COMPUTED_VALUE"""),43490.66666666667)</f>
        <v>43490.66667</v>
      </c>
      <c r="C1744" s="9">
        <f>IFERROR(__xludf.DUMMYFUNCTION("""COMPUTED_VALUE"""),94.31)</f>
        <v>94.31</v>
      </c>
      <c r="K1744" s="16"/>
      <c r="T1744" s="17"/>
      <c r="AC1744" s="17"/>
    </row>
    <row r="1745">
      <c r="B1745" s="11">
        <f>IFERROR(__xludf.DUMMYFUNCTION("""COMPUTED_VALUE"""),43489.66666666667)</f>
        <v>43489.66667</v>
      </c>
      <c r="C1745" s="9">
        <f>IFERROR(__xludf.DUMMYFUNCTION("""COMPUTED_VALUE"""),93.47)</f>
        <v>93.47</v>
      </c>
      <c r="K1745" s="16"/>
      <c r="T1745" s="17"/>
      <c r="AC1745" s="17"/>
    </row>
    <row r="1746">
      <c r="B1746" s="11">
        <f>IFERROR(__xludf.DUMMYFUNCTION("""COMPUTED_VALUE"""),43488.66666666667)</f>
        <v>43488.66667</v>
      </c>
      <c r="C1746" s="9">
        <f>IFERROR(__xludf.DUMMYFUNCTION("""COMPUTED_VALUE"""),92.64)</f>
        <v>92.64</v>
      </c>
      <c r="K1746" s="16"/>
      <c r="T1746" s="17"/>
      <c r="AC1746" s="17"/>
    </row>
    <row r="1747">
      <c r="B1747" s="11">
        <f>IFERROR(__xludf.DUMMYFUNCTION("""COMPUTED_VALUE"""),43487.66666666667)</f>
        <v>43487.66667</v>
      </c>
      <c r="C1747" s="9">
        <f>IFERROR(__xludf.DUMMYFUNCTION("""COMPUTED_VALUE"""),91.47)</f>
        <v>91.47</v>
      </c>
      <c r="K1747" s="16"/>
      <c r="T1747" s="17"/>
      <c r="AC1747" s="17"/>
    </row>
    <row r="1748">
      <c r="B1748" s="11">
        <f>IFERROR(__xludf.DUMMYFUNCTION("""COMPUTED_VALUE"""),43483.66666666667)</f>
        <v>43483.66667</v>
      </c>
      <c r="C1748" s="9">
        <f>IFERROR(__xludf.DUMMYFUNCTION("""COMPUTED_VALUE"""),93.68)</f>
        <v>93.68</v>
      </c>
      <c r="K1748" s="16"/>
      <c r="T1748" s="17"/>
      <c r="AC1748" s="17"/>
    </row>
    <row r="1749">
      <c r="B1749" s="11">
        <f>IFERROR(__xludf.DUMMYFUNCTION("""COMPUTED_VALUE"""),43482.66666666667)</f>
        <v>43482.66667</v>
      </c>
      <c r="C1749" s="9">
        <f>IFERROR(__xludf.DUMMYFUNCTION("""COMPUTED_VALUE"""),92.26)</f>
        <v>92.26</v>
      </c>
      <c r="K1749" s="16"/>
      <c r="T1749" s="17"/>
      <c r="AC1749" s="17"/>
    </row>
    <row r="1750">
      <c r="B1750" s="11">
        <f>IFERROR(__xludf.DUMMYFUNCTION("""COMPUTED_VALUE"""),43481.66666666667)</f>
        <v>43481.66667</v>
      </c>
      <c r="C1750" s="9">
        <f>IFERROR(__xludf.DUMMYFUNCTION("""COMPUTED_VALUE"""),90.87)</f>
        <v>90.87</v>
      </c>
      <c r="K1750" s="16"/>
      <c r="T1750" s="17"/>
      <c r="AC1750" s="17"/>
    </row>
    <row r="1751">
      <c r="B1751" s="11">
        <f>IFERROR(__xludf.DUMMYFUNCTION("""COMPUTED_VALUE"""),43480.66666666667)</f>
        <v>43480.66667</v>
      </c>
      <c r="C1751" s="9">
        <f>IFERROR(__xludf.DUMMYFUNCTION("""COMPUTED_VALUE"""),91.05)</f>
        <v>91.05</v>
      </c>
      <c r="K1751" s="16"/>
      <c r="T1751" s="17"/>
      <c r="AC1751" s="17"/>
    </row>
    <row r="1752">
      <c r="B1752" s="11">
        <f>IFERROR(__xludf.DUMMYFUNCTION("""COMPUTED_VALUE"""),43479.66666666667)</f>
        <v>43479.66667</v>
      </c>
      <c r="C1752" s="9">
        <f>IFERROR(__xludf.DUMMYFUNCTION("""COMPUTED_VALUE"""),90.86)</f>
        <v>90.86</v>
      </c>
      <c r="K1752" s="16"/>
      <c r="T1752" s="17"/>
      <c r="AC1752" s="17"/>
    </row>
    <row r="1753">
      <c r="B1753" s="11">
        <f>IFERROR(__xludf.DUMMYFUNCTION("""COMPUTED_VALUE"""),43476.66666666667)</f>
        <v>43476.66667</v>
      </c>
      <c r="C1753" s="9">
        <f>IFERROR(__xludf.DUMMYFUNCTION("""COMPUTED_VALUE"""),90.9)</f>
        <v>90.9</v>
      </c>
      <c r="K1753" s="16"/>
      <c r="T1753" s="17"/>
      <c r="AC1753" s="17"/>
    </row>
    <row r="1754">
      <c r="B1754" s="11">
        <f>IFERROR(__xludf.DUMMYFUNCTION("""COMPUTED_VALUE"""),43475.66666666667)</f>
        <v>43475.66667</v>
      </c>
      <c r="C1754" s="9">
        <f>IFERROR(__xludf.DUMMYFUNCTION("""COMPUTED_VALUE"""),90.73)</f>
        <v>90.73</v>
      </c>
      <c r="K1754" s="16"/>
      <c r="T1754" s="17"/>
      <c r="AC1754" s="17"/>
    </row>
    <row r="1755">
      <c r="B1755" s="11">
        <f>IFERROR(__xludf.DUMMYFUNCTION("""COMPUTED_VALUE"""),43474.66666666667)</f>
        <v>43474.66667</v>
      </c>
      <c r="C1755" s="9">
        <f>IFERROR(__xludf.DUMMYFUNCTION("""COMPUTED_VALUE"""),89.54)</f>
        <v>89.54</v>
      </c>
      <c r="K1755" s="16"/>
      <c r="T1755" s="17"/>
      <c r="AC1755" s="17"/>
    </row>
    <row r="1756">
      <c r="B1756" s="11">
        <f>IFERROR(__xludf.DUMMYFUNCTION("""COMPUTED_VALUE"""),43473.66666666667)</f>
        <v>43473.66667</v>
      </c>
      <c r="C1756" s="9">
        <f>IFERROR(__xludf.DUMMYFUNCTION("""COMPUTED_VALUE"""),89.08)</f>
        <v>89.08</v>
      </c>
      <c r="K1756" s="16"/>
      <c r="T1756" s="17"/>
      <c r="AC1756" s="17"/>
    </row>
    <row r="1757">
      <c r="B1757" s="11">
        <f>IFERROR(__xludf.DUMMYFUNCTION("""COMPUTED_VALUE"""),43472.66666666667)</f>
        <v>43472.66667</v>
      </c>
      <c r="C1757" s="9">
        <f>IFERROR(__xludf.DUMMYFUNCTION("""COMPUTED_VALUE"""),87.64)</f>
        <v>87.64</v>
      </c>
      <c r="K1757" s="16"/>
      <c r="T1757" s="17"/>
      <c r="AC1757" s="17"/>
    </row>
    <row r="1758">
      <c r="B1758" s="11">
        <f>IFERROR(__xludf.DUMMYFUNCTION("""COMPUTED_VALUE"""),43469.66666666667)</f>
        <v>43469.66667</v>
      </c>
      <c r="C1758" s="9">
        <f>IFERROR(__xludf.DUMMYFUNCTION("""COMPUTED_VALUE"""),86.92)</f>
        <v>86.92</v>
      </c>
      <c r="K1758" s="16"/>
      <c r="T1758" s="17"/>
      <c r="AC1758" s="17"/>
    </row>
    <row r="1759">
      <c r="B1759" s="11">
        <f>IFERROR(__xludf.DUMMYFUNCTION("""COMPUTED_VALUE"""),43468.66666666667)</f>
        <v>43468.66667</v>
      </c>
      <c r="C1759" s="9">
        <f>IFERROR(__xludf.DUMMYFUNCTION("""COMPUTED_VALUE"""),84.17)</f>
        <v>84.17</v>
      </c>
      <c r="K1759" s="16"/>
      <c r="T1759" s="17"/>
      <c r="AC1759" s="17"/>
    </row>
    <row r="1760">
      <c r="B1760" s="11">
        <f>IFERROR(__xludf.DUMMYFUNCTION("""COMPUTED_VALUE"""),43467.66666666667)</f>
        <v>43467.66667</v>
      </c>
      <c r="C1760" s="9">
        <f>IFERROR(__xludf.DUMMYFUNCTION("""COMPUTED_VALUE"""),86.78)</f>
        <v>86.78</v>
      </c>
      <c r="K1760" s="16"/>
      <c r="T1760" s="17"/>
      <c r="AC1760" s="17"/>
    </row>
    <row r="1761">
      <c r="B1761" s="11">
        <f>IFERROR(__xludf.DUMMYFUNCTION("""COMPUTED_VALUE"""),43465.66666666667)</f>
        <v>43465.66667</v>
      </c>
      <c r="C1761" s="9">
        <f>IFERROR(__xludf.DUMMYFUNCTION("""COMPUTED_VALUE"""),86.43)</f>
        <v>86.43</v>
      </c>
      <c r="K1761" s="16"/>
      <c r="T1761" s="17"/>
      <c r="AC1761" s="17"/>
    </row>
    <row r="1762">
      <c r="B1762" s="11">
        <f>IFERROR(__xludf.DUMMYFUNCTION("""COMPUTED_VALUE"""),43462.66666666667)</f>
        <v>43462.66667</v>
      </c>
      <c r="C1762" s="9">
        <f>IFERROR(__xludf.DUMMYFUNCTION("""COMPUTED_VALUE"""),85.43)</f>
        <v>85.43</v>
      </c>
      <c r="K1762" s="16"/>
      <c r="T1762" s="17"/>
      <c r="AC1762" s="17"/>
    </row>
    <row r="1763">
      <c r="B1763" s="11">
        <f>IFERROR(__xludf.DUMMYFUNCTION("""COMPUTED_VALUE"""),43461.66666666667)</f>
        <v>43461.66667</v>
      </c>
      <c r="C1763" s="9">
        <f>IFERROR(__xludf.DUMMYFUNCTION("""COMPUTED_VALUE"""),85.33)</f>
        <v>85.33</v>
      </c>
      <c r="K1763" s="16"/>
      <c r="T1763" s="17"/>
      <c r="AC1763" s="17"/>
    </row>
    <row r="1764">
      <c r="B1764" s="11">
        <f>IFERROR(__xludf.DUMMYFUNCTION("""COMPUTED_VALUE"""),43460.66666666667)</f>
        <v>43460.66667</v>
      </c>
      <c r="C1764" s="9">
        <f>IFERROR(__xludf.DUMMYFUNCTION("""COMPUTED_VALUE"""),84.06)</f>
        <v>84.06</v>
      </c>
      <c r="K1764" s="16"/>
      <c r="T1764" s="17"/>
      <c r="AC1764" s="17"/>
    </row>
    <row r="1765">
      <c r="B1765" s="11">
        <f>IFERROR(__xludf.DUMMYFUNCTION("""COMPUTED_VALUE"""),43458.54166666667)</f>
        <v>43458.54167</v>
      </c>
      <c r="C1765" s="9">
        <f>IFERROR(__xludf.DUMMYFUNCTION("""COMPUTED_VALUE"""),81.02)</f>
        <v>81.02</v>
      </c>
      <c r="K1765" s="16"/>
      <c r="T1765" s="17"/>
      <c r="AC1765" s="17"/>
    </row>
    <row r="1766">
      <c r="B1766" s="11">
        <f>IFERROR(__xludf.DUMMYFUNCTION("""COMPUTED_VALUE"""),43455.66666666667)</f>
        <v>43455.66667</v>
      </c>
      <c r="C1766" s="9">
        <f>IFERROR(__xludf.DUMMYFUNCTION("""COMPUTED_VALUE"""),83.51)</f>
        <v>83.51</v>
      </c>
      <c r="K1766" s="16"/>
      <c r="T1766" s="17"/>
      <c r="AC1766" s="17"/>
    </row>
    <row r="1767">
      <c r="B1767" s="11">
        <f>IFERROR(__xludf.DUMMYFUNCTION("""COMPUTED_VALUE"""),43454.66666666667)</f>
        <v>43454.66667</v>
      </c>
      <c r="C1767" s="9">
        <f>IFERROR(__xludf.DUMMYFUNCTION("""COMPUTED_VALUE"""),85.65)</f>
        <v>85.65</v>
      </c>
      <c r="K1767" s="16"/>
      <c r="T1767" s="17"/>
      <c r="AC1767" s="17"/>
    </row>
    <row r="1768">
      <c r="B1768" s="11">
        <f>IFERROR(__xludf.DUMMYFUNCTION("""COMPUTED_VALUE"""),43453.66666666667)</f>
        <v>43453.66667</v>
      </c>
      <c r="C1768" s="9">
        <f>IFERROR(__xludf.DUMMYFUNCTION("""COMPUTED_VALUE"""),88.12)</f>
        <v>88.12</v>
      </c>
      <c r="K1768" s="16"/>
      <c r="T1768" s="17"/>
      <c r="AC1768" s="17"/>
    </row>
    <row r="1769">
      <c r="B1769" s="11">
        <f>IFERROR(__xludf.DUMMYFUNCTION("""COMPUTED_VALUE"""),43452.66666666667)</f>
        <v>43452.66667</v>
      </c>
      <c r="C1769" s="9">
        <f>IFERROR(__xludf.DUMMYFUNCTION("""COMPUTED_VALUE"""),90.25)</f>
        <v>90.25</v>
      </c>
      <c r="K1769" s="16"/>
      <c r="T1769" s="17"/>
      <c r="AC1769" s="17"/>
    </row>
    <row r="1770">
      <c r="B1770" s="11">
        <f>IFERROR(__xludf.DUMMYFUNCTION("""COMPUTED_VALUE"""),43451.66666666667)</f>
        <v>43451.66667</v>
      </c>
      <c r="C1770" s="9">
        <f>IFERROR(__xludf.DUMMYFUNCTION("""COMPUTED_VALUE"""),89.68)</f>
        <v>89.68</v>
      </c>
      <c r="K1770" s="16"/>
      <c r="T1770" s="17"/>
      <c r="AC1770" s="17"/>
    </row>
    <row r="1771">
      <c r="B1771" s="11">
        <f>IFERROR(__xludf.DUMMYFUNCTION("""COMPUTED_VALUE"""),43448.66666666667)</f>
        <v>43448.66667</v>
      </c>
      <c r="C1771" s="9">
        <f>IFERROR(__xludf.DUMMYFUNCTION("""COMPUTED_VALUE"""),91.52)</f>
        <v>91.52</v>
      </c>
      <c r="K1771" s="16"/>
      <c r="T1771" s="17"/>
      <c r="AC1771" s="17"/>
    </row>
    <row r="1772">
      <c r="B1772" s="11">
        <f>IFERROR(__xludf.DUMMYFUNCTION("""COMPUTED_VALUE"""),43447.66666666667)</f>
        <v>43447.66667</v>
      </c>
      <c r="C1772" s="9">
        <f>IFERROR(__xludf.DUMMYFUNCTION("""COMPUTED_VALUE"""),92.34)</f>
        <v>92.34</v>
      </c>
      <c r="K1772" s="16"/>
      <c r="T1772" s="17"/>
      <c r="AC1772" s="17"/>
    </row>
    <row r="1773">
      <c r="B1773" s="11">
        <f>IFERROR(__xludf.DUMMYFUNCTION("""COMPUTED_VALUE"""),43446.66666666667)</f>
        <v>43446.66667</v>
      </c>
      <c r="C1773" s="9">
        <f>IFERROR(__xludf.DUMMYFUNCTION("""COMPUTED_VALUE"""),93.05)</f>
        <v>93.05</v>
      </c>
      <c r="K1773" s="16"/>
      <c r="T1773" s="17"/>
      <c r="AC1773" s="17"/>
    </row>
    <row r="1774">
      <c r="B1774" s="11">
        <f>IFERROR(__xludf.DUMMYFUNCTION("""COMPUTED_VALUE"""),43445.66666666667)</f>
        <v>43445.66667</v>
      </c>
      <c r="C1774" s="9">
        <f>IFERROR(__xludf.DUMMYFUNCTION("""COMPUTED_VALUE"""),91.97)</f>
        <v>91.97</v>
      </c>
      <c r="K1774" s="16"/>
      <c r="T1774" s="17"/>
      <c r="AC1774" s="17"/>
    </row>
    <row r="1775">
      <c r="B1775" s="11">
        <f>IFERROR(__xludf.DUMMYFUNCTION("""COMPUTED_VALUE"""),43444.66666666667)</f>
        <v>43444.66667</v>
      </c>
      <c r="C1775" s="9">
        <f>IFERROR(__xludf.DUMMYFUNCTION("""COMPUTED_VALUE"""),92.39)</f>
        <v>92.39</v>
      </c>
      <c r="K1775" s="16"/>
      <c r="T1775" s="17"/>
      <c r="AC1775" s="17"/>
    </row>
    <row r="1776">
      <c r="B1776" s="11">
        <f>IFERROR(__xludf.DUMMYFUNCTION("""COMPUTED_VALUE"""),43441.66666666667)</f>
        <v>43441.66667</v>
      </c>
      <c r="C1776" s="9">
        <f>IFERROR(__xludf.DUMMYFUNCTION("""COMPUTED_VALUE"""),91.08)</f>
        <v>91.08</v>
      </c>
      <c r="K1776" s="16"/>
      <c r="T1776" s="17"/>
      <c r="AC1776" s="17"/>
    </row>
    <row r="1777">
      <c r="B1777" s="11">
        <f>IFERROR(__xludf.DUMMYFUNCTION("""COMPUTED_VALUE"""),43440.66666666667)</f>
        <v>43440.66667</v>
      </c>
      <c r="C1777" s="9">
        <f>IFERROR(__xludf.DUMMYFUNCTION("""COMPUTED_VALUE"""),92.41)</f>
        <v>92.41</v>
      </c>
      <c r="K1777" s="16"/>
      <c r="T1777" s="17"/>
      <c r="AC1777" s="17"/>
    </row>
    <row r="1778">
      <c r="B1778" s="11">
        <f>IFERROR(__xludf.DUMMYFUNCTION("""COMPUTED_VALUE"""),43438.66666666667)</f>
        <v>43438.66667</v>
      </c>
      <c r="C1778" s="9">
        <f>IFERROR(__xludf.DUMMYFUNCTION("""COMPUTED_VALUE"""),92.88)</f>
        <v>92.88</v>
      </c>
      <c r="K1778" s="16"/>
      <c r="T1778" s="17"/>
      <c r="AC1778" s="17"/>
    </row>
    <row r="1779">
      <c r="B1779" s="11">
        <f>IFERROR(__xludf.DUMMYFUNCTION("""COMPUTED_VALUE"""),43437.66666666667)</f>
        <v>43437.66667</v>
      </c>
      <c r="C1779" s="9">
        <f>IFERROR(__xludf.DUMMYFUNCTION("""COMPUTED_VALUE"""),96.73)</f>
        <v>96.73</v>
      </c>
      <c r="K1779" s="16"/>
      <c r="T1779" s="17"/>
      <c r="AC1779" s="17"/>
    </row>
    <row r="1780">
      <c r="B1780" s="11">
        <f>IFERROR(__xludf.DUMMYFUNCTION("""COMPUTED_VALUE"""),43434.66666666667)</f>
        <v>43434.66667</v>
      </c>
      <c r="C1780" s="9">
        <f>IFERROR(__xludf.DUMMYFUNCTION("""COMPUTED_VALUE"""),96.01)</f>
        <v>96.01</v>
      </c>
      <c r="K1780" s="16"/>
      <c r="T1780" s="17"/>
      <c r="AC1780" s="17"/>
    </row>
    <row r="1781">
      <c r="B1781" s="11">
        <f>IFERROR(__xludf.DUMMYFUNCTION("""COMPUTED_VALUE"""),43433.66666666667)</f>
        <v>43433.66667</v>
      </c>
      <c r="C1781" s="9">
        <f>IFERROR(__xludf.DUMMYFUNCTION("""COMPUTED_VALUE"""),95.56)</f>
        <v>95.56</v>
      </c>
      <c r="K1781" s="16"/>
      <c r="T1781" s="17"/>
      <c r="AC1781" s="17"/>
    </row>
    <row r="1782">
      <c r="B1782" s="11">
        <f>IFERROR(__xludf.DUMMYFUNCTION("""COMPUTED_VALUE"""),43432.66666666667)</f>
        <v>43432.66667</v>
      </c>
      <c r="C1782" s="9">
        <f>IFERROR(__xludf.DUMMYFUNCTION("""COMPUTED_VALUE"""),95.4)</f>
        <v>95.4</v>
      </c>
      <c r="K1782" s="16"/>
      <c r="T1782" s="17"/>
      <c r="AC1782" s="17"/>
    </row>
    <row r="1783">
      <c r="B1783" s="11">
        <f>IFERROR(__xludf.DUMMYFUNCTION("""COMPUTED_VALUE"""),43431.66666666667)</f>
        <v>43431.66667</v>
      </c>
      <c r="C1783" s="9">
        <f>IFERROR(__xludf.DUMMYFUNCTION("""COMPUTED_VALUE"""),93.33)</f>
        <v>93.33</v>
      </c>
      <c r="K1783" s="16"/>
      <c r="T1783" s="17"/>
      <c r="AC1783" s="17"/>
    </row>
    <row r="1784">
      <c r="B1784" s="11">
        <f>IFERROR(__xludf.DUMMYFUNCTION("""COMPUTED_VALUE"""),43430.66666666667)</f>
        <v>43430.66667</v>
      </c>
      <c r="C1784" s="9">
        <f>IFERROR(__xludf.DUMMYFUNCTION("""COMPUTED_VALUE"""),94.76)</f>
        <v>94.76</v>
      </c>
      <c r="K1784" s="16"/>
      <c r="T1784" s="17"/>
      <c r="AC1784" s="17"/>
    </row>
    <row r="1785">
      <c r="B1785" s="11">
        <f>IFERROR(__xludf.DUMMYFUNCTION("""COMPUTED_VALUE"""),43427.54166666667)</f>
        <v>43427.54167</v>
      </c>
      <c r="C1785" s="9">
        <f>IFERROR(__xludf.DUMMYFUNCTION("""COMPUTED_VALUE"""),94.2)</f>
        <v>94.2</v>
      </c>
      <c r="K1785" s="16"/>
      <c r="T1785" s="17"/>
      <c r="AC1785" s="17"/>
    </row>
    <row r="1786">
      <c r="B1786" s="11">
        <f>IFERROR(__xludf.DUMMYFUNCTION("""COMPUTED_VALUE"""),43425.66666666667)</f>
        <v>43425.66667</v>
      </c>
      <c r="C1786" s="9">
        <f>IFERROR(__xludf.DUMMYFUNCTION("""COMPUTED_VALUE"""),93.55)</f>
        <v>93.55</v>
      </c>
      <c r="K1786" s="16"/>
      <c r="T1786" s="17"/>
      <c r="AC1786" s="17"/>
    </row>
    <row r="1787">
      <c r="B1787" s="11">
        <f>IFERROR(__xludf.DUMMYFUNCTION("""COMPUTED_VALUE"""),43424.66666666667)</f>
        <v>43424.66667</v>
      </c>
      <c r="C1787" s="9">
        <f>IFERROR(__xludf.DUMMYFUNCTION("""COMPUTED_VALUE"""),93.07)</f>
        <v>93.07</v>
      </c>
      <c r="K1787" s="16"/>
      <c r="T1787" s="17"/>
      <c r="AC1787" s="17"/>
    </row>
    <row r="1788">
      <c r="B1788" s="11">
        <f>IFERROR(__xludf.DUMMYFUNCTION("""COMPUTED_VALUE"""),43423.66666666667)</f>
        <v>43423.66667</v>
      </c>
      <c r="C1788" s="9">
        <f>IFERROR(__xludf.DUMMYFUNCTION("""COMPUTED_VALUE"""),94.68)</f>
        <v>94.68</v>
      </c>
      <c r="K1788" s="16"/>
      <c r="T1788" s="17"/>
      <c r="AC1788" s="17"/>
    </row>
    <row r="1789">
      <c r="B1789" s="11">
        <f>IFERROR(__xludf.DUMMYFUNCTION("""COMPUTED_VALUE"""),43420.66666666667)</f>
        <v>43420.66667</v>
      </c>
      <c r="C1789" s="9">
        <f>IFERROR(__xludf.DUMMYFUNCTION("""COMPUTED_VALUE"""),97.26)</f>
        <v>97.26</v>
      </c>
      <c r="K1789" s="16"/>
      <c r="T1789" s="17"/>
      <c r="AC1789" s="17"/>
    </row>
    <row r="1790">
      <c r="B1790" s="11">
        <f>IFERROR(__xludf.DUMMYFUNCTION("""COMPUTED_VALUE"""),43419.66666666667)</f>
        <v>43419.66667</v>
      </c>
      <c r="C1790" s="9">
        <f>IFERROR(__xludf.DUMMYFUNCTION("""COMPUTED_VALUE"""),97.65)</f>
        <v>97.65</v>
      </c>
      <c r="K1790" s="16"/>
      <c r="T1790" s="17"/>
      <c r="AC1790" s="17"/>
    </row>
    <row r="1791">
      <c r="B1791" s="11">
        <f>IFERROR(__xludf.DUMMYFUNCTION("""COMPUTED_VALUE"""),43418.66666666667)</f>
        <v>43418.66667</v>
      </c>
      <c r="C1791" s="9">
        <f>IFERROR(__xludf.DUMMYFUNCTION("""COMPUTED_VALUE"""),96.57)</f>
        <v>96.57</v>
      </c>
      <c r="K1791" s="16"/>
      <c r="T1791" s="17"/>
      <c r="AC1791" s="17"/>
    </row>
    <row r="1792">
      <c r="B1792" s="11">
        <f>IFERROR(__xludf.DUMMYFUNCTION("""COMPUTED_VALUE"""),43417.66666666667)</f>
        <v>43417.66667</v>
      </c>
      <c r="C1792" s="9">
        <f>IFERROR(__xludf.DUMMYFUNCTION("""COMPUTED_VALUE"""),97.37)</f>
        <v>97.37</v>
      </c>
      <c r="K1792" s="16"/>
      <c r="T1792" s="17"/>
      <c r="AC1792" s="17"/>
    </row>
    <row r="1793">
      <c r="B1793" s="11">
        <f>IFERROR(__xludf.DUMMYFUNCTION("""COMPUTED_VALUE"""),43416.66666666667)</f>
        <v>43416.66667</v>
      </c>
      <c r="C1793" s="9">
        <f>IFERROR(__xludf.DUMMYFUNCTION("""COMPUTED_VALUE"""),97.75)</f>
        <v>97.75</v>
      </c>
      <c r="K1793" s="16"/>
      <c r="T1793" s="17"/>
      <c r="AC1793" s="17"/>
    </row>
    <row r="1794">
      <c r="B1794" s="11">
        <f>IFERROR(__xludf.DUMMYFUNCTION("""COMPUTED_VALUE"""),43413.66666666667)</f>
        <v>43413.66667</v>
      </c>
      <c r="C1794" s="9">
        <f>IFERROR(__xludf.DUMMYFUNCTION("""COMPUTED_VALUE"""),100.48)</f>
        <v>100.48</v>
      </c>
      <c r="K1794" s="16"/>
      <c r="T1794" s="17"/>
      <c r="AC1794" s="17"/>
    </row>
    <row r="1795">
      <c r="B1795" s="11">
        <f>IFERROR(__xludf.DUMMYFUNCTION("""COMPUTED_VALUE"""),43412.66666666667)</f>
        <v>43412.66667</v>
      </c>
      <c r="C1795" s="9">
        <f>IFERROR(__xludf.DUMMYFUNCTION("""COMPUTED_VALUE"""),100.38)</f>
        <v>100.38</v>
      </c>
      <c r="K1795" s="16"/>
      <c r="T1795" s="17"/>
      <c r="AC1795" s="17"/>
    </row>
    <row r="1796">
      <c r="B1796" s="11">
        <f>IFERROR(__xludf.DUMMYFUNCTION("""COMPUTED_VALUE"""),43411.66666666667)</f>
        <v>43411.66667</v>
      </c>
      <c r="C1796" s="9">
        <f>IFERROR(__xludf.DUMMYFUNCTION("""COMPUTED_VALUE"""),100.67)</f>
        <v>100.67</v>
      </c>
      <c r="K1796" s="16"/>
      <c r="T1796" s="17"/>
      <c r="AC1796" s="17"/>
    </row>
    <row r="1797">
      <c r="B1797" s="11">
        <f>IFERROR(__xludf.DUMMYFUNCTION("""COMPUTED_VALUE"""),43410.66666666667)</f>
        <v>43410.66667</v>
      </c>
      <c r="C1797" s="9">
        <f>IFERROR(__xludf.DUMMYFUNCTION("""COMPUTED_VALUE"""),99.81)</f>
        <v>99.81</v>
      </c>
      <c r="K1797" s="16"/>
      <c r="T1797" s="17"/>
      <c r="AC1797" s="17"/>
    </row>
    <row r="1798">
      <c r="B1798" s="11">
        <f>IFERROR(__xludf.DUMMYFUNCTION("""COMPUTED_VALUE"""),43409.66666666667)</f>
        <v>43409.66667</v>
      </c>
      <c r="C1798" s="9">
        <f>IFERROR(__xludf.DUMMYFUNCTION("""COMPUTED_VALUE"""),98.62)</f>
        <v>98.62</v>
      </c>
      <c r="K1798" s="16"/>
      <c r="T1798" s="17"/>
      <c r="AC1798" s="17"/>
    </row>
    <row r="1799">
      <c r="B1799" s="11">
        <f>IFERROR(__xludf.DUMMYFUNCTION("""COMPUTED_VALUE"""),43406.66666666667)</f>
        <v>43406.66667</v>
      </c>
      <c r="C1799" s="9">
        <f>IFERROR(__xludf.DUMMYFUNCTION("""COMPUTED_VALUE"""),98.02)</f>
        <v>98.02</v>
      </c>
      <c r="K1799" s="16"/>
      <c r="T1799" s="17"/>
      <c r="AC1799" s="17"/>
    </row>
    <row r="1800">
      <c r="B1800" s="11">
        <f>IFERROR(__xludf.DUMMYFUNCTION("""COMPUTED_VALUE"""),43405.66666666667)</f>
        <v>43405.66667</v>
      </c>
      <c r="C1800" s="9">
        <f>IFERROR(__xludf.DUMMYFUNCTION("""COMPUTED_VALUE"""),98.14)</f>
        <v>98.14</v>
      </c>
      <c r="K1800" s="16"/>
      <c r="T1800" s="17"/>
      <c r="AC1800" s="17"/>
    </row>
    <row r="1801">
      <c r="B1801" s="11">
        <f>IFERROR(__xludf.DUMMYFUNCTION("""COMPUTED_VALUE"""),43404.66666666667)</f>
        <v>43404.66667</v>
      </c>
      <c r="C1801" s="9">
        <f>IFERROR(__xludf.DUMMYFUNCTION("""COMPUTED_VALUE"""),95.86)</f>
        <v>95.86</v>
      </c>
      <c r="K1801" s="16"/>
      <c r="T1801" s="17"/>
      <c r="AC1801" s="17"/>
    </row>
    <row r="1802">
      <c r="B1802" s="11">
        <f>IFERROR(__xludf.DUMMYFUNCTION("""COMPUTED_VALUE"""),43403.66666666667)</f>
        <v>43403.66667</v>
      </c>
      <c r="C1802" s="9">
        <f>IFERROR(__xludf.DUMMYFUNCTION("""COMPUTED_VALUE"""),94.54)</f>
        <v>94.54</v>
      </c>
      <c r="K1802" s="16"/>
      <c r="T1802" s="17"/>
      <c r="AC1802" s="17"/>
    </row>
    <row r="1803">
      <c r="B1803" s="11">
        <f>IFERROR(__xludf.DUMMYFUNCTION("""COMPUTED_VALUE"""),43402.66666666667)</f>
        <v>43402.66667</v>
      </c>
      <c r="C1803" s="9">
        <f>IFERROR(__xludf.DUMMYFUNCTION("""COMPUTED_VALUE"""),92.42)</f>
        <v>92.42</v>
      </c>
      <c r="K1803" s="16"/>
      <c r="T1803" s="17"/>
      <c r="AC1803" s="17"/>
    </row>
    <row r="1804">
      <c r="B1804" s="11">
        <f>IFERROR(__xludf.DUMMYFUNCTION("""COMPUTED_VALUE"""),43399.66666666667)</f>
        <v>43399.66667</v>
      </c>
      <c r="C1804" s="9">
        <f>IFERROR(__xludf.DUMMYFUNCTION("""COMPUTED_VALUE"""),96.05)</f>
        <v>96.05</v>
      </c>
      <c r="K1804" s="16"/>
      <c r="T1804" s="17"/>
      <c r="AC1804" s="17"/>
    </row>
    <row r="1805">
      <c r="B1805" s="11">
        <f>IFERROR(__xludf.DUMMYFUNCTION("""COMPUTED_VALUE"""),43398.66666666667)</f>
        <v>43398.66667</v>
      </c>
      <c r="C1805" s="9">
        <f>IFERROR(__xludf.DUMMYFUNCTION("""COMPUTED_VALUE"""),96.59)</f>
        <v>96.59</v>
      </c>
      <c r="K1805" s="16"/>
      <c r="T1805" s="17"/>
      <c r="AC1805" s="17"/>
    </row>
    <row r="1806">
      <c r="B1806" s="11">
        <f>IFERROR(__xludf.DUMMYFUNCTION("""COMPUTED_VALUE"""),43397.66666666667)</f>
        <v>43397.66667</v>
      </c>
      <c r="C1806" s="9">
        <f>IFERROR(__xludf.DUMMYFUNCTION("""COMPUTED_VALUE"""),96.74)</f>
        <v>96.74</v>
      </c>
      <c r="K1806" s="16"/>
      <c r="T1806" s="17"/>
      <c r="AC1806" s="17"/>
    </row>
    <row r="1807">
      <c r="B1807" s="11">
        <f>IFERROR(__xludf.DUMMYFUNCTION("""COMPUTED_VALUE"""),43396.66666666667)</f>
        <v>43396.66667</v>
      </c>
      <c r="C1807" s="9">
        <f>IFERROR(__xludf.DUMMYFUNCTION("""COMPUTED_VALUE"""),100.17)</f>
        <v>100.17</v>
      </c>
      <c r="K1807" s="16"/>
      <c r="T1807" s="17"/>
      <c r="AC1807" s="17"/>
    </row>
    <row r="1808">
      <c r="B1808" s="11">
        <f>IFERROR(__xludf.DUMMYFUNCTION("""COMPUTED_VALUE"""),43395.66666666667)</f>
        <v>43395.66667</v>
      </c>
      <c r="C1808" s="9">
        <f>IFERROR(__xludf.DUMMYFUNCTION("""COMPUTED_VALUE"""),100.86)</f>
        <v>100.86</v>
      </c>
      <c r="K1808" s="16"/>
      <c r="T1808" s="17"/>
      <c r="AC1808" s="17"/>
    </row>
    <row r="1809">
      <c r="B1809" s="11">
        <f>IFERROR(__xludf.DUMMYFUNCTION("""COMPUTED_VALUE"""),43392.66666666667)</f>
        <v>43392.66667</v>
      </c>
      <c r="C1809" s="9">
        <f>IFERROR(__xludf.DUMMYFUNCTION("""COMPUTED_VALUE"""),100.98)</f>
        <v>100.98</v>
      </c>
      <c r="K1809" s="16"/>
      <c r="T1809" s="17"/>
      <c r="AC1809" s="17"/>
    </row>
    <row r="1810">
      <c r="B1810" s="11">
        <f>IFERROR(__xludf.DUMMYFUNCTION("""COMPUTED_VALUE"""),43391.66666666667)</f>
        <v>43391.66667</v>
      </c>
      <c r="C1810" s="9">
        <f>IFERROR(__xludf.DUMMYFUNCTION("""COMPUTED_VALUE"""),101.53)</f>
        <v>101.53</v>
      </c>
      <c r="K1810" s="16"/>
      <c r="T1810" s="17"/>
      <c r="AC1810" s="17"/>
    </row>
    <row r="1811">
      <c r="B1811" s="11">
        <f>IFERROR(__xludf.DUMMYFUNCTION("""COMPUTED_VALUE"""),43390.66666666667)</f>
        <v>43390.66667</v>
      </c>
      <c r="C1811" s="9">
        <f>IFERROR(__xludf.DUMMYFUNCTION("""COMPUTED_VALUE"""),103.21)</f>
        <v>103.21</v>
      </c>
      <c r="K1811" s="16"/>
      <c r="T1811" s="17"/>
      <c r="AC1811" s="17"/>
    </row>
    <row r="1812">
      <c r="B1812" s="11">
        <f>IFERROR(__xludf.DUMMYFUNCTION("""COMPUTED_VALUE"""),43389.66666666667)</f>
        <v>43389.66667</v>
      </c>
      <c r="C1812" s="9">
        <f>IFERROR(__xludf.DUMMYFUNCTION("""COMPUTED_VALUE"""),104.19)</f>
        <v>104.19</v>
      </c>
      <c r="K1812" s="16"/>
      <c r="T1812" s="17"/>
      <c r="AC1812" s="17"/>
    </row>
    <row r="1813">
      <c r="B1813" s="11">
        <f>IFERROR(__xludf.DUMMYFUNCTION("""COMPUTED_VALUE"""),43388.66666666667)</f>
        <v>43388.66667</v>
      </c>
      <c r="C1813" s="9">
        <f>IFERROR(__xludf.DUMMYFUNCTION("""COMPUTED_VALUE"""),101.94)</f>
        <v>101.94</v>
      </c>
      <c r="K1813" s="16"/>
      <c r="T1813" s="17"/>
      <c r="AC1813" s="17"/>
    </row>
    <row r="1814">
      <c r="B1814" s="11">
        <f>IFERROR(__xludf.DUMMYFUNCTION("""COMPUTED_VALUE"""),43385.66666666667)</f>
        <v>43385.66667</v>
      </c>
      <c r="C1814" s="9">
        <f>IFERROR(__xludf.DUMMYFUNCTION("""COMPUTED_VALUE"""),100.51)</f>
        <v>100.51</v>
      </c>
      <c r="K1814" s="16"/>
      <c r="T1814" s="17"/>
      <c r="AC1814" s="17"/>
    </row>
    <row r="1815">
      <c r="B1815" s="11">
        <f>IFERROR(__xludf.DUMMYFUNCTION("""COMPUTED_VALUE"""),43384.66666666667)</f>
        <v>43384.66667</v>
      </c>
      <c r="C1815" s="9">
        <f>IFERROR(__xludf.DUMMYFUNCTION("""COMPUTED_VALUE"""),100.09)</f>
        <v>100.09</v>
      </c>
      <c r="K1815" s="16"/>
      <c r="T1815" s="17"/>
      <c r="AC1815" s="17"/>
    </row>
    <row r="1816">
      <c r="B1816" s="11">
        <f>IFERROR(__xludf.DUMMYFUNCTION("""COMPUTED_VALUE"""),43383.66666666667)</f>
        <v>43383.66667</v>
      </c>
      <c r="C1816" s="9">
        <f>IFERROR(__xludf.DUMMYFUNCTION("""COMPUTED_VALUE"""),102.88)</f>
        <v>102.88</v>
      </c>
      <c r="K1816" s="16"/>
      <c r="T1816" s="17"/>
      <c r="AC1816" s="17"/>
    </row>
    <row r="1817">
      <c r="B1817" s="11">
        <f>IFERROR(__xludf.DUMMYFUNCTION("""COMPUTED_VALUE"""),43382.66666666667)</f>
        <v>43382.66667</v>
      </c>
      <c r="C1817" s="9">
        <f>IFERROR(__xludf.DUMMYFUNCTION("""COMPUTED_VALUE"""),106.28)</f>
        <v>106.28</v>
      </c>
      <c r="K1817" s="16"/>
      <c r="T1817" s="17"/>
      <c r="AC1817" s="17"/>
    </row>
    <row r="1818">
      <c r="B1818" s="11">
        <f>IFERROR(__xludf.DUMMYFUNCTION("""COMPUTED_VALUE"""),43381.66666666667)</f>
        <v>43381.66667</v>
      </c>
      <c r="C1818" s="9">
        <f>IFERROR(__xludf.DUMMYFUNCTION("""COMPUTED_VALUE"""),107.71)</f>
        <v>107.71</v>
      </c>
      <c r="K1818" s="16"/>
      <c r="T1818" s="17"/>
      <c r="AC1818" s="17"/>
    </row>
    <row r="1819">
      <c r="B1819" s="11">
        <f>IFERROR(__xludf.DUMMYFUNCTION("""COMPUTED_VALUE"""),43378.66666666667)</f>
        <v>43378.66667</v>
      </c>
      <c r="C1819" s="9">
        <f>IFERROR(__xludf.DUMMYFUNCTION("""COMPUTED_VALUE"""),107.55)</f>
        <v>107.55</v>
      </c>
      <c r="K1819" s="16"/>
      <c r="T1819" s="17"/>
      <c r="AC1819" s="17"/>
    </row>
    <row r="1820">
      <c r="B1820" s="11">
        <f>IFERROR(__xludf.DUMMYFUNCTION("""COMPUTED_VALUE"""),43377.66666666667)</f>
        <v>43377.66667</v>
      </c>
      <c r="C1820" s="9">
        <f>IFERROR(__xludf.DUMMYFUNCTION("""COMPUTED_VALUE"""),108.33)</f>
        <v>108.33</v>
      </c>
      <c r="K1820" s="16"/>
      <c r="T1820" s="17"/>
      <c r="AC1820" s="17"/>
    </row>
    <row r="1821">
      <c r="B1821" s="11">
        <f>IFERROR(__xludf.DUMMYFUNCTION("""COMPUTED_VALUE"""),43376.66666666667)</f>
        <v>43376.66667</v>
      </c>
      <c r="C1821" s="9">
        <f>IFERROR(__xludf.DUMMYFUNCTION("""COMPUTED_VALUE"""),108.82)</f>
        <v>108.82</v>
      </c>
      <c r="K1821" s="16"/>
      <c r="T1821" s="17"/>
      <c r="AC1821" s="17"/>
    </row>
    <row r="1822">
      <c r="B1822" s="11">
        <f>IFERROR(__xludf.DUMMYFUNCTION("""COMPUTED_VALUE"""),43375.66666666667)</f>
        <v>43375.66667</v>
      </c>
      <c r="C1822" s="9">
        <f>IFERROR(__xludf.DUMMYFUNCTION("""COMPUTED_VALUE"""),108.5)</f>
        <v>108.5</v>
      </c>
      <c r="K1822" s="16"/>
      <c r="T1822" s="17"/>
      <c r="AC1822" s="17"/>
    </row>
    <row r="1823">
      <c r="B1823" s="11">
        <f>IFERROR(__xludf.DUMMYFUNCTION("""COMPUTED_VALUE"""),43374.66666666667)</f>
        <v>43374.66667</v>
      </c>
      <c r="C1823" s="9">
        <f>IFERROR(__xludf.DUMMYFUNCTION("""COMPUTED_VALUE"""),108.58)</f>
        <v>108.58</v>
      </c>
      <c r="K1823" s="16"/>
      <c r="T1823" s="17"/>
      <c r="AC1823" s="17"/>
    </row>
    <row r="1824">
      <c r="B1824" s="11">
        <f>IFERROR(__xludf.DUMMYFUNCTION("""COMPUTED_VALUE"""),43371.66666666667)</f>
        <v>43371.66667</v>
      </c>
      <c r="C1824" s="9">
        <f>IFERROR(__xludf.DUMMYFUNCTION("""COMPUTED_VALUE"""),108.22)</f>
        <v>108.22</v>
      </c>
      <c r="K1824" s="16"/>
      <c r="T1824" s="17"/>
      <c r="AC1824" s="17"/>
    </row>
    <row r="1825">
      <c r="B1825" s="11">
        <f>IFERROR(__xludf.DUMMYFUNCTION("""COMPUTED_VALUE"""),43370.66666666667)</f>
        <v>43370.66667</v>
      </c>
      <c r="C1825" s="9">
        <f>IFERROR(__xludf.DUMMYFUNCTION("""COMPUTED_VALUE"""),107.58)</f>
        <v>107.58</v>
      </c>
      <c r="K1825" s="16"/>
      <c r="T1825" s="17"/>
      <c r="AC1825" s="17"/>
    </row>
    <row r="1826">
      <c r="B1826" s="11">
        <f>IFERROR(__xludf.DUMMYFUNCTION("""COMPUTED_VALUE"""),43369.66666666667)</f>
        <v>43369.66667</v>
      </c>
      <c r="C1826" s="9">
        <f>IFERROR(__xludf.DUMMYFUNCTION("""COMPUTED_VALUE"""),107.09)</f>
        <v>107.09</v>
      </c>
      <c r="K1826" s="16"/>
      <c r="T1826" s="17"/>
      <c r="AC1826" s="17"/>
    </row>
    <row r="1827">
      <c r="B1827" s="11">
        <f>IFERROR(__xludf.DUMMYFUNCTION("""COMPUTED_VALUE"""),43368.66666666667)</f>
        <v>43368.66667</v>
      </c>
      <c r="C1827" s="9">
        <f>IFERROR(__xludf.DUMMYFUNCTION("""COMPUTED_VALUE"""),107.94)</f>
        <v>107.94</v>
      </c>
      <c r="K1827" s="16"/>
      <c r="T1827" s="17"/>
      <c r="AC1827" s="17"/>
    </row>
    <row r="1828">
      <c r="B1828" s="11">
        <f>IFERROR(__xludf.DUMMYFUNCTION("""COMPUTED_VALUE"""),43367.66666666667)</f>
        <v>43367.66667</v>
      </c>
      <c r="C1828" s="9">
        <f>IFERROR(__xludf.DUMMYFUNCTION("""COMPUTED_VALUE"""),106.85)</f>
        <v>106.85</v>
      </c>
      <c r="K1828" s="16"/>
      <c r="T1828" s="17"/>
      <c r="AC1828" s="17"/>
    </row>
    <row r="1829">
      <c r="B1829" s="11">
        <f>IFERROR(__xludf.DUMMYFUNCTION("""COMPUTED_VALUE"""),43364.66666666667)</f>
        <v>43364.66667</v>
      </c>
      <c r="C1829" s="9">
        <f>IFERROR(__xludf.DUMMYFUNCTION("""COMPUTED_VALUE"""),107.97)</f>
        <v>107.97</v>
      </c>
      <c r="K1829" s="16"/>
      <c r="T1829" s="17"/>
      <c r="AC1829" s="17"/>
    </row>
    <row r="1830">
      <c r="B1830" s="11">
        <f>IFERROR(__xludf.DUMMYFUNCTION("""COMPUTED_VALUE"""),43363.66666666667)</f>
        <v>43363.66667</v>
      </c>
      <c r="C1830" s="9">
        <f>IFERROR(__xludf.DUMMYFUNCTION("""COMPUTED_VALUE"""),107.07)</f>
        <v>107.07</v>
      </c>
      <c r="K1830" s="16"/>
      <c r="T1830" s="17"/>
      <c r="AC1830" s="17"/>
    </row>
    <row r="1831">
      <c r="B1831" s="11">
        <f>IFERROR(__xludf.DUMMYFUNCTION("""COMPUTED_VALUE"""),43362.66666666667)</f>
        <v>43362.66667</v>
      </c>
      <c r="C1831" s="9">
        <f>IFERROR(__xludf.DUMMYFUNCTION("""COMPUTED_VALUE"""),107.93)</f>
        <v>107.93</v>
      </c>
      <c r="K1831" s="16"/>
      <c r="T1831" s="17"/>
      <c r="AC1831" s="17"/>
    </row>
    <row r="1832">
      <c r="B1832" s="11">
        <f>IFERROR(__xludf.DUMMYFUNCTION("""COMPUTED_VALUE"""),43361.66666666667)</f>
        <v>43361.66667</v>
      </c>
      <c r="C1832" s="9">
        <f>IFERROR(__xludf.DUMMYFUNCTION("""COMPUTED_VALUE"""),108.81)</f>
        <v>108.81</v>
      </c>
      <c r="K1832" s="16"/>
      <c r="T1832" s="17"/>
      <c r="AC1832" s="17"/>
    </row>
    <row r="1833">
      <c r="B1833" s="11">
        <f>IFERROR(__xludf.DUMMYFUNCTION("""COMPUTED_VALUE"""),43360.66666666667)</f>
        <v>43360.66667</v>
      </c>
      <c r="C1833" s="9">
        <f>IFERROR(__xludf.DUMMYFUNCTION("""COMPUTED_VALUE"""),107.51)</f>
        <v>107.51</v>
      </c>
      <c r="K1833" s="16"/>
      <c r="T1833" s="17"/>
      <c r="AC1833" s="17"/>
    </row>
    <row r="1834">
      <c r="B1834" s="11">
        <f>IFERROR(__xludf.DUMMYFUNCTION("""COMPUTED_VALUE"""),43357.66666666667)</f>
        <v>43357.66667</v>
      </c>
      <c r="C1834" s="9">
        <f>IFERROR(__xludf.DUMMYFUNCTION("""COMPUTED_VALUE"""),107.52)</f>
        <v>107.52</v>
      </c>
      <c r="K1834" s="16"/>
      <c r="T1834" s="17"/>
      <c r="AC1834" s="17"/>
    </row>
    <row r="1835">
      <c r="B1835" s="11">
        <f>IFERROR(__xludf.DUMMYFUNCTION("""COMPUTED_VALUE"""),43356.66666666667)</f>
        <v>43356.66667</v>
      </c>
      <c r="C1835" s="9">
        <f>IFERROR(__xludf.DUMMYFUNCTION("""COMPUTED_VALUE"""),105.99)</f>
        <v>105.99</v>
      </c>
      <c r="K1835" s="16"/>
      <c r="T1835" s="17"/>
      <c r="AC1835" s="17"/>
    </row>
    <row r="1836">
      <c r="B1836" s="11">
        <f>IFERROR(__xludf.DUMMYFUNCTION("""COMPUTED_VALUE"""),43355.66666666667)</f>
        <v>43355.66667</v>
      </c>
      <c r="C1836" s="9">
        <f>IFERROR(__xludf.DUMMYFUNCTION("""COMPUTED_VALUE"""),105.27)</f>
        <v>105.27</v>
      </c>
      <c r="K1836" s="16"/>
      <c r="T1836" s="17"/>
      <c r="AC1836" s="17"/>
    </row>
    <row r="1837">
      <c r="B1837" s="11">
        <f>IFERROR(__xludf.DUMMYFUNCTION("""COMPUTED_VALUE"""),43354.66666666667)</f>
        <v>43354.66667</v>
      </c>
      <c r="C1837" s="9">
        <f>IFERROR(__xludf.DUMMYFUNCTION("""COMPUTED_VALUE"""),104.83)</f>
        <v>104.83</v>
      </c>
      <c r="K1837" s="16"/>
      <c r="T1837" s="17"/>
      <c r="AC1837" s="17"/>
    </row>
    <row r="1838">
      <c r="B1838" s="11">
        <f>IFERROR(__xludf.DUMMYFUNCTION("""COMPUTED_VALUE"""),43353.66666666667)</f>
        <v>43353.66667</v>
      </c>
      <c r="C1838" s="9">
        <f>IFERROR(__xludf.DUMMYFUNCTION("""COMPUTED_VALUE"""),104.82)</f>
        <v>104.82</v>
      </c>
      <c r="K1838" s="16"/>
      <c r="T1838" s="17"/>
      <c r="AC1838" s="17"/>
    </row>
    <row r="1839">
      <c r="B1839" s="11">
        <f>IFERROR(__xludf.DUMMYFUNCTION("""COMPUTED_VALUE"""),43350.66666666667)</f>
        <v>43350.66667</v>
      </c>
      <c r="C1839" s="9">
        <f>IFERROR(__xludf.DUMMYFUNCTION("""COMPUTED_VALUE"""),104.74)</f>
        <v>104.74</v>
      </c>
      <c r="K1839" s="16"/>
      <c r="T1839" s="17"/>
      <c r="AC1839" s="17"/>
    </row>
    <row r="1840">
      <c r="B1840" s="11">
        <f>IFERROR(__xludf.DUMMYFUNCTION("""COMPUTED_VALUE"""),43349.66666666667)</f>
        <v>43349.66667</v>
      </c>
      <c r="C1840" s="9">
        <f>IFERROR(__xludf.DUMMYFUNCTION("""COMPUTED_VALUE"""),105.18)</f>
        <v>105.18</v>
      </c>
      <c r="K1840" s="16"/>
      <c r="T1840" s="17"/>
      <c r="AC1840" s="17"/>
    </row>
    <row r="1841">
      <c r="B1841" s="11">
        <f>IFERROR(__xludf.DUMMYFUNCTION("""COMPUTED_VALUE"""),43348.66666666667)</f>
        <v>43348.66667</v>
      </c>
      <c r="C1841" s="9">
        <f>IFERROR(__xludf.DUMMYFUNCTION("""COMPUTED_VALUE"""),104.06)</f>
        <v>104.06</v>
      </c>
      <c r="K1841" s="16"/>
      <c r="T1841" s="17"/>
      <c r="AC1841" s="17"/>
    </row>
    <row r="1842">
      <c r="B1842" s="11">
        <f>IFERROR(__xludf.DUMMYFUNCTION("""COMPUTED_VALUE"""),43347.66666666667)</f>
        <v>43347.66667</v>
      </c>
      <c r="C1842" s="9">
        <f>IFERROR(__xludf.DUMMYFUNCTION("""COMPUTED_VALUE"""),103.8)</f>
        <v>103.8</v>
      </c>
      <c r="K1842" s="16"/>
      <c r="T1842" s="17"/>
      <c r="AC1842" s="17"/>
    </row>
    <row r="1843">
      <c r="B1843" s="11">
        <f>IFERROR(__xludf.DUMMYFUNCTION("""COMPUTED_VALUE"""),43343.66666666667)</f>
        <v>43343.66667</v>
      </c>
      <c r="C1843" s="9">
        <f>IFERROR(__xludf.DUMMYFUNCTION("""COMPUTED_VALUE"""),103.74)</f>
        <v>103.74</v>
      </c>
      <c r="K1843" s="16"/>
      <c r="T1843" s="17"/>
      <c r="AC1843" s="17"/>
    </row>
    <row r="1844">
      <c r="B1844" s="11">
        <f>IFERROR(__xludf.DUMMYFUNCTION("""COMPUTED_VALUE"""),43342.66666666667)</f>
        <v>43342.66667</v>
      </c>
      <c r="C1844" s="9">
        <f>IFERROR(__xludf.DUMMYFUNCTION("""COMPUTED_VALUE"""),103.38)</f>
        <v>103.38</v>
      </c>
      <c r="K1844" s="16"/>
      <c r="T1844" s="17"/>
      <c r="AC1844" s="17"/>
    </row>
    <row r="1845">
      <c r="B1845" s="11">
        <f>IFERROR(__xludf.DUMMYFUNCTION("""COMPUTED_VALUE"""),43341.66666666667)</f>
        <v>43341.66667</v>
      </c>
      <c r="C1845" s="9">
        <f>IFERROR(__xludf.DUMMYFUNCTION("""COMPUTED_VALUE"""),104.35)</f>
        <v>104.35</v>
      </c>
      <c r="K1845" s="16"/>
      <c r="T1845" s="17"/>
      <c r="AC1845" s="17"/>
    </row>
    <row r="1846">
      <c r="B1846" s="11">
        <f>IFERROR(__xludf.DUMMYFUNCTION("""COMPUTED_VALUE"""),43340.66666666667)</f>
        <v>43340.66667</v>
      </c>
      <c r="C1846" s="9">
        <f>IFERROR(__xludf.DUMMYFUNCTION("""COMPUTED_VALUE"""),104.42)</f>
        <v>104.42</v>
      </c>
      <c r="K1846" s="16"/>
      <c r="T1846" s="17"/>
      <c r="AC1846" s="17"/>
    </row>
    <row r="1847">
      <c r="B1847" s="11">
        <f>IFERROR(__xludf.DUMMYFUNCTION("""COMPUTED_VALUE"""),43339.66666666667)</f>
        <v>43339.66667</v>
      </c>
      <c r="C1847" s="9">
        <f>IFERROR(__xludf.DUMMYFUNCTION("""COMPUTED_VALUE"""),104.19)</f>
        <v>104.19</v>
      </c>
      <c r="K1847" s="16"/>
      <c r="T1847" s="17"/>
      <c r="AC1847" s="17"/>
    </row>
    <row r="1848">
      <c r="B1848" s="11">
        <f>IFERROR(__xludf.DUMMYFUNCTION("""COMPUTED_VALUE"""),43336.66666666667)</f>
        <v>43336.66667</v>
      </c>
      <c r="C1848" s="9">
        <f>IFERROR(__xludf.DUMMYFUNCTION("""COMPUTED_VALUE"""),103.36)</f>
        <v>103.36</v>
      </c>
      <c r="K1848" s="16"/>
      <c r="T1848" s="17"/>
      <c r="AC1848" s="17"/>
    </row>
    <row r="1849">
      <c r="B1849" s="11">
        <f>IFERROR(__xludf.DUMMYFUNCTION("""COMPUTED_VALUE"""),43335.66666666667)</f>
        <v>43335.66667</v>
      </c>
      <c r="C1849" s="9">
        <f>IFERROR(__xludf.DUMMYFUNCTION("""COMPUTED_VALUE"""),102.71)</f>
        <v>102.71</v>
      </c>
      <c r="K1849" s="16"/>
      <c r="T1849" s="17"/>
      <c r="AC1849" s="17"/>
    </row>
    <row r="1850">
      <c r="B1850" s="11">
        <f>IFERROR(__xludf.DUMMYFUNCTION("""COMPUTED_VALUE"""),43334.66666666667)</f>
        <v>43334.66667</v>
      </c>
      <c r="C1850" s="9">
        <f>IFERROR(__xludf.DUMMYFUNCTION("""COMPUTED_VALUE"""),103.33)</f>
        <v>103.33</v>
      </c>
      <c r="K1850" s="16"/>
      <c r="T1850" s="17"/>
      <c r="AC1850" s="17"/>
    </row>
    <row r="1851">
      <c r="B1851" s="11">
        <f>IFERROR(__xludf.DUMMYFUNCTION("""COMPUTED_VALUE"""),43333.66666666667)</f>
        <v>43333.66667</v>
      </c>
      <c r="C1851" s="9">
        <f>IFERROR(__xludf.DUMMYFUNCTION("""COMPUTED_VALUE"""),104.11)</f>
        <v>104.11</v>
      </c>
      <c r="K1851" s="16"/>
      <c r="T1851" s="17"/>
      <c r="AC1851" s="17"/>
    </row>
    <row r="1852">
      <c r="B1852" s="11">
        <f>IFERROR(__xludf.DUMMYFUNCTION("""COMPUTED_VALUE"""),43332.66666666667)</f>
        <v>43332.66667</v>
      </c>
      <c r="C1852" s="9">
        <f>IFERROR(__xludf.DUMMYFUNCTION("""COMPUTED_VALUE"""),103.4)</f>
        <v>103.4</v>
      </c>
      <c r="K1852" s="16"/>
      <c r="T1852" s="17"/>
      <c r="AC1852" s="17"/>
    </row>
    <row r="1853">
      <c r="B1853" s="11">
        <f>IFERROR(__xludf.DUMMYFUNCTION("""COMPUTED_VALUE"""),43329.66666666667)</f>
        <v>43329.66667</v>
      </c>
      <c r="C1853" s="9">
        <f>IFERROR(__xludf.DUMMYFUNCTION("""COMPUTED_VALUE"""),102.78)</f>
        <v>102.78</v>
      </c>
      <c r="K1853" s="16"/>
      <c r="T1853" s="17"/>
      <c r="AC1853" s="17"/>
    </row>
    <row r="1854">
      <c r="B1854" s="11">
        <f>IFERROR(__xludf.DUMMYFUNCTION("""COMPUTED_VALUE"""),43328.66666666667)</f>
        <v>43328.66667</v>
      </c>
      <c r="C1854" s="9">
        <f>IFERROR(__xludf.DUMMYFUNCTION("""COMPUTED_VALUE"""),102.23)</f>
        <v>102.23</v>
      </c>
      <c r="K1854" s="16"/>
      <c r="T1854" s="17"/>
      <c r="AC1854" s="17"/>
    </row>
    <row r="1855">
      <c r="B1855" s="11">
        <f>IFERROR(__xludf.DUMMYFUNCTION("""COMPUTED_VALUE"""),43327.66666666667)</f>
        <v>43327.66667</v>
      </c>
      <c r="C1855" s="9">
        <f>IFERROR(__xludf.DUMMYFUNCTION("""COMPUTED_VALUE"""),100.84)</f>
        <v>100.84</v>
      </c>
      <c r="K1855" s="16"/>
      <c r="T1855" s="17"/>
      <c r="AC1855" s="17"/>
    </row>
    <row r="1856">
      <c r="B1856" s="11">
        <f>IFERROR(__xludf.DUMMYFUNCTION("""COMPUTED_VALUE"""),43326.66666666667)</f>
        <v>43326.66667</v>
      </c>
      <c r="C1856" s="9">
        <f>IFERROR(__xludf.DUMMYFUNCTION("""COMPUTED_VALUE"""),102.12)</f>
        <v>102.12</v>
      </c>
      <c r="K1856" s="16"/>
      <c r="T1856" s="17"/>
      <c r="AC1856" s="17"/>
    </row>
    <row r="1857">
      <c r="B1857" s="11">
        <f>IFERROR(__xludf.DUMMYFUNCTION("""COMPUTED_VALUE"""),43325.66666666667)</f>
        <v>43325.66667</v>
      </c>
      <c r="C1857" s="9">
        <f>IFERROR(__xludf.DUMMYFUNCTION("""COMPUTED_VALUE"""),101.31)</f>
        <v>101.31</v>
      </c>
      <c r="K1857" s="16"/>
      <c r="T1857" s="17"/>
      <c r="AC1857" s="17"/>
    </row>
    <row r="1858">
      <c r="B1858" s="11">
        <f>IFERROR(__xludf.DUMMYFUNCTION("""COMPUTED_VALUE"""),43322.66666666667)</f>
        <v>43322.66667</v>
      </c>
      <c r="C1858" s="9">
        <f>IFERROR(__xludf.DUMMYFUNCTION("""COMPUTED_VALUE"""),101.44)</f>
        <v>101.44</v>
      </c>
      <c r="K1858" s="16"/>
      <c r="T1858" s="17"/>
      <c r="AC1858" s="17"/>
    </row>
    <row r="1859">
      <c r="B1859" s="11">
        <f>IFERROR(__xludf.DUMMYFUNCTION("""COMPUTED_VALUE"""),43321.66666666667)</f>
        <v>43321.66667</v>
      </c>
      <c r="C1859" s="9">
        <f>IFERROR(__xludf.DUMMYFUNCTION("""COMPUTED_VALUE"""),101.85)</f>
        <v>101.85</v>
      </c>
      <c r="K1859" s="16"/>
      <c r="T1859" s="17"/>
      <c r="AC1859" s="17"/>
    </row>
    <row r="1860">
      <c r="B1860" s="11">
        <f>IFERROR(__xludf.DUMMYFUNCTION("""COMPUTED_VALUE"""),43320.66666666667)</f>
        <v>43320.66667</v>
      </c>
      <c r="C1860" s="9">
        <f>IFERROR(__xludf.DUMMYFUNCTION("""COMPUTED_VALUE"""),102.03)</f>
        <v>102.03</v>
      </c>
      <c r="K1860" s="16"/>
      <c r="T1860" s="17"/>
      <c r="AC1860" s="17"/>
    </row>
    <row r="1861">
      <c r="B1861" s="11">
        <f>IFERROR(__xludf.DUMMYFUNCTION("""COMPUTED_VALUE"""),43319.66666666667)</f>
        <v>43319.66667</v>
      </c>
      <c r="C1861" s="9">
        <f>IFERROR(__xludf.DUMMYFUNCTION("""COMPUTED_VALUE"""),102.16)</f>
        <v>102.16</v>
      </c>
      <c r="K1861" s="16"/>
      <c r="T1861" s="17"/>
      <c r="AC1861" s="17"/>
    </row>
    <row r="1862">
      <c r="B1862" s="11">
        <f>IFERROR(__xludf.DUMMYFUNCTION("""COMPUTED_VALUE"""),43318.66666666667)</f>
        <v>43318.66667</v>
      </c>
      <c r="C1862" s="9">
        <f>IFERROR(__xludf.DUMMYFUNCTION("""COMPUTED_VALUE"""),101.72)</f>
        <v>101.72</v>
      </c>
      <c r="K1862" s="16"/>
      <c r="T1862" s="17"/>
      <c r="AC1862" s="17"/>
    </row>
    <row r="1863">
      <c r="B1863" s="11">
        <f>IFERROR(__xludf.DUMMYFUNCTION("""COMPUTED_VALUE"""),43315.66666666667)</f>
        <v>43315.66667</v>
      </c>
      <c r="C1863" s="9">
        <f>IFERROR(__xludf.DUMMYFUNCTION("""COMPUTED_VALUE"""),101.89)</f>
        <v>101.89</v>
      </c>
      <c r="K1863" s="16"/>
      <c r="T1863" s="17"/>
      <c r="AC1863" s="17"/>
    </row>
    <row r="1864">
      <c r="B1864" s="11">
        <f>IFERROR(__xludf.DUMMYFUNCTION("""COMPUTED_VALUE"""),43314.66666666667)</f>
        <v>43314.66667</v>
      </c>
      <c r="C1864" s="9">
        <f>IFERROR(__xludf.DUMMYFUNCTION("""COMPUTED_VALUE"""),102.24)</f>
        <v>102.24</v>
      </c>
      <c r="K1864" s="16"/>
      <c r="T1864" s="17"/>
      <c r="AC1864" s="17"/>
    </row>
    <row r="1865">
      <c r="B1865" s="11">
        <f>IFERROR(__xludf.DUMMYFUNCTION("""COMPUTED_VALUE"""),43313.66666666667)</f>
        <v>43313.66667</v>
      </c>
      <c r="C1865" s="9">
        <f>IFERROR(__xludf.DUMMYFUNCTION("""COMPUTED_VALUE"""),102.33)</f>
        <v>102.33</v>
      </c>
      <c r="K1865" s="16"/>
      <c r="T1865" s="17"/>
      <c r="AC1865" s="17"/>
    </row>
    <row r="1866">
      <c r="B1866" s="11">
        <f>IFERROR(__xludf.DUMMYFUNCTION("""COMPUTED_VALUE"""),43312.66666666667)</f>
        <v>43312.66667</v>
      </c>
      <c r="C1866" s="9">
        <f>IFERROR(__xludf.DUMMYFUNCTION("""COMPUTED_VALUE"""),102.92)</f>
        <v>102.92</v>
      </c>
      <c r="K1866" s="16"/>
      <c r="T1866" s="17"/>
      <c r="AC1866" s="17"/>
    </row>
    <row r="1867">
      <c r="B1867" s="11">
        <f>IFERROR(__xludf.DUMMYFUNCTION("""COMPUTED_VALUE"""),43311.66666666667)</f>
        <v>43311.66667</v>
      </c>
      <c r="C1867" s="9">
        <f>IFERROR(__xludf.DUMMYFUNCTION("""COMPUTED_VALUE"""),100.35)</f>
        <v>100.35</v>
      </c>
      <c r="K1867" s="16"/>
      <c r="T1867" s="17"/>
      <c r="AC1867" s="17"/>
    </row>
    <row r="1868">
      <c r="B1868" s="11">
        <f>IFERROR(__xludf.DUMMYFUNCTION("""COMPUTED_VALUE"""),43308.66666666667)</f>
        <v>43308.66667</v>
      </c>
      <c r="C1868" s="9">
        <f>IFERROR(__xludf.DUMMYFUNCTION("""COMPUTED_VALUE"""),101.8)</f>
        <v>101.8</v>
      </c>
      <c r="K1868" s="16"/>
      <c r="T1868" s="17"/>
      <c r="AC1868" s="17"/>
    </row>
    <row r="1869">
      <c r="B1869" s="11">
        <f>IFERROR(__xludf.DUMMYFUNCTION("""COMPUTED_VALUE"""),43307.66666666667)</f>
        <v>43307.66667</v>
      </c>
      <c r="C1869" s="9">
        <f>IFERROR(__xludf.DUMMYFUNCTION("""COMPUTED_VALUE"""),102.23)</f>
        <v>102.23</v>
      </c>
      <c r="K1869" s="16"/>
      <c r="T1869" s="17"/>
      <c r="AC1869" s="17"/>
    </row>
    <row r="1870">
      <c r="B1870" s="11">
        <f>IFERROR(__xludf.DUMMYFUNCTION("""COMPUTED_VALUE"""),43306.66666666667)</f>
        <v>43306.66667</v>
      </c>
      <c r="C1870" s="9">
        <f>IFERROR(__xludf.DUMMYFUNCTION("""COMPUTED_VALUE"""),101.12)</f>
        <v>101.12</v>
      </c>
      <c r="K1870" s="16"/>
      <c r="T1870" s="17"/>
      <c r="AC1870" s="17"/>
    </row>
    <row r="1871">
      <c r="B1871" s="11">
        <f>IFERROR(__xludf.DUMMYFUNCTION("""COMPUTED_VALUE"""),43305.66666666667)</f>
        <v>43305.66667</v>
      </c>
      <c r="C1871" s="9">
        <f>IFERROR(__xludf.DUMMYFUNCTION("""COMPUTED_VALUE"""),101.08)</f>
        <v>101.08</v>
      </c>
      <c r="K1871" s="16"/>
      <c r="T1871" s="17"/>
      <c r="AC1871" s="17"/>
    </row>
    <row r="1872">
      <c r="B1872" s="11">
        <f>IFERROR(__xludf.DUMMYFUNCTION("""COMPUTED_VALUE"""),43304.66666666667)</f>
        <v>43304.66667</v>
      </c>
      <c r="C1872" s="9">
        <f>IFERROR(__xludf.DUMMYFUNCTION("""COMPUTED_VALUE"""),100.43)</f>
        <v>100.43</v>
      </c>
      <c r="K1872" s="16"/>
      <c r="T1872" s="17"/>
      <c r="AC1872" s="17"/>
    </row>
    <row r="1873">
      <c r="B1873" s="11">
        <f>IFERROR(__xludf.DUMMYFUNCTION("""COMPUTED_VALUE"""),43301.66666666667)</f>
        <v>43301.66667</v>
      </c>
      <c r="C1873" s="9">
        <f>IFERROR(__xludf.DUMMYFUNCTION("""COMPUTED_VALUE"""),101.45)</f>
        <v>101.45</v>
      </c>
      <c r="K1873" s="16"/>
      <c r="T1873" s="17"/>
      <c r="AC1873" s="17"/>
    </row>
    <row r="1874">
      <c r="B1874" s="11">
        <f>IFERROR(__xludf.DUMMYFUNCTION("""COMPUTED_VALUE"""),43300.66666666667)</f>
        <v>43300.66667</v>
      </c>
      <c r="C1874" s="9">
        <f>IFERROR(__xludf.DUMMYFUNCTION("""COMPUTED_VALUE"""),101.34)</f>
        <v>101.34</v>
      </c>
      <c r="K1874" s="16"/>
      <c r="T1874" s="17"/>
      <c r="AC1874" s="17"/>
    </row>
    <row r="1875">
      <c r="B1875" s="11">
        <f>IFERROR(__xludf.DUMMYFUNCTION("""COMPUTED_VALUE"""),43299.66666666667)</f>
        <v>43299.66667</v>
      </c>
      <c r="C1875" s="9">
        <f>IFERROR(__xludf.DUMMYFUNCTION("""COMPUTED_VALUE"""),101.61)</f>
        <v>101.61</v>
      </c>
      <c r="K1875" s="16"/>
      <c r="T1875" s="17"/>
      <c r="AC1875" s="17"/>
    </row>
    <row r="1876">
      <c r="B1876" s="11">
        <f>IFERROR(__xludf.DUMMYFUNCTION("""COMPUTED_VALUE"""),43298.66666666667)</f>
        <v>43298.66667</v>
      </c>
      <c r="C1876" s="9">
        <f>IFERROR(__xludf.DUMMYFUNCTION("""COMPUTED_VALUE"""),100.94)</f>
        <v>100.94</v>
      </c>
      <c r="K1876" s="16"/>
      <c r="T1876" s="17"/>
      <c r="AC1876" s="17"/>
    </row>
    <row r="1877">
      <c r="B1877" s="11">
        <f>IFERROR(__xludf.DUMMYFUNCTION("""COMPUTED_VALUE"""),43297.66666666667)</f>
        <v>43297.66667</v>
      </c>
      <c r="C1877" s="9">
        <f>IFERROR(__xludf.DUMMYFUNCTION("""COMPUTED_VALUE"""),100.31)</f>
        <v>100.31</v>
      </c>
      <c r="K1877" s="16"/>
      <c r="T1877" s="17"/>
      <c r="AC1877" s="17"/>
    </row>
    <row r="1878">
      <c r="B1878" s="11">
        <f>IFERROR(__xludf.DUMMYFUNCTION("""COMPUTED_VALUE"""),43294.66666666667)</f>
        <v>43294.66667</v>
      </c>
      <c r="C1878" s="9">
        <f>IFERROR(__xludf.DUMMYFUNCTION("""COMPUTED_VALUE"""),100.02)</f>
        <v>100.02</v>
      </c>
      <c r="K1878" s="16"/>
      <c r="T1878" s="17"/>
      <c r="AC1878" s="17"/>
    </row>
    <row r="1879">
      <c r="B1879" s="11">
        <f>IFERROR(__xludf.DUMMYFUNCTION("""COMPUTED_VALUE"""),43293.66666666667)</f>
        <v>43293.66667</v>
      </c>
      <c r="C1879" s="9">
        <f>IFERROR(__xludf.DUMMYFUNCTION("""COMPUTED_VALUE"""),99.07)</f>
        <v>99.07</v>
      </c>
      <c r="K1879" s="16"/>
      <c r="T1879" s="17"/>
      <c r="AC1879" s="17"/>
    </row>
    <row r="1880">
      <c r="B1880" s="11">
        <f>IFERROR(__xludf.DUMMYFUNCTION("""COMPUTED_VALUE"""),43292.66666666667)</f>
        <v>43292.66667</v>
      </c>
      <c r="C1880" s="9">
        <f>IFERROR(__xludf.DUMMYFUNCTION("""COMPUTED_VALUE"""),97.43)</f>
        <v>97.43</v>
      </c>
      <c r="K1880" s="16"/>
      <c r="T1880" s="17"/>
      <c r="AC1880" s="17"/>
    </row>
    <row r="1881">
      <c r="B1881" s="11">
        <f>IFERROR(__xludf.DUMMYFUNCTION("""COMPUTED_VALUE"""),43291.66666666667)</f>
        <v>43291.66667</v>
      </c>
      <c r="C1881" s="9">
        <f>IFERROR(__xludf.DUMMYFUNCTION("""COMPUTED_VALUE"""),98.82)</f>
        <v>98.82</v>
      </c>
      <c r="K1881" s="16"/>
      <c r="T1881" s="17"/>
      <c r="AC1881" s="17"/>
    </row>
    <row r="1882">
      <c r="B1882" s="11">
        <f>IFERROR(__xludf.DUMMYFUNCTION("""COMPUTED_VALUE"""),43290.66666666667)</f>
        <v>43290.66667</v>
      </c>
      <c r="C1882" s="9">
        <f>IFERROR(__xludf.DUMMYFUNCTION("""COMPUTED_VALUE"""),98.46)</f>
        <v>98.46</v>
      </c>
      <c r="K1882" s="16"/>
      <c r="T1882" s="17"/>
      <c r="AC1882" s="17"/>
    </row>
    <row r="1883">
      <c r="B1883" s="11">
        <f>IFERROR(__xludf.DUMMYFUNCTION("""COMPUTED_VALUE"""),43287.66666666667)</f>
        <v>43287.66667</v>
      </c>
      <c r="C1883" s="9">
        <f>IFERROR(__xludf.DUMMYFUNCTION("""COMPUTED_VALUE"""),96.82)</f>
        <v>96.82</v>
      </c>
      <c r="K1883" s="16"/>
      <c r="T1883" s="17"/>
      <c r="AC1883" s="17"/>
    </row>
    <row r="1884">
      <c r="B1884" s="11">
        <f>IFERROR(__xludf.DUMMYFUNCTION("""COMPUTED_VALUE"""),43286.66666666667)</f>
        <v>43286.66667</v>
      </c>
      <c r="C1884" s="9">
        <f>IFERROR(__xludf.DUMMYFUNCTION("""COMPUTED_VALUE"""),96.62)</f>
        <v>96.62</v>
      </c>
      <c r="K1884" s="16"/>
      <c r="T1884" s="17"/>
      <c r="AC1884" s="17"/>
    </row>
    <row r="1885">
      <c r="B1885" s="11">
        <f>IFERROR(__xludf.DUMMYFUNCTION("""COMPUTED_VALUE"""),43284.54166666667)</f>
        <v>43284.54167</v>
      </c>
      <c r="C1885" s="9">
        <f>IFERROR(__xludf.DUMMYFUNCTION("""COMPUTED_VALUE"""),96.51)</f>
        <v>96.51</v>
      </c>
      <c r="K1885" s="16"/>
      <c r="T1885" s="17"/>
      <c r="AC1885" s="17"/>
    </row>
    <row r="1886">
      <c r="B1886" s="11">
        <f>IFERROR(__xludf.DUMMYFUNCTION("""COMPUTED_VALUE"""),43283.66666666667)</f>
        <v>43283.66667</v>
      </c>
      <c r="C1886" s="9">
        <f>IFERROR(__xludf.DUMMYFUNCTION("""COMPUTED_VALUE"""),96.46)</f>
        <v>96.46</v>
      </c>
      <c r="K1886" s="16"/>
      <c r="T1886" s="17"/>
      <c r="AC1886" s="17"/>
    </row>
    <row r="1887">
      <c r="B1887" s="11">
        <f>IFERROR(__xludf.DUMMYFUNCTION("""COMPUTED_VALUE"""),43280.66666666667)</f>
        <v>43280.66667</v>
      </c>
      <c r="C1887" s="9">
        <f>IFERROR(__xludf.DUMMYFUNCTION("""COMPUTED_VALUE"""),96.24)</f>
        <v>96.24</v>
      </c>
      <c r="K1887" s="16"/>
      <c r="T1887" s="17"/>
      <c r="AC1887" s="17"/>
    </row>
    <row r="1888">
      <c r="B1888" s="11">
        <f>IFERROR(__xludf.DUMMYFUNCTION("""COMPUTED_VALUE"""),43279.66666666667)</f>
        <v>43279.66667</v>
      </c>
      <c r="C1888" s="9">
        <f>IFERROR(__xludf.DUMMYFUNCTION("""COMPUTED_VALUE"""),95.95)</f>
        <v>95.95</v>
      </c>
      <c r="K1888" s="16"/>
      <c r="T1888" s="17"/>
      <c r="AC1888" s="17"/>
    </row>
    <row r="1889">
      <c r="B1889" s="11">
        <f>IFERROR(__xludf.DUMMYFUNCTION("""COMPUTED_VALUE"""),43278.66666666667)</f>
        <v>43278.66667</v>
      </c>
      <c r="C1889" s="9">
        <f>IFERROR(__xludf.DUMMYFUNCTION("""COMPUTED_VALUE"""),95.46)</f>
        <v>95.46</v>
      </c>
      <c r="K1889" s="16"/>
      <c r="T1889" s="17"/>
      <c r="AC1889" s="17"/>
    </row>
    <row r="1890">
      <c r="B1890" s="11">
        <f>IFERROR(__xludf.DUMMYFUNCTION("""COMPUTED_VALUE"""),43277.66666666667)</f>
        <v>43277.66667</v>
      </c>
      <c r="C1890" s="9">
        <f>IFERROR(__xludf.DUMMYFUNCTION("""COMPUTED_VALUE"""),96.15)</f>
        <v>96.15</v>
      </c>
      <c r="K1890" s="16"/>
      <c r="T1890" s="17"/>
      <c r="AC1890" s="17"/>
    </row>
    <row r="1891">
      <c r="B1891" s="11">
        <f>IFERROR(__xludf.DUMMYFUNCTION("""COMPUTED_VALUE"""),43276.66666666667)</f>
        <v>43276.66667</v>
      </c>
      <c r="C1891" s="9">
        <f>IFERROR(__xludf.DUMMYFUNCTION("""COMPUTED_VALUE"""),95.95)</f>
        <v>95.95</v>
      </c>
      <c r="K1891" s="16"/>
      <c r="T1891" s="17"/>
      <c r="AC1891" s="17"/>
    </row>
    <row r="1892">
      <c r="B1892" s="11">
        <f>IFERROR(__xludf.DUMMYFUNCTION("""COMPUTED_VALUE"""),43273.66666666667)</f>
        <v>43273.66667</v>
      </c>
      <c r="C1892" s="9">
        <f>IFERROR(__xludf.DUMMYFUNCTION("""COMPUTED_VALUE"""),96.87)</f>
        <v>96.87</v>
      </c>
      <c r="K1892" s="16"/>
      <c r="T1892" s="17"/>
      <c r="AC1892" s="17"/>
    </row>
    <row r="1893">
      <c r="B1893" s="11">
        <f>IFERROR(__xludf.DUMMYFUNCTION("""COMPUTED_VALUE"""),43272.66666666667)</f>
        <v>43272.66667</v>
      </c>
      <c r="C1893" s="9">
        <f>IFERROR(__xludf.DUMMYFUNCTION("""COMPUTED_VALUE"""),96.59)</f>
        <v>96.59</v>
      </c>
      <c r="K1893" s="16"/>
      <c r="T1893" s="17"/>
      <c r="AC1893" s="17"/>
    </row>
    <row r="1894">
      <c r="B1894" s="11">
        <f>IFERROR(__xludf.DUMMYFUNCTION("""COMPUTED_VALUE"""),43271.66666666667)</f>
        <v>43271.66667</v>
      </c>
      <c r="C1894" s="9">
        <f>IFERROR(__xludf.DUMMYFUNCTION("""COMPUTED_VALUE"""),97.6)</f>
        <v>97.6</v>
      </c>
      <c r="K1894" s="16"/>
      <c r="T1894" s="17"/>
      <c r="AC1894" s="17"/>
    </row>
    <row r="1895">
      <c r="B1895" s="11">
        <f>IFERROR(__xludf.DUMMYFUNCTION("""COMPUTED_VALUE"""),43270.66666666667)</f>
        <v>43270.66667</v>
      </c>
      <c r="C1895" s="9">
        <f>IFERROR(__xludf.DUMMYFUNCTION("""COMPUTED_VALUE"""),97.2)</f>
        <v>97.2</v>
      </c>
      <c r="K1895" s="16"/>
      <c r="T1895" s="17"/>
      <c r="AC1895" s="17"/>
    </row>
    <row r="1896">
      <c r="B1896" s="11">
        <f>IFERROR(__xludf.DUMMYFUNCTION("""COMPUTED_VALUE"""),43269.66666666667)</f>
        <v>43269.66667</v>
      </c>
      <c r="C1896" s="9">
        <f>IFERROR(__xludf.DUMMYFUNCTION("""COMPUTED_VALUE"""),99.5)</f>
        <v>99.5</v>
      </c>
      <c r="K1896" s="16"/>
      <c r="T1896" s="17"/>
      <c r="AC1896" s="17"/>
    </row>
    <row r="1897">
      <c r="B1897" s="11">
        <f>IFERROR(__xludf.DUMMYFUNCTION("""COMPUTED_VALUE"""),43266.66666666667)</f>
        <v>43266.66667</v>
      </c>
      <c r="C1897" s="9">
        <f>IFERROR(__xludf.DUMMYFUNCTION("""COMPUTED_VALUE"""),99.41)</f>
        <v>99.41</v>
      </c>
      <c r="K1897" s="16"/>
      <c r="T1897" s="17"/>
      <c r="AC1897" s="17"/>
    </row>
    <row r="1898">
      <c r="B1898" s="11">
        <f>IFERROR(__xludf.DUMMYFUNCTION("""COMPUTED_VALUE"""),43265.66666666667)</f>
        <v>43265.66667</v>
      </c>
      <c r="C1898" s="9">
        <f>IFERROR(__xludf.DUMMYFUNCTION("""COMPUTED_VALUE"""),99.88)</f>
        <v>99.88</v>
      </c>
      <c r="K1898" s="16"/>
      <c r="T1898" s="17"/>
      <c r="AC1898" s="17"/>
    </row>
    <row r="1899">
      <c r="B1899" s="11">
        <f>IFERROR(__xludf.DUMMYFUNCTION("""COMPUTED_VALUE"""),43264.66666666667)</f>
        <v>43264.66667</v>
      </c>
      <c r="C1899" s="9">
        <f>IFERROR(__xludf.DUMMYFUNCTION("""COMPUTED_VALUE"""),100.61)</f>
        <v>100.61</v>
      </c>
      <c r="K1899" s="16"/>
      <c r="T1899" s="17"/>
      <c r="AC1899" s="17"/>
    </row>
    <row r="1900">
      <c r="B1900" s="11">
        <f>IFERROR(__xludf.DUMMYFUNCTION("""COMPUTED_VALUE"""),43263.66666666667)</f>
        <v>43263.66667</v>
      </c>
      <c r="C1900" s="9">
        <f>IFERROR(__xludf.DUMMYFUNCTION("""COMPUTED_VALUE"""),101.14)</f>
        <v>101.14</v>
      </c>
      <c r="K1900" s="16"/>
      <c r="T1900" s="17"/>
      <c r="AC1900" s="17"/>
    </row>
    <row r="1901">
      <c r="B1901" s="11">
        <f>IFERROR(__xludf.DUMMYFUNCTION("""COMPUTED_VALUE"""),43262.66666666667)</f>
        <v>43262.66667</v>
      </c>
      <c r="C1901" s="9">
        <f>IFERROR(__xludf.DUMMYFUNCTION("""COMPUTED_VALUE"""),102.11)</f>
        <v>102.11</v>
      </c>
      <c r="K1901" s="16"/>
      <c r="T1901" s="17"/>
      <c r="AC1901" s="17"/>
    </row>
    <row r="1902">
      <c r="B1902" s="11">
        <f>IFERROR(__xludf.DUMMYFUNCTION("""COMPUTED_VALUE"""),43259.66666666667)</f>
        <v>43259.66667</v>
      </c>
      <c r="C1902" s="9">
        <f>IFERROR(__xludf.DUMMYFUNCTION("""COMPUTED_VALUE"""),102.5)</f>
        <v>102.5</v>
      </c>
      <c r="K1902" s="16"/>
      <c r="T1902" s="17"/>
      <c r="AC1902" s="17"/>
    </row>
    <row r="1903">
      <c r="B1903" s="11">
        <f>IFERROR(__xludf.DUMMYFUNCTION("""COMPUTED_VALUE"""),43258.66666666667)</f>
        <v>43258.66667</v>
      </c>
      <c r="C1903" s="9">
        <f>IFERROR(__xludf.DUMMYFUNCTION("""COMPUTED_VALUE"""),101.8)</f>
        <v>101.8</v>
      </c>
      <c r="K1903" s="16"/>
      <c r="T1903" s="17"/>
      <c r="AC1903" s="17"/>
    </row>
    <row r="1904">
      <c r="B1904" s="11">
        <f>IFERROR(__xludf.DUMMYFUNCTION("""COMPUTED_VALUE"""),43257.66666666667)</f>
        <v>43257.66667</v>
      </c>
      <c r="C1904" s="9">
        <f>IFERROR(__xludf.DUMMYFUNCTION("""COMPUTED_VALUE"""),101.89)</f>
        <v>101.89</v>
      </c>
      <c r="K1904" s="16"/>
      <c r="T1904" s="17"/>
      <c r="AC1904" s="17"/>
    </row>
    <row r="1905">
      <c r="B1905" s="11">
        <f>IFERROR(__xludf.DUMMYFUNCTION("""COMPUTED_VALUE"""),43256.66666666667)</f>
        <v>43256.66667</v>
      </c>
      <c r="C1905" s="9">
        <f>IFERROR(__xludf.DUMMYFUNCTION("""COMPUTED_VALUE"""),100.91)</f>
        <v>100.91</v>
      </c>
      <c r="K1905" s="16"/>
      <c r="T1905" s="17"/>
      <c r="AC1905" s="17"/>
    </row>
    <row r="1906">
      <c r="B1906" s="11">
        <f>IFERROR(__xludf.DUMMYFUNCTION("""COMPUTED_VALUE"""),43255.66666666667)</f>
        <v>43255.66667</v>
      </c>
      <c r="C1906" s="9">
        <f>IFERROR(__xludf.DUMMYFUNCTION("""COMPUTED_VALUE"""),100.9)</f>
        <v>100.9</v>
      </c>
      <c r="K1906" s="16"/>
      <c r="T1906" s="17"/>
      <c r="AC1906" s="17"/>
    </row>
    <row r="1907">
      <c r="B1907" s="11">
        <f>IFERROR(__xludf.DUMMYFUNCTION("""COMPUTED_VALUE"""),43252.66666666667)</f>
        <v>43252.66667</v>
      </c>
      <c r="C1907" s="9">
        <f>IFERROR(__xludf.DUMMYFUNCTION("""COMPUTED_VALUE"""),100.53)</f>
        <v>100.53</v>
      </c>
      <c r="K1907" s="16"/>
      <c r="T1907" s="17"/>
      <c r="AC1907" s="17"/>
    </row>
    <row r="1908">
      <c r="B1908" s="11">
        <f>IFERROR(__xludf.DUMMYFUNCTION("""COMPUTED_VALUE"""),43251.66666666667)</f>
        <v>43251.66667</v>
      </c>
      <c r="C1908" s="9">
        <f>IFERROR(__xludf.DUMMYFUNCTION("""COMPUTED_VALUE"""),100.78)</f>
        <v>100.78</v>
      </c>
      <c r="K1908" s="16"/>
      <c r="T1908" s="17"/>
      <c r="AC1908" s="17"/>
    </row>
    <row r="1909">
      <c r="B1909" s="11">
        <f>IFERROR(__xludf.DUMMYFUNCTION("""COMPUTED_VALUE"""),43250.66666666667)</f>
        <v>43250.66667</v>
      </c>
      <c r="C1909" s="9">
        <f>IFERROR(__xludf.DUMMYFUNCTION("""COMPUTED_VALUE"""),100.78)</f>
        <v>100.78</v>
      </c>
      <c r="K1909" s="16"/>
      <c r="T1909" s="17"/>
      <c r="AC1909" s="17"/>
    </row>
    <row r="1910">
      <c r="B1910" s="11">
        <f>IFERROR(__xludf.DUMMYFUNCTION("""COMPUTED_VALUE"""),43249.66666666667)</f>
        <v>43249.66667</v>
      </c>
      <c r="C1910" s="9">
        <f>IFERROR(__xludf.DUMMYFUNCTION("""COMPUTED_VALUE"""),99.47)</f>
        <v>99.47</v>
      </c>
      <c r="K1910" s="16"/>
      <c r="T1910" s="17"/>
      <c r="AC1910" s="17"/>
    </row>
    <row r="1911">
      <c r="B1911" s="11">
        <f>IFERROR(__xludf.DUMMYFUNCTION("""COMPUTED_VALUE"""),43245.66666666667)</f>
        <v>43245.66667</v>
      </c>
      <c r="C1911" s="9">
        <f>IFERROR(__xludf.DUMMYFUNCTION("""COMPUTED_VALUE"""),100.62)</f>
        <v>100.62</v>
      </c>
      <c r="K1911" s="16"/>
      <c r="T1911" s="17"/>
      <c r="AC1911" s="17"/>
    </row>
    <row r="1912">
      <c r="B1912" s="11">
        <f>IFERROR(__xludf.DUMMYFUNCTION("""COMPUTED_VALUE"""),43244.66666666667)</f>
        <v>43244.66667</v>
      </c>
      <c r="C1912" s="9">
        <f>IFERROR(__xludf.DUMMYFUNCTION("""COMPUTED_VALUE"""),101.1)</f>
        <v>101.1</v>
      </c>
      <c r="K1912" s="16"/>
      <c r="T1912" s="17"/>
      <c r="AC1912" s="17"/>
    </row>
    <row r="1913">
      <c r="B1913" s="11">
        <f>IFERROR(__xludf.DUMMYFUNCTION("""COMPUTED_VALUE"""),43243.66666666667)</f>
        <v>43243.66667</v>
      </c>
      <c r="C1913" s="9">
        <f>IFERROR(__xludf.DUMMYFUNCTION("""COMPUTED_VALUE"""),100.42)</f>
        <v>100.42</v>
      </c>
      <c r="K1913" s="16"/>
      <c r="T1913" s="17"/>
      <c r="AC1913" s="17"/>
    </row>
    <row r="1914">
      <c r="B1914" s="11">
        <f>IFERROR(__xludf.DUMMYFUNCTION("""COMPUTED_VALUE"""),43242.66666666667)</f>
        <v>43242.66667</v>
      </c>
      <c r="C1914" s="9">
        <f>IFERROR(__xludf.DUMMYFUNCTION("""COMPUTED_VALUE"""),99.73)</f>
        <v>99.73</v>
      </c>
      <c r="K1914" s="16"/>
      <c r="T1914" s="17"/>
      <c r="AC1914" s="17"/>
    </row>
    <row r="1915">
      <c r="B1915" s="11">
        <f>IFERROR(__xludf.DUMMYFUNCTION("""COMPUTED_VALUE"""),43241.66666666667)</f>
        <v>43241.66667</v>
      </c>
      <c r="C1915" s="9">
        <f>IFERROR(__xludf.DUMMYFUNCTION("""COMPUTED_VALUE"""),101.05)</f>
        <v>101.05</v>
      </c>
      <c r="K1915" s="16"/>
      <c r="T1915" s="17"/>
      <c r="AC1915" s="17"/>
    </row>
    <row r="1916">
      <c r="B1916" s="11">
        <f>IFERROR(__xludf.DUMMYFUNCTION("""COMPUTED_VALUE"""),43238.66666666667)</f>
        <v>43238.66667</v>
      </c>
      <c r="C1916" s="9">
        <f>IFERROR(__xludf.DUMMYFUNCTION("""COMPUTED_VALUE"""),99.55)</f>
        <v>99.55</v>
      </c>
      <c r="K1916" s="16"/>
      <c r="T1916" s="17"/>
      <c r="AC1916" s="17"/>
    </row>
    <row r="1917">
      <c r="B1917" s="11">
        <f>IFERROR(__xludf.DUMMYFUNCTION("""COMPUTED_VALUE"""),43237.66666666667)</f>
        <v>43237.66667</v>
      </c>
      <c r="C1917" s="9">
        <f>IFERROR(__xludf.DUMMYFUNCTION("""COMPUTED_VALUE"""),98.89)</f>
        <v>98.89</v>
      </c>
      <c r="K1917" s="16"/>
      <c r="T1917" s="17"/>
      <c r="AC1917" s="17"/>
    </row>
    <row r="1918">
      <c r="B1918" s="11">
        <f>IFERROR(__xludf.DUMMYFUNCTION("""COMPUTED_VALUE"""),43236.66666666667)</f>
        <v>43236.66667</v>
      </c>
      <c r="C1918" s="9">
        <f>IFERROR(__xludf.DUMMYFUNCTION("""COMPUTED_VALUE"""),98.2)</f>
        <v>98.2</v>
      </c>
      <c r="K1918" s="16"/>
      <c r="T1918" s="17"/>
      <c r="AC1918" s="17"/>
    </row>
    <row r="1919">
      <c r="B1919" s="11">
        <f>IFERROR(__xludf.DUMMYFUNCTION("""COMPUTED_VALUE"""),43235.66666666667)</f>
        <v>43235.66667</v>
      </c>
      <c r="C1919" s="9">
        <f>IFERROR(__xludf.DUMMYFUNCTION("""COMPUTED_VALUE"""),98.18)</f>
        <v>98.18</v>
      </c>
      <c r="K1919" s="16"/>
      <c r="T1919" s="17"/>
      <c r="AC1919" s="17"/>
    </row>
    <row r="1920">
      <c r="B1920" s="11">
        <f>IFERROR(__xludf.DUMMYFUNCTION("""COMPUTED_VALUE"""),43234.66666666667)</f>
        <v>43234.66667</v>
      </c>
      <c r="C1920" s="9">
        <f>IFERROR(__xludf.DUMMYFUNCTION("""COMPUTED_VALUE"""),98.69)</f>
        <v>98.69</v>
      </c>
      <c r="K1920" s="16"/>
      <c r="T1920" s="17"/>
      <c r="AC1920" s="17"/>
    </row>
    <row r="1921">
      <c r="B1921" s="11">
        <f>IFERROR(__xludf.DUMMYFUNCTION("""COMPUTED_VALUE"""),43231.66666666667)</f>
        <v>43231.66667</v>
      </c>
      <c r="C1921" s="9">
        <f>IFERROR(__xludf.DUMMYFUNCTION("""COMPUTED_VALUE"""),99.24)</f>
        <v>99.24</v>
      </c>
      <c r="K1921" s="16"/>
      <c r="T1921" s="17"/>
      <c r="AC1921" s="17"/>
    </row>
    <row r="1922">
      <c r="B1922" s="11">
        <f>IFERROR(__xludf.DUMMYFUNCTION("""COMPUTED_VALUE"""),43230.66666666667)</f>
        <v>43230.66667</v>
      </c>
      <c r="C1922" s="9">
        <f>IFERROR(__xludf.DUMMYFUNCTION("""COMPUTED_VALUE"""),99.03)</f>
        <v>99.03</v>
      </c>
      <c r="K1922" s="16"/>
      <c r="T1922" s="17"/>
      <c r="AC1922" s="17"/>
    </row>
    <row r="1923">
      <c r="B1923" s="11">
        <f>IFERROR(__xludf.DUMMYFUNCTION("""COMPUTED_VALUE"""),43229.66666666667)</f>
        <v>43229.66667</v>
      </c>
      <c r="C1923" s="9">
        <f>IFERROR(__xludf.DUMMYFUNCTION("""COMPUTED_VALUE"""),98.84)</f>
        <v>98.84</v>
      </c>
      <c r="K1923" s="16"/>
      <c r="T1923" s="17"/>
      <c r="AC1923" s="17"/>
    </row>
    <row r="1924">
      <c r="B1924" s="11">
        <f>IFERROR(__xludf.DUMMYFUNCTION("""COMPUTED_VALUE"""),43228.66666666667)</f>
        <v>43228.66667</v>
      </c>
      <c r="C1924" s="9">
        <f>IFERROR(__xludf.DUMMYFUNCTION("""COMPUTED_VALUE"""),97.86)</f>
        <v>97.86</v>
      </c>
      <c r="K1924" s="16"/>
      <c r="T1924" s="17"/>
      <c r="AC1924" s="17"/>
    </row>
    <row r="1925">
      <c r="B1925" s="11">
        <f>IFERROR(__xludf.DUMMYFUNCTION("""COMPUTED_VALUE"""),43227.66666666667)</f>
        <v>43227.66667</v>
      </c>
      <c r="C1925" s="9">
        <f>IFERROR(__xludf.DUMMYFUNCTION("""COMPUTED_VALUE"""),96.38)</f>
        <v>96.38</v>
      </c>
      <c r="K1925" s="16"/>
      <c r="T1925" s="17"/>
      <c r="AC1925" s="17"/>
    </row>
    <row r="1926">
      <c r="B1926" s="11">
        <f>IFERROR(__xludf.DUMMYFUNCTION("""COMPUTED_VALUE"""),43224.66666666667)</f>
        <v>43224.66667</v>
      </c>
      <c r="C1926" s="9">
        <f>IFERROR(__xludf.DUMMYFUNCTION("""COMPUTED_VALUE"""),95.1)</f>
        <v>95.1</v>
      </c>
      <c r="K1926" s="16"/>
      <c r="T1926" s="17"/>
      <c r="AC1926" s="17"/>
    </row>
    <row r="1927">
      <c r="B1927" s="11">
        <f>IFERROR(__xludf.DUMMYFUNCTION("""COMPUTED_VALUE"""),43223.66666666667)</f>
        <v>43223.66667</v>
      </c>
      <c r="C1927" s="9">
        <f>IFERROR(__xludf.DUMMYFUNCTION("""COMPUTED_VALUE"""),93.99)</f>
        <v>93.99</v>
      </c>
      <c r="K1927" s="16"/>
      <c r="T1927" s="17"/>
      <c r="AC1927" s="17"/>
    </row>
    <row r="1928">
      <c r="B1928" s="11">
        <f>IFERROR(__xludf.DUMMYFUNCTION("""COMPUTED_VALUE"""),43222.66666666667)</f>
        <v>43222.66667</v>
      </c>
      <c r="C1928" s="9">
        <f>IFERROR(__xludf.DUMMYFUNCTION("""COMPUTED_VALUE"""),93.86)</f>
        <v>93.86</v>
      </c>
      <c r="K1928" s="16"/>
      <c r="T1928" s="17"/>
      <c r="AC1928" s="17"/>
    </row>
    <row r="1929">
      <c r="B1929" s="11">
        <f>IFERROR(__xludf.DUMMYFUNCTION("""COMPUTED_VALUE"""),43221.66666666667)</f>
        <v>43221.66667</v>
      </c>
      <c r="C1929" s="9">
        <f>IFERROR(__xludf.DUMMYFUNCTION("""COMPUTED_VALUE"""),94.38)</f>
        <v>94.38</v>
      </c>
      <c r="K1929" s="16"/>
      <c r="T1929" s="17"/>
      <c r="AC1929" s="17"/>
    </row>
    <row r="1930">
      <c r="B1930" s="11">
        <f>IFERROR(__xludf.DUMMYFUNCTION("""COMPUTED_VALUE"""),43220.66666666667)</f>
        <v>43220.66667</v>
      </c>
      <c r="C1930" s="9">
        <f>IFERROR(__xludf.DUMMYFUNCTION("""COMPUTED_VALUE"""),96.18)</f>
        <v>96.18</v>
      </c>
      <c r="K1930" s="16"/>
      <c r="T1930" s="17"/>
      <c r="AC1930" s="17"/>
    </row>
    <row r="1931">
      <c r="B1931" s="11">
        <f>IFERROR(__xludf.DUMMYFUNCTION("""COMPUTED_VALUE"""),43217.66666666667)</f>
        <v>43217.66667</v>
      </c>
      <c r="C1931" s="9">
        <f>IFERROR(__xludf.DUMMYFUNCTION("""COMPUTED_VALUE"""),97.64)</f>
        <v>97.64</v>
      </c>
      <c r="K1931" s="16"/>
      <c r="T1931" s="17"/>
      <c r="AC1931" s="17"/>
    </row>
    <row r="1932">
      <c r="B1932" s="11">
        <f>IFERROR(__xludf.DUMMYFUNCTION("""COMPUTED_VALUE"""),43216.66666666667)</f>
        <v>43216.66667</v>
      </c>
      <c r="C1932" s="9">
        <f>IFERROR(__xludf.DUMMYFUNCTION("""COMPUTED_VALUE"""),99.07)</f>
        <v>99.07</v>
      </c>
      <c r="K1932" s="16"/>
      <c r="T1932" s="17"/>
      <c r="AC1932" s="17"/>
    </row>
    <row r="1933">
      <c r="B1933" s="11">
        <f>IFERROR(__xludf.DUMMYFUNCTION("""COMPUTED_VALUE"""),43215.66666666667)</f>
        <v>43215.66667</v>
      </c>
      <c r="C1933" s="9">
        <f>IFERROR(__xludf.DUMMYFUNCTION("""COMPUTED_VALUE"""),99.13)</f>
        <v>99.13</v>
      </c>
      <c r="K1933" s="16"/>
      <c r="T1933" s="17"/>
      <c r="AC1933" s="17"/>
    </row>
    <row r="1934">
      <c r="B1934" s="11">
        <f>IFERROR(__xludf.DUMMYFUNCTION("""COMPUTED_VALUE"""),43214.66666666667)</f>
        <v>43214.66667</v>
      </c>
      <c r="C1934" s="9">
        <f>IFERROR(__xludf.DUMMYFUNCTION("""COMPUTED_VALUE"""),100.09)</f>
        <v>100.09</v>
      </c>
      <c r="K1934" s="16"/>
      <c r="T1934" s="17"/>
      <c r="AC1934" s="17"/>
    </row>
    <row r="1935">
      <c r="B1935" s="11">
        <f>IFERROR(__xludf.DUMMYFUNCTION("""COMPUTED_VALUE"""),43213.66666666667)</f>
        <v>43213.66667</v>
      </c>
      <c r="C1935" s="9">
        <f>IFERROR(__xludf.DUMMYFUNCTION("""COMPUTED_VALUE"""),102.44)</f>
        <v>102.44</v>
      </c>
      <c r="K1935" s="16"/>
      <c r="T1935" s="17"/>
      <c r="AC1935" s="17"/>
    </row>
    <row r="1936">
      <c r="B1936" s="11">
        <f>IFERROR(__xludf.DUMMYFUNCTION("""COMPUTED_VALUE"""),43210.66666666667)</f>
        <v>43210.66667</v>
      </c>
      <c r="C1936" s="9">
        <f>IFERROR(__xludf.DUMMYFUNCTION("""COMPUTED_VALUE"""),102.34)</f>
        <v>102.34</v>
      </c>
      <c r="K1936" s="16"/>
      <c r="T1936" s="17"/>
      <c r="AC1936" s="17"/>
    </row>
    <row r="1937">
      <c r="B1937" s="11">
        <f>IFERROR(__xludf.DUMMYFUNCTION("""COMPUTED_VALUE"""),43209.66666666667)</f>
        <v>43209.66667</v>
      </c>
      <c r="C1937" s="9">
        <f>IFERROR(__xludf.DUMMYFUNCTION("""COMPUTED_VALUE"""),102.91)</f>
        <v>102.91</v>
      </c>
      <c r="K1937" s="16"/>
      <c r="T1937" s="17"/>
      <c r="AC1937" s="17"/>
    </row>
    <row r="1938">
      <c r="B1938" s="11">
        <f>IFERROR(__xludf.DUMMYFUNCTION("""COMPUTED_VALUE"""),43208.66666666667)</f>
        <v>43208.66667</v>
      </c>
      <c r="C1938" s="9">
        <f>IFERROR(__xludf.DUMMYFUNCTION("""COMPUTED_VALUE"""),102.71)</f>
        <v>102.71</v>
      </c>
      <c r="K1938" s="16"/>
      <c r="T1938" s="17"/>
      <c r="AC1938" s="17"/>
    </row>
    <row r="1939">
      <c r="B1939" s="11">
        <f>IFERROR(__xludf.DUMMYFUNCTION("""COMPUTED_VALUE"""),43207.66666666667)</f>
        <v>43207.66667</v>
      </c>
      <c r="C1939" s="9">
        <f>IFERROR(__xludf.DUMMYFUNCTION("""COMPUTED_VALUE"""),101.83)</f>
        <v>101.83</v>
      </c>
      <c r="K1939" s="16"/>
      <c r="T1939" s="17"/>
      <c r="AC1939" s="17"/>
    </row>
    <row r="1940">
      <c r="B1940" s="11">
        <f>IFERROR(__xludf.DUMMYFUNCTION("""COMPUTED_VALUE"""),43206.66666666667)</f>
        <v>43206.66667</v>
      </c>
      <c r="C1940" s="9">
        <f>IFERROR(__xludf.DUMMYFUNCTION("""COMPUTED_VALUE"""),100.84)</f>
        <v>100.84</v>
      </c>
      <c r="K1940" s="16"/>
      <c r="T1940" s="17"/>
      <c r="AC1940" s="17"/>
    </row>
    <row r="1941">
      <c r="B1941" s="11">
        <f>IFERROR(__xludf.DUMMYFUNCTION("""COMPUTED_VALUE"""),43203.66666666667)</f>
        <v>43203.66667</v>
      </c>
      <c r="C1941" s="9">
        <f>IFERROR(__xludf.DUMMYFUNCTION("""COMPUTED_VALUE"""),99.79)</f>
        <v>99.79</v>
      </c>
      <c r="K1941" s="16"/>
      <c r="T1941" s="17"/>
      <c r="AC1941" s="17"/>
    </row>
    <row r="1942">
      <c r="B1942" s="11">
        <f>IFERROR(__xludf.DUMMYFUNCTION("""COMPUTED_VALUE"""),43202.66666666667)</f>
        <v>43202.66667</v>
      </c>
      <c r="C1942" s="9">
        <f>IFERROR(__xludf.DUMMYFUNCTION("""COMPUTED_VALUE"""),100.18)</f>
        <v>100.18</v>
      </c>
      <c r="K1942" s="16"/>
      <c r="T1942" s="17"/>
      <c r="AC1942" s="17"/>
    </row>
    <row r="1943">
      <c r="B1943" s="11">
        <f>IFERROR(__xludf.DUMMYFUNCTION("""COMPUTED_VALUE"""),43201.66666666667)</f>
        <v>43201.66667</v>
      </c>
      <c r="C1943" s="9">
        <f>IFERROR(__xludf.DUMMYFUNCTION("""COMPUTED_VALUE"""),99.0)</f>
        <v>99</v>
      </c>
      <c r="K1943" s="16"/>
      <c r="T1943" s="17"/>
      <c r="AC1943" s="17"/>
    </row>
    <row r="1944">
      <c r="B1944" s="11">
        <f>IFERROR(__xludf.DUMMYFUNCTION("""COMPUTED_VALUE"""),43200.66666666667)</f>
        <v>43200.66667</v>
      </c>
      <c r="C1944" s="9">
        <f>IFERROR(__xludf.DUMMYFUNCTION("""COMPUTED_VALUE"""),98.93)</f>
        <v>98.93</v>
      </c>
      <c r="K1944" s="16"/>
      <c r="T1944" s="17"/>
      <c r="AC1944" s="17"/>
    </row>
    <row r="1945">
      <c r="B1945" s="11">
        <f>IFERROR(__xludf.DUMMYFUNCTION("""COMPUTED_VALUE"""),43199.66666666667)</f>
        <v>43199.66667</v>
      </c>
      <c r="C1945" s="9">
        <f>IFERROR(__xludf.DUMMYFUNCTION("""COMPUTED_VALUE"""),98.05)</f>
        <v>98.05</v>
      </c>
      <c r="K1945" s="16"/>
      <c r="T1945" s="17"/>
      <c r="AC1945" s="17"/>
    </row>
    <row r="1946">
      <c r="B1946" s="11">
        <f>IFERROR(__xludf.DUMMYFUNCTION("""COMPUTED_VALUE"""),43196.66666666667)</f>
        <v>43196.66667</v>
      </c>
      <c r="C1946" s="9">
        <f>IFERROR(__xludf.DUMMYFUNCTION("""COMPUTED_VALUE"""),98.32)</f>
        <v>98.32</v>
      </c>
      <c r="K1946" s="16"/>
      <c r="T1946" s="17"/>
      <c r="AC1946" s="17"/>
    </row>
    <row r="1947">
      <c r="B1947" s="11">
        <f>IFERROR(__xludf.DUMMYFUNCTION("""COMPUTED_VALUE"""),43195.66666666667)</f>
        <v>43195.66667</v>
      </c>
      <c r="C1947" s="9">
        <f>IFERROR(__xludf.DUMMYFUNCTION("""COMPUTED_VALUE"""),100.78)</f>
        <v>100.78</v>
      </c>
      <c r="K1947" s="16"/>
      <c r="T1947" s="17"/>
      <c r="AC1947" s="17"/>
    </row>
    <row r="1948">
      <c r="B1948" s="11">
        <f>IFERROR(__xludf.DUMMYFUNCTION("""COMPUTED_VALUE"""),43194.66666666667)</f>
        <v>43194.66667</v>
      </c>
      <c r="C1948" s="9">
        <f>IFERROR(__xludf.DUMMYFUNCTION("""COMPUTED_VALUE"""),99.31)</f>
        <v>99.31</v>
      </c>
      <c r="K1948" s="16"/>
      <c r="T1948" s="17"/>
      <c r="AC1948" s="17"/>
    </row>
    <row r="1949">
      <c r="B1949" s="11">
        <f>IFERROR(__xludf.DUMMYFUNCTION("""COMPUTED_VALUE"""),43193.66666666667)</f>
        <v>43193.66667</v>
      </c>
      <c r="C1949" s="9">
        <f>IFERROR(__xludf.DUMMYFUNCTION("""COMPUTED_VALUE"""),98.71)</f>
        <v>98.71</v>
      </c>
      <c r="K1949" s="16"/>
      <c r="T1949" s="17"/>
      <c r="AC1949" s="17"/>
    </row>
    <row r="1950">
      <c r="B1950" s="11">
        <f>IFERROR(__xludf.DUMMYFUNCTION("""COMPUTED_VALUE"""),43192.66666666667)</f>
        <v>43192.66667</v>
      </c>
      <c r="C1950" s="9">
        <f>IFERROR(__xludf.DUMMYFUNCTION("""COMPUTED_VALUE"""),97.49)</f>
        <v>97.49</v>
      </c>
      <c r="K1950" s="16"/>
      <c r="T1950" s="17"/>
      <c r="AC1950" s="17"/>
    </row>
    <row r="1951">
      <c r="B1951" s="11">
        <f>IFERROR(__xludf.DUMMYFUNCTION("""COMPUTED_VALUE"""),43188.66666666667)</f>
        <v>43188.66667</v>
      </c>
      <c r="C1951" s="9">
        <f>IFERROR(__xludf.DUMMYFUNCTION("""COMPUTED_VALUE"""),98.98)</f>
        <v>98.98</v>
      </c>
      <c r="K1951" s="16"/>
      <c r="T1951" s="17"/>
      <c r="AC1951" s="17"/>
    </row>
    <row r="1952">
      <c r="B1952" s="11">
        <f>IFERROR(__xludf.DUMMYFUNCTION("""COMPUTED_VALUE"""),43187.66666666667)</f>
        <v>43187.66667</v>
      </c>
      <c r="C1952" s="9">
        <f>IFERROR(__xludf.DUMMYFUNCTION("""COMPUTED_VALUE"""),97.55)</f>
        <v>97.55</v>
      </c>
      <c r="K1952" s="16"/>
      <c r="T1952" s="17"/>
      <c r="AC1952" s="17"/>
    </row>
    <row r="1953">
      <c r="B1953" s="11">
        <f>IFERROR(__xludf.DUMMYFUNCTION("""COMPUTED_VALUE"""),43186.66666666667)</f>
        <v>43186.66667</v>
      </c>
      <c r="C1953" s="9">
        <f>IFERROR(__xludf.DUMMYFUNCTION("""COMPUTED_VALUE"""),98.33)</f>
        <v>98.33</v>
      </c>
      <c r="K1953" s="16"/>
      <c r="T1953" s="17"/>
      <c r="AC1953" s="17"/>
    </row>
    <row r="1954">
      <c r="B1954" s="11">
        <f>IFERROR(__xludf.DUMMYFUNCTION("""COMPUTED_VALUE"""),43185.66666666667)</f>
        <v>43185.66667</v>
      </c>
      <c r="C1954" s="9">
        <f>IFERROR(__xludf.DUMMYFUNCTION("""COMPUTED_VALUE"""),99.91)</f>
        <v>99.91</v>
      </c>
      <c r="K1954" s="16"/>
      <c r="T1954" s="17"/>
      <c r="AC1954" s="17"/>
    </row>
    <row r="1955">
      <c r="B1955" s="11">
        <f>IFERROR(__xludf.DUMMYFUNCTION("""COMPUTED_VALUE"""),43182.66666666667)</f>
        <v>43182.66667</v>
      </c>
      <c r="C1955" s="9">
        <f>IFERROR(__xludf.DUMMYFUNCTION("""COMPUTED_VALUE"""),97.36)</f>
        <v>97.36</v>
      </c>
      <c r="K1955" s="16"/>
      <c r="T1955" s="17"/>
      <c r="AC1955" s="17"/>
    </row>
    <row r="1956">
      <c r="B1956" s="11">
        <f>IFERROR(__xludf.DUMMYFUNCTION("""COMPUTED_VALUE"""),43181.66666666667)</f>
        <v>43181.66667</v>
      </c>
      <c r="C1956" s="9">
        <f>IFERROR(__xludf.DUMMYFUNCTION("""COMPUTED_VALUE"""),97.05)</f>
        <v>97.05</v>
      </c>
      <c r="K1956" s="16"/>
      <c r="T1956" s="17"/>
      <c r="AC1956" s="17"/>
    </row>
    <row r="1957">
      <c r="B1957" s="11">
        <f>IFERROR(__xludf.DUMMYFUNCTION("""COMPUTED_VALUE"""),43180.66666666667)</f>
        <v>43180.66667</v>
      </c>
      <c r="C1957" s="9">
        <f>IFERROR(__xludf.DUMMYFUNCTION("""COMPUTED_VALUE"""),100.25)</f>
        <v>100.25</v>
      </c>
      <c r="K1957" s="16"/>
      <c r="T1957" s="17"/>
      <c r="AC1957" s="17"/>
    </row>
    <row r="1958">
      <c r="B1958" s="11">
        <f>IFERROR(__xludf.DUMMYFUNCTION("""COMPUTED_VALUE"""),43179.66666666667)</f>
        <v>43179.66667</v>
      </c>
      <c r="C1958" s="9">
        <f>IFERROR(__xludf.DUMMYFUNCTION("""COMPUTED_VALUE"""),100.03)</f>
        <v>100.03</v>
      </c>
      <c r="K1958" s="16"/>
      <c r="T1958" s="17"/>
      <c r="AC1958" s="17"/>
    </row>
    <row r="1959">
      <c r="B1959" s="11">
        <f>IFERROR(__xludf.DUMMYFUNCTION("""COMPUTED_VALUE"""),43178.66666666667)</f>
        <v>43178.66667</v>
      </c>
      <c r="C1959" s="9">
        <f>IFERROR(__xludf.DUMMYFUNCTION("""COMPUTED_VALUE"""),99.35)</f>
        <v>99.35</v>
      </c>
      <c r="K1959" s="16"/>
      <c r="T1959" s="17"/>
      <c r="AC1959" s="17"/>
    </row>
    <row r="1960">
      <c r="B1960" s="11">
        <f>IFERROR(__xludf.DUMMYFUNCTION("""COMPUTED_VALUE"""),43175.66666666667)</f>
        <v>43175.66667</v>
      </c>
      <c r="C1960" s="9">
        <f>IFERROR(__xludf.DUMMYFUNCTION("""COMPUTED_VALUE"""),99.08)</f>
        <v>99.08</v>
      </c>
      <c r="K1960" s="16"/>
      <c r="T1960" s="17"/>
      <c r="AC1960" s="17"/>
    </row>
    <row r="1961">
      <c r="B1961" s="11">
        <f>IFERROR(__xludf.DUMMYFUNCTION("""COMPUTED_VALUE"""),43174.66666666667)</f>
        <v>43174.66667</v>
      </c>
      <c r="C1961" s="9">
        <f>IFERROR(__xludf.DUMMYFUNCTION("""COMPUTED_VALUE"""),99.31)</f>
        <v>99.31</v>
      </c>
      <c r="K1961" s="16"/>
      <c r="T1961" s="17"/>
      <c r="AC1961" s="17"/>
    </row>
    <row r="1962">
      <c r="B1962" s="11">
        <f>IFERROR(__xludf.DUMMYFUNCTION("""COMPUTED_VALUE"""),43173.66666666667)</f>
        <v>43173.66667</v>
      </c>
      <c r="C1962" s="9">
        <f>IFERROR(__xludf.DUMMYFUNCTION("""COMPUTED_VALUE"""),99.35)</f>
        <v>99.35</v>
      </c>
      <c r="K1962" s="16"/>
      <c r="T1962" s="17"/>
      <c r="AC1962" s="17"/>
    </row>
    <row r="1963">
      <c r="B1963" s="11">
        <f>IFERROR(__xludf.DUMMYFUNCTION("""COMPUTED_VALUE"""),43172.66666666667)</f>
        <v>43172.66667</v>
      </c>
      <c r="C1963" s="9">
        <f>IFERROR(__xludf.DUMMYFUNCTION("""COMPUTED_VALUE"""),100.49)</f>
        <v>100.49</v>
      </c>
      <c r="K1963" s="16"/>
      <c r="T1963" s="17"/>
      <c r="AC1963" s="17"/>
    </row>
    <row r="1964">
      <c r="B1964" s="11">
        <f>IFERROR(__xludf.DUMMYFUNCTION("""COMPUTED_VALUE"""),43171.66666666667)</f>
        <v>43171.66667</v>
      </c>
      <c r="C1964" s="9">
        <f>IFERROR(__xludf.DUMMYFUNCTION("""COMPUTED_VALUE"""),100.77)</f>
        <v>100.77</v>
      </c>
      <c r="K1964" s="16"/>
      <c r="T1964" s="17"/>
      <c r="AC1964" s="17"/>
    </row>
    <row r="1965">
      <c r="B1965" s="11">
        <f>IFERROR(__xludf.DUMMYFUNCTION("""COMPUTED_VALUE"""),43168.66666666667)</f>
        <v>43168.66667</v>
      </c>
      <c r="C1965" s="9">
        <f>IFERROR(__xludf.DUMMYFUNCTION("""COMPUTED_VALUE"""),102.55)</f>
        <v>102.55</v>
      </c>
      <c r="K1965" s="16"/>
      <c r="T1965" s="17"/>
      <c r="AC1965" s="17"/>
    </row>
    <row r="1966">
      <c r="B1966" s="11">
        <f>IFERROR(__xludf.DUMMYFUNCTION("""COMPUTED_VALUE"""),43167.66666666667)</f>
        <v>43167.66667</v>
      </c>
      <c r="C1966" s="9">
        <f>IFERROR(__xludf.DUMMYFUNCTION("""COMPUTED_VALUE"""),101.12)</f>
        <v>101.12</v>
      </c>
      <c r="K1966" s="16"/>
      <c r="T1966" s="17"/>
      <c r="AC1966" s="17"/>
    </row>
    <row r="1967">
      <c r="B1967" s="11">
        <f>IFERROR(__xludf.DUMMYFUNCTION("""COMPUTED_VALUE"""),43166.66666666667)</f>
        <v>43166.66667</v>
      </c>
      <c r="C1967" s="9">
        <f>IFERROR(__xludf.DUMMYFUNCTION("""COMPUTED_VALUE"""),100.73)</f>
        <v>100.73</v>
      </c>
      <c r="K1967" s="16"/>
      <c r="T1967" s="17"/>
      <c r="AC1967" s="17"/>
    </row>
    <row r="1968">
      <c r="B1968" s="11">
        <f>IFERROR(__xludf.DUMMYFUNCTION("""COMPUTED_VALUE"""),43165.66666666667)</f>
        <v>43165.66667</v>
      </c>
      <c r="C1968" s="9">
        <f>IFERROR(__xludf.DUMMYFUNCTION("""COMPUTED_VALUE"""),100.42)</f>
        <v>100.42</v>
      </c>
      <c r="K1968" s="16"/>
      <c r="T1968" s="17"/>
      <c r="AC1968" s="17"/>
    </row>
    <row r="1969">
      <c r="B1969" s="11">
        <f>IFERROR(__xludf.DUMMYFUNCTION("""COMPUTED_VALUE"""),43164.66666666667)</f>
        <v>43164.66667</v>
      </c>
      <c r="C1969" s="9">
        <f>IFERROR(__xludf.DUMMYFUNCTION("""COMPUTED_VALUE"""),100.59)</f>
        <v>100.59</v>
      </c>
      <c r="K1969" s="16"/>
      <c r="T1969" s="17"/>
      <c r="AC1969" s="17"/>
    </row>
    <row r="1970">
      <c r="B1970" s="11">
        <f>IFERROR(__xludf.DUMMYFUNCTION("""COMPUTED_VALUE"""),43161.66666666667)</f>
        <v>43161.66667</v>
      </c>
      <c r="C1970" s="9">
        <f>IFERROR(__xludf.DUMMYFUNCTION("""COMPUTED_VALUE"""),99.8)</f>
        <v>99.8</v>
      </c>
      <c r="K1970" s="16"/>
      <c r="T1970" s="17"/>
      <c r="AC1970" s="17"/>
    </row>
    <row r="1971">
      <c r="B1971" s="11">
        <f>IFERROR(__xludf.DUMMYFUNCTION("""COMPUTED_VALUE"""),43160.66666666667)</f>
        <v>43160.66667</v>
      </c>
      <c r="C1971" s="9">
        <f>IFERROR(__xludf.DUMMYFUNCTION("""COMPUTED_VALUE"""),99.4)</f>
        <v>99.4</v>
      </c>
      <c r="K1971" s="16"/>
      <c r="T1971" s="17"/>
      <c r="AC1971" s="17"/>
    </row>
    <row r="1972">
      <c r="B1972" s="11">
        <f>IFERROR(__xludf.DUMMYFUNCTION("""COMPUTED_VALUE"""),43159.66666666667)</f>
        <v>43159.66667</v>
      </c>
      <c r="C1972" s="9">
        <f>IFERROR(__xludf.DUMMYFUNCTION("""COMPUTED_VALUE"""),101.44)</f>
        <v>101.44</v>
      </c>
      <c r="K1972" s="16"/>
      <c r="T1972" s="17"/>
      <c r="AC1972" s="17"/>
    </row>
    <row r="1973">
      <c r="B1973" s="11">
        <f>IFERROR(__xludf.DUMMYFUNCTION("""COMPUTED_VALUE"""),43158.66666666667)</f>
        <v>43158.66667</v>
      </c>
      <c r="C1973" s="9">
        <f>IFERROR(__xludf.DUMMYFUNCTION("""COMPUTED_VALUE"""),101.43)</f>
        <v>101.43</v>
      </c>
      <c r="K1973" s="16"/>
      <c r="T1973" s="17"/>
      <c r="AC1973" s="17"/>
    </row>
    <row r="1974">
      <c r="B1974" s="11">
        <f>IFERROR(__xludf.DUMMYFUNCTION("""COMPUTED_VALUE"""),43157.66666666667)</f>
        <v>43157.66667</v>
      </c>
      <c r="C1974" s="9">
        <f>IFERROR(__xludf.DUMMYFUNCTION("""COMPUTED_VALUE"""),102.65)</f>
        <v>102.65</v>
      </c>
      <c r="K1974" s="16"/>
      <c r="T1974" s="17"/>
      <c r="AC1974" s="17"/>
    </row>
    <row r="1975">
      <c r="B1975" s="11">
        <f>IFERROR(__xludf.DUMMYFUNCTION("""COMPUTED_VALUE"""),43154.66666666667)</f>
        <v>43154.66667</v>
      </c>
      <c r="C1975" s="9">
        <f>IFERROR(__xludf.DUMMYFUNCTION("""COMPUTED_VALUE"""),101.55)</f>
        <v>101.55</v>
      </c>
      <c r="K1975" s="16"/>
      <c r="T1975" s="17"/>
      <c r="AC1975" s="17"/>
    </row>
    <row r="1976">
      <c r="B1976" s="11">
        <f>IFERROR(__xludf.DUMMYFUNCTION("""COMPUTED_VALUE"""),43153.66666666667)</f>
        <v>43153.66667</v>
      </c>
      <c r="C1976" s="9">
        <f>IFERROR(__xludf.DUMMYFUNCTION("""COMPUTED_VALUE"""),100.93)</f>
        <v>100.93</v>
      </c>
      <c r="K1976" s="16"/>
      <c r="T1976" s="17"/>
      <c r="AC1976" s="17"/>
    </row>
    <row r="1977">
      <c r="B1977" s="11">
        <f>IFERROR(__xludf.DUMMYFUNCTION("""COMPUTED_VALUE"""),43152.66666666667)</f>
        <v>43152.66667</v>
      </c>
      <c r="C1977" s="9">
        <f>IFERROR(__xludf.DUMMYFUNCTION("""COMPUTED_VALUE"""),100.56)</f>
        <v>100.56</v>
      </c>
      <c r="K1977" s="16"/>
      <c r="T1977" s="17"/>
      <c r="AC1977" s="17"/>
    </row>
    <row r="1978">
      <c r="B1978" s="11">
        <f>IFERROR(__xludf.DUMMYFUNCTION("""COMPUTED_VALUE"""),43151.66666666667)</f>
        <v>43151.66667</v>
      </c>
      <c r="C1978" s="9">
        <f>IFERROR(__xludf.DUMMYFUNCTION("""COMPUTED_VALUE"""),100.54)</f>
        <v>100.54</v>
      </c>
      <c r="K1978" s="16"/>
      <c r="T1978" s="17"/>
      <c r="AC1978" s="17"/>
    </row>
    <row r="1979">
      <c r="B1979" s="11">
        <f>IFERROR(__xludf.DUMMYFUNCTION("""COMPUTED_VALUE"""),43147.66666666667)</f>
        <v>43147.66667</v>
      </c>
      <c r="C1979" s="9">
        <f>IFERROR(__xludf.DUMMYFUNCTION("""COMPUTED_VALUE"""),101.39)</f>
        <v>101.39</v>
      </c>
      <c r="K1979" s="16"/>
      <c r="T1979" s="17"/>
      <c r="AC1979" s="17"/>
    </row>
    <row r="1980">
      <c r="B1980" s="11">
        <f>IFERROR(__xludf.DUMMYFUNCTION("""COMPUTED_VALUE"""),43146.66666666667)</f>
        <v>43146.66667</v>
      </c>
      <c r="C1980" s="9">
        <f>IFERROR(__xludf.DUMMYFUNCTION("""COMPUTED_VALUE"""),101.3)</f>
        <v>101.3</v>
      </c>
      <c r="K1980" s="16"/>
      <c r="T1980" s="17"/>
      <c r="AC1980" s="17"/>
    </row>
    <row r="1981">
      <c r="B1981" s="11">
        <f>IFERROR(__xludf.DUMMYFUNCTION("""COMPUTED_VALUE"""),43145.66666666667)</f>
        <v>43145.66667</v>
      </c>
      <c r="C1981" s="9">
        <f>IFERROR(__xludf.DUMMYFUNCTION("""COMPUTED_VALUE"""),98.94)</f>
        <v>98.94</v>
      </c>
      <c r="K1981" s="16"/>
      <c r="T1981" s="17"/>
      <c r="AC1981" s="17"/>
    </row>
    <row r="1982">
      <c r="B1982" s="11">
        <f>IFERROR(__xludf.DUMMYFUNCTION("""COMPUTED_VALUE"""),43144.66666666667)</f>
        <v>43144.66667</v>
      </c>
      <c r="C1982" s="9">
        <f>IFERROR(__xludf.DUMMYFUNCTION("""COMPUTED_VALUE"""),97.35)</f>
        <v>97.35</v>
      </c>
      <c r="K1982" s="16"/>
      <c r="T1982" s="17"/>
      <c r="AC1982" s="17"/>
    </row>
    <row r="1983">
      <c r="B1983" s="11">
        <f>IFERROR(__xludf.DUMMYFUNCTION("""COMPUTED_VALUE"""),43143.66666666667)</f>
        <v>43143.66667</v>
      </c>
      <c r="C1983" s="9">
        <f>IFERROR(__xludf.DUMMYFUNCTION("""COMPUTED_VALUE"""),96.98)</f>
        <v>96.98</v>
      </c>
      <c r="K1983" s="16"/>
      <c r="T1983" s="17"/>
      <c r="AC1983" s="17"/>
    </row>
    <row r="1984">
      <c r="B1984" s="11">
        <f>IFERROR(__xludf.DUMMYFUNCTION("""COMPUTED_VALUE"""),43140.66666666667)</f>
        <v>43140.66667</v>
      </c>
      <c r="C1984" s="9">
        <f>IFERROR(__xludf.DUMMYFUNCTION("""COMPUTED_VALUE"""),95.61)</f>
        <v>95.61</v>
      </c>
      <c r="K1984" s="16"/>
      <c r="T1984" s="17"/>
      <c r="AC1984" s="17"/>
    </row>
    <row r="1985">
      <c r="B1985" s="11">
        <f>IFERROR(__xludf.DUMMYFUNCTION("""COMPUTED_VALUE"""),43139.66666666667)</f>
        <v>43139.66667</v>
      </c>
      <c r="C1985" s="9">
        <f>IFERROR(__xludf.DUMMYFUNCTION("""COMPUTED_VALUE"""),94.18)</f>
        <v>94.18</v>
      </c>
      <c r="K1985" s="16"/>
      <c r="T1985" s="17"/>
      <c r="AC1985" s="17"/>
    </row>
    <row r="1986">
      <c r="B1986" s="11">
        <f>IFERROR(__xludf.DUMMYFUNCTION("""COMPUTED_VALUE"""),43138.66666666667)</f>
        <v>43138.66667</v>
      </c>
      <c r="C1986" s="9">
        <f>IFERROR(__xludf.DUMMYFUNCTION("""COMPUTED_VALUE"""),97.29)</f>
        <v>97.29</v>
      </c>
      <c r="K1986" s="16"/>
      <c r="T1986" s="17"/>
      <c r="AC1986" s="17"/>
    </row>
    <row r="1987">
      <c r="B1987" s="11">
        <f>IFERROR(__xludf.DUMMYFUNCTION("""COMPUTED_VALUE"""),43137.66666666667)</f>
        <v>43137.66667</v>
      </c>
      <c r="C1987" s="9">
        <f>IFERROR(__xludf.DUMMYFUNCTION("""COMPUTED_VALUE"""),95.98)</f>
        <v>95.98</v>
      </c>
      <c r="K1987" s="16"/>
      <c r="T1987" s="17"/>
      <c r="AC1987" s="17"/>
    </row>
    <row r="1988">
      <c r="B1988" s="11">
        <f>IFERROR(__xludf.DUMMYFUNCTION("""COMPUTED_VALUE"""),43136.66666666667)</f>
        <v>43136.66667</v>
      </c>
      <c r="C1988" s="9">
        <f>IFERROR(__xludf.DUMMYFUNCTION("""COMPUTED_VALUE"""),94.92)</f>
        <v>94.92</v>
      </c>
      <c r="K1988" s="16"/>
      <c r="T1988" s="17"/>
      <c r="AC1988" s="17"/>
    </row>
    <row r="1989">
      <c r="B1989" s="11">
        <f>IFERROR(__xludf.DUMMYFUNCTION("""COMPUTED_VALUE"""),43133.66666666667)</f>
        <v>43133.66667</v>
      </c>
      <c r="C1989" s="9">
        <f>IFERROR(__xludf.DUMMYFUNCTION("""COMPUTED_VALUE"""),100.12)</f>
        <v>100.12</v>
      </c>
      <c r="K1989" s="16"/>
      <c r="T1989" s="17"/>
      <c r="AC1989" s="17"/>
    </row>
    <row r="1990">
      <c r="B1990" s="11">
        <f>IFERROR(__xludf.DUMMYFUNCTION("""COMPUTED_VALUE"""),43132.66666666667)</f>
        <v>43132.66667</v>
      </c>
      <c r="C1990" s="9">
        <f>IFERROR(__xludf.DUMMYFUNCTION("""COMPUTED_VALUE"""),102.21)</f>
        <v>102.21</v>
      </c>
      <c r="K1990" s="16"/>
      <c r="T1990" s="17"/>
      <c r="AC1990" s="17"/>
    </row>
    <row r="1991">
      <c r="B1991" s="11">
        <f>IFERROR(__xludf.DUMMYFUNCTION("""COMPUTED_VALUE"""),43131.66666666667)</f>
        <v>43131.66667</v>
      </c>
      <c r="C1991" s="9">
        <f>IFERROR(__xludf.DUMMYFUNCTION("""COMPUTED_VALUE"""),101.63)</f>
        <v>101.63</v>
      </c>
      <c r="K1991" s="16"/>
      <c r="T1991" s="17"/>
      <c r="AC1991" s="17"/>
    </row>
    <row r="1992">
      <c r="B1992" s="11">
        <f>IFERROR(__xludf.DUMMYFUNCTION("""COMPUTED_VALUE"""),43130.66666666667)</f>
        <v>43130.66667</v>
      </c>
      <c r="C1992" s="9">
        <f>IFERROR(__xludf.DUMMYFUNCTION("""COMPUTED_VALUE"""),101.36)</f>
        <v>101.36</v>
      </c>
      <c r="K1992" s="16"/>
      <c r="T1992" s="17"/>
      <c r="AC1992" s="17"/>
    </row>
    <row r="1993">
      <c r="B1993" s="11">
        <f>IFERROR(__xludf.DUMMYFUNCTION("""COMPUTED_VALUE"""),43129.66666666667)</f>
        <v>43129.66667</v>
      </c>
      <c r="C1993" s="9">
        <f>IFERROR(__xludf.DUMMYFUNCTION("""COMPUTED_VALUE"""),102.13)</f>
        <v>102.13</v>
      </c>
      <c r="K1993" s="16"/>
      <c r="T1993" s="17"/>
      <c r="AC1993" s="17"/>
    </row>
    <row r="1994">
      <c r="B1994" s="11">
        <f>IFERROR(__xludf.DUMMYFUNCTION("""COMPUTED_VALUE"""),43126.66666666667)</f>
        <v>43126.66667</v>
      </c>
      <c r="C1994" s="9">
        <f>IFERROR(__xludf.DUMMYFUNCTION("""COMPUTED_VALUE"""),102.01)</f>
        <v>102.01</v>
      </c>
      <c r="K1994" s="16"/>
      <c r="T1994" s="17"/>
      <c r="AC1994" s="17"/>
    </row>
    <row r="1995">
      <c r="B1995" s="11">
        <f>IFERROR(__xludf.DUMMYFUNCTION("""COMPUTED_VALUE"""),43125.66666666667)</f>
        <v>43125.66667</v>
      </c>
      <c r="C1995" s="9">
        <f>IFERROR(__xludf.DUMMYFUNCTION("""COMPUTED_VALUE"""),100.69)</f>
        <v>100.69</v>
      </c>
      <c r="K1995" s="16"/>
      <c r="T1995" s="17"/>
      <c r="AC1995" s="17"/>
    </row>
    <row r="1996">
      <c r="B1996" s="11">
        <f>IFERROR(__xludf.DUMMYFUNCTION("""COMPUTED_VALUE"""),43124.66666666667)</f>
        <v>43124.66667</v>
      </c>
      <c r="C1996" s="9">
        <f>IFERROR(__xludf.DUMMYFUNCTION("""COMPUTED_VALUE"""),99.21)</f>
        <v>99.21</v>
      </c>
      <c r="K1996" s="16"/>
      <c r="T1996" s="17"/>
      <c r="AC1996" s="17"/>
    </row>
    <row r="1997">
      <c r="B1997" s="11">
        <f>IFERROR(__xludf.DUMMYFUNCTION("""COMPUTED_VALUE"""),43123.66666666667)</f>
        <v>43123.66667</v>
      </c>
      <c r="C1997" s="9">
        <f>IFERROR(__xludf.DUMMYFUNCTION("""COMPUTED_VALUE"""),98.68)</f>
        <v>98.68</v>
      </c>
      <c r="K1997" s="16"/>
      <c r="T1997" s="17"/>
      <c r="AC1997" s="17"/>
    </row>
    <row r="1998">
      <c r="B1998" s="11">
        <f>IFERROR(__xludf.DUMMYFUNCTION("""COMPUTED_VALUE"""),43122.66666666667)</f>
        <v>43122.66667</v>
      </c>
      <c r="C1998" s="9">
        <f>IFERROR(__xludf.DUMMYFUNCTION("""COMPUTED_VALUE"""),99.0)</f>
        <v>99</v>
      </c>
      <c r="K1998" s="16"/>
      <c r="T1998" s="17"/>
      <c r="AC1998" s="17"/>
    </row>
    <row r="1999">
      <c r="B1999" s="11">
        <f>IFERROR(__xludf.DUMMYFUNCTION("""COMPUTED_VALUE"""),43119.66666666667)</f>
        <v>43119.66667</v>
      </c>
      <c r="C1999" s="9">
        <f>IFERROR(__xludf.DUMMYFUNCTION("""COMPUTED_VALUE"""),99.41)</f>
        <v>99.41</v>
      </c>
      <c r="K1999" s="16"/>
      <c r="T1999" s="17"/>
      <c r="AC1999" s="17"/>
    </row>
    <row r="2000">
      <c r="B2000" s="11">
        <f>IFERROR(__xludf.DUMMYFUNCTION("""COMPUTED_VALUE"""),43118.66666666667)</f>
        <v>43118.66667</v>
      </c>
      <c r="C2000" s="9">
        <f>IFERROR(__xludf.DUMMYFUNCTION("""COMPUTED_VALUE"""),98.7)</f>
        <v>98.7</v>
      </c>
      <c r="K2000" s="16"/>
      <c r="T2000" s="17"/>
      <c r="AC2000" s="17"/>
    </row>
    <row r="2001">
      <c r="B2001" s="11">
        <f>IFERROR(__xludf.DUMMYFUNCTION("""COMPUTED_VALUE"""),43117.66666666667)</f>
        <v>43117.66667</v>
      </c>
      <c r="C2001" s="9">
        <f>IFERROR(__xludf.DUMMYFUNCTION("""COMPUTED_VALUE"""),99.5)</f>
        <v>99.5</v>
      </c>
      <c r="K2001" s="16"/>
      <c r="T2001" s="17"/>
      <c r="AC2001" s="17"/>
    </row>
    <row r="2002">
      <c r="B2002" s="11">
        <f>IFERROR(__xludf.DUMMYFUNCTION("""COMPUTED_VALUE"""),43116.66666666667)</f>
        <v>43116.66667</v>
      </c>
      <c r="C2002" s="9">
        <f>IFERROR(__xludf.DUMMYFUNCTION("""COMPUTED_VALUE"""),98.33)</f>
        <v>98.33</v>
      </c>
      <c r="K2002" s="16"/>
      <c r="T2002" s="17"/>
      <c r="AC2002" s="17"/>
    </row>
    <row r="2003">
      <c r="B2003" s="11">
        <f>IFERROR(__xludf.DUMMYFUNCTION("""COMPUTED_VALUE"""),43112.66666666667)</f>
        <v>43112.66667</v>
      </c>
      <c r="C2003" s="9">
        <f>IFERROR(__xludf.DUMMYFUNCTION("""COMPUTED_VALUE"""),99.39)</f>
        <v>99.39</v>
      </c>
      <c r="K2003" s="16"/>
      <c r="T2003" s="17"/>
      <c r="AC2003" s="17"/>
    </row>
    <row r="2004">
      <c r="B2004" s="11">
        <f>IFERROR(__xludf.DUMMYFUNCTION("""COMPUTED_VALUE"""),43111.66666666667)</f>
        <v>43111.66667</v>
      </c>
      <c r="C2004" s="9">
        <f>IFERROR(__xludf.DUMMYFUNCTION("""COMPUTED_VALUE"""),97.89)</f>
        <v>97.89</v>
      </c>
      <c r="K2004" s="16"/>
      <c r="T2004" s="17"/>
      <c r="AC2004" s="17"/>
    </row>
    <row r="2005">
      <c r="B2005" s="11">
        <f>IFERROR(__xludf.DUMMYFUNCTION("""COMPUTED_VALUE"""),43110.66666666667)</f>
        <v>43110.66667</v>
      </c>
      <c r="C2005" s="9">
        <f>IFERROR(__xludf.DUMMYFUNCTION("""COMPUTED_VALUE"""),96.94)</f>
        <v>96.94</v>
      </c>
      <c r="K2005" s="16"/>
      <c r="T2005" s="17"/>
      <c r="AC2005" s="17"/>
    </row>
    <row r="2006">
      <c r="B2006" s="11">
        <f>IFERROR(__xludf.DUMMYFUNCTION("""COMPUTED_VALUE"""),43109.66666666667)</f>
        <v>43109.66667</v>
      </c>
      <c r="C2006" s="9">
        <f>IFERROR(__xludf.DUMMYFUNCTION("""COMPUTED_VALUE"""),97.07)</f>
        <v>97.07</v>
      </c>
      <c r="K2006" s="16"/>
      <c r="T2006" s="17"/>
      <c r="AC2006" s="17"/>
    </row>
    <row r="2007">
      <c r="B2007" s="11">
        <f>IFERROR(__xludf.DUMMYFUNCTION("""COMPUTED_VALUE"""),43108.66666666667)</f>
        <v>43108.66667</v>
      </c>
      <c r="C2007" s="9">
        <f>IFERROR(__xludf.DUMMYFUNCTION("""COMPUTED_VALUE"""),96.45)</f>
        <v>96.45</v>
      </c>
      <c r="K2007" s="16"/>
      <c r="T2007" s="17"/>
      <c r="AC2007" s="17"/>
    </row>
    <row r="2008">
      <c r="B2008" s="11">
        <f>IFERROR(__xludf.DUMMYFUNCTION("""COMPUTED_VALUE"""),43105.66666666667)</f>
        <v>43105.66667</v>
      </c>
      <c r="C2008" s="9">
        <f>IFERROR(__xludf.DUMMYFUNCTION("""COMPUTED_VALUE"""),95.87)</f>
        <v>95.87</v>
      </c>
      <c r="K2008" s="16"/>
      <c r="T2008" s="17"/>
      <c r="AC2008" s="17"/>
    </row>
    <row r="2009">
      <c r="B2009" s="11">
        <f>IFERROR(__xludf.DUMMYFUNCTION("""COMPUTED_VALUE"""),43104.66666666667)</f>
        <v>43104.66667</v>
      </c>
      <c r="C2009" s="9">
        <f>IFERROR(__xludf.DUMMYFUNCTION("""COMPUTED_VALUE"""),95.02)</f>
        <v>95.02</v>
      </c>
      <c r="K2009" s="16"/>
      <c r="T2009" s="17"/>
      <c r="AC2009" s="17"/>
    </row>
    <row r="2010">
      <c r="B2010" s="11">
        <f>IFERROR(__xludf.DUMMYFUNCTION("""COMPUTED_VALUE"""),43103.66666666667)</f>
        <v>43103.66667</v>
      </c>
      <c r="C2010" s="9">
        <f>IFERROR(__xludf.DUMMYFUNCTION("""COMPUTED_VALUE"""),94.36)</f>
        <v>94.36</v>
      </c>
      <c r="K2010" s="16"/>
      <c r="T2010" s="17"/>
      <c r="AC2010" s="17"/>
    </row>
    <row r="2011">
      <c r="B2011" s="11">
        <f>IFERROR(__xludf.DUMMYFUNCTION("""COMPUTED_VALUE"""),43102.66666666667)</f>
        <v>43102.66667</v>
      </c>
      <c r="C2011" s="9">
        <f>IFERROR(__xludf.DUMMYFUNCTION("""COMPUTED_VALUE"""),94.22)</f>
        <v>94.22</v>
      </c>
      <c r="K2011" s="16"/>
      <c r="T2011" s="17"/>
      <c r="AC2011" s="17"/>
    </row>
    <row r="2012">
      <c r="B2012" s="11">
        <f>IFERROR(__xludf.DUMMYFUNCTION("""COMPUTED_VALUE"""),43098.66666666667)</f>
        <v>43098.66667</v>
      </c>
      <c r="C2012" s="9">
        <f>IFERROR(__xludf.DUMMYFUNCTION("""COMPUTED_VALUE"""),94.06)</f>
        <v>94.06</v>
      </c>
      <c r="K2012" s="16"/>
      <c r="T2012" s="17"/>
      <c r="AC2012" s="17"/>
    </row>
    <row r="2013">
      <c r="B2013" s="11">
        <f>IFERROR(__xludf.DUMMYFUNCTION("""COMPUTED_VALUE"""),43097.66666666667)</f>
        <v>43097.66667</v>
      </c>
      <c r="C2013" s="9">
        <f>IFERROR(__xludf.DUMMYFUNCTION("""COMPUTED_VALUE"""),94.61)</f>
        <v>94.61</v>
      </c>
      <c r="K2013" s="16"/>
      <c r="T2013" s="17"/>
      <c r="AC2013" s="17"/>
    </row>
    <row r="2014">
      <c r="B2014" s="11">
        <f>IFERROR(__xludf.DUMMYFUNCTION("""COMPUTED_VALUE"""),43096.66666666667)</f>
        <v>43096.66667</v>
      </c>
      <c r="C2014" s="9">
        <f>IFERROR(__xludf.DUMMYFUNCTION("""COMPUTED_VALUE"""),94.23)</f>
        <v>94.23</v>
      </c>
      <c r="K2014" s="16"/>
      <c r="T2014" s="17"/>
      <c r="AC2014" s="17"/>
    </row>
    <row r="2015">
      <c r="B2015" s="11">
        <f>IFERROR(__xludf.DUMMYFUNCTION("""COMPUTED_VALUE"""),43095.66666666667)</f>
        <v>43095.66667</v>
      </c>
      <c r="C2015" s="9">
        <f>IFERROR(__xludf.DUMMYFUNCTION("""COMPUTED_VALUE"""),94.0)</f>
        <v>94</v>
      </c>
      <c r="K2015" s="16"/>
      <c r="T2015" s="17"/>
      <c r="AC2015" s="17"/>
    </row>
    <row r="2016">
      <c r="B2016" s="11">
        <f>IFERROR(__xludf.DUMMYFUNCTION("""COMPUTED_VALUE"""),43091.66666666667)</f>
        <v>43091.66667</v>
      </c>
      <c r="C2016" s="9">
        <f>IFERROR(__xludf.DUMMYFUNCTION("""COMPUTED_VALUE"""),93.93)</f>
        <v>93.93</v>
      </c>
      <c r="K2016" s="16"/>
      <c r="T2016" s="17"/>
      <c r="AC2016" s="17"/>
    </row>
    <row r="2017">
      <c r="B2017" s="11">
        <f>IFERROR(__xludf.DUMMYFUNCTION("""COMPUTED_VALUE"""),43090.66666666667)</f>
        <v>43090.66667</v>
      </c>
      <c r="C2017" s="9">
        <f>IFERROR(__xludf.DUMMYFUNCTION("""COMPUTED_VALUE"""),94.05)</f>
        <v>94.05</v>
      </c>
      <c r="K2017" s="16"/>
      <c r="T2017" s="17"/>
      <c r="AC2017" s="17"/>
    </row>
    <row r="2018">
      <c r="B2018" s="11">
        <f>IFERROR(__xludf.DUMMYFUNCTION("""COMPUTED_VALUE"""),43089.66666666667)</f>
        <v>43089.66667</v>
      </c>
      <c r="C2018" s="9">
        <f>IFERROR(__xludf.DUMMYFUNCTION("""COMPUTED_VALUE"""),93.99)</f>
        <v>93.99</v>
      </c>
      <c r="K2018" s="16"/>
      <c r="T2018" s="17"/>
      <c r="AC2018" s="17"/>
    </row>
    <row r="2019">
      <c r="B2019" s="11">
        <f>IFERROR(__xludf.DUMMYFUNCTION("""COMPUTED_VALUE"""),43088.66666666667)</f>
        <v>43088.66667</v>
      </c>
      <c r="C2019" s="9">
        <f>IFERROR(__xludf.DUMMYFUNCTION("""COMPUTED_VALUE"""),93.81)</f>
        <v>93.81</v>
      </c>
      <c r="K2019" s="16"/>
      <c r="T2019" s="17"/>
      <c r="AC2019" s="17"/>
    </row>
    <row r="2020">
      <c r="B2020" s="11">
        <f>IFERROR(__xludf.DUMMYFUNCTION("""COMPUTED_VALUE"""),43087.66666666667)</f>
        <v>43087.66667</v>
      </c>
      <c r="C2020" s="9">
        <f>IFERROR(__xludf.DUMMYFUNCTION("""COMPUTED_VALUE"""),94.2)</f>
        <v>94.2</v>
      </c>
      <c r="K2020" s="16"/>
      <c r="T2020" s="17"/>
      <c r="AC2020" s="17"/>
    </row>
    <row r="2021">
      <c r="B2021" s="11">
        <f>IFERROR(__xludf.DUMMYFUNCTION("""COMPUTED_VALUE"""),43084.66666666667)</f>
        <v>43084.66667</v>
      </c>
      <c r="C2021" s="9">
        <f>IFERROR(__xludf.DUMMYFUNCTION("""COMPUTED_VALUE"""),93.92)</f>
        <v>93.92</v>
      </c>
      <c r="K2021" s="16"/>
      <c r="T2021" s="17"/>
      <c r="AC2021" s="17"/>
    </row>
    <row r="2022">
      <c r="B2022" s="11">
        <f>IFERROR(__xludf.DUMMYFUNCTION("""COMPUTED_VALUE"""),43083.66666666667)</f>
        <v>43083.66667</v>
      </c>
      <c r="C2022" s="9">
        <f>IFERROR(__xludf.DUMMYFUNCTION("""COMPUTED_VALUE"""),92.42)</f>
        <v>92.42</v>
      </c>
      <c r="K2022" s="16"/>
      <c r="T2022" s="17"/>
      <c r="AC2022" s="17"/>
    </row>
    <row r="2023">
      <c r="B2023" s="11">
        <f>IFERROR(__xludf.DUMMYFUNCTION("""COMPUTED_VALUE"""),43082.66666666667)</f>
        <v>43082.66667</v>
      </c>
      <c r="C2023" s="9">
        <f>IFERROR(__xludf.DUMMYFUNCTION("""COMPUTED_VALUE"""),92.66)</f>
        <v>92.66</v>
      </c>
      <c r="K2023" s="16"/>
      <c r="T2023" s="17"/>
      <c r="AC2023" s="17"/>
    </row>
    <row r="2024">
      <c r="B2024" s="11">
        <f>IFERROR(__xludf.DUMMYFUNCTION("""COMPUTED_VALUE"""),43081.66666666667)</f>
        <v>43081.66667</v>
      </c>
      <c r="C2024" s="9">
        <f>IFERROR(__xludf.DUMMYFUNCTION("""COMPUTED_VALUE"""),92.14)</f>
        <v>92.14</v>
      </c>
      <c r="K2024" s="16"/>
      <c r="T2024" s="17"/>
      <c r="AC2024" s="17"/>
    </row>
    <row r="2025">
      <c r="B2025" s="11">
        <f>IFERROR(__xludf.DUMMYFUNCTION("""COMPUTED_VALUE"""),43080.66666666667)</f>
        <v>43080.66667</v>
      </c>
      <c r="C2025" s="9">
        <f>IFERROR(__xludf.DUMMYFUNCTION("""COMPUTED_VALUE"""),91.81)</f>
        <v>91.81</v>
      </c>
      <c r="K2025" s="16"/>
      <c r="T2025" s="17"/>
      <c r="AC2025" s="17"/>
    </row>
    <row r="2026">
      <c r="B2026" s="11">
        <f>IFERROR(__xludf.DUMMYFUNCTION("""COMPUTED_VALUE"""),43077.66666666667)</f>
        <v>43077.66667</v>
      </c>
      <c r="C2026" s="9">
        <f>IFERROR(__xludf.DUMMYFUNCTION("""COMPUTED_VALUE"""),92.43)</f>
        <v>92.43</v>
      </c>
      <c r="K2026" s="16"/>
      <c r="T2026" s="17"/>
      <c r="AC2026" s="17"/>
    </row>
    <row r="2027">
      <c r="B2027" s="11">
        <f>IFERROR(__xludf.DUMMYFUNCTION("""COMPUTED_VALUE"""),43076.66666666667)</f>
        <v>43076.66667</v>
      </c>
      <c r="C2027" s="9">
        <f>IFERROR(__xludf.DUMMYFUNCTION("""COMPUTED_VALUE"""),92.29)</f>
        <v>92.29</v>
      </c>
      <c r="K2027" s="16"/>
      <c r="T2027" s="17"/>
      <c r="AC2027" s="17"/>
    </row>
    <row r="2028">
      <c r="B2028" s="11">
        <f>IFERROR(__xludf.DUMMYFUNCTION("""COMPUTED_VALUE"""),43075.66666666667)</f>
        <v>43075.66667</v>
      </c>
      <c r="C2028" s="9">
        <f>IFERROR(__xludf.DUMMYFUNCTION("""COMPUTED_VALUE"""),91.58)</f>
        <v>91.58</v>
      </c>
      <c r="K2028" s="16"/>
      <c r="T2028" s="17"/>
      <c r="AC2028" s="17"/>
    </row>
    <row r="2029">
      <c r="B2029" s="11">
        <f>IFERROR(__xludf.DUMMYFUNCTION("""COMPUTED_VALUE"""),43074.66666666667)</f>
        <v>43074.66667</v>
      </c>
      <c r="C2029" s="9">
        <f>IFERROR(__xludf.DUMMYFUNCTION("""COMPUTED_VALUE"""),90.81)</f>
        <v>90.81</v>
      </c>
      <c r="K2029" s="16"/>
      <c r="T2029" s="17"/>
      <c r="AC2029" s="17"/>
    </row>
    <row r="2030">
      <c r="B2030" s="11">
        <f>IFERROR(__xludf.DUMMYFUNCTION("""COMPUTED_VALUE"""),43073.66666666667)</f>
        <v>43073.66667</v>
      </c>
      <c r="C2030" s="9">
        <f>IFERROR(__xludf.DUMMYFUNCTION("""COMPUTED_VALUE"""),91.54)</f>
        <v>91.54</v>
      </c>
      <c r="K2030" s="16"/>
      <c r="T2030" s="17"/>
      <c r="AC2030" s="17"/>
    </row>
    <row r="2031">
      <c r="B2031" s="11">
        <f>IFERROR(__xludf.DUMMYFUNCTION("""COMPUTED_VALUE"""),43070.66666666667)</f>
        <v>43070.66667</v>
      </c>
      <c r="C2031" s="9">
        <f>IFERROR(__xludf.DUMMYFUNCTION("""COMPUTED_VALUE"""),91.59)</f>
        <v>91.59</v>
      </c>
      <c r="K2031" s="16"/>
      <c r="T2031" s="17"/>
      <c r="AC2031" s="17"/>
    </row>
    <row r="2032">
      <c r="B2032" s="11">
        <f>IFERROR(__xludf.DUMMYFUNCTION("""COMPUTED_VALUE"""),43069.66666666667)</f>
        <v>43069.66667</v>
      </c>
      <c r="C2032" s="9">
        <f>IFERROR(__xludf.DUMMYFUNCTION("""COMPUTED_VALUE"""),92.92)</f>
        <v>92.92</v>
      </c>
      <c r="K2032" s="16"/>
      <c r="T2032" s="17"/>
      <c r="AC2032" s="17"/>
    </row>
    <row r="2033">
      <c r="B2033" s="11">
        <f>IFERROR(__xludf.DUMMYFUNCTION("""COMPUTED_VALUE"""),43068.66666666667)</f>
        <v>43068.66667</v>
      </c>
      <c r="C2033" s="9">
        <f>IFERROR(__xludf.DUMMYFUNCTION("""COMPUTED_VALUE"""),91.78)</f>
        <v>91.78</v>
      </c>
      <c r="K2033" s="16"/>
      <c r="T2033" s="17"/>
      <c r="AC2033" s="17"/>
    </row>
    <row r="2034">
      <c r="B2034" s="11">
        <f>IFERROR(__xludf.DUMMYFUNCTION("""COMPUTED_VALUE"""),43067.66666666667)</f>
        <v>43067.66667</v>
      </c>
      <c r="C2034" s="9">
        <f>IFERROR(__xludf.DUMMYFUNCTION("""COMPUTED_VALUE"""),91.75)</f>
        <v>91.75</v>
      </c>
      <c r="K2034" s="16"/>
      <c r="T2034" s="17"/>
      <c r="AC2034" s="17"/>
    </row>
    <row r="2035">
      <c r="B2035" s="11">
        <f>IFERROR(__xludf.DUMMYFUNCTION("""COMPUTED_VALUE"""),43066.66666666667)</f>
        <v>43066.66667</v>
      </c>
      <c r="C2035" s="9">
        <f>IFERROR(__xludf.DUMMYFUNCTION("""COMPUTED_VALUE"""),90.62)</f>
        <v>90.62</v>
      </c>
      <c r="K2035" s="16"/>
      <c r="T2035" s="17"/>
      <c r="AC2035" s="17"/>
    </row>
    <row r="2036">
      <c r="B2036" s="11">
        <f>IFERROR(__xludf.DUMMYFUNCTION("""COMPUTED_VALUE"""),43063.54166666667)</f>
        <v>43063.54167</v>
      </c>
      <c r="C2036" s="9">
        <f>IFERROR(__xludf.DUMMYFUNCTION("""COMPUTED_VALUE"""),90.57)</f>
        <v>90.57</v>
      </c>
      <c r="K2036" s="16"/>
      <c r="T2036" s="17"/>
      <c r="AC2036" s="17"/>
    </row>
    <row r="2037">
      <c r="B2037" s="11">
        <f>IFERROR(__xludf.DUMMYFUNCTION("""COMPUTED_VALUE"""),43061.66666666667)</f>
        <v>43061.66667</v>
      </c>
      <c r="C2037" s="9">
        <f>IFERROR(__xludf.DUMMYFUNCTION("""COMPUTED_VALUE"""),90.33)</f>
        <v>90.33</v>
      </c>
      <c r="K2037" s="16"/>
      <c r="T2037" s="17"/>
      <c r="AC2037" s="17"/>
    </row>
    <row r="2038">
      <c r="B2038" s="11">
        <f>IFERROR(__xludf.DUMMYFUNCTION("""COMPUTED_VALUE"""),43060.66666666667)</f>
        <v>43060.66667</v>
      </c>
      <c r="C2038" s="9">
        <f>IFERROR(__xludf.DUMMYFUNCTION("""COMPUTED_VALUE"""),90.74)</f>
        <v>90.74</v>
      </c>
      <c r="K2038" s="16"/>
      <c r="T2038" s="17"/>
      <c r="AC2038" s="17"/>
    </row>
    <row r="2039">
      <c r="B2039" s="11">
        <f>IFERROR(__xludf.DUMMYFUNCTION("""COMPUTED_VALUE"""),43059.66666666667)</f>
        <v>43059.66667</v>
      </c>
      <c r="C2039" s="9">
        <f>IFERROR(__xludf.DUMMYFUNCTION("""COMPUTED_VALUE"""),89.75)</f>
        <v>89.75</v>
      </c>
      <c r="K2039" s="16"/>
      <c r="T2039" s="17"/>
      <c r="AC2039" s="17"/>
    </row>
    <row r="2040">
      <c r="B2040" s="11">
        <f>IFERROR(__xludf.DUMMYFUNCTION("""COMPUTED_VALUE"""),43056.66666666667)</f>
        <v>43056.66667</v>
      </c>
      <c r="C2040" s="9">
        <f>IFERROR(__xludf.DUMMYFUNCTION("""COMPUTED_VALUE"""),89.01)</f>
        <v>89.01</v>
      </c>
      <c r="K2040" s="16"/>
      <c r="T2040" s="17"/>
      <c r="AC2040" s="17"/>
    </row>
    <row r="2041">
      <c r="B2041" s="11">
        <f>IFERROR(__xludf.DUMMYFUNCTION("""COMPUTED_VALUE"""),43055.66666666667)</f>
        <v>43055.66667</v>
      </c>
      <c r="C2041" s="9">
        <f>IFERROR(__xludf.DUMMYFUNCTION("""COMPUTED_VALUE"""),89.52)</f>
        <v>89.52</v>
      </c>
      <c r="K2041" s="16"/>
      <c r="T2041" s="17"/>
      <c r="AC2041" s="17"/>
    </row>
    <row r="2042">
      <c r="B2042" s="11">
        <f>IFERROR(__xludf.DUMMYFUNCTION("""COMPUTED_VALUE"""),43054.66666666667)</f>
        <v>43054.66667</v>
      </c>
      <c r="C2042" s="9">
        <f>IFERROR(__xludf.DUMMYFUNCTION("""COMPUTED_VALUE"""),88.8)</f>
        <v>88.8</v>
      </c>
      <c r="K2042" s="16"/>
      <c r="T2042" s="17"/>
      <c r="AC2042" s="17"/>
    </row>
    <row r="2043">
      <c r="B2043" s="11">
        <f>IFERROR(__xludf.DUMMYFUNCTION("""COMPUTED_VALUE"""),43053.66666666667)</f>
        <v>43053.66667</v>
      </c>
      <c r="C2043" s="9">
        <f>IFERROR(__xludf.DUMMYFUNCTION("""COMPUTED_VALUE"""),89.28)</f>
        <v>89.28</v>
      </c>
      <c r="K2043" s="16"/>
      <c r="T2043" s="17"/>
      <c r="AC2043" s="17"/>
    </row>
    <row r="2044">
      <c r="B2044" s="11">
        <f>IFERROR(__xludf.DUMMYFUNCTION("""COMPUTED_VALUE"""),43052.66666666667)</f>
        <v>43052.66667</v>
      </c>
      <c r="C2044" s="9">
        <f>IFERROR(__xludf.DUMMYFUNCTION("""COMPUTED_VALUE"""),89.15)</f>
        <v>89.15</v>
      </c>
      <c r="K2044" s="16"/>
      <c r="T2044" s="17"/>
      <c r="AC2044" s="17"/>
    </row>
    <row r="2045">
      <c r="B2045" s="11">
        <f>IFERROR(__xludf.DUMMYFUNCTION("""COMPUTED_VALUE"""),43049.66666666667)</f>
        <v>43049.66667</v>
      </c>
      <c r="C2045" s="9">
        <f>IFERROR(__xludf.DUMMYFUNCTION("""COMPUTED_VALUE"""),89.61)</f>
        <v>89.61</v>
      </c>
      <c r="K2045" s="16"/>
      <c r="T2045" s="17"/>
      <c r="AC2045" s="17"/>
    </row>
    <row r="2046">
      <c r="B2046" s="11">
        <f>IFERROR(__xludf.DUMMYFUNCTION("""COMPUTED_VALUE"""),43048.66666666667)</f>
        <v>43048.66667</v>
      </c>
      <c r="C2046" s="9">
        <f>IFERROR(__xludf.DUMMYFUNCTION("""COMPUTED_VALUE"""),90.09)</f>
        <v>90.09</v>
      </c>
      <c r="K2046" s="16"/>
      <c r="T2046" s="17"/>
      <c r="AC2046" s="17"/>
    </row>
    <row r="2047">
      <c r="B2047" s="11">
        <f>IFERROR(__xludf.DUMMYFUNCTION("""COMPUTED_VALUE"""),43047.66666666667)</f>
        <v>43047.66667</v>
      </c>
      <c r="C2047" s="9">
        <f>IFERROR(__xludf.DUMMYFUNCTION("""COMPUTED_VALUE"""),91.44)</f>
        <v>91.44</v>
      </c>
      <c r="K2047" s="16"/>
      <c r="T2047" s="17"/>
      <c r="AC2047" s="17"/>
    </row>
    <row r="2048">
      <c r="B2048" s="11">
        <f>IFERROR(__xludf.DUMMYFUNCTION("""COMPUTED_VALUE"""),43046.66666666667)</f>
        <v>43046.66667</v>
      </c>
      <c r="C2048" s="9">
        <f>IFERROR(__xludf.DUMMYFUNCTION("""COMPUTED_VALUE"""),91.15)</f>
        <v>91.15</v>
      </c>
      <c r="K2048" s="16"/>
      <c r="T2048" s="17"/>
      <c r="AC2048" s="17"/>
    </row>
    <row r="2049">
      <c r="B2049" s="11">
        <f>IFERROR(__xludf.DUMMYFUNCTION("""COMPUTED_VALUE"""),43045.66666666667)</f>
        <v>43045.66667</v>
      </c>
      <c r="C2049" s="9">
        <f>IFERROR(__xludf.DUMMYFUNCTION("""COMPUTED_VALUE"""),91.23)</f>
        <v>91.23</v>
      </c>
      <c r="K2049" s="16"/>
      <c r="T2049" s="17"/>
      <c r="AC2049" s="17"/>
    </row>
    <row r="2050">
      <c r="B2050" s="11">
        <f>IFERROR(__xludf.DUMMYFUNCTION("""COMPUTED_VALUE"""),43042.66666666667)</f>
        <v>43042.66667</v>
      </c>
      <c r="C2050" s="9">
        <f>IFERROR(__xludf.DUMMYFUNCTION("""COMPUTED_VALUE"""),91.09)</f>
        <v>91.09</v>
      </c>
      <c r="K2050" s="16"/>
      <c r="T2050" s="17"/>
      <c r="AC2050" s="17"/>
    </row>
    <row r="2051">
      <c r="B2051" s="11">
        <f>IFERROR(__xludf.DUMMYFUNCTION("""COMPUTED_VALUE"""),43041.66666666667)</f>
        <v>43041.66667</v>
      </c>
      <c r="C2051" s="9">
        <f>IFERROR(__xludf.DUMMYFUNCTION("""COMPUTED_VALUE"""),91.7)</f>
        <v>91.7</v>
      </c>
      <c r="K2051" s="16"/>
      <c r="T2051" s="17"/>
      <c r="AC2051" s="17"/>
    </row>
    <row r="2052">
      <c r="B2052" s="11">
        <f>IFERROR(__xludf.DUMMYFUNCTION("""COMPUTED_VALUE"""),43040.66666666667)</f>
        <v>43040.66667</v>
      </c>
      <c r="C2052" s="9">
        <f>IFERROR(__xludf.DUMMYFUNCTION("""COMPUTED_VALUE"""),90.11)</f>
        <v>90.11</v>
      </c>
      <c r="K2052" s="16"/>
      <c r="T2052" s="17"/>
      <c r="AC2052" s="17"/>
    </row>
    <row r="2053">
      <c r="B2053" s="11">
        <f>IFERROR(__xludf.DUMMYFUNCTION("""COMPUTED_VALUE"""),43039.66666666667)</f>
        <v>43039.66667</v>
      </c>
      <c r="C2053" s="9">
        <f>IFERROR(__xludf.DUMMYFUNCTION("""COMPUTED_VALUE"""),90.24)</f>
        <v>90.24</v>
      </c>
      <c r="K2053" s="16"/>
      <c r="T2053" s="17"/>
      <c r="AC2053" s="17"/>
    </row>
    <row r="2054">
      <c r="B2054" s="11">
        <f>IFERROR(__xludf.DUMMYFUNCTION("""COMPUTED_VALUE"""),43038.66666666667)</f>
        <v>43038.66667</v>
      </c>
      <c r="C2054" s="9">
        <f>IFERROR(__xludf.DUMMYFUNCTION("""COMPUTED_VALUE"""),90.24)</f>
        <v>90.24</v>
      </c>
      <c r="K2054" s="16"/>
      <c r="T2054" s="17"/>
      <c r="AC2054" s="17"/>
    </row>
    <row r="2055">
      <c r="B2055" s="11">
        <f>IFERROR(__xludf.DUMMYFUNCTION("""COMPUTED_VALUE"""),43035.66666666667)</f>
        <v>43035.66667</v>
      </c>
      <c r="C2055" s="9">
        <f>IFERROR(__xludf.DUMMYFUNCTION("""COMPUTED_VALUE"""),90.32)</f>
        <v>90.32</v>
      </c>
      <c r="K2055" s="16"/>
      <c r="T2055" s="17"/>
      <c r="AC2055" s="17"/>
    </row>
    <row r="2056">
      <c r="B2056" s="11">
        <f>IFERROR(__xludf.DUMMYFUNCTION("""COMPUTED_VALUE"""),43034.66666666667)</f>
        <v>43034.66667</v>
      </c>
      <c r="C2056" s="9">
        <f>IFERROR(__xludf.DUMMYFUNCTION("""COMPUTED_VALUE"""),90.43)</f>
        <v>90.43</v>
      </c>
      <c r="K2056" s="16"/>
      <c r="T2056" s="17"/>
      <c r="AC2056" s="17"/>
    </row>
    <row r="2057">
      <c r="B2057" s="11">
        <f>IFERROR(__xludf.DUMMYFUNCTION("""COMPUTED_VALUE"""),43033.66666666667)</f>
        <v>43033.66667</v>
      </c>
      <c r="C2057" s="9">
        <f>IFERROR(__xludf.DUMMYFUNCTION("""COMPUTED_VALUE"""),91.2)</f>
        <v>91.2</v>
      </c>
      <c r="K2057" s="16"/>
      <c r="T2057" s="17"/>
      <c r="AC2057" s="17"/>
    </row>
    <row r="2058">
      <c r="B2058" s="11">
        <f>IFERROR(__xludf.DUMMYFUNCTION("""COMPUTED_VALUE"""),43032.66666666667)</f>
        <v>43032.66667</v>
      </c>
      <c r="C2058" s="9">
        <f>IFERROR(__xludf.DUMMYFUNCTION("""COMPUTED_VALUE"""),91.47)</f>
        <v>91.47</v>
      </c>
      <c r="K2058" s="16"/>
      <c r="T2058" s="17"/>
      <c r="AC2058" s="17"/>
    </row>
    <row r="2059">
      <c r="B2059" s="11">
        <f>IFERROR(__xludf.DUMMYFUNCTION("""COMPUTED_VALUE"""),43031.66666666667)</f>
        <v>43031.66667</v>
      </c>
      <c r="C2059" s="9">
        <f>IFERROR(__xludf.DUMMYFUNCTION("""COMPUTED_VALUE"""),91.36)</f>
        <v>91.36</v>
      </c>
      <c r="K2059" s="16"/>
      <c r="T2059" s="17"/>
      <c r="AC2059" s="17"/>
    </row>
    <row r="2060">
      <c r="B2060" s="11">
        <f>IFERROR(__xludf.DUMMYFUNCTION("""COMPUTED_VALUE"""),43028.66666666667)</f>
        <v>43028.66667</v>
      </c>
      <c r="C2060" s="9">
        <f>IFERROR(__xludf.DUMMYFUNCTION("""COMPUTED_VALUE"""),92.0)</f>
        <v>92</v>
      </c>
      <c r="K2060" s="16"/>
      <c r="T2060" s="17"/>
      <c r="AC2060" s="17"/>
    </row>
    <row r="2061">
      <c r="B2061" s="11">
        <f>IFERROR(__xludf.DUMMYFUNCTION("""COMPUTED_VALUE"""),43027.66666666667)</f>
        <v>43027.66667</v>
      </c>
      <c r="C2061" s="9">
        <f>IFERROR(__xludf.DUMMYFUNCTION("""COMPUTED_VALUE"""),90.85)</f>
        <v>90.85</v>
      </c>
      <c r="K2061" s="16"/>
      <c r="T2061" s="17"/>
      <c r="AC2061" s="17"/>
    </row>
    <row r="2062">
      <c r="B2062" s="11">
        <f>IFERROR(__xludf.DUMMYFUNCTION("""COMPUTED_VALUE"""),43026.66666666667)</f>
        <v>43026.66667</v>
      </c>
      <c r="C2062" s="9">
        <f>IFERROR(__xludf.DUMMYFUNCTION("""COMPUTED_VALUE"""),90.85)</f>
        <v>90.85</v>
      </c>
      <c r="K2062" s="16"/>
      <c r="T2062" s="17"/>
      <c r="AC2062" s="17"/>
    </row>
    <row r="2063">
      <c r="B2063" s="11">
        <f>IFERROR(__xludf.DUMMYFUNCTION("""COMPUTED_VALUE"""),43025.66666666667)</f>
        <v>43025.66667</v>
      </c>
      <c r="C2063" s="9">
        <f>IFERROR(__xludf.DUMMYFUNCTION("""COMPUTED_VALUE"""),90.71)</f>
        <v>90.71</v>
      </c>
      <c r="K2063" s="16"/>
      <c r="T2063" s="17"/>
      <c r="AC2063" s="17"/>
    </row>
    <row r="2064">
      <c r="B2064" s="11">
        <f>IFERROR(__xludf.DUMMYFUNCTION("""COMPUTED_VALUE"""),43024.66666666667)</f>
        <v>43024.66667</v>
      </c>
      <c r="C2064" s="9">
        <f>IFERROR(__xludf.DUMMYFUNCTION("""COMPUTED_VALUE"""),91.03)</f>
        <v>91.03</v>
      </c>
      <c r="K2064" s="16"/>
      <c r="T2064" s="17"/>
      <c r="AC2064" s="17"/>
    </row>
    <row r="2065">
      <c r="B2065" s="11">
        <f>IFERROR(__xludf.DUMMYFUNCTION("""COMPUTED_VALUE"""),43021.66666666667)</f>
        <v>43021.66667</v>
      </c>
      <c r="C2065" s="9">
        <f>IFERROR(__xludf.DUMMYFUNCTION("""COMPUTED_VALUE"""),91.06)</f>
        <v>91.06</v>
      </c>
      <c r="K2065" s="16"/>
      <c r="T2065" s="17"/>
      <c r="AC2065" s="17"/>
    </row>
    <row r="2066">
      <c r="B2066" s="11">
        <f>IFERROR(__xludf.DUMMYFUNCTION("""COMPUTED_VALUE"""),43020.66666666667)</f>
        <v>43020.66667</v>
      </c>
      <c r="C2066" s="9">
        <f>IFERROR(__xludf.DUMMYFUNCTION("""COMPUTED_VALUE"""),91.47)</f>
        <v>91.47</v>
      </c>
      <c r="K2066" s="16"/>
      <c r="T2066" s="17"/>
      <c r="AC2066" s="17"/>
    </row>
    <row r="2067">
      <c r="B2067" s="11">
        <f>IFERROR(__xludf.DUMMYFUNCTION("""COMPUTED_VALUE"""),43019.66666666667)</f>
        <v>43019.66667</v>
      </c>
      <c r="C2067" s="9">
        <f>IFERROR(__xludf.DUMMYFUNCTION("""COMPUTED_VALUE"""),90.91)</f>
        <v>90.91</v>
      </c>
      <c r="K2067" s="16"/>
      <c r="T2067" s="17"/>
      <c r="AC2067" s="17"/>
    </row>
    <row r="2068">
      <c r="B2068" s="11">
        <f>IFERROR(__xludf.DUMMYFUNCTION("""COMPUTED_VALUE"""),43018.66666666667)</f>
        <v>43018.66667</v>
      </c>
      <c r="C2068" s="9">
        <f>IFERROR(__xludf.DUMMYFUNCTION("""COMPUTED_VALUE"""),91.15)</f>
        <v>91.15</v>
      </c>
      <c r="K2068" s="16"/>
      <c r="T2068" s="17"/>
      <c r="AC2068" s="17"/>
    </row>
    <row r="2069">
      <c r="B2069" s="11">
        <f>IFERROR(__xludf.DUMMYFUNCTION("""COMPUTED_VALUE"""),43017.66666666667)</f>
        <v>43017.66667</v>
      </c>
      <c r="C2069" s="9">
        <f>IFERROR(__xludf.DUMMYFUNCTION("""COMPUTED_VALUE"""),91.18)</f>
        <v>91.18</v>
      </c>
      <c r="K2069" s="16"/>
      <c r="T2069" s="17"/>
      <c r="AC2069" s="17"/>
    </row>
    <row r="2070">
      <c r="B2070" s="11">
        <f>IFERROR(__xludf.DUMMYFUNCTION("""COMPUTED_VALUE"""),43014.66666666667)</f>
        <v>43014.66667</v>
      </c>
      <c r="C2070" s="9">
        <f>IFERROR(__xludf.DUMMYFUNCTION("""COMPUTED_VALUE"""),91.01)</f>
        <v>91.01</v>
      </c>
      <c r="K2070" s="16"/>
      <c r="T2070" s="17"/>
      <c r="AC2070" s="17"/>
    </row>
    <row r="2071">
      <c r="B2071" s="11">
        <f>IFERROR(__xludf.DUMMYFUNCTION("""COMPUTED_VALUE"""),43013.66666666667)</f>
        <v>43013.66667</v>
      </c>
      <c r="C2071" s="9">
        <f>IFERROR(__xludf.DUMMYFUNCTION("""COMPUTED_VALUE"""),91.05)</f>
        <v>91.05</v>
      </c>
      <c r="K2071" s="16"/>
      <c r="T2071" s="17"/>
      <c r="AC2071" s="17"/>
    </row>
    <row r="2072">
      <c r="B2072" s="11">
        <f>IFERROR(__xludf.DUMMYFUNCTION("""COMPUTED_VALUE"""),43012.66666666667)</f>
        <v>43012.66667</v>
      </c>
      <c r="C2072" s="9">
        <f>IFERROR(__xludf.DUMMYFUNCTION("""COMPUTED_VALUE"""),90.49)</f>
        <v>90.49</v>
      </c>
      <c r="K2072" s="16"/>
      <c r="T2072" s="17"/>
      <c r="AC2072" s="17"/>
    </row>
    <row r="2073">
      <c r="B2073" s="11">
        <f>IFERROR(__xludf.DUMMYFUNCTION("""COMPUTED_VALUE"""),43011.66666666667)</f>
        <v>43011.66667</v>
      </c>
      <c r="C2073" s="9">
        <f>IFERROR(__xludf.DUMMYFUNCTION("""COMPUTED_VALUE"""),90.21)</f>
        <v>90.21</v>
      </c>
      <c r="K2073" s="16"/>
      <c r="T2073" s="17"/>
      <c r="AC2073" s="17"/>
    </row>
    <row r="2074">
      <c r="B2074" s="11">
        <f>IFERROR(__xludf.DUMMYFUNCTION("""COMPUTED_VALUE"""),43010.66666666667)</f>
        <v>43010.66667</v>
      </c>
      <c r="C2074" s="9">
        <f>IFERROR(__xludf.DUMMYFUNCTION("""COMPUTED_VALUE"""),90.2)</f>
        <v>90.2</v>
      </c>
      <c r="K2074" s="16"/>
      <c r="T2074" s="17"/>
      <c r="AC2074" s="17"/>
    </row>
    <row r="2075">
      <c r="B2075" s="11">
        <f>IFERROR(__xludf.DUMMYFUNCTION("""COMPUTED_VALUE"""),43007.66666666667)</f>
        <v>43007.66667</v>
      </c>
      <c r="C2075" s="9">
        <f>IFERROR(__xludf.DUMMYFUNCTION("""COMPUTED_VALUE"""),89.02)</f>
        <v>89.02</v>
      </c>
      <c r="K2075" s="16"/>
      <c r="T2075" s="17"/>
      <c r="AC2075" s="17"/>
    </row>
    <row r="2076">
      <c r="B2076" s="11">
        <f>IFERROR(__xludf.DUMMYFUNCTION("""COMPUTED_VALUE"""),43006.66666666667)</f>
        <v>43006.66667</v>
      </c>
      <c r="C2076" s="9">
        <f>IFERROR(__xludf.DUMMYFUNCTION("""COMPUTED_VALUE"""),88.74)</f>
        <v>88.74</v>
      </c>
      <c r="K2076" s="16"/>
      <c r="T2076" s="17"/>
      <c r="AC2076" s="17"/>
    </row>
    <row r="2077">
      <c r="B2077" s="11">
        <f>IFERROR(__xludf.DUMMYFUNCTION("""COMPUTED_VALUE"""),43005.66666666667)</f>
        <v>43005.66667</v>
      </c>
      <c r="C2077" s="9">
        <f>IFERROR(__xludf.DUMMYFUNCTION("""COMPUTED_VALUE"""),89.39)</f>
        <v>89.39</v>
      </c>
      <c r="K2077" s="16"/>
      <c r="T2077" s="17"/>
      <c r="AC2077" s="17"/>
    </row>
    <row r="2078">
      <c r="B2078" s="11">
        <f>IFERROR(__xludf.DUMMYFUNCTION("""COMPUTED_VALUE"""),43004.66666666667)</f>
        <v>43004.66667</v>
      </c>
      <c r="C2078" s="9">
        <f>IFERROR(__xludf.DUMMYFUNCTION("""COMPUTED_VALUE"""),88.6)</f>
        <v>88.6</v>
      </c>
      <c r="K2078" s="16"/>
      <c r="T2078" s="17"/>
      <c r="AC2078" s="17"/>
    </row>
    <row r="2079">
      <c r="B2079" s="11">
        <f>IFERROR(__xludf.DUMMYFUNCTION("""COMPUTED_VALUE"""),43003.66666666667)</f>
        <v>43003.66667</v>
      </c>
      <c r="C2079" s="9">
        <f>IFERROR(__xludf.DUMMYFUNCTION("""COMPUTED_VALUE"""),88.54)</f>
        <v>88.54</v>
      </c>
      <c r="K2079" s="16"/>
      <c r="T2079" s="17"/>
      <c r="AC2079" s="17"/>
    </row>
    <row r="2080">
      <c r="B2080" s="11">
        <f>IFERROR(__xludf.DUMMYFUNCTION("""COMPUTED_VALUE"""),43000.66666666667)</f>
        <v>43000.66667</v>
      </c>
      <c r="C2080" s="9">
        <f>IFERROR(__xludf.DUMMYFUNCTION("""COMPUTED_VALUE"""),88.93)</f>
        <v>88.93</v>
      </c>
      <c r="K2080" s="16"/>
      <c r="T2080" s="17"/>
      <c r="AC2080" s="17"/>
    </row>
    <row r="2081">
      <c r="B2081" s="11">
        <f>IFERROR(__xludf.DUMMYFUNCTION("""COMPUTED_VALUE"""),42999.66666666667)</f>
        <v>42999.66667</v>
      </c>
      <c r="C2081" s="9">
        <f>IFERROR(__xludf.DUMMYFUNCTION("""COMPUTED_VALUE"""),88.75)</f>
        <v>88.75</v>
      </c>
      <c r="K2081" s="16"/>
      <c r="T2081" s="17"/>
      <c r="AC2081" s="17"/>
    </row>
    <row r="2082">
      <c r="B2082" s="11">
        <f>IFERROR(__xludf.DUMMYFUNCTION("""COMPUTED_VALUE"""),42998.66666666667)</f>
        <v>42998.66667</v>
      </c>
      <c r="C2082" s="9">
        <f>IFERROR(__xludf.DUMMYFUNCTION("""COMPUTED_VALUE"""),88.25)</f>
        <v>88.25</v>
      </c>
      <c r="K2082" s="16"/>
      <c r="T2082" s="17"/>
      <c r="AC2082" s="17"/>
    </row>
    <row r="2083">
      <c r="B2083" s="11">
        <f>IFERROR(__xludf.DUMMYFUNCTION("""COMPUTED_VALUE"""),42997.66666666667)</f>
        <v>42997.66667</v>
      </c>
      <c r="C2083" s="9">
        <f>IFERROR(__xludf.DUMMYFUNCTION("""COMPUTED_VALUE"""),87.7)</f>
        <v>87.7</v>
      </c>
      <c r="K2083" s="16"/>
      <c r="T2083" s="17"/>
      <c r="AC2083" s="17"/>
    </row>
    <row r="2084">
      <c r="B2084" s="11">
        <f>IFERROR(__xludf.DUMMYFUNCTION("""COMPUTED_VALUE"""),42996.66666666667)</f>
        <v>42996.66667</v>
      </c>
      <c r="C2084" s="9">
        <f>IFERROR(__xludf.DUMMYFUNCTION("""COMPUTED_VALUE"""),87.01)</f>
        <v>87.01</v>
      </c>
      <c r="K2084" s="16"/>
      <c r="T2084" s="17"/>
      <c r="AC2084" s="17"/>
    </row>
    <row r="2085">
      <c r="B2085" s="11">
        <f>IFERROR(__xludf.DUMMYFUNCTION("""COMPUTED_VALUE"""),42993.66666666667)</f>
        <v>42993.66667</v>
      </c>
      <c r="C2085" s="9">
        <f>IFERROR(__xludf.DUMMYFUNCTION("""COMPUTED_VALUE"""),85.52)</f>
        <v>85.52</v>
      </c>
      <c r="K2085" s="16"/>
      <c r="T2085" s="17"/>
      <c r="AC2085" s="17"/>
    </row>
    <row r="2086">
      <c r="B2086" s="11">
        <f>IFERROR(__xludf.DUMMYFUNCTION("""COMPUTED_VALUE"""),42992.66666666667)</f>
        <v>42992.66667</v>
      </c>
      <c r="C2086" s="9">
        <f>IFERROR(__xludf.DUMMYFUNCTION("""COMPUTED_VALUE"""),85.0)</f>
        <v>85</v>
      </c>
      <c r="K2086" s="16"/>
      <c r="T2086" s="17"/>
      <c r="AC2086" s="17"/>
    </row>
    <row r="2087">
      <c r="B2087" s="11">
        <f>IFERROR(__xludf.DUMMYFUNCTION("""COMPUTED_VALUE"""),42991.66666666667)</f>
        <v>42991.66667</v>
      </c>
      <c r="C2087" s="9">
        <f>IFERROR(__xludf.DUMMYFUNCTION("""COMPUTED_VALUE"""),84.56)</f>
        <v>84.56</v>
      </c>
      <c r="K2087" s="16"/>
      <c r="T2087" s="17"/>
      <c r="AC2087" s="17"/>
    </row>
    <row r="2088">
      <c r="B2088" s="11">
        <f>IFERROR(__xludf.DUMMYFUNCTION("""COMPUTED_VALUE"""),42990.66666666667)</f>
        <v>42990.66667</v>
      </c>
      <c r="C2088" s="9">
        <f>IFERROR(__xludf.DUMMYFUNCTION("""COMPUTED_VALUE"""),84.82)</f>
        <v>84.82</v>
      </c>
      <c r="K2088" s="16"/>
      <c r="T2088" s="17"/>
      <c r="AC2088" s="17"/>
    </row>
    <row r="2089">
      <c r="B2089" s="11">
        <f>IFERROR(__xludf.DUMMYFUNCTION("""COMPUTED_VALUE"""),42989.66666666667)</f>
        <v>42989.66667</v>
      </c>
      <c r="C2089" s="9">
        <f>IFERROR(__xludf.DUMMYFUNCTION("""COMPUTED_VALUE"""),85.0)</f>
        <v>85</v>
      </c>
      <c r="K2089" s="16"/>
      <c r="T2089" s="17"/>
      <c r="AC2089" s="17"/>
    </row>
    <row r="2090">
      <c r="B2090" s="11">
        <f>IFERROR(__xludf.DUMMYFUNCTION("""COMPUTED_VALUE"""),42986.66666666667)</f>
        <v>42986.66667</v>
      </c>
      <c r="C2090" s="9">
        <f>IFERROR(__xludf.DUMMYFUNCTION("""COMPUTED_VALUE"""),84.03)</f>
        <v>84.03</v>
      </c>
      <c r="K2090" s="16"/>
      <c r="T2090" s="17"/>
      <c r="AC2090" s="17"/>
    </row>
    <row r="2091">
      <c r="B2091" s="11">
        <f>IFERROR(__xludf.DUMMYFUNCTION("""COMPUTED_VALUE"""),42985.66666666667)</f>
        <v>42985.66667</v>
      </c>
      <c r="C2091" s="9">
        <f>IFERROR(__xludf.DUMMYFUNCTION("""COMPUTED_VALUE"""),84.0)</f>
        <v>84</v>
      </c>
      <c r="K2091" s="16"/>
      <c r="T2091" s="17"/>
      <c r="AC2091" s="17"/>
    </row>
    <row r="2092">
      <c r="B2092" s="11">
        <f>IFERROR(__xludf.DUMMYFUNCTION("""COMPUTED_VALUE"""),42984.66666666667)</f>
        <v>42984.66667</v>
      </c>
      <c r="C2092" s="9">
        <f>IFERROR(__xludf.DUMMYFUNCTION("""COMPUTED_VALUE"""),83.89)</f>
        <v>83.89</v>
      </c>
      <c r="K2092" s="16"/>
      <c r="T2092" s="17"/>
      <c r="AC2092" s="17"/>
    </row>
    <row r="2093">
      <c r="B2093" s="11">
        <f>IFERROR(__xludf.DUMMYFUNCTION("""COMPUTED_VALUE"""),42983.66666666667)</f>
        <v>42983.66667</v>
      </c>
      <c r="C2093" s="9">
        <f>IFERROR(__xludf.DUMMYFUNCTION("""COMPUTED_VALUE"""),84.51)</f>
        <v>84.51</v>
      </c>
      <c r="K2093" s="16"/>
      <c r="T2093" s="17"/>
      <c r="AC2093" s="17"/>
    </row>
    <row r="2094">
      <c r="B2094" s="11">
        <f>IFERROR(__xludf.DUMMYFUNCTION("""COMPUTED_VALUE"""),42979.66666666667)</f>
        <v>42979.66667</v>
      </c>
      <c r="C2094" s="9">
        <f>IFERROR(__xludf.DUMMYFUNCTION("""COMPUTED_VALUE"""),85.25)</f>
        <v>85.25</v>
      </c>
      <c r="K2094" s="16"/>
      <c r="T2094" s="17"/>
      <c r="AC2094" s="17"/>
    </row>
    <row r="2095">
      <c r="B2095" s="11">
        <f>IFERROR(__xludf.DUMMYFUNCTION("""COMPUTED_VALUE"""),42978.66666666667)</f>
        <v>42978.66667</v>
      </c>
      <c r="C2095" s="9">
        <f>IFERROR(__xludf.DUMMYFUNCTION("""COMPUTED_VALUE"""),85.48)</f>
        <v>85.48</v>
      </c>
      <c r="K2095" s="16"/>
      <c r="T2095" s="17"/>
      <c r="AC2095" s="17"/>
    </row>
    <row r="2096">
      <c r="B2096" s="11">
        <f>IFERROR(__xludf.DUMMYFUNCTION("""COMPUTED_VALUE"""),42977.66666666667)</f>
        <v>42977.66667</v>
      </c>
      <c r="C2096" s="9">
        <f>IFERROR(__xludf.DUMMYFUNCTION("""COMPUTED_VALUE"""),85.0)</f>
        <v>85</v>
      </c>
      <c r="K2096" s="16"/>
      <c r="T2096" s="17"/>
      <c r="AC2096" s="17"/>
    </row>
    <row r="2097">
      <c r="B2097" s="11">
        <f>IFERROR(__xludf.DUMMYFUNCTION("""COMPUTED_VALUE"""),42976.66666666667)</f>
        <v>42976.66667</v>
      </c>
      <c r="C2097" s="9">
        <f>IFERROR(__xludf.DUMMYFUNCTION("""COMPUTED_VALUE"""),84.53)</f>
        <v>84.53</v>
      </c>
      <c r="K2097" s="16"/>
      <c r="T2097" s="17"/>
      <c r="AC2097" s="17"/>
    </row>
    <row r="2098">
      <c r="B2098" s="11">
        <f>IFERROR(__xludf.DUMMYFUNCTION("""COMPUTED_VALUE"""),42975.66666666667)</f>
        <v>42975.66667</v>
      </c>
      <c r="C2098" s="9">
        <f>IFERROR(__xludf.DUMMYFUNCTION("""COMPUTED_VALUE"""),83.33)</f>
        <v>83.33</v>
      </c>
      <c r="K2098" s="16"/>
      <c r="T2098" s="17"/>
      <c r="AC2098" s="17"/>
    </row>
    <row r="2099">
      <c r="B2099" s="11">
        <f>IFERROR(__xludf.DUMMYFUNCTION("""COMPUTED_VALUE"""),42972.66666666667)</f>
        <v>42972.66667</v>
      </c>
      <c r="C2099" s="9">
        <f>IFERROR(__xludf.DUMMYFUNCTION("""COMPUTED_VALUE"""),83.49)</f>
        <v>83.49</v>
      </c>
      <c r="K2099" s="16"/>
      <c r="T2099" s="17"/>
      <c r="AC2099" s="17"/>
    </row>
    <row r="2100">
      <c r="B2100" s="11">
        <f>IFERROR(__xludf.DUMMYFUNCTION("""COMPUTED_VALUE"""),42971.66666666667)</f>
        <v>42971.66667</v>
      </c>
      <c r="C2100" s="9">
        <f>IFERROR(__xludf.DUMMYFUNCTION("""COMPUTED_VALUE"""),83.55)</f>
        <v>83.55</v>
      </c>
      <c r="K2100" s="16"/>
      <c r="T2100" s="17"/>
      <c r="AC2100" s="17"/>
    </row>
    <row r="2101">
      <c r="B2101" s="11">
        <f>IFERROR(__xludf.DUMMYFUNCTION("""COMPUTED_VALUE"""),42970.66666666667)</f>
        <v>42970.66667</v>
      </c>
      <c r="C2101" s="9">
        <f>IFERROR(__xludf.DUMMYFUNCTION("""COMPUTED_VALUE"""),83.53)</f>
        <v>83.53</v>
      </c>
      <c r="K2101" s="16"/>
      <c r="T2101" s="17"/>
      <c r="AC2101" s="17"/>
    </row>
    <row r="2102">
      <c r="B2102" s="11">
        <f>IFERROR(__xludf.DUMMYFUNCTION("""COMPUTED_VALUE"""),42969.66666666667)</f>
        <v>42969.66667</v>
      </c>
      <c r="C2102" s="9">
        <f>IFERROR(__xludf.DUMMYFUNCTION("""COMPUTED_VALUE"""),83.82)</f>
        <v>83.82</v>
      </c>
      <c r="K2102" s="16"/>
      <c r="T2102" s="17"/>
      <c r="AC2102" s="17"/>
    </row>
    <row r="2103">
      <c r="B2103" s="11">
        <f>IFERROR(__xludf.DUMMYFUNCTION("""COMPUTED_VALUE"""),42968.66666666667)</f>
        <v>42968.66667</v>
      </c>
      <c r="C2103" s="9">
        <f>IFERROR(__xludf.DUMMYFUNCTION("""COMPUTED_VALUE"""),82.86)</f>
        <v>82.86</v>
      </c>
      <c r="K2103" s="16"/>
      <c r="T2103" s="17"/>
      <c r="AC2103" s="17"/>
    </row>
    <row r="2104">
      <c r="B2104" s="11">
        <f>IFERROR(__xludf.DUMMYFUNCTION("""COMPUTED_VALUE"""),42965.66666666667)</f>
        <v>42965.66667</v>
      </c>
      <c r="C2104" s="9">
        <f>IFERROR(__xludf.DUMMYFUNCTION("""COMPUTED_VALUE"""),82.81)</f>
        <v>82.81</v>
      </c>
      <c r="K2104" s="16"/>
      <c r="T2104" s="17"/>
      <c r="AC2104" s="17"/>
    </row>
    <row r="2105">
      <c r="B2105" s="11">
        <f>IFERROR(__xludf.DUMMYFUNCTION("""COMPUTED_VALUE"""),42964.66666666667)</f>
        <v>42964.66667</v>
      </c>
      <c r="C2105" s="9">
        <f>IFERROR(__xludf.DUMMYFUNCTION("""COMPUTED_VALUE"""),82.88)</f>
        <v>82.88</v>
      </c>
      <c r="K2105" s="16"/>
      <c r="T2105" s="17"/>
      <c r="AC2105" s="17"/>
    </row>
    <row r="2106">
      <c r="B2106" s="11">
        <f>IFERROR(__xludf.DUMMYFUNCTION("""COMPUTED_VALUE"""),42963.66666666667)</f>
        <v>42963.66667</v>
      </c>
      <c r="C2106" s="9">
        <f>IFERROR(__xludf.DUMMYFUNCTION("""COMPUTED_VALUE"""),84.08)</f>
        <v>84.08</v>
      </c>
      <c r="K2106" s="16"/>
      <c r="T2106" s="17"/>
      <c r="AC2106" s="17"/>
    </row>
    <row r="2107">
      <c r="B2107" s="11">
        <f>IFERROR(__xludf.DUMMYFUNCTION("""COMPUTED_VALUE"""),42962.66666666667)</f>
        <v>42962.66667</v>
      </c>
      <c r="C2107" s="9">
        <f>IFERROR(__xludf.DUMMYFUNCTION("""COMPUTED_VALUE"""),84.13)</f>
        <v>84.13</v>
      </c>
      <c r="K2107" s="16"/>
      <c r="T2107" s="17"/>
      <c r="AC2107" s="17"/>
    </row>
    <row r="2108">
      <c r="B2108" s="11">
        <f>IFERROR(__xludf.DUMMYFUNCTION("""COMPUTED_VALUE"""),42961.66666666667)</f>
        <v>42961.66667</v>
      </c>
      <c r="C2108" s="9">
        <f>IFERROR(__xludf.DUMMYFUNCTION("""COMPUTED_VALUE"""),84.44)</f>
        <v>84.44</v>
      </c>
      <c r="K2108" s="16"/>
      <c r="T2108" s="17"/>
      <c r="AC2108" s="17"/>
    </row>
    <row r="2109">
      <c r="B2109" s="11">
        <f>IFERROR(__xludf.DUMMYFUNCTION("""COMPUTED_VALUE"""),42958.66666666667)</f>
        <v>42958.66667</v>
      </c>
      <c r="C2109" s="9">
        <f>IFERROR(__xludf.DUMMYFUNCTION("""COMPUTED_VALUE"""),83.65)</f>
        <v>83.65</v>
      </c>
      <c r="K2109" s="16"/>
      <c r="T2109" s="17"/>
      <c r="AC2109" s="17"/>
    </row>
    <row r="2110">
      <c r="B2110" s="11">
        <f>IFERROR(__xludf.DUMMYFUNCTION("""COMPUTED_VALUE"""),42957.66666666667)</f>
        <v>42957.66667</v>
      </c>
      <c r="C2110" s="9">
        <f>IFERROR(__xludf.DUMMYFUNCTION("""COMPUTED_VALUE"""),83.48)</f>
        <v>83.48</v>
      </c>
      <c r="K2110" s="16"/>
      <c r="T2110" s="17"/>
      <c r="AC2110" s="17"/>
    </row>
    <row r="2111">
      <c r="B2111" s="11">
        <f>IFERROR(__xludf.DUMMYFUNCTION("""COMPUTED_VALUE"""),42956.66666666667)</f>
        <v>42956.66667</v>
      </c>
      <c r="C2111" s="9">
        <f>IFERROR(__xludf.DUMMYFUNCTION("""COMPUTED_VALUE"""),84.23)</f>
        <v>84.23</v>
      </c>
      <c r="K2111" s="16"/>
      <c r="T2111" s="17"/>
      <c r="AC2111" s="17"/>
    </row>
    <row r="2112">
      <c r="B2112" s="11">
        <f>IFERROR(__xludf.DUMMYFUNCTION("""COMPUTED_VALUE"""),42955.66666666667)</f>
        <v>42955.66667</v>
      </c>
      <c r="C2112" s="9">
        <f>IFERROR(__xludf.DUMMYFUNCTION("""COMPUTED_VALUE"""),84.18)</f>
        <v>84.18</v>
      </c>
      <c r="K2112" s="16"/>
      <c r="T2112" s="17"/>
      <c r="AC2112" s="17"/>
    </row>
    <row r="2113">
      <c r="B2113" s="11">
        <f>IFERROR(__xludf.DUMMYFUNCTION("""COMPUTED_VALUE"""),42954.66666666667)</f>
        <v>42954.66667</v>
      </c>
      <c r="C2113" s="9">
        <f>IFERROR(__xludf.DUMMYFUNCTION("""COMPUTED_VALUE"""),84.28)</f>
        <v>84.28</v>
      </c>
      <c r="K2113" s="16"/>
      <c r="T2113" s="17"/>
      <c r="AC2113" s="17"/>
    </row>
    <row r="2114">
      <c r="B2114" s="11">
        <f>IFERROR(__xludf.DUMMYFUNCTION("""COMPUTED_VALUE"""),42951.66666666667)</f>
        <v>42951.66667</v>
      </c>
      <c r="C2114" s="9">
        <f>IFERROR(__xludf.DUMMYFUNCTION("""COMPUTED_VALUE"""),83.98)</f>
        <v>83.98</v>
      </c>
      <c r="K2114" s="16"/>
      <c r="T2114" s="17"/>
      <c r="AC2114" s="17"/>
    </row>
    <row r="2115">
      <c r="B2115" s="11">
        <f>IFERROR(__xludf.DUMMYFUNCTION("""COMPUTED_VALUE"""),42950.66666666667)</f>
        <v>42950.66667</v>
      </c>
      <c r="C2115" s="9">
        <f>IFERROR(__xludf.DUMMYFUNCTION("""COMPUTED_VALUE"""),83.91)</f>
        <v>83.91</v>
      </c>
      <c r="K2115" s="16"/>
      <c r="T2115" s="17"/>
      <c r="AC2115" s="17"/>
    </row>
    <row r="2116">
      <c r="B2116" s="11">
        <f>IFERROR(__xludf.DUMMYFUNCTION("""COMPUTED_VALUE"""),42949.66666666667)</f>
        <v>42949.66667</v>
      </c>
      <c r="C2116" s="9">
        <f>IFERROR(__xludf.DUMMYFUNCTION("""COMPUTED_VALUE"""),83.3)</f>
        <v>83.3</v>
      </c>
      <c r="K2116" s="16"/>
      <c r="T2116" s="17"/>
      <c r="AC2116" s="17"/>
    </row>
    <row r="2117">
      <c r="B2117" s="11">
        <f>IFERROR(__xludf.DUMMYFUNCTION("""COMPUTED_VALUE"""),42948.66666666667)</f>
        <v>42948.66667</v>
      </c>
      <c r="C2117" s="9">
        <f>IFERROR(__xludf.DUMMYFUNCTION("""COMPUTED_VALUE"""),82.86)</f>
        <v>82.86</v>
      </c>
      <c r="K2117" s="16"/>
      <c r="T2117" s="17"/>
      <c r="AC2117" s="17"/>
    </row>
    <row r="2118">
      <c r="B2118" s="11">
        <f>IFERROR(__xludf.DUMMYFUNCTION("""COMPUTED_VALUE"""),42947.66666666667)</f>
        <v>42947.66667</v>
      </c>
      <c r="C2118" s="9">
        <f>IFERROR(__xludf.DUMMYFUNCTION("""COMPUTED_VALUE"""),82.45)</f>
        <v>82.45</v>
      </c>
      <c r="K2118" s="16"/>
      <c r="T2118" s="17"/>
      <c r="AC2118" s="17"/>
    </row>
    <row r="2119">
      <c r="B2119" s="11">
        <f>IFERROR(__xludf.DUMMYFUNCTION("""COMPUTED_VALUE"""),42944.66666666667)</f>
        <v>42944.66667</v>
      </c>
      <c r="C2119" s="9">
        <f>IFERROR(__xludf.DUMMYFUNCTION("""COMPUTED_VALUE"""),82.84)</f>
        <v>82.84</v>
      </c>
      <c r="K2119" s="16"/>
      <c r="T2119" s="17"/>
      <c r="AC2119" s="17"/>
    </row>
    <row r="2120">
      <c r="B2120" s="11">
        <f>IFERROR(__xludf.DUMMYFUNCTION("""COMPUTED_VALUE"""),42943.66666666667)</f>
        <v>42943.66667</v>
      </c>
      <c r="C2120" s="9">
        <f>IFERROR(__xludf.DUMMYFUNCTION("""COMPUTED_VALUE"""),82.09)</f>
        <v>82.09</v>
      </c>
      <c r="K2120" s="16"/>
      <c r="T2120" s="17"/>
      <c r="AC2120" s="17"/>
    </row>
    <row r="2121">
      <c r="B2121" s="11">
        <f>IFERROR(__xludf.DUMMYFUNCTION("""COMPUTED_VALUE"""),42942.66666666667)</f>
        <v>42942.66667</v>
      </c>
      <c r="C2121" s="9">
        <f>IFERROR(__xludf.DUMMYFUNCTION("""COMPUTED_VALUE"""),82.23)</f>
        <v>82.23</v>
      </c>
      <c r="K2121" s="16"/>
      <c r="T2121" s="17"/>
      <c r="AC2121" s="17"/>
    </row>
    <row r="2122">
      <c r="B2122" s="11">
        <f>IFERROR(__xludf.DUMMYFUNCTION("""COMPUTED_VALUE"""),42941.66666666667)</f>
        <v>42941.66667</v>
      </c>
      <c r="C2122" s="9">
        <f>IFERROR(__xludf.DUMMYFUNCTION("""COMPUTED_VALUE"""),82.22)</f>
        <v>82.22</v>
      </c>
      <c r="K2122" s="16"/>
      <c r="T2122" s="17"/>
      <c r="AC2122" s="17"/>
    </row>
    <row r="2123">
      <c r="B2123" s="11">
        <f>IFERROR(__xludf.DUMMYFUNCTION("""COMPUTED_VALUE"""),42940.66666666667)</f>
        <v>42940.66667</v>
      </c>
      <c r="C2123" s="9">
        <f>IFERROR(__xludf.DUMMYFUNCTION("""COMPUTED_VALUE"""),82.17)</f>
        <v>82.17</v>
      </c>
      <c r="K2123" s="16"/>
      <c r="T2123" s="17"/>
      <c r="AC2123" s="17"/>
    </row>
    <row r="2124">
      <c r="B2124" s="11">
        <f>IFERROR(__xludf.DUMMYFUNCTION("""COMPUTED_VALUE"""),42937.66666666667)</f>
        <v>42937.66667</v>
      </c>
      <c r="C2124" s="9">
        <f>IFERROR(__xludf.DUMMYFUNCTION("""COMPUTED_VALUE"""),82.01)</f>
        <v>82.01</v>
      </c>
      <c r="K2124" s="16"/>
      <c r="T2124" s="17"/>
      <c r="AC2124" s="17"/>
    </row>
    <row r="2125">
      <c r="B2125" s="11">
        <f>IFERROR(__xludf.DUMMYFUNCTION("""COMPUTED_VALUE"""),42936.66666666667)</f>
        <v>42936.66667</v>
      </c>
      <c r="C2125" s="9">
        <f>IFERROR(__xludf.DUMMYFUNCTION("""COMPUTED_VALUE"""),81.76)</f>
        <v>81.76</v>
      </c>
      <c r="K2125" s="16"/>
      <c r="T2125" s="17"/>
      <c r="AC2125" s="17"/>
    </row>
    <row r="2126">
      <c r="B2126" s="11">
        <f>IFERROR(__xludf.DUMMYFUNCTION("""COMPUTED_VALUE"""),42935.66666666667)</f>
        <v>42935.66667</v>
      </c>
      <c r="C2126" s="9">
        <f>IFERROR(__xludf.DUMMYFUNCTION("""COMPUTED_VALUE"""),81.86)</f>
        <v>81.86</v>
      </c>
      <c r="K2126" s="16"/>
      <c r="T2126" s="17"/>
      <c r="AC2126" s="17"/>
    </row>
    <row r="2127">
      <c r="B2127" s="11">
        <f>IFERROR(__xludf.DUMMYFUNCTION("""COMPUTED_VALUE"""),42934.66666666667)</f>
        <v>42934.66667</v>
      </c>
      <c r="C2127" s="9">
        <f>IFERROR(__xludf.DUMMYFUNCTION("""COMPUTED_VALUE"""),81.22)</f>
        <v>81.22</v>
      </c>
      <c r="K2127" s="16"/>
      <c r="T2127" s="17"/>
      <c r="AC2127" s="17"/>
    </row>
    <row r="2128">
      <c r="B2128" s="11">
        <f>IFERROR(__xludf.DUMMYFUNCTION("""COMPUTED_VALUE"""),42933.66666666667)</f>
        <v>42933.66667</v>
      </c>
      <c r="C2128" s="9">
        <f>IFERROR(__xludf.DUMMYFUNCTION("""COMPUTED_VALUE"""),81.56)</f>
        <v>81.56</v>
      </c>
      <c r="K2128" s="16"/>
      <c r="T2128" s="17"/>
      <c r="AC2128" s="17"/>
    </row>
    <row r="2129">
      <c r="B2129" s="11">
        <f>IFERROR(__xludf.DUMMYFUNCTION("""COMPUTED_VALUE"""),42930.66666666667)</f>
        <v>42930.66667</v>
      </c>
      <c r="C2129" s="9">
        <f>IFERROR(__xludf.DUMMYFUNCTION("""COMPUTED_VALUE"""),81.52)</f>
        <v>81.52</v>
      </c>
      <c r="K2129" s="16"/>
      <c r="T2129" s="17"/>
      <c r="AC2129" s="17"/>
    </row>
    <row r="2130">
      <c r="B2130" s="11">
        <f>IFERROR(__xludf.DUMMYFUNCTION("""COMPUTED_VALUE"""),42929.66666666667)</f>
        <v>42929.66667</v>
      </c>
      <c r="C2130" s="9">
        <f>IFERROR(__xludf.DUMMYFUNCTION("""COMPUTED_VALUE"""),81.08)</f>
        <v>81.08</v>
      </c>
      <c r="K2130" s="16"/>
      <c r="T2130" s="17"/>
      <c r="AC2130" s="17"/>
    </row>
    <row r="2131">
      <c r="B2131" s="11">
        <f>IFERROR(__xludf.DUMMYFUNCTION("""COMPUTED_VALUE"""),42928.66666666667)</f>
        <v>42928.66667</v>
      </c>
      <c r="C2131" s="9">
        <f>IFERROR(__xludf.DUMMYFUNCTION("""COMPUTED_VALUE"""),81.21)</f>
        <v>81.21</v>
      </c>
      <c r="K2131" s="16"/>
      <c r="T2131" s="17"/>
      <c r="AC2131" s="17"/>
    </row>
    <row r="2132">
      <c r="B2132" s="11">
        <f>IFERROR(__xludf.DUMMYFUNCTION("""COMPUTED_VALUE"""),42927.66666666667)</f>
        <v>42927.66667</v>
      </c>
      <c r="C2132" s="9">
        <f>IFERROR(__xludf.DUMMYFUNCTION("""COMPUTED_VALUE"""),80.81)</f>
        <v>80.81</v>
      </c>
      <c r="K2132" s="16"/>
      <c r="T2132" s="17"/>
      <c r="AC2132" s="17"/>
    </row>
    <row r="2133">
      <c r="B2133" s="11">
        <f>IFERROR(__xludf.DUMMYFUNCTION("""COMPUTED_VALUE"""),42926.66666666667)</f>
        <v>42926.66667</v>
      </c>
      <c r="C2133" s="9">
        <f>IFERROR(__xludf.DUMMYFUNCTION("""COMPUTED_VALUE"""),80.4)</f>
        <v>80.4</v>
      </c>
      <c r="K2133" s="16"/>
      <c r="T2133" s="17"/>
      <c r="AC2133" s="17"/>
    </row>
    <row r="2134">
      <c r="B2134" s="11">
        <f>IFERROR(__xludf.DUMMYFUNCTION("""COMPUTED_VALUE"""),42923.66666666667)</f>
        <v>42923.66667</v>
      </c>
      <c r="C2134" s="9">
        <f>IFERROR(__xludf.DUMMYFUNCTION("""COMPUTED_VALUE"""),80.22)</f>
        <v>80.22</v>
      </c>
      <c r="K2134" s="16"/>
      <c r="T2134" s="17"/>
      <c r="AC2134" s="17"/>
    </row>
    <row r="2135">
      <c r="B2135" s="11">
        <f>IFERROR(__xludf.DUMMYFUNCTION("""COMPUTED_VALUE"""),42922.66666666667)</f>
        <v>42922.66667</v>
      </c>
      <c r="C2135" s="9">
        <f>IFERROR(__xludf.DUMMYFUNCTION("""COMPUTED_VALUE"""),79.34)</f>
        <v>79.34</v>
      </c>
      <c r="K2135" s="16"/>
      <c r="T2135" s="17"/>
      <c r="AC2135" s="17"/>
    </row>
    <row r="2136">
      <c r="B2136" s="11">
        <f>IFERROR(__xludf.DUMMYFUNCTION("""COMPUTED_VALUE"""),42921.66666666667)</f>
        <v>42921.66667</v>
      </c>
      <c r="C2136" s="9">
        <f>IFERROR(__xludf.DUMMYFUNCTION("""COMPUTED_VALUE"""),79.97)</f>
        <v>79.97</v>
      </c>
      <c r="K2136" s="16"/>
      <c r="T2136" s="17"/>
      <c r="AC2136" s="17"/>
    </row>
    <row r="2137">
      <c r="B2137" s="11">
        <f>IFERROR(__xludf.DUMMYFUNCTION("""COMPUTED_VALUE"""),42919.66666666667)</f>
        <v>42919.66667</v>
      </c>
      <c r="C2137" s="9">
        <f>IFERROR(__xludf.DUMMYFUNCTION("""COMPUTED_VALUE"""),79.18)</f>
        <v>79.18</v>
      </c>
      <c r="K2137" s="16"/>
      <c r="T2137" s="17"/>
      <c r="AC2137" s="17"/>
    </row>
    <row r="2138">
      <c r="B2138" s="11">
        <f>IFERROR(__xludf.DUMMYFUNCTION("""COMPUTED_VALUE"""),42916.66666666667)</f>
        <v>42916.66667</v>
      </c>
      <c r="C2138" s="9">
        <f>IFERROR(__xludf.DUMMYFUNCTION("""COMPUTED_VALUE"""),78.68)</f>
        <v>78.68</v>
      </c>
      <c r="K2138" s="16"/>
      <c r="T2138" s="17"/>
      <c r="AC2138" s="17"/>
    </row>
    <row r="2139">
      <c r="B2139" s="11">
        <f>IFERROR(__xludf.DUMMYFUNCTION("""COMPUTED_VALUE"""),42915.66666666667)</f>
        <v>42915.66667</v>
      </c>
      <c r="C2139" s="9">
        <f>IFERROR(__xludf.DUMMYFUNCTION("""COMPUTED_VALUE"""),78.16)</f>
        <v>78.16</v>
      </c>
      <c r="K2139" s="16"/>
      <c r="T2139" s="17"/>
      <c r="AC2139" s="17"/>
    </row>
    <row r="2140">
      <c r="B2140" s="11">
        <f>IFERROR(__xludf.DUMMYFUNCTION("""COMPUTED_VALUE"""),42914.66666666667)</f>
        <v>42914.66667</v>
      </c>
      <c r="C2140" s="9">
        <f>IFERROR(__xludf.DUMMYFUNCTION("""COMPUTED_VALUE"""),78.86)</f>
        <v>78.86</v>
      </c>
      <c r="K2140" s="16"/>
      <c r="T2140" s="17"/>
      <c r="AC2140" s="17"/>
    </row>
    <row r="2141">
      <c r="B2141" s="11">
        <f>IFERROR(__xludf.DUMMYFUNCTION("""COMPUTED_VALUE"""),42913.66666666667)</f>
        <v>42913.66667</v>
      </c>
      <c r="C2141" s="9">
        <f>IFERROR(__xludf.DUMMYFUNCTION("""COMPUTED_VALUE"""),77.74)</f>
        <v>77.74</v>
      </c>
      <c r="K2141" s="16"/>
      <c r="T2141" s="17"/>
      <c r="AC2141" s="17"/>
    </row>
    <row r="2142">
      <c r="B2142" s="11">
        <f>IFERROR(__xludf.DUMMYFUNCTION("""COMPUTED_VALUE"""),42912.66666666667)</f>
        <v>42912.66667</v>
      </c>
      <c r="C2142" s="9">
        <f>IFERROR(__xludf.DUMMYFUNCTION("""COMPUTED_VALUE"""),78.4)</f>
        <v>78.4</v>
      </c>
      <c r="K2142" s="16"/>
      <c r="T2142" s="17"/>
      <c r="AC2142" s="17"/>
    </row>
    <row r="2143">
      <c r="B2143" s="11">
        <f>IFERROR(__xludf.DUMMYFUNCTION("""COMPUTED_VALUE"""),42909.66666666667)</f>
        <v>42909.66667</v>
      </c>
      <c r="C2143" s="9">
        <f>IFERROR(__xludf.DUMMYFUNCTION("""COMPUTED_VALUE"""),78.83)</f>
        <v>78.83</v>
      </c>
      <c r="K2143" s="16"/>
      <c r="T2143" s="17"/>
      <c r="AC2143" s="17"/>
    </row>
    <row r="2144">
      <c r="B2144" s="11">
        <f>IFERROR(__xludf.DUMMYFUNCTION("""COMPUTED_VALUE"""),42908.66666666667)</f>
        <v>42908.66667</v>
      </c>
      <c r="C2144" s="9">
        <f>IFERROR(__xludf.DUMMYFUNCTION("""COMPUTED_VALUE"""),78.51)</f>
        <v>78.51</v>
      </c>
      <c r="K2144" s="16"/>
      <c r="T2144" s="17"/>
      <c r="AC2144" s="17"/>
    </row>
    <row r="2145">
      <c r="B2145" s="11">
        <f>IFERROR(__xludf.DUMMYFUNCTION("""COMPUTED_VALUE"""),42907.66666666667)</f>
        <v>42907.66667</v>
      </c>
      <c r="C2145" s="9">
        <f>IFERROR(__xludf.DUMMYFUNCTION("""COMPUTED_VALUE"""),78.86)</f>
        <v>78.86</v>
      </c>
      <c r="K2145" s="16"/>
      <c r="T2145" s="17"/>
      <c r="AC2145" s="17"/>
    </row>
    <row r="2146">
      <c r="B2146" s="11">
        <f>IFERROR(__xludf.DUMMYFUNCTION("""COMPUTED_VALUE"""),42906.66666666667)</f>
        <v>42906.66667</v>
      </c>
      <c r="C2146" s="9">
        <f>IFERROR(__xludf.DUMMYFUNCTION("""COMPUTED_VALUE"""),79.17)</f>
        <v>79.17</v>
      </c>
      <c r="K2146" s="16"/>
      <c r="T2146" s="17"/>
      <c r="AC2146" s="17"/>
    </row>
    <row r="2147">
      <c r="B2147" s="11">
        <f>IFERROR(__xludf.DUMMYFUNCTION("""COMPUTED_VALUE"""),42905.66666666667)</f>
        <v>42905.66667</v>
      </c>
      <c r="C2147" s="9">
        <f>IFERROR(__xludf.DUMMYFUNCTION("""COMPUTED_VALUE"""),79.81)</f>
        <v>79.81</v>
      </c>
      <c r="K2147" s="16"/>
      <c r="T2147" s="17"/>
      <c r="AC2147" s="17"/>
    </row>
    <row r="2148">
      <c r="B2148" s="11">
        <f>IFERROR(__xludf.DUMMYFUNCTION("""COMPUTED_VALUE"""),42902.66666666667)</f>
        <v>42902.66667</v>
      </c>
      <c r="C2148" s="9">
        <f>IFERROR(__xludf.DUMMYFUNCTION("""COMPUTED_VALUE"""),79.2)</f>
        <v>79.2</v>
      </c>
      <c r="K2148" s="16"/>
      <c r="T2148" s="17"/>
      <c r="AC2148" s="17"/>
    </row>
    <row r="2149">
      <c r="B2149" s="11">
        <f>IFERROR(__xludf.DUMMYFUNCTION("""COMPUTED_VALUE"""),42901.66666666667)</f>
        <v>42901.66667</v>
      </c>
      <c r="C2149" s="9">
        <f>IFERROR(__xludf.DUMMYFUNCTION("""COMPUTED_VALUE"""),79.4)</f>
        <v>79.4</v>
      </c>
      <c r="K2149" s="16"/>
      <c r="T2149" s="17"/>
      <c r="AC2149" s="17"/>
    </row>
    <row r="2150">
      <c r="B2150" s="11">
        <f>IFERROR(__xludf.DUMMYFUNCTION("""COMPUTED_VALUE"""),42900.66666666667)</f>
        <v>42900.66667</v>
      </c>
      <c r="C2150" s="9">
        <f>IFERROR(__xludf.DUMMYFUNCTION("""COMPUTED_VALUE"""),79.23)</f>
        <v>79.23</v>
      </c>
      <c r="K2150" s="16"/>
      <c r="T2150" s="17"/>
      <c r="AC2150" s="17"/>
    </row>
    <row r="2151">
      <c r="B2151" s="11">
        <f>IFERROR(__xludf.DUMMYFUNCTION("""COMPUTED_VALUE"""),42899.66666666667)</f>
        <v>42899.66667</v>
      </c>
      <c r="C2151" s="9">
        <f>IFERROR(__xludf.DUMMYFUNCTION("""COMPUTED_VALUE"""),79.17)</f>
        <v>79.17</v>
      </c>
      <c r="K2151" s="16"/>
      <c r="T2151" s="17"/>
      <c r="AC2151" s="17"/>
    </row>
    <row r="2152">
      <c r="B2152" s="11">
        <f>IFERROR(__xludf.DUMMYFUNCTION("""COMPUTED_VALUE"""),42898.66666666667)</f>
        <v>42898.66667</v>
      </c>
      <c r="C2152" s="9">
        <f>IFERROR(__xludf.DUMMYFUNCTION("""COMPUTED_VALUE"""),78.71)</f>
        <v>78.71</v>
      </c>
      <c r="K2152" s="16"/>
      <c r="T2152" s="17"/>
      <c r="AC2152" s="17"/>
    </row>
    <row r="2153">
      <c r="B2153" s="11">
        <f>IFERROR(__xludf.DUMMYFUNCTION("""COMPUTED_VALUE"""),42895.66666666667)</f>
        <v>42895.66667</v>
      </c>
      <c r="C2153" s="9">
        <f>IFERROR(__xludf.DUMMYFUNCTION("""COMPUTED_VALUE"""),79.03)</f>
        <v>79.03</v>
      </c>
      <c r="K2153" s="16"/>
      <c r="T2153" s="17"/>
      <c r="AC2153" s="17"/>
    </row>
    <row r="2154">
      <c r="B2154" s="11">
        <f>IFERROR(__xludf.DUMMYFUNCTION("""COMPUTED_VALUE"""),42894.66666666667)</f>
        <v>42894.66667</v>
      </c>
      <c r="C2154" s="9">
        <f>IFERROR(__xludf.DUMMYFUNCTION("""COMPUTED_VALUE"""),78.9)</f>
        <v>78.9</v>
      </c>
      <c r="K2154" s="16"/>
      <c r="T2154" s="17"/>
      <c r="AC2154" s="17"/>
    </row>
    <row r="2155">
      <c r="B2155" s="11">
        <f>IFERROR(__xludf.DUMMYFUNCTION("""COMPUTED_VALUE"""),42893.66666666667)</f>
        <v>42893.66667</v>
      </c>
      <c r="C2155" s="9">
        <f>IFERROR(__xludf.DUMMYFUNCTION("""COMPUTED_VALUE"""),78.25)</f>
        <v>78.25</v>
      </c>
      <c r="K2155" s="16"/>
      <c r="T2155" s="17"/>
      <c r="AC2155" s="17"/>
    </row>
    <row r="2156">
      <c r="B2156" s="11">
        <f>IFERROR(__xludf.DUMMYFUNCTION("""COMPUTED_VALUE"""),42892.66666666667)</f>
        <v>42892.66667</v>
      </c>
      <c r="C2156" s="9">
        <f>IFERROR(__xludf.DUMMYFUNCTION("""COMPUTED_VALUE"""),78.35)</f>
        <v>78.35</v>
      </c>
      <c r="K2156" s="16"/>
      <c r="T2156" s="17"/>
      <c r="AC2156" s="17"/>
    </row>
    <row r="2157">
      <c r="B2157" s="11">
        <f>IFERROR(__xludf.DUMMYFUNCTION("""COMPUTED_VALUE"""),42891.66666666667)</f>
        <v>42891.66667</v>
      </c>
      <c r="C2157" s="9">
        <f>IFERROR(__xludf.DUMMYFUNCTION("""COMPUTED_VALUE"""),79.03)</f>
        <v>79.03</v>
      </c>
      <c r="K2157" s="16"/>
      <c r="T2157" s="17"/>
      <c r="AC2157" s="17"/>
    </row>
    <row r="2158">
      <c r="B2158" s="11">
        <f>IFERROR(__xludf.DUMMYFUNCTION("""COMPUTED_VALUE"""),42888.66666666667)</f>
        <v>42888.66667</v>
      </c>
      <c r="C2158" s="9">
        <f>IFERROR(__xludf.DUMMYFUNCTION("""COMPUTED_VALUE"""),79.76)</f>
        <v>79.76</v>
      </c>
      <c r="K2158" s="16"/>
      <c r="T2158" s="17"/>
      <c r="AC2158" s="17"/>
    </row>
    <row r="2159">
      <c r="B2159" s="11">
        <f>IFERROR(__xludf.DUMMYFUNCTION("""COMPUTED_VALUE"""),42887.66666666667)</f>
        <v>42887.66667</v>
      </c>
      <c r="C2159" s="9">
        <f>IFERROR(__xludf.DUMMYFUNCTION("""COMPUTED_VALUE"""),79.24)</f>
        <v>79.24</v>
      </c>
      <c r="K2159" s="16"/>
      <c r="T2159" s="17"/>
      <c r="AC2159" s="17"/>
    </row>
    <row r="2160">
      <c r="B2160" s="11">
        <f>IFERROR(__xludf.DUMMYFUNCTION("""COMPUTED_VALUE"""),42886.66666666667)</f>
        <v>42886.66667</v>
      </c>
      <c r="C2160" s="9">
        <f>IFERROR(__xludf.DUMMYFUNCTION("""COMPUTED_VALUE"""),78.91)</f>
        <v>78.91</v>
      </c>
      <c r="K2160" s="16"/>
      <c r="T2160" s="17"/>
      <c r="AC2160" s="17"/>
    </row>
    <row r="2161">
      <c r="B2161" s="11">
        <f>IFERROR(__xludf.DUMMYFUNCTION("""COMPUTED_VALUE"""),42885.66666666667)</f>
        <v>42885.66667</v>
      </c>
      <c r="C2161" s="9">
        <f>IFERROR(__xludf.DUMMYFUNCTION("""COMPUTED_VALUE"""),78.46)</f>
        <v>78.46</v>
      </c>
      <c r="K2161" s="16"/>
      <c r="T2161" s="17"/>
      <c r="AC2161" s="17"/>
    </row>
    <row r="2162">
      <c r="B2162" s="11">
        <f>IFERROR(__xludf.DUMMYFUNCTION("""COMPUTED_VALUE"""),42881.66666666667)</f>
        <v>42881.66667</v>
      </c>
      <c r="C2162" s="9">
        <f>IFERROR(__xludf.DUMMYFUNCTION("""COMPUTED_VALUE"""),78.79)</f>
        <v>78.79</v>
      </c>
      <c r="K2162" s="16"/>
      <c r="T2162" s="17"/>
      <c r="AC2162" s="17"/>
    </row>
    <row r="2163">
      <c r="B2163" s="11">
        <f>IFERROR(__xludf.DUMMYFUNCTION("""COMPUTED_VALUE"""),42880.66666666667)</f>
        <v>42880.66667</v>
      </c>
      <c r="C2163" s="9">
        <f>IFERROR(__xludf.DUMMYFUNCTION("""COMPUTED_VALUE"""),78.79)</f>
        <v>78.79</v>
      </c>
      <c r="K2163" s="16"/>
      <c r="T2163" s="17"/>
      <c r="AC2163" s="17"/>
    </row>
    <row r="2164">
      <c r="B2164" s="11">
        <f>IFERROR(__xludf.DUMMYFUNCTION("""COMPUTED_VALUE"""),42879.66666666667)</f>
        <v>42879.66667</v>
      </c>
      <c r="C2164" s="9">
        <f>IFERROR(__xludf.DUMMYFUNCTION("""COMPUTED_VALUE"""),78.04)</f>
        <v>78.04</v>
      </c>
      <c r="K2164" s="16"/>
      <c r="T2164" s="17"/>
      <c r="AC2164" s="17"/>
    </row>
    <row r="2165">
      <c r="B2165" s="11">
        <f>IFERROR(__xludf.DUMMYFUNCTION("""COMPUTED_VALUE"""),42878.66666666667)</f>
        <v>42878.66667</v>
      </c>
      <c r="C2165" s="9">
        <f>IFERROR(__xludf.DUMMYFUNCTION("""COMPUTED_VALUE"""),77.54)</f>
        <v>77.54</v>
      </c>
      <c r="K2165" s="16"/>
      <c r="T2165" s="17"/>
      <c r="AC2165" s="17"/>
    </row>
    <row r="2166">
      <c r="B2166" s="11">
        <f>IFERROR(__xludf.DUMMYFUNCTION("""COMPUTED_VALUE"""),42877.66666666667)</f>
        <v>42877.66667</v>
      </c>
      <c r="C2166" s="9">
        <f>IFERROR(__xludf.DUMMYFUNCTION("""COMPUTED_VALUE"""),77.24)</f>
        <v>77.24</v>
      </c>
      <c r="K2166" s="16"/>
      <c r="T2166" s="17"/>
      <c r="AC2166" s="17"/>
    </row>
    <row r="2167">
      <c r="B2167" s="11">
        <f>IFERROR(__xludf.DUMMYFUNCTION("""COMPUTED_VALUE"""),42874.66666666667)</f>
        <v>42874.66667</v>
      </c>
      <c r="C2167" s="9">
        <f>IFERROR(__xludf.DUMMYFUNCTION("""COMPUTED_VALUE"""),76.58)</f>
        <v>76.58</v>
      </c>
      <c r="K2167" s="16"/>
      <c r="T2167" s="17"/>
      <c r="AC2167" s="17"/>
    </row>
    <row r="2168">
      <c r="B2168" s="11">
        <f>IFERROR(__xludf.DUMMYFUNCTION("""COMPUTED_VALUE"""),42873.66666666667)</f>
        <v>42873.66667</v>
      </c>
      <c r="C2168" s="9">
        <f>IFERROR(__xludf.DUMMYFUNCTION("""COMPUTED_VALUE"""),75.42)</f>
        <v>75.42</v>
      </c>
      <c r="K2168" s="16"/>
      <c r="T2168" s="17"/>
      <c r="AC2168" s="17"/>
    </row>
    <row r="2169">
      <c r="B2169" s="11">
        <f>IFERROR(__xludf.DUMMYFUNCTION("""COMPUTED_VALUE"""),42872.66666666667)</f>
        <v>42872.66667</v>
      </c>
      <c r="C2169" s="9">
        <f>IFERROR(__xludf.DUMMYFUNCTION("""COMPUTED_VALUE"""),75.51)</f>
        <v>75.51</v>
      </c>
      <c r="K2169" s="16"/>
      <c r="T2169" s="17"/>
      <c r="AC2169" s="17"/>
    </row>
    <row r="2170">
      <c r="B2170" s="11">
        <f>IFERROR(__xludf.DUMMYFUNCTION("""COMPUTED_VALUE"""),42871.66666666667)</f>
        <v>42871.66667</v>
      </c>
      <c r="C2170" s="9">
        <f>IFERROR(__xludf.DUMMYFUNCTION("""COMPUTED_VALUE"""),76.94)</f>
        <v>76.94</v>
      </c>
      <c r="K2170" s="16"/>
      <c r="T2170" s="17"/>
      <c r="AC2170" s="17"/>
    </row>
    <row r="2171">
      <c r="B2171" s="11">
        <f>IFERROR(__xludf.DUMMYFUNCTION("""COMPUTED_VALUE"""),42870.66666666667)</f>
        <v>42870.66667</v>
      </c>
      <c r="C2171" s="9">
        <f>IFERROR(__xludf.DUMMYFUNCTION("""COMPUTED_VALUE"""),76.87)</f>
        <v>76.87</v>
      </c>
      <c r="K2171" s="16"/>
      <c r="T2171" s="17"/>
      <c r="AC2171" s="17"/>
    </row>
    <row r="2172">
      <c r="B2172" s="11">
        <f>IFERROR(__xludf.DUMMYFUNCTION("""COMPUTED_VALUE"""),42867.66666666667)</f>
        <v>42867.66667</v>
      </c>
      <c r="C2172" s="9">
        <f>IFERROR(__xludf.DUMMYFUNCTION("""COMPUTED_VALUE"""),76.44)</f>
        <v>76.44</v>
      </c>
      <c r="K2172" s="16"/>
      <c r="T2172" s="17"/>
      <c r="AC2172" s="17"/>
    </row>
    <row r="2173">
      <c r="B2173" s="11">
        <f>IFERROR(__xludf.DUMMYFUNCTION("""COMPUTED_VALUE"""),42866.66666666667)</f>
        <v>42866.66667</v>
      </c>
      <c r="C2173" s="9">
        <f>IFERROR(__xludf.DUMMYFUNCTION("""COMPUTED_VALUE"""),76.82)</f>
        <v>76.82</v>
      </c>
      <c r="K2173" s="16"/>
      <c r="T2173" s="17"/>
      <c r="AC2173" s="17"/>
    </row>
    <row r="2174">
      <c r="B2174" s="11">
        <f>IFERROR(__xludf.DUMMYFUNCTION("""COMPUTED_VALUE"""),42865.66666666667)</f>
        <v>42865.66667</v>
      </c>
      <c r="C2174" s="9">
        <f>IFERROR(__xludf.DUMMYFUNCTION("""COMPUTED_VALUE"""),76.85)</f>
        <v>76.85</v>
      </c>
      <c r="K2174" s="16"/>
      <c r="T2174" s="17"/>
      <c r="AC2174" s="17"/>
    </row>
    <row r="2175">
      <c r="B2175" s="11">
        <f>IFERROR(__xludf.DUMMYFUNCTION("""COMPUTED_VALUE"""),42864.66666666667)</f>
        <v>42864.66667</v>
      </c>
      <c r="C2175" s="9">
        <f>IFERROR(__xludf.DUMMYFUNCTION("""COMPUTED_VALUE"""),77.16)</f>
        <v>77.16</v>
      </c>
      <c r="K2175" s="16"/>
      <c r="T2175" s="17"/>
      <c r="AC2175" s="17"/>
    </row>
    <row r="2176">
      <c r="B2176" s="11">
        <f>IFERROR(__xludf.DUMMYFUNCTION("""COMPUTED_VALUE"""),42863.66666666667)</f>
        <v>42863.66667</v>
      </c>
      <c r="C2176" s="9">
        <f>IFERROR(__xludf.DUMMYFUNCTION("""COMPUTED_VALUE"""),77.11)</f>
        <v>77.11</v>
      </c>
      <c r="K2176" s="16"/>
      <c r="T2176" s="17"/>
      <c r="AC2176" s="17"/>
    </row>
    <row r="2177">
      <c r="B2177" s="11">
        <f>IFERROR(__xludf.DUMMYFUNCTION("""COMPUTED_VALUE"""),42860.66666666667)</f>
        <v>42860.66667</v>
      </c>
      <c r="C2177" s="9">
        <f>IFERROR(__xludf.DUMMYFUNCTION("""COMPUTED_VALUE"""),77.23)</f>
        <v>77.23</v>
      </c>
      <c r="K2177" s="16"/>
      <c r="T2177" s="17"/>
      <c r="AC2177" s="17"/>
    </row>
    <row r="2178">
      <c r="B2178" s="11">
        <f>IFERROR(__xludf.DUMMYFUNCTION("""COMPUTED_VALUE"""),42859.66666666667)</f>
        <v>42859.66667</v>
      </c>
      <c r="C2178" s="9">
        <f>IFERROR(__xludf.DUMMYFUNCTION("""COMPUTED_VALUE"""),76.54)</f>
        <v>76.54</v>
      </c>
      <c r="K2178" s="16"/>
      <c r="T2178" s="17"/>
      <c r="AC2178" s="17"/>
    </row>
    <row r="2179">
      <c r="B2179" s="11">
        <f>IFERROR(__xludf.DUMMYFUNCTION("""COMPUTED_VALUE"""),42858.66666666667)</f>
        <v>42858.66667</v>
      </c>
      <c r="C2179" s="9">
        <f>IFERROR(__xludf.DUMMYFUNCTION("""COMPUTED_VALUE"""),76.46)</f>
        <v>76.46</v>
      </c>
      <c r="K2179" s="16"/>
      <c r="T2179" s="17"/>
      <c r="AC2179" s="17"/>
    </row>
    <row r="2180">
      <c r="B2180" s="11">
        <f>IFERROR(__xludf.DUMMYFUNCTION("""COMPUTED_VALUE"""),42857.66666666667)</f>
        <v>42857.66667</v>
      </c>
      <c r="C2180" s="9">
        <f>IFERROR(__xludf.DUMMYFUNCTION("""COMPUTED_VALUE"""),76.74)</f>
        <v>76.74</v>
      </c>
      <c r="K2180" s="16"/>
      <c r="T2180" s="17"/>
      <c r="AC2180" s="17"/>
    </row>
    <row r="2181">
      <c r="B2181" s="11">
        <f>IFERROR(__xludf.DUMMYFUNCTION("""COMPUTED_VALUE"""),42856.66666666667)</f>
        <v>42856.66667</v>
      </c>
      <c r="C2181" s="9">
        <f>IFERROR(__xludf.DUMMYFUNCTION("""COMPUTED_VALUE"""),76.56)</f>
        <v>76.56</v>
      </c>
      <c r="K2181" s="16"/>
      <c r="T2181" s="17"/>
      <c r="AC2181" s="17"/>
    </row>
    <row r="2182">
      <c r="B2182" s="11">
        <f>IFERROR(__xludf.DUMMYFUNCTION("""COMPUTED_VALUE"""),42853.66666666667)</f>
        <v>42853.66667</v>
      </c>
      <c r="C2182" s="9">
        <f>IFERROR(__xludf.DUMMYFUNCTION("""COMPUTED_VALUE"""),76.88)</f>
        <v>76.88</v>
      </c>
      <c r="K2182" s="16"/>
      <c r="T2182" s="17"/>
      <c r="AC2182" s="17"/>
    </row>
    <row r="2183">
      <c r="B2183" s="11">
        <f>IFERROR(__xludf.DUMMYFUNCTION("""COMPUTED_VALUE"""),42852.66666666667)</f>
        <v>42852.66667</v>
      </c>
      <c r="C2183" s="9">
        <f>IFERROR(__xludf.DUMMYFUNCTION("""COMPUTED_VALUE"""),77.18)</f>
        <v>77.18</v>
      </c>
      <c r="K2183" s="16"/>
      <c r="T2183" s="17"/>
      <c r="AC2183" s="17"/>
    </row>
    <row r="2184">
      <c r="B2184" s="11">
        <f>IFERROR(__xludf.DUMMYFUNCTION("""COMPUTED_VALUE"""),42851.66666666667)</f>
        <v>42851.66667</v>
      </c>
      <c r="C2184" s="9">
        <f>IFERROR(__xludf.DUMMYFUNCTION("""COMPUTED_VALUE"""),77.03)</f>
        <v>77.03</v>
      </c>
      <c r="K2184" s="16"/>
      <c r="T2184" s="17"/>
      <c r="AC2184" s="17"/>
    </row>
    <row r="2185">
      <c r="B2185" s="11">
        <f>IFERROR(__xludf.DUMMYFUNCTION("""COMPUTED_VALUE"""),42850.66666666667)</f>
        <v>42850.66667</v>
      </c>
      <c r="C2185" s="9">
        <f>IFERROR(__xludf.DUMMYFUNCTION("""COMPUTED_VALUE"""),76.86)</f>
        <v>76.86</v>
      </c>
      <c r="K2185" s="16"/>
      <c r="T2185" s="17"/>
      <c r="AC2185" s="17"/>
    </row>
    <row r="2186">
      <c r="B2186" s="11">
        <f>IFERROR(__xludf.DUMMYFUNCTION("""COMPUTED_VALUE"""),42849.66666666667)</f>
        <v>42849.66667</v>
      </c>
      <c r="C2186" s="9">
        <f>IFERROR(__xludf.DUMMYFUNCTION("""COMPUTED_VALUE"""),76.69)</f>
        <v>76.69</v>
      </c>
      <c r="K2186" s="16"/>
      <c r="T2186" s="17"/>
      <c r="AC2186" s="17"/>
    </row>
    <row r="2187">
      <c r="B2187" s="11">
        <f>IFERROR(__xludf.DUMMYFUNCTION("""COMPUTED_VALUE"""),42846.66666666667)</f>
        <v>42846.66667</v>
      </c>
      <c r="C2187" s="9">
        <f>IFERROR(__xludf.DUMMYFUNCTION("""COMPUTED_VALUE"""),75.69)</f>
        <v>75.69</v>
      </c>
      <c r="K2187" s="16"/>
      <c r="T2187" s="17"/>
      <c r="AC2187" s="17"/>
    </row>
    <row r="2188">
      <c r="B2188" s="11">
        <f>IFERROR(__xludf.DUMMYFUNCTION("""COMPUTED_VALUE"""),42845.66666666667)</f>
        <v>42845.66667</v>
      </c>
      <c r="C2188" s="9">
        <f>IFERROR(__xludf.DUMMYFUNCTION("""COMPUTED_VALUE"""),75.3)</f>
        <v>75.3</v>
      </c>
      <c r="K2188" s="16"/>
      <c r="T2188" s="17"/>
      <c r="AC2188" s="17"/>
    </row>
    <row r="2189">
      <c r="B2189" s="11">
        <f>IFERROR(__xludf.DUMMYFUNCTION("""COMPUTED_VALUE"""),42844.66666666667)</f>
        <v>42844.66667</v>
      </c>
      <c r="C2189" s="9">
        <f>IFERROR(__xludf.DUMMYFUNCTION("""COMPUTED_VALUE"""),74.73)</f>
        <v>74.73</v>
      </c>
      <c r="K2189" s="16"/>
      <c r="T2189" s="17"/>
      <c r="AC2189" s="17"/>
    </row>
    <row r="2190">
      <c r="B2190" s="11">
        <f>IFERROR(__xludf.DUMMYFUNCTION("""COMPUTED_VALUE"""),42843.66666666667)</f>
        <v>42843.66667</v>
      </c>
      <c r="C2190" s="9">
        <f>IFERROR(__xludf.DUMMYFUNCTION("""COMPUTED_VALUE"""),74.67)</f>
        <v>74.67</v>
      </c>
      <c r="K2190" s="16"/>
      <c r="T2190" s="17"/>
      <c r="AC2190" s="17"/>
    </row>
    <row r="2191">
      <c r="B2191" s="11">
        <f>IFERROR(__xludf.DUMMYFUNCTION("""COMPUTED_VALUE"""),42842.66666666667)</f>
        <v>42842.66667</v>
      </c>
      <c r="C2191" s="9">
        <f>IFERROR(__xludf.DUMMYFUNCTION("""COMPUTED_VALUE"""),74.82)</f>
        <v>74.82</v>
      </c>
      <c r="K2191" s="16"/>
      <c r="T2191" s="17"/>
      <c r="AC2191" s="17"/>
    </row>
    <row r="2192">
      <c r="B2192" s="11">
        <f>IFERROR(__xludf.DUMMYFUNCTION("""COMPUTED_VALUE"""),42838.66666666667)</f>
        <v>42838.66667</v>
      </c>
      <c r="C2192" s="9">
        <f>IFERROR(__xludf.DUMMYFUNCTION("""COMPUTED_VALUE"""),73.86)</f>
        <v>73.86</v>
      </c>
      <c r="K2192" s="16"/>
      <c r="T2192" s="17"/>
      <c r="AC2192" s="17"/>
    </row>
    <row r="2193">
      <c r="B2193" s="11">
        <f>IFERROR(__xludf.DUMMYFUNCTION("""COMPUTED_VALUE"""),42837.66666666667)</f>
        <v>42837.66667</v>
      </c>
      <c r="C2193" s="9">
        <f>IFERROR(__xludf.DUMMYFUNCTION("""COMPUTED_VALUE"""),74.28)</f>
        <v>74.28</v>
      </c>
      <c r="K2193" s="16"/>
      <c r="T2193" s="17"/>
      <c r="AC2193" s="17"/>
    </row>
    <row r="2194">
      <c r="B2194" s="11">
        <f>IFERROR(__xludf.DUMMYFUNCTION("""COMPUTED_VALUE"""),42836.66666666667)</f>
        <v>42836.66667</v>
      </c>
      <c r="C2194" s="9">
        <f>IFERROR(__xludf.DUMMYFUNCTION("""COMPUTED_VALUE"""),75.37)</f>
        <v>75.37</v>
      </c>
      <c r="K2194" s="16"/>
      <c r="T2194" s="17"/>
      <c r="AC2194" s="17"/>
    </row>
    <row r="2195">
      <c r="B2195" s="11">
        <f>IFERROR(__xludf.DUMMYFUNCTION("""COMPUTED_VALUE"""),42835.66666666667)</f>
        <v>42835.66667</v>
      </c>
      <c r="C2195" s="9">
        <f>IFERROR(__xludf.DUMMYFUNCTION("""COMPUTED_VALUE"""),74.86)</f>
        <v>74.86</v>
      </c>
      <c r="K2195" s="16"/>
      <c r="T2195" s="17"/>
      <c r="AC2195" s="17"/>
    </row>
    <row r="2196">
      <c r="B2196" s="11">
        <f>IFERROR(__xludf.DUMMYFUNCTION("""COMPUTED_VALUE"""),42832.66666666667)</f>
        <v>42832.66667</v>
      </c>
      <c r="C2196" s="9">
        <f>IFERROR(__xludf.DUMMYFUNCTION("""COMPUTED_VALUE"""),74.79)</f>
        <v>74.79</v>
      </c>
      <c r="K2196" s="16"/>
      <c r="T2196" s="17"/>
      <c r="AC2196" s="17"/>
    </row>
    <row r="2197">
      <c r="B2197" s="11">
        <f>IFERROR(__xludf.DUMMYFUNCTION("""COMPUTED_VALUE"""),42831.66666666667)</f>
        <v>42831.66667</v>
      </c>
      <c r="C2197" s="9">
        <f>IFERROR(__xludf.DUMMYFUNCTION("""COMPUTED_VALUE"""),74.21)</f>
        <v>74.21</v>
      </c>
      <c r="K2197" s="16"/>
      <c r="T2197" s="17"/>
      <c r="AC2197" s="17"/>
    </row>
    <row r="2198">
      <c r="B2198" s="11">
        <f>IFERROR(__xludf.DUMMYFUNCTION("""COMPUTED_VALUE"""),42830.66666666667)</f>
        <v>42830.66667</v>
      </c>
      <c r="C2198" s="9">
        <f>IFERROR(__xludf.DUMMYFUNCTION("""COMPUTED_VALUE"""),73.7)</f>
        <v>73.7</v>
      </c>
      <c r="K2198" s="16"/>
      <c r="T2198" s="17"/>
      <c r="AC2198" s="17"/>
    </row>
    <row r="2199">
      <c r="B2199" s="11">
        <f>IFERROR(__xludf.DUMMYFUNCTION("""COMPUTED_VALUE"""),42829.66666666667)</f>
        <v>42829.66667</v>
      </c>
      <c r="C2199" s="9">
        <f>IFERROR(__xludf.DUMMYFUNCTION("""COMPUTED_VALUE"""),74.38)</f>
        <v>74.38</v>
      </c>
      <c r="K2199" s="16"/>
      <c r="T2199" s="17"/>
      <c r="AC2199" s="17"/>
    </row>
    <row r="2200">
      <c r="B2200" s="11">
        <f>IFERROR(__xludf.DUMMYFUNCTION("""COMPUTED_VALUE"""),42828.66666666667)</f>
        <v>42828.66667</v>
      </c>
      <c r="C2200" s="9">
        <f>IFERROR(__xludf.DUMMYFUNCTION("""COMPUTED_VALUE"""),74.08)</f>
        <v>74.08</v>
      </c>
      <c r="K2200" s="16"/>
      <c r="T2200" s="17"/>
      <c r="AC2200" s="17"/>
    </row>
    <row r="2201">
      <c r="B2201" s="11">
        <f>IFERROR(__xludf.DUMMYFUNCTION("""COMPUTED_VALUE"""),42825.66666666667)</f>
        <v>42825.66667</v>
      </c>
      <c r="C2201" s="9">
        <f>IFERROR(__xludf.DUMMYFUNCTION("""COMPUTED_VALUE"""),74.36)</f>
        <v>74.36</v>
      </c>
      <c r="K2201" s="16"/>
      <c r="T2201" s="17"/>
      <c r="AC2201" s="17"/>
    </row>
    <row r="2202">
      <c r="B2202" s="11">
        <f>IFERROR(__xludf.DUMMYFUNCTION("""COMPUTED_VALUE"""),42824.66666666667)</f>
        <v>42824.66667</v>
      </c>
      <c r="C2202" s="9">
        <f>IFERROR(__xludf.DUMMYFUNCTION("""COMPUTED_VALUE"""),74.67)</f>
        <v>74.67</v>
      </c>
      <c r="K2202" s="16"/>
      <c r="T2202" s="17"/>
      <c r="AC2202" s="17"/>
    </row>
    <row r="2203">
      <c r="B2203" s="11">
        <f>IFERROR(__xludf.DUMMYFUNCTION("""COMPUTED_VALUE"""),42823.66666666667)</f>
        <v>42823.66667</v>
      </c>
      <c r="C2203" s="9">
        <f>IFERROR(__xludf.DUMMYFUNCTION("""COMPUTED_VALUE"""),74.21)</f>
        <v>74.21</v>
      </c>
      <c r="K2203" s="16"/>
      <c r="T2203" s="17"/>
      <c r="AC2203" s="17"/>
    </row>
    <row r="2204">
      <c r="B2204" s="11">
        <f>IFERROR(__xludf.DUMMYFUNCTION("""COMPUTED_VALUE"""),42822.66666666667)</f>
        <v>42822.66667</v>
      </c>
      <c r="C2204" s="9">
        <f>IFERROR(__xludf.DUMMYFUNCTION("""COMPUTED_VALUE"""),74.3)</f>
        <v>74.3</v>
      </c>
      <c r="K2204" s="16"/>
      <c r="T2204" s="17"/>
      <c r="AC2204" s="17"/>
    </row>
    <row r="2205">
      <c r="B2205" s="11">
        <f>IFERROR(__xludf.DUMMYFUNCTION("""COMPUTED_VALUE"""),42821.66666666667)</f>
        <v>42821.66667</v>
      </c>
      <c r="C2205" s="9">
        <f>IFERROR(__xludf.DUMMYFUNCTION("""COMPUTED_VALUE"""),73.5)</f>
        <v>73.5</v>
      </c>
      <c r="K2205" s="16"/>
      <c r="T2205" s="17"/>
      <c r="AC2205" s="17"/>
    </row>
    <row r="2206">
      <c r="B2206" s="11">
        <f>IFERROR(__xludf.DUMMYFUNCTION("""COMPUTED_VALUE"""),42818.66666666667)</f>
        <v>42818.66667</v>
      </c>
      <c r="C2206" s="9">
        <f>IFERROR(__xludf.DUMMYFUNCTION("""COMPUTED_VALUE"""),73.61)</f>
        <v>73.61</v>
      </c>
      <c r="K2206" s="16"/>
      <c r="T2206" s="17"/>
      <c r="AC2206" s="17"/>
    </row>
    <row r="2207">
      <c r="B2207" s="11">
        <f>IFERROR(__xludf.DUMMYFUNCTION("""COMPUTED_VALUE"""),42817.66666666667)</f>
        <v>42817.66667</v>
      </c>
      <c r="C2207" s="9">
        <f>IFERROR(__xludf.DUMMYFUNCTION("""COMPUTED_VALUE"""),74.43)</f>
        <v>74.43</v>
      </c>
      <c r="K2207" s="16"/>
      <c r="T2207" s="17"/>
      <c r="AC2207" s="17"/>
    </row>
    <row r="2208">
      <c r="B2208" s="11">
        <f>IFERROR(__xludf.DUMMYFUNCTION("""COMPUTED_VALUE"""),42816.66666666667)</f>
        <v>42816.66667</v>
      </c>
      <c r="C2208" s="9">
        <f>IFERROR(__xludf.DUMMYFUNCTION("""COMPUTED_VALUE"""),74.4)</f>
        <v>74.4</v>
      </c>
      <c r="K2208" s="16"/>
      <c r="T2208" s="17"/>
      <c r="AC2208" s="17"/>
    </row>
    <row r="2209">
      <c r="B2209" s="11">
        <f>IFERROR(__xludf.DUMMYFUNCTION("""COMPUTED_VALUE"""),42815.66666666667)</f>
        <v>42815.66667</v>
      </c>
      <c r="C2209" s="9">
        <f>IFERROR(__xludf.DUMMYFUNCTION("""COMPUTED_VALUE"""),74.42)</f>
        <v>74.42</v>
      </c>
      <c r="K2209" s="16"/>
      <c r="T2209" s="17"/>
      <c r="AC2209" s="17"/>
    </row>
    <row r="2210">
      <c r="B2210" s="11">
        <f>IFERROR(__xludf.DUMMYFUNCTION("""COMPUTED_VALUE"""),42814.66666666667)</f>
        <v>42814.66667</v>
      </c>
      <c r="C2210" s="9">
        <f>IFERROR(__xludf.DUMMYFUNCTION("""COMPUTED_VALUE"""),75.97)</f>
        <v>75.97</v>
      </c>
      <c r="K2210" s="16"/>
      <c r="T2210" s="17"/>
      <c r="AC2210" s="17"/>
    </row>
    <row r="2211">
      <c r="B2211" s="11">
        <f>IFERROR(__xludf.DUMMYFUNCTION("""COMPUTED_VALUE"""),42811.66666666667)</f>
        <v>42811.66667</v>
      </c>
      <c r="C2211" s="9">
        <f>IFERROR(__xludf.DUMMYFUNCTION("""COMPUTED_VALUE"""),76.26)</f>
        <v>76.26</v>
      </c>
      <c r="K2211" s="16"/>
      <c r="T2211" s="17"/>
      <c r="AC2211" s="17"/>
    </row>
    <row r="2212">
      <c r="B2212" s="11">
        <f>IFERROR(__xludf.DUMMYFUNCTION("""COMPUTED_VALUE"""),42810.66666666667)</f>
        <v>42810.66667</v>
      </c>
      <c r="C2212" s="9">
        <f>IFERROR(__xludf.DUMMYFUNCTION("""COMPUTED_VALUE"""),75.43)</f>
        <v>75.43</v>
      </c>
      <c r="K2212" s="16"/>
      <c r="T2212" s="17"/>
      <c r="AC2212" s="17"/>
    </row>
    <row r="2213">
      <c r="B2213" s="11">
        <f>IFERROR(__xludf.DUMMYFUNCTION("""COMPUTED_VALUE"""),42809.66666666667)</f>
        <v>42809.66667</v>
      </c>
      <c r="C2213" s="9">
        <f>IFERROR(__xludf.DUMMYFUNCTION("""COMPUTED_VALUE"""),75.66)</f>
        <v>75.66</v>
      </c>
      <c r="K2213" s="16"/>
      <c r="T2213" s="17"/>
      <c r="AC2213" s="17"/>
    </row>
    <row r="2214">
      <c r="B2214" s="11">
        <f>IFERROR(__xludf.DUMMYFUNCTION("""COMPUTED_VALUE"""),42808.66666666667)</f>
        <v>42808.66667</v>
      </c>
      <c r="C2214" s="9">
        <f>IFERROR(__xludf.DUMMYFUNCTION("""COMPUTED_VALUE"""),75.09)</f>
        <v>75.09</v>
      </c>
      <c r="K2214" s="16"/>
      <c r="T2214" s="17"/>
      <c r="AC2214" s="17"/>
    </row>
    <row r="2215">
      <c r="B2215" s="11">
        <f>IFERROR(__xludf.DUMMYFUNCTION("""COMPUTED_VALUE"""),42807.66666666667)</f>
        <v>42807.66667</v>
      </c>
      <c r="C2215" s="9">
        <f>IFERROR(__xludf.DUMMYFUNCTION("""COMPUTED_VALUE"""),75.5)</f>
        <v>75.5</v>
      </c>
      <c r="K2215" s="16"/>
      <c r="T2215" s="17"/>
      <c r="AC2215" s="17"/>
    </row>
    <row r="2216">
      <c r="B2216" s="11">
        <f>IFERROR(__xludf.DUMMYFUNCTION("""COMPUTED_VALUE"""),42804.66666666667)</f>
        <v>42804.66667</v>
      </c>
      <c r="C2216" s="9">
        <f>IFERROR(__xludf.DUMMYFUNCTION("""COMPUTED_VALUE"""),75.19)</f>
        <v>75.19</v>
      </c>
      <c r="K2216" s="16"/>
      <c r="T2216" s="17"/>
      <c r="AC2216" s="17"/>
    </row>
    <row r="2217">
      <c r="B2217" s="11">
        <f>IFERROR(__xludf.DUMMYFUNCTION("""COMPUTED_VALUE"""),42803.66666666667)</f>
        <v>42803.66667</v>
      </c>
      <c r="C2217" s="9">
        <f>IFERROR(__xludf.DUMMYFUNCTION("""COMPUTED_VALUE"""),75.21)</f>
        <v>75.21</v>
      </c>
      <c r="K2217" s="16"/>
      <c r="T2217" s="17"/>
      <c r="AC2217" s="17"/>
    </row>
    <row r="2218">
      <c r="B2218" s="11">
        <f>IFERROR(__xludf.DUMMYFUNCTION("""COMPUTED_VALUE"""),42802.66666666667)</f>
        <v>42802.66667</v>
      </c>
      <c r="C2218" s="9">
        <f>IFERROR(__xludf.DUMMYFUNCTION("""COMPUTED_VALUE"""),75.4)</f>
        <v>75.4</v>
      </c>
      <c r="K2218" s="16"/>
      <c r="T2218" s="17"/>
      <c r="AC2218" s="17"/>
    </row>
    <row r="2219">
      <c r="B2219" s="11">
        <f>IFERROR(__xludf.DUMMYFUNCTION("""COMPUTED_VALUE"""),42801.66666666667)</f>
        <v>42801.66667</v>
      </c>
      <c r="C2219" s="9">
        <f>IFERROR(__xludf.DUMMYFUNCTION("""COMPUTED_VALUE"""),75.63)</f>
        <v>75.63</v>
      </c>
      <c r="K2219" s="16"/>
      <c r="T2219" s="17"/>
      <c r="AC2219" s="17"/>
    </row>
    <row r="2220">
      <c r="B2220" s="11">
        <f>IFERROR(__xludf.DUMMYFUNCTION("""COMPUTED_VALUE"""),42800.66666666667)</f>
        <v>42800.66667</v>
      </c>
      <c r="C2220" s="9">
        <f>IFERROR(__xludf.DUMMYFUNCTION("""COMPUTED_VALUE"""),75.72)</f>
        <v>75.72</v>
      </c>
      <c r="K2220" s="16"/>
      <c r="T2220" s="17"/>
      <c r="AC2220" s="17"/>
    </row>
    <row r="2221">
      <c r="B2221" s="11">
        <f>IFERROR(__xludf.DUMMYFUNCTION("""COMPUTED_VALUE"""),42797.66666666667)</f>
        <v>42797.66667</v>
      </c>
      <c r="C2221" s="9">
        <f>IFERROR(__xludf.DUMMYFUNCTION("""COMPUTED_VALUE"""),75.93)</f>
        <v>75.93</v>
      </c>
      <c r="K2221" s="16"/>
      <c r="T2221" s="17"/>
      <c r="AC2221" s="17"/>
    </row>
    <row r="2222">
      <c r="B2222" s="11">
        <f>IFERROR(__xludf.DUMMYFUNCTION("""COMPUTED_VALUE"""),42796.66666666667)</f>
        <v>42796.66667</v>
      </c>
      <c r="C2222" s="9">
        <f>IFERROR(__xludf.DUMMYFUNCTION("""COMPUTED_VALUE"""),76.19)</f>
        <v>76.19</v>
      </c>
      <c r="K2222" s="16"/>
      <c r="T2222" s="17"/>
      <c r="AC2222" s="17"/>
    </row>
    <row r="2223">
      <c r="B2223" s="11">
        <f>IFERROR(__xludf.DUMMYFUNCTION("""COMPUTED_VALUE"""),42795.66666666667)</f>
        <v>42795.66667</v>
      </c>
      <c r="C2223" s="9">
        <f>IFERROR(__xludf.DUMMYFUNCTION("""COMPUTED_VALUE"""),76.98)</f>
        <v>76.98</v>
      </c>
      <c r="K2223" s="16"/>
      <c r="T2223" s="17"/>
      <c r="AC2223" s="17"/>
    </row>
    <row r="2224">
      <c r="B2224" s="11">
        <f>IFERROR(__xludf.DUMMYFUNCTION("""COMPUTED_VALUE"""),42794.66666666667)</f>
        <v>42794.66667</v>
      </c>
      <c r="C2224" s="9">
        <f>IFERROR(__xludf.DUMMYFUNCTION("""COMPUTED_VALUE"""),75.89)</f>
        <v>75.89</v>
      </c>
      <c r="K2224" s="16"/>
      <c r="T2224" s="17"/>
      <c r="AC2224" s="17"/>
    </row>
    <row r="2225">
      <c r="B2225" s="11">
        <f>IFERROR(__xludf.DUMMYFUNCTION("""COMPUTED_VALUE"""),42793.66666666667)</f>
        <v>42793.66667</v>
      </c>
      <c r="C2225" s="9">
        <f>IFERROR(__xludf.DUMMYFUNCTION("""COMPUTED_VALUE"""),76.21)</f>
        <v>76.21</v>
      </c>
      <c r="K2225" s="16"/>
      <c r="T2225" s="17"/>
      <c r="AC2225" s="17"/>
    </row>
    <row r="2226">
      <c r="B2226" s="11">
        <f>IFERROR(__xludf.DUMMYFUNCTION("""COMPUTED_VALUE"""),42790.66666666667)</f>
        <v>42790.66667</v>
      </c>
      <c r="C2226" s="9">
        <f>IFERROR(__xludf.DUMMYFUNCTION("""COMPUTED_VALUE"""),75.26)</f>
        <v>75.26</v>
      </c>
      <c r="K2226" s="16"/>
      <c r="T2226" s="17"/>
      <c r="AC2226" s="17"/>
    </row>
    <row r="2227">
      <c r="B2227" s="11">
        <f>IFERROR(__xludf.DUMMYFUNCTION("""COMPUTED_VALUE"""),42789.66666666667)</f>
        <v>42789.66667</v>
      </c>
      <c r="C2227" s="9">
        <f>IFERROR(__xludf.DUMMYFUNCTION("""COMPUTED_VALUE"""),75.12)</f>
        <v>75.12</v>
      </c>
      <c r="K2227" s="16"/>
      <c r="T2227" s="17"/>
      <c r="AC2227" s="17"/>
    </row>
    <row r="2228">
      <c r="B2228" s="11">
        <f>IFERROR(__xludf.DUMMYFUNCTION("""COMPUTED_VALUE"""),42788.66666666667)</f>
        <v>42788.66667</v>
      </c>
      <c r="C2228" s="9">
        <f>IFERROR(__xludf.DUMMYFUNCTION("""COMPUTED_VALUE"""),75.58)</f>
        <v>75.58</v>
      </c>
      <c r="K2228" s="16"/>
      <c r="T2228" s="17"/>
      <c r="AC2228" s="17"/>
    </row>
    <row r="2229">
      <c r="B2229" s="11">
        <f>IFERROR(__xludf.DUMMYFUNCTION("""COMPUTED_VALUE"""),42787.66666666667)</f>
        <v>42787.66667</v>
      </c>
      <c r="C2229" s="9">
        <f>IFERROR(__xludf.DUMMYFUNCTION("""COMPUTED_VALUE"""),75.61)</f>
        <v>75.61</v>
      </c>
      <c r="K2229" s="16"/>
      <c r="T2229" s="17"/>
      <c r="AC2229" s="17"/>
    </row>
    <row r="2230">
      <c r="B2230" s="11">
        <f>IFERROR(__xludf.DUMMYFUNCTION("""COMPUTED_VALUE"""),42783.66666666667)</f>
        <v>42783.66667</v>
      </c>
      <c r="C2230" s="9">
        <f>IFERROR(__xludf.DUMMYFUNCTION("""COMPUTED_VALUE"""),75.18)</f>
        <v>75.18</v>
      </c>
      <c r="K2230" s="16"/>
      <c r="T2230" s="17"/>
      <c r="AC2230" s="17"/>
    </row>
    <row r="2231">
      <c r="B2231" s="11">
        <f>IFERROR(__xludf.DUMMYFUNCTION("""COMPUTED_VALUE"""),42782.66666666667)</f>
        <v>42782.66667</v>
      </c>
      <c r="C2231" s="9">
        <f>IFERROR(__xludf.DUMMYFUNCTION("""COMPUTED_VALUE"""),74.83)</f>
        <v>74.83</v>
      </c>
      <c r="K2231" s="16"/>
      <c r="T2231" s="17"/>
      <c r="AC2231" s="17"/>
    </row>
    <row r="2232">
      <c r="B2232" s="11">
        <f>IFERROR(__xludf.DUMMYFUNCTION("""COMPUTED_VALUE"""),42781.66666666667)</f>
        <v>42781.66667</v>
      </c>
      <c r="C2232" s="9">
        <f>IFERROR(__xludf.DUMMYFUNCTION("""COMPUTED_VALUE"""),74.55)</f>
        <v>74.55</v>
      </c>
      <c r="K2232" s="16"/>
      <c r="T2232" s="17"/>
      <c r="AC2232" s="17"/>
    </row>
    <row r="2233">
      <c r="B2233" s="11">
        <f>IFERROR(__xludf.DUMMYFUNCTION("""COMPUTED_VALUE"""),42780.66666666667)</f>
        <v>42780.66667</v>
      </c>
      <c r="C2233" s="9">
        <f>IFERROR(__xludf.DUMMYFUNCTION("""COMPUTED_VALUE"""),74.24)</f>
        <v>74.24</v>
      </c>
      <c r="K2233" s="16"/>
      <c r="T2233" s="17"/>
      <c r="AC2233" s="17"/>
    </row>
    <row r="2234">
      <c r="B2234" s="11">
        <f>IFERROR(__xludf.DUMMYFUNCTION("""COMPUTED_VALUE"""),42779.66666666667)</f>
        <v>42779.66667</v>
      </c>
      <c r="C2234" s="9">
        <f>IFERROR(__xludf.DUMMYFUNCTION("""COMPUTED_VALUE"""),74.3)</f>
        <v>74.3</v>
      </c>
      <c r="K2234" s="16"/>
      <c r="T2234" s="17"/>
      <c r="AC2234" s="17"/>
    </row>
    <row r="2235">
      <c r="B2235" s="11">
        <f>IFERROR(__xludf.DUMMYFUNCTION("""COMPUTED_VALUE"""),42776.66666666667)</f>
        <v>42776.66667</v>
      </c>
      <c r="C2235" s="9">
        <f>IFERROR(__xludf.DUMMYFUNCTION("""COMPUTED_VALUE"""),73.82)</f>
        <v>73.82</v>
      </c>
      <c r="K2235" s="16"/>
      <c r="T2235" s="17"/>
      <c r="AC2235" s="17"/>
    </row>
    <row r="2236">
      <c r="B2236" s="11">
        <f>IFERROR(__xludf.DUMMYFUNCTION("""COMPUTED_VALUE"""),42775.66666666667)</f>
        <v>42775.66667</v>
      </c>
      <c r="C2236" s="9">
        <f>IFERROR(__xludf.DUMMYFUNCTION("""COMPUTED_VALUE"""),72.89)</f>
        <v>72.89</v>
      </c>
      <c r="K2236" s="16"/>
      <c r="T2236" s="17"/>
      <c r="AC2236" s="17"/>
    </row>
    <row r="2237">
      <c r="B2237" s="11">
        <f>IFERROR(__xludf.DUMMYFUNCTION("""COMPUTED_VALUE"""),42774.66666666667)</f>
        <v>42774.66667</v>
      </c>
      <c r="C2237" s="9">
        <f>IFERROR(__xludf.DUMMYFUNCTION("""COMPUTED_VALUE"""),72.44)</f>
        <v>72.44</v>
      </c>
      <c r="K2237" s="16"/>
      <c r="T2237" s="17"/>
      <c r="AC2237" s="17"/>
    </row>
    <row r="2238">
      <c r="B2238" s="11">
        <f>IFERROR(__xludf.DUMMYFUNCTION("""COMPUTED_VALUE"""),42773.66666666667)</f>
        <v>42773.66667</v>
      </c>
      <c r="C2238" s="9">
        <f>IFERROR(__xludf.DUMMYFUNCTION("""COMPUTED_VALUE"""),72.76)</f>
        <v>72.76</v>
      </c>
      <c r="K2238" s="16"/>
      <c r="T2238" s="17"/>
      <c r="AC2238" s="17"/>
    </row>
    <row r="2239">
      <c r="B2239" s="11">
        <f>IFERROR(__xludf.DUMMYFUNCTION("""COMPUTED_VALUE"""),42772.66666666667)</f>
        <v>42772.66667</v>
      </c>
      <c r="C2239" s="9">
        <f>IFERROR(__xludf.DUMMYFUNCTION("""COMPUTED_VALUE"""),72.49)</f>
        <v>72.49</v>
      </c>
      <c r="K2239" s="16"/>
      <c r="T2239" s="17"/>
      <c r="AC2239" s="17"/>
    </row>
    <row r="2240">
      <c r="B2240" s="11">
        <f>IFERROR(__xludf.DUMMYFUNCTION("""COMPUTED_VALUE"""),42769.66666666667)</f>
        <v>42769.66667</v>
      </c>
      <c r="C2240" s="9">
        <f>IFERROR(__xludf.DUMMYFUNCTION("""COMPUTED_VALUE"""),72.22)</f>
        <v>72.22</v>
      </c>
      <c r="K2240" s="16"/>
      <c r="T2240" s="17"/>
      <c r="AC2240" s="17"/>
    </row>
    <row r="2241">
      <c r="B2241" s="11">
        <f>IFERROR(__xludf.DUMMYFUNCTION("""COMPUTED_VALUE"""),42768.66666666667)</f>
        <v>42768.66667</v>
      </c>
      <c r="C2241" s="9">
        <f>IFERROR(__xludf.DUMMYFUNCTION("""COMPUTED_VALUE"""),71.22)</f>
        <v>71.22</v>
      </c>
      <c r="K2241" s="16"/>
      <c r="T2241" s="17"/>
      <c r="AC2241" s="17"/>
    </row>
    <row r="2242">
      <c r="B2242" s="11">
        <f>IFERROR(__xludf.DUMMYFUNCTION("""COMPUTED_VALUE"""),42767.66666666667)</f>
        <v>42767.66667</v>
      </c>
      <c r="C2242" s="9">
        <f>IFERROR(__xludf.DUMMYFUNCTION("""COMPUTED_VALUE"""),71.19)</f>
        <v>71.19</v>
      </c>
      <c r="K2242" s="16"/>
      <c r="T2242" s="17"/>
      <c r="AC2242" s="17"/>
    </row>
    <row r="2243">
      <c r="B2243" s="11">
        <f>IFERROR(__xludf.DUMMYFUNCTION("""COMPUTED_VALUE"""),42766.66666666667)</f>
        <v>42766.66667</v>
      </c>
      <c r="C2243" s="9">
        <f>IFERROR(__xludf.DUMMYFUNCTION("""COMPUTED_VALUE"""),71.19)</f>
        <v>71.19</v>
      </c>
      <c r="K2243" s="16"/>
      <c r="T2243" s="17"/>
      <c r="AC2243" s="17"/>
    </row>
    <row r="2244">
      <c r="B2244" s="11">
        <f>IFERROR(__xludf.DUMMYFUNCTION("""COMPUTED_VALUE"""),42765.66666666667)</f>
        <v>42765.66667</v>
      </c>
      <c r="C2244" s="9">
        <f>IFERROR(__xludf.DUMMYFUNCTION("""COMPUTED_VALUE"""),71.13)</f>
        <v>71.13</v>
      </c>
      <c r="K2244" s="16"/>
      <c r="T2244" s="17"/>
      <c r="AC2244" s="17"/>
    </row>
    <row r="2245">
      <c r="B2245" s="11">
        <f>IFERROR(__xludf.DUMMYFUNCTION("""COMPUTED_VALUE"""),42762.66666666667)</f>
        <v>42762.66667</v>
      </c>
      <c r="C2245" s="9">
        <f>IFERROR(__xludf.DUMMYFUNCTION("""COMPUTED_VALUE"""),71.68)</f>
        <v>71.68</v>
      </c>
      <c r="K2245" s="16"/>
      <c r="T2245" s="17"/>
      <c r="AC2245" s="17"/>
    </row>
    <row r="2246">
      <c r="B2246" s="11">
        <f>IFERROR(__xludf.DUMMYFUNCTION("""COMPUTED_VALUE"""),42761.66666666667)</f>
        <v>42761.66667</v>
      </c>
      <c r="C2246" s="9">
        <f>IFERROR(__xludf.DUMMYFUNCTION("""COMPUTED_VALUE"""),71.51)</f>
        <v>71.51</v>
      </c>
      <c r="K2246" s="16"/>
      <c r="T2246" s="17"/>
      <c r="AC2246" s="17"/>
    </row>
    <row r="2247">
      <c r="B2247" s="11">
        <f>IFERROR(__xludf.DUMMYFUNCTION("""COMPUTED_VALUE"""),42760.66666666667)</f>
        <v>42760.66667</v>
      </c>
      <c r="C2247" s="9">
        <f>IFERROR(__xludf.DUMMYFUNCTION("""COMPUTED_VALUE"""),71.41)</f>
        <v>71.41</v>
      </c>
      <c r="K2247" s="16"/>
      <c r="T2247" s="17"/>
      <c r="AC2247" s="17"/>
    </row>
    <row r="2248">
      <c r="B2248" s="11">
        <f>IFERROR(__xludf.DUMMYFUNCTION("""COMPUTED_VALUE"""),42759.66666666667)</f>
        <v>42759.66667</v>
      </c>
      <c r="C2248" s="9">
        <f>IFERROR(__xludf.DUMMYFUNCTION("""COMPUTED_VALUE"""),71.26)</f>
        <v>71.26</v>
      </c>
      <c r="K2248" s="16"/>
      <c r="T2248" s="17"/>
      <c r="AC2248" s="17"/>
    </row>
    <row r="2249">
      <c r="B2249" s="11">
        <f>IFERROR(__xludf.DUMMYFUNCTION("""COMPUTED_VALUE"""),42758.66666666667)</f>
        <v>42758.66667</v>
      </c>
      <c r="C2249" s="9">
        <f>IFERROR(__xludf.DUMMYFUNCTION("""COMPUTED_VALUE"""),70.63)</f>
        <v>70.63</v>
      </c>
      <c r="K2249" s="16"/>
      <c r="T2249" s="17"/>
      <c r="AC2249" s="17"/>
    </row>
    <row r="2250">
      <c r="B2250" s="11">
        <f>IFERROR(__xludf.DUMMYFUNCTION("""COMPUTED_VALUE"""),42755.66666666667)</f>
        <v>42755.66667</v>
      </c>
      <c r="C2250" s="9">
        <f>IFERROR(__xludf.DUMMYFUNCTION("""COMPUTED_VALUE"""),71.0)</f>
        <v>71</v>
      </c>
      <c r="K2250" s="16"/>
      <c r="T2250" s="17"/>
      <c r="AC2250" s="17"/>
    </row>
    <row r="2251">
      <c r="B2251" s="11">
        <f>IFERROR(__xludf.DUMMYFUNCTION("""COMPUTED_VALUE"""),42754.66666666667)</f>
        <v>42754.66667</v>
      </c>
      <c r="C2251" s="9">
        <f>IFERROR(__xludf.DUMMYFUNCTION("""COMPUTED_VALUE"""),71.28)</f>
        <v>71.28</v>
      </c>
      <c r="K2251" s="16"/>
      <c r="T2251" s="17"/>
      <c r="AC2251" s="17"/>
    </row>
    <row r="2252">
      <c r="B2252" s="11">
        <f>IFERROR(__xludf.DUMMYFUNCTION("""COMPUTED_VALUE"""),42753.66666666667)</f>
        <v>42753.66667</v>
      </c>
      <c r="C2252" s="9">
        <f>IFERROR(__xludf.DUMMYFUNCTION("""COMPUTED_VALUE"""),70.69)</f>
        <v>70.69</v>
      </c>
      <c r="K2252" s="16"/>
      <c r="T2252" s="17"/>
      <c r="AC2252" s="17"/>
    </row>
    <row r="2253">
      <c r="B2253" s="11">
        <f>IFERROR(__xludf.DUMMYFUNCTION("""COMPUTED_VALUE"""),42752.66666666667)</f>
        <v>42752.66667</v>
      </c>
      <c r="C2253" s="9">
        <f>IFERROR(__xludf.DUMMYFUNCTION("""COMPUTED_VALUE"""),70.36)</f>
        <v>70.36</v>
      </c>
      <c r="K2253" s="16"/>
      <c r="T2253" s="17"/>
      <c r="AC2253" s="17"/>
    </row>
    <row r="2254">
      <c r="B2254" s="11">
        <f>IFERROR(__xludf.DUMMYFUNCTION("""COMPUTED_VALUE"""),42748.66666666667)</f>
        <v>42748.66667</v>
      </c>
      <c r="C2254" s="9">
        <f>IFERROR(__xludf.DUMMYFUNCTION("""COMPUTED_VALUE"""),71.22)</f>
        <v>71.22</v>
      </c>
      <c r="K2254" s="16"/>
      <c r="T2254" s="17"/>
      <c r="AC2254" s="17"/>
    </row>
    <row r="2255">
      <c r="B2255" s="11">
        <f>IFERROR(__xludf.DUMMYFUNCTION("""COMPUTED_VALUE"""),42747.66666666667)</f>
        <v>42747.66667</v>
      </c>
      <c r="C2255" s="9">
        <f>IFERROR(__xludf.DUMMYFUNCTION("""COMPUTED_VALUE"""),70.93)</f>
        <v>70.93</v>
      </c>
      <c r="K2255" s="16"/>
      <c r="T2255" s="17"/>
      <c r="AC2255" s="17"/>
    </row>
    <row r="2256">
      <c r="B2256" s="11">
        <f>IFERROR(__xludf.DUMMYFUNCTION("""COMPUTED_VALUE"""),42746.66666666667)</f>
        <v>42746.66667</v>
      </c>
      <c r="C2256" s="9">
        <f>IFERROR(__xludf.DUMMYFUNCTION("""COMPUTED_VALUE"""),71.31)</f>
        <v>71.31</v>
      </c>
      <c r="K2256" s="16"/>
      <c r="T2256" s="17"/>
      <c r="AC2256" s="17"/>
    </row>
    <row r="2257">
      <c r="B2257" s="11">
        <f>IFERROR(__xludf.DUMMYFUNCTION("""COMPUTED_VALUE"""),42745.66666666667)</f>
        <v>42745.66667</v>
      </c>
      <c r="C2257" s="9">
        <f>IFERROR(__xludf.DUMMYFUNCTION("""COMPUTED_VALUE"""),71.37)</f>
        <v>71.37</v>
      </c>
      <c r="K2257" s="16"/>
      <c r="T2257" s="17"/>
      <c r="AC2257" s="17"/>
    </row>
    <row r="2258">
      <c r="B2258" s="11">
        <f>IFERROR(__xludf.DUMMYFUNCTION("""COMPUTED_VALUE"""),42744.66666666667)</f>
        <v>42744.66667</v>
      </c>
      <c r="C2258" s="9">
        <f>IFERROR(__xludf.DUMMYFUNCTION("""COMPUTED_VALUE"""),71.25)</f>
        <v>71.25</v>
      </c>
      <c r="K2258" s="16"/>
      <c r="T2258" s="17"/>
      <c r="AC2258" s="17"/>
    </row>
    <row r="2259">
      <c r="B2259" s="11">
        <f>IFERROR(__xludf.DUMMYFUNCTION("""COMPUTED_VALUE"""),42741.66666666667)</f>
        <v>42741.66667</v>
      </c>
      <c r="C2259" s="9">
        <f>IFERROR(__xludf.DUMMYFUNCTION("""COMPUTED_VALUE"""),71.83)</f>
        <v>71.83</v>
      </c>
      <c r="K2259" s="16"/>
      <c r="T2259" s="17"/>
      <c r="AC2259" s="17"/>
    </row>
    <row r="2260">
      <c r="B2260" s="11">
        <f>IFERROR(__xludf.DUMMYFUNCTION("""COMPUTED_VALUE"""),42740.66666666667)</f>
        <v>42740.66667</v>
      </c>
      <c r="C2260" s="9">
        <f>IFERROR(__xludf.DUMMYFUNCTION("""COMPUTED_VALUE"""),71.62)</f>
        <v>71.62</v>
      </c>
      <c r="K2260" s="16"/>
      <c r="T2260" s="17"/>
      <c r="AC2260" s="17"/>
    </row>
    <row r="2261">
      <c r="B2261" s="11">
        <f>IFERROR(__xludf.DUMMYFUNCTION("""COMPUTED_VALUE"""),42739.66666666667)</f>
        <v>42739.66667</v>
      </c>
      <c r="C2261" s="9">
        <f>IFERROR(__xludf.DUMMYFUNCTION("""COMPUTED_VALUE"""),71.68)</f>
        <v>71.68</v>
      </c>
      <c r="K2261" s="16"/>
      <c r="T2261" s="17"/>
      <c r="AC2261" s="17"/>
    </row>
    <row r="2262">
      <c r="B2262" s="11">
        <f>IFERROR(__xludf.DUMMYFUNCTION("""COMPUTED_VALUE"""),42738.66666666667)</f>
        <v>42738.66667</v>
      </c>
      <c r="C2262" s="9">
        <f>IFERROR(__xludf.DUMMYFUNCTION("""COMPUTED_VALUE"""),71.19)</f>
        <v>71.19</v>
      </c>
      <c r="K2262" s="16"/>
      <c r="T2262" s="17"/>
      <c r="AC2262" s="17"/>
    </row>
    <row r="2263">
      <c r="B2263" s="11">
        <f>IFERROR(__xludf.DUMMYFUNCTION("""COMPUTED_VALUE"""),42734.66666666667)</f>
        <v>42734.66667</v>
      </c>
      <c r="C2263" s="9">
        <f>IFERROR(__xludf.DUMMYFUNCTION("""COMPUTED_VALUE"""),70.26)</f>
        <v>70.26</v>
      </c>
      <c r="K2263" s="16"/>
      <c r="T2263" s="17"/>
      <c r="AC2263" s="17"/>
    </row>
    <row r="2264">
      <c r="B2264" s="11">
        <f>IFERROR(__xludf.DUMMYFUNCTION("""COMPUTED_VALUE"""),42733.66666666667)</f>
        <v>42733.66667</v>
      </c>
      <c r="C2264" s="9">
        <f>IFERROR(__xludf.DUMMYFUNCTION("""COMPUTED_VALUE"""),70.69)</f>
        <v>70.69</v>
      </c>
      <c r="K2264" s="16"/>
      <c r="T2264" s="17"/>
      <c r="AC2264" s="17"/>
    </row>
    <row r="2265">
      <c r="B2265" s="11">
        <f>IFERROR(__xludf.DUMMYFUNCTION("""COMPUTED_VALUE"""),42732.66666666667)</f>
        <v>42732.66667</v>
      </c>
      <c r="C2265" s="9">
        <f>IFERROR(__xludf.DUMMYFUNCTION("""COMPUTED_VALUE"""),70.61)</f>
        <v>70.61</v>
      </c>
      <c r="K2265" s="16"/>
      <c r="T2265" s="17"/>
      <c r="AC2265" s="17"/>
    </row>
    <row r="2266">
      <c r="B2266" s="11">
        <f>IFERROR(__xludf.DUMMYFUNCTION("""COMPUTED_VALUE"""),42731.66666666667)</f>
        <v>42731.66667</v>
      </c>
      <c r="C2266" s="9">
        <f>IFERROR(__xludf.DUMMYFUNCTION("""COMPUTED_VALUE"""),71.3)</f>
        <v>71.3</v>
      </c>
      <c r="K2266" s="16"/>
      <c r="T2266" s="17"/>
      <c r="AC2266" s="17"/>
    </row>
    <row r="2267">
      <c r="B2267" s="11">
        <f>IFERROR(__xludf.DUMMYFUNCTION("""COMPUTED_VALUE"""),42727.66666666667)</f>
        <v>42727.66667</v>
      </c>
      <c r="C2267" s="9">
        <f>IFERROR(__xludf.DUMMYFUNCTION("""COMPUTED_VALUE"""),71.11)</f>
        <v>71.11</v>
      </c>
      <c r="K2267" s="16"/>
      <c r="T2267" s="17"/>
      <c r="AC2267" s="17"/>
    </row>
    <row r="2268">
      <c r="B2268" s="11">
        <f>IFERROR(__xludf.DUMMYFUNCTION("""COMPUTED_VALUE"""),42726.66666666667)</f>
        <v>42726.66667</v>
      </c>
      <c r="C2268" s="9">
        <f>IFERROR(__xludf.DUMMYFUNCTION("""COMPUTED_VALUE"""),71.1)</f>
        <v>71.1</v>
      </c>
      <c r="K2268" s="16"/>
      <c r="T2268" s="17"/>
      <c r="AC2268" s="17"/>
    </row>
    <row r="2269">
      <c r="B2269" s="11">
        <f>IFERROR(__xludf.DUMMYFUNCTION("""COMPUTED_VALUE"""),42725.66666666667)</f>
        <v>42725.66667</v>
      </c>
      <c r="C2269" s="9">
        <f>IFERROR(__xludf.DUMMYFUNCTION("""COMPUTED_VALUE"""),71.11)</f>
        <v>71.11</v>
      </c>
      <c r="K2269" s="16"/>
      <c r="T2269" s="17"/>
      <c r="AC2269" s="17"/>
    </row>
    <row r="2270">
      <c r="B2270" s="11">
        <f>IFERROR(__xludf.DUMMYFUNCTION("""COMPUTED_VALUE"""),42724.66666666667)</f>
        <v>42724.66667</v>
      </c>
      <c r="C2270" s="9">
        <f>IFERROR(__xludf.DUMMYFUNCTION("""COMPUTED_VALUE"""),71.7)</f>
        <v>71.7</v>
      </c>
      <c r="K2270" s="16"/>
      <c r="T2270" s="17"/>
      <c r="AC2270" s="17"/>
    </row>
    <row r="2271">
      <c r="B2271" s="11">
        <f>IFERROR(__xludf.DUMMYFUNCTION("""COMPUTED_VALUE"""),42723.66666666667)</f>
        <v>42723.66667</v>
      </c>
      <c r="C2271" s="9">
        <f>IFERROR(__xludf.DUMMYFUNCTION("""COMPUTED_VALUE"""),71.39)</f>
        <v>71.39</v>
      </c>
      <c r="K2271" s="16"/>
      <c r="T2271" s="17"/>
      <c r="AC2271" s="17"/>
    </row>
    <row r="2272">
      <c r="B2272" s="11">
        <f>IFERROR(__xludf.DUMMYFUNCTION("""COMPUTED_VALUE"""),42720.66666666667)</f>
        <v>42720.66667</v>
      </c>
      <c r="C2272" s="9">
        <f>IFERROR(__xludf.DUMMYFUNCTION("""COMPUTED_VALUE"""),70.86)</f>
        <v>70.86</v>
      </c>
      <c r="K2272" s="16"/>
      <c r="T2272" s="17"/>
      <c r="AC2272" s="17"/>
    </row>
    <row r="2273">
      <c r="B2273" s="11">
        <f>IFERROR(__xludf.DUMMYFUNCTION("""COMPUTED_VALUE"""),42719.66666666667)</f>
        <v>42719.66667</v>
      </c>
      <c r="C2273" s="9">
        <f>IFERROR(__xludf.DUMMYFUNCTION("""COMPUTED_VALUE"""),70.97)</f>
        <v>70.97</v>
      </c>
      <c r="K2273" s="16"/>
      <c r="T2273" s="17"/>
      <c r="AC2273" s="17"/>
    </row>
    <row r="2274">
      <c r="B2274" s="11">
        <f>IFERROR(__xludf.DUMMYFUNCTION("""COMPUTED_VALUE"""),42718.66666666667)</f>
        <v>42718.66667</v>
      </c>
      <c r="C2274" s="9">
        <f>IFERROR(__xludf.DUMMYFUNCTION("""COMPUTED_VALUE"""),70.76)</f>
        <v>70.76</v>
      </c>
      <c r="K2274" s="16"/>
      <c r="T2274" s="17"/>
      <c r="AC2274" s="17"/>
    </row>
    <row r="2275">
      <c r="B2275" s="11">
        <f>IFERROR(__xludf.DUMMYFUNCTION("""COMPUTED_VALUE"""),42717.66666666667)</f>
        <v>42717.66667</v>
      </c>
      <c r="C2275" s="9">
        <f>IFERROR(__xludf.DUMMYFUNCTION("""COMPUTED_VALUE"""),71.43)</f>
        <v>71.43</v>
      </c>
      <c r="K2275" s="16"/>
      <c r="T2275" s="17"/>
      <c r="AC2275" s="17"/>
    </row>
    <row r="2276">
      <c r="B2276" s="11">
        <f>IFERROR(__xludf.DUMMYFUNCTION("""COMPUTED_VALUE"""),42716.66666666667)</f>
        <v>42716.66667</v>
      </c>
      <c r="C2276" s="9">
        <f>IFERROR(__xludf.DUMMYFUNCTION("""COMPUTED_VALUE"""),71.74)</f>
        <v>71.74</v>
      </c>
      <c r="K2276" s="16"/>
      <c r="T2276" s="17"/>
      <c r="AC2276" s="17"/>
    </row>
    <row r="2277">
      <c r="B2277" s="11">
        <f>IFERROR(__xludf.DUMMYFUNCTION("""COMPUTED_VALUE"""),42713.66666666667)</f>
        <v>42713.66667</v>
      </c>
      <c r="C2277" s="9">
        <f>IFERROR(__xludf.DUMMYFUNCTION("""COMPUTED_VALUE"""),72.57)</f>
        <v>72.57</v>
      </c>
      <c r="K2277" s="16"/>
      <c r="T2277" s="17"/>
      <c r="AC2277" s="17"/>
    </row>
    <row r="2278">
      <c r="B2278" s="11">
        <f>IFERROR(__xludf.DUMMYFUNCTION("""COMPUTED_VALUE"""),42712.66666666667)</f>
        <v>42712.66667</v>
      </c>
      <c r="C2278" s="9">
        <f>IFERROR(__xludf.DUMMYFUNCTION("""COMPUTED_VALUE"""),72.42)</f>
        <v>72.42</v>
      </c>
      <c r="K2278" s="16"/>
      <c r="T2278" s="17"/>
      <c r="AC2278" s="17"/>
    </row>
    <row r="2279">
      <c r="B2279" s="11">
        <f>IFERROR(__xludf.DUMMYFUNCTION("""COMPUTED_VALUE"""),42711.66666666667)</f>
        <v>42711.66667</v>
      </c>
      <c r="C2279" s="9">
        <f>IFERROR(__xludf.DUMMYFUNCTION("""COMPUTED_VALUE"""),73.11)</f>
        <v>73.11</v>
      </c>
      <c r="K2279" s="16"/>
      <c r="T2279" s="17"/>
      <c r="AC2279" s="17"/>
    </row>
    <row r="2280">
      <c r="B2280" s="11">
        <f>IFERROR(__xludf.DUMMYFUNCTION("""COMPUTED_VALUE"""),42710.66666666667)</f>
        <v>42710.66667</v>
      </c>
      <c r="C2280" s="9">
        <f>IFERROR(__xludf.DUMMYFUNCTION("""COMPUTED_VALUE"""),72.47)</f>
        <v>72.47</v>
      </c>
      <c r="K2280" s="16"/>
      <c r="T2280" s="17"/>
      <c r="AC2280" s="17"/>
    </row>
    <row r="2281">
      <c r="B2281" s="11">
        <f>IFERROR(__xludf.DUMMYFUNCTION("""COMPUTED_VALUE"""),42709.66666666667)</f>
        <v>42709.66667</v>
      </c>
      <c r="C2281" s="9">
        <f>IFERROR(__xludf.DUMMYFUNCTION("""COMPUTED_VALUE"""),72.19)</f>
        <v>72.19</v>
      </c>
      <c r="K2281" s="16"/>
      <c r="T2281" s="17"/>
      <c r="AC2281" s="17"/>
    </row>
    <row r="2282">
      <c r="B2282" s="11">
        <f>IFERROR(__xludf.DUMMYFUNCTION("""COMPUTED_VALUE"""),42706.66666666667)</f>
        <v>42706.66667</v>
      </c>
      <c r="C2282" s="9">
        <f>IFERROR(__xludf.DUMMYFUNCTION("""COMPUTED_VALUE"""),72.0)</f>
        <v>72</v>
      </c>
      <c r="K2282" s="16"/>
      <c r="T2282" s="17"/>
      <c r="AC2282" s="17"/>
    </row>
    <row r="2283">
      <c r="B2283" s="11">
        <f>IFERROR(__xludf.DUMMYFUNCTION("""COMPUTED_VALUE"""),42705.66666666667)</f>
        <v>42705.66667</v>
      </c>
      <c r="C2283" s="9">
        <f>IFERROR(__xludf.DUMMYFUNCTION("""COMPUTED_VALUE"""),71.94)</f>
        <v>71.94</v>
      </c>
      <c r="K2283" s="16"/>
      <c r="T2283" s="17"/>
      <c r="AC2283" s="17"/>
    </row>
    <row r="2284">
      <c r="B2284" s="11">
        <f>IFERROR(__xludf.DUMMYFUNCTION("""COMPUTED_VALUE"""),42704.66666666667)</f>
        <v>42704.66667</v>
      </c>
      <c r="C2284" s="9">
        <f>IFERROR(__xludf.DUMMYFUNCTION("""COMPUTED_VALUE"""),71.66)</f>
        <v>71.66</v>
      </c>
      <c r="K2284" s="16"/>
      <c r="T2284" s="17"/>
      <c r="AC2284" s="17"/>
    </row>
    <row r="2285">
      <c r="B2285" s="11">
        <f>IFERROR(__xludf.DUMMYFUNCTION("""COMPUTED_VALUE"""),42703.66666666667)</f>
        <v>42703.66667</v>
      </c>
      <c r="C2285" s="9">
        <f>IFERROR(__xludf.DUMMYFUNCTION("""COMPUTED_VALUE"""),72.08)</f>
        <v>72.08</v>
      </c>
      <c r="K2285" s="16"/>
      <c r="T2285" s="17"/>
      <c r="AC2285" s="17"/>
    </row>
    <row r="2286">
      <c r="B2286" s="11">
        <f>IFERROR(__xludf.DUMMYFUNCTION("""COMPUTED_VALUE"""),42702.66666666667)</f>
        <v>42702.66667</v>
      </c>
      <c r="C2286" s="9">
        <f>IFERROR(__xludf.DUMMYFUNCTION("""COMPUTED_VALUE"""),71.86)</f>
        <v>71.86</v>
      </c>
      <c r="K2286" s="16"/>
      <c r="T2286" s="17"/>
      <c r="AC2286" s="17"/>
    </row>
    <row r="2287">
      <c r="B2287" s="11">
        <f>IFERROR(__xludf.DUMMYFUNCTION("""COMPUTED_VALUE"""),42699.66666666667)</f>
        <v>42699.66667</v>
      </c>
      <c r="C2287" s="9">
        <f>IFERROR(__xludf.DUMMYFUNCTION("""COMPUTED_VALUE"""),72.04)</f>
        <v>72.04</v>
      </c>
      <c r="K2287" s="16"/>
      <c r="T2287" s="17"/>
      <c r="AC2287" s="17"/>
    </row>
    <row r="2288">
      <c r="B2288" s="11">
        <f>IFERROR(__xludf.DUMMYFUNCTION("""COMPUTED_VALUE"""),42697.66666666667)</f>
        <v>42697.66667</v>
      </c>
      <c r="C2288" s="9">
        <f>IFERROR(__xludf.DUMMYFUNCTION("""COMPUTED_VALUE"""),71.6)</f>
        <v>71.6</v>
      </c>
      <c r="K2288" s="16"/>
      <c r="T2288" s="17"/>
      <c r="AC2288" s="17"/>
    </row>
    <row r="2289">
      <c r="B2289" s="11">
        <f>IFERROR(__xludf.DUMMYFUNCTION("""COMPUTED_VALUE"""),42696.66666666667)</f>
        <v>42696.66667</v>
      </c>
      <c r="C2289" s="9">
        <f>IFERROR(__xludf.DUMMYFUNCTION("""COMPUTED_VALUE"""),71.19)</f>
        <v>71.19</v>
      </c>
      <c r="K2289" s="16"/>
      <c r="T2289" s="17"/>
      <c r="AC2289" s="17"/>
    </row>
    <row r="2290">
      <c r="B2290" s="11">
        <f>IFERROR(__xludf.DUMMYFUNCTION("""COMPUTED_VALUE"""),42695.66666666667)</f>
        <v>42695.66667</v>
      </c>
      <c r="C2290" s="9">
        <f>IFERROR(__xludf.DUMMYFUNCTION("""COMPUTED_VALUE"""),70.29)</f>
        <v>70.29</v>
      </c>
      <c r="K2290" s="16"/>
      <c r="T2290" s="17"/>
      <c r="AC2290" s="17"/>
    </row>
    <row r="2291">
      <c r="B2291" s="11">
        <f>IFERROR(__xludf.DUMMYFUNCTION("""COMPUTED_VALUE"""),42692.66666666667)</f>
        <v>42692.66667</v>
      </c>
      <c r="C2291" s="9">
        <f>IFERROR(__xludf.DUMMYFUNCTION("""COMPUTED_VALUE"""),70.04)</f>
        <v>70.04</v>
      </c>
      <c r="K2291" s="16"/>
      <c r="T2291" s="17"/>
      <c r="AC2291" s="17"/>
    </row>
    <row r="2292">
      <c r="B2292" s="11">
        <f>IFERROR(__xludf.DUMMYFUNCTION("""COMPUTED_VALUE"""),42691.66666666667)</f>
        <v>42691.66667</v>
      </c>
      <c r="C2292" s="9">
        <f>IFERROR(__xludf.DUMMYFUNCTION("""COMPUTED_VALUE"""),70.12)</f>
        <v>70.12</v>
      </c>
      <c r="K2292" s="16"/>
      <c r="T2292" s="17"/>
      <c r="AC2292" s="17"/>
    </row>
    <row r="2293">
      <c r="B2293" s="11">
        <f>IFERROR(__xludf.DUMMYFUNCTION("""COMPUTED_VALUE"""),42690.66666666667)</f>
        <v>42690.66667</v>
      </c>
      <c r="C2293" s="9">
        <f>IFERROR(__xludf.DUMMYFUNCTION("""COMPUTED_VALUE"""),70.08)</f>
        <v>70.08</v>
      </c>
      <c r="K2293" s="16"/>
      <c r="T2293" s="17"/>
      <c r="AC2293" s="17"/>
    </row>
    <row r="2294">
      <c r="B2294" s="11">
        <f>IFERROR(__xludf.DUMMYFUNCTION("""COMPUTED_VALUE"""),42689.66666666667)</f>
        <v>42689.66667</v>
      </c>
      <c r="C2294" s="9">
        <f>IFERROR(__xludf.DUMMYFUNCTION("""COMPUTED_VALUE"""),70.35)</f>
        <v>70.35</v>
      </c>
      <c r="K2294" s="16"/>
      <c r="T2294" s="17"/>
      <c r="AC2294" s="17"/>
    </row>
    <row r="2295">
      <c r="B2295" s="11">
        <f>IFERROR(__xludf.DUMMYFUNCTION("""COMPUTED_VALUE"""),42688.66666666667)</f>
        <v>42688.66667</v>
      </c>
      <c r="C2295" s="9">
        <f>IFERROR(__xludf.DUMMYFUNCTION("""COMPUTED_VALUE"""),70.8)</f>
        <v>70.8</v>
      </c>
      <c r="K2295" s="16"/>
      <c r="T2295" s="17"/>
      <c r="AC2295" s="17"/>
    </row>
    <row r="2296">
      <c r="B2296" s="11">
        <f>IFERROR(__xludf.DUMMYFUNCTION("""COMPUTED_VALUE"""),42685.66666666667)</f>
        <v>42685.66667</v>
      </c>
      <c r="C2296" s="9">
        <f>IFERROR(__xludf.DUMMYFUNCTION("""COMPUTED_VALUE"""),70.58)</f>
        <v>70.58</v>
      </c>
      <c r="K2296" s="16"/>
      <c r="T2296" s="17"/>
      <c r="AC2296" s="17"/>
    </row>
    <row r="2297">
      <c r="B2297" s="11">
        <f>IFERROR(__xludf.DUMMYFUNCTION("""COMPUTED_VALUE"""),42684.66666666667)</f>
        <v>42684.66667</v>
      </c>
      <c r="C2297" s="9">
        <f>IFERROR(__xludf.DUMMYFUNCTION("""COMPUTED_VALUE"""),69.08)</f>
        <v>69.08</v>
      </c>
      <c r="K2297" s="16"/>
      <c r="T2297" s="17"/>
      <c r="AC2297" s="17"/>
    </row>
    <row r="2298">
      <c r="B2298" s="11">
        <f>IFERROR(__xludf.DUMMYFUNCTION("""COMPUTED_VALUE"""),42683.66666666667)</f>
        <v>42683.66667</v>
      </c>
      <c r="C2298" s="9">
        <f>IFERROR(__xludf.DUMMYFUNCTION("""COMPUTED_VALUE"""),67.94)</f>
        <v>67.94</v>
      </c>
      <c r="K2298" s="16"/>
      <c r="T2298" s="17"/>
      <c r="AC2298" s="17"/>
    </row>
    <row r="2299">
      <c r="B2299" s="11">
        <f>IFERROR(__xludf.DUMMYFUNCTION("""COMPUTED_VALUE"""),42682.66666666667)</f>
        <v>42682.66667</v>
      </c>
      <c r="C2299" s="9">
        <f>IFERROR(__xludf.DUMMYFUNCTION("""COMPUTED_VALUE"""),65.13)</f>
        <v>65.13</v>
      </c>
      <c r="K2299" s="16"/>
      <c r="T2299" s="17"/>
      <c r="AC2299" s="17"/>
    </row>
    <row r="2300">
      <c r="B2300" s="11">
        <f>IFERROR(__xludf.DUMMYFUNCTION("""COMPUTED_VALUE"""),42681.66666666667)</f>
        <v>42681.66667</v>
      </c>
      <c r="C2300" s="9">
        <f>IFERROR(__xludf.DUMMYFUNCTION("""COMPUTED_VALUE"""),65.08)</f>
        <v>65.08</v>
      </c>
      <c r="K2300" s="16"/>
      <c r="T2300" s="17"/>
      <c r="AC2300" s="17"/>
    </row>
    <row r="2301">
      <c r="B2301" s="11">
        <f>IFERROR(__xludf.DUMMYFUNCTION("""COMPUTED_VALUE"""),42678.66666666667)</f>
        <v>42678.66667</v>
      </c>
      <c r="C2301" s="9">
        <f>IFERROR(__xludf.DUMMYFUNCTION("""COMPUTED_VALUE"""),63.91)</f>
        <v>63.91</v>
      </c>
      <c r="K2301" s="16"/>
      <c r="T2301" s="17"/>
      <c r="AC2301" s="17"/>
    </row>
    <row r="2302">
      <c r="B2302" s="11">
        <f>IFERROR(__xludf.DUMMYFUNCTION("""COMPUTED_VALUE"""),42677.66666666667)</f>
        <v>42677.66667</v>
      </c>
      <c r="C2302" s="9">
        <f>IFERROR(__xludf.DUMMYFUNCTION("""COMPUTED_VALUE"""),63.84)</f>
        <v>63.84</v>
      </c>
      <c r="K2302" s="16"/>
      <c r="T2302" s="17"/>
      <c r="AC2302" s="17"/>
    </row>
    <row r="2303">
      <c r="B2303" s="11">
        <f>IFERROR(__xludf.DUMMYFUNCTION("""COMPUTED_VALUE"""),42676.66666666667)</f>
        <v>42676.66667</v>
      </c>
      <c r="C2303" s="9">
        <f>IFERROR(__xludf.DUMMYFUNCTION("""COMPUTED_VALUE"""),64.25)</f>
        <v>64.25</v>
      </c>
      <c r="K2303" s="16"/>
      <c r="T2303" s="17"/>
      <c r="AC2303" s="17"/>
    </row>
    <row r="2304">
      <c r="B2304" s="11">
        <f>IFERROR(__xludf.DUMMYFUNCTION("""COMPUTED_VALUE"""),42675.66666666667)</f>
        <v>42675.66667</v>
      </c>
      <c r="C2304" s="9">
        <f>IFERROR(__xludf.DUMMYFUNCTION("""COMPUTED_VALUE"""),64.83)</f>
        <v>64.83</v>
      </c>
      <c r="K2304" s="16"/>
      <c r="T2304" s="17"/>
      <c r="AC2304" s="17"/>
    </row>
    <row r="2305">
      <c r="B2305" s="11">
        <f>IFERROR(__xludf.DUMMYFUNCTION("""COMPUTED_VALUE"""),42674.66666666667)</f>
        <v>42674.66667</v>
      </c>
      <c r="C2305" s="9">
        <f>IFERROR(__xludf.DUMMYFUNCTION("""COMPUTED_VALUE"""),65.14)</f>
        <v>65.14</v>
      </c>
      <c r="K2305" s="16"/>
      <c r="T2305" s="17"/>
      <c r="AC2305" s="17"/>
    </row>
    <row r="2306">
      <c r="B2306" s="11">
        <f>IFERROR(__xludf.DUMMYFUNCTION("""COMPUTED_VALUE"""),42671.66666666667)</f>
        <v>42671.66667</v>
      </c>
      <c r="C2306" s="9">
        <f>IFERROR(__xludf.DUMMYFUNCTION("""COMPUTED_VALUE"""),65.05)</f>
        <v>65.05</v>
      </c>
      <c r="K2306" s="16"/>
      <c r="T2306" s="17"/>
      <c r="AC2306" s="17"/>
    </row>
    <row r="2307">
      <c r="B2307" s="11">
        <f>IFERROR(__xludf.DUMMYFUNCTION("""COMPUTED_VALUE"""),42670.66666666667)</f>
        <v>42670.66667</v>
      </c>
      <c r="C2307" s="9">
        <f>IFERROR(__xludf.DUMMYFUNCTION("""COMPUTED_VALUE"""),64.67)</f>
        <v>64.67</v>
      </c>
      <c r="K2307" s="16"/>
      <c r="T2307" s="17"/>
      <c r="AC2307" s="17"/>
    </row>
    <row r="2308">
      <c r="B2308" s="11">
        <f>IFERROR(__xludf.DUMMYFUNCTION("""COMPUTED_VALUE"""),42669.66666666667)</f>
        <v>42669.66667</v>
      </c>
      <c r="C2308" s="9">
        <f>IFERROR(__xludf.DUMMYFUNCTION("""COMPUTED_VALUE"""),65.38)</f>
        <v>65.38</v>
      </c>
      <c r="K2308" s="16"/>
      <c r="T2308" s="17"/>
      <c r="AC2308" s="17"/>
    </row>
    <row r="2309">
      <c r="B2309" s="11">
        <f>IFERROR(__xludf.DUMMYFUNCTION("""COMPUTED_VALUE"""),42668.66666666667)</f>
        <v>42668.66667</v>
      </c>
      <c r="C2309" s="9">
        <f>IFERROR(__xludf.DUMMYFUNCTION("""COMPUTED_VALUE"""),64.68)</f>
        <v>64.68</v>
      </c>
      <c r="K2309" s="16"/>
      <c r="T2309" s="17"/>
      <c r="AC2309" s="17"/>
    </row>
    <row r="2310">
      <c r="B2310" s="11">
        <f>IFERROR(__xludf.DUMMYFUNCTION("""COMPUTED_VALUE"""),42667.66666666667)</f>
        <v>42667.66667</v>
      </c>
      <c r="C2310" s="9">
        <f>IFERROR(__xludf.DUMMYFUNCTION("""COMPUTED_VALUE"""),63.96)</f>
        <v>63.96</v>
      </c>
      <c r="K2310" s="16"/>
      <c r="T2310" s="17"/>
      <c r="AC2310" s="17"/>
    </row>
    <row r="2311">
      <c r="B2311" s="11">
        <f>IFERROR(__xludf.DUMMYFUNCTION("""COMPUTED_VALUE"""),42664.66666666667)</f>
        <v>42664.66667</v>
      </c>
      <c r="C2311" s="9">
        <f>IFERROR(__xludf.DUMMYFUNCTION("""COMPUTED_VALUE"""),63.32)</f>
        <v>63.32</v>
      </c>
      <c r="K2311" s="16"/>
      <c r="T2311" s="17"/>
      <c r="AC2311" s="17"/>
    </row>
    <row r="2312">
      <c r="B2312" s="11">
        <f>IFERROR(__xludf.DUMMYFUNCTION("""COMPUTED_VALUE"""),42663.66666666667)</f>
        <v>42663.66667</v>
      </c>
      <c r="C2312" s="9">
        <f>IFERROR(__xludf.DUMMYFUNCTION("""COMPUTED_VALUE"""),63.54)</f>
        <v>63.54</v>
      </c>
      <c r="K2312" s="16"/>
      <c r="T2312" s="17"/>
      <c r="AC2312" s="17"/>
    </row>
    <row r="2313">
      <c r="B2313" s="11">
        <f>IFERROR(__xludf.DUMMYFUNCTION("""COMPUTED_VALUE"""),42662.66666666667)</f>
        <v>42662.66667</v>
      </c>
      <c r="C2313" s="9">
        <f>IFERROR(__xludf.DUMMYFUNCTION("""COMPUTED_VALUE"""),63.68)</f>
        <v>63.68</v>
      </c>
      <c r="K2313" s="16"/>
      <c r="T2313" s="17"/>
      <c r="AC2313" s="17"/>
    </row>
    <row r="2314">
      <c r="B2314" s="11">
        <f>IFERROR(__xludf.DUMMYFUNCTION("""COMPUTED_VALUE"""),42661.66666666667)</f>
        <v>42661.66667</v>
      </c>
      <c r="C2314" s="9">
        <f>IFERROR(__xludf.DUMMYFUNCTION("""COMPUTED_VALUE"""),63.72)</f>
        <v>63.72</v>
      </c>
      <c r="K2314" s="16"/>
      <c r="T2314" s="17"/>
      <c r="AC2314" s="17"/>
    </row>
    <row r="2315">
      <c r="B2315" s="11">
        <f>IFERROR(__xludf.DUMMYFUNCTION("""COMPUTED_VALUE"""),42660.66666666667)</f>
        <v>42660.66667</v>
      </c>
      <c r="C2315" s="9">
        <f>IFERROR(__xludf.DUMMYFUNCTION("""COMPUTED_VALUE"""),63.22)</f>
        <v>63.22</v>
      </c>
      <c r="K2315" s="16"/>
      <c r="T2315" s="17"/>
      <c r="AC2315" s="17"/>
    </row>
    <row r="2316">
      <c r="B2316" s="11">
        <f>IFERROR(__xludf.DUMMYFUNCTION("""COMPUTED_VALUE"""),42657.66666666667)</f>
        <v>42657.66667</v>
      </c>
      <c r="C2316" s="9">
        <f>IFERROR(__xludf.DUMMYFUNCTION("""COMPUTED_VALUE"""),63.09)</f>
        <v>63.09</v>
      </c>
      <c r="K2316" s="16"/>
      <c r="T2316" s="17"/>
      <c r="AC2316" s="17"/>
    </row>
    <row r="2317">
      <c r="B2317" s="11">
        <f>IFERROR(__xludf.DUMMYFUNCTION("""COMPUTED_VALUE"""),42656.66666666667)</f>
        <v>42656.66667</v>
      </c>
      <c r="C2317" s="9">
        <f>IFERROR(__xludf.DUMMYFUNCTION("""COMPUTED_VALUE"""),63.08)</f>
        <v>63.08</v>
      </c>
      <c r="K2317" s="16"/>
      <c r="T2317" s="17"/>
      <c r="AC2317" s="17"/>
    </row>
    <row r="2318">
      <c r="B2318" s="11">
        <f>IFERROR(__xludf.DUMMYFUNCTION("""COMPUTED_VALUE"""),42655.66666666667)</f>
        <v>42655.66667</v>
      </c>
      <c r="C2318" s="9">
        <f>IFERROR(__xludf.DUMMYFUNCTION("""COMPUTED_VALUE"""),63.18)</f>
        <v>63.18</v>
      </c>
      <c r="K2318" s="16"/>
      <c r="T2318" s="17"/>
      <c r="AC2318" s="17"/>
    </row>
    <row r="2319">
      <c r="B2319" s="11">
        <f>IFERROR(__xludf.DUMMYFUNCTION("""COMPUTED_VALUE"""),42654.66666666667)</f>
        <v>42654.66667</v>
      </c>
      <c r="C2319" s="9">
        <f>IFERROR(__xludf.DUMMYFUNCTION("""COMPUTED_VALUE"""),63.09)</f>
        <v>63.09</v>
      </c>
      <c r="K2319" s="16"/>
      <c r="T2319" s="17"/>
      <c r="AC2319" s="17"/>
    </row>
    <row r="2320">
      <c r="B2320" s="11">
        <f>IFERROR(__xludf.DUMMYFUNCTION("""COMPUTED_VALUE"""),42653.66666666667)</f>
        <v>42653.66667</v>
      </c>
      <c r="C2320" s="9">
        <f>IFERROR(__xludf.DUMMYFUNCTION("""COMPUTED_VALUE"""),64.07)</f>
        <v>64.07</v>
      </c>
      <c r="K2320" s="16"/>
      <c r="T2320" s="17"/>
      <c r="AC2320" s="17"/>
    </row>
    <row r="2321">
      <c r="B2321" s="11">
        <f>IFERROR(__xludf.DUMMYFUNCTION("""COMPUTED_VALUE"""),42650.66666666667)</f>
        <v>42650.66667</v>
      </c>
      <c r="C2321" s="9">
        <f>IFERROR(__xludf.DUMMYFUNCTION("""COMPUTED_VALUE"""),63.81)</f>
        <v>63.81</v>
      </c>
      <c r="K2321" s="16"/>
      <c r="T2321" s="17"/>
      <c r="AC2321" s="17"/>
    </row>
    <row r="2322">
      <c r="B2322" s="11">
        <f>IFERROR(__xludf.DUMMYFUNCTION("""COMPUTED_VALUE"""),42649.66666666667)</f>
        <v>42649.66667</v>
      </c>
      <c r="C2322" s="9">
        <f>IFERROR(__xludf.DUMMYFUNCTION("""COMPUTED_VALUE"""),64.6)</f>
        <v>64.6</v>
      </c>
      <c r="K2322" s="16"/>
      <c r="T2322" s="17"/>
      <c r="AC2322" s="17"/>
    </row>
    <row r="2323">
      <c r="B2323" s="11">
        <f>IFERROR(__xludf.DUMMYFUNCTION("""COMPUTED_VALUE"""),42648.66666666667)</f>
        <v>42648.66667</v>
      </c>
      <c r="C2323" s="9">
        <f>IFERROR(__xludf.DUMMYFUNCTION("""COMPUTED_VALUE"""),64.61)</f>
        <v>64.61</v>
      </c>
      <c r="K2323" s="16"/>
      <c r="T2323" s="17"/>
      <c r="AC2323" s="17"/>
    </row>
    <row r="2324">
      <c r="B2324" s="11">
        <f>IFERROR(__xludf.DUMMYFUNCTION("""COMPUTED_VALUE"""),42647.66666666667)</f>
        <v>42647.66667</v>
      </c>
      <c r="C2324" s="9">
        <f>IFERROR(__xludf.DUMMYFUNCTION("""COMPUTED_VALUE"""),64.19)</f>
        <v>64.19</v>
      </c>
      <c r="K2324" s="16"/>
      <c r="T2324" s="17"/>
      <c r="AC2324" s="17"/>
    </row>
    <row r="2325">
      <c r="B2325" s="11">
        <f>IFERROR(__xludf.DUMMYFUNCTION("""COMPUTED_VALUE"""),42646.66666666667)</f>
        <v>42646.66667</v>
      </c>
      <c r="C2325" s="9">
        <f>IFERROR(__xludf.DUMMYFUNCTION("""COMPUTED_VALUE"""),64.58)</f>
        <v>64.58</v>
      </c>
      <c r="K2325" s="16"/>
      <c r="T2325" s="17"/>
      <c r="AC2325" s="17"/>
    </row>
    <row r="2326">
      <c r="B2326" s="11">
        <f>IFERROR(__xludf.DUMMYFUNCTION("""COMPUTED_VALUE"""),42643.66666666667)</f>
        <v>42643.66667</v>
      </c>
      <c r="C2326" s="9">
        <f>IFERROR(__xludf.DUMMYFUNCTION("""COMPUTED_VALUE"""),64.53)</f>
        <v>64.53</v>
      </c>
      <c r="K2326" s="16"/>
      <c r="T2326" s="17"/>
      <c r="AC2326" s="17"/>
    </row>
    <row r="2327">
      <c r="B2327" s="11">
        <f>IFERROR(__xludf.DUMMYFUNCTION("""COMPUTED_VALUE"""),42642.66666666667)</f>
        <v>42642.66667</v>
      </c>
      <c r="C2327" s="9">
        <f>IFERROR(__xludf.DUMMYFUNCTION("""COMPUTED_VALUE"""),64.24)</f>
        <v>64.24</v>
      </c>
      <c r="K2327" s="16"/>
      <c r="T2327" s="17"/>
      <c r="AC2327" s="17"/>
    </row>
    <row r="2328">
      <c r="B2328" s="11">
        <f>IFERROR(__xludf.DUMMYFUNCTION("""COMPUTED_VALUE"""),42641.66666666667)</f>
        <v>42641.66667</v>
      </c>
      <c r="C2328" s="9">
        <f>IFERROR(__xludf.DUMMYFUNCTION("""COMPUTED_VALUE"""),65.1)</f>
        <v>65.1</v>
      </c>
      <c r="K2328" s="16"/>
      <c r="T2328" s="17"/>
      <c r="AC2328" s="17"/>
    </row>
    <row r="2329">
      <c r="B2329" s="11">
        <f>IFERROR(__xludf.DUMMYFUNCTION("""COMPUTED_VALUE"""),42640.66666666667)</f>
        <v>42640.66667</v>
      </c>
      <c r="C2329" s="9">
        <f>IFERROR(__xludf.DUMMYFUNCTION("""COMPUTED_VALUE"""),64.72)</f>
        <v>64.72</v>
      </c>
      <c r="K2329" s="16"/>
      <c r="T2329" s="17"/>
      <c r="AC2329" s="17"/>
    </row>
    <row r="2330">
      <c r="B2330" s="11">
        <f>IFERROR(__xludf.DUMMYFUNCTION("""COMPUTED_VALUE"""),42639.66666666667)</f>
        <v>42639.66667</v>
      </c>
      <c r="C2330" s="9">
        <f>IFERROR(__xludf.DUMMYFUNCTION("""COMPUTED_VALUE"""),64.36)</f>
        <v>64.36</v>
      </c>
      <c r="K2330" s="16"/>
      <c r="T2330" s="17"/>
      <c r="AC2330" s="17"/>
    </row>
    <row r="2331">
      <c r="B2331" s="11">
        <f>IFERROR(__xludf.DUMMYFUNCTION("""COMPUTED_VALUE"""),42636.66666666667)</f>
        <v>42636.66667</v>
      </c>
      <c r="C2331" s="9">
        <f>IFERROR(__xludf.DUMMYFUNCTION("""COMPUTED_VALUE"""),64.72)</f>
        <v>64.72</v>
      </c>
      <c r="K2331" s="16"/>
      <c r="T2331" s="17"/>
      <c r="AC2331" s="17"/>
    </row>
    <row r="2332">
      <c r="B2332" s="11">
        <f>IFERROR(__xludf.DUMMYFUNCTION("""COMPUTED_VALUE"""),42635.66666666667)</f>
        <v>42635.66667</v>
      </c>
      <c r="C2332" s="9">
        <f>IFERROR(__xludf.DUMMYFUNCTION("""COMPUTED_VALUE"""),64.91)</f>
        <v>64.91</v>
      </c>
      <c r="K2332" s="16"/>
      <c r="T2332" s="17"/>
      <c r="AC2332" s="17"/>
    </row>
    <row r="2333">
      <c r="B2333" s="11">
        <f>IFERROR(__xludf.DUMMYFUNCTION("""COMPUTED_VALUE"""),42634.66666666667)</f>
        <v>42634.66667</v>
      </c>
      <c r="C2333" s="9">
        <f>IFERROR(__xludf.DUMMYFUNCTION("""COMPUTED_VALUE"""),64.11)</f>
        <v>64.11</v>
      </c>
      <c r="K2333" s="16"/>
      <c r="T2333" s="17"/>
      <c r="AC2333" s="17"/>
    </row>
    <row r="2334">
      <c r="B2334" s="11">
        <f>IFERROR(__xludf.DUMMYFUNCTION("""COMPUTED_VALUE"""),42633.66666666667)</f>
        <v>42633.66667</v>
      </c>
      <c r="C2334" s="9">
        <f>IFERROR(__xludf.DUMMYFUNCTION("""COMPUTED_VALUE"""),63.18)</f>
        <v>63.18</v>
      </c>
      <c r="K2334" s="16"/>
      <c r="T2334" s="17"/>
      <c r="AC2334" s="17"/>
    </row>
    <row r="2335">
      <c r="B2335" s="11">
        <f>IFERROR(__xludf.DUMMYFUNCTION("""COMPUTED_VALUE"""),42632.66666666667)</f>
        <v>42632.66667</v>
      </c>
      <c r="C2335" s="9">
        <f>IFERROR(__xludf.DUMMYFUNCTION("""COMPUTED_VALUE"""),63.41)</f>
        <v>63.41</v>
      </c>
      <c r="K2335" s="16"/>
      <c r="T2335" s="17"/>
      <c r="AC2335" s="17"/>
    </row>
    <row r="2336">
      <c r="B2336" s="11">
        <f>IFERROR(__xludf.DUMMYFUNCTION("""COMPUTED_VALUE"""),42629.66666666667)</f>
        <v>42629.66667</v>
      </c>
      <c r="C2336" s="9">
        <f>IFERROR(__xludf.DUMMYFUNCTION("""COMPUTED_VALUE"""),63.04)</f>
        <v>63.04</v>
      </c>
      <c r="K2336" s="16"/>
      <c r="T2336" s="17"/>
      <c r="AC2336" s="17"/>
    </row>
    <row r="2337">
      <c r="B2337" s="11">
        <f>IFERROR(__xludf.DUMMYFUNCTION("""COMPUTED_VALUE"""),42628.66666666667)</f>
        <v>42628.66667</v>
      </c>
      <c r="C2337" s="9">
        <f>IFERROR(__xludf.DUMMYFUNCTION("""COMPUTED_VALUE"""),63.81)</f>
        <v>63.81</v>
      </c>
      <c r="K2337" s="16"/>
      <c r="T2337" s="17"/>
      <c r="AC2337" s="17"/>
    </row>
    <row r="2338">
      <c r="B2338" s="11">
        <f>IFERROR(__xludf.DUMMYFUNCTION("""COMPUTED_VALUE"""),42627.66666666667)</f>
        <v>42627.66667</v>
      </c>
      <c r="C2338" s="9">
        <f>IFERROR(__xludf.DUMMYFUNCTION("""COMPUTED_VALUE"""),63.18)</f>
        <v>63.18</v>
      </c>
      <c r="K2338" s="16"/>
      <c r="T2338" s="17"/>
      <c r="AC2338" s="17"/>
    </row>
    <row r="2339">
      <c r="B2339" s="11">
        <f>IFERROR(__xludf.DUMMYFUNCTION("""COMPUTED_VALUE"""),42626.66666666667)</f>
        <v>42626.66667</v>
      </c>
      <c r="C2339" s="9">
        <f>IFERROR(__xludf.DUMMYFUNCTION("""COMPUTED_VALUE"""),63.58)</f>
        <v>63.58</v>
      </c>
      <c r="K2339" s="16"/>
      <c r="T2339" s="17"/>
      <c r="AC2339" s="17"/>
    </row>
    <row r="2340">
      <c r="B2340" s="11">
        <f>IFERROR(__xludf.DUMMYFUNCTION("""COMPUTED_VALUE"""),42625.66666666667)</f>
        <v>42625.66667</v>
      </c>
      <c r="C2340" s="9">
        <f>IFERROR(__xludf.DUMMYFUNCTION("""COMPUTED_VALUE"""),64.51)</f>
        <v>64.51</v>
      </c>
      <c r="K2340" s="16"/>
      <c r="T2340" s="17"/>
      <c r="AC2340" s="17"/>
    </row>
    <row r="2341">
      <c r="B2341" s="11">
        <f>IFERROR(__xludf.DUMMYFUNCTION("""COMPUTED_VALUE"""),42622.66666666667)</f>
        <v>42622.66667</v>
      </c>
      <c r="C2341" s="9">
        <f>IFERROR(__xludf.DUMMYFUNCTION("""COMPUTED_VALUE"""),63.89)</f>
        <v>63.89</v>
      </c>
      <c r="K2341" s="16"/>
      <c r="T2341" s="17"/>
      <c r="AC2341" s="17"/>
    </row>
    <row r="2342">
      <c r="B2342" s="11">
        <f>IFERROR(__xludf.DUMMYFUNCTION("""COMPUTED_VALUE"""),42621.66666666667)</f>
        <v>42621.66667</v>
      </c>
      <c r="C2342" s="9">
        <f>IFERROR(__xludf.DUMMYFUNCTION("""COMPUTED_VALUE"""),65.52)</f>
        <v>65.52</v>
      </c>
      <c r="K2342" s="16"/>
      <c r="T2342" s="17"/>
      <c r="AC2342" s="17"/>
    </row>
    <row r="2343">
      <c r="B2343" s="11">
        <f>IFERROR(__xludf.DUMMYFUNCTION("""COMPUTED_VALUE"""),42620.66666666667)</f>
        <v>42620.66667</v>
      </c>
      <c r="C2343" s="9">
        <f>IFERROR(__xludf.DUMMYFUNCTION("""COMPUTED_VALUE"""),65.66)</f>
        <v>65.66</v>
      </c>
      <c r="K2343" s="16"/>
      <c r="T2343" s="17"/>
      <c r="AC2343" s="17"/>
    </row>
    <row r="2344">
      <c r="B2344" s="11">
        <f>IFERROR(__xludf.DUMMYFUNCTION("""COMPUTED_VALUE"""),42619.66666666667)</f>
        <v>42619.66667</v>
      </c>
      <c r="C2344" s="9">
        <f>IFERROR(__xludf.DUMMYFUNCTION("""COMPUTED_VALUE"""),65.78)</f>
        <v>65.78</v>
      </c>
      <c r="K2344" s="16"/>
      <c r="T2344" s="17"/>
      <c r="AC2344" s="17"/>
    </row>
    <row r="2345">
      <c r="B2345" s="11">
        <f>IFERROR(__xludf.DUMMYFUNCTION("""COMPUTED_VALUE"""),42615.66666666667)</f>
        <v>42615.66667</v>
      </c>
      <c r="C2345" s="9">
        <f>IFERROR(__xludf.DUMMYFUNCTION("""COMPUTED_VALUE"""),65.85)</f>
        <v>65.85</v>
      </c>
      <c r="K2345" s="16"/>
      <c r="T2345" s="17"/>
      <c r="AC2345" s="17"/>
    </row>
    <row r="2346">
      <c r="B2346" s="11">
        <f>IFERROR(__xludf.DUMMYFUNCTION("""COMPUTED_VALUE"""),42614.66666666667)</f>
        <v>42614.66667</v>
      </c>
      <c r="C2346" s="9">
        <f>IFERROR(__xludf.DUMMYFUNCTION("""COMPUTED_VALUE"""),65.38)</f>
        <v>65.38</v>
      </c>
      <c r="K2346" s="16"/>
      <c r="T2346" s="17"/>
      <c r="AC2346" s="17"/>
    </row>
    <row r="2347">
      <c r="B2347" s="11">
        <f>IFERROR(__xludf.DUMMYFUNCTION("""COMPUTED_VALUE"""),42613.66666666667)</f>
        <v>42613.66667</v>
      </c>
      <c r="C2347" s="9">
        <f>IFERROR(__xludf.DUMMYFUNCTION("""COMPUTED_VALUE"""),65.11)</f>
        <v>65.11</v>
      </c>
      <c r="K2347" s="16"/>
      <c r="T2347" s="17"/>
      <c r="AC2347" s="17"/>
    </row>
    <row r="2348">
      <c r="B2348" s="11">
        <f>IFERROR(__xludf.DUMMYFUNCTION("""COMPUTED_VALUE"""),42612.66666666667)</f>
        <v>42612.66667</v>
      </c>
      <c r="C2348" s="9">
        <f>IFERROR(__xludf.DUMMYFUNCTION("""COMPUTED_VALUE"""),65.62)</f>
        <v>65.62</v>
      </c>
      <c r="K2348" s="16"/>
      <c r="T2348" s="17"/>
      <c r="AC2348" s="17"/>
    </row>
    <row r="2349">
      <c r="B2349" s="11">
        <f>IFERROR(__xludf.DUMMYFUNCTION("""COMPUTED_VALUE"""),42611.66666666667)</f>
        <v>42611.66667</v>
      </c>
      <c r="C2349" s="9">
        <f>IFERROR(__xludf.DUMMYFUNCTION("""COMPUTED_VALUE"""),65.94)</f>
        <v>65.94</v>
      </c>
      <c r="K2349" s="16"/>
      <c r="T2349" s="17"/>
      <c r="AC2349" s="17"/>
    </row>
    <row r="2350">
      <c r="B2350" s="11">
        <f>IFERROR(__xludf.DUMMYFUNCTION("""COMPUTED_VALUE"""),42608.66666666667)</f>
        <v>42608.66667</v>
      </c>
      <c r="C2350" s="9">
        <f>IFERROR(__xludf.DUMMYFUNCTION("""COMPUTED_VALUE"""),65.55)</f>
        <v>65.55</v>
      </c>
      <c r="K2350" s="16"/>
      <c r="T2350" s="17"/>
      <c r="AC2350" s="17"/>
    </row>
    <row r="2351">
      <c r="B2351" s="11">
        <f>IFERROR(__xludf.DUMMYFUNCTION("""COMPUTED_VALUE"""),42607.66666666667)</f>
        <v>42607.66667</v>
      </c>
      <c r="C2351" s="9">
        <f>IFERROR(__xludf.DUMMYFUNCTION("""COMPUTED_VALUE"""),65.88)</f>
        <v>65.88</v>
      </c>
      <c r="K2351" s="16"/>
      <c r="T2351" s="17"/>
      <c r="AC2351" s="17"/>
    </row>
    <row r="2352">
      <c r="B2352" s="11">
        <f>IFERROR(__xludf.DUMMYFUNCTION("""COMPUTED_VALUE"""),42606.66666666667)</f>
        <v>42606.66667</v>
      </c>
      <c r="C2352" s="9">
        <f>IFERROR(__xludf.DUMMYFUNCTION("""COMPUTED_VALUE"""),65.88)</f>
        <v>65.88</v>
      </c>
      <c r="K2352" s="16"/>
      <c r="T2352" s="17"/>
      <c r="AC2352" s="17"/>
    </row>
    <row r="2353">
      <c r="B2353" s="11">
        <f>IFERROR(__xludf.DUMMYFUNCTION("""COMPUTED_VALUE"""),42605.66666666667)</f>
        <v>42605.66667</v>
      </c>
      <c r="C2353" s="9">
        <f>IFERROR(__xludf.DUMMYFUNCTION("""COMPUTED_VALUE"""),66.03)</f>
        <v>66.03</v>
      </c>
      <c r="K2353" s="16"/>
      <c r="T2353" s="17"/>
      <c r="AC2353" s="17"/>
    </row>
    <row r="2354">
      <c r="B2354" s="11">
        <f>IFERROR(__xludf.DUMMYFUNCTION("""COMPUTED_VALUE"""),42604.66666666667)</f>
        <v>42604.66667</v>
      </c>
      <c r="C2354" s="9">
        <f>IFERROR(__xludf.DUMMYFUNCTION("""COMPUTED_VALUE"""),66.19)</f>
        <v>66.19</v>
      </c>
      <c r="K2354" s="16"/>
      <c r="T2354" s="17"/>
      <c r="AC2354" s="17"/>
    </row>
    <row r="2355">
      <c r="B2355" s="11">
        <f>IFERROR(__xludf.DUMMYFUNCTION("""COMPUTED_VALUE"""),42601.66666666667)</f>
        <v>42601.66667</v>
      </c>
      <c r="C2355" s="9">
        <f>IFERROR(__xludf.DUMMYFUNCTION("""COMPUTED_VALUE"""),66.15)</f>
        <v>66.15</v>
      </c>
      <c r="K2355" s="16"/>
      <c r="T2355" s="17"/>
      <c r="AC2355" s="17"/>
    </row>
    <row r="2356">
      <c r="B2356" s="11">
        <f>IFERROR(__xludf.DUMMYFUNCTION("""COMPUTED_VALUE"""),42600.66666666667)</f>
        <v>42600.66667</v>
      </c>
      <c r="C2356" s="9">
        <f>IFERROR(__xludf.DUMMYFUNCTION("""COMPUTED_VALUE"""),66.16)</f>
        <v>66.16</v>
      </c>
      <c r="K2356" s="16"/>
      <c r="T2356" s="17"/>
      <c r="AC2356" s="17"/>
    </row>
    <row r="2357">
      <c r="B2357" s="11">
        <f>IFERROR(__xludf.DUMMYFUNCTION("""COMPUTED_VALUE"""),42599.66666666667)</f>
        <v>42599.66667</v>
      </c>
      <c r="C2357" s="9">
        <f>IFERROR(__xludf.DUMMYFUNCTION("""COMPUTED_VALUE"""),65.76)</f>
        <v>65.76</v>
      </c>
      <c r="K2357" s="16"/>
      <c r="T2357" s="17"/>
      <c r="AC2357" s="17"/>
    </row>
    <row r="2358">
      <c r="B2358" s="11">
        <f>IFERROR(__xludf.DUMMYFUNCTION("""COMPUTED_VALUE"""),42598.66666666667)</f>
        <v>42598.66667</v>
      </c>
      <c r="C2358" s="9">
        <f>IFERROR(__xludf.DUMMYFUNCTION("""COMPUTED_VALUE"""),65.62)</f>
        <v>65.62</v>
      </c>
      <c r="K2358" s="16"/>
      <c r="T2358" s="17"/>
      <c r="AC2358" s="17"/>
    </row>
    <row r="2359">
      <c r="B2359" s="11">
        <f>IFERROR(__xludf.DUMMYFUNCTION("""COMPUTED_VALUE"""),42597.66666666667)</f>
        <v>42597.66667</v>
      </c>
      <c r="C2359" s="9">
        <f>IFERROR(__xludf.DUMMYFUNCTION("""COMPUTED_VALUE"""),66.36)</f>
        <v>66.36</v>
      </c>
      <c r="K2359" s="16"/>
      <c r="T2359" s="17"/>
      <c r="AC2359" s="17"/>
    </row>
    <row r="2360">
      <c r="B2360" s="11">
        <f>IFERROR(__xludf.DUMMYFUNCTION("""COMPUTED_VALUE"""),42594.66666666667)</f>
        <v>42594.66667</v>
      </c>
      <c r="C2360" s="9">
        <f>IFERROR(__xludf.DUMMYFUNCTION("""COMPUTED_VALUE"""),65.64)</f>
        <v>65.64</v>
      </c>
      <c r="K2360" s="16"/>
      <c r="T2360" s="17"/>
      <c r="AC2360" s="17"/>
    </row>
    <row r="2361">
      <c r="B2361" s="11">
        <f>IFERROR(__xludf.DUMMYFUNCTION("""COMPUTED_VALUE"""),42593.66666666667)</f>
        <v>42593.66667</v>
      </c>
      <c r="C2361" s="9">
        <f>IFERROR(__xludf.DUMMYFUNCTION("""COMPUTED_VALUE"""),65.67)</f>
        <v>65.67</v>
      </c>
      <c r="K2361" s="16"/>
      <c r="T2361" s="17"/>
      <c r="AC2361" s="17"/>
    </row>
    <row r="2362">
      <c r="B2362" s="11">
        <f>IFERROR(__xludf.DUMMYFUNCTION("""COMPUTED_VALUE"""),42592.66666666667)</f>
        <v>42592.66667</v>
      </c>
      <c r="C2362" s="9">
        <f>IFERROR(__xludf.DUMMYFUNCTION("""COMPUTED_VALUE"""),65.25)</f>
        <v>65.25</v>
      </c>
      <c r="K2362" s="16"/>
      <c r="T2362" s="17"/>
      <c r="AC2362" s="17"/>
    </row>
    <row r="2363">
      <c r="B2363" s="11">
        <f>IFERROR(__xludf.DUMMYFUNCTION("""COMPUTED_VALUE"""),42591.66666666667)</f>
        <v>42591.66667</v>
      </c>
      <c r="C2363" s="9">
        <f>IFERROR(__xludf.DUMMYFUNCTION("""COMPUTED_VALUE"""),65.55)</f>
        <v>65.55</v>
      </c>
      <c r="K2363" s="16"/>
      <c r="T2363" s="17"/>
      <c r="AC2363" s="17"/>
    </row>
    <row r="2364">
      <c r="B2364" s="11">
        <f>IFERROR(__xludf.DUMMYFUNCTION("""COMPUTED_VALUE"""),42590.66666666667)</f>
        <v>42590.66667</v>
      </c>
      <c r="C2364" s="9">
        <f>IFERROR(__xludf.DUMMYFUNCTION("""COMPUTED_VALUE"""),65.3)</f>
        <v>65.3</v>
      </c>
      <c r="K2364" s="16"/>
      <c r="T2364" s="17"/>
      <c r="AC2364" s="17"/>
    </row>
    <row r="2365">
      <c r="B2365" s="11">
        <f>IFERROR(__xludf.DUMMYFUNCTION("""COMPUTED_VALUE"""),42587.66666666667)</f>
        <v>42587.66667</v>
      </c>
      <c r="C2365" s="9">
        <f>IFERROR(__xludf.DUMMYFUNCTION("""COMPUTED_VALUE"""),65.52)</f>
        <v>65.52</v>
      </c>
      <c r="K2365" s="16"/>
      <c r="T2365" s="17"/>
      <c r="AC2365" s="17"/>
    </row>
    <row r="2366">
      <c r="B2366" s="11">
        <f>IFERROR(__xludf.DUMMYFUNCTION("""COMPUTED_VALUE"""),42586.66666666667)</f>
        <v>42586.66667</v>
      </c>
      <c r="C2366" s="9">
        <f>IFERROR(__xludf.DUMMYFUNCTION("""COMPUTED_VALUE"""),64.92)</f>
        <v>64.92</v>
      </c>
      <c r="K2366" s="16"/>
      <c r="T2366" s="17"/>
      <c r="AC2366" s="17"/>
    </row>
    <row r="2367">
      <c r="B2367" s="11">
        <f>IFERROR(__xludf.DUMMYFUNCTION("""COMPUTED_VALUE"""),42585.66666666667)</f>
        <v>42585.66667</v>
      </c>
      <c r="C2367" s="9">
        <f>IFERROR(__xludf.DUMMYFUNCTION("""COMPUTED_VALUE"""),64.93)</f>
        <v>64.93</v>
      </c>
      <c r="K2367" s="16"/>
      <c r="T2367" s="17"/>
      <c r="AC2367" s="17"/>
    </row>
    <row r="2368">
      <c r="B2368" s="11">
        <f>IFERROR(__xludf.DUMMYFUNCTION("""COMPUTED_VALUE"""),42584.66666666667)</f>
        <v>42584.66667</v>
      </c>
      <c r="C2368" s="9">
        <f>IFERROR(__xludf.DUMMYFUNCTION("""COMPUTED_VALUE"""),64.57)</f>
        <v>64.57</v>
      </c>
      <c r="K2368" s="16"/>
      <c r="T2368" s="17"/>
      <c r="AC2368" s="17"/>
    </row>
    <row r="2369">
      <c r="B2369" s="11">
        <f>IFERROR(__xludf.DUMMYFUNCTION("""COMPUTED_VALUE"""),42583.66666666667)</f>
        <v>42583.66667</v>
      </c>
      <c r="C2369" s="9">
        <f>IFERROR(__xludf.DUMMYFUNCTION("""COMPUTED_VALUE"""),65.04)</f>
        <v>65.04</v>
      </c>
      <c r="K2369" s="16"/>
      <c r="T2369" s="17"/>
      <c r="AC2369" s="17"/>
    </row>
    <row r="2370">
      <c r="B2370" s="11">
        <f>IFERROR(__xludf.DUMMYFUNCTION("""COMPUTED_VALUE"""),42580.66666666667)</f>
        <v>42580.66667</v>
      </c>
      <c r="C2370" s="9">
        <f>IFERROR(__xludf.DUMMYFUNCTION("""COMPUTED_VALUE"""),64.76)</f>
        <v>64.76</v>
      </c>
      <c r="K2370" s="16"/>
      <c r="T2370" s="17"/>
      <c r="AC2370" s="17"/>
    </row>
    <row r="2371">
      <c r="B2371" s="11">
        <f>IFERROR(__xludf.DUMMYFUNCTION("""COMPUTED_VALUE"""),42579.66666666667)</f>
        <v>42579.66667</v>
      </c>
      <c r="C2371" s="9">
        <f>IFERROR(__xludf.DUMMYFUNCTION("""COMPUTED_VALUE"""),64.49)</f>
        <v>64.49</v>
      </c>
      <c r="K2371" s="16"/>
      <c r="T2371" s="17"/>
      <c r="AC2371" s="17"/>
    </row>
    <row r="2372">
      <c r="B2372" s="11">
        <f>IFERROR(__xludf.DUMMYFUNCTION("""COMPUTED_VALUE"""),42578.66666666667)</f>
        <v>42578.66667</v>
      </c>
      <c r="C2372" s="9">
        <f>IFERROR(__xludf.DUMMYFUNCTION("""COMPUTED_VALUE"""),64.94)</f>
        <v>64.94</v>
      </c>
      <c r="K2372" s="16"/>
      <c r="T2372" s="17"/>
      <c r="AC2372" s="17"/>
    </row>
    <row r="2373">
      <c r="B2373" s="11">
        <f>IFERROR(__xludf.DUMMYFUNCTION("""COMPUTED_VALUE"""),42577.66666666667)</f>
        <v>42577.66667</v>
      </c>
      <c r="C2373" s="9">
        <f>IFERROR(__xludf.DUMMYFUNCTION("""COMPUTED_VALUE"""),64.66)</f>
        <v>64.66</v>
      </c>
      <c r="K2373" s="16"/>
      <c r="T2373" s="17"/>
      <c r="AC2373" s="17"/>
    </row>
    <row r="2374">
      <c r="B2374" s="11">
        <f>IFERROR(__xludf.DUMMYFUNCTION("""COMPUTED_VALUE"""),42576.66666666667)</f>
        <v>42576.66667</v>
      </c>
      <c r="C2374" s="9">
        <f>IFERROR(__xludf.DUMMYFUNCTION("""COMPUTED_VALUE"""),63.95)</f>
        <v>63.95</v>
      </c>
      <c r="K2374" s="16"/>
      <c r="T2374" s="17"/>
      <c r="AC2374" s="17"/>
    </row>
    <row r="2375">
      <c r="B2375" s="11">
        <f>IFERROR(__xludf.DUMMYFUNCTION("""COMPUTED_VALUE"""),42573.66666666667)</f>
        <v>42573.66667</v>
      </c>
      <c r="C2375" s="9">
        <f>IFERROR(__xludf.DUMMYFUNCTION("""COMPUTED_VALUE"""),64.14)</f>
        <v>64.14</v>
      </c>
      <c r="K2375" s="16"/>
      <c r="T2375" s="17"/>
      <c r="AC2375" s="17"/>
    </row>
    <row r="2376">
      <c r="B2376" s="11">
        <f>IFERROR(__xludf.DUMMYFUNCTION("""COMPUTED_VALUE"""),42572.66666666667)</f>
        <v>42572.66667</v>
      </c>
      <c r="C2376" s="9">
        <f>IFERROR(__xludf.DUMMYFUNCTION("""COMPUTED_VALUE"""),64.01)</f>
        <v>64.01</v>
      </c>
      <c r="K2376" s="16"/>
      <c r="T2376" s="17"/>
      <c r="AC2376" s="17"/>
    </row>
    <row r="2377">
      <c r="B2377" s="11">
        <f>IFERROR(__xludf.DUMMYFUNCTION("""COMPUTED_VALUE"""),42571.66666666667)</f>
        <v>42571.66667</v>
      </c>
      <c r="C2377" s="9">
        <f>IFERROR(__xludf.DUMMYFUNCTION("""COMPUTED_VALUE"""),64.53)</f>
        <v>64.53</v>
      </c>
      <c r="K2377" s="16"/>
      <c r="T2377" s="17"/>
      <c r="AC2377" s="17"/>
    </row>
    <row r="2378">
      <c r="B2378" s="11">
        <f>IFERROR(__xludf.DUMMYFUNCTION("""COMPUTED_VALUE"""),42570.66666666667)</f>
        <v>42570.66667</v>
      </c>
      <c r="C2378" s="9">
        <f>IFERROR(__xludf.DUMMYFUNCTION("""COMPUTED_VALUE"""),64.23)</f>
        <v>64.23</v>
      </c>
      <c r="K2378" s="16"/>
      <c r="T2378" s="17"/>
      <c r="AC2378" s="17"/>
    </row>
    <row r="2379">
      <c r="B2379" s="11">
        <f>IFERROR(__xludf.DUMMYFUNCTION("""COMPUTED_VALUE"""),42569.66666666667)</f>
        <v>42569.66667</v>
      </c>
      <c r="C2379" s="9">
        <f>IFERROR(__xludf.DUMMYFUNCTION("""COMPUTED_VALUE"""),63.96)</f>
        <v>63.96</v>
      </c>
      <c r="K2379" s="16"/>
      <c r="T2379" s="17"/>
      <c r="AC2379" s="17"/>
    </row>
    <row r="2380">
      <c r="B2380" s="11">
        <f>IFERROR(__xludf.DUMMYFUNCTION("""COMPUTED_VALUE"""),42566.66666666667)</f>
        <v>42566.66667</v>
      </c>
      <c r="C2380" s="9">
        <f>IFERROR(__xludf.DUMMYFUNCTION("""COMPUTED_VALUE"""),64.05)</f>
        <v>64.05</v>
      </c>
      <c r="K2380" s="16"/>
      <c r="T2380" s="17"/>
      <c r="AC2380" s="17"/>
    </row>
    <row r="2381">
      <c r="B2381" s="11">
        <f>IFERROR(__xludf.DUMMYFUNCTION("""COMPUTED_VALUE"""),42565.66666666667)</f>
        <v>42565.66667</v>
      </c>
      <c r="C2381" s="9">
        <f>IFERROR(__xludf.DUMMYFUNCTION("""COMPUTED_VALUE"""),63.89)</f>
        <v>63.89</v>
      </c>
      <c r="K2381" s="16"/>
      <c r="T2381" s="17"/>
      <c r="AC2381" s="17"/>
    </row>
    <row r="2382">
      <c r="B2382" s="11">
        <f>IFERROR(__xludf.DUMMYFUNCTION("""COMPUTED_VALUE"""),42564.66666666667)</f>
        <v>42564.66667</v>
      </c>
      <c r="C2382" s="9">
        <f>IFERROR(__xludf.DUMMYFUNCTION("""COMPUTED_VALUE"""),63.75)</f>
        <v>63.75</v>
      </c>
      <c r="K2382" s="16"/>
      <c r="T2382" s="17"/>
      <c r="AC2382" s="17"/>
    </row>
    <row r="2383">
      <c r="B2383" s="11">
        <f>IFERROR(__xludf.DUMMYFUNCTION("""COMPUTED_VALUE"""),42563.66666666667)</f>
        <v>42563.66667</v>
      </c>
      <c r="C2383" s="9">
        <f>IFERROR(__xludf.DUMMYFUNCTION("""COMPUTED_VALUE"""),63.83)</f>
        <v>63.83</v>
      </c>
      <c r="K2383" s="16"/>
      <c r="T2383" s="17"/>
      <c r="AC2383" s="17"/>
    </row>
    <row r="2384">
      <c r="B2384" s="11">
        <f>IFERROR(__xludf.DUMMYFUNCTION("""COMPUTED_VALUE"""),42562.66666666667)</f>
        <v>42562.66667</v>
      </c>
      <c r="C2384" s="9">
        <f>IFERROR(__xludf.DUMMYFUNCTION("""COMPUTED_VALUE"""),63.7)</f>
        <v>63.7</v>
      </c>
      <c r="K2384" s="16"/>
      <c r="T2384" s="17"/>
      <c r="AC2384" s="17"/>
    </row>
    <row r="2385">
      <c r="B2385" s="11">
        <f>IFERROR(__xludf.DUMMYFUNCTION("""COMPUTED_VALUE"""),42559.66666666667)</f>
        <v>42559.66667</v>
      </c>
      <c r="C2385" s="9">
        <f>IFERROR(__xludf.DUMMYFUNCTION("""COMPUTED_VALUE"""),63.24)</f>
        <v>63.24</v>
      </c>
      <c r="K2385" s="16"/>
      <c r="T2385" s="17"/>
      <c r="AC2385" s="17"/>
    </row>
    <row r="2386">
      <c r="B2386" s="11">
        <f>IFERROR(__xludf.DUMMYFUNCTION("""COMPUTED_VALUE"""),42558.66666666667)</f>
        <v>42558.66667</v>
      </c>
      <c r="C2386" s="9">
        <f>IFERROR(__xludf.DUMMYFUNCTION("""COMPUTED_VALUE"""),62.06)</f>
        <v>62.06</v>
      </c>
      <c r="K2386" s="16"/>
      <c r="T2386" s="17"/>
      <c r="AC2386" s="17"/>
    </row>
    <row r="2387">
      <c r="B2387" s="11">
        <f>IFERROR(__xludf.DUMMYFUNCTION("""COMPUTED_VALUE"""),42557.66666666667)</f>
        <v>42557.66667</v>
      </c>
      <c r="C2387" s="9">
        <f>IFERROR(__xludf.DUMMYFUNCTION("""COMPUTED_VALUE"""),62.06)</f>
        <v>62.06</v>
      </c>
      <c r="K2387" s="16"/>
      <c r="T2387" s="17"/>
      <c r="AC2387" s="17"/>
    </row>
    <row r="2388">
      <c r="B2388" s="11">
        <f>IFERROR(__xludf.DUMMYFUNCTION("""COMPUTED_VALUE"""),42556.66666666667)</f>
        <v>42556.66667</v>
      </c>
      <c r="C2388" s="9">
        <f>IFERROR(__xludf.DUMMYFUNCTION("""COMPUTED_VALUE"""),61.7)</f>
        <v>61.7</v>
      </c>
      <c r="K2388" s="16"/>
      <c r="T2388" s="17"/>
      <c r="AC2388" s="17"/>
    </row>
    <row r="2389">
      <c r="B2389" s="11">
        <f>IFERROR(__xludf.DUMMYFUNCTION("""COMPUTED_VALUE"""),42552.66666666667)</f>
        <v>42552.66667</v>
      </c>
      <c r="C2389" s="9">
        <f>IFERROR(__xludf.DUMMYFUNCTION("""COMPUTED_VALUE"""),62.59)</f>
        <v>62.59</v>
      </c>
      <c r="K2389" s="16"/>
      <c r="T2389" s="17"/>
      <c r="AC2389" s="17"/>
    </row>
    <row r="2390">
      <c r="B2390" s="11">
        <f>IFERROR(__xludf.DUMMYFUNCTION("""COMPUTED_VALUE"""),42551.66666666667)</f>
        <v>42551.66667</v>
      </c>
      <c r="C2390" s="9">
        <f>IFERROR(__xludf.DUMMYFUNCTION("""COMPUTED_VALUE"""),62.47)</f>
        <v>62.47</v>
      </c>
      <c r="K2390" s="16"/>
      <c r="T2390" s="17"/>
      <c r="AC2390" s="17"/>
    </row>
    <row r="2391">
      <c r="B2391" s="11">
        <f>IFERROR(__xludf.DUMMYFUNCTION("""COMPUTED_VALUE"""),42550.66666666667)</f>
        <v>42550.66667</v>
      </c>
      <c r="C2391" s="9">
        <f>IFERROR(__xludf.DUMMYFUNCTION("""COMPUTED_VALUE"""),61.06)</f>
        <v>61.06</v>
      </c>
      <c r="K2391" s="16"/>
      <c r="T2391" s="17"/>
      <c r="AC2391" s="17"/>
    </row>
    <row r="2392">
      <c r="B2392" s="11">
        <f>IFERROR(__xludf.DUMMYFUNCTION("""COMPUTED_VALUE"""),42549.66666666667)</f>
        <v>42549.66667</v>
      </c>
      <c r="C2392" s="9">
        <f>IFERROR(__xludf.DUMMYFUNCTION("""COMPUTED_VALUE"""),60.05)</f>
        <v>60.05</v>
      </c>
      <c r="K2392" s="16"/>
      <c r="T2392" s="17"/>
      <c r="AC2392" s="17"/>
    </row>
    <row r="2393">
      <c r="B2393" s="11">
        <f>IFERROR(__xludf.DUMMYFUNCTION("""COMPUTED_VALUE"""),42548.66666666667)</f>
        <v>42548.66667</v>
      </c>
      <c r="C2393" s="9">
        <f>IFERROR(__xludf.DUMMYFUNCTION("""COMPUTED_VALUE"""),59.5)</f>
        <v>59.5</v>
      </c>
      <c r="K2393" s="16"/>
      <c r="T2393" s="17"/>
      <c r="AC2393" s="17"/>
    </row>
    <row r="2394">
      <c r="B2394" s="11">
        <f>IFERROR(__xludf.DUMMYFUNCTION("""COMPUTED_VALUE"""),42545.66666666667)</f>
        <v>42545.66667</v>
      </c>
      <c r="C2394" s="9">
        <f>IFERROR(__xludf.DUMMYFUNCTION("""COMPUTED_VALUE"""),60.87)</f>
        <v>60.87</v>
      </c>
      <c r="K2394" s="16"/>
      <c r="T2394" s="17"/>
      <c r="AC2394" s="17"/>
    </row>
    <row r="2395">
      <c r="B2395" s="11">
        <f>IFERROR(__xludf.DUMMYFUNCTION("""COMPUTED_VALUE"""),42544.66666666667)</f>
        <v>42544.66667</v>
      </c>
      <c r="C2395" s="9">
        <f>IFERROR(__xludf.DUMMYFUNCTION("""COMPUTED_VALUE"""),62.82)</f>
        <v>62.82</v>
      </c>
      <c r="K2395" s="16"/>
      <c r="T2395" s="17"/>
      <c r="AC2395" s="17"/>
    </row>
    <row r="2396">
      <c r="B2396" s="11">
        <f>IFERROR(__xludf.DUMMYFUNCTION("""COMPUTED_VALUE"""),42543.66666666667)</f>
        <v>42543.66667</v>
      </c>
      <c r="C2396" s="9">
        <f>IFERROR(__xludf.DUMMYFUNCTION("""COMPUTED_VALUE"""),62.21)</f>
        <v>62.21</v>
      </c>
      <c r="K2396" s="16"/>
      <c r="T2396" s="17"/>
      <c r="AC2396" s="17"/>
    </row>
    <row r="2397">
      <c r="B2397" s="11">
        <f>IFERROR(__xludf.DUMMYFUNCTION("""COMPUTED_VALUE"""),42542.66666666667)</f>
        <v>42542.66667</v>
      </c>
      <c r="C2397" s="9">
        <f>IFERROR(__xludf.DUMMYFUNCTION("""COMPUTED_VALUE"""),62.3)</f>
        <v>62.3</v>
      </c>
      <c r="K2397" s="16"/>
      <c r="T2397" s="17"/>
      <c r="AC2397" s="17"/>
    </row>
    <row r="2398">
      <c r="B2398" s="11">
        <f>IFERROR(__xludf.DUMMYFUNCTION("""COMPUTED_VALUE"""),42541.66666666667)</f>
        <v>42541.66667</v>
      </c>
      <c r="C2398" s="9">
        <f>IFERROR(__xludf.DUMMYFUNCTION("""COMPUTED_VALUE"""),62.61)</f>
        <v>62.61</v>
      </c>
      <c r="K2398" s="16"/>
      <c r="T2398" s="17"/>
      <c r="AC2398" s="17"/>
    </row>
    <row r="2399">
      <c r="B2399" s="11">
        <f>IFERROR(__xludf.DUMMYFUNCTION("""COMPUTED_VALUE"""),42538.66666666667)</f>
        <v>42538.66667</v>
      </c>
      <c r="C2399" s="9">
        <f>IFERROR(__xludf.DUMMYFUNCTION("""COMPUTED_VALUE"""),62.03)</f>
        <v>62.03</v>
      </c>
      <c r="K2399" s="16"/>
      <c r="T2399" s="17"/>
      <c r="AC2399" s="17"/>
    </row>
    <row r="2400">
      <c r="B2400" s="11">
        <f>IFERROR(__xludf.DUMMYFUNCTION("""COMPUTED_VALUE"""),42537.66666666667)</f>
        <v>42537.66667</v>
      </c>
      <c r="C2400" s="9">
        <f>IFERROR(__xludf.DUMMYFUNCTION("""COMPUTED_VALUE"""),62.05)</f>
        <v>62.05</v>
      </c>
      <c r="K2400" s="16"/>
      <c r="T2400" s="17"/>
      <c r="AC2400" s="17"/>
    </row>
    <row r="2401">
      <c r="B2401" s="11">
        <f>IFERROR(__xludf.DUMMYFUNCTION("""COMPUTED_VALUE"""),42536.66666666667)</f>
        <v>42536.66667</v>
      </c>
      <c r="C2401" s="9">
        <f>IFERROR(__xludf.DUMMYFUNCTION("""COMPUTED_VALUE"""),62.15)</f>
        <v>62.15</v>
      </c>
      <c r="K2401" s="16"/>
      <c r="T2401" s="17"/>
      <c r="AC2401" s="17"/>
    </row>
    <row r="2402">
      <c r="B2402" s="11">
        <f>IFERROR(__xludf.DUMMYFUNCTION("""COMPUTED_VALUE"""),42535.66666666667)</f>
        <v>42535.66667</v>
      </c>
      <c r="C2402" s="9">
        <f>IFERROR(__xludf.DUMMYFUNCTION("""COMPUTED_VALUE"""),62.12)</f>
        <v>62.12</v>
      </c>
      <c r="K2402" s="16"/>
      <c r="T2402" s="17"/>
      <c r="AC2402" s="17"/>
    </row>
    <row r="2403">
      <c r="B2403" s="11">
        <f>IFERROR(__xludf.DUMMYFUNCTION("""COMPUTED_VALUE"""),42534.66666666667)</f>
        <v>42534.66667</v>
      </c>
      <c r="C2403" s="9">
        <f>IFERROR(__xludf.DUMMYFUNCTION("""COMPUTED_VALUE"""),62.15)</f>
        <v>62.15</v>
      </c>
      <c r="K2403" s="16"/>
      <c r="T2403" s="17"/>
      <c r="AC2403" s="17"/>
    </row>
    <row r="2404">
      <c r="B2404" s="11">
        <f>IFERROR(__xludf.DUMMYFUNCTION("""COMPUTED_VALUE"""),42531.66666666667)</f>
        <v>42531.66667</v>
      </c>
      <c r="C2404" s="9">
        <f>IFERROR(__xludf.DUMMYFUNCTION("""COMPUTED_VALUE"""),62.95)</f>
        <v>62.95</v>
      </c>
      <c r="K2404" s="16"/>
      <c r="T2404" s="17"/>
      <c r="AC2404" s="17"/>
    </row>
    <row r="2405">
      <c r="B2405" s="11">
        <f>IFERROR(__xludf.DUMMYFUNCTION("""COMPUTED_VALUE"""),42530.66666666667)</f>
        <v>42530.66667</v>
      </c>
      <c r="C2405" s="9">
        <f>IFERROR(__xludf.DUMMYFUNCTION("""COMPUTED_VALUE"""),63.69)</f>
        <v>63.69</v>
      </c>
      <c r="K2405" s="16"/>
      <c r="T2405" s="17"/>
      <c r="AC2405" s="17"/>
    </row>
    <row r="2406">
      <c r="B2406" s="11">
        <f>IFERROR(__xludf.DUMMYFUNCTION("""COMPUTED_VALUE"""),42529.66666666667)</f>
        <v>42529.66667</v>
      </c>
      <c r="C2406" s="9">
        <f>IFERROR(__xludf.DUMMYFUNCTION("""COMPUTED_VALUE"""),63.62)</f>
        <v>63.62</v>
      </c>
      <c r="K2406" s="16"/>
      <c r="T2406" s="17"/>
      <c r="AC2406" s="17"/>
    </row>
    <row r="2407">
      <c r="B2407" s="11">
        <f>IFERROR(__xludf.DUMMYFUNCTION("""COMPUTED_VALUE"""),42528.66666666667)</f>
        <v>42528.66667</v>
      </c>
      <c r="C2407" s="9">
        <f>IFERROR(__xludf.DUMMYFUNCTION("""COMPUTED_VALUE"""),63.3)</f>
        <v>63.3</v>
      </c>
      <c r="K2407" s="16"/>
      <c r="T2407" s="17"/>
      <c r="AC2407" s="17"/>
    </row>
    <row r="2408">
      <c r="B2408" s="11">
        <f>IFERROR(__xludf.DUMMYFUNCTION("""COMPUTED_VALUE"""),42527.66666666667)</f>
        <v>42527.66667</v>
      </c>
      <c r="C2408" s="9">
        <f>IFERROR(__xludf.DUMMYFUNCTION("""COMPUTED_VALUE"""),63.09)</f>
        <v>63.09</v>
      </c>
      <c r="K2408" s="16"/>
      <c r="T2408" s="17"/>
      <c r="AC2408" s="17"/>
    </row>
    <row r="2409">
      <c r="B2409" s="11">
        <f>IFERROR(__xludf.DUMMYFUNCTION("""COMPUTED_VALUE"""),42524.66666666667)</f>
        <v>42524.66667</v>
      </c>
      <c r="C2409" s="9">
        <f>IFERROR(__xludf.DUMMYFUNCTION("""COMPUTED_VALUE"""),62.5)</f>
        <v>62.5</v>
      </c>
      <c r="K2409" s="16"/>
      <c r="T2409" s="17"/>
      <c r="AC2409" s="17"/>
    </row>
    <row r="2410">
      <c r="B2410" s="11">
        <f>IFERROR(__xludf.DUMMYFUNCTION("""COMPUTED_VALUE"""),42523.66666666667)</f>
        <v>42523.66667</v>
      </c>
      <c r="C2410" s="9">
        <f>IFERROR(__xludf.DUMMYFUNCTION("""COMPUTED_VALUE"""),62.55)</f>
        <v>62.55</v>
      </c>
      <c r="K2410" s="16"/>
      <c r="T2410" s="17"/>
      <c r="AC2410" s="17"/>
    </row>
    <row r="2411">
      <c r="B2411" s="11">
        <f>IFERROR(__xludf.DUMMYFUNCTION("""COMPUTED_VALUE"""),42522.66666666667)</f>
        <v>42522.66667</v>
      </c>
      <c r="C2411" s="9">
        <f>IFERROR(__xludf.DUMMYFUNCTION("""COMPUTED_VALUE"""),62.34)</f>
        <v>62.34</v>
      </c>
      <c r="K2411" s="16"/>
      <c r="T2411" s="17"/>
      <c r="AC2411" s="17"/>
    </row>
    <row r="2412">
      <c r="B2412" s="11">
        <f>IFERROR(__xludf.DUMMYFUNCTION("""COMPUTED_VALUE"""),42521.66666666667)</f>
        <v>42521.66667</v>
      </c>
      <c r="C2412" s="9">
        <f>IFERROR(__xludf.DUMMYFUNCTION("""COMPUTED_VALUE"""),62.02)</f>
        <v>62.02</v>
      </c>
      <c r="K2412" s="16"/>
      <c r="T2412" s="17"/>
      <c r="AC2412" s="17"/>
    </row>
    <row r="2413">
      <c r="B2413" s="11">
        <f>IFERROR(__xludf.DUMMYFUNCTION("""COMPUTED_VALUE"""),42517.66666666667)</f>
        <v>42517.66667</v>
      </c>
      <c r="C2413" s="9">
        <f>IFERROR(__xludf.DUMMYFUNCTION("""COMPUTED_VALUE"""),62.37)</f>
        <v>62.37</v>
      </c>
      <c r="K2413" s="16"/>
      <c r="T2413" s="17"/>
      <c r="AC2413" s="17"/>
    </row>
    <row r="2414">
      <c r="B2414" s="11">
        <f>IFERROR(__xludf.DUMMYFUNCTION("""COMPUTED_VALUE"""),42516.66666666667)</f>
        <v>42516.66667</v>
      </c>
      <c r="C2414" s="9">
        <f>IFERROR(__xludf.DUMMYFUNCTION("""COMPUTED_VALUE"""),62.27)</f>
        <v>62.27</v>
      </c>
      <c r="K2414" s="16"/>
      <c r="T2414" s="17"/>
      <c r="AC2414" s="17"/>
    </row>
    <row r="2415">
      <c r="B2415" s="11">
        <f>IFERROR(__xludf.DUMMYFUNCTION("""COMPUTED_VALUE"""),42515.66666666667)</f>
        <v>42515.66667</v>
      </c>
      <c r="C2415" s="9">
        <f>IFERROR(__xludf.DUMMYFUNCTION("""COMPUTED_VALUE"""),62.09)</f>
        <v>62.09</v>
      </c>
      <c r="K2415" s="16"/>
      <c r="T2415" s="17"/>
      <c r="AC2415" s="17"/>
    </row>
    <row r="2416">
      <c r="B2416" s="11">
        <f>IFERROR(__xludf.DUMMYFUNCTION("""COMPUTED_VALUE"""),42514.66666666667)</f>
        <v>42514.66667</v>
      </c>
      <c r="C2416" s="9">
        <f>IFERROR(__xludf.DUMMYFUNCTION("""COMPUTED_VALUE"""),61.86)</f>
        <v>61.86</v>
      </c>
      <c r="K2416" s="16"/>
      <c r="T2416" s="17"/>
      <c r="AC2416" s="17"/>
    </row>
    <row r="2417">
      <c r="B2417" s="11">
        <f>IFERROR(__xludf.DUMMYFUNCTION("""COMPUTED_VALUE"""),42513.66666666667)</f>
        <v>42513.66667</v>
      </c>
      <c r="C2417" s="9">
        <f>IFERROR(__xludf.DUMMYFUNCTION("""COMPUTED_VALUE"""),61.21)</f>
        <v>61.21</v>
      </c>
      <c r="K2417" s="16"/>
      <c r="T2417" s="17"/>
      <c r="AC2417" s="17"/>
    </row>
    <row r="2418">
      <c r="B2418" s="11">
        <f>IFERROR(__xludf.DUMMYFUNCTION("""COMPUTED_VALUE"""),42510.66666666667)</f>
        <v>42510.66667</v>
      </c>
      <c r="C2418" s="9">
        <f>IFERROR(__xludf.DUMMYFUNCTION("""COMPUTED_VALUE"""),61.67)</f>
        <v>61.67</v>
      </c>
      <c r="K2418" s="16"/>
      <c r="T2418" s="17"/>
      <c r="AC2418" s="17"/>
    </row>
    <row r="2419">
      <c r="B2419" s="11">
        <f>IFERROR(__xludf.DUMMYFUNCTION("""COMPUTED_VALUE"""),42509.66666666667)</f>
        <v>42509.66667</v>
      </c>
      <c r="C2419" s="9">
        <f>IFERROR(__xludf.DUMMYFUNCTION("""COMPUTED_VALUE"""),61.08)</f>
        <v>61.08</v>
      </c>
      <c r="K2419" s="16"/>
      <c r="T2419" s="17"/>
      <c r="AC2419" s="17"/>
    </row>
    <row r="2420">
      <c r="B2420" s="11">
        <f>IFERROR(__xludf.DUMMYFUNCTION("""COMPUTED_VALUE"""),42508.66666666667)</f>
        <v>42508.66667</v>
      </c>
      <c r="C2420" s="9">
        <f>IFERROR(__xludf.DUMMYFUNCTION("""COMPUTED_VALUE"""),61.64)</f>
        <v>61.64</v>
      </c>
      <c r="K2420" s="16"/>
      <c r="T2420" s="17"/>
      <c r="AC2420" s="17"/>
    </row>
    <row r="2421">
      <c r="B2421" s="11">
        <f>IFERROR(__xludf.DUMMYFUNCTION("""COMPUTED_VALUE"""),42507.66666666667)</f>
        <v>42507.66667</v>
      </c>
      <c r="C2421" s="9">
        <f>IFERROR(__xludf.DUMMYFUNCTION("""COMPUTED_VALUE"""),61.69)</f>
        <v>61.69</v>
      </c>
      <c r="K2421" s="16"/>
      <c r="T2421" s="17"/>
      <c r="AC2421" s="17"/>
    </row>
    <row r="2422">
      <c r="B2422" s="11">
        <f>IFERROR(__xludf.DUMMYFUNCTION("""COMPUTED_VALUE"""),42506.66666666667)</f>
        <v>42506.66667</v>
      </c>
      <c r="C2422" s="9">
        <f>IFERROR(__xludf.DUMMYFUNCTION("""COMPUTED_VALUE"""),62.14)</f>
        <v>62.14</v>
      </c>
      <c r="K2422" s="16"/>
      <c r="T2422" s="17"/>
      <c r="AC2422" s="17"/>
    </row>
    <row r="2423">
      <c r="B2423" s="11">
        <f>IFERROR(__xludf.DUMMYFUNCTION("""COMPUTED_VALUE"""),42503.66666666667)</f>
        <v>42503.66667</v>
      </c>
      <c r="C2423" s="9">
        <f>IFERROR(__xludf.DUMMYFUNCTION("""COMPUTED_VALUE"""),61.41)</f>
        <v>61.41</v>
      </c>
      <c r="K2423" s="16"/>
      <c r="T2423" s="17"/>
      <c r="AC2423" s="17"/>
    </row>
    <row r="2424">
      <c r="B2424" s="11">
        <f>IFERROR(__xludf.DUMMYFUNCTION("""COMPUTED_VALUE"""),42502.66666666667)</f>
        <v>42502.66667</v>
      </c>
      <c r="C2424" s="9">
        <f>IFERROR(__xludf.DUMMYFUNCTION("""COMPUTED_VALUE"""),62.1)</f>
        <v>62.1</v>
      </c>
      <c r="K2424" s="16"/>
      <c r="T2424" s="17"/>
      <c r="AC2424" s="17"/>
    </row>
    <row r="2425">
      <c r="B2425" s="11">
        <f>IFERROR(__xludf.DUMMYFUNCTION("""COMPUTED_VALUE"""),42501.66666666667)</f>
        <v>42501.66667</v>
      </c>
      <c r="C2425" s="9">
        <f>IFERROR(__xludf.DUMMYFUNCTION("""COMPUTED_VALUE"""),61.85)</f>
        <v>61.85</v>
      </c>
      <c r="K2425" s="16"/>
      <c r="T2425" s="17"/>
      <c r="AC2425" s="17"/>
    </row>
    <row r="2426">
      <c r="B2426" s="11">
        <f>IFERROR(__xludf.DUMMYFUNCTION("""COMPUTED_VALUE"""),42500.66666666667)</f>
        <v>42500.66667</v>
      </c>
      <c r="C2426" s="9">
        <f>IFERROR(__xludf.DUMMYFUNCTION("""COMPUTED_VALUE"""),62.45)</f>
        <v>62.45</v>
      </c>
      <c r="K2426" s="16"/>
      <c r="T2426" s="17"/>
      <c r="AC2426" s="17"/>
    </row>
    <row r="2427">
      <c r="B2427" s="11">
        <f>IFERROR(__xludf.DUMMYFUNCTION("""COMPUTED_VALUE"""),42499.66666666667)</f>
        <v>42499.66667</v>
      </c>
      <c r="C2427" s="9">
        <f>IFERROR(__xludf.DUMMYFUNCTION("""COMPUTED_VALUE"""),61.16)</f>
        <v>61.16</v>
      </c>
      <c r="K2427" s="16"/>
      <c r="T2427" s="17"/>
      <c r="AC2427" s="17"/>
    </row>
    <row r="2428">
      <c r="B2428" s="11">
        <f>IFERROR(__xludf.DUMMYFUNCTION("""COMPUTED_VALUE"""),42496.66666666667)</f>
        <v>42496.66667</v>
      </c>
      <c r="C2428" s="9">
        <f>IFERROR(__xludf.DUMMYFUNCTION("""COMPUTED_VALUE"""),61.2)</f>
        <v>61.2</v>
      </c>
      <c r="K2428" s="16"/>
      <c r="T2428" s="17"/>
      <c r="AC2428" s="17"/>
    </row>
    <row r="2429">
      <c r="B2429" s="11">
        <f>IFERROR(__xludf.DUMMYFUNCTION("""COMPUTED_VALUE"""),42495.66666666667)</f>
        <v>42495.66667</v>
      </c>
      <c r="C2429" s="9">
        <f>IFERROR(__xludf.DUMMYFUNCTION("""COMPUTED_VALUE"""),60.77)</f>
        <v>60.77</v>
      </c>
      <c r="K2429" s="16"/>
      <c r="T2429" s="17"/>
      <c r="AC2429" s="17"/>
    </row>
    <row r="2430">
      <c r="B2430" s="11">
        <f>IFERROR(__xludf.DUMMYFUNCTION("""COMPUTED_VALUE"""),42494.66666666667)</f>
        <v>42494.66667</v>
      </c>
      <c r="C2430" s="9">
        <f>IFERROR(__xludf.DUMMYFUNCTION("""COMPUTED_VALUE"""),60.9)</f>
        <v>60.9</v>
      </c>
      <c r="K2430" s="16"/>
      <c r="T2430" s="17"/>
      <c r="AC2430" s="17"/>
    </row>
    <row r="2431">
      <c r="B2431" s="11">
        <f>IFERROR(__xludf.DUMMYFUNCTION("""COMPUTED_VALUE"""),42493.66666666667)</f>
        <v>42493.66667</v>
      </c>
      <c r="C2431" s="9">
        <f>IFERROR(__xludf.DUMMYFUNCTION("""COMPUTED_VALUE"""),60.9)</f>
        <v>60.9</v>
      </c>
      <c r="K2431" s="16"/>
      <c r="T2431" s="17"/>
      <c r="AC2431" s="17"/>
    </row>
    <row r="2432">
      <c r="B2432" s="11">
        <f>IFERROR(__xludf.DUMMYFUNCTION("""COMPUTED_VALUE"""),42492.66666666667)</f>
        <v>42492.66667</v>
      </c>
      <c r="C2432" s="9">
        <f>IFERROR(__xludf.DUMMYFUNCTION("""COMPUTED_VALUE"""),61.33)</f>
        <v>61.33</v>
      </c>
      <c r="K2432" s="16"/>
      <c r="T2432" s="17"/>
      <c r="AC2432" s="17"/>
    </row>
    <row r="2433">
      <c r="B2433" s="11">
        <f>IFERROR(__xludf.DUMMYFUNCTION("""COMPUTED_VALUE"""),42489.66666666667)</f>
        <v>42489.66667</v>
      </c>
      <c r="C2433" s="9">
        <f>IFERROR(__xludf.DUMMYFUNCTION("""COMPUTED_VALUE"""),60.94)</f>
        <v>60.94</v>
      </c>
      <c r="K2433" s="16"/>
      <c r="T2433" s="17"/>
      <c r="AC2433" s="17"/>
    </row>
    <row r="2434">
      <c r="B2434" s="11">
        <f>IFERROR(__xludf.DUMMYFUNCTION("""COMPUTED_VALUE"""),42488.66666666667)</f>
        <v>42488.66667</v>
      </c>
      <c r="C2434" s="9">
        <f>IFERROR(__xludf.DUMMYFUNCTION("""COMPUTED_VALUE"""),61.25)</f>
        <v>61.25</v>
      </c>
      <c r="K2434" s="16"/>
      <c r="T2434" s="17"/>
      <c r="AC2434" s="17"/>
    </row>
    <row r="2435">
      <c r="B2435" s="11">
        <f>IFERROR(__xludf.DUMMYFUNCTION("""COMPUTED_VALUE"""),42487.66666666667)</f>
        <v>42487.66667</v>
      </c>
      <c r="C2435" s="9">
        <f>IFERROR(__xludf.DUMMYFUNCTION("""COMPUTED_VALUE"""),61.75)</f>
        <v>61.75</v>
      </c>
      <c r="K2435" s="16"/>
      <c r="T2435" s="17"/>
      <c r="AC2435" s="17"/>
    </row>
    <row r="2436">
      <c r="B2436" s="11">
        <f>IFERROR(__xludf.DUMMYFUNCTION("""COMPUTED_VALUE"""),42486.66666666667)</f>
        <v>42486.66667</v>
      </c>
      <c r="C2436" s="9">
        <f>IFERROR(__xludf.DUMMYFUNCTION("""COMPUTED_VALUE"""),60.84)</f>
        <v>60.84</v>
      </c>
      <c r="K2436" s="16"/>
      <c r="T2436" s="17"/>
      <c r="AC2436" s="17"/>
    </row>
    <row r="2437">
      <c r="B2437" s="11">
        <f>IFERROR(__xludf.DUMMYFUNCTION("""COMPUTED_VALUE"""),42485.66666666667)</f>
        <v>42485.66667</v>
      </c>
      <c r="C2437" s="9">
        <f>IFERROR(__xludf.DUMMYFUNCTION("""COMPUTED_VALUE"""),59.82)</f>
        <v>59.82</v>
      </c>
      <c r="K2437" s="16"/>
      <c r="T2437" s="17"/>
      <c r="AC2437" s="17"/>
    </row>
    <row r="2438">
      <c r="B2438" s="11">
        <f>IFERROR(__xludf.DUMMYFUNCTION("""COMPUTED_VALUE"""),42482.66666666667)</f>
        <v>42482.66667</v>
      </c>
      <c r="C2438" s="9">
        <f>IFERROR(__xludf.DUMMYFUNCTION("""COMPUTED_VALUE"""),60.37)</f>
        <v>60.37</v>
      </c>
      <c r="K2438" s="16"/>
      <c r="T2438" s="17"/>
      <c r="AC2438" s="17"/>
    </row>
    <row r="2439">
      <c r="B2439" s="11">
        <f>IFERROR(__xludf.DUMMYFUNCTION("""COMPUTED_VALUE"""),42481.66666666667)</f>
        <v>42481.66667</v>
      </c>
      <c r="C2439" s="9">
        <f>IFERROR(__xludf.DUMMYFUNCTION("""COMPUTED_VALUE"""),60.03)</f>
        <v>60.03</v>
      </c>
      <c r="K2439" s="16"/>
      <c r="T2439" s="17"/>
      <c r="AC2439" s="17"/>
    </row>
    <row r="2440">
      <c r="B2440" s="11">
        <f>IFERROR(__xludf.DUMMYFUNCTION("""COMPUTED_VALUE"""),42480.66666666667)</f>
        <v>42480.66667</v>
      </c>
      <c r="C2440" s="9">
        <f>IFERROR(__xludf.DUMMYFUNCTION("""COMPUTED_VALUE"""),60.23)</f>
        <v>60.23</v>
      </c>
      <c r="K2440" s="16"/>
      <c r="T2440" s="17"/>
      <c r="AC2440" s="17"/>
    </row>
    <row r="2441">
      <c r="B2441" s="11">
        <f>IFERROR(__xludf.DUMMYFUNCTION("""COMPUTED_VALUE"""),42479.66666666667)</f>
        <v>42479.66667</v>
      </c>
      <c r="C2441" s="9">
        <f>IFERROR(__xludf.DUMMYFUNCTION("""COMPUTED_VALUE"""),60.18)</f>
        <v>60.18</v>
      </c>
      <c r="K2441" s="16"/>
      <c r="T2441" s="17"/>
      <c r="AC2441" s="17"/>
    </row>
    <row r="2442">
      <c r="B2442" s="11">
        <f>IFERROR(__xludf.DUMMYFUNCTION("""COMPUTED_VALUE"""),42478.66666666667)</f>
        <v>42478.66667</v>
      </c>
      <c r="C2442" s="9">
        <f>IFERROR(__xludf.DUMMYFUNCTION("""COMPUTED_VALUE"""),60.13)</f>
        <v>60.13</v>
      </c>
      <c r="K2442" s="16"/>
      <c r="T2442" s="17"/>
      <c r="AC2442" s="17"/>
    </row>
    <row r="2443">
      <c r="B2443" s="11">
        <f>IFERROR(__xludf.DUMMYFUNCTION("""COMPUTED_VALUE"""),42475.66666666667)</f>
        <v>42475.66667</v>
      </c>
      <c r="C2443" s="9">
        <f>IFERROR(__xludf.DUMMYFUNCTION("""COMPUTED_VALUE"""),59.79)</f>
        <v>59.79</v>
      </c>
      <c r="K2443" s="16"/>
      <c r="T2443" s="17"/>
      <c r="AC2443" s="17"/>
    </row>
    <row r="2444">
      <c r="B2444" s="11">
        <f>IFERROR(__xludf.DUMMYFUNCTION("""COMPUTED_VALUE"""),42474.66666666667)</f>
        <v>42474.66667</v>
      </c>
      <c r="C2444" s="9">
        <f>IFERROR(__xludf.DUMMYFUNCTION("""COMPUTED_VALUE"""),59.74)</f>
        <v>59.74</v>
      </c>
      <c r="K2444" s="16"/>
      <c r="T2444" s="17"/>
      <c r="AC2444" s="17"/>
    </row>
    <row r="2445">
      <c r="B2445" s="11">
        <f>IFERROR(__xludf.DUMMYFUNCTION("""COMPUTED_VALUE"""),42473.66666666667)</f>
        <v>42473.66667</v>
      </c>
      <c r="C2445" s="9">
        <f>IFERROR(__xludf.DUMMYFUNCTION("""COMPUTED_VALUE"""),59.85)</f>
        <v>59.85</v>
      </c>
      <c r="K2445" s="16"/>
      <c r="T2445" s="17"/>
      <c r="AC2445" s="17"/>
    </row>
    <row r="2446">
      <c r="B2446" s="11">
        <f>IFERROR(__xludf.DUMMYFUNCTION("""COMPUTED_VALUE"""),42472.66666666667)</f>
        <v>42472.66667</v>
      </c>
      <c r="C2446" s="9">
        <f>IFERROR(__xludf.DUMMYFUNCTION("""COMPUTED_VALUE"""),59.04)</f>
        <v>59.04</v>
      </c>
      <c r="K2446" s="16"/>
      <c r="T2446" s="17"/>
      <c r="AC2446" s="17"/>
    </row>
    <row r="2447">
      <c r="B2447" s="11">
        <f>IFERROR(__xludf.DUMMYFUNCTION("""COMPUTED_VALUE"""),42471.66666666667)</f>
        <v>42471.66667</v>
      </c>
      <c r="C2447" s="9">
        <f>IFERROR(__xludf.DUMMYFUNCTION("""COMPUTED_VALUE"""),58.6)</f>
        <v>58.6</v>
      </c>
      <c r="K2447" s="16"/>
      <c r="T2447" s="17"/>
      <c r="AC2447" s="17"/>
    </row>
    <row r="2448">
      <c r="B2448" s="11">
        <f>IFERROR(__xludf.DUMMYFUNCTION("""COMPUTED_VALUE"""),42468.66666666667)</f>
        <v>42468.66667</v>
      </c>
      <c r="C2448" s="9">
        <f>IFERROR(__xludf.DUMMYFUNCTION("""COMPUTED_VALUE"""),58.66)</f>
        <v>58.66</v>
      </c>
      <c r="K2448" s="16"/>
      <c r="T2448" s="17"/>
      <c r="AC2448" s="17"/>
    </row>
    <row r="2449">
      <c r="B2449" s="11">
        <f>IFERROR(__xludf.DUMMYFUNCTION("""COMPUTED_VALUE"""),42467.66666666667)</f>
        <v>42467.66667</v>
      </c>
      <c r="C2449" s="9">
        <f>IFERROR(__xludf.DUMMYFUNCTION("""COMPUTED_VALUE"""),58.55)</f>
        <v>58.55</v>
      </c>
      <c r="K2449" s="16"/>
      <c r="T2449" s="17"/>
      <c r="AC2449" s="17"/>
    </row>
    <row r="2450">
      <c r="B2450" s="11">
        <f>IFERROR(__xludf.DUMMYFUNCTION("""COMPUTED_VALUE"""),42466.66666666667)</f>
        <v>42466.66667</v>
      </c>
      <c r="C2450" s="9">
        <f>IFERROR(__xludf.DUMMYFUNCTION("""COMPUTED_VALUE"""),58.72)</f>
        <v>58.72</v>
      </c>
      <c r="K2450" s="16"/>
      <c r="T2450" s="17"/>
      <c r="AC2450" s="17"/>
    </row>
    <row r="2451">
      <c r="B2451" s="11">
        <f>IFERROR(__xludf.DUMMYFUNCTION("""COMPUTED_VALUE"""),42465.66666666667)</f>
        <v>42465.66667</v>
      </c>
      <c r="C2451" s="9">
        <f>IFERROR(__xludf.DUMMYFUNCTION("""COMPUTED_VALUE"""),58.21)</f>
        <v>58.21</v>
      </c>
      <c r="K2451" s="16"/>
      <c r="T2451" s="17"/>
      <c r="AC2451" s="17"/>
    </row>
    <row r="2452">
      <c r="B2452" s="11">
        <f>IFERROR(__xludf.DUMMYFUNCTION("""COMPUTED_VALUE"""),42464.66666666667)</f>
        <v>42464.66667</v>
      </c>
      <c r="C2452" s="9">
        <f>IFERROR(__xludf.DUMMYFUNCTION("""COMPUTED_VALUE"""),58.17)</f>
        <v>58.17</v>
      </c>
      <c r="K2452" s="16"/>
      <c r="T2452" s="17"/>
      <c r="AC2452" s="17"/>
    </row>
    <row r="2453">
      <c r="B2453" s="11">
        <f>IFERROR(__xludf.DUMMYFUNCTION("""COMPUTED_VALUE"""),42461.66666666667)</f>
        <v>42461.66667</v>
      </c>
      <c r="C2453" s="9">
        <f>IFERROR(__xludf.DUMMYFUNCTION("""COMPUTED_VALUE"""),58.64)</f>
        <v>58.64</v>
      </c>
      <c r="K2453" s="16"/>
      <c r="T2453" s="17"/>
      <c r="AC2453" s="17"/>
    </row>
    <row r="2454">
      <c r="B2454" s="11">
        <f>IFERROR(__xludf.DUMMYFUNCTION("""COMPUTED_VALUE"""),42460.66666666667)</f>
        <v>42460.66667</v>
      </c>
      <c r="C2454" s="9">
        <f>IFERROR(__xludf.DUMMYFUNCTION("""COMPUTED_VALUE"""),58.45)</f>
        <v>58.45</v>
      </c>
      <c r="K2454" s="16"/>
      <c r="T2454" s="17"/>
      <c r="AC2454" s="17"/>
    </row>
    <row r="2455">
      <c r="B2455" s="11">
        <f>IFERROR(__xludf.DUMMYFUNCTION("""COMPUTED_VALUE"""),42459.66666666667)</f>
        <v>42459.66667</v>
      </c>
      <c r="C2455" s="9">
        <f>IFERROR(__xludf.DUMMYFUNCTION("""COMPUTED_VALUE"""),58.8)</f>
        <v>58.8</v>
      </c>
      <c r="K2455" s="16"/>
      <c r="T2455" s="17"/>
      <c r="AC2455" s="17"/>
    </row>
    <row r="2456">
      <c r="B2456" s="11">
        <f>IFERROR(__xludf.DUMMYFUNCTION("""COMPUTED_VALUE"""),42458.66666666667)</f>
        <v>42458.66667</v>
      </c>
      <c r="C2456" s="9">
        <f>IFERROR(__xludf.DUMMYFUNCTION("""COMPUTED_VALUE"""),58.74)</f>
        <v>58.74</v>
      </c>
      <c r="K2456" s="16"/>
      <c r="T2456" s="17"/>
      <c r="AC2456" s="17"/>
    </row>
    <row r="2457">
      <c r="B2457" s="11">
        <f>IFERROR(__xludf.DUMMYFUNCTION("""COMPUTED_VALUE"""),42457.66666666667)</f>
        <v>42457.66667</v>
      </c>
      <c r="C2457" s="9">
        <f>IFERROR(__xludf.DUMMYFUNCTION("""COMPUTED_VALUE"""),58.0)</f>
        <v>58</v>
      </c>
      <c r="K2457" s="16"/>
      <c r="T2457" s="17"/>
      <c r="AC2457" s="17"/>
    </row>
    <row r="2458">
      <c r="B2458" s="11">
        <f>IFERROR(__xludf.DUMMYFUNCTION("""COMPUTED_VALUE"""),42453.66666666667)</f>
        <v>42453.66667</v>
      </c>
      <c r="C2458" s="9">
        <f>IFERROR(__xludf.DUMMYFUNCTION("""COMPUTED_VALUE"""),58.16)</f>
        <v>58.16</v>
      </c>
      <c r="K2458" s="16"/>
      <c r="T2458" s="17"/>
      <c r="AC2458" s="17"/>
    </row>
    <row r="2459">
      <c r="B2459" s="11">
        <f>IFERROR(__xludf.DUMMYFUNCTION("""COMPUTED_VALUE"""),42452.66666666667)</f>
        <v>42452.66667</v>
      </c>
      <c r="C2459" s="9">
        <f>IFERROR(__xludf.DUMMYFUNCTION("""COMPUTED_VALUE"""),58.65)</f>
        <v>58.65</v>
      </c>
      <c r="K2459" s="16"/>
      <c r="T2459" s="17"/>
      <c r="AC2459" s="17"/>
    </row>
    <row r="2460">
      <c r="B2460" s="11">
        <f>IFERROR(__xludf.DUMMYFUNCTION("""COMPUTED_VALUE"""),42451.66666666667)</f>
        <v>42451.66667</v>
      </c>
      <c r="C2460" s="9">
        <f>IFERROR(__xludf.DUMMYFUNCTION("""COMPUTED_VALUE"""),59.15)</f>
        <v>59.15</v>
      </c>
      <c r="K2460" s="16"/>
      <c r="T2460" s="17"/>
      <c r="AC2460" s="17"/>
    </row>
    <row r="2461">
      <c r="B2461" s="11">
        <f>IFERROR(__xludf.DUMMYFUNCTION("""COMPUTED_VALUE"""),42450.66666666667)</f>
        <v>42450.66667</v>
      </c>
      <c r="C2461" s="9">
        <f>IFERROR(__xludf.DUMMYFUNCTION("""COMPUTED_VALUE"""),59.32)</f>
        <v>59.32</v>
      </c>
      <c r="K2461" s="16"/>
      <c r="T2461" s="17"/>
      <c r="AC2461" s="17"/>
    </row>
    <row r="2462">
      <c r="B2462" s="11">
        <f>IFERROR(__xludf.DUMMYFUNCTION("""COMPUTED_VALUE"""),42447.66666666667)</f>
        <v>42447.66667</v>
      </c>
      <c r="C2462" s="9">
        <f>IFERROR(__xludf.DUMMYFUNCTION("""COMPUTED_VALUE"""),59.23)</f>
        <v>59.23</v>
      </c>
      <c r="K2462" s="16"/>
      <c r="T2462" s="17"/>
      <c r="AC2462" s="17"/>
    </row>
    <row r="2463">
      <c r="B2463" s="11">
        <f>IFERROR(__xludf.DUMMYFUNCTION("""COMPUTED_VALUE"""),42446.66666666667)</f>
        <v>42446.66667</v>
      </c>
      <c r="C2463" s="9">
        <f>IFERROR(__xludf.DUMMYFUNCTION("""COMPUTED_VALUE"""),58.53)</f>
        <v>58.53</v>
      </c>
      <c r="K2463" s="16"/>
      <c r="T2463" s="17"/>
      <c r="AC2463" s="17"/>
    </row>
    <row r="2464">
      <c r="B2464" s="11">
        <f>IFERROR(__xludf.DUMMYFUNCTION("""COMPUTED_VALUE"""),42445.66666666667)</f>
        <v>42445.66667</v>
      </c>
      <c r="C2464" s="9">
        <f>IFERROR(__xludf.DUMMYFUNCTION("""COMPUTED_VALUE"""),57.62)</f>
        <v>57.62</v>
      </c>
      <c r="K2464" s="16"/>
      <c r="T2464" s="17"/>
      <c r="AC2464" s="17"/>
    </row>
    <row r="2465">
      <c r="B2465" s="11">
        <f>IFERROR(__xludf.DUMMYFUNCTION("""COMPUTED_VALUE"""),42444.66666666667)</f>
        <v>42444.66667</v>
      </c>
      <c r="C2465" s="9">
        <f>IFERROR(__xludf.DUMMYFUNCTION("""COMPUTED_VALUE"""),57.0)</f>
        <v>57</v>
      </c>
      <c r="K2465" s="16"/>
      <c r="T2465" s="17"/>
      <c r="AC2465" s="17"/>
    </row>
    <row r="2466">
      <c r="B2466" s="11">
        <f>IFERROR(__xludf.DUMMYFUNCTION("""COMPUTED_VALUE"""),42443.66666666667)</f>
        <v>42443.66667</v>
      </c>
      <c r="C2466" s="9">
        <f>IFERROR(__xludf.DUMMYFUNCTION("""COMPUTED_VALUE"""),57.18)</f>
        <v>57.18</v>
      </c>
      <c r="K2466" s="16"/>
      <c r="T2466" s="17"/>
      <c r="AC2466" s="17"/>
    </row>
    <row r="2467">
      <c r="B2467" s="11">
        <f>IFERROR(__xludf.DUMMYFUNCTION("""COMPUTED_VALUE"""),42440.66666666667)</f>
        <v>42440.66667</v>
      </c>
      <c r="C2467" s="9">
        <f>IFERROR(__xludf.DUMMYFUNCTION("""COMPUTED_VALUE"""),57.33)</f>
        <v>57.33</v>
      </c>
      <c r="K2467" s="16"/>
      <c r="T2467" s="17"/>
      <c r="AC2467" s="17"/>
    </row>
    <row r="2468">
      <c r="B2468" s="11">
        <f>IFERROR(__xludf.DUMMYFUNCTION("""COMPUTED_VALUE"""),42439.66666666667)</f>
        <v>42439.66667</v>
      </c>
      <c r="C2468" s="9">
        <f>IFERROR(__xludf.DUMMYFUNCTION("""COMPUTED_VALUE"""),56.47)</f>
        <v>56.47</v>
      </c>
      <c r="K2468" s="16"/>
      <c r="T2468" s="17"/>
      <c r="AC2468" s="17"/>
    </row>
    <row r="2469">
      <c r="B2469" s="11">
        <f>IFERROR(__xludf.DUMMYFUNCTION("""COMPUTED_VALUE"""),42438.66666666667)</f>
        <v>42438.66667</v>
      </c>
      <c r="C2469" s="9">
        <f>IFERROR(__xludf.DUMMYFUNCTION("""COMPUTED_VALUE"""),56.87)</f>
        <v>56.87</v>
      </c>
      <c r="K2469" s="16"/>
      <c r="T2469" s="17"/>
      <c r="AC2469" s="17"/>
    </row>
    <row r="2470">
      <c r="B2470" s="11">
        <f>IFERROR(__xludf.DUMMYFUNCTION("""COMPUTED_VALUE"""),42437.66666666667)</f>
        <v>42437.66667</v>
      </c>
      <c r="C2470" s="9">
        <f>IFERROR(__xludf.DUMMYFUNCTION("""COMPUTED_VALUE"""),56.6)</f>
        <v>56.6</v>
      </c>
      <c r="K2470" s="16"/>
      <c r="T2470" s="17"/>
      <c r="AC2470" s="17"/>
    </row>
    <row r="2471">
      <c r="B2471" s="11">
        <f>IFERROR(__xludf.DUMMYFUNCTION("""COMPUTED_VALUE"""),42436.66666666667)</f>
        <v>42436.66667</v>
      </c>
      <c r="C2471" s="9">
        <f>IFERROR(__xludf.DUMMYFUNCTION("""COMPUTED_VALUE"""),57.16)</f>
        <v>57.16</v>
      </c>
      <c r="K2471" s="16"/>
      <c r="T2471" s="17"/>
      <c r="AC2471" s="17"/>
    </row>
    <row r="2472">
      <c r="B2472" s="11">
        <f>IFERROR(__xludf.DUMMYFUNCTION("""COMPUTED_VALUE"""),42433.66666666667)</f>
        <v>42433.66667</v>
      </c>
      <c r="C2472" s="9">
        <f>IFERROR(__xludf.DUMMYFUNCTION("""COMPUTED_VALUE"""),57.33)</f>
        <v>57.33</v>
      </c>
      <c r="K2472" s="16"/>
      <c r="T2472" s="17"/>
      <c r="AC2472" s="17"/>
    </row>
    <row r="2473">
      <c r="B2473" s="11">
        <f>IFERROR(__xludf.DUMMYFUNCTION("""COMPUTED_VALUE"""),42432.66666666667)</f>
        <v>42432.66667</v>
      </c>
      <c r="C2473" s="9">
        <f>IFERROR(__xludf.DUMMYFUNCTION("""COMPUTED_VALUE"""),56.97)</f>
        <v>56.97</v>
      </c>
      <c r="K2473" s="16"/>
      <c r="T2473" s="17"/>
      <c r="AC2473" s="17"/>
    </row>
    <row r="2474">
      <c r="B2474" s="11">
        <f>IFERROR(__xludf.DUMMYFUNCTION("""COMPUTED_VALUE"""),42431.66666666667)</f>
        <v>42431.66667</v>
      </c>
      <c r="C2474" s="9">
        <f>IFERROR(__xludf.DUMMYFUNCTION("""COMPUTED_VALUE"""),56.77)</f>
        <v>56.77</v>
      </c>
      <c r="K2474" s="16"/>
      <c r="T2474" s="17"/>
      <c r="AC2474" s="17"/>
    </row>
    <row r="2475">
      <c r="B2475" s="11">
        <f>IFERROR(__xludf.DUMMYFUNCTION("""COMPUTED_VALUE"""),42430.66666666667)</f>
        <v>42430.66667</v>
      </c>
      <c r="C2475" s="9">
        <f>IFERROR(__xludf.DUMMYFUNCTION("""COMPUTED_VALUE"""),56.53)</f>
        <v>56.53</v>
      </c>
      <c r="K2475" s="16"/>
      <c r="T2475" s="17"/>
      <c r="AC2475" s="17"/>
    </row>
    <row r="2476">
      <c r="B2476" s="11">
        <f>IFERROR(__xludf.DUMMYFUNCTION("""COMPUTED_VALUE"""),42429.66666666667)</f>
        <v>42429.66667</v>
      </c>
      <c r="C2476" s="9">
        <f>IFERROR(__xludf.DUMMYFUNCTION("""COMPUTED_VALUE"""),56.09)</f>
        <v>56.09</v>
      </c>
      <c r="K2476" s="16"/>
      <c r="T2476" s="17"/>
      <c r="AC2476" s="17"/>
    </row>
    <row r="2477">
      <c r="B2477" s="11">
        <f>IFERROR(__xludf.DUMMYFUNCTION("""COMPUTED_VALUE"""),42426.66666666667)</f>
        <v>42426.66667</v>
      </c>
      <c r="C2477" s="9">
        <f>IFERROR(__xludf.DUMMYFUNCTION("""COMPUTED_VALUE"""),56.2)</f>
        <v>56.2</v>
      </c>
      <c r="K2477" s="16"/>
      <c r="T2477" s="17"/>
      <c r="AC2477" s="17"/>
    </row>
    <row r="2478">
      <c r="B2478" s="11">
        <f>IFERROR(__xludf.DUMMYFUNCTION("""COMPUTED_VALUE"""),42425.66666666667)</f>
        <v>42425.66667</v>
      </c>
      <c r="C2478" s="9">
        <f>IFERROR(__xludf.DUMMYFUNCTION("""COMPUTED_VALUE"""),55.95)</f>
        <v>55.95</v>
      </c>
      <c r="K2478" s="16"/>
      <c r="T2478" s="17"/>
      <c r="AC2478" s="17"/>
    </row>
    <row r="2479">
      <c r="B2479" s="11">
        <f>IFERROR(__xludf.DUMMYFUNCTION("""COMPUTED_VALUE"""),42424.66666666667)</f>
        <v>42424.66667</v>
      </c>
      <c r="C2479" s="9">
        <f>IFERROR(__xludf.DUMMYFUNCTION("""COMPUTED_VALUE"""),55.04)</f>
        <v>55.04</v>
      </c>
      <c r="K2479" s="16"/>
      <c r="T2479" s="17"/>
      <c r="AC2479" s="17"/>
    </row>
    <row r="2480">
      <c r="B2480" s="11">
        <f>IFERROR(__xludf.DUMMYFUNCTION("""COMPUTED_VALUE"""),42423.66666666667)</f>
        <v>42423.66667</v>
      </c>
      <c r="C2480" s="9">
        <f>IFERROR(__xludf.DUMMYFUNCTION("""COMPUTED_VALUE"""),55.07)</f>
        <v>55.07</v>
      </c>
      <c r="K2480" s="16"/>
      <c r="T2480" s="17"/>
      <c r="AC2480" s="17"/>
    </row>
    <row r="2481">
      <c r="B2481" s="11">
        <f>IFERROR(__xludf.DUMMYFUNCTION("""COMPUTED_VALUE"""),42422.66666666667)</f>
        <v>42422.66667</v>
      </c>
      <c r="C2481" s="9">
        <f>IFERROR(__xludf.DUMMYFUNCTION("""COMPUTED_VALUE"""),55.06)</f>
        <v>55.06</v>
      </c>
      <c r="K2481" s="16"/>
      <c r="T2481" s="17"/>
      <c r="AC2481" s="17"/>
    </row>
    <row r="2482">
      <c r="B2482" s="11">
        <f>IFERROR(__xludf.DUMMYFUNCTION("""COMPUTED_VALUE"""),42419.66666666667)</f>
        <v>42419.66667</v>
      </c>
      <c r="C2482" s="9">
        <f>IFERROR(__xludf.DUMMYFUNCTION("""COMPUTED_VALUE"""),54.16)</f>
        <v>54.16</v>
      </c>
      <c r="K2482" s="16"/>
      <c r="T2482" s="17"/>
      <c r="AC2482" s="17"/>
    </row>
    <row r="2483">
      <c r="B2483" s="11">
        <f>IFERROR(__xludf.DUMMYFUNCTION("""COMPUTED_VALUE"""),42418.66666666667)</f>
        <v>42418.66667</v>
      </c>
      <c r="C2483" s="9">
        <f>IFERROR(__xludf.DUMMYFUNCTION("""COMPUTED_VALUE"""),54.31)</f>
        <v>54.31</v>
      </c>
      <c r="K2483" s="16"/>
      <c r="T2483" s="17"/>
      <c r="AC2483" s="17"/>
    </row>
    <row r="2484">
      <c r="B2484" s="11">
        <f>IFERROR(__xludf.DUMMYFUNCTION("""COMPUTED_VALUE"""),42417.66666666667)</f>
        <v>42417.66667</v>
      </c>
      <c r="C2484" s="9">
        <f>IFERROR(__xludf.DUMMYFUNCTION("""COMPUTED_VALUE"""),54.04)</f>
        <v>54.04</v>
      </c>
      <c r="K2484" s="16"/>
      <c r="T2484" s="17"/>
      <c r="AC2484" s="17"/>
    </row>
    <row r="2485">
      <c r="B2485" s="11">
        <f>IFERROR(__xludf.DUMMYFUNCTION("""COMPUTED_VALUE"""),42416.66666666667)</f>
        <v>42416.66667</v>
      </c>
      <c r="C2485" s="9">
        <f>IFERROR(__xludf.DUMMYFUNCTION("""COMPUTED_VALUE"""),53.16)</f>
        <v>53.16</v>
      </c>
      <c r="K2485" s="16"/>
      <c r="T2485" s="17"/>
      <c r="AC2485" s="17"/>
    </row>
    <row r="2486">
      <c r="B2486" s="11">
        <f>IFERROR(__xludf.DUMMYFUNCTION("""COMPUTED_VALUE"""),42412.66666666667)</f>
        <v>42412.66667</v>
      </c>
      <c r="C2486" s="9">
        <f>IFERROR(__xludf.DUMMYFUNCTION("""COMPUTED_VALUE"""),52.06)</f>
        <v>52.06</v>
      </c>
      <c r="K2486" s="16"/>
      <c r="T2486" s="17"/>
      <c r="AC2486" s="17"/>
    </row>
    <row r="2487">
      <c r="B2487" s="11">
        <f>IFERROR(__xludf.DUMMYFUNCTION("""COMPUTED_VALUE"""),42411.66666666667)</f>
        <v>42411.66667</v>
      </c>
      <c r="C2487" s="9">
        <f>IFERROR(__xludf.DUMMYFUNCTION("""COMPUTED_VALUE"""),51.62)</f>
        <v>51.62</v>
      </c>
      <c r="K2487" s="16"/>
      <c r="T2487" s="17"/>
      <c r="AC2487" s="17"/>
    </row>
    <row r="2488">
      <c r="B2488" s="11">
        <f>IFERROR(__xludf.DUMMYFUNCTION("""COMPUTED_VALUE"""),42410.66666666667)</f>
        <v>42410.66667</v>
      </c>
      <c r="C2488" s="9">
        <f>IFERROR(__xludf.DUMMYFUNCTION("""COMPUTED_VALUE"""),53.14)</f>
        <v>53.14</v>
      </c>
      <c r="K2488" s="16"/>
      <c r="T2488" s="17"/>
      <c r="AC2488" s="17"/>
    </row>
    <row r="2489">
      <c r="B2489" s="11">
        <f>IFERROR(__xludf.DUMMYFUNCTION("""COMPUTED_VALUE"""),42409.66666666667)</f>
        <v>42409.66667</v>
      </c>
      <c r="C2489" s="9">
        <f>IFERROR(__xludf.DUMMYFUNCTION("""COMPUTED_VALUE"""),53.02)</f>
        <v>53.02</v>
      </c>
      <c r="K2489" s="16"/>
      <c r="T2489" s="17"/>
      <c r="AC2489" s="17"/>
    </row>
    <row r="2490">
      <c r="B2490" s="11">
        <f>IFERROR(__xludf.DUMMYFUNCTION("""COMPUTED_VALUE"""),42408.66666666667)</f>
        <v>42408.66667</v>
      </c>
      <c r="C2490" s="9">
        <f>IFERROR(__xludf.DUMMYFUNCTION("""COMPUTED_VALUE"""),53.34)</f>
        <v>53.34</v>
      </c>
      <c r="K2490" s="16"/>
      <c r="T2490" s="17"/>
      <c r="AC2490" s="17"/>
    </row>
    <row r="2491">
      <c r="B2491" s="11">
        <f>IFERROR(__xludf.DUMMYFUNCTION("""COMPUTED_VALUE"""),42405.66666666667)</f>
        <v>42405.66667</v>
      </c>
      <c r="C2491" s="9">
        <f>IFERROR(__xludf.DUMMYFUNCTION("""COMPUTED_VALUE"""),53.74)</f>
        <v>53.74</v>
      </c>
      <c r="K2491" s="16"/>
      <c r="T2491" s="17"/>
      <c r="AC2491" s="17"/>
    </row>
    <row r="2492">
      <c r="B2492" s="11">
        <f>IFERROR(__xludf.DUMMYFUNCTION("""COMPUTED_VALUE"""),42404.66666666667)</f>
        <v>42404.66667</v>
      </c>
      <c r="C2492" s="9">
        <f>IFERROR(__xludf.DUMMYFUNCTION("""COMPUTED_VALUE"""),54.51)</f>
        <v>54.51</v>
      </c>
      <c r="K2492" s="16"/>
      <c r="T2492" s="17"/>
      <c r="AC2492" s="17"/>
    </row>
    <row r="2493">
      <c r="B2493" s="11">
        <f>IFERROR(__xludf.DUMMYFUNCTION("""COMPUTED_VALUE"""),42403.66666666667)</f>
        <v>42403.66667</v>
      </c>
      <c r="C2493" s="9">
        <f>IFERROR(__xludf.DUMMYFUNCTION("""COMPUTED_VALUE"""),54.16)</f>
        <v>54.16</v>
      </c>
      <c r="K2493" s="16"/>
      <c r="T2493" s="17"/>
      <c r="AC2493" s="17"/>
    </row>
    <row r="2494">
      <c r="B2494" s="11">
        <f>IFERROR(__xludf.DUMMYFUNCTION("""COMPUTED_VALUE"""),42402.66666666667)</f>
        <v>42402.66667</v>
      </c>
      <c r="C2494" s="9">
        <f>IFERROR(__xludf.DUMMYFUNCTION("""COMPUTED_VALUE"""),53.29)</f>
        <v>53.29</v>
      </c>
      <c r="K2494" s="16"/>
      <c r="T2494" s="17"/>
      <c r="AC2494" s="17"/>
    </row>
    <row r="2495">
      <c r="B2495" s="11">
        <f>IFERROR(__xludf.DUMMYFUNCTION("""COMPUTED_VALUE"""),42401.66666666667)</f>
        <v>42401.66667</v>
      </c>
      <c r="C2495" s="9">
        <f>IFERROR(__xludf.DUMMYFUNCTION("""COMPUTED_VALUE"""),54.52)</f>
        <v>54.52</v>
      </c>
      <c r="K2495" s="16"/>
      <c r="T2495" s="17"/>
      <c r="AC2495" s="17"/>
    </row>
    <row r="2496">
      <c r="B2496" s="11">
        <f>IFERROR(__xludf.DUMMYFUNCTION("""COMPUTED_VALUE"""),42398.66666666667)</f>
        <v>42398.66667</v>
      </c>
      <c r="C2496" s="9">
        <f>IFERROR(__xludf.DUMMYFUNCTION("""COMPUTED_VALUE"""),54.71)</f>
        <v>54.71</v>
      </c>
      <c r="K2496" s="16"/>
      <c r="T2496" s="17"/>
      <c r="AC2496" s="17"/>
    </row>
    <row r="2497">
      <c r="B2497" s="11">
        <f>IFERROR(__xludf.DUMMYFUNCTION("""COMPUTED_VALUE"""),42397.66666666667)</f>
        <v>42397.66667</v>
      </c>
      <c r="C2497" s="9">
        <f>IFERROR(__xludf.DUMMYFUNCTION("""COMPUTED_VALUE"""),53.49)</f>
        <v>53.49</v>
      </c>
      <c r="K2497" s="16"/>
      <c r="T2497" s="17"/>
      <c r="AC2497" s="17"/>
    </row>
    <row r="2498">
      <c r="B2498" s="11">
        <f>IFERROR(__xludf.DUMMYFUNCTION("""COMPUTED_VALUE"""),42396.66666666667)</f>
        <v>42396.66667</v>
      </c>
      <c r="C2498" s="9">
        <f>IFERROR(__xludf.DUMMYFUNCTION("""COMPUTED_VALUE"""),53.33)</f>
        <v>53.33</v>
      </c>
      <c r="K2498" s="16"/>
      <c r="T2498" s="17"/>
      <c r="AC2498" s="17"/>
    </row>
    <row r="2499">
      <c r="B2499" s="11">
        <f>IFERROR(__xludf.DUMMYFUNCTION("""COMPUTED_VALUE"""),42395.66666666667)</f>
        <v>42395.66667</v>
      </c>
      <c r="C2499" s="9">
        <f>IFERROR(__xludf.DUMMYFUNCTION("""COMPUTED_VALUE"""),54.7)</f>
        <v>54.7</v>
      </c>
      <c r="K2499" s="16"/>
      <c r="T2499" s="17"/>
      <c r="AC2499" s="17"/>
    </row>
    <row r="2500">
      <c r="B2500" s="11">
        <f>IFERROR(__xludf.DUMMYFUNCTION("""COMPUTED_VALUE"""),42394.66666666667)</f>
        <v>42394.66667</v>
      </c>
      <c r="C2500" s="9">
        <f>IFERROR(__xludf.DUMMYFUNCTION("""COMPUTED_VALUE"""),53.77)</f>
        <v>53.77</v>
      </c>
      <c r="K2500" s="16"/>
      <c r="T2500" s="17"/>
      <c r="AC2500" s="17"/>
    </row>
    <row r="2501">
      <c r="B2501" s="11">
        <f>IFERROR(__xludf.DUMMYFUNCTION("""COMPUTED_VALUE"""),42391.66666666667)</f>
        <v>42391.66667</v>
      </c>
      <c r="C2501" s="9">
        <f>IFERROR(__xludf.DUMMYFUNCTION("""COMPUTED_VALUE"""),54.4)</f>
        <v>54.4</v>
      </c>
      <c r="K2501" s="16"/>
      <c r="T2501" s="17"/>
      <c r="AC2501" s="17"/>
    </row>
    <row r="2502">
      <c r="B2502" s="11">
        <f>IFERROR(__xludf.DUMMYFUNCTION("""COMPUTED_VALUE"""),42390.66666666667)</f>
        <v>42390.66667</v>
      </c>
      <c r="C2502" s="9">
        <f>IFERROR(__xludf.DUMMYFUNCTION("""COMPUTED_VALUE"""),53.54)</f>
        <v>53.54</v>
      </c>
      <c r="K2502" s="16"/>
      <c r="T2502" s="17"/>
      <c r="AC2502" s="17"/>
    </row>
    <row r="2503">
      <c r="B2503" s="11">
        <f>IFERROR(__xludf.DUMMYFUNCTION("""COMPUTED_VALUE"""),42389.66666666667)</f>
        <v>42389.66667</v>
      </c>
      <c r="C2503" s="9">
        <f>IFERROR(__xludf.DUMMYFUNCTION("""COMPUTED_VALUE"""),53.76)</f>
        <v>53.76</v>
      </c>
      <c r="K2503" s="16"/>
      <c r="T2503" s="17"/>
      <c r="AC2503" s="17"/>
    </row>
    <row r="2504">
      <c r="B2504" s="11">
        <f>IFERROR(__xludf.DUMMYFUNCTION("""COMPUTED_VALUE"""),42388.66666666667)</f>
        <v>42388.66667</v>
      </c>
      <c r="C2504" s="9">
        <f>IFERROR(__xludf.DUMMYFUNCTION("""COMPUTED_VALUE"""),54.18)</f>
        <v>54.18</v>
      </c>
      <c r="K2504" s="16"/>
      <c r="T2504" s="17"/>
      <c r="AC2504" s="17"/>
    </row>
    <row r="2505">
      <c r="B2505" s="11">
        <f>IFERROR(__xludf.DUMMYFUNCTION("""COMPUTED_VALUE"""),42384.66666666667)</f>
        <v>42384.66667</v>
      </c>
      <c r="C2505" s="9">
        <f>IFERROR(__xludf.DUMMYFUNCTION("""COMPUTED_VALUE"""),54.53)</f>
        <v>54.53</v>
      </c>
      <c r="K2505" s="16"/>
      <c r="T2505" s="17"/>
      <c r="AC2505" s="17"/>
    </row>
    <row r="2506">
      <c r="B2506" s="11">
        <f>IFERROR(__xludf.DUMMYFUNCTION("""COMPUTED_VALUE"""),42383.66666666667)</f>
        <v>42383.66667</v>
      </c>
      <c r="C2506" s="9">
        <f>IFERROR(__xludf.DUMMYFUNCTION("""COMPUTED_VALUE"""),55.56)</f>
        <v>55.56</v>
      </c>
      <c r="K2506" s="16"/>
      <c r="T2506" s="17"/>
      <c r="AC2506" s="17"/>
    </row>
    <row r="2507">
      <c r="B2507" s="11">
        <f>IFERROR(__xludf.DUMMYFUNCTION("""COMPUTED_VALUE"""),42382.66666666667)</f>
        <v>42382.66667</v>
      </c>
      <c r="C2507" s="9">
        <f>IFERROR(__xludf.DUMMYFUNCTION("""COMPUTED_VALUE"""),55.35)</f>
        <v>55.35</v>
      </c>
      <c r="K2507" s="16"/>
      <c r="T2507" s="17"/>
      <c r="AC2507" s="17"/>
    </row>
    <row r="2508">
      <c r="B2508" s="11">
        <f>IFERROR(__xludf.DUMMYFUNCTION("""COMPUTED_VALUE"""),42381.66666666667)</f>
        <v>42381.66667</v>
      </c>
      <c r="C2508" s="9">
        <f>IFERROR(__xludf.DUMMYFUNCTION("""COMPUTED_VALUE"""),56.9)</f>
        <v>56.9</v>
      </c>
      <c r="K2508" s="16"/>
      <c r="T2508" s="17"/>
      <c r="AC2508" s="17"/>
    </row>
    <row r="2509">
      <c r="B2509" s="11">
        <f>IFERROR(__xludf.DUMMYFUNCTION("""COMPUTED_VALUE"""),42380.66666666667)</f>
        <v>42380.66667</v>
      </c>
      <c r="C2509" s="9">
        <f>IFERROR(__xludf.DUMMYFUNCTION("""COMPUTED_VALUE"""),56.44)</f>
        <v>56.44</v>
      </c>
      <c r="K2509" s="16"/>
      <c r="T2509" s="17"/>
      <c r="AC2509" s="17"/>
    </row>
    <row r="2510">
      <c r="B2510" s="11">
        <f>IFERROR(__xludf.DUMMYFUNCTION("""COMPUTED_VALUE"""),42377.66666666667)</f>
        <v>42377.66667</v>
      </c>
      <c r="C2510" s="9">
        <f>IFERROR(__xludf.DUMMYFUNCTION("""COMPUTED_VALUE"""),56.23)</f>
        <v>56.23</v>
      </c>
      <c r="K2510" s="16"/>
      <c r="T2510" s="17"/>
      <c r="AC2510" s="17"/>
    </row>
    <row r="2511">
      <c r="B2511" s="11">
        <f>IFERROR(__xludf.DUMMYFUNCTION("""COMPUTED_VALUE"""),42376.66666666667)</f>
        <v>42376.66667</v>
      </c>
      <c r="C2511" s="9">
        <f>IFERROR(__xludf.DUMMYFUNCTION("""COMPUTED_VALUE"""),57.04)</f>
        <v>57.04</v>
      </c>
      <c r="K2511" s="16"/>
      <c r="T2511" s="17"/>
      <c r="AC2511" s="17"/>
    </row>
    <row r="2512">
      <c r="B2512" s="11">
        <f>IFERROR(__xludf.DUMMYFUNCTION("""COMPUTED_VALUE"""),42375.66666666667)</f>
        <v>42375.66667</v>
      </c>
      <c r="C2512" s="9">
        <f>IFERROR(__xludf.DUMMYFUNCTION("""COMPUTED_VALUE"""),58.44)</f>
        <v>58.44</v>
      </c>
      <c r="K2512" s="16"/>
      <c r="T2512" s="17"/>
      <c r="AC2512" s="17"/>
    </row>
    <row r="2513">
      <c r="B2513" s="11">
        <f>IFERROR(__xludf.DUMMYFUNCTION("""COMPUTED_VALUE"""),42374.66666666667)</f>
        <v>42374.66667</v>
      </c>
      <c r="C2513" s="9">
        <f>IFERROR(__xludf.DUMMYFUNCTION("""COMPUTED_VALUE"""),59.11)</f>
        <v>59.11</v>
      </c>
      <c r="K2513" s="16"/>
      <c r="T2513" s="17"/>
      <c r="AC2513" s="17"/>
    </row>
    <row r="2514">
      <c r="B2514" s="11">
        <f>IFERROR(__xludf.DUMMYFUNCTION("""COMPUTED_VALUE"""),42373.66666666667)</f>
        <v>42373.66667</v>
      </c>
      <c r="C2514" s="9">
        <f>IFERROR(__xludf.DUMMYFUNCTION("""COMPUTED_VALUE"""),58.39)</f>
        <v>58.39</v>
      </c>
      <c r="K2514" s="16"/>
      <c r="T2514" s="17"/>
      <c r="AC2514" s="17"/>
    </row>
    <row r="2515">
      <c r="B2515" s="11">
        <f>IFERROR(__xludf.DUMMYFUNCTION("""COMPUTED_VALUE"""),42369.66666666667)</f>
        <v>42369.66667</v>
      </c>
      <c r="C2515" s="9">
        <f>IFERROR(__xludf.DUMMYFUNCTION("""COMPUTED_VALUE"""),59.11)</f>
        <v>59.11</v>
      </c>
      <c r="K2515" s="16"/>
      <c r="T2515" s="17"/>
      <c r="AC2515" s="17"/>
    </row>
    <row r="2516">
      <c r="B2516" s="11">
        <f>IFERROR(__xludf.DUMMYFUNCTION("""COMPUTED_VALUE"""),42368.66666666667)</f>
        <v>42368.66667</v>
      </c>
      <c r="C2516" s="9">
        <f>IFERROR(__xludf.DUMMYFUNCTION("""COMPUTED_VALUE"""),59.57)</f>
        <v>59.57</v>
      </c>
      <c r="K2516" s="16"/>
      <c r="T2516" s="17"/>
      <c r="AC2516" s="17"/>
    </row>
    <row r="2517">
      <c r="B2517" s="11">
        <f>IFERROR(__xludf.DUMMYFUNCTION("""COMPUTED_VALUE"""),42367.66666666667)</f>
        <v>42367.66667</v>
      </c>
      <c r="C2517" s="9">
        <f>IFERROR(__xludf.DUMMYFUNCTION("""COMPUTED_VALUE"""),59.89)</f>
        <v>59.89</v>
      </c>
      <c r="K2517" s="16"/>
      <c r="T2517" s="17"/>
      <c r="AC2517" s="17"/>
    </row>
    <row r="2518">
      <c r="B2518" s="11">
        <f>IFERROR(__xludf.DUMMYFUNCTION("""COMPUTED_VALUE"""),42366.66666666667)</f>
        <v>42366.66667</v>
      </c>
      <c r="C2518" s="9">
        <f>IFERROR(__xludf.DUMMYFUNCTION("""COMPUTED_VALUE"""),59.08)</f>
        <v>59.08</v>
      </c>
      <c r="K2518" s="16"/>
      <c r="T2518" s="17"/>
      <c r="AC2518" s="17"/>
    </row>
    <row r="2519">
      <c r="B2519" s="11">
        <f>IFERROR(__xludf.DUMMYFUNCTION("""COMPUTED_VALUE"""),42362.66666666667)</f>
        <v>42362.66667</v>
      </c>
      <c r="C2519" s="9">
        <f>IFERROR(__xludf.DUMMYFUNCTION("""COMPUTED_VALUE"""),59.3)</f>
        <v>59.3</v>
      </c>
      <c r="K2519" s="16"/>
      <c r="T2519" s="17"/>
      <c r="AC2519" s="17"/>
    </row>
    <row r="2520">
      <c r="B2520" s="11">
        <f>IFERROR(__xludf.DUMMYFUNCTION("""COMPUTED_VALUE"""),42361.66666666667)</f>
        <v>42361.66667</v>
      </c>
      <c r="C2520" s="9">
        <f>IFERROR(__xludf.DUMMYFUNCTION("""COMPUTED_VALUE"""),59.41)</f>
        <v>59.41</v>
      </c>
      <c r="K2520" s="16"/>
      <c r="T2520" s="17"/>
      <c r="AC2520" s="17"/>
    </row>
    <row r="2521">
      <c r="B2521" s="11">
        <f>IFERROR(__xludf.DUMMYFUNCTION("""COMPUTED_VALUE"""),42360.66666666667)</f>
        <v>42360.66667</v>
      </c>
      <c r="C2521" s="9">
        <f>IFERROR(__xludf.DUMMYFUNCTION("""COMPUTED_VALUE"""),58.95)</f>
        <v>58.95</v>
      </c>
      <c r="K2521" s="16"/>
      <c r="T2521" s="17"/>
      <c r="AC2521" s="17"/>
    </row>
    <row r="2522">
      <c r="B2522" s="11">
        <f>IFERROR(__xludf.DUMMYFUNCTION("""COMPUTED_VALUE"""),42359.66666666667)</f>
        <v>42359.66667</v>
      </c>
      <c r="C2522" s="9">
        <f>IFERROR(__xludf.DUMMYFUNCTION("""COMPUTED_VALUE"""),58.37)</f>
        <v>58.37</v>
      </c>
      <c r="K2522" s="16"/>
      <c r="T2522" s="17"/>
      <c r="AC2522" s="17"/>
    </row>
    <row r="2523">
      <c r="B2523" s="11">
        <f>IFERROR(__xludf.DUMMYFUNCTION("""COMPUTED_VALUE"""),42356.66666666667)</f>
        <v>42356.66667</v>
      </c>
      <c r="C2523" s="9">
        <f>IFERROR(__xludf.DUMMYFUNCTION("""COMPUTED_VALUE"""),57.58)</f>
        <v>57.58</v>
      </c>
      <c r="K2523" s="16"/>
      <c r="T2523" s="17"/>
      <c r="AC2523" s="17"/>
    </row>
    <row r="2524">
      <c r="B2524" s="11">
        <f>IFERROR(__xludf.DUMMYFUNCTION("""COMPUTED_VALUE"""),42355.66666666667)</f>
        <v>42355.66667</v>
      </c>
      <c r="C2524" s="9">
        <f>IFERROR(__xludf.DUMMYFUNCTION("""COMPUTED_VALUE"""),58.47)</f>
        <v>58.47</v>
      </c>
      <c r="K2524" s="16"/>
      <c r="T2524" s="17"/>
      <c r="AC2524" s="17"/>
    </row>
    <row r="2525">
      <c r="B2525" s="11">
        <f>IFERROR(__xludf.DUMMYFUNCTION("""COMPUTED_VALUE"""),42354.66666666667)</f>
        <v>42354.66667</v>
      </c>
      <c r="C2525" s="9">
        <f>IFERROR(__xludf.DUMMYFUNCTION("""COMPUTED_VALUE"""),59.16)</f>
        <v>59.16</v>
      </c>
      <c r="K2525" s="16"/>
      <c r="T2525" s="17"/>
      <c r="AC2525" s="17"/>
    </row>
    <row r="2526">
      <c r="B2526" s="11">
        <f>IFERROR(__xludf.DUMMYFUNCTION("""COMPUTED_VALUE"""),42353.66666666667)</f>
        <v>42353.66667</v>
      </c>
      <c r="C2526" s="9">
        <f>IFERROR(__xludf.DUMMYFUNCTION("""COMPUTED_VALUE"""),58.34)</f>
        <v>58.34</v>
      </c>
      <c r="K2526" s="16"/>
      <c r="T2526" s="17"/>
      <c r="AC2526" s="17"/>
    </row>
    <row r="2527">
      <c r="B2527" s="11">
        <f>IFERROR(__xludf.DUMMYFUNCTION("""COMPUTED_VALUE"""),42352.66666666667)</f>
        <v>42352.66667</v>
      </c>
      <c r="C2527" s="9">
        <f>IFERROR(__xludf.DUMMYFUNCTION("""COMPUTED_VALUE"""),58.16)</f>
        <v>58.16</v>
      </c>
      <c r="K2527" s="16"/>
      <c r="T2527" s="17"/>
      <c r="AC2527" s="17"/>
    </row>
    <row r="2528">
      <c r="B2528" s="11">
        <f>IFERROR(__xludf.DUMMYFUNCTION("""COMPUTED_VALUE"""),42349.66666666667)</f>
        <v>42349.66667</v>
      </c>
      <c r="C2528" s="9">
        <f>IFERROR(__xludf.DUMMYFUNCTION("""COMPUTED_VALUE"""),58.35)</f>
        <v>58.35</v>
      </c>
      <c r="K2528" s="16"/>
      <c r="T2528" s="17"/>
      <c r="AC2528" s="17"/>
    </row>
    <row r="2529">
      <c r="B2529" s="11">
        <f>IFERROR(__xludf.DUMMYFUNCTION("""COMPUTED_VALUE"""),42348.66666666667)</f>
        <v>42348.66667</v>
      </c>
      <c r="C2529" s="9">
        <f>IFERROR(__xludf.DUMMYFUNCTION("""COMPUTED_VALUE"""),59.25)</f>
        <v>59.25</v>
      </c>
      <c r="K2529" s="16"/>
      <c r="T2529" s="17"/>
      <c r="AC2529" s="17"/>
    </row>
    <row r="2530">
      <c r="B2530" s="11">
        <f>IFERROR(__xludf.DUMMYFUNCTION("""COMPUTED_VALUE"""),42347.66666666667)</f>
        <v>42347.66667</v>
      </c>
      <c r="C2530" s="9">
        <f>IFERROR(__xludf.DUMMYFUNCTION("""COMPUTED_VALUE"""),58.75)</f>
        <v>58.75</v>
      </c>
      <c r="K2530" s="16"/>
      <c r="T2530" s="17"/>
      <c r="AC2530" s="17"/>
    </row>
    <row r="2531">
      <c r="B2531" s="11">
        <f>IFERROR(__xludf.DUMMYFUNCTION("""COMPUTED_VALUE"""),42346.66666666667)</f>
        <v>42346.66667</v>
      </c>
      <c r="C2531" s="9">
        <f>IFERROR(__xludf.DUMMYFUNCTION("""COMPUTED_VALUE"""),59.25)</f>
        <v>59.25</v>
      </c>
      <c r="K2531" s="16"/>
      <c r="T2531" s="17"/>
      <c r="AC2531" s="17"/>
    </row>
    <row r="2532">
      <c r="B2532" s="11">
        <f>IFERROR(__xludf.DUMMYFUNCTION("""COMPUTED_VALUE"""),42345.66666666667)</f>
        <v>42345.66667</v>
      </c>
      <c r="C2532" s="9">
        <f>IFERROR(__xludf.DUMMYFUNCTION("""COMPUTED_VALUE"""),59.91)</f>
        <v>59.91</v>
      </c>
      <c r="K2532" s="16"/>
      <c r="T2532" s="17"/>
      <c r="AC2532" s="17"/>
    </row>
    <row r="2533">
      <c r="B2533" s="11">
        <f>IFERROR(__xludf.DUMMYFUNCTION("""COMPUTED_VALUE"""),42342.66666666667)</f>
        <v>42342.66667</v>
      </c>
      <c r="C2533" s="9">
        <f>IFERROR(__xludf.DUMMYFUNCTION("""COMPUTED_VALUE"""),59.98)</f>
        <v>59.98</v>
      </c>
      <c r="K2533" s="16"/>
      <c r="T2533" s="17"/>
      <c r="AC2533" s="17"/>
    </row>
    <row r="2534">
      <c r="B2534" s="11">
        <f>IFERROR(__xludf.DUMMYFUNCTION("""COMPUTED_VALUE"""),42341.66666666667)</f>
        <v>42341.66667</v>
      </c>
      <c r="C2534" s="9">
        <f>IFERROR(__xludf.DUMMYFUNCTION("""COMPUTED_VALUE"""),59.13)</f>
        <v>59.13</v>
      </c>
      <c r="K2534" s="16"/>
      <c r="T2534" s="17"/>
      <c r="AC2534" s="17"/>
    </row>
    <row r="2535">
      <c r="B2535" s="11">
        <f>IFERROR(__xludf.DUMMYFUNCTION("""COMPUTED_VALUE"""),42340.66666666667)</f>
        <v>42340.66667</v>
      </c>
      <c r="C2535" s="9">
        <f>IFERROR(__xludf.DUMMYFUNCTION("""COMPUTED_VALUE"""),59.82)</f>
        <v>59.82</v>
      </c>
      <c r="K2535" s="16"/>
      <c r="T2535" s="17"/>
      <c r="AC2535" s="17"/>
    </row>
    <row r="2536">
      <c r="B2536" s="11">
        <f>IFERROR(__xludf.DUMMYFUNCTION("""COMPUTED_VALUE"""),42339.66666666667)</f>
        <v>42339.66667</v>
      </c>
      <c r="C2536" s="9">
        <f>IFERROR(__xludf.DUMMYFUNCTION("""COMPUTED_VALUE"""),60.3)</f>
        <v>60.3</v>
      </c>
      <c r="K2536" s="16"/>
      <c r="T2536" s="17"/>
      <c r="AC2536" s="17"/>
    </row>
    <row r="2537">
      <c r="B2537" s="11">
        <f>IFERROR(__xludf.DUMMYFUNCTION("""COMPUTED_VALUE"""),42338.66666666667)</f>
        <v>42338.66667</v>
      </c>
      <c r="C2537" s="9">
        <f>IFERROR(__xludf.DUMMYFUNCTION("""COMPUTED_VALUE"""),59.98)</f>
        <v>59.98</v>
      </c>
      <c r="K2537" s="16"/>
      <c r="T2537" s="17"/>
      <c r="AC2537" s="17"/>
    </row>
    <row r="2538">
      <c r="B2538" s="11">
        <f>IFERROR(__xludf.DUMMYFUNCTION("""COMPUTED_VALUE"""),42335.66666666667)</f>
        <v>42335.66667</v>
      </c>
      <c r="C2538" s="9">
        <f>IFERROR(__xludf.DUMMYFUNCTION("""COMPUTED_VALUE"""),60.34)</f>
        <v>60.34</v>
      </c>
      <c r="K2538" s="16"/>
      <c r="T2538" s="17"/>
      <c r="AC2538" s="17"/>
    </row>
    <row r="2539">
      <c r="B2539" s="11">
        <f>IFERROR(__xludf.DUMMYFUNCTION("""COMPUTED_VALUE"""),42333.66666666667)</f>
        <v>42333.66667</v>
      </c>
      <c r="C2539" s="9">
        <f>IFERROR(__xludf.DUMMYFUNCTION("""COMPUTED_VALUE"""),60.32)</f>
        <v>60.32</v>
      </c>
      <c r="K2539" s="16"/>
      <c r="T2539" s="17"/>
      <c r="AC2539" s="17"/>
    </row>
    <row r="2540">
      <c r="B2540" s="11">
        <f>IFERROR(__xludf.DUMMYFUNCTION("""COMPUTED_VALUE"""),42332.66666666667)</f>
        <v>42332.66667</v>
      </c>
      <c r="C2540" s="9">
        <f>IFERROR(__xludf.DUMMYFUNCTION("""COMPUTED_VALUE"""),60.41)</f>
        <v>60.41</v>
      </c>
      <c r="K2540" s="16"/>
      <c r="T2540" s="17"/>
      <c r="AC2540" s="17"/>
    </row>
    <row r="2541">
      <c r="B2541" s="11">
        <f>IFERROR(__xludf.DUMMYFUNCTION("""COMPUTED_VALUE"""),42331.66666666667)</f>
        <v>42331.66667</v>
      </c>
      <c r="C2541" s="9">
        <f>IFERROR(__xludf.DUMMYFUNCTION("""COMPUTED_VALUE"""),60.13)</f>
        <v>60.13</v>
      </c>
      <c r="K2541" s="16"/>
      <c r="T2541" s="17"/>
      <c r="AC2541" s="17"/>
    </row>
    <row r="2542">
      <c r="B2542" s="11">
        <f>IFERROR(__xludf.DUMMYFUNCTION("""COMPUTED_VALUE"""),42328.66666666667)</f>
        <v>42328.66667</v>
      </c>
      <c r="C2542" s="9">
        <f>IFERROR(__xludf.DUMMYFUNCTION("""COMPUTED_VALUE"""),60.14)</f>
        <v>60.14</v>
      </c>
      <c r="K2542" s="16"/>
      <c r="T2542" s="17"/>
      <c r="AC2542" s="17"/>
    </row>
    <row r="2543">
      <c r="B2543" s="11">
        <f>IFERROR(__xludf.DUMMYFUNCTION("""COMPUTED_VALUE"""),42327.66666666667)</f>
        <v>42327.66667</v>
      </c>
      <c r="C2543" s="9">
        <f>IFERROR(__xludf.DUMMYFUNCTION("""COMPUTED_VALUE"""),59.63)</f>
        <v>59.63</v>
      </c>
      <c r="K2543" s="16"/>
      <c r="T2543" s="17"/>
      <c r="AC2543" s="17"/>
    </row>
    <row r="2544">
      <c r="B2544" s="11">
        <f>IFERROR(__xludf.DUMMYFUNCTION("""COMPUTED_VALUE"""),42326.66666666667)</f>
        <v>42326.66667</v>
      </c>
      <c r="C2544" s="9">
        <f>IFERROR(__xludf.DUMMYFUNCTION("""COMPUTED_VALUE"""),59.23)</f>
        <v>59.23</v>
      </c>
      <c r="K2544" s="16"/>
      <c r="T2544" s="17"/>
      <c r="AC2544" s="17"/>
    </row>
    <row r="2545">
      <c r="B2545" s="11">
        <f>IFERROR(__xludf.DUMMYFUNCTION("""COMPUTED_VALUE"""),42325.66666666667)</f>
        <v>42325.66667</v>
      </c>
      <c r="C2545" s="9">
        <f>IFERROR(__xludf.DUMMYFUNCTION("""COMPUTED_VALUE"""),58.72)</f>
        <v>58.72</v>
      </c>
      <c r="K2545" s="16"/>
      <c r="T2545" s="17"/>
      <c r="AC2545" s="17"/>
    </row>
    <row r="2546">
      <c r="B2546" s="11">
        <f>IFERROR(__xludf.DUMMYFUNCTION("""COMPUTED_VALUE"""),42324.66666666667)</f>
        <v>42324.66667</v>
      </c>
      <c r="C2546" s="9">
        <f>IFERROR(__xludf.DUMMYFUNCTION("""COMPUTED_VALUE"""),58.7)</f>
        <v>58.7</v>
      </c>
      <c r="K2546" s="16"/>
      <c r="T2546" s="17"/>
      <c r="AC2546" s="17"/>
    </row>
    <row r="2547">
      <c r="B2547" s="11">
        <f>IFERROR(__xludf.DUMMYFUNCTION("""COMPUTED_VALUE"""),42321.66666666667)</f>
        <v>42321.66667</v>
      </c>
      <c r="C2547" s="9">
        <f>IFERROR(__xludf.DUMMYFUNCTION("""COMPUTED_VALUE"""),57.32)</f>
        <v>57.32</v>
      </c>
      <c r="K2547" s="16"/>
      <c r="T2547" s="17"/>
      <c r="AC2547" s="17"/>
    </row>
    <row r="2548">
      <c r="B2548" s="11">
        <f>IFERROR(__xludf.DUMMYFUNCTION("""COMPUTED_VALUE"""),42320.66666666667)</f>
        <v>42320.66667</v>
      </c>
      <c r="C2548" s="9">
        <f>IFERROR(__xludf.DUMMYFUNCTION("""COMPUTED_VALUE"""),57.72)</f>
        <v>57.72</v>
      </c>
      <c r="K2548" s="16"/>
      <c r="T2548" s="17"/>
      <c r="AC2548" s="17"/>
    </row>
    <row r="2549">
      <c r="B2549" s="11">
        <f>IFERROR(__xludf.DUMMYFUNCTION("""COMPUTED_VALUE"""),42319.66666666667)</f>
        <v>42319.66667</v>
      </c>
      <c r="C2549" s="9">
        <f>IFERROR(__xludf.DUMMYFUNCTION("""COMPUTED_VALUE"""),58.63)</f>
        <v>58.63</v>
      </c>
      <c r="K2549" s="16"/>
      <c r="T2549" s="17"/>
      <c r="AC2549" s="17"/>
    </row>
    <row r="2550">
      <c r="B2550" s="11">
        <f>IFERROR(__xludf.DUMMYFUNCTION("""COMPUTED_VALUE"""),42318.66666666667)</f>
        <v>42318.66667</v>
      </c>
      <c r="C2550" s="9">
        <f>IFERROR(__xludf.DUMMYFUNCTION("""COMPUTED_VALUE"""),58.82)</f>
        <v>58.82</v>
      </c>
      <c r="K2550" s="16"/>
      <c r="T2550" s="17"/>
      <c r="AC2550" s="17"/>
    </row>
    <row r="2551">
      <c r="B2551" s="11">
        <f>IFERROR(__xludf.DUMMYFUNCTION("""COMPUTED_VALUE"""),42317.66666666667)</f>
        <v>42317.66667</v>
      </c>
      <c r="C2551" s="9">
        <f>IFERROR(__xludf.DUMMYFUNCTION("""COMPUTED_VALUE"""),58.87)</f>
        <v>58.87</v>
      </c>
      <c r="K2551" s="16"/>
      <c r="T2551" s="17"/>
      <c r="AC2551" s="17"/>
    </row>
    <row r="2552">
      <c r="B2552" s="11">
        <f>IFERROR(__xludf.DUMMYFUNCTION("""COMPUTED_VALUE"""),42314.66666666667)</f>
        <v>42314.66667</v>
      </c>
      <c r="C2552" s="9">
        <f>IFERROR(__xludf.DUMMYFUNCTION("""COMPUTED_VALUE"""),59.62)</f>
        <v>59.62</v>
      </c>
      <c r="K2552" s="16"/>
      <c r="T2552" s="17"/>
      <c r="AC2552" s="17"/>
    </row>
    <row r="2553">
      <c r="B2553" s="11">
        <f>IFERROR(__xludf.DUMMYFUNCTION("""COMPUTED_VALUE"""),42313.66666666667)</f>
        <v>42313.66667</v>
      </c>
      <c r="C2553" s="9">
        <f>IFERROR(__xludf.DUMMYFUNCTION("""COMPUTED_VALUE"""),59.75)</f>
        <v>59.75</v>
      </c>
      <c r="K2553" s="16"/>
      <c r="T2553" s="17"/>
      <c r="AC2553" s="17"/>
    </row>
    <row r="2554">
      <c r="B2554" s="11">
        <f>IFERROR(__xludf.DUMMYFUNCTION("""COMPUTED_VALUE"""),42312.66666666667)</f>
        <v>42312.66667</v>
      </c>
      <c r="C2554" s="9">
        <f>IFERROR(__xludf.DUMMYFUNCTION("""COMPUTED_VALUE"""),59.54)</f>
        <v>59.54</v>
      </c>
      <c r="K2554" s="16"/>
      <c r="T2554" s="17"/>
      <c r="AC2554" s="17"/>
    </row>
    <row r="2555">
      <c r="B2555" s="11">
        <f>IFERROR(__xludf.DUMMYFUNCTION("""COMPUTED_VALUE"""),42311.66666666667)</f>
        <v>42311.66667</v>
      </c>
      <c r="C2555" s="9">
        <f>IFERROR(__xludf.DUMMYFUNCTION("""COMPUTED_VALUE"""),59.68)</f>
        <v>59.68</v>
      </c>
      <c r="K2555" s="16"/>
      <c r="T2555" s="17"/>
      <c r="AC2555" s="17"/>
    </row>
    <row r="2556">
      <c r="B2556" s="11">
        <f>IFERROR(__xludf.DUMMYFUNCTION("""COMPUTED_VALUE"""),42310.66666666667)</f>
        <v>42310.66667</v>
      </c>
      <c r="C2556" s="9">
        <f>IFERROR(__xludf.DUMMYFUNCTION("""COMPUTED_VALUE"""),59.83)</f>
        <v>59.83</v>
      </c>
      <c r="K2556" s="16"/>
      <c r="T2556" s="17"/>
      <c r="AC2556" s="17"/>
    </row>
    <row r="2557">
      <c r="B2557" s="11">
        <f>IFERROR(__xludf.DUMMYFUNCTION("""COMPUTED_VALUE"""),42307.66666666667)</f>
        <v>42307.66667</v>
      </c>
      <c r="C2557" s="9">
        <f>IFERROR(__xludf.DUMMYFUNCTION("""COMPUTED_VALUE"""),59.12)</f>
        <v>59.12</v>
      </c>
      <c r="K2557" s="16"/>
      <c r="T2557" s="17"/>
      <c r="AC2557" s="17"/>
    </row>
    <row r="2558">
      <c r="B2558" s="11">
        <f>IFERROR(__xludf.DUMMYFUNCTION("""COMPUTED_VALUE"""),42306.66666666667)</f>
        <v>42306.66667</v>
      </c>
      <c r="C2558" s="9">
        <f>IFERROR(__xludf.DUMMYFUNCTION("""COMPUTED_VALUE"""),59.45)</f>
        <v>59.45</v>
      </c>
      <c r="K2558" s="16"/>
      <c r="T2558" s="17"/>
      <c r="AC2558" s="17"/>
    </row>
    <row r="2559">
      <c r="B2559" s="11">
        <f>IFERROR(__xludf.DUMMYFUNCTION("""COMPUTED_VALUE"""),42305.66666666667)</f>
        <v>42305.66667</v>
      </c>
      <c r="C2559" s="9">
        <f>IFERROR(__xludf.DUMMYFUNCTION("""COMPUTED_VALUE"""),59.38)</f>
        <v>59.38</v>
      </c>
      <c r="K2559" s="16"/>
      <c r="T2559" s="17"/>
      <c r="AC2559" s="17"/>
    </row>
    <row r="2560">
      <c r="B2560" s="11">
        <f>IFERROR(__xludf.DUMMYFUNCTION("""COMPUTED_VALUE"""),42304.66666666667)</f>
        <v>42304.66667</v>
      </c>
      <c r="C2560" s="9">
        <f>IFERROR(__xludf.DUMMYFUNCTION("""COMPUTED_VALUE"""),58.26)</f>
        <v>58.26</v>
      </c>
      <c r="K2560" s="16"/>
      <c r="T2560" s="17"/>
      <c r="AC2560" s="17"/>
    </row>
    <row r="2561">
      <c r="B2561" s="11">
        <f>IFERROR(__xludf.DUMMYFUNCTION("""COMPUTED_VALUE"""),42303.66666666667)</f>
        <v>42303.66667</v>
      </c>
      <c r="C2561" s="9">
        <f>IFERROR(__xludf.DUMMYFUNCTION("""COMPUTED_VALUE"""),58.14)</f>
        <v>58.14</v>
      </c>
      <c r="K2561" s="16"/>
      <c r="T2561" s="17"/>
      <c r="AC2561" s="17"/>
    </row>
    <row r="2562">
      <c r="B2562" s="11">
        <f>IFERROR(__xludf.DUMMYFUNCTION("""COMPUTED_VALUE"""),42300.66666666667)</f>
        <v>42300.66667</v>
      </c>
      <c r="C2562" s="9">
        <f>IFERROR(__xludf.DUMMYFUNCTION("""COMPUTED_VALUE"""),58.32)</f>
        <v>58.32</v>
      </c>
      <c r="K2562" s="16"/>
      <c r="T2562" s="17"/>
      <c r="AC2562" s="17"/>
    </row>
    <row r="2563">
      <c r="B2563" s="11">
        <f>IFERROR(__xludf.DUMMYFUNCTION("""COMPUTED_VALUE"""),42299.66666666667)</f>
        <v>42299.66667</v>
      </c>
      <c r="C2563" s="9">
        <f>IFERROR(__xludf.DUMMYFUNCTION("""COMPUTED_VALUE"""),58.08)</f>
        <v>58.08</v>
      </c>
      <c r="K2563" s="16"/>
      <c r="T2563" s="17"/>
      <c r="AC2563" s="17"/>
    </row>
    <row r="2564">
      <c r="B2564" s="11">
        <f>IFERROR(__xludf.DUMMYFUNCTION("""COMPUTED_VALUE"""),42298.66666666667)</f>
        <v>42298.66667</v>
      </c>
      <c r="C2564" s="9">
        <f>IFERROR(__xludf.DUMMYFUNCTION("""COMPUTED_VALUE"""),56.67)</f>
        <v>56.67</v>
      </c>
      <c r="K2564" s="16"/>
      <c r="T2564" s="17"/>
      <c r="AC2564" s="17"/>
    </row>
    <row r="2565">
      <c r="B2565" s="11">
        <f>IFERROR(__xludf.DUMMYFUNCTION("""COMPUTED_VALUE"""),42297.66666666667)</f>
        <v>42297.66667</v>
      </c>
      <c r="C2565" s="9">
        <f>IFERROR(__xludf.DUMMYFUNCTION("""COMPUTED_VALUE"""),56.48)</f>
        <v>56.48</v>
      </c>
      <c r="K2565" s="16"/>
      <c r="T2565" s="17"/>
      <c r="AC2565" s="17"/>
    </row>
    <row r="2566">
      <c r="B2566" s="11">
        <f>IFERROR(__xludf.DUMMYFUNCTION("""COMPUTED_VALUE"""),42296.66666666667)</f>
        <v>42296.66667</v>
      </c>
      <c r="C2566" s="9">
        <f>IFERROR(__xludf.DUMMYFUNCTION("""COMPUTED_VALUE"""),56.36)</f>
        <v>56.36</v>
      </c>
      <c r="K2566" s="16"/>
      <c r="T2566" s="17"/>
      <c r="AC2566" s="17"/>
    </row>
    <row r="2567">
      <c r="B2567" s="11">
        <f>IFERROR(__xludf.DUMMYFUNCTION("""COMPUTED_VALUE"""),42293.66666666667)</f>
        <v>42293.66667</v>
      </c>
      <c r="C2567" s="9">
        <f>IFERROR(__xludf.DUMMYFUNCTION("""COMPUTED_VALUE"""),56.39)</f>
        <v>56.39</v>
      </c>
      <c r="K2567" s="16"/>
      <c r="T2567" s="17"/>
      <c r="AC2567" s="17"/>
    </row>
    <row r="2568">
      <c r="B2568" s="11">
        <f>IFERROR(__xludf.DUMMYFUNCTION("""COMPUTED_VALUE"""),42292.66666666667)</f>
        <v>42292.66667</v>
      </c>
      <c r="C2568" s="9">
        <f>IFERROR(__xludf.DUMMYFUNCTION("""COMPUTED_VALUE"""),56.54)</f>
        <v>56.54</v>
      </c>
      <c r="K2568" s="16"/>
      <c r="T2568" s="17"/>
      <c r="AC2568" s="17"/>
    </row>
    <row r="2569">
      <c r="B2569" s="11">
        <f>IFERROR(__xludf.DUMMYFUNCTION("""COMPUTED_VALUE"""),42291.66666666667)</f>
        <v>42291.66667</v>
      </c>
      <c r="C2569" s="9">
        <f>IFERROR(__xludf.DUMMYFUNCTION("""COMPUTED_VALUE"""),55.96)</f>
        <v>55.96</v>
      </c>
      <c r="K2569" s="16"/>
      <c r="T2569" s="17"/>
      <c r="AC2569" s="17"/>
    </row>
    <row r="2570">
      <c r="B2570" s="11">
        <f>IFERROR(__xludf.DUMMYFUNCTION("""COMPUTED_VALUE"""),42290.66666666667)</f>
        <v>42290.66667</v>
      </c>
      <c r="C2570" s="9">
        <f>IFERROR(__xludf.DUMMYFUNCTION("""COMPUTED_VALUE"""),57.13)</f>
        <v>57.13</v>
      </c>
      <c r="K2570" s="16"/>
      <c r="T2570" s="17"/>
      <c r="AC2570" s="17"/>
    </row>
    <row r="2571">
      <c r="B2571" s="11">
        <f>IFERROR(__xludf.DUMMYFUNCTION("""COMPUTED_VALUE"""),42289.66666666667)</f>
        <v>42289.66667</v>
      </c>
      <c r="C2571" s="9">
        <f>IFERROR(__xludf.DUMMYFUNCTION("""COMPUTED_VALUE"""),57.71)</f>
        <v>57.71</v>
      </c>
      <c r="K2571" s="16"/>
      <c r="T2571" s="17"/>
      <c r="AC2571" s="17"/>
    </row>
    <row r="2572">
      <c r="B2572" s="11">
        <f>IFERROR(__xludf.DUMMYFUNCTION("""COMPUTED_VALUE"""),42286.66666666667)</f>
        <v>42286.66667</v>
      </c>
      <c r="C2572" s="9">
        <f>IFERROR(__xludf.DUMMYFUNCTION("""COMPUTED_VALUE"""),57.71)</f>
        <v>57.71</v>
      </c>
      <c r="K2572" s="16"/>
      <c r="T2572" s="17"/>
      <c r="AC2572" s="17"/>
    </row>
    <row r="2573">
      <c r="B2573" s="11">
        <f>IFERROR(__xludf.DUMMYFUNCTION("""COMPUTED_VALUE"""),42285.66666666667)</f>
        <v>42285.66667</v>
      </c>
      <c r="C2573" s="9">
        <f>IFERROR(__xludf.DUMMYFUNCTION("""COMPUTED_VALUE"""),57.41)</f>
        <v>57.41</v>
      </c>
      <c r="K2573" s="16"/>
      <c r="T2573" s="17"/>
      <c r="AC2573" s="17"/>
    </row>
    <row r="2574">
      <c r="B2574" s="11">
        <f>IFERROR(__xludf.DUMMYFUNCTION("""COMPUTED_VALUE"""),42284.66666666667)</f>
        <v>42284.66667</v>
      </c>
      <c r="C2574" s="9">
        <f>IFERROR(__xludf.DUMMYFUNCTION("""COMPUTED_VALUE"""),56.73)</f>
        <v>56.73</v>
      </c>
      <c r="K2574" s="16"/>
      <c r="T2574" s="17"/>
      <c r="AC2574" s="17"/>
    </row>
    <row r="2575">
      <c r="B2575" s="11">
        <f>IFERROR(__xludf.DUMMYFUNCTION("""COMPUTED_VALUE"""),42283.66666666667)</f>
        <v>42283.66667</v>
      </c>
      <c r="C2575" s="9">
        <f>IFERROR(__xludf.DUMMYFUNCTION("""COMPUTED_VALUE"""),55.92)</f>
        <v>55.92</v>
      </c>
      <c r="K2575" s="16"/>
      <c r="T2575" s="17"/>
      <c r="AC2575" s="17"/>
    </row>
    <row r="2576">
      <c r="B2576" s="11">
        <f>IFERROR(__xludf.DUMMYFUNCTION("""COMPUTED_VALUE"""),42282.66666666667)</f>
        <v>42282.66667</v>
      </c>
      <c r="C2576" s="9">
        <f>IFERROR(__xludf.DUMMYFUNCTION("""COMPUTED_VALUE"""),55.96)</f>
        <v>55.96</v>
      </c>
      <c r="K2576" s="16"/>
      <c r="T2576" s="17"/>
      <c r="AC2576" s="17"/>
    </row>
    <row r="2577">
      <c r="B2577" s="11">
        <f>IFERROR(__xludf.DUMMYFUNCTION("""COMPUTED_VALUE"""),42279.66666666667)</f>
        <v>42279.66667</v>
      </c>
      <c r="C2577" s="9">
        <f>IFERROR(__xludf.DUMMYFUNCTION("""COMPUTED_VALUE"""),54.75)</f>
        <v>54.75</v>
      </c>
      <c r="K2577" s="16"/>
      <c r="T2577" s="17"/>
      <c r="AC2577" s="17"/>
    </row>
    <row r="2578">
      <c r="B2578" s="11">
        <f>IFERROR(__xludf.DUMMYFUNCTION("""COMPUTED_VALUE"""),42278.66666666667)</f>
        <v>42278.66667</v>
      </c>
      <c r="C2578" s="9">
        <f>IFERROR(__xludf.DUMMYFUNCTION("""COMPUTED_VALUE"""),54.31)</f>
        <v>54.31</v>
      </c>
      <c r="K2578" s="16"/>
      <c r="T2578" s="17"/>
      <c r="AC2578" s="17"/>
    </row>
    <row r="2579">
      <c r="B2579" s="11">
        <f>IFERROR(__xludf.DUMMYFUNCTION("""COMPUTED_VALUE"""),42277.66666666667)</f>
        <v>42277.66667</v>
      </c>
      <c r="C2579" s="9">
        <f>IFERROR(__xludf.DUMMYFUNCTION("""COMPUTED_VALUE"""),54.51)</f>
        <v>54.51</v>
      </c>
      <c r="K2579" s="16"/>
      <c r="T2579" s="17"/>
      <c r="AC2579" s="17"/>
    </row>
    <row r="2580">
      <c r="B2580" s="11">
        <f>IFERROR(__xludf.DUMMYFUNCTION("""COMPUTED_VALUE"""),42276.66666666667)</f>
        <v>42276.66667</v>
      </c>
      <c r="C2580" s="9">
        <f>IFERROR(__xludf.DUMMYFUNCTION("""COMPUTED_VALUE"""),53.82)</f>
        <v>53.82</v>
      </c>
      <c r="K2580" s="16"/>
      <c r="T2580" s="17"/>
      <c r="AC2580" s="17"/>
    </row>
    <row r="2581">
      <c r="B2581" s="11">
        <f>IFERROR(__xludf.DUMMYFUNCTION("""COMPUTED_VALUE"""),42275.66666666667)</f>
        <v>42275.66667</v>
      </c>
      <c r="C2581" s="9">
        <f>IFERROR(__xludf.DUMMYFUNCTION("""COMPUTED_VALUE"""),53.63)</f>
        <v>53.63</v>
      </c>
      <c r="K2581" s="16"/>
      <c r="T2581" s="17"/>
      <c r="AC2581" s="17"/>
    </row>
    <row r="2582">
      <c r="B2582" s="11">
        <f>IFERROR(__xludf.DUMMYFUNCTION("""COMPUTED_VALUE"""),42272.66666666667)</f>
        <v>42272.66667</v>
      </c>
      <c r="C2582" s="9">
        <f>IFERROR(__xludf.DUMMYFUNCTION("""COMPUTED_VALUE"""),54.65)</f>
        <v>54.65</v>
      </c>
      <c r="K2582" s="16"/>
      <c r="T2582" s="17"/>
      <c r="AC2582" s="17"/>
    </row>
    <row r="2583">
      <c r="B2583" s="11">
        <f>IFERROR(__xludf.DUMMYFUNCTION("""COMPUTED_VALUE"""),42271.66666666667)</f>
        <v>42271.66667</v>
      </c>
      <c r="C2583" s="9">
        <f>IFERROR(__xludf.DUMMYFUNCTION("""COMPUTED_VALUE"""),54.86)</f>
        <v>54.86</v>
      </c>
      <c r="K2583" s="16"/>
      <c r="T2583" s="17"/>
      <c r="AC2583" s="17"/>
    </row>
    <row r="2584">
      <c r="B2584" s="11">
        <f>IFERROR(__xludf.DUMMYFUNCTION("""COMPUTED_VALUE"""),42270.66666666667)</f>
        <v>42270.66667</v>
      </c>
      <c r="C2584" s="9">
        <f>IFERROR(__xludf.DUMMYFUNCTION("""COMPUTED_VALUE"""),55.03)</f>
        <v>55.03</v>
      </c>
      <c r="K2584" s="16"/>
      <c r="T2584" s="17"/>
      <c r="AC2584" s="17"/>
    </row>
    <row r="2585">
      <c r="B2585" s="11">
        <f>IFERROR(__xludf.DUMMYFUNCTION("""COMPUTED_VALUE"""),42269.66666666667)</f>
        <v>42269.66667</v>
      </c>
      <c r="C2585" s="9">
        <f>IFERROR(__xludf.DUMMYFUNCTION("""COMPUTED_VALUE"""),55.63)</f>
        <v>55.63</v>
      </c>
      <c r="K2585" s="16"/>
      <c r="T2585" s="17"/>
      <c r="AC2585" s="17"/>
    </row>
    <row r="2586">
      <c r="B2586" s="11">
        <f>IFERROR(__xludf.DUMMYFUNCTION("""COMPUTED_VALUE"""),42268.66666666667)</f>
        <v>42268.66667</v>
      </c>
      <c r="C2586" s="9">
        <f>IFERROR(__xludf.DUMMYFUNCTION("""COMPUTED_VALUE"""),56.59)</f>
        <v>56.59</v>
      </c>
      <c r="K2586" s="16"/>
      <c r="T2586" s="17"/>
      <c r="AC2586" s="17"/>
    </row>
    <row r="2587">
      <c r="B2587" s="11">
        <f>IFERROR(__xludf.DUMMYFUNCTION("""COMPUTED_VALUE"""),42265.66666666667)</f>
        <v>42265.66667</v>
      </c>
      <c r="C2587" s="9">
        <f>IFERROR(__xludf.DUMMYFUNCTION("""COMPUTED_VALUE"""),56.35)</f>
        <v>56.35</v>
      </c>
      <c r="K2587" s="16"/>
      <c r="T2587" s="17"/>
      <c r="AC2587" s="17"/>
    </row>
    <row r="2588">
      <c r="B2588" s="11">
        <f>IFERROR(__xludf.DUMMYFUNCTION("""COMPUTED_VALUE"""),42264.66666666667)</f>
        <v>42264.66667</v>
      </c>
      <c r="C2588" s="9">
        <f>IFERROR(__xludf.DUMMYFUNCTION("""COMPUTED_VALUE"""),57.48)</f>
        <v>57.48</v>
      </c>
      <c r="K2588" s="16"/>
      <c r="T2588" s="17"/>
      <c r="AC2588" s="17"/>
    </row>
    <row r="2589">
      <c r="B2589" s="11">
        <f>IFERROR(__xludf.DUMMYFUNCTION("""COMPUTED_VALUE"""),42263.66666666667)</f>
        <v>42263.66667</v>
      </c>
      <c r="C2589" s="9">
        <f>IFERROR(__xludf.DUMMYFUNCTION("""COMPUTED_VALUE"""),57.61)</f>
        <v>57.61</v>
      </c>
      <c r="K2589" s="16"/>
      <c r="T2589" s="17"/>
      <c r="AC2589" s="17"/>
    </row>
    <row r="2590">
      <c r="B2590" s="11">
        <f>IFERROR(__xludf.DUMMYFUNCTION("""COMPUTED_VALUE"""),42262.66666666667)</f>
        <v>42262.66667</v>
      </c>
      <c r="C2590" s="9">
        <f>IFERROR(__xludf.DUMMYFUNCTION("""COMPUTED_VALUE"""),57.41)</f>
        <v>57.41</v>
      </c>
      <c r="K2590" s="16"/>
      <c r="T2590" s="17"/>
      <c r="AC2590" s="17"/>
    </row>
    <row r="2591">
      <c r="B2591" s="11">
        <f>IFERROR(__xludf.DUMMYFUNCTION("""COMPUTED_VALUE"""),42261.66666666667)</f>
        <v>42261.66667</v>
      </c>
      <c r="C2591" s="9">
        <f>IFERROR(__xludf.DUMMYFUNCTION("""COMPUTED_VALUE"""),56.87)</f>
        <v>56.87</v>
      </c>
      <c r="K2591" s="16"/>
      <c r="T2591" s="17"/>
      <c r="AC2591" s="17"/>
    </row>
    <row r="2592">
      <c r="B2592" s="11">
        <f>IFERROR(__xludf.DUMMYFUNCTION("""COMPUTED_VALUE"""),42258.66666666667)</f>
        <v>42258.66667</v>
      </c>
      <c r="C2592" s="9">
        <f>IFERROR(__xludf.DUMMYFUNCTION("""COMPUTED_VALUE"""),57.18)</f>
        <v>57.18</v>
      </c>
      <c r="K2592" s="16"/>
      <c r="T2592" s="17"/>
      <c r="AC2592" s="17"/>
    </row>
    <row r="2593">
      <c r="B2593" s="11">
        <f>IFERROR(__xludf.DUMMYFUNCTION("""COMPUTED_VALUE"""),42257.66666666667)</f>
        <v>42257.66667</v>
      </c>
      <c r="C2593" s="9">
        <f>IFERROR(__xludf.DUMMYFUNCTION("""COMPUTED_VALUE"""),57.02)</f>
        <v>57.02</v>
      </c>
      <c r="K2593" s="16"/>
      <c r="T2593" s="17"/>
      <c r="AC2593" s="17"/>
    </row>
    <row r="2594">
      <c r="B2594" s="11">
        <f>IFERROR(__xludf.DUMMYFUNCTION("""COMPUTED_VALUE"""),42256.66666666667)</f>
        <v>42256.66667</v>
      </c>
      <c r="C2594" s="9">
        <f>IFERROR(__xludf.DUMMYFUNCTION("""COMPUTED_VALUE"""),57.01)</f>
        <v>57.01</v>
      </c>
      <c r="K2594" s="16"/>
      <c r="T2594" s="17"/>
      <c r="AC2594" s="17"/>
    </row>
    <row r="2595">
      <c r="B2595" s="11">
        <f>IFERROR(__xludf.DUMMYFUNCTION("""COMPUTED_VALUE"""),42255.66666666667)</f>
        <v>42255.66667</v>
      </c>
      <c r="C2595" s="9">
        <f>IFERROR(__xludf.DUMMYFUNCTION("""COMPUTED_VALUE"""),57.38)</f>
        <v>57.38</v>
      </c>
      <c r="K2595" s="16"/>
      <c r="T2595" s="17"/>
      <c r="AC2595" s="17"/>
    </row>
    <row r="2596">
      <c r="B2596" s="11">
        <f>IFERROR(__xludf.DUMMYFUNCTION("""COMPUTED_VALUE"""),42251.66666666667)</f>
        <v>42251.66667</v>
      </c>
      <c r="C2596" s="9">
        <f>IFERROR(__xludf.DUMMYFUNCTION("""COMPUTED_VALUE"""),56.0)</f>
        <v>56</v>
      </c>
      <c r="K2596" s="16"/>
      <c r="T2596" s="17"/>
      <c r="AC2596" s="17"/>
    </row>
    <row r="2597">
      <c r="B2597" s="11">
        <f>IFERROR(__xludf.DUMMYFUNCTION("""COMPUTED_VALUE"""),42250.66666666667)</f>
        <v>42250.66667</v>
      </c>
      <c r="C2597" s="9">
        <f>IFERROR(__xludf.DUMMYFUNCTION("""COMPUTED_VALUE"""),56.78)</f>
        <v>56.78</v>
      </c>
      <c r="K2597" s="16"/>
      <c r="T2597" s="17"/>
      <c r="AC2597" s="17"/>
    </row>
    <row r="2598">
      <c r="B2598" s="11">
        <f>IFERROR(__xludf.DUMMYFUNCTION("""COMPUTED_VALUE"""),42249.66666666667)</f>
        <v>42249.66667</v>
      </c>
      <c r="C2598" s="9">
        <f>IFERROR(__xludf.DUMMYFUNCTION("""COMPUTED_VALUE"""),56.55)</f>
        <v>56.55</v>
      </c>
      <c r="K2598" s="16"/>
      <c r="T2598" s="17"/>
      <c r="AC2598" s="17"/>
    </row>
    <row r="2599">
      <c r="B2599" s="11">
        <f>IFERROR(__xludf.DUMMYFUNCTION("""COMPUTED_VALUE"""),42248.66666666667)</f>
        <v>42248.66667</v>
      </c>
      <c r="C2599" s="9">
        <f>IFERROR(__xludf.DUMMYFUNCTION("""COMPUTED_VALUE"""),55.29)</f>
        <v>55.29</v>
      </c>
      <c r="K2599" s="16"/>
      <c r="T2599" s="17"/>
      <c r="AC2599" s="17"/>
    </row>
    <row r="2600">
      <c r="B2600" s="11">
        <f>IFERROR(__xludf.DUMMYFUNCTION("""COMPUTED_VALUE"""),42247.66666666667)</f>
        <v>42247.66667</v>
      </c>
      <c r="C2600" s="9">
        <f>IFERROR(__xludf.DUMMYFUNCTION("""COMPUTED_VALUE"""),56.74)</f>
        <v>56.74</v>
      </c>
      <c r="K2600" s="16"/>
      <c r="T2600" s="17"/>
      <c r="AC2600" s="17"/>
    </row>
    <row r="2601">
      <c r="B2601" s="11">
        <f>IFERROR(__xludf.DUMMYFUNCTION("""COMPUTED_VALUE"""),42244.66666666667)</f>
        <v>42244.66667</v>
      </c>
      <c r="C2601" s="9">
        <f>IFERROR(__xludf.DUMMYFUNCTION("""COMPUTED_VALUE"""),57.28)</f>
        <v>57.28</v>
      </c>
      <c r="K2601" s="16"/>
      <c r="T2601" s="17"/>
      <c r="AC2601" s="17"/>
    </row>
    <row r="2602">
      <c r="B2602" s="11">
        <f>IFERROR(__xludf.DUMMYFUNCTION("""COMPUTED_VALUE"""),42243.66666666667)</f>
        <v>42243.66667</v>
      </c>
      <c r="C2602" s="9">
        <f>IFERROR(__xludf.DUMMYFUNCTION("""COMPUTED_VALUE"""),57.12)</f>
        <v>57.12</v>
      </c>
      <c r="K2602" s="16"/>
      <c r="T2602" s="17"/>
      <c r="AC2602" s="17"/>
    </row>
    <row r="2603">
      <c r="B2603" s="11">
        <f>IFERROR(__xludf.DUMMYFUNCTION("""COMPUTED_VALUE"""),42242.66666666667)</f>
        <v>42242.66667</v>
      </c>
      <c r="C2603" s="9">
        <f>IFERROR(__xludf.DUMMYFUNCTION("""COMPUTED_VALUE"""),56.13)</f>
        <v>56.13</v>
      </c>
      <c r="K2603" s="16"/>
      <c r="T2603" s="17"/>
      <c r="AC2603" s="17"/>
    </row>
    <row r="2604">
      <c r="B2604" s="11">
        <f>IFERROR(__xludf.DUMMYFUNCTION("""COMPUTED_VALUE"""),42241.66666666667)</f>
        <v>42241.66667</v>
      </c>
      <c r="C2604" s="9">
        <f>IFERROR(__xludf.DUMMYFUNCTION("""COMPUTED_VALUE"""),54.8)</f>
        <v>54.8</v>
      </c>
      <c r="K2604" s="16"/>
      <c r="T2604" s="17"/>
      <c r="AC2604" s="17"/>
    </row>
    <row r="2605">
      <c r="B2605" s="11">
        <f>IFERROR(__xludf.DUMMYFUNCTION("""COMPUTED_VALUE"""),42240.66666666667)</f>
        <v>42240.66667</v>
      </c>
      <c r="C2605" s="9">
        <f>IFERROR(__xludf.DUMMYFUNCTION("""COMPUTED_VALUE"""),55.33)</f>
        <v>55.33</v>
      </c>
      <c r="K2605" s="16"/>
      <c r="T2605" s="17"/>
      <c r="AC2605" s="17"/>
    </row>
    <row r="2606">
      <c r="B2606" s="11">
        <f>IFERROR(__xludf.DUMMYFUNCTION("""COMPUTED_VALUE"""),42237.66666666667)</f>
        <v>42237.66667</v>
      </c>
      <c r="C2606" s="9">
        <f>IFERROR(__xludf.DUMMYFUNCTION("""COMPUTED_VALUE"""),57.19)</f>
        <v>57.19</v>
      </c>
      <c r="K2606" s="16"/>
      <c r="T2606" s="17"/>
      <c r="AC2606" s="17"/>
    </row>
    <row r="2607">
      <c r="B2607" s="11">
        <f>IFERROR(__xludf.DUMMYFUNCTION("""COMPUTED_VALUE"""),42236.66666666667)</f>
        <v>42236.66667</v>
      </c>
      <c r="C2607" s="9">
        <f>IFERROR(__xludf.DUMMYFUNCTION("""COMPUTED_VALUE"""),58.55)</f>
        <v>58.55</v>
      </c>
      <c r="K2607" s="16"/>
      <c r="T2607" s="17"/>
      <c r="AC2607" s="17"/>
    </row>
    <row r="2608">
      <c r="B2608" s="11">
        <f>IFERROR(__xludf.DUMMYFUNCTION("""COMPUTED_VALUE"""),42235.66666666667)</f>
        <v>42235.66667</v>
      </c>
      <c r="C2608" s="9">
        <f>IFERROR(__xludf.DUMMYFUNCTION("""COMPUTED_VALUE"""),60.07)</f>
        <v>60.07</v>
      </c>
      <c r="K2608" s="16"/>
      <c r="T2608" s="17"/>
      <c r="AC2608" s="17"/>
    </row>
    <row r="2609">
      <c r="B2609" s="11">
        <f>IFERROR(__xludf.DUMMYFUNCTION("""COMPUTED_VALUE"""),42234.66666666667)</f>
        <v>42234.66667</v>
      </c>
      <c r="C2609" s="9">
        <f>IFERROR(__xludf.DUMMYFUNCTION("""COMPUTED_VALUE"""),60.48)</f>
        <v>60.48</v>
      </c>
      <c r="K2609" s="16"/>
      <c r="T2609" s="17"/>
      <c r="AC2609" s="17"/>
    </row>
    <row r="2610">
      <c r="B2610" s="11">
        <f>IFERROR(__xludf.DUMMYFUNCTION("""COMPUTED_VALUE"""),42233.66666666667)</f>
        <v>42233.66667</v>
      </c>
      <c r="C2610" s="9">
        <f>IFERROR(__xludf.DUMMYFUNCTION("""COMPUTED_VALUE"""),60.68)</f>
        <v>60.68</v>
      </c>
      <c r="K2610" s="16"/>
      <c r="T2610" s="17"/>
      <c r="AC2610" s="17"/>
    </row>
    <row r="2611">
      <c r="B2611" s="11">
        <f>IFERROR(__xludf.DUMMYFUNCTION("""COMPUTED_VALUE"""),42230.66666666667)</f>
        <v>42230.66667</v>
      </c>
      <c r="C2611" s="9">
        <f>IFERROR(__xludf.DUMMYFUNCTION("""COMPUTED_VALUE"""),60.44)</f>
        <v>60.44</v>
      </c>
      <c r="K2611" s="16"/>
      <c r="T2611" s="17"/>
      <c r="AC2611" s="17"/>
    </row>
    <row r="2612">
      <c r="B2612" s="11">
        <f>IFERROR(__xludf.DUMMYFUNCTION("""COMPUTED_VALUE"""),42229.66666666667)</f>
        <v>42229.66667</v>
      </c>
      <c r="C2612" s="9">
        <f>IFERROR(__xludf.DUMMYFUNCTION("""COMPUTED_VALUE"""),60.04)</f>
        <v>60.04</v>
      </c>
      <c r="K2612" s="16"/>
      <c r="T2612" s="17"/>
      <c r="AC2612" s="17"/>
    </row>
    <row r="2613">
      <c r="B2613" s="11">
        <f>IFERROR(__xludf.DUMMYFUNCTION("""COMPUTED_VALUE"""),42228.66666666667)</f>
        <v>42228.66667</v>
      </c>
      <c r="C2613" s="9">
        <f>IFERROR(__xludf.DUMMYFUNCTION("""COMPUTED_VALUE"""),59.69)</f>
        <v>59.69</v>
      </c>
      <c r="K2613" s="16"/>
      <c r="T2613" s="17"/>
      <c r="AC2613" s="17"/>
    </row>
    <row r="2614">
      <c r="B2614" s="11">
        <f>IFERROR(__xludf.DUMMYFUNCTION("""COMPUTED_VALUE"""),42227.66666666667)</f>
        <v>42227.66667</v>
      </c>
      <c r="C2614" s="9">
        <f>IFERROR(__xludf.DUMMYFUNCTION("""COMPUTED_VALUE"""),59.93)</f>
        <v>59.93</v>
      </c>
      <c r="K2614" s="16"/>
      <c r="T2614" s="17"/>
      <c r="AC2614" s="17"/>
    </row>
    <row r="2615">
      <c r="B2615" s="11">
        <f>IFERROR(__xludf.DUMMYFUNCTION("""COMPUTED_VALUE"""),42226.66666666667)</f>
        <v>42226.66667</v>
      </c>
      <c r="C2615" s="9">
        <f>IFERROR(__xludf.DUMMYFUNCTION("""COMPUTED_VALUE"""),60.54)</f>
        <v>60.54</v>
      </c>
      <c r="K2615" s="16"/>
      <c r="T2615" s="17"/>
      <c r="AC2615" s="17"/>
    </row>
    <row r="2616">
      <c r="B2616" s="11">
        <f>IFERROR(__xludf.DUMMYFUNCTION("""COMPUTED_VALUE"""),42223.66666666667)</f>
        <v>42223.66667</v>
      </c>
      <c r="C2616" s="9">
        <f>IFERROR(__xludf.DUMMYFUNCTION("""COMPUTED_VALUE"""),58.95)</f>
        <v>58.95</v>
      </c>
      <c r="K2616" s="16"/>
      <c r="T2616" s="17"/>
      <c r="AC2616" s="17"/>
    </row>
    <row r="2617">
      <c r="B2617" s="11">
        <f>IFERROR(__xludf.DUMMYFUNCTION("""COMPUTED_VALUE"""),42222.66666666667)</f>
        <v>42222.66667</v>
      </c>
      <c r="C2617" s="9">
        <f>IFERROR(__xludf.DUMMYFUNCTION("""COMPUTED_VALUE"""),59.25)</f>
        <v>59.25</v>
      </c>
      <c r="K2617" s="16"/>
      <c r="T2617" s="17"/>
      <c r="AC2617" s="17"/>
    </row>
    <row r="2618">
      <c r="B2618" s="11">
        <f>IFERROR(__xludf.DUMMYFUNCTION("""COMPUTED_VALUE"""),42221.66666666667)</f>
        <v>42221.66667</v>
      </c>
      <c r="C2618" s="9">
        <f>IFERROR(__xludf.DUMMYFUNCTION("""COMPUTED_VALUE"""),59.17)</f>
        <v>59.17</v>
      </c>
      <c r="K2618" s="16"/>
      <c r="T2618" s="17"/>
      <c r="AC2618" s="17"/>
    </row>
    <row r="2619">
      <c r="B2619" s="11">
        <f>IFERROR(__xludf.DUMMYFUNCTION("""COMPUTED_VALUE"""),42220.66666666667)</f>
        <v>42220.66667</v>
      </c>
      <c r="C2619" s="9">
        <f>IFERROR(__xludf.DUMMYFUNCTION("""COMPUTED_VALUE"""),58.77)</f>
        <v>58.77</v>
      </c>
      <c r="K2619" s="16"/>
      <c r="T2619" s="17"/>
      <c r="AC2619" s="17"/>
    </row>
    <row r="2620">
      <c r="B2620" s="11">
        <f>IFERROR(__xludf.DUMMYFUNCTION("""COMPUTED_VALUE"""),42219.66666666667)</f>
        <v>42219.66667</v>
      </c>
      <c r="C2620" s="9">
        <f>IFERROR(__xludf.DUMMYFUNCTION("""COMPUTED_VALUE"""),58.68)</f>
        <v>58.68</v>
      </c>
      <c r="K2620" s="16"/>
      <c r="T2620" s="17"/>
      <c r="AC2620" s="17"/>
    </row>
    <row r="2621">
      <c r="B2621" s="11">
        <f>IFERROR(__xludf.DUMMYFUNCTION("""COMPUTED_VALUE"""),42216.66666666667)</f>
        <v>42216.66667</v>
      </c>
      <c r="C2621" s="9">
        <f>IFERROR(__xludf.DUMMYFUNCTION("""COMPUTED_VALUE"""),59.02)</f>
        <v>59.02</v>
      </c>
      <c r="K2621" s="16"/>
      <c r="T2621" s="17"/>
      <c r="AC2621" s="17"/>
    </row>
    <row r="2622">
      <c r="B2622" s="11">
        <f>IFERROR(__xludf.DUMMYFUNCTION("""COMPUTED_VALUE"""),42215.66666666667)</f>
        <v>42215.66667</v>
      </c>
      <c r="C2622" s="9">
        <f>IFERROR(__xludf.DUMMYFUNCTION("""COMPUTED_VALUE"""),59.08)</f>
        <v>59.08</v>
      </c>
      <c r="K2622" s="16"/>
      <c r="T2622" s="17"/>
      <c r="AC2622" s="17"/>
    </row>
    <row r="2623">
      <c r="B2623" s="11">
        <f>IFERROR(__xludf.DUMMYFUNCTION("""COMPUTED_VALUE"""),42214.66666666667)</f>
        <v>42214.66667</v>
      </c>
      <c r="C2623" s="9">
        <f>IFERROR(__xludf.DUMMYFUNCTION("""COMPUTED_VALUE"""),59.37)</f>
        <v>59.37</v>
      </c>
      <c r="K2623" s="16"/>
      <c r="T2623" s="17"/>
      <c r="AC2623" s="17"/>
    </row>
    <row r="2624">
      <c r="B2624" s="11">
        <f>IFERROR(__xludf.DUMMYFUNCTION("""COMPUTED_VALUE"""),42213.66666666667)</f>
        <v>42213.66667</v>
      </c>
      <c r="C2624" s="9">
        <f>IFERROR(__xludf.DUMMYFUNCTION("""COMPUTED_VALUE"""),58.31)</f>
        <v>58.31</v>
      </c>
      <c r="K2624" s="16"/>
      <c r="T2624" s="17"/>
      <c r="AC2624" s="17"/>
    </row>
    <row r="2625">
      <c r="B2625" s="11">
        <f>IFERROR(__xludf.DUMMYFUNCTION("""COMPUTED_VALUE"""),42212.66666666667)</f>
        <v>42212.66667</v>
      </c>
      <c r="C2625" s="9">
        <f>IFERROR(__xludf.DUMMYFUNCTION("""COMPUTED_VALUE"""),57.57)</f>
        <v>57.57</v>
      </c>
      <c r="K2625" s="16"/>
      <c r="T2625" s="17"/>
      <c r="AC2625" s="17"/>
    </row>
    <row r="2626">
      <c r="B2626" s="11">
        <f>IFERROR(__xludf.DUMMYFUNCTION("""COMPUTED_VALUE"""),42209.66666666667)</f>
        <v>42209.66667</v>
      </c>
      <c r="C2626" s="9">
        <f>IFERROR(__xludf.DUMMYFUNCTION("""COMPUTED_VALUE"""),58.21)</f>
        <v>58.21</v>
      </c>
      <c r="K2626" s="16"/>
      <c r="T2626" s="17"/>
      <c r="AC2626" s="17"/>
    </row>
    <row r="2627">
      <c r="B2627" s="11">
        <f>IFERROR(__xludf.DUMMYFUNCTION("""COMPUTED_VALUE"""),42208.66666666667)</f>
        <v>42208.66667</v>
      </c>
      <c r="C2627" s="9">
        <f>IFERROR(__xludf.DUMMYFUNCTION("""COMPUTED_VALUE"""),59.08)</f>
        <v>59.08</v>
      </c>
      <c r="K2627" s="16"/>
      <c r="T2627" s="17"/>
      <c r="AC2627" s="17"/>
    </row>
    <row r="2628">
      <c r="B2628" s="11">
        <f>IFERROR(__xludf.DUMMYFUNCTION("""COMPUTED_VALUE"""),42207.66666666667)</f>
        <v>42207.66667</v>
      </c>
      <c r="C2628" s="9">
        <f>IFERROR(__xludf.DUMMYFUNCTION("""COMPUTED_VALUE"""),59.06)</f>
        <v>59.06</v>
      </c>
      <c r="K2628" s="16"/>
      <c r="T2628" s="17"/>
      <c r="AC2628" s="17"/>
    </row>
    <row r="2629">
      <c r="B2629" s="11">
        <f>IFERROR(__xludf.DUMMYFUNCTION("""COMPUTED_VALUE"""),42206.66666666667)</f>
        <v>42206.66667</v>
      </c>
      <c r="C2629" s="9">
        <f>IFERROR(__xludf.DUMMYFUNCTION("""COMPUTED_VALUE"""),59.61)</f>
        <v>59.61</v>
      </c>
      <c r="K2629" s="16"/>
      <c r="T2629" s="17"/>
      <c r="AC2629" s="17"/>
    </row>
    <row r="2630">
      <c r="B2630" s="11">
        <f>IFERROR(__xludf.DUMMYFUNCTION("""COMPUTED_VALUE"""),42205.66666666667)</f>
        <v>42205.66667</v>
      </c>
      <c r="C2630" s="9">
        <f>IFERROR(__xludf.DUMMYFUNCTION("""COMPUTED_VALUE"""),60.94)</f>
        <v>60.94</v>
      </c>
      <c r="K2630" s="16"/>
      <c r="T2630" s="17"/>
      <c r="AC2630" s="17"/>
    </row>
    <row r="2631">
      <c r="B2631" s="11">
        <f>IFERROR(__xludf.DUMMYFUNCTION("""COMPUTED_VALUE"""),42202.66666666667)</f>
        <v>42202.66667</v>
      </c>
      <c r="C2631" s="9">
        <f>IFERROR(__xludf.DUMMYFUNCTION("""COMPUTED_VALUE"""),60.95)</f>
        <v>60.95</v>
      </c>
      <c r="K2631" s="16"/>
      <c r="T2631" s="17"/>
      <c r="AC2631" s="17"/>
    </row>
    <row r="2632">
      <c r="B2632" s="11">
        <f>IFERROR(__xludf.DUMMYFUNCTION("""COMPUTED_VALUE"""),42201.66666666667)</f>
        <v>42201.66667</v>
      </c>
      <c r="C2632" s="9">
        <f>IFERROR(__xludf.DUMMYFUNCTION("""COMPUTED_VALUE"""),61.17)</f>
        <v>61.17</v>
      </c>
      <c r="K2632" s="16"/>
      <c r="T2632" s="17"/>
      <c r="AC2632" s="17"/>
    </row>
    <row r="2633">
      <c r="B2633" s="11">
        <f>IFERROR(__xludf.DUMMYFUNCTION("""COMPUTED_VALUE"""),42200.66666666667)</f>
        <v>42200.66667</v>
      </c>
      <c r="C2633" s="9">
        <f>IFERROR(__xludf.DUMMYFUNCTION("""COMPUTED_VALUE"""),60.7)</f>
        <v>60.7</v>
      </c>
      <c r="K2633" s="16"/>
      <c r="T2633" s="17"/>
      <c r="AC2633" s="17"/>
    </row>
    <row r="2634">
      <c r="B2634" s="11">
        <f>IFERROR(__xludf.DUMMYFUNCTION("""COMPUTED_VALUE"""),42199.66666666667)</f>
        <v>42199.66667</v>
      </c>
      <c r="C2634" s="9">
        <f>IFERROR(__xludf.DUMMYFUNCTION("""COMPUTED_VALUE"""),61.03)</f>
        <v>61.03</v>
      </c>
      <c r="K2634" s="16"/>
      <c r="T2634" s="17"/>
      <c r="AC2634" s="17"/>
    </row>
    <row r="2635">
      <c r="B2635" s="11">
        <f>IFERROR(__xludf.DUMMYFUNCTION("""COMPUTED_VALUE"""),42198.66666666667)</f>
        <v>42198.66667</v>
      </c>
      <c r="C2635" s="9">
        <f>IFERROR(__xludf.DUMMYFUNCTION("""COMPUTED_VALUE"""),60.63)</f>
        <v>60.63</v>
      </c>
      <c r="K2635" s="16"/>
      <c r="T2635" s="17"/>
      <c r="AC2635" s="17"/>
    </row>
    <row r="2636">
      <c r="B2636" s="11">
        <f>IFERROR(__xludf.DUMMYFUNCTION("""COMPUTED_VALUE"""),42195.66666666667)</f>
        <v>42195.66667</v>
      </c>
      <c r="C2636" s="9">
        <f>IFERROR(__xludf.DUMMYFUNCTION("""COMPUTED_VALUE"""),60.0)</f>
        <v>60</v>
      </c>
      <c r="K2636" s="16"/>
      <c r="T2636" s="17"/>
      <c r="AC2636" s="17"/>
    </row>
    <row r="2637">
      <c r="B2637" s="11">
        <f>IFERROR(__xludf.DUMMYFUNCTION("""COMPUTED_VALUE"""),42194.66666666667)</f>
        <v>42194.66667</v>
      </c>
      <c r="C2637" s="9">
        <f>IFERROR(__xludf.DUMMYFUNCTION("""COMPUTED_VALUE"""),59.34)</f>
        <v>59.34</v>
      </c>
      <c r="K2637" s="16"/>
      <c r="T2637" s="17"/>
      <c r="AC2637" s="17"/>
    </row>
    <row r="2638">
      <c r="B2638" s="11">
        <f>IFERROR(__xludf.DUMMYFUNCTION("""COMPUTED_VALUE"""),42193.66666666667)</f>
        <v>42193.66667</v>
      </c>
      <c r="C2638" s="9">
        <f>IFERROR(__xludf.DUMMYFUNCTION("""COMPUTED_VALUE"""),59.09)</f>
        <v>59.09</v>
      </c>
      <c r="K2638" s="16"/>
      <c r="T2638" s="17"/>
      <c r="AC2638" s="17"/>
    </row>
    <row r="2639">
      <c r="B2639" s="11">
        <f>IFERROR(__xludf.DUMMYFUNCTION("""COMPUTED_VALUE"""),42192.66666666667)</f>
        <v>42192.66667</v>
      </c>
      <c r="C2639" s="9">
        <f>IFERROR(__xludf.DUMMYFUNCTION("""COMPUTED_VALUE"""),59.79)</f>
        <v>59.79</v>
      </c>
      <c r="K2639" s="16"/>
      <c r="T2639" s="17"/>
      <c r="AC2639" s="17"/>
    </row>
    <row r="2640">
      <c r="B2640" s="11">
        <f>IFERROR(__xludf.DUMMYFUNCTION("""COMPUTED_VALUE"""),42191.66666666667)</f>
        <v>42191.66667</v>
      </c>
      <c r="C2640" s="9">
        <f>IFERROR(__xludf.DUMMYFUNCTION("""COMPUTED_VALUE"""),59.5)</f>
        <v>59.5</v>
      </c>
      <c r="K2640" s="16"/>
      <c r="T2640" s="17"/>
      <c r="AC2640" s="17"/>
    </row>
    <row r="2641">
      <c r="B2641" s="11">
        <f>IFERROR(__xludf.DUMMYFUNCTION("""COMPUTED_VALUE"""),42187.66666666667)</f>
        <v>42187.66667</v>
      </c>
      <c r="C2641" s="9">
        <f>IFERROR(__xludf.DUMMYFUNCTION("""COMPUTED_VALUE"""),59.59)</f>
        <v>59.59</v>
      </c>
      <c r="K2641" s="16"/>
      <c r="T2641" s="17"/>
      <c r="AC2641" s="17"/>
    </row>
    <row r="2642">
      <c r="B2642" s="11">
        <f>IFERROR(__xludf.DUMMYFUNCTION("""COMPUTED_VALUE"""),42186.66666666667)</f>
        <v>42186.66667</v>
      </c>
      <c r="C2642" s="9">
        <f>IFERROR(__xludf.DUMMYFUNCTION("""COMPUTED_VALUE"""),60.05)</f>
        <v>60.05</v>
      </c>
      <c r="K2642" s="16"/>
      <c r="T2642" s="17"/>
      <c r="AC2642" s="17"/>
    </row>
    <row r="2643">
      <c r="B2643" s="11">
        <f>IFERROR(__xludf.DUMMYFUNCTION("""COMPUTED_VALUE"""),42185.66666666667)</f>
        <v>42185.66667</v>
      </c>
      <c r="C2643" s="9">
        <f>IFERROR(__xludf.DUMMYFUNCTION("""COMPUTED_VALUE"""),59.57)</f>
        <v>59.57</v>
      </c>
      <c r="K2643" s="16"/>
      <c r="T2643" s="17"/>
      <c r="AC2643" s="17"/>
    </row>
    <row r="2644">
      <c r="B2644" s="11">
        <f>IFERROR(__xludf.DUMMYFUNCTION("""COMPUTED_VALUE"""),42184.66666666667)</f>
        <v>42184.66667</v>
      </c>
      <c r="C2644" s="9">
        <f>IFERROR(__xludf.DUMMYFUNCTION("""COMPUTED_VALUE"""),59.56)</f>
        <v>59.56</v>
      </c>
      <c r="K2644" s="16"/>
      <c r="T2644" s="17"/>
      <c r="AC2644" s="17"/>
    </row>
    <row r="2645">
      <c r="B2645" s="11">
        <f>IFERROR(__xludf.DUMMYFUNCTION("""COMPUTED_VALUE"""),42181.66666666667)</f>
        <v>42181.66667</v>
      </c>
      <c r="C2645" s="9">
        <f>IFERROR(__xludf.DUMMYFUNCTION("""COMPUTED_VALUE"""),60.77)</f>
        <v>60.77</v>
      </c>
      <c r="K2645" s="16"/>
      <c r="T2645" s="17"/>
      <c r="AC2645" s="17"/>
    </row>
    <row r="2646">
      <c r="B2646" s="11">
        <f>IFERROR(__xludf.DUMMYFUNCTION("""COMPUTED_VALUE"""),42180.66666666667)</f>
        <v>42180.66667</v>
      </c>
      <c r="C2646" s="9">
        <f>IFERROR(__xludf.DUMMYFUNCTION("""COMPUTED_VALUE"""),60.78)</f>
        <v>60.78</v>
      </c>
      <c r="K2646" s="16"/>
      <c r="T2646" s="17"/>
      <c r="AC2646" s="17"/>
    </row>
    <row r="2647">
      <c r="B2647" s="11">
        <f>IFERROR(__xludf.DUMMYFUNCTION("""COMPUTED_VALUE"""),42179.66666666667)</f>
        <v>42179.66667</v>
      </c>
      <c r="C2647" s="9">
        <f>IFERROR(__xludf.DUMMYFUNCTION("""COMPUTED_VALUE"""),61.04)</f>
        <v>61.04</v>
      </c>
      <c r="K2647" s="16"/>
      <c r="T2647" s="17"/>
      <c r="AC2647" s="17"/>
    </row>
    <row r="2648">
      <c r="B2648" s="11">
        <f>IFERROR(__xludf.DUMMYFUNCTION("""COMPUTED_VALUE"""),42178.66666666667)</f>
        <v>42178.66667</v>
      </c>
      <c r="C2648" s="9">
        <f>IFERROR(__xludf.DUMMYFUNCTION("""COMPUTED_VALUE"""),61.73)</f>
        <v>61.73</v>
      </c>
      <c r="K2648" s="16"/>
      <c r="T2648" s="17"/>
      <c r="AC2648" s="17"/>
    </row>
    <row r="2649">
      <c r="B2649" s="11">
        <f>IFERROR(__xludf.DUMMYFUNCTION("""COMPUTED_VALUE"""),42177.66666666667)</f>
        <v>42177.66667</v>
      </c>
      <c r="C2649" s="9">
        <f>IFERROR(__xludf.DUMMYFUNCTION("""COMPUTED_VALUE"""),61.73)</f>
        <v>61.73</v>
      </c>
      <c r="K2649" s="16"/>
      <c r="T2649" s="17"/>
      <c r="AC2649" s="17"/>
    </row>
    <row r="2650">
      <c r="B2650" s="11">
        <f>IFERROR(__xludf.DUMMYFUNCTION("""COMPUTED_VALUE"""),42174.66666666667)</f>
        <v>42174.66667</v>
      </c>
      <c r="C2650" s="9">
        <f>IFERROR(__xludf.DUMMYFUNCTION("""COMPUTED_VALUE"""),61.53)</f>
        <v>61.53</v>
      </c>
      <c r="K2650" s="16"/>
      <c r="T2650" s="17"/>
      <c r="AC2650" s="17"/>
    </row>
    <row r="2651">
      <c r="B2651" s="11">
        <f>IFERROR(__xludf.DUMMYFUNCTION("""COMPUTED_VALUE"""),42173.66666666667)</f>
        <v>42173.66667</v>
      </c>
      <c r="C2651" s="9">
        <f>IFERROR(__xludf.DUMMYFUNCTION("""COMPUTED_VALUE"""),61.74)</f>
        <v>61.74</v>
      </c>
      <c r="K2651" s="16"/>
      <c r="T2651" s="17"/>
      <c r="AC2651" s="17"/>
    </row>
    <row r="2652">
      <c r="B2652" s="11">
        <f>IFERROR(__xludf.DUMMYFUNCTION("""COMPUTED_VALUE"""),42172.66666666667)</f>
        <v>42172.66667</v>
      </c>
      <c r="C2652" s="9">
        <f>IFERROR(__xludf.DUMMYFUNCTION("""COMPUTED_VALUE"""),61.09)</f>
        <v>61.09</v>
      </c>
      <c r="K2652" s="16"/>
      <c r="T2652" s="17"/>
      <c r="AC2652" s="17"/>
    </row>
    <row r="2653">
      <c r="B2653" s="11">
        <f>IFERROR(__xludf.DUMMYFUNCTION("""COMPUTED_VALUE"""),42171.66666666667)</f>
        <v>42171.66667</v>
      </c>
      <c r="C2653" s="9">
        <f>IFERROR(__xludf.DUMMYFUNCTION("""COMPUTED_VALUE"""),60.92)</f>
        <v>60.92</v>
      </c>
      <c r="K2653" s="16"/>
      <c r="T2653" s="17"/>
      <c r="AC2653" s="17"/>
    </row>
    <row r="2654">
      <c r="B2654" s="11">
        <f>IFERROR(__xludf.DUMMYFUNCTION("""COMPUTED_VALUE"""),42170.66666666667)</f>
        <v>42170.66667</v>
      </c>
      <c r="C2654" s="9">
        <f>IFERROR(__xludf.DUMMYFUNCTION("""COMPUTED_VALUE"""),60.59)</f>
        <v>60.59</v>
      </c>
      <c r="K2654" s="16"/>
      <c r="T2654" s="17"/>
      <c r="AC2654" s="17"/>
    </row>
    <row r="2655">
      <c r="B2655" s="11">
        <f>IFERROR(__xludf.DUMMYFUNCTION("""COMPUTED_VALUE"""),42167.66666666667)</f>
        <v>42167.66667</v>
      </c>
      <c r="C2655" s="9">
        <f>IFERROR(__xludf.DUMMYFUNCTION("""COMPUTED_VALUE"""),61.0)</f>
        <v>61</v>
      </c>
      <c r="K2655" s="16"/>
      <c r="T2655" s="17"/>
      <c r="AC2655" s="17"/>
    </row>
    <row r="2656">
      <c r="B2656" s="11">
        <f>IFERROR(__xludf.DUMMYFUNCTION("""COMPUTED_VALUE"""),42166.66666666667)</f>
        <v>42166.66667</v>
      </c>
      <c r="C2656" s="9">
        <f>IFERROR(__xludf.DUMMYFUNCTION("""COMPUTED_VALUE"""),61.22)</f>
        <v>61.22</v>
      </c>
      <c r="K2656" s="16"/>
      <c r="T2656" s="17"/>
      <c r="AC2656" s="17"/>
    </row>
    <row r="2657">
      <c r="B2657" s="11">
        <f>IFERROR(__xludf.DUMMYFUNCTION("""COMPUTED_VALUE"""),42165.66666666667)</f>
        <v>42165.66667</v>
      </c>
      <c r="C2657" s="9">
        <f>IFERROR(__xludf.DUMMYFUNCTION("""COMPUTED_VALUE"""),60.84)</f>
        <v>60.84</v>
      </c>
      <c r="K2657" s="16"/>
      <c r="T2657" s="17"/>
      <c r="AC2657" s="17"/>
    </row>
    <row r="2658">
      <c r="B2658" s="11">
        <f>IFERROR(__xludf.DUMMYFUNCTION("""COMPUTED_VALUE"""),42164.66666666667)</f>
        <v>42164.66667</v>
      </c>
      <c r="C2658" s="9">
        <f>IFERROR(__xludf.DUMMYFUNCTION("""COMPUTED_VALUE"""),60.01)</f>
        <v>60.01</v>
      </c>
      <c r="K2658" s="16"/>
      <c r="T2658" s="17"/>
      <c r="AC2658" s="17"/>
    </row>
    <row r="2659">
      <c r="B2659" s="11">
        <f>IFERROR(__xludf.DUMMYFUNCTION("""COMPUTED_VALUE"""),42163.66666666667)</f>
        <v>42163.66667</v>
      </c>
      <c r="C2659" s="9">
        <f>IFERROR(__xludf.DUMMYFUNCTION("""COMPUTED_VALUE"""),60.15)</f>
        <v>60.15</v>
      </c>
      <c r="K2659" s="16"/>
      <c r="T2659" s="17"/>
      <c r="AC2659" s="17"/>
    </row>
    <row r="2660">
      <c r="B2660" s="11">
        <f>IFERROR(__xludf.DUMMYFUNCTION("""COMPUTED_VALUE"""),42160.66666666667)</f>
        <v>42160.66667</v>
      </c>
      <c r="C2660" s="9">
        <f>IFERROR(__xludf.DUMMYFUNCTION("""COMPUTED_VALUE"""),60.42)</f>
        <v>60.42</v>
      </c>
      <c r="K2660" s="16"/>
      <c r="T2660" s="17"/>
      <c r="AC2660" s="17"/>
    </row>
    <row r="2661">
      <c r="B2661" s="11">
        <f>IFERROR(__xludf.DUMMYFUNCTION("""COMPUTED_VALUE"""),42159.66666666667)</f>
        <v>42159.66667</v>
      </c>
      <c r="C2661" s="9">
        <f>IFERROR(__xludf.DUMMYFUNCTION("""COMPUTED_VALUE"""),60.38)</f>
        <v>60.38</v>
      </c>
      <c r="K2661" s="16"/>
      <c r="T2661" s="17"/>
      <c r="AC2661" s="17"/>
    </row>
    <row r="2662">
      <c r="B2662" s="11">
        <f>IFERROR(__xludf.DUMMYFUNCTION("""COMPUTED_VALUE"""),42158.66666666667)</f>
        <v>42158.66667</v>
      </c>
      <c r="C2662" s="9">
        <f>IFERROR(__xludf.DUMMYFUNCTION("""COMPUTED_VALUE"""),61.43)</f>
        <v>61.43</v>
      </c>
      <c r="K2662" s="16"/>
      <c r="T2662" s="17"/>
      <c r="AC2662" s="17"/>
    </row>
    <row r="2663">
      <c r="B2663" s="11">
        <f>IFERROR(__xludf.DUMMYFUNCTION("""COMPUTED_VALUE"""),42157.66666666667)</f>
        <v>42157.66667</v>
      </c>
      <c r="C2663" s="9">
        <f>IFERROR(__xludf.DUMMYFUNCTION("""COMPUTED_VALUE"""),60.98)</f>
        <v>60.98</v>
      </c>
      <c r="K2663" s="16"/>
      <c r="T2663" s="17"/>
      <c r="AC2663" s="17"/>
    </row>
    <row r="2664">
      <c r="B2664" s="11">
        <f>IFERROR(__xludf.DUMMYFUNCTION("""COMPUTED_VALUE"""),42156.66666666667)</f>
        <v>42156.66667</v>
      </c>
      <c r="C2664" s="9">
        <f>IFERROR(__xludf.DUMMYFUNCTION("""COMPUTED_VALUE"""),60.85)</f>
        <v>60.85</v>
      </c>
      <c r="K2664" s="16"/>
      <c r="T2664" s="17"/>
      <c r="AC2664" s="17"/>
    </row>
    <row r="2665">
      <c r="B2665" s="11">
        <f>IFERROR(__xludf.DUMMYFUNCTION("""COMPUTED_VALUE"""),42153.66666666667)</f>
        <v>42153.66667</v>
      </c>
      <c r="C2665" s="9">
        <f>IFERROR(__xludf.DUMMYFUNCTION("""COMPUTED_VALUE"""),60.78)</f>
        <v>60.78</v>
      </c>
      <c r="K2665" s="16"/>
      <c r="T2665" s="17"/>
      <c r="AC2665" s="17"/>
    </row>
    <row r="2666">
      <c r="B2666" s="11">
        <f>IFERROR(__xludf.DUMMYFUNCTION("""COMPUTED_VALUE"""),42152.66666666667)</f>
        <v>42152.66667</v>
      </c>
      <c r="C2666" s="9">
        <f>IFERROR(__xludf.DUMMYFUNCTION("""COMPUTED_VALUE"""),61.29)</f>
        <v>61.29</v>
      </c>
      <c r="K2666" s="16"/>
      <c r="T2666" s="17"/>
      <c r="AC2666" s="17"/>
    </row>
    <row r="2667">
      <c r="B2667" s="11">
        <f>IFERROR(__xludf.DUMMYFUNCTION("""COMPUTED_VALUE"""),42151.66666666667)</f>
        <v>42151.66667</v>
      </c>
      <c r="C2667" s="9">
        <f>IFERROR(__xludf.DUMMYFUNCTION("""COMPUTED_VALUE"""),61.41)</f>
        <v>61.41</v>
      </c>
      <c r="K2667" s="16"/>
      <c r="T2667" s="17"/>
      <c r="AC2667" s="17"/>
    </row>
    <row r="2668">
      <c r="B2668" s="11">
        <f>IFERROR(__xludf.DUMMYFUNCTION("""COMPUTED_VALUE"""),42150.66666666667)</f>
        <v>42150.66667</v>
      </c>
      <c r="C2668" s="9">
        <f>IFERROR(__xludf.DUMMYFUNCTION("""COMPUTED_VALUE"""),61.1)</f>
        <v>61.1</v>
      </c>
      <c r="K2668" s="16"/>
      <c r="T2668" s="17"/>
      <c r="AC2668" s="17"/>
    </row>
    <row r="2669">
      <c r="B2669" s="11">
        <f>IFERROR(__xludf.DUMMYFUNCTION("""COMPUTED_VALUE"""),42146.66666666667)</f>
        <v>42146.66667</v>
      </c>
      <c r="C2669" s="9">
        <f>IFERROR(__xludf.DUMMYFUNCTION("""COMPUTED_VALUE"""),61.82)</f>
        <v>61.82</v>
      </c>
      <c r="K2669" s="16"/>
      <c r="T2669" s="17"/>
      <c r="AC2669" s="17"/>
    </row>
    <row r="2670">
      <c r="B2670" s="11">
        <f>IFERROR(__xludf.DUMMYFUNCTION("""COMPUTED_VALUE"""),42145.66666666667)</f>
        <v>42145.66667</v>
      </c>
      <c r="C2670" s="9">
        <f>IFERROR(__xludf.DUMMYFUNCTION("""COMPUTED_VALUE"""),62.29)</f>
        <v>62.29</v>
      </c>
      <c r="K2670" s="16"/>
      <c r="T2670" s="17"/>
      <c r="AC2670" s="17"/>
    </row>
    <row r="2671">
      <c r="B2671" s="11">
        <f>IFERROR(__xludf.DUMMYFUNCTION("""COMPUTED_VALUE"""),42144.66666666667)</f>
        <v>42144.66667</v>
      </c>
      <c r="C2671" s="9">
        <f>IFERROR(__xludf.DUMMYFUNCTION("""COMPUTED_VALUE"""),62.06)</f>
        <v>62.06</v>
      </c>
      <c r="K2671" s="16"/>
      <c r="T2671" s="17"/>
      <c r="AC2671" s="17"/>
    </row>
    <row r="2672">
      <c r="B2672" s="11">
        <f>IFERROR(__xludf.DUMMYFUNCTION("""COMPUTED_VALUE"""),42143.66666666667)</f>
        <v>42143.66667</v>
      </c>
      <c r="C2672" s="9">
        <f>IFERROR(__xludf.DUMMYFUNCTION("""COMPUTED_VALUE"""),62.1)</f>
        <v>62.1</v>
      </c>
      <c r="K2672" s="16"/>
      <c r="T2672" s="17"/>
      <c r="AC2672" s="17"/>
    </row>
    <row r="2673">
      <c r="B2673" s="11">
        <f>IFERROR(__xludf.DUMMYFUNCTION("""COMPUTED_VALUE"""),42142.66666666667)</f>
        <v>42142.66667</v>
      </c>
      <c r="C2673" s="9">
        <f>IFERROR(__xludf.DUMMYFUNCTION("""COMPUTED_VALUE"""),62.04)</f>
        <v>62.04</v>
      </c>
      <c r="K2673" s="16"/>
      <c r="T2673" s="17"/>
      <c r="AC2673" s="17"/>
    </row>
    <row r="2674">
      <c r="B2674" s="11">
        <f>IFERROR(__xludf.DUMMYFUNCTION("""COMPUTED_VALUE"""),42139.66666666667)</f>
        <v>42139.66667</v>
      </c>
      <c r="C2674" s="9">
        <f>IFERROR(__xludf.DUMMYFUNCTION("""COMPUTED_VALUE"""),61.84)</f>
        <v>61.84</v>
      </c>
      <c r="K2674" s="16"/>
      <c r="T2674" s="17"/>
      <c r="AC2674" s="17"/>
    </row>
    <row r="2675">
      <c r="B2675" s="11">
        <f>IFERROR(__xludf.DUMMYFUNCTION("""COMPUTED_VALUE"""),42138.66666666667)</f>
        <v>42138.66667</v>
      </c>
      <c r="C2675" s="9">
        <f>IFERROR(__xludf.DUMMYFUNCTION("""COMPUTED_VALUE"""),61.89)</f>
        <v>61.89</v>
      </c>
      <c r="K2675" s="16"/>
      <c r="T2675" s="17"/>
      <c r="AC2675" s="17"/>
    </row>
    <row r="2676">
      <c r="B2676" s="11">
        <f>IFERROR(__xludf.DUMMYFUNCTION("""COMPUTED_VALUE"""),42137.66666666667)</f>
        <v>42137.66667</v>
      </c>
      <c r="C2676" s="9">
        <f>IFERROR(__xludf.DUMMYFUNCTION("""COMPUTED_VALUE"""),61.08)</f>
        <v>61.08</v>
      </c>
      <c r="K2676" s="16"/>
      <c r="T2676" s="17"/>
      <c r="AC2676" s="17"/>
    </row>
    <row r="2677">
      <c r="B2677" s="11">
        <f>IFERROR(__xludf.DUMMYFUNCTION("""COMPUTED_VALUE"""),42136.66666666667)</f>
        <v>42136.66667</v>
      </c>
      <c r="C2677" s="9">
        <f>IFERROR(__xludf.DUMMYFUNCTION("""COMPUTED_VALUE"""),60.94)</f>
        <v>60.94</v>
      </c>
      <c r="K2677" s="16"/>
      <c r="T2677" s="17"/>
      <c r="AC2677" s="17"/>
    </row>
    <row r="2678">
      <c r="B2678" s="11">
        <f>IFERROR(__xludf.DUMMYFUNCTION("""COMPUTED_VALUE"""),42135.66666666667)</f>
        <v>42135.66667</v>
      </c>
      <c r="C2678" s="9">
        <f>IFERROR(__xludf.DUMMYFUNCTION("""COMPUTED_VALUE"""),61.01)</f>
        <v>61.01</v>
      </c>
      <c r="K2678" s="16"/>
      <c r="T2678" s="17"/>
      <c r="AC2678" s="17"/>
    </row>
    <row r="2679">
      <c r="B2679" s="11">
        <f>IFERROR(__xludf.DUMMYFUNCTION("""COMPUTED_VALUE"""),42132.66666666667)</f>
        <v>42132.66667</v>
      </c>
      <c r="C2679" s="9">
        <f>IFERROR(__xludf.DUMMYFUNCTION("""COMPUTED_VALUE"""),60.88)</f>
        <v>60.88</v>
      </c>
      <c r="K2679" s="16"/>
      <c r="T2679" s="17"/>
      <c r="AC2679" s="17"/>
    </row>
    <row r="2680">
      <c r="B2680" s="11">
        <f>IFERROR(__xludf.DUMMYFUNCTION("""COMPUTED_VALUE"""),42131.66666666667)</f>
        <v>42131.66667</v>
      </c>
      <c r="C2680" s="9">
        <f>IFERROR(__xludf.DUMMYFUNCTION("""COMPUTED_VALUE"""),60.03)</f>
        <v>60.03</v>
      </c>
      <c r="K2680" s="16"/>
      <c r="T2680" s="17"/>
      <c r="AC2680" s="17"/>
    </row>
    <row r="2681">
      <c r="B2681" s="11">
        <f>IFERROR(__xludf.DUMMYFUNCTION("""COMPUTED_VALUE"""),42130.66666666667)</f>
        <v>42130.66667</v>
      </c>
      <c r="C2681" s="9">
        <f>IFERROR(__xludf.DUMMYFUNCTION("""COMPUTED_VALUE"""),60.02)</f>
        <v>60.02</v>
      </c>
      <c r="K2681" s="16"/>
      <c r="T2681" s="17"/>
      <c r="AC2681" s="17"/>
    </row>
    <row r="2682">
      <c r="B2682" s="11">
        <f>IFERROR(__xludf.DUMMYFUNCTION("""COMPUTED_VALUE"""),42129.66666666667)</f>
        <v>42129.66667</v>
      </c>
      <c r="C2682" s="9">
        <f>IFERROR(__xludf.DUMMYFUNCTION("""COMPUTED_VALUE"""),59.99)</f>
        <v>59.99</v>
      </c>
      <c r="K2682" s="16"/>
      <c r="T2682" s="17"/>
      <c r="AC2682" s="17"/>
    </row>
    <row r="2683">
      <c r="B2683" s="11">
        <f>IFERROR(__xludf.DUMMYFUNCTION("""COMPUTED_VALUE"""),42128.66666666667)</f>
        <v>42128.66667</v>
      </c>
      <c r="C2683" s="9">
        <f>IFERROR(__xludf.DUMMYFUNCTION("""COMPUTED_VALUE"""),60.73)</f>
        <v>60.73</v>
      </c>
      <c r="K2683" s="16"/>
      <c r="T2683" s="17"/>
      <c r="AC2683" s="17"/>
    </row>
    <row r="2684">
      <c r="B2684" s="11">
        <f>IFERROR(__xludf.DUMMYFUNCTION("""COMPUTED_VALUE"""),42125.66666666667)</f>
        <v>42125.66667</v>
      </c>
      <c r="C2684" s="9">
        <f>IFERROR(__xludf.DUMMYFUNCTION("""COMPUTED_VALUE"""),60.58)</f>
        <v>60.58</v>
      </c>
      <c r="K2684" s="16"/>
      <c r="T2684" s="17"/>
      <c r="AC2684" s="17"/>
    </row>
    <row r="2685">
      <c r="B2685" s="11">
        <f>IFERROR(__xludf.DUMMYFUNCTION("""COMPUTED_VALUE"""),42124.66666666667)</f>
        <v>42124.66667</v>
      </c>
      <c r="C2685" s="9">
        <f>IFERROR(__xludf.DUMMYFUNCTION("""COMPUTED_VALUE"""),60.05)</f>
        <v>60.05</v>
      </c>
      <c r="K2685" s="16"/>
      <c r="T2685" s="17"/>
      <c r="AC2685" s="17"/>
    </row>
    <row r="2686">
      <c r="B2686" s="11">
        <f>IFERROR(__xludf.DUMMYFUNCTION("""COMPUTED_VALUE"""),42123.66666666667)</f>
        <v>42123.66667</v>
      </c>
      <c r="C2686" s="9">
        <f>IFERROR(__xludf.DUMMYFUNCTION("""COMPUTED_VALUE"""),61.12)</f>
        <v>61.12</v>
      </c>
      <c r="K2686" s="16"/>
      <c r="T2686" s="17"/>
      <c r="AC2686" s="17"/>
    </row>
    <row r="2687">
      <c r="B2687" s="11">
        <f>IFERROR(__xludf.DUMMYFUNCTION("""COMPUTED_VALUE"""),42122.66666666667)</f>
        <v>42122.66667</v>
      </c>
      <c r="C2687" s="9">
        <f>IFERROR(__xludf.DUMMYFUNCTION("""COMPUTED_VALUE"""),61.52)</f>
        <v>61.52</v>
      </c>
      <c r="K2687" s="16"/>
      <c r="T2687" s="17"/>
      <c r="AC2687" s="17"/>
    </row>
    <row r="2688">
      <c r="B2688" s="11">
        <f>IFERROR(__xludf.DUMMYFUNCTION("""COMPUTED_VALUE"""),42121.66666666667)</f>
        <v>42121.66667</v>
      </c>
      <c r="C2688" s="9">
        <f>IFERROR(__xludf.DUMMYFUNCTION("""COMPUTED_VALUE"""),61.41)</f>
        <v>61.41</v>
      </c>
      <c r="K2688" s="16"/>
      <c r="T2688" s="17"/>
      <c r="AC2688" s="17"/>
    </row>
    <row r="2689">
      <c r="B2689" s="11">
        <f>IFERROR(__xludf.DUMMYFUNCTION("""COMPUTED_VALUE"""),42118.66666666667)</f>
        <v>42118.66667</v>
      </c>
      <c r="C2689" s="9">
        <f>IFERROR(__xludf.DUMMYFUNCTION("""COMPUTED_VALUE"""),61.57)</f>
        <v>61.57</v>
      </c>
      <c r="K2689" s="16"/>
      <c r="T2689" s="17"/>
      <c r="AC2689" s="17"/>
    </row>
    <row r="2690">
      <c r="B2690" s="11">
        <f>IFERROR(__xludf.DUMMYFUNCTION("""COMPUTED_VALUE"""),42117.66666666667)</f>
        <v>42117.66667</v>
      </c>
      <c r="C2690" s="9">
        <f>IFERROR(__xludf.DUMMYFUNCTION("""COMPUTED_VALUE"""),62.01)</f>
        <v>62.01</v>
      </c>
      <c r="K2690" s="16"/>
      <c r="T2690" s="17"/>
      <c r="AC2690" s="17"/>
    </row>
    <row r="2691">
      <c r="B2691" s="11">
        <f>IFERROR(__xludf.DUMMYFUNCTION("""COMPUTED_VALUE"""),42116.66666666667)</f>
        <v>42116.66667</v>
      </c>
      <c r="C2691" s="9">
        <f>IFERROR(__xludf.DUMMYFUNCTION("""COMPUTED_VALUE"""),62.01)</f>
        <v>62.01</v>
      </c>
      <c r="K2691" s="16"/>
      <c r="T2691" s="17"/>
      <c r="AC2691" s="17"/>
    </row>
    <row r="2692">
      <c r="B2692" s="11">
        <f>IFERROR(__xludf.DUMMYFUNCTION("""COMPUTED_VALUE"""),42115.66666666667)</f>
        <v>42115.66667</v>
      </c>
      <c r="C2692" s="9">
        <f>IFERROR(__xludf.DUMMYFUNCTION("""COMPUTED_VALUE"""),62.04)</f>
        <v>62.04</v>
      </c>
      <c r="K2692" s="16"/>
      <c r="T2692" s="17"/>
      <c r="AC2692" s="17"/>
    </row>
    <row r="2693">
      <c r="B2693" s="11">
        <f>IFERROR(__xludf.DUMMYFUNCTION("""COMPUTED_VALUE"""),42114.66666666667)</f>
        <v>42114.66667</v>
      </c>
      <c r="C2693" s="9">
        <f>IFERROR(__xludf.DUMMYFUNCTION("""COMPUTED_VALUE"""),61.97)</f>
        <v>61.97</v>
      </c>
      <c r="K2693" s="16"/>
      <c r="T2693" s="17"/>
      <c r="AC2693" s="17"/>
    </row>
    <row r="2694">
      <c r="B2694" s="11">
        <f>IFERROR(__xludf.DUMMYFUNCTION("""COMPUTED_VALUE"""),42111.66666666667)</f>
        <v>42111.66667</v>
      </c>
      <c r="C2694" s="9">
        <f>IFERROR(__xludf.DUMMYFUNCTION("""COMPUTED_VALUE"""),61.21)</f>
        <v>61.21</v>
      </c>
      <c r="K2694" s="16"/>
      <c r="T2694" s="17"/>
      <c r="AC2694" s="17"/>
    </row>
    <row r="2695">
      <c r="B2695" s="11">
        <f>IFERROR(__xludf.DUMMYFUNCTION("""COMPUTED_VALUE"""),42110.66666666667)</f>
        <v>42110.66667</v>
      </c>
      <c r="C2695" s="9">
        <f>IFERROR(__xludf.DUMMYFUNCTION("""COMPUTED_VALUE"""),62.24)</f>
        <v>62.24</v>
      </c>
      <c r="K2695" s="16"/>
      <c r="T2695" s="17"/>
      <c r="AC2695" s="17"/>
    </row>
    <row r="2696">
      <c r="B2696" s="11">
        <f>IFERROR(__xludf.DUMMYFUNCTION("""COMPUTED_VALUE"""),42109.66666666667)</f>
        <v>42109.66667</v>
      </c>
      <c r="C2696" s="9">
        <f>IFERROR(__xludf.DUMMYFUNCTION("""COMPUTED_VALUE"""),62.33)</f>
        <v>62.33</v>
      </c>
      <c r="K2696" s="16"/>
      <c r="T2696" s="17"/>
      <c r="AC2696" s="17"/>
    </row>
    <row r="2697">
      <c r="B2697" s="11">
        <f>IFERROR(__xludf.DUMMYFUNCTION("""COMPUTED_VALUE"""),42108.66666666667)</f>
        <v>42108.66667</v>
      </c>
      <c r="C2697" s="9">
        <f>IFERROR(__xludf.DUMMYFUNCTION("""COMPUTED_VALUE"""),62.23)</f>
        <v>62.23</v>
      </c>
      <c r="K2697" s="16"/>
      <c r="T2697" s="17"/>
      <c r="AC2697" s="17"/>
    </row>
    <row r="2698">
      <c r="B2698" s="11">
        <f>IFERROR(__xludf.DUMMYFUNCTION("""COMPUTED_VALUE"""),42107.66666666667)</f>
        <v>42107.66667</v>
      </c>
      <c r="C2698" s="9">
        <f>IFERROR(__xludf.DUMMYFUNCTION("""COMPUTED_VALUE"""),62.31)</f>
        <v>62.31</v>
      </c>
      <c r="K2698" s="16"/>
      <c r="T2698" s="17"/>
      <c r="AC2698" s="17"/>
    </row>
    <row r="2699">
      <c r="B2699" s="11">
        <f>IFERROR(__xludf.DUMMYFUNCTION("""COMPUTED_VALUE"""),42104.66666666667)</f>
        <v>42104.66667</v>
      </c>
      <c r="C2699" s="9">
        <f>IFERROR(__xludf.DUMMYFUNCTION("""COMPUTED_VALUE"""),62.71)</f>
        <v>62.71</v>
      </c>
      <c r="K2699" s="16"/>
      <c r="T2699" s="17"/>
      <c r="AC2699" s="17"/>
    </row>
    <row r="2700">
      <c r="B2700" s="11">
        <f>IFERROR(__xludf.DUMMYFUNCTION("""COMPUTED_VALUE"""),42103.66666666667)</f>
        <v>42103.66667</v>
      </c>
      <c r="C2700" s="9">
        <f>IFERROR(__xludf.DUMMYFUNCTION("""COMPUTED_VALUE"""),62.58)</f>
        <v>62.58</v>
      </c>
      <c r="K2700" s="16"/>
      <c r="T2700" s="17"/>
      <c r="AC2700" s="17"/>
    </row>
    <row r="2701">
      <c r="B2701" s="11">
        <f>IFERROR(__xludf.DUMMYFUNCTION("""COMPUTED_VALUE"""),42102.66666666667)</f>
        <v>42102.66667</v>
      </c>
      <c r="C2701" s="9">
        <f>IFERROR(__xludf.DUMMYFUNCTION("""COMPUTED_VALUE"""),62.56)</f>
        <v>62.56</v>
      </c>
      <c r="K2701" s="16"/>
      <c r="T2701" s="17"/>
      <c r="AC2701" s="17"/>
    </row>
    <row r="2702">
      <c r="B2702" s="11">
        <f>IFERROR(__xludf.DUMMYFUNCTION("""COMPUTED_VALUE"""),42101.66666666667)</f>
        <v>42101.66667</v>
      </c>
      <c r="C2702" s="9">
        <f>IFERROR(__xludf.DUMMYFUNCTION("""COMPUTED_VALUE"""),62.14)</f>
        <v>62.14</v>
      </c>
      <c r="K2702" s="16"/>
      <c r="T2702" s="17"/>
      <c r="AC2702" s="17"/>
    </row>
    <row r="2703">
      <c r="B2703" s="11">
        <f>IFERROR(__xludf.DUMMYFUNCTION("""COMPUTED_VALUE"""),42100.66666666667)</f>
        <v>42100.66667</v>
      </c>
      <c r="C2703" s="9">
        <f>IFERROR(__xludf.DUMMYFUNCTION("""COMPUTED_VALUE"""),62.3)</f>
        <v>62.3</v>
      </c>
      <c r="K2703" s="16"/>
      <c r="T2703" s="17"/>
      <c r="AC2703" s="17"/>
    </row>
    <row r="2704">
      <c r="B2704" s="11">
        <f>IFERROR(__xludf.DUMMYFUNCTION("""COMPUTED_VALUE"""),42096.66666666667)</f>
        <v>42096.66667</v>
      </c>
      <c r="C2704" s="9">
        <f>IFERROR(__xludf.DUMMYFUNCTION("""COMPUTED_VALUE"""),61.73)</f>
        <v>61.73</v>
      </c>
      <c r="K2704" s="16"/>
      <c r="T2704" s="17"/>
      <c r="AC2704" s="17"/>
    </row>
    <row r="2705">
      <c r="B2705" s="11">
        <f>IFERROR(__xludf.DUMMYFUNCTION("""COMPUTED_VALUE"""),42095.66666666667)</f>
        <v>42095.66667</v>
      </c>
      <c r="C2705" s="9">
        <f>IFERROR(__xludf.DUMMYFUNCTION("""COMPUTED_VALUE"""),61.61)</f>
        <v>61.61</v>
      </c>
      <c r="K2705" s="16"/>
      <c r="T2705" s="17"/>
      <c r="AC2705" s="17"/>
    </row>
    <row r="2706">
      <c r="B2706" s="11">
        <f>IFERROR(__xludf.DUMMYFUNCTION("""COMPUTED_VALUE"""),42094.66666666667)</f>
        <v>42094.66667</v>
      </c>
      <c r="C2706" s="9">
        <f>IFERROR(__xludf.DUMMYFUNCTION("""COMPUTED_VALUE"""),61.89)</f>
        <v>61.89</v>
      </c>
      <c r="K2706" s="16"/>
      <c r="T2706" s="17"/>
      <c r="AC2706" s="17"/>
    </row>
    <row r="2707">
      <c r="B2707" s="11">
        <f>IFERROR(__xludf.DUMMYFUNCTION("""COMPUTED_VALUE"""),42093.66666666667)</f>
        <v>42093.66667</v>
      </c>
      <c r="C2707" s="9">
        <f>IFERROR(__xludf.DUMMYFUNCTION("""COMPUTED_VALUE"""),62.42)</f>
        <v>62.42</v>
      </c>
      <c r="K2707" s="16"/>
      <c r="T2707" s="17"/>
      <c r="AC2707" s="17"/>
    </row>
    <row r="2708">
      <c r="B2708" s="11">
        <f>IFERROR(__xludf.DUMMYFUNCTION("""COMPUTED_VALUE"""),42090.66666666667)</f>
        <v>42090.66667</v>
      </c>
      <c r="C2708" s="9">
        <f>IFERROR(__xludf.DUMMYFUNCTION("""COMPUTED_VALUE"""),61.64)</f>
        <v>61.64</v>
      </c>
      <c r="K2708" s="16"/>
      <c r="T2708" s="17"/>
      <c r="AC2708" s="17"/>
    </row>
    <row r="2709">
      <c r="B2709" s="11">
        <f>IFERROR(__xludf.DUMMYFUNCTION("""COMPUTED_VALUE"""),42089.66666666667)</f>
        <v>42089.66667</v>
      </c>
      <c r="C2709" s="9">
        <f>IFERROR(__xludf.DUMMYFUNCTION("""COMPUTED_VALUE"""),61.06)</f>
        <v>61.06</v>
      </c>
      <c r="K2709" s="16"/>
      <c r="T2709" s="17"/>
      <c r="AC2709" s="17"/>
    </row>
    <row r="2710">
      <c r="B2710" s="11">
        <f>IFERROR(__xludf.DUMMYFUNCTION("""COMPUTED_VALUE"""),42088.66666666667)</f>
        <v>42088.66667</v>
      </c>
      <c r="C2710" s="9">
        <f>IFERROR(__xludf.DUMMYFUNCTION("""COMPUTED_VALUE"""),60.92)</f>
        <v>60.92</v>
      </c>
      <c r="K2710" s="16"/>
      <c r="T2710" s="17"/>
      <c r="AC2710" s="17"/>
    </row>
    <row r="2711">
      <c r="B2711" s="11">
        <f>IFERROR(__xludf.DUMMYFUNCTION("""COMPUTED_VALUE"""),42087.66666666667)</f>
        <v>42087.66667</v>
      </c>
      <c r="C2711" s="9">
        <f>IFERROR(__xludf.DUMMYFUNCTION("""COMPUTED_VALUE"""),62.37)</f>
        <v>62.37</v>
      </c>
      <c r="K2711" s="16"/>
      <c r="T2711" s="17"/>
      <c r="AC2711" s="17"/>
    </row>
    <row r="2712">
      <c r="B2712" s="11">
        <f>IFERROR(__xludf.DUMMYFUNCTION("""COMPUTED_VALUE"""),42086.66666666667)</f>
        <v>42086.66667</v>
      </c>
      <c r="C2712" s="9">
        <f>IFERROR(__xludf.DUMMYFUNCTION("""COMPUTED_VALUE"""),62.35)</f>
        <v>62.35</v>
      </c>
      <c r="K2712" s="16"/>
      <c r="T2712" s="17"/>
      <c r="AC2712" s="17"/>
    </row>
    <row r="2713">
      <c r="B2713" s="11">
        <f>IFERROR(__xludf.DUMMYFUNCTION("""COMPUTED_VALUE"""),42083.66666666667)</f>
        <v>42083.66667</v>
      </c>
      <c r="C2713" s="9">
        <f>IFERROR(__xludf.DUMMYFUNCTION("""COMPUTED_VALUE"""),62.57)</f>
        <v>62.57</v>
      </c>
      <c r="K2713" s="16"/>
      <c r="T2713" s="17"/>
      <c r="AC2713" s="17"/>
    </row>
    <row r="2714">
      <c r="B2714" s="11">
        <f>IFERROR(__xludf.DUMMYFUNCTION("""COMPUTED_VALUE"""),42082.66666666667)</f>
        <v>42082.66667</v>
      </c>
      <c r="C2714" s="9">
        <f>IFERROR(__xludf.DUMMYFUNCTION("""COMPUTED_VALUE"""),62.16)</f>
        <v>62.16</v>
      </c>
      <c r="K2714" s="16"/>
      <c r="T2714" s="17"/>
      <c r="AC2714" s="17"/>
    </row>
    <row r="2715">
      <c r="B2715" s="11">
        <f>IFERROR(__xludf.DUMMYFUNCTION("""COMPUTED_VALUE"""),42081.66666666667)</f>
        <v>42081.66667</v>
      </c>
      <c r="C2715" s="9">
        <f>IFERROR(__xludf.DUMMYFUNCTION("""COMPUTED_VALUE"""),62.43)</f>
        <v>62.43</v>
      </c>
      <c r="K2715" s="16"/>
      <c r="T2715" s="17"/>
      <c r="AC2715" s="17"/>
    </row>
    <row r="2716">
      <c r="B2716" s="11">
        <f>IFERROR(__xludf.DUMMYFUNCTION("""COMPUTED_VALUE"""),42080.66666666667)</f>
        <v>42080.66667</v>
      </c>
      <c r="C2716" s="9">
        <f>IFERROR(__xludf.DUMMYFUNCTION("""COMPUTED_VALUE"""),61.82)</f>
        <v>61.82</v>
      </c>
      <c r="K2716" s="16"/>
      <c r="T2716" s="17"/>
      <c r="AC2716" s="17"/>
    </row>
    <row r="2717">
      <c r="B2717" s="11">
        <f>IFERROR(__xludf.DUMMYFUNCTION("""COMPUTED_VALUE"""),42079.66666666667)</f>
        <v>42079.66667</v>
      </c>
      <c r="C2717" s="9">
        <f>IFERROR(__xludf.DUMMYFUNCTION("""COMPUTED_VALUE"""),61.82)</f>
        <v>61.82</v>
      </c>
      <c r="K2717" s="16"/>
      <c r="T2717" s="17"/>
      <c r="AC2717" s="17"/>
    </row>
    <row r="2718">
      <c r="B2718" s="11">
        <f>IFERROR(__xludf.DUMMYFUNCTION("""COMPUTED_VALUE"""),42076.66666666667)</f>
        <v>42076.66667</v>
      </c>
      <c r="C2718" s="9">
        <f>IFERROR(__xludf.DUMMYFUNCTION("""COMPUTED_VALUE"""),61.08)</f>
        <v>61.08</v>
      </c>
      <c r="K2718" s="16"/>
      <c r="T2718" s="17"/>
      <c r="AC2718" s="17"/>
    </row>
    <row r="2719">
      <c r="B2719" s="11">
        <f>IFERROR(__xludf.DUMMYFUNCTION("""COMPUTED_VALUE"""),42075.66666666667)</f>
        <v>42075.66667</v>
      </c>
      <c r="C2719" s="9">
        <f>IFERROR(__xludf.DUMMYFUNCTION("""COMPUTED_VALUE"""),61.61)</f>
        <v>61.61</v>
      </c>
      <c r="K2719" s="16"/>
      <c r="T2719" s="17"/>
      <c r="AC2719" s="17"/>
    </row>
    <row r="2720">
      <c r="B2720" s="11">
        <f>IFERROR(__xludf.DUMMYFUNCTION("""COMPUTED_VALUE"""),42074.66666666667)</f>
        <v>42074.66667</v>
      </c>
      <c r="C2720" s="9">
        <f>IFERROR(__xludf.DUMMYFUNCTION("""COMPUTED_VALUE"""),60.85)</f>
        <v>60.85</v>
      </c>
      <c r="K2720" s="16"/>
      <c r="T2720" s="17"/>
      <c r="AC2720" s="17"/>
    </row>
    <row r="2721">
      <c r="B2721" s="11">
        <f>IFERROR(__xludf.DUMMYFUNCTION("""COMPUTED_VALUE"""),42073.66666666667)</f>
        <v>42073.66667</v>
      </c>
      <c r="C2721" s="9">
        <f>IFERROR(__xludf.DUMMYFUNCTION("""COMPUTED_VALUE"""),60.65)</f>
        <v>60.65</v>
      </c>
      <c r="K2721" s="16"/>
      <c r="T2721" s="17"/>
      <c r="AC2721" s="17"/>
    </row>
    <row r="2722">
      <c r="B2722" s="11">
        <f>IFERROR(__xludf.DUMMYFUNCTION("""COMPUTED_VALUE"""),42072.66666666667)</f>
        <v>42072.66667</v>
      </c>
      <c r="C2722" s="9">
        <f>IFERROR(__xludf.DUMMYFUNCTION("""COMPUTED_VALUE"""),61.63)</f>
        <v>61.63</v>
      </c>
      <c r="K2722" s="16"/>
      <c r="T2722" s="17"/>
      <c r="AC2722" s="17"/>
    </row>
    <row r="2723">
      <c r="B2723" s="11">
        <f>IFERROR(__xludf.DUMMYFUNCTION("""COMPUTED_VALUE"""),42069.66666666667)</f>
        <v>42069.66667</v>
      </c>
      <c r="C2723" s="9">
        <f>IFERROR(__xludf.DUMMYFUNCTION("""COMPUTED_VALUE"""),61.08)</f>
        <v>61.08</v>
      </c>
      <c r="K2723" s="16"/>
      <c r="T2723" s="17"/>
      <c r="AC2723" s="17"/>
    </row>
    <row r="2724">
      <c r="B2724" s="11">
        <f>IFERROR(__xludf.DUMMYFUNCTION("""COMPUTED_VALUE"""),42068.66666666667)</f>
        <v>42068.66667</v>
      </c>
      <c r="C2724" s="9">
        <f>IFERROR(__xludf.DUMMYFUNCTION("""COMPUTED_VALUE"""),61.79)</f>
        <v>61.79</v>
      </c>
      <c r="K2724" s="16"/>
      <c r="T2724" s="17"/>
      <c r="AC2724" s="17"/>
    </row>
    <row r="2725">
      <c r="B2725" s="11">
        <f>IFERROR(__xludf.DUMMYFUNCTION("""COMPUTED_VALUE"""),42067.66666666667)</f>
        <v>42067.66667</v>
      </c>
      <c r="C2725" s="9">
        <f>IFERROR(__xludf.DUMMYFUNCTION("""COMPUTED_VALUE"""),61.69)</f>
        <v>61.69</v>
      </c>
      <c r="K2725" s="16"/>
      <c r="T2725" s="17"/>
      <c r="AC2725" s="17"/>
    </row>
    <row r="2726">
      <c r="B2726" s="11">
        <f>IFERROR(__xludf.DUMMYFUNCTION("""COMPUTED_VALUE"""),42066.66666666667)</f>
        <v>42066.66667</v>
      </c>
      <c r="C2726" s="9">
        <f>IFERROR(__xludf.DUMMYFUNCTION("""COMPUTED_VALUE"""),61.95)</f>
        <v>61.95</v>
      </c>
      <c r="K2726" s="16"/>
      <c r="T2726" s="17"/>
      <c r="AC2726" s="17"/>
    </row>
    <row r="2727">
      <c r="B2727" s="11">
        <f>IFERROR(__xludf.DUMMYFUNCTION("""COMPUTED_VALUE"""),42065.66666666667)</f>
        <v>42065.66667</v>
      </c>
      <c r="C2727" s="9">
        <f>IFERROR(__xludf.DUMMYFUNCTION("""COMPUTED_VALUE"""),62.48)</f>
        <v>62.48</v>
      </c>
      <c r="K2727" s="16"/>
      <c r="T2727" s="17"/>
      <c r="AC2727" s="17"/>
    </row>
    <row r="2728">
      <c r="B2728" s="11">
        <f>IFERROR(__xludf.DUMMYFUNCTION("""COMPUTED_VALUE"""),42062.66666666667)</f>
        <v>42062.66667</v>
      </c>
      <c r="C2728" s="9">
        <f>IFERROR(__xludf.DUMMYFUNCTION("""COMPUTED_VALUE"""),61.67)</f>
        <v>61.67</v>
      </c>
      <c r="K2728" s="16"/>
      <c r="T2728" s="17"/>
      <c r="AC2728" s="17"/>
    </row>
    <row r="2729">
      <c r="B2729" s="11">
        <f>IFERROR(__xludf.DUMMYFUNCTION("""COMPUTED_VALUE"""),42061.66666666667)</f>
        <v>42061.66667</v>
      </c>
      <c r="C2729" s="9">
        <f>IFERROR(__xludf.DUMMYFUNCTION("""COMPUTED_VALUE"""),61.71)</f>
        <v>61.71</v>
      </c>
      <c r="K2729" s="16"/>
      <c r="T2729" s="17"/>
      <c r="AC2729" s="17"/>
    </row>
    <row r="2730">
      <c r="B2730" s="11">
        <f>IFERROR(__xludf.DUMMYFUNCTION("""COMPUTED_VALUE"""),42060.66666666667)</f>
        <v>42060.66667</v>
      </c>
      <c r="C2730" s="9">
        <f>IFERROR(__xludf.DUMMYFUNCTION("""COMPUTED_VALUE"""),61.94)</f>
        <v>61.94</v>
      </c>
      <c r="K2730" s="16"/>
      <c r="T2730" s="17"/>
      <c r="AC2730" s="17"/>
    </row>
    <row r="2731">
      <c r="B2731" s="11">
        <f>IFERROR(__xludf.DUMMYFUNCTION("""COMPUTED_VALUE"""),42059.66666666667)</f>
        <v>42059.66667</v>
      </c>
      <c r="C2731" s="9">
        <f>IFERROR(__xludf.DUMMYFUNCTION("""COMPUTED_VALUE"""),62.4)</f>
        <v>62.4</v>
      </c>
      <c r="K2731" s="16"/>
      <c r="T2731" s="17"/>
      <c r="AC2731" s="17"/>
    </row>
    <row r="2732">
      <c r="B2732" s="11">
        <f>IFERROR(__xludf.DUMMYFUNCTION("""COMPUTED_VALUE"""),42058.66666666667)</f>
        <v>42058.66667</v>
      </c>
      <c r="C2732" s="9">
        <f>IFERROR(__xludf.DUMMYFUNCTION("""COMPUTED_VALUE"""),62.28)</f>
        <v>62.28</v>
      </c>
      <c r="K2732" s="16"/>
      <c r="T2732" s="17"/>
      <c r="AC2732" s="17"/>
    </row>
    <row r="2733">
      <c r="B2733" s="11">
        <f>IFERROR(__xludf.DUMMYFUNCTION("""COMPUTED_VALUE"""),42055.66666666667)</f>
        <v>42055.66667</v>
      </c>
      <c r="C2733" s="9">
        <f>IFERROR(__xludf.DUMMYFUNCTION("""COMPUTED_VALUE"""),62.43)</f>
        <v>62.43</v>
      </c>
      <c r="K2733" s="16"/>
      <c r="T2733" s="17"/>
      <c r="AC2733" s="17"/>
    </row>
    <row r="2734">
      <c r="B2734" s="11">
        <f>IFERROR(__xludf.DUMMYFUNCTION("""COMPUTED_VALUE"""),42054.66666666667)</f>
        <v>42054.66667</v>
      </c>
      <c r="C2734" s="9">
        <f>IFERROR(__xludf.DUMMYFUNCTION("""COMPUTED_VALUE"""),61.69)</f>
        <v>61.69</v>
      </c>
      <c r="K2734" s="16"/>
      <c r="T2734" s="17"/>
      <c r="AC2734" s="17"/>
    </row>
    <row r="2735">
      <c r="B2735" s="11">
        <f>IFERROR(__xludf.DUMMYFUNCTION("""COMPUTED_VALUE"""),42053.66666666667)</f>
        <v>42053.66667</v>
      </c>
      <c r="C2735" s="9">
        <f>IFERROR(__xludf.DUMMYFUNCTION("""COMPUTED_VALUE"""),60.92)</f>
        <v>60.92</v>
      </c>
      <c r="K2735" s="16"/>
      <c r="T2735" s="17"/>
      <c r="AC2735" s="17"/>
    </row>
    <row r="2736">
      <c r="B2736" s="11">
        <f>IFERROR(__xludf.DUMMYFUNCTION("""COMPUTED_VALUE"""),42052.66666666667)</f>
        <v>42052.66667</v>
      </c>
      <c r="C2736" s="9">
        <f>IFERROR(__xludf.DUMMYFUNCTION("""COMPUTED_VALUE"""),60.43)</f>
        <v>60.43</v>
      </c>
      <c r="K2736" s="16"/>
      <c r="T2736" s="17"/>
      <c r="AC2736" s="17"/>
    </row>
    <row r="2737">
      <c r="B2737" s="11">
        <f>IFERROR(__xludf.DUMMYFUNCTION("""COMPUTED_VALUE"""),42048.66666666667)</f>
        <v>42048.66667</v>
      </c>
      <c r="C2737" s="9">
        <f>IFERROR(__xludf.DUMMYFUNCTION("""COMPUTED_VALUE"""),60.54)</f>
        <v>60.54</v>
      </c>
      <c r="K2737" s="16"/>
      <c r="T2737" s="17"/>
      <c r="AC2737" s="17"/>
    </row>
    <row r="2738">
      <c r="B2738" s="11">
        <f>IFERROR(__xludf.DUMMYFUNCTION("""COMPUTED_VALUE"""),42047.66666666667)</f>
        <v>42047.66667</v>
      </c>
      <c r="C2738" s="9">
        <f>IFERROR(__xludf.DUMMYFUNCTION("""COMPUTED_VALUE"""),60.12)</f>
        <v>60.12</v>
      </c>
      <c r="K2738" s="16"/>
      <c r="T2738" s="17"/>
      <c r="AC2738" s="17"/>
    </row>
    <row r="2739">
      <c r="B2739" s="11">
        <f>IFERROR(__xludf.DUMMYFUNCTION("""COMPUTED_VALUE"""),42046.66666666667)</f>
        <v>42046.66667</v>
      </c>
      <c r="C2739" s="9">
        <f>IFERROR(__xludf.DUMMYFUNCTION("""COMPUTED_VALUE"""),59.6)</f>
        <v>59.6</v>
      </c>
      <c r="K2739" s="16"/>
      <c r="T2739" s="17"/>
      <c r="AC2739" s="17"/>
    </row>
    <row r="2740">
      <c r="B2740" s="11">
        <f>IFERROR(__xludf.DUMMYFUNCTION("""COMPUTED_VALUE"""),42045.66666666667)</f>
        <v>42045.66667</v>
      </c>
      <c r="C2740" s="9">
        <f>IFERROR(__xludf.DUMMYFUNCTION("""COMPUTED_VALUE"""),59.65)</f>
        <v>59.65</v>
      </c>
      <c r="K2740" s="16"/>
      <c r="T2740" s="17"/>
      <c r="AC2740" s="17"/>
    </row>
    <row r="2741">
      <c r="B2741" s="11">
        <f>IFERROR(__xludf.DUMMYFUNCTION("""COMPUTED_VALUE"""),42044.66666666667)</f>
        <v>42044.66667</v>
      </c>
      <c r="C2741" s="9">
        <f>IFERROR(__xludf.DUMMYFUNCTION("""COMPUTED_VALUE"""),59.32)</f>
        <v>59.32</v>
      </c>
      <c r="K2741" s="16"/>
      <c r="T2741" s="17"/>
      <c r="AC2741" s="17"/>
    </row>
    <row r="2742">
      <c r="B2742" s="11">
        <f>IFERROR(__xludf.DUMMYFUNCTION("""COMPUTED_VALUE"""),42041.66666666667)</f>
        <v>42041.66667</v>
      </c>
      <c r="C2742" s="9">
        <f>IFERROR(__xludf.DUMMYFUNCTION("""COMPUTED_VALUE"""),59.75)</f>
        <v>59.75</v>
      </c>
      <c r="K2742" s="16"/>
      <c r="T2742" s="17"/>
      <c r="AC2742" s="17"/>
    </row>
    <row r="2743">
      <c r="B2743" s="11">
        <f>IFERROR(__xludf.DUMMYFUNCTION("""COMPUTED_VALUE"""),42040.66666666667)</f>
        <v>42040.66667</v>
      </c>
      <c r="C2743" s="9">
        <f>IFERROR(__xludf.DUMMYFUNCTION("""COMPUTED_VALUE"""),59.21)</f>
        <v>59.21</v>
      </c>
      <c r="K2743" s="16"/>
      <c r="T2743" s="17"/>
      <c r="AC2743" s="17"/>
    </row>
    <row r="2744">
      <c r="B2744" s="11">
        <f>IFERROR(__xludf.DUMMYFUNCTION("""COMPUTED_VALUE"""),42039.66666666667)</f>
        <v>42039.66667</v>
      </c>
      <c r="C2744" s="9">
        <f>IFERROR(__xludf.DUMMYFUNCTION("""COMPUTED_VALUE"""),58.74)</f>
        <v>58.74</v>
      </c>
      <c r="K2744" s="16"/>
      <c r="T2744" s="17"/>
      <c r="AC2744" s="17"/>
    </row>
    <row r="2745">
      <c r="B2745" s="11">
        <f>IFERROR(__xludf.DUMMYFUNCTION("""COMPUTED_VALUE"""),42038.66666666667)</f>
        <v>42038.66667</v>
      </c>
      <c r="C2745" s="9">
        <f>IFERROR(__xludf.DUMMYFUNCTION("""COMPUTED_VALUE"""),59.0)</f>
        <v>59</v>
      </c>
      <c r="K2745" s="16"/>
      <c r="T2745" s="17"/>
      <c r="AC2745" s="17"/>
    </row>
    <row r="2746">
      <c r="B2746" s="11">
        <f>IFERROR(__xludf.DUMMYFUNCTION("""COMPUTED_VALUE"""),42037.66666666667)</f>
        <v>42037.66667</v>
      </c>
      <c r="C2746" s="9">
        <f>IFERROR(__xludf.DUMMYFUNCTION("""COMPUTED_VALUE"""),58.05)</f>
        <v>58.05</v>
      </c>
      <c r="K2746" s="16"/>
      <c r="T2746" s="17"/>
      <c r="AC2746" s="17"/>
    </row>
    <row r="2747">
      <c r="B2747" s="11">
        <f>IFERROR(__xludf.DUMMYFUNCTION("""COMPUTED_VALUE"""),42034.66666666667)</f>
        <v>42034.66667</v>
      </c>
      <c r="C2747" s="9">
        <f>IFERROR(__xludf.DUMMYFUNCTION("""COMPUTED_VALUE"""),57.21)</f>
        <v>57.21</v>
      </c>
      <c r="K2747" s="16"/>
      <c r="T2747" s="17"/>
      <c r="AC2747" s="17"/>
    </row>
    <row r="2748">
      <c r="B2748" s="11">
        <f>IFERROR(__xludf.DUMMYFUNCTION("""COMPUTED_VALUE"""),42033.66666666667)</f>
        <v>42033.66667</v>
      </c>
      <c r="C2748" s="9">
        <f>IFERROR(__xludf.DUMMYFUNCTION("""COMPUTED_VALUE"""),58.08)</f>
        <v>58.08</v>
      </c>
      <c r="K2748" s="16"/>
      <c r="T2748" s="17"/>
      <c r="AC2748" s="17"/>
    </row>
    <row r="2749">
      <c r="B2749" s="11">
        <f>IFERROR(__xludf.DUMMYFUNCTION("""COMPUTED_VALUE"""),42032.66666666667)</f>
        <v>42032.66667</v>
      </c>
      <c r="C2749" s="9">
        <f>IFERROR(__xludf.DUMMYFUNCTION("""COMPUTED_VALUE"""),57.49)</f>
        <v>57.49</v>
      </c>
      <c r="K2749" s="16"/>
      <c r="T2749" s="17"/>
      <c r="AC2749" s="17"/>
    </row>
    <row r="2750">
      <c r="B2750" s="11">
        <f>IFERROR(__xludf.DUMMYFUNCTION("""COMPUTED_VALUE"""),42031.66666666667)</f>
        <v>42031.66667</v>
      </c>
      <c r="C2750" s="9">
        <f>IFERROR(__xludf.DUMMYFUNCTION("""COMPUTED_VALUE"""),57.61)</f>
        <v>57.61</v>
      </c>
      <c r="K2750" s="16"/>
      <c r="T2750" s="17"/>
      <c r="AC2750" s="17"/>
    </row>
    <row r="2751">
      <c r="B2751" s="11">
        <f>IFERROR(__xludf.DUMMYFUNCTION("""COMPUTED_VALUE"""),42030.66666666667)</f>
        <v>42030.66667</v>
      </c>
      <c r="C2751" s="9">
        <f>IFERROR(__xludf.DUMMYFUNCTION("""COMPUTED_VALUE"""),58.26)</f>
        <v>58.26</v>
      </c>
      <c r="K2751" s="16"/>
      <c r="T2751" s="17"/>
      <c r="AC2751" s="17"/>
    </row>
    <row r="2752">
      <c r="B2752" s="11">
        <f>IFERROR(__xludf.DUMMYFUNCTION("""COMPUTED_VALUE"""),42027.66666666667)</f>
        <v>42027.66667</v>
      </c>
      <c r="C2752" s="9">
        <f>IFERROR(__xludf.DUMMYFUNCTION("""COMPUTED_VALUE"""),58.41)</f>
        <v>58.41</v>
      </c>
      <c r="K2752" s="16"/>
      <c r="T2752" s="17"/>
      <c r="AC2752" s="17"/>
    </row>
    <row r="2753">
      <c r="B2753" s="11">
        <f>IFERROR(__xludf.DUMMYFUNCTION("""COMPUTED_VALUE"""),42026.66666666667)</f>
        <v>42026.66667</v>
      </c>
      <c r="C2753" s="9">
        <f>IFERROR(__xludf.DUMMYFUNCTION("""COMPUTED_VALUE"""),58.29)</f>
        <v>58.29</v>
      </c>
      <c r="K2753" s="16"/>
      <c r="T2753" s="17"/>
      <c r="AC2753" s="17"/>
    </row>
    <row r="2754">
      <c r="B2754" s="11">
        <f>IFERROR(__xludf.DUMMYFUNCTION("""COMPUTED_VALUE"""),42025.66666666667)</f>
        <v>42025.66667</v>
      </c>
      <c r="C2754" s="9">
        <f>IFERROR(__xludf.DUMMYFUNCTION("""COMPUTED_VALUE"""),57.16)</f>
        <v>57.16</v>
      </c>
      <c r="K2754" s="16"/>
      <c r="T2754" s="17"/>
      <c r="AC2754" s="17"/>
    </row>
    <row r="2755">
      <c r="B2755" s="11">
        <f>IFERROR(__xludf.DUMMYFUNCTION("""COMPUTED_VALUE"""),42024.66666666667)</f>
        <v>42024.66667</v>
      </c>
      <c r="C2755" s="9">
        <f>IFERROR(__xludf.DUMMYFUNCTION("""COMPUTED_VALUE"""),57.01)</f>
        <v>57.01</v>
      </c>
      <c r="K2755" s="16"/>
      <c r="T2755" s="17"/>
      <c r="AC2755" s="17"/>
    </row>
    <row r="2756">
      <c r="B2756" s="11">
        <f>IFERROR(__xludf.DUMMYFUNCTION("""COMPUTED_VALUE"""),42020.66666666667)</f>
        <v>42020.66667</v>
      </c>
      <c r="C2756" s="9">
        <f>IFERROR(__xludf.DUMMYFUNCTION("""COMPUTED_VALUE"""),56.72)</f>
        <v>56.72</v>
      </c>
      <c r="K2756" s="16"/>
      <c r="T2756" s="17"/>
      <c r="AC2756" s="17"/>
    </row>
    <row r="2757">
      <c r="B2757" s="11">
        <f>IFERROR(__xludf.DUMMYFUNCTION("""COMPUTED_VALUE"""),42019.66666666667)</f>
        <v>42019.66667</v>
      </c>
      <c r="C2757" s="9">
        <f>IFERROR(__xludf.DUMMYFUNCTION("""COMPUTED_VALUE"""),56.54)</f>
        <v>56.54</v>
      </c>
      <c r="K2757" s="16"/>
      <c r="T2757" s="17"/>
      <c r="AC2757" s="17"/>
    </row>
    <row r="2758">
      <c r="B2758" s="11">
        <f>IFERROR(__xludf.DUMMYFUNCTION("""COMPUTED_VALUE"""),42018.66666666667)</f>
        <v>42018.66667</v>
      </c>
      <c r="C2758" s="9">
        <f>IFERROR(__xludf.DUMMYFUNCTION("""COMPUTED_VALUE"""),56.78)</f>
        <v>56.78</v>
      </c>
      <c r="K2758" s="16"/>
      <c r="T2758" s="17"/>
      <c r="AC2758" s="17"/>
    </row>
    <row r="2759">
      <c r="B2759" s="11">
        <f>IFERROR(__xludf.DUMMYFUNCTION("""COMPUTED_VALUE"""),42017.66666666667)</f>
        <v>42017.66667</v>
      </c>
      <c r="C2759" s="9">
        <f>IFERROR(__xludf.DUMMYFUNCTION("""COMPUTED_VALUE"""),56.95)</f>
        <v>56.95</v>
      </c>
      <c r="K2759" s="16"/>
      <c r="T2759" s="17"/>
      <c r="AC2759" s="17"/>
    </row>
    <row r="2760">
      <c r="B2760" s="11">
        <f>IFERROR(__xludf.DUMMYFUNCTION("""COMPUTED_VALUE"""),42016.66666666667)</f>
        <v>42016.66667</v>
      </c>
      <c r="C2760" s="9">
        <f>IFERROR(__xludf.DUMMYFUNCTION("""COMPUTED_VALUE"""),56.82)</f>
        <v>56.82</v>
      </c>
      <c r="K2760" s="16"/>
      <c r="T2760" s="17"/>
      <c r="AC2760" s="17"/>
    </row>
    <row r="2761">
      <c r="B2761" s="11">
        <f>IFERROR(__xludf.DUMMYFUNCTION("""COMPUTED_VALUE"""),42013.66666666667)</f>
        <v>42013.66667</v>
      </c>
      <c r="C2761" s="9">
        <f>IFERROR(__xludf.DUMMYFUNCTION("""COMPUTED_VALUE"""),57.26)</f>
        <v>57.26</v>
      </c>
      <c r="K2761" s="16"/>
      <c r="T2761" s="17"/>
      <c r="AC2761" s="17"/>
    </row>
    <row r="2762">
      <c r="B2762" s="11">
        <f>IFERROR(__xludf.DUMMYFUNCTION("""COMPUTED_VALUE"""),42012.66666666667)</f>
        <v>42012.66667</v>
      </c>
      <c r="C2762" s="9">
        <f>IFERROR(__xludf.DUMMYFUNCTION("""COMPUTED_VALUE"""),57.64)</f>
        <v>57.64</v>
      </c>
      <c r="K2762" s="16"/>
      <c r="T2762" s="17"/>
      <c r="AC2762" s="17"/>
    </row>
    <row r="2763">
      <c r="B2763" s="11">
        <f>IFERROR(__xludf.DUMMYFUNCTION("""COMPUTED_VALUE"""),42011.66666666667)</f>
        <v>42011.66667</v>
      </c>
      <c r="C2763" s="9">
        <f>IFERROR(__xludf.DUMMYFUNCTION("""COMPUTED_VALUE"""),56.53)</f>
        <v>56.53</v>
      </c>
      <c r="K2763" s="16"/>
      <c r="T2763" s="17"/>
      <c r="AC2763" s="17"/>
    </row>
    <row r="2764">
      <c r="B2764" s="11">
        <f>IFERROR(__xludf.DUMMYFUNCTION("""COMPUTED_VALUE"""),42010.66666666667)</f>
        <v>42010.66667</v>
      </c>
      <c r="C2764" s="9">
        <f>IFERROR(__xludf.DUMMYFUNCTION("""COMPUTED_VALUE"""),56.03)</f>
        <v>56.03</v>
      </c>
      <c r="K2764" s="16"/>
      <c r="T2764" s="17"/>
      <c r="AC2764" s="17"/>
    </row>
    <row r="2765">
      <c r="B2765" s="11">
        <f>IFERROR(__xludf.DUMMYFUNCTION("""COMPUTED_VALUE"""),42009.66666666667)</f>
        <v>42009.66667</v>
      </c>
      <c r="C2765" s="9">
        <f>IFERROR(__xludf.DUMMYFUNCTION("""COMPUTED_VALUE"""),56.39)</f>
        <v>56.39</v>
      </c>
      <c r="K2765" s="16"/>
      <c r="T2765" s="17"/>
      <c r="AC2765" s="17"/>
    </row>
    <row r="2766">
      <c r="B2766" s="11">
        <f>IFERROR(__xludf.DUMMYFUNCTION("""COMPUTED_VALUE"""),42006.66666666667)</f>
        <v>42006.66667</v>
      </c>
      <c r="C2766" s="9">
        <f>IFERROR(__xludf.DUMMYFUNCTION("""COMPUTED_VALUE"""),57.24)</f>
        <v>57.24</v>
      </c>
      <c r="K2766" s="16"/>
      <c r="T2766" s="17"/>
      <c r="AC2766" s="17"/>
    </row>
    <row r="2767">
      <c r="B2767" s="11">
        <f>IFERROR(__xludf.DUMMYFUNCTION("""COMPUTED_VALUE"""),42004.66666666667)</f>
        <v>42004.66667</v>
      </c>
      <c r="C2767" s="9">
        <f>IFERROR(__xludf.DUMMYFUNCTION("""COMPUTED_VALUE"""),57.35)</f>
        <v>57.35</v>
      </c>
      <c r="K2767" s="16"/>
      <c r="T2767" s="17"/>
      <c r="AC2767" s="17"/>
    </row>
    <row r="2768">
      <c r="B2768" s="11">
        <f>IFERROR(__xludf.DUMMYFUNCTION("""COMPUTED_VALUE"""),42003.66666666667)</f>
        <v>42003.66667</v>
      </c>
      <c r="C2768" s="9">
        <f>IFERROR(__xludf.DUMMYFUNCTION("""COMPUTED_VALUE"""),58.07)</f>
        <v>58.07</v>
      </c>
      <c r="K2768" s="16"/>
      <c r="T2768" s="17"/>
      <c r="AC2768" s="17"/>
    </row>
    <row r="2769">
      <c r="B2769" s="11">
        <f>IFERROR(__xludf.DUMMYFUNCTION("""COMPUTED_VALUE"""),42002.66666666667)</f>
        <v>42002.66667</v>
      </c>
      <c r="C2769" s="9">
        <f>IFERROR(__xludf.DUMMYFUNCTION("""COMPUTED_VALUE"""),58.33)</f>
        <v>58.33</v>
      </c>
      <c r="K2769" s="16"/>
      <c r="T2769" s="17"/>
      <c r="AC2769" s="17"/>
    </row>
    <row r="2770">
      <c r="B2770" s="11">
        <f>IFERROR(__xludf.DUMMYFUNCTION("""COMPUTED_VALUE"""),41999.66666666667)</f>
        <v>41999.66667</v>
      </c>
      <c r="C2770" s="9">
        <f>IFERROR(__xludf.DUMMYFUNCTION("""COMPUTED_VALUE"""),58.28)</f>
        <v>58.28</v>
      </c>
      <c r="K2770" s="16"/>
      <c r="T2770" s="17"/>
      <c r="AC2770" s="17"/>
    </row>
    <row r="2771">
      <c r="B2771" s="11">
        <f>IFERROR(__xludf.DUMMYFUNCTION("""COMPUTED_VALUE"""),41997.66666666667)</f>
        <v>41997.66667</v>
      </c>
      <c r="C2771" s="9">
        <f>IFERROR(__xludf.DUMMYFUNCTION("""COMPUTED_VALUE"""),58.09)</f>
        <v>58.09</v>
      </c>
      <c r="K2771" s="16"/>
      <c r="T2771" s="17"/>
      <c r="AC2771" s="17"/>
    </row>
    <row r="2772">
      <c r="B2772" s="11">
        <f>IFERROR(__xludf.DUMMYFUNCTION("""COMPUTED_VALUE"""),41996.66666666667)</f>
        <v>41996.66667</v>
      </c>
      <c r="C2772" s="9">
        <f>IFERROR(__xludf.DUMMYFUNCTION("""COMPUTED_VALUE"""),58.0)</f>
        <v>58</v>
      </c>
      <c r="K2772" s="16"/>
      <c r="T2772" s="17"/>
      <c r="AC2772" s="17"/>
    </row>
    <row r="2773">
      <c r="B2773" s="11">
        <f>IFERROR(__xludf.DUMMYFUNCTION("""COMPUTED_VALUE"""),41995.66666666667)</f>
        <v>41995.66667</v>
      </c>
      <c r="C2773" s="9">
        <f>IFERROR(__xludf.DUMMYFUNCTION("""COMPUTED_VALUE"""),57.68)</f>
        <v>57.68</v>
      </c>
      <c r="K2773" s="16"/>
      <c r="T2773" s="17"/>
      <c r="AC2773" s="17"/>
    </row>
    <row r="2774">
      <c r="B2774" s="11">
        <f>IFERROR(__xludf.DUMMYFUNCTION("""COMPUTED_VALUE"""),41992.66666666667)</f>
        <v>41992.66667</v>
      </c>
      <c r="C2774" s="9">
        <f>IFERROR(__xludf.DUMMYFUNCTION("""COMPUTED_VALUE"""),56.95)</f>
        <v>56.95</v>
      </c>
      <c r="K2774" s="16"/>
      <c r="T2774" s="17"/>
      <c r="AC2774" s="17"/>
    </row>
    <row r="2775">
      <c r="B2775" s="11">
        <f>IFERROR(__xludf.DUMMYFUNCTION("""COMPUTED_VALUE"""),41991.66666666667)</f>
        <v>41991.66667</v>
      </c>
      <c r="C2775" s="9">
        <f>IFERROR(__xludf.DUMMYFUNCTION("""COMPUTED_VALUE"""),56.77)</f>
        <v>56.77</v>
      </c>
      <c r="K2775" s="16"/>
      <c r="T2775" s="17"/>
      <c r="AC2775" s="17"/>
    </row>
    <row r="2776">
      <c r="B2776" s="11">
        <f>IFERROR(__xludf.DUMMYFUNCTION("""COMPUTED_VALUE"""),41990.66666666667)</f>
        <v>41990.66667</v>
      </c>
      <c r="C2776" s="9">
        <f>IFERROR(__xludf.DUMMYFUNCTION("""COMPUTED_VALUE"""),55.51)</f>
        <v>55.51</v>
      </c>
      <c r="K2776" s="16"/>
      <c r="T2776" s="17"/>
      <c r="AC2776" s="17"/>
    </row>
    <row r="2777">
      <c r="B2777" s="11">
        <f>IFERROR(__xludf.DUMMYFUNCTION("""COMPUTED_VALUE"""),41989.66666666667)</f>
        <v>41989.66667</v>
      </c>
      <c r="C2777" s="9">
        <f>IFERROR(__xludf.DUMMYFUNCTION("""COMPUTED_VALUE"""),55.08)</f>
        <v>55.08</v>
      </c>
      <c r="K2777" s="16"/>
      <c r="T2777" s="17"/>
      <c r="AC2777" s="17"/>
    </row>
    <row r="2778">
      <c r="B2778" s="11">
        <f>IFERROR(__xludf.DUMMYFUNCTION("""COMPUTED_VALUE"""),41988.66666666667)</f>
        <v>41988.66667</v>
      </c>
      <c r="C2778" s="9">
        <f>IFERROR(__xludf.DUMMYFUNCTION("""COMPUTED_VALUE"""),54.42)</f>
        <v>54.42</v>
      </c>
      <c r="K2778" s="16"/>
      <c r="T2778" s="17"/>
      <c r="AC2778" s="17"/>
    </row>
    <row r="2779">
      <c r="B2779" s="11">
        <f>IFERROR(__xludf.DUMMYFUNCTION("""COMPUTED_VALUE"""),41985.66666666667)</f>
        <v>41985.66667</v>
      </c>
      <c r="C2779" s="9">
        <f>IFERROR(__xludf.DUMMYFUNCTION("""COMPUTED_VALUE"""),54.62)</f>
        <v>54.62</v>
      </c>
      <c r="K2779" s="16"/>
      <c r="T2779" s="17"/>
      <c r="AC2779" s="17"/>
    </row>
    <row r="2780">
      <c r="B2780" s="11">
        <f>IFERROR(__xludf.DUMMYFUNCTION("""COMPUTED_VALUE"""),41984.66666666667)</f>
        <v>41984.66667</v>
      </c>
      <c r="C2780" s="9">
        <f>IFERROR(__xludf.DUMMYFUNCTION("""COMPUTED_VALUE"""),55.82)</f>
        <v>55.82</v>
      </c>
      <c r="K2780" s="16"/>
      <c r="T2780" s="17"/>
      <c r="AC2780" s="17"/>
    </row>
    <row r="2781">
      <c r="B2781" s="11">
        <f>IFERROR(__xludf.DUMMYFUNCTION("""COMPUTED_VALUE"""),41983.66666666667)</f>
        <v>41983.66667</v>
      </c>
      <c r="C2781" s="9">
        <f>IFERROR(__xludf.DUMMYFUNCTION("""COMPUTED_VALUE"""),55.85)</f>
        <v>55.85</v>
      </c>
      <c r="K2781" s="16"/>
      <c r="T2781" s="17"/>
      <c r="AC2781" s="17"/>
    </row>
    <row r="2782">
      <c r="B2782" s="11">
        <f>IFERROR(__xludf.DUMMYFUNCTION("""COMPUTED_VALUE"""),41982.66666666667)</f>
        <v>41982.66667</v>
      </c>
      <c r="C2782" s="9">
        <f>IFERROR(__xludf.DUMMYFUNCTION("""COMPUTED_VALUE"""),57.28)</f>
        <v>57.28</v>
      </c>
      <c r="K2782" s="16"/>
      <c r="T2782" s="17"/>
      <c r="AC2782" s="17"/>
    </row>
    <row r="2783">
      <c r="B2783" s="11">
        <f>IFERROR(__xludf.DUMMYFUNCTION("""COMPUTED_VALUE"""),41981.66666666667)</f>
        <v>41981.66667</v>
      </c>
      <c r="C2783" s="9">
        <f>IFERROR(__xludf.DUMMYFUNCTION("""COMPUTED_VALUE"""),56.88)</f>
        <v>56.88</v>
      </c>
      <c r="K2783" s="16"/>
      <c r="T2783" s="17"/>
      <c r="AC2783" s="17"/>
    </row>
    <row r="2784">
      <c r="B2784" s="11">
        <f>IFERROR(__xludf.DUMMYFUNCTION("""COMPUTED_VALUE"""),41978.66666666667)</f>
        <v>41978.66667</v>
      </c>
      <c r="C2784" s="9">
        <f>IFERROR(__xludf.DUMMYFUNCTION("""COMPUTED_VALUE"""),57.33)</f>
        <v>57.33</v>
      </c>
      <c r="K2784" s="16"/>
      <c r="T2784" s="17"/>
      <c r="AC2784" s="17"/>
    </row>
    <row r="2785">
      <c r="B2785" s="11">
        <f>IFERROR(__xludf.DUMMYFUNCTION("""COMPUTED_VALUE"""),41977.66666666667)</f>
        <v>41977.66667</v>
      </c>
      <c r="C2785" s="9">
        <f>IFERROR(__xludf.DUMMYFUNCTION("""COMPUTED_VALUE"""),56.84)</f>
        <v>56.84</v>
      </c>
      <c r="K2785" s="16"/>
      <c r="T2785" s="17"/>
      <c r="AC2785" s="17"/>
    </row>
    <row r="2786">
      <c r="B2786" s="11">
        <f>IFERROR(__xludf.DUMMYFUNCTION("""COMPUTED_VALUE"""),41976.66666666667)</f>
        <v>41976.66667</v>
      </c>
      <c r="C2786" s="9">
        <f>IFERROR(__xludf.DUMMYFUNCTION("""COMPUTED_VALUE"""),57.11)</f>
        <v>57.11</v>
      </c>
      <c r="K2786" s="16"/>
      <c r="T2786" s="17"/>
      <c r="AC2786" s="17"/>
    </row>
    <row r="2787">
      <c r="B2787" s="11">
        <f>IFERROR(__xludf.DUMMYFUNCTION("""COMPUTED_VALUE"""),41975.66666666667)</f>
        <v>41975.66667</v>
      </c>
      <c r="C2787" s="9">
        <f>IFERROR(__xludf.DUMMYFUNCTION("""COMPUTED_VALUE"""),56.69)</f>
        <v>56.69</v>
      </c>
      <c r="K2787" s="16"/>
      <c r="T2787" s="17"/>
      <c r="AC2787" s="17"/>
    </row>
    <row r="2788">
      <c r="B2788" s="11">
        <f>IFERROR(__xludf.DUMMYFUNCTION("""COMPUTED_VALUE"""),41974.66666666667)</f>
        <v>41974.66667</v>
      </c>
      <c r="C2788" s="9">
        <f>IFERROR(__xludf.DUMMYFUNCTION("""COMPUTED_VALUE"""),56.49)</f>
        <v>56.49</v>
      </c>
      <c r="K2788" s="16"/>
      <c r="T2788" s="17"/>
      <c r="AC2788" s="17"/>
    </row>
    <row r="2789">
      <c r="B2789" s="11">
        <f>IFERROR(__xludf.DUMMYFUNCTION("""COMPUTED_VALUE"""),41971.66666666667)</f>
        <v>41971.66667</v>
      </c>
      <c r="C2789" s="9">
        <f>IFERROR(__xludf.DUMMYFUNCTION("""COMPUTED_VALUE"""),57.08)</f>
        <v>57.08</v>
      </c>
      <c r="K2789" s="16"/>
      <c r="T2789" s="17"/>
      <c r="AC2789" s="17"/>
    </row>
    <row r="2790">
      <c r="B2790" s="11">
        <f>IFERROR(__xludf.DUMMYFUNCTION("""COMPUTED_VALUE"""),41969.66666666667)</f>
        <v>41969.66667</v>
      </c>
      <c r="C2790" s="9">
        <f>IFERROR(__xludf.DUMMYFUNCTION("""COMPUTED_VALUE"""),57.15)</f>
        <v>57.15</v>
      </c>
      <c r="K2790" s="16"/>
      <c r="T2790" s="17"/>
      <c r="AC2790" s="17"/>
    </row>
    <row r="2791">
      <c r="B2791" s="11">
        <f>IFERROR(__xludf.DUMMYFUNCTION("""COMPUTED_VALUE"""),41968.66666666667)</f>
        <v>41968.66667</v>
      </c>
      <c r="C2791" s="9">
        <f>IFERROR(__xludf.DUMMYFUNCTION("""COMPUTED_VALUE"""),57.15)</f>
        <v>57.15</v>
      </c>
      <c r="K2791" s="16"/>
      <c r="T2791" s="17"/>
      <c r="AC2791" s="17"/>
    </row>
    <row r="2792">
      <c r="B2792" s="11">
        <f>IFERROR(__xludf.DUMMYFUNCTION("""COMPUTED_VALUE"""),41967.66666666667)</f>
        <v>41967.66667</v>
      </c>
      <c r="C2792" s="9">
        <f>IFERROR(__xludf.DUMMYFUNCTION("""COMPUTED_VALUE"""),56.88)</f>
        <v>56.88</v>
      </c>
      <c r="K2792" s="16"/>
      <c r="T2792" s="17"/>
      <c r="AC2792" s="17"/>
    </row>
    <row r="2793">
      <c r="B2793" s="11">
        <f>IFERROR(__xludf.DUMMYFUNCTION("""COMPUTED_VALUE"""),41964.66666666667)</f>
        <v>41964.66667</v>
      </c>
      <c r="C2793" s="9">
        <f>IFERROR(__xludf.DUMMYFUNCTION("""COMPUTED_VALUE"""),56.51)</f>
        <v>56.51</v>
      </c>
      <c r="K2793" s="16"/>
      <c r="T2793" s="17"/>
      <c r="AC2793" s="17"/>
    </row>
    <row r="2794">
      <c r="B2794" s="11">
        <f>IFERROR(__xludf.DUMMYFUNCTION("""COMPUTED_VALUE"""),41963.66666666667)</f>
        <v>41963.66667</v>
      </c>
      <c r="C2794" s="9">
        <f>IFERROR(__xludf.DUMMYFUNCTION("""COMPUTED_VALUE"""),56.31)</f>
        <v>56.31</v>
      </c>
      <c r="K2794" s="16"/>
      <c r="T2794" s="17"/>
      <c r="AC2794" s="17"/>
    </row>
    <row r="2795">
      <c r="B2795" s="11">
        <f>IFERROR(__xludf.DUMMYFUNCTION("""COMPUTED_VALUE"""),41962.66666666667)</f>
        <v>41962.66667</v>
      </c>
      <c r="C2795" s="9">
        <f>IFERROR(__xludf.DUMMYFUNCTION("""COMPUTED_VALUE"""),56.19)</f>
        <v>56.19</v>
      </c>
      <c r="K2795" s="16"/>
      <c r="T2795" s="17"/>
      <c r="AC2795" s="17"/>
    </row>
    <row r="2796">
      <c r="B2796" s="11">
        <f>IFERROR(__xludf.DUMMYFUNCTION("""COMPUTED_VALUE"""),41961.66666666667)</f>
        <v>41961.66667</v>
      </c>
      <c r="C2796" s="9">
        <f>IFERROR(__xludf.DUMMYFUNCTION("""COMPUTED_VALUE"""),56.23)</f>
        <v>56.23</v>
      </c>
      <c r="K2796" s="16"/>
      <c r="T2796" s="17"/>
      <c r="AC2796" s="17"/>
    </row>
    <row r="2797">
      <c r="B2797" s="11">
        <f>IFERROR(__xludf.DUMMYFUNCTION("""COMPUTED_VALUE"""),41960.66666666667)</f>
        <v>41960.66667</v>
      </c>
      <c r="C2797" s="9">
        <f>IFERROR(__xludf.DUMMYFUNCTION("""COMPUTED_VALUE"""),55.55)</f>
        <v>55.55</v>
      </c>
      <c r="K2797" s="16"/>
      <c r="T2797" s="17"/>
      <c r="AC2797" s="17"/>
    </row>
    <row r="2798">
      <c r="B2798" s="11">
        <f>IFERROR(__xludf.DUMMYFUNCTION("""COMPUTED_VALUE"""),41957.66666666667)</f>
        <v>41957.66667</v>
      </c>
      <c r="C2798" s="9">
        <f>IFERROR(__xludf.DUMMYFUNCTION("""COMPUTED_VALUE"""),55.81)</f>
        <v>55.81</v>
      </c>
      <c r="K2798" s="16"/>
      <c r="T2798" s="17"/>
      <c r="AC2798" s="17"/>
    </row>
    <row r="2799">
      <c r="B2799" s="11">
        <f>IFERROR(__xludf.DUMMYFUNCTION("""COMPUTED_VALUE"""),41956.66666666667)</f>
        <v>41956.66667</v>
      </c>
      <c r="C2799" s="9">
        <f>IFERROR(__xludf.DUMMYFUNCTION("""COMPUTED_VALUE"""),55.91)</f>
        <v>55.91</v>
      </c>
      <c r="K2799" s="16"/>
      <c r="T2799" s="17"/>
      <c r="AC2799" s="17"/>
    </row>
    <row r="2800">
      <c r="B2800" s="11">
        <f>IFERROR(__xludf.DUMMYFUNCTION("""COMPUTED_VALUE"""),41955.66666666667)</f>
        <v>41955.66667</v>
      </c>
      <c r="C2800" s="9">
        <f>IFERROR(__xludf.DUMMYFUNCTION("""COMPUTED_VALUE"""),55.75)</f>
        <v>55.75</v>
      </c>
      <c r="K2800" s="16"/>
      <c r="T2800" s="17"/>
      <c r="AC2800" s="17"/>
    </row>
    <row r="2801">
      <c r="B2801" s="11">
        <f>IFERROR(__xludf.DUMMYFUNCTION("""COMPUTED_VALUE"""),41954.66666666667)</f>
        <v>41954.66667</v>
      </c>
      <c r="C2801" s="9">
        <f>IFERROR(__xludf.DUMMYFUNCTION("""COMPUTED_VALUE"""),55.55)</f>
        <v>55.55</v>
      </c>
      <c r="K2801" s="16"/>
      <c r="T2801" s="17"/>
      <c r="AC2801" s="17"/>
    </row>
    <row r="2802">
      <c r="B2802" s="11">
        <f>IFERROR(__xludf.DUMMYFUNCTION("""COMPUTED_VALUE"""),41953.66666666667)</f>
        <v>41953.66667</v>
      </c>
      <c r="C2802" s="9">
        <f>IFERROR(__xludf.DUMMYFUNCTION("""COMPUTED_VALUE"""),55.66)</f>
        <v>55.66</v>
      </c>
      <c r="K2802" s="16"/>
      <c r="T2802" s="17"/>
      <c r="AC2802" s="17"/>
    </row>
    <row r="2803">
      <c r="B2803" s="11">
        <f>IFERROR(__xludf.DUMMYFUNCTION("""COMPUTED_VALUE"""),41950.666666666664)</f>
        <v>41950.66667</v>
      </c>
      <c r="C2803" s="9">
        <f>IFERROR(__xludf.DUMMYFUNCTION("""COMPUTED_VALUE"""),55.52)</f>
        <v>55.52</v>
      </c>
      <c r="K2803" s="16"/>
      <c r="T2803" s="17"/>
      <c r="AC2803" s="17"/>
    </row>
    <row r="2804">
      <c r="B2804" s="11">
        <f>IFERROR(__xludf.DUMMYFUNCTION("""COMPUTED_VALUE"""),41949.666666666664)</f>
        <v>41949.66667</v>
      </c>
      <c r="C2804" s="9">
        <f>IFERROR(__xludf.DUMMYFUNCTION("""COMPUTED_VALUE"""),55.75)</f>
        <v>55.75</v>
      </c>
      <c r="K2804" s="16"/>
      <c r="T2804" s="17"/>
      <c r="AC2804" s="17"/>
    </row>
    <row r="2805">
      <c r="B2805" s="11">
        <f>IFERROR(__xludf.DUMMYFUNCTION("""COMPUTED_VALUE"""),41948.666666666664)</f>
        <v>41948.66667</v>
      </c>
      <c r="C2805" s="9">
        <f>IFERROR(__xludf.DUMMYFUNCTION("""COMPUTED_VALUE"""),55.5)</f>
        <v>55.5</v>
      </c>
      <c r="K2805" s="16"/>
      <c r="T2805" s="17"/>
      <c r="AC2805" s="17"/>
    </row>
    <row r="2806">
      <c r="B2806" s="11">
        <f>IFERROR(__xludf.DUMMYFUNCTION("""COMPUTED_VALUE"""),41947.666666666664)</f>
        <v>41947.66667</v>
      </c>
      <c r="C2806" s="9">
        <f>IFERROR(__xludf.DUMMYFUNCTION("""COMPUTED_VALUE"""),55.57)</f>
        <v>55.57</v>
      </c>
      <c r="K2806" s="16"/>
      <c r="T2806" s="17"/>
      <c r="AC2806" s="17"/>
    </row>
    <row r="2807">
      <c r="B2807" s="11">
        <f>IFERROR(__xludf.DUMMYFUNCTION("""COMPUTED_VALUE"""),41946.666666666664)</f>
        <v>41946.66667</v>
      </c>
      <c r="C2807" s="9">
        <f>IFERROR(__xludf.DUMMYFUNCTION("""COMPUTED_VALUE"""),55.59)</f>
        <v>55.59</v>
      </c>
      <c r="K2807" s="16"/>
      <c r="T2807" s="17"/>
      <c r="AC2807" s="17"/>
    </row>
    <row r="2808">
      <c r="B2808" s="11">
        <f>IFERROR(__xludf.DUMMYFUNCTION("""COMPUTED_VALUE"""),41943.666666666664)</f>
        <v>41943.66667</v>
      </c>
      <c r="C2808" s="9">
        <f>IFERROR(__xludf.DUMMYFUNCTION("""COMPUTED_VALUE"""),55.6)</f>
        <v>55.6</v>
      </c>
      <c r="K2808" s="16"/>
      <c r="T2808" s="17"/>
      <c r="AC2808" s="17"/>
    </row>
    <row r="2809">
      <c r="B2809" s="11">
        <f>IFERROR(__xludf.DUMMYFUNCTION("""COMPUTED_VALUE"""),41942.666666666664)</f>
        <v>41942.66667</v>
      </c>
      <c r="C2809" s="9">
        <f>IFERROR(__xludf.DUMMYFUNCTION("""COMPUTED_VALUE"""),55.03)</f>
        <v>55.03</v>
      </c>
      <c r="K2809" s="16"/>
      <c r="T2809" s="17"/>
      <c r="AC2809" s="17"/>
    </row>
    <row r="2810">
      <c r="B2810" s="11">
        <f>IFERROR(__xludf.DUMMYFUNCTION("""COMPUTED_VALUE"""),41941.666666666664)</f>
        <v>41941.66667</v>
      </c>
      <c r="C2810" s="9">
        <f>IFERROR(__xludf.DUMMYFUNCTION("""COMPUTED_VALUE"""),54.65)</f>
        <v>54.65</v>
      </c>
      <c r="K2810" s="16"/>
      <c r="T2810" s="17"/>
      <c r="AC2810" s="17"/>
    </row>
    <row r="2811">
      <c r="B2811" s="11">
        <f>IFERROR(__xludf.DUMMYFUNCTION("""COMPUTED_VALUE"""),41940.666666666664)</f>
        <v>41940.66667</v>
      </c>
      <c r="C2811" s="9">
        <f>IFERROR(__xludf.DUMMYFUNCTION("""COMPUTED_VALUE"""),54.86)</f>
        <v>54.86</v>
      </c>
      <c r="K2811" s="16"/>
      <c r="T2811" s="17"/>
      <c r="AC2811" s="17"/>
    </row>
    <row r="2812">
      <c r="B2812" s="11">
        <f>IFERROR(__xludf.DUMMYFUNCTION("""COMPUTED_VALUE"""),41939.666666666664)</f>
        <v>41939.66667</v>
      </c>
      <c r="C2812" s="9">
        <f>IFERROR(__xludf.DUMMYFUNCTION("""COMPUTED_VALUE"""),53.69)</f>
        <v>53.69</v>
      </c>
      <c r="K2812" s="16"/>
      <c r="T2812" s="17"/>
      <c r="AC2812" s="17"/>
    </row>
    <row r="2813">
      <c r="B2813" s="11">
        <f>IFERROR(__xludf.DUMMYFUNCTION("""COMPUTED_VALUE"""),41936.666666666664)</f>
        <v>41936.66667</v>
      </c>
      <c r="C2813" s="9">
        <f>IFERROR(__xludf.DUMMYFUNCTION("""COMPUTED_VALUE"""),53.62)</f>
        <v>53.62</v>
      </c>
      <c r="K2813" s="16"/>
      <c r="T2813" s="17"/>
      <c r="AC2813" s="17"/>
    </row>
    <row r="2814">
      <c r="B2814" s="11">
        <f>IFERROR(__xludf.DUMMYFUNCTION("""COMPUTED_VALUE"""),41935.666666666664)</f>
        <v>41935.66667</v>
      </c>
      <c r="C2814" s="9">
        <f>IFERROR(__xludf.DUMMYFUNCTION("""COMPUTED_VALUE"""),53.22)</f>
        <v>53.22</v>
      </c>
      <c r="K2814" s="16"/>
      <c r="T2814" s="17"/>
      <c r="AC2814" s="17"/>
    </row>
    <row r="2815">
      <c r="B2815" s="11">
        <f>IFERROR(__xludf.DUMMYFUNCTION("""COMPUTED_VALUE"""),41934.666666666664)</f>
        <v>41934.66667</v>
      </c>
      <c r="C2815" s="9">
        <f>IFERROR(__xludf.DUMMYFUNCTION("""COMPUTED_VALUE"""),52.38)</f>
        <v>52.38</v>
      </c>
      <c r="K2815" s="16"/>
      <c r="T2815" s="17"/>
      <c r="AC2815" s="17"/>
    </row>
    <row r="2816">
      <c r="B2816" s="11">
        <f>IFERROR(__xludf.DUMMYFUNCTION("""COMPUTED_VALUE"""),41933.666666666664)</f>
        <v>41933.66667</v>
      </c>
      <c r="C2816" s="9">
        <f>IFERROR(__xludf.DUMMYFUNCTION("""COMPUTED_VALUE"""),52.93)</f>
        <v>52.93</v>
      </c>
      <c r="K2816" s="16"/>
      <c r="T2816" s="17"/>
      <c r="AC2816" s="17"/>
    </row>
    <row r="2817">
      <c r="B2817" s="11">
        <f>IFERROR(__xludf.DUMMYFUNCTION("""COMPUTED_VALUE"""),41932.666666666664)</f>
        <v>41932.66667</v>
      </c>
      <c r="C2817" s="9">
        <f>IFERROR(__xludf.DUMMYFUNCTION("""COMPUTED_VALUE"""),52.11)</f>
        <v>52.11</v>
      </c>
      <c r="K2817" s="16"/>
      <c r="T2817" s="17"/>
      <c r="AC2817" s="17"/>
    </row>
    <row r="2818">
      <c r="B2818" s="11">
        <f>IFERROR(__xludf.DUMMYFUNCTION("""COMPUTED_VALUE"""),41929.666666666664)</f>
        <v>41929.66667</v>
      </c>
      <c r="C2818" s="9">
        <f>IFERROR(__xludf.DUMMYFUNCTION("""COMPUTED_VALUE"""),52.09)</f>
        <v>52.09</v>
      </c>
      <c r="K2818" s="16"/>
      <c r="T2818" s="17"/>
      <c r="AC2818" s="17"/>
    </row>
    <row r="2819">
      <c r="B2819" s="11">
        <f>IFERROR(__xludf.DUMMYFUNCTION("""COMPUTED_VALUE"""),41928.666666666664)</f>
        <v>41928.66667</v>
      </c>
      <c r="C2819" s="9">
        <f>IFERROR(__xludf.DUMMYFUNCTION("""COMPUTED_VALUE"""),51.19)</f>
        <v>51.19</v>
      </c>
      <c r="K2819" s="16"/>
      <c r="T2819" s="17"/>
      <c r="AC2819" s="17"/>
    </row>
    <row r="2820">
      <c r="B2820" s="11">
        <f>IFERROR(__xludf.DUMMYFUNCTION("""COMPUTED_VALUE"""),41927.666666666664)</f>
        <v>41927.66667</v>
      </c>
      <c r="C2820" s="9">
        <f>IFERROR(__xludf.DUMMYFUNCTION("""COMPUTED_VALUE"""),51.06)</f>
        <v>51.06</v>
      </c>
      <c r="K2820" s="16"/>
      <c r="T2820" s="17"/>
      <c r="AC2820" s="17"/>
    </row>
    <row r="2821">
      <c r="B2821" s="11">
        <f>IFERROR(__xludf.DUMMYFUNCTION("""COMPUTED_VALUE"""),41926.666666666664)</f>
        <v>41926.66667</v>
      </c>
      <c r="C2821" s="9">
        <f>IFERROR(__xludf.DUMMYFUNCTION("""COMPUTED_VALUE"""),51.26)</f>
        <v>51.26</v>
      </c>
      <c r="K2821" s="16"/>
      <c r="T2821" s="17"/>
      <c r="AC2821" s="17"/>
    </row>
    <row r="2822">
      <c r="B2822" s="11">
        <f>IFERROR(__xludf.DUMMYFUNCTION("""COMPUTED_VALUE"""),41925.666666666664)</f>
        <v>41925.66667</v>
      </c>
      <c r="C2822" s="9">
        <f>IFERROR(__xludf.DUMMYFUNCTION("""COMPUTED_VALUE"""),50.47)</f>
        <v>50.47</v>
      </c>
      <c r="K2822" s="16"/>
      <c r="T2822" s="17"/>
      <c r="AC2822" s="17"/>
    </row>
    <row r="2823">
      <c r="B2823" s="11">
        <f>IFERROR(__xludf.DUMMYFUNCTION("""COMPUTED_VALUE"""),41922.666666666664)</f>
        <v>41922.66667</v>
      </c>
      <c r="C2823" s="9">
        <f>IFERROR(__xludf.DUMMYFUNCTION("""COMPUTED_VALUE"""),51.22)</f>
        <v>51.22</v>
      </c>
      <c r="K2823" s="16"/>
      <c r="T2823" s="17"/>
      <c r="AC2823" s="17"/>
    </row>
    <row r="2824">
      <c r="B2824" s="11">
        <f>IFERROR(__xludf.DUMMYFUNCTION("""COMPUTED_VALUE"""),41921.666666666664)</f>
        <v>41921.66667</v>
      </c>
      <c r="C2824" s="9">
        <f>IFERROR(__xludf.DUMMYFUNCTION("""COMPUTED_VALUE"""),51.42)</f>
        <v>51.42</v>
      </c>
      <c r="K2824" s="16"/>
      <c r="T2824" s="17"/>
      <c r="AC2824" s="17"/>
    </row>
    <row r="2825">
      <c r="B2825" s="11">
        <f>IFERROR(__xludf.DUMMYFUNCTION("""COMPUTED_VALUE"""),41920.666666666664)</f>
        <v>41920.66667</v>
      </c>
      <c r="C2825" s="9">
        <f>IFERROR(__xludf.DUMMYFUNCTION("""COMPUTED_VALUE"""),52.47)</f>
        <v>52.47</v>
      </c>
      <c r="K2825" s="16"/>
      <c r="T2825" s="17"/>
      <c r="AC2825" s="17"/>
    </row>
    <row r="2826">
      <c r="B2826" s="11">
        <f>IFERROR(__xludf.DUMMYFUNCTION("""COMPUTED_VALUE"""),41919.666666666664)</f>
        <v>41919.66667</v>
      </c>
      <c r="C2826" s="9">
        <f>IFERROR(__xludf.DUMMYFUNCTION("""COMPUTED_VALUE"""),51.68)</f>
        <v>51.68</v>
      </c>
      <c r="K2826" s="16"/>
      <c r="T2826" s="17"/>
      <c r="AC2826" s="17"/>
    </row>
    <row r="2827">
      <c r="B2827" s="11">
        <f>IFERROR(__xludf.DUMMYFUNCTION("""COMPUTED_VALUE"""),41918.666666666664)</f>
        <v>41918.66667</v>
      </c>
      <c r="C2827" s="9">
        <f>IFERROR(__xludf.DUMMYFUNCTION("""COMPUTED_VALUE"""),52.86)</f>
        <v>52.86</v>
      </c>
      <c r="K2827" s="16"/>
      <c r="T2827" s="17"/>
      <c r="AC2827" s="17"/>
    </row>
    <row r="2828">
      <c r="B2828" s="11">
        <f>IFERROR(__xludf.DUMMYFUNCTION("""COMPUTED_VALUE"""),41915.666666666664)</f>
        <v>41915.66667</v>
      </c>
      <c r="C2828" s="9">
        <f>IFERROR(__xludf.DUMMYFUNCTION("""COMPUTED_VALUE"""),53.1)</f>
        <v>53.1</v>
      </c>
      <c r="K2828" s="16"/>
      <c r="T2828" s="17"/>
      <c r="AC2828" s="17"/>
    </row>
    <row r="2829">
      <c r="B2829" s="11">
        <f>IFERROR(__xludf.DUMMYFUNCTION("""COMPUTED_VALUE"""),41914.666666666664)</f>
        <v>41914.66667</v>
      </c>
      <c r="C2829" s="9">
        <f>IFERROR(__xludf.DUMMYFUNCTION("""COMPUTED_VALUE"""),52.39)</f>
        <v>52.39</v>
      </c>
      <c r="K2829" s="16"/>
      <c r="T2829" s="17"/>
      <c r="AC2829" s="17"/>
    </row>
    <row r="2830">
      <c r="B2830" s="11">
        <f>IFERROR(__xludf.DUMMYFUNCTION("""COMPUTED_VALUE"""),41913.666666666664)</f>
        <v>41913.66667</v>
      </c>
      <c r="C2830" s="9">
        <f>IFERROR(__xludf.DUMMYFUNCTION("""COMPUTED_VALUE"""),52.68)</f>
        <v>52.68</v>
      </c>
      <c r="K2830" s="16"/>
      <c r="T2830" s="17"/>
      <c r="AC2830" s="17"/>
    </row>
    <row r="2831">
      <c r="B2831" s="11">
        <f>IFERROR(__xludf.DUMMYFUNCTION("""COMPUTED_VALUE"""),41912.666666666664)</f>
        <v>41912.66667</v>
      </c>
      <c r="C2831" s="9">
        <f>IFERROR(__xludf.DUMMYFUNCTION("""COMPUTED_VALUE"""),53.79)</f>
        <v>53.79</v>
      </c>
      <c r="K2831" s="16"/>
      <c r="T2831" s="17"/>
      <c r="AC2831" s="17"/>
    </row>
    <row r="2832">
      <c r="B2832" s="11">
        <f>IFERROR(__xludf.DUMMYFUNCTION("""COMPUTED_VALUE"""),41911.666666666664)</f>
        <v>41911.66667</v>
      </c>
      <c r="C2832" s="9">
        <f>IFERROR(__xludf.DUMMYFUNCTION("""COMPUTED_VALUE"""),53.98)</f>
        <v>53.98</v>
      </c>
      <c r="K2832" s="16"/>
      <c r="T2832" s="17"/>
      <c r="AC2832" s="17"/>
    </row>
    <row r="2833">
      <c r="B2833" s="11">
        <f>IFERROR(__xludf.DUMMYFUNCTION("""COMPUTED_VALUE"""),41908.666666666664)</f>
        <v>41908.66667</v>
      </c>
      <c r="C2833" s="9">
        <f>IFERROR(__xludf.DUMMYFUNCTION("""COMPUTED_VALUE"""),54.19)</f>
        <v>54.19</v>
      </c>
      <c r="K2833" s="16"/>
      <c r="T2833" s="17"/>
      <c r="AC2833" s="17"/>
    </row>
    <row r="2834">
      <c r="B2834" s="11">
        <f>IFERROR(__xludf.DUMMYFUNCTION("""COMPUTED_VALUE"""),41907.666666666664)</f>
        <v>41907.66667</v>
      </c>
      <c r="C2834" s="9">
        <f>IFERROR(__xludf.DUMMYFUNCTION("""COMPUTED_VALUE"""),53.44)</f>
        <v>53.44</v>
      </c>
      <c r="K2834" s="16"/>
      <c r="T2834" s="17"/>
      <c r="AC2834" s="17"/>
    </row>
    <row r="2835">
      <c r="B2835" s="11">
        <f>IFERROR(__xludf.DUMMYFUNCTION("""COMPUTED_VALUE"""),41906.666666666664)</f>
        <v>41906.66667</v>
      </c>
      <c r="C2835" s="9">
        <f>IFERROR(__xludf.DUMMYFUNCTION("""COMPUTED_VALUE"""),54.03)</f>
        <v>54.03</v>
      </c>
      <c r="K2835" s="16"/>
      <c r="T2835" s="17"/>
      <c r="AC2835" s="17"/>
    </row>
    <row r="2836">
      <c r="B2836" s="11">
        <f>IFERROR(__xludf.DUMMYFUNCTION("""COMPUTED_VALUE"""),41905.666666666664)</f>
        <v>41905.66667</v>
      </c>
      <c r="C2836" s="9">
        <f>IFERROR(__xludf.DUMMYFUNCTION("""COMPUTED_VALUE"""),53.98)</f>
        <v>53.98</v>
      </c>
      <c r="K2836" s="16"/>
      <c r="T2836" s="17"/>
      <c r="AC2836" s="17"/>
    </row>
    <row r="2837">
      <c r="B2837" s="11">
        <f>IFERROR(__xludf.DUMMYFUNCTION("""COMPUTED_VALUE"""),41904.666666666664)</f>
        <v>41904.66667</v>
      </c>
      <c r="C2837" s="9">
        <f>IFERROR(__xludf.DUMMYFUNCTION("""COMPUTED_VALUE"""),54.57)</f>
        <v>54.57</v>
      </c>
      <c r="K2837" s="16"/>
      <c r="T2837" s="17"/>
      <c r="AC2837" s="17"/>
    </row>
    <row r="2838">
      <c r="B2838" s="11">
        <f>IFERROR(__xludf.DUMMYFUNCTION("""COMPUTED_VALUE"""),41901.666666666664)</f>
        <v>41901.66667</v>
      </c>
      <c r="C2838" s="9">
        <f>IFERROR(__xludf.DUMMYFUNCTION("""COMPUTED_VALUE"""),55.37)</f>
        <v>55.37</v>
      </c>
      <c r="K2838" s="16"/>
      <c r="T2838" s="17"/>
      <c r="AC2838" s="17"/>
    </row>
    <row r="2839">
      <c r="B2839" s="11">
        <f>IFERROR(__xludf.DUMMYFUNCTION("""COMPUTED_VALUE"""),41900.666666666664)</f>
        <v>41900.66667</v>
      </c>
      <c r="C2839" s="9">
        <f>IFERROR(__xludf.DUMMYFUNCTION("""COMPUTED_VALUE"""),55.48)</f>
        <v>55.48</v>
      </c>
      <c r="K2839" s="16"/>
      <c r="T2839" s="17"/>
      <c r="AC2839" s="17"/>
    </row>
    <row r="2840">
      <c r="B2840" s="11">
        <f>IFERROR(__xludf.DUMMYFUNCTION("""COMPUTED_VALUE"""),41899.666666666664)</f>
        <v>41899.66667</v>
      </c>
      <c r="C2840" s="9">
        <f>IFERROR(__xludf.DUMMYFUNCTION("""COMPUTED_VALUE"""),55.1)</f>
        <v>55.1</v>
      </c>
      <c r="K2840" s="16"/>
      <c r="T2840" s="17"/>
      <c r="AC2840" s="17"/>
    </row>
    <row r="2841">
      <c r="B2841" s="11">
        <f>IFERROR(__xludf.DUMMYFUNCTION("""COMPUTED_VALUE"""),41898.666666666664)</f>
        <v>41898.66667</v>
      </c>
      <c r="C2841" s="9">
        <f>IFERROR(__xludf.DUMMYFUNCTION("""COMPUTED_VALUE"""),55.06)</f>
        <v>55.06</v>
      </c>
      <c r="K2841" s="16"/>
      <c r="T2841" s="17"/>
      <c r="AC2841" s="17"/>
    </row>
    <row r="2842">
      <c r="B2842" s="11">
        <f>IFERROR(__xludf.DUMMYFUNCTION("""COMPUTED_VALUE"""),41897.666666666664)</f>
        <v>41897.66667</v>
      </c>
      <c r="C2842" s="9">
        <f>IFERROR(__xludf.DUMMYFUNCTION("""COMPUTED_VALUE"""),54.83)</f>
        <v>54.83</v>
      </c>
      <c r="K2842" s="16"/>
      <c r="T2842" s="17"/>
      <c r="AC2842" s="17"/>
    </row>
    <row r="2843">
      <c r="B2843" s="11">
        <f>IFERROR(__xludf.DUMMYFUNCTION("""COMPUTED_VALUE"""),41894.666666666664)</f>
        <v>41894.66667</v>
      </c>
      <c r="C2843" s="9">
        <f>IFERROR(__xludf.DUMMYFUNCTION("""COMPUTED_VALUE"""),54.86)</f>
        <v>54.86</v>
      </c>
      <c r="K2843" s="16"/>
      <c r="T2843" s="17"/>
      <c r="AC2843" s="17"/>
    </row>
    <row r="2844">
      <c r="B2844" s="11">
        <f>IFERROR(__xludf.DUMMYFUNCTION("""COMPUTED_VALUE"""),41893.666666666664)</f>
        <v>41893.66667</v>
      </c>
      <c r="C2844" s="9">
        <f>IFERROR(__xludf.DUMMYFUNCTION("""COMPUTED_VALUE"""),55.03)</f>
        <v>55.03</v>
      </c>
      <c r="K2844" s="16"/>
      <c r="T2844" s="17"/>
      <c r="AC2844" s="17"/>
    </row>
    <row r="2845">
      <c r="B2845" s="11">
        <f>IFERROR(__xludf.DUMMYFUNCTION("""COMPUTED_VALUE"""),41892.666666666664)</f>
        <v>41892.66667</v>
      </c>
      <c r="C2845" s="9">
        <f>IFERROR(__xludf.DUMMYFUNCTION("""COMPUTED_VALUE"""),55.02)</f>
        <v>55.02</v>
      </c>
      <c r="K2845" s="16"/>
      <c r="T2845" s="17"/>
      <c r="AC2845" s="17"/>
    </row>
    <row r="2846">
      <c r="B2846" s="11">
        <f>IFERROR(__xludf.DUMMYFUNCTION("""COMPUTED_VALUE"""),41891.666666666664)</f>
        <v>41891.66667</v>
      </c>
      <c r="C2846" s="9">
        <f>IFERROR(__xludf.DUMMYFUNCTION("""COMPUTED_VALUE"""),54.63)</f>
        <v>54.63</v>
      </c>
      <c r="K2846" s="16"/>
      <c r="T2846" s="17"/>
      <c r="AC2846" s="17"/>
    </row>
    <row r="2847">
      <c r="B2847" s="11">
        <f>IFERROR(__xludf.DUMMYFUNCTION("""COMPUTED_VALUE"""),41890.666666666664)</f>
        <v>41890.66667</v>
      </c>
      <c r="C2847" s="9">
        <f>IFERROR(__xludf.DUMMYFUNCTION("""COMPUTED_VALUE"""),54.69)</f>
        <v>54.69</v>
      </c>
      <c r="K2847" s="16"/>
      <c r="T2847" s="17"/>
      <c r="AC2847" s="17"/>
    </row>
    <row r="2848">
      <c r="B2848" s="11">
        <f>IFERROR(__xludf.DUMMYFUNCTION("""COMPUTED_VALUE"""),41887.666666666664)</f>
        <v>41887.66667</v>
      </c>
      <c r="C2848" s="9">
        <f>IFERROR(__xludf.DUMMYFUNCTION("""COMPUTED_VALUE"""),54.54)</f>
        <v>54.54</v>
      </c>
      <c r="K2848" s="16"/>
      <c r="T2848" s="17"/>
      <c r="AC2848" s="17"/>
    </row>
    <row r="2849">
      <c r="B2849" s="11">
        <f>IFERROR(__xludf.DUMMYFUNCTION("""COMPUTED_VALUE"""),41886.666666666664)</f>
        <v>41886.66667</v>
      </c>
      <c r="C2849" s="9">
        <f>IFERROR(__xludf.DUMMYFUNCTION("""COMPUTED_VALUE"""),54.36)</f>
        <v>54.36</v>
      </c>
      <c r="K2849" s="16"/>
      <c r="T2849" s="17"/>
      <c r="AC2849" s="17"/>
    </row>
    <row r="2850">
      <c r="B2850" s="11">
        <f>IFERROR(__xludf.DUMMYFUNCTION("""COMPUTED_VALUE"""),41885.666666666664)</f>
        <v>41885.66667</v>
      </c>
      <c r="C2850" s="9">
        <f>IFERROR(__xludf.DUMMYFUNCTION("""COMPUTED_VALUE"""),54.53)</f>
        <v>54.53</v>
      </c>
      <c r="K2850" s="16"/>
      <c r="T2850" s="17"/>
      <c r="AC2850" s="17"/>
    </row>
    <row r="2851">
      <c r="B2851" s="11">
        <f>IFERROR(__xludf.DUMMYFUNCTION("""COMPUTED_VALUE"""),41884.666666666664)</f>
        <v>41884.66667</v>
      </c>
      <c r="C2851" s="9">
        <f>IFERROR(__xludf.DUMMYFUNCTION("""COMPUTED_VALUE"""),54.54)</f>
        <v>54.54</v>
      </c>
      <c r="K2851" s="16"/>
      <c r="T2851" s="17"/>
      <c r="AC2851" s="17"/>
    </row>
    <row r="2852">
      <c r="B2852" s="11">
        <f>IFERROR(__xludf.DUMMYFUNCTION("""COMPUTED_VALUE"""),41880.666666666664)</f>
        <v>41880.66667</v>
      </c>
      <c r="C2852" s="9">
        <f>IFERROR(__xludf.DUMMYFUNCTION("""COMPUTED_VALUE"""),54.34)</f>
        <v>54.34</v>
      </c>
      <c r="K2852" s="16"/>
      <c r="T2852" s="17"/>
      <c r="AC2852" s="17"/>
    </row>
    <row r="2853">
      <c r="B2853" s="11">
        <f>IFERROR(__xludf.DUMMYFUNCTION("""COMPUTED_VALUE"""),41879.666666666664)</f>
        <v>41879.66667</v>
      </c>
      <c r="C2853" s="9">
        <f>IFERROR(__xludf.DUMMYFUNCTION("""COMPUTED_VALUE"""),54.26)</f>
        <v>54.26</v>
      </c>
      <c r="K2853" s="16"/>
      <c r="T2853" s="17"/>
      <c r="AC2853" s="17"/>
    </row>
    <row r="2854">
      <c r="B2854" s="11">
        <f>IFERROR(__xludf.DUMMYFUNCTION("""COMPUTED_VALUE"""),41878.666666666664)</f>
        <v>41878.66667</v>
      </c>
      <c r="C2854" s="9">
        <f>IFERROR(__xludf.DUMMYFUNCTION("""COMPUTED_VALUE"""),54.47)</f>
        <v>54.47</v>
      </c>
      <c r="K2854" s="16"/>
      <c r="T2854" s="17"/>
      <c r="AC2854" s="17"/>
    </row>
    <row r="2855">
      <c r="B2855" s="11">
        <f>IFERROR(__xludf.DUMMYFUNCTION("""COMPUTED_VALUE"""),41877.666666666664)</f>
        <v>41877.66667</v>
      </c>
      <c r="C2855" s="9">
        <f>IFERROR(__xludf.DUMMYFUNCTION("""COMPUTED_VALUE"""),54.72)</f>
        <v>54.72</v>
      </c>
      <c r="K2855" s="16"/>
      <c r="T2855" s="17"/>
      <c r="AC2855" s="17"/>
    </row>
    <row r="2856">
      <c r="B2856" s="11">
        <f>IFERROR(__xludf.DUMMYFUNCTION("""COMPUTED_VALUE"""),41876.666666666664)</f>
        <v>41876.66667</v>
      </c>
      <c r="C2856" s="9">
        <f>IFERROR(__xludf.DUMMYFUNCTION("""COMPUTED_VALUE"""),54.65)</f>
        <v>54.65</v>
      </c>
      <c r="K2856" s="16"/>
      <c r="T2856" s="17"/>
      <c r="AC2856" s="17"/>
    </row>
    <row r="2857">
      <c r="B2857" s="11">
        <f>IFERROR(__xludf.DUMMYFUNCTION("""COMPUTED_VALUE"""),41873.666666666664)</f>
        <v>41873.66667</v>
      </c>
      <c r="C2857" s="9">
        <f>IFERROR(__xludf.DUMMYFUNCTION("""COMPUTED_VALUE"""),54.39)</f>
        <v>54.39</v>
      </c>
      <c r="K2857" s="16"/>
      <c r="T2857" s="17"/>
      <c r="AC2857" s="17"/>
    </row>
    <row r="2858">
      <c r="B2858" s="11">
        <f>IFERROR(__xludf.DUMMYFUNCTION("""COMPUTED_VALUE"""),41872.666666666664)</f>
        <v>41872.66667</v>
      </c>
      <c r="C2858" s="9">
        <f>IFERROR(__xludf.DUMMYFUNCTION("""COMPUTED_VALUE"""),54.47)</f>
        <v>54.47</v>
      </c>
      <c r="K2858" s="16"/>
      <c r="T2858" s="17"/>
      <c r="AC2858" s="17"/>
    </row>
    <row r="2859">
      <c r="B2859" s="11">
        <f>IFERROR(__xludf.DUMMYFUNCTION("""COMPUTED_VALUE"""),41871.666666666664)</f>
        <v>41871.66667</v>
      </c>
      <c r="C2859" s="9">
        <f>IFERROR(__xludf.DUMMYFUNCTION("""COMPUTED_VALUE"""),54.28)</f>
        <v>54.28</v>
      </c>
      <c r="K2859" s="16"/>
      <c r="T2859" s="17"/>
      <c r="AC2859" s="17"/>
    </row>
    <row r="2860">
      <c r="B2860" s="11">
        <f>IFERROR(__xludf.DUMMYFUNCTION("""COMPUTED_VALUE"""),41870.666666666664)</f>
        <v>41870.66667</v>
      </c>
      <c r="C2860" s="9">
        <f>IFERROR(__xludf.DUMMYFUNCTION("""COMPUTED_VALUE"""),53.86)</f>
        <v>53.86</v>
      </c>
      <c r="K2860" s="16"/>
      <c r="T2860" s="17"/>
      <c r="AC2860" s="17"/>
    </row>
    <row r="2861">
      <c r="B2861" s="11">
        <f>IFERROR(__xludf.DUMMYFUNCTION("""COMPUTED_VALUE"""),41869.666666666664)</f>
        <v>41869.66667</v>
      </c>
      <c r="C2861" s="9">
        <f>IFERROR(__xludf.DUMMYFUNCTION("""COMPUTED_VALUE"""),53.65)</f>
        <v>53.65</v>
      </c>
      <c r="K2861" s="16"/>
      <c r="T2861" s="17"/>
      <c r="AC2861" s="17"/>
    </row>
    <row r="2862">
      <c r="B2862" s="11">
        <f>IFERROR(__xludf.DUMMYFUNCTION("""COMPUTED_VALUE"""),41866.666666666664)</f>
        <v>41866.66667</v>
      </c>
      <c r="C2862" s="9">
        <f>IFERROR(__xludf.DUMMYFUNCTION("""COMPUTED_VALUE"""),52.85)</f>
        <v>52.85</v>
      </c>
      <c r="K2862" s="16"/>
      <c r="T2862" s="17"/>
      <c r="AC2862" s="17"/>
    </row>
    <row r="2863">
      <c r="B2863" s="11">
        <f>IFERROR(__xludf.DUMMYFUNCTION("""COMPUTED_VALUE"""),41865.666666666664)</f>
        <v>41865.66667</v>
      </c>
      <c r="C2863" s="9">
        <f>IFERROR(__xludf.DUMMYFUNCTION("""COMPUTED_VALUE"""),52.87)</f>
        <v>52.87</v>
      </c>
      <c r="K2863" s="16"/>
      <c r="T2863" s="17"/>
      <c r="AC2863" s="17"/>
    </row>
    <row r="2864">
      <c r="B2864" s="11">
        <f>IFERROR(__xludf.DUMMYFUNCTION("""COMPUTED_VALUE"""),41864.666666666664)</f>
        <v>41864.66667</v>
      </c>
      <c r="C2864" s="9">
        <f>IFERROR(__xludf.DUMMYFUNCTION("""COMPUTED_VALUE"""),52.7)</f>
        <v>52.7</v>
      </c>
      <c r="K2864" s="16"/>
      <c r="T2864" s="17"/>
      <c r="AC2864" s="17"/>
    </row>
    <row r="2865">
      <c r="B2865" s="11">
        <f>IFERROR(__xludf.DUMMYFUNCTION("""COMPUTED_VALUE"""),41863.666666666664)</f>
        <v>41863.66667</v>
      </c>
      <c r="C2865" s="9">
        <f>IFERROR(__xludf.DUMMYFUNCTION("""COMPUTED_VALUE"""),51.92)</f>
        <v>51.92</v>
      </c>
      <c r="K2865" s="16"/>
      <c r="T2865" s="17"/>
      <c r="AC2865" s="17"/>
    </row>
    <row r="2866">
      <c r="B2866" s="11">
        <f>IFERROR(__xludf.DUMMYFUNCTION("""COMPUTED_VALUE"""),41862.666666666664)</f>
        <v>41862.66667</v>
      </c>
      <c r="C2866" s="9">
        <f>IFERROR(__xludf.DUMMYFUNCTION("""COMPUTED_VALUE"""),52.27)</f>
        <v>52.27</v>
      </c>
      <c r="K2866" s="16"/>
      <c r="T2866" s="17"/>
      <c r="AC2866" s="17"/>
    </row>
    <row r="2867">
      <c r="B2867" s="11">
        <f>IFERROR(__xludf.DUMMYFUNCTION("""COMPUTED_VALUE"""),41859.666666666664)</f>
        <v>41859.66667</v>
      </c>
      <c r="C2867" s="9">
        <f>IFERROR(__xludf.DUMMYFUNCTION("""COMPUTED_VALUE"""),51.99)</f>
        <v>51.99</v>
      </c>
      <c r="K2867" s="16"/>
      <c r="T2867" s="17"/>
      <c r="AC2867" s="17"/>
    </row>
    <row r="2868">
      <c r="B2868" s="11">
        <f>IFERROR(__xludf.DUMMYFUNCTION("""COMPUTED_VALUE"""),41858.666666666664)</f>
        <v>41858.66667</v>
      </c>
      <c r="C2868" s="9">
        <f>IFERROR(__xludf.DUMMYFUNCTION("""COMPUTED_VALUE"""),51.16)</f>
        <v>51.16</v>
      </c>
      <c r="K2868" s="16"/>
      <c r="T2868" s="17"/>
      <c r="AC2868" s="17"/>
    </row>
    <row r="2869">
      <c r="B2869" s="11">
        <f>IFERROR(__xludf.DUMMYFUNCTION("""COMPUTED_VALUE"""),41857.666666666664)</f>
        <v>41857.66667</v>
      </c>
      <c r="C2869" s="9">
        <f>IFERROR(__xludf.DUMMYFUNCTION("""COMPUTED_VALUE"""),51.11)</f>
        <v>51.11</v>
      </c>
      <c r="K2869" s="16"/>
      <c r="T2869" s="17"/>
      <c r="AC2869" s="17"/>
    </row>
    <row r="2870">
      <c r="B2870" s="11">
        <f>IFERROR(__xludf.DUMMYFUNCTION("""COMPUTED_VALUE"""),41856.666666666664)</f>
        <v>41856.66667</v>
      </c>
      <c r="C2870" s="9">
        <f>IFERROR(__xludf.DUMMYFUNCTION("""COMPUTED_VALUE"""),51.66)</f>
        <v>51.66</v>
      </c>
      <c r="K2870" s="16"/>
      <c r="T2870" s="17"/>
      <c r="AC2870" s="17"/>
    </row>
    <row r="2871">
      <c r="B2871" s="11">
        <f>IFERROR(__xludf.DUMMYFUNCTION("""COMPUTED_VALUE"""),41855.666666666664)</f>
        <v>41855.66667</v>
      </c>
      <c r="C2871" s="9">
        <f>IFERROR(__xludf.DUMMYFUNCTION("""COMPUTED_VALUE"""),51.63)</f>
        <v>51.63</v>
      </c>
      <c r="K2871" s="16"/>
      <c r="T2871" s="17"/>
      <c r="AC2871" s="17"/>
    </row>
    <row r="2872">
      <c r="B2872" s="11">
        <f>IFERROR(__xludf.DUMMYFUNCTION("""COMPUTED_VALUE"""),41852.666666666664)</f>
        <v>41852.66667</v>
      </c>
      <c r="C2872" s="9">
        <f>IFERROR(__xludf.DUMMYFUNCTION("""COMPUTED_VALUE"""),51.67)</f>
        <v>51.67</v>
      </c>
      <c r="K2872" s="16"/>
      <c r="T2872" s="17"/>
      <c r="AC2872" s="17"/>
    </row>
    <row r="2873">
      <c r="B2873" s="11">
        <f>IFERROR(__xludf.DUMMYFUNCTION("""COMPUTED_VALUE"""),41851.666666666664)</f>
        <v>41851.66667</v>
      </c>
      <c r="C2873" s="9">
        <f>IFERROR(__xludf.DUMMYFUNCTION("""COMPUTED_VALUE"""),51.33)</f>
        <v>51.33</v>
      </c>
      <c r="K2873" s="16"/>
      <c r="T2873" s="17"/>
      <c r="AC2873" s="17"/>
    </row>
    <row r="2874">
      <c r="B2874" s="11">
        <f>IFERROR(__xludf.DUMMYFUNCTION("""COMPUTED_VALUE"""),41850.666666666664)</f>
        <v>41850.66667</v>
      </c>
      <c r="C2874" s="9">
        <f>IFERROR(__xludf.DUMMYFUNCTION("""COMPUTED_VALUE"""),52.37)</f>
        <v>52.37</v>
      </c>
      <c r="K2874" s="16"/>
      <c r="T2874" s="17"/>
      <c r="AC2874" s="17"/>
    </row>
    <row r="2875">
      <c r="B2875" s="11">
        <f>IFERROR(__xludf.DUMMYFUNCTION("""COMPUTED_VALUE"""),41849.666666666664)</f>
        <v>41849.66667</v>
      </c>
      <c r="C2875" s="9">
        <f>IFERROR(__xludf.DUMMYFUNCTION("""COMPUTED_VALUE"""),52.22)</f>
        <v>52.22</v>
      </c>
      <c r="K2875" s="16"/>
      <c r="T2875" s="17"/>
      <c r="AC2875" s="17"/>
    </row>
    <row r="2876">
      <c r="B2876" s="11">
        <f>IFERROR(__xludf.DUMMYFUNCTION("""COMPUTED_VALUE"""),41848.666666666664)</f>
        <v>41848.66667</v>
      </c>
      <c r="C2876" s="9">
        <f>IFERROR(__xludf.DUMMYFUNCTION("""COMPUTED_VALUE"""),52.66)</f>
        <v>52.66</v>
      </c>
      <c r="K2876" s="16"/>
      <c r="T2876" s="17"/>
      <c r="AC2876" s="17"/>
    </row>
    <row r="2877">
      <c r="B2877" s="11">
        <f>IFERROR(__xludf.DUMMYFUNCTION("""COMPUTED_VALUE"""),41845.666666666664)</f>
        <v>41845.66667</v>
      </c>
      <c r="C2877" s="9">
        <f>IFERROR(__xludf.DUMMYFUNCTION("""COMPUTED_VALUE"""),52.69)</f>
        <v>52.69</v>
      </c>
      <c r="K2877" s="16"/>
      <c r="T2877" s="17"/>
      <c r="AC2877" s="17"/>
    </row>
    <row r="2878">
      <c r="B2878" s="11">
        <f>IFERROR(__xludf.DUMMYFUNCTION("""COMPUTED_VALUE"""),41844.666666666664)</f>
        <v>41844.66667</v>
      </c>
      <c r="C2878" s="9">
        <f>IFERROR(__xludf.DUMMYFUNCTION("""COMPUTED_VALUE"""),53.19)</f>
        <v>53.19</v>
      </c>
      <c r="K2878" s="16"/>
      <c r="T2878" s="17"/>
      <c r="AC2878" s="17"/>
    </row>
    <row r="2879">
      <c r="B2879" s="11">
        <f>IFERROR(__xludf.DUMMYFUNCTION("""COMPUTED_VALUE"""),41843.666666666664)</f>
        <v>41843.66667</v>
      </c>
      <c r="C2879" s="9">
        <f>IFERROR(__xludf.DUMMYFUNCTION("""COMPUTED_VALUE"""),53.67)</f>
        <v>53.67</v>
      </c>
      <c r="K2879" s="16"/>
      <c r="T2879" s="17"/>
      <c r="AC2879" s="17"/>
    </row>
    <row r="2880">
      <c r="B2880" s="11">
        <f>IFERROR(__xludf.DUMMYFUNCTION("""COMPUTED_VALUE"""),41842.666666666664)</f>
        <v>41842.66667</v>
      </c>
      <c r="C2880" s="9">
        <f>IFERROR(__xludf.DUMMYFUNCTION("""COMPUTED_VALUE"""),54.23)</f>
        <v>54.23</v>
      </c>
      <c r="K2880" s="16"/>
      <c r="T2880" s="17"/>
      <c r="AC2880" s="17"/>
    </row>
    <row r="2881">
      <c r="B2881" s="11">
        <f>IFERROR(__xludf.DUMMYFUNCTION("""COMPUTED_VALUE"""),41841.666666666664)</f>
        <v>41841.66667</v>
      </c>
      <c r="C2881" s="9">
        <f>IFERROR(__xludf.DUMMYFUNCTION("""COMPUTED_VALUE"""),54.11)</f>
        <v>54.11</v>
      </c>
      <c r="K2881" s="16"/>
      <c r="T2881" s="17"/>
      <c r="AC2881" s="17"/>
    </row>
    <row r="2882">
      <c r="B2882" s="11">
        <f>IFERROR(__xludf.DUMMYFUNCTION("""COMPUTED_VALUE"""),41838.666666666664)</f>
        <v>41838.66667</v>
      </c>
      <c r="C2882" s="9">
        <f>IFERROR(__xludf.DUMMYFUNCTION("""COMPUTED_VALUE"""),53.83)</f>
        <v>53.83</v>
      </c>
      <c r="K2882" s="16"/>
      <c r="T2882" s="17"/>
      <c r="AC2882" s="17"/>
    </row>
    <row r="2883">
      <c r="B2883" s="11">
        <f>IFERROR(__xludf.DUMMYFUNCTION("""COMPUTED_VALUE"""),41837.666666666664)</f>
        <v>41837.66667</v>
      </c>
      <c r="C2883" s="9">
        <f>IFERROR(__xludf.DUMMYFUNCTION("""COMPUTED_VALUE"""),53.15)</f>
        <v>53.15</v>
      </c>
      <c r="K2883" s="16"/>
      <c r="T2883" s="17"/>
      <c r="AC2883" s="17"/>
    </row>
    <row r="2884">
      <c r="B2884" s="11">
        <f>IFERROR(__xludf.DUMMYFUNCTION("""COMPUTED_VALUE"""),41836.666666666664)</f>
        <v>41836.66667</v>
      </c>
      <c r="C2884" s="9">
        <f>IFERROR(__xludf.DUMMYFUNCTION("""COMPUTED_VALUE"""),53.84)</f>
        <v>53.84</v>
      </c>
      <c r="K2884" s="16"/>
      <c r="T2884" s="17"/>
      <c r="AC2884" s="17"/>
    </row>
    <row r="2885">
      <c r="B2885" s="11">
        <f>IFERROR(__xludf.DUMMYFUNCTION("""COMPUTED_VALUE"""),41835.666666666664)</f>
        <v>41835.66667</v>
      </c>
      <c r="C2885" s="9">
        <f>IFERROR(__xludf.DUMMYFUNCTION("""COMPUTED_VALUE"""),53.96)</f>
        <v>53.96</v>
      </c>
      <c r="K2885" s="16"/>
      <c r="T2885" s="17"/>
      <c r="AC2885" s="17"/>
    </row>
    <row r="2886">
      <c r="B2886" s="11">
        <f>IFERROR(__xludf.DUMMYFUNCTION("""COMPUTED_VALUE"""),41834.666666666664)</f>
        <v>41834.66667</v>
      </c>
      <c r="C2886" s="9">
        <f>IFERROR(__xludf.DUMMYFUNCTION("""COMPUTED_VALUE"""),54.03)</f>
        <v>54.03</v>
      </c>
      <c r="K2886" s="16"/>
      <c r="T2886" s="17"/>
      <c r="AC2886" s="17"/>
    </row>
    <row r="2887">
      <c r="B2887" s="11">
        <f>IFERROR(__xludf.DUMMYFUNCTION("""COMPUTED_VALUE"""),41831.666666666664)</f>
        <v>41831.66667</v>
      </c>
      <c r="C2887" s="9">
        <f>IFERROR(__xludf.DUMMYFUNCTION("""COMPUTED_VALUE"""),53.55)</f>
        <v>53.55</v>
      </c>
      <c r="K2887" s="16"/>
      <c r="T2887" s="17"/>
      <c r="AC2887" s="17"/>
    </row>
    <row r="2888">
      <c r="B2888" s="11">
        <f>IFERROR(__xludf.DUMMYFUNCTION("""COMPUTED_VALUE"""),41830.666666666664)</f>
        <v>41830.66667</v>
      </c>
      <c r="C2888" s="9">
        <f>IFERROR(__xludf.DUMMYFUNCTION("""COMPUTED_VALUE"""),53.29)</f>
        <v>53.29</v>
      </c>
      <c r="K2888" s="16"/>
      <c r="T2888" s="17"/>
      <c r="AC2888" s="17"/>
    </row>
    <row r="2889">
      <c r="B2889" s="11">
        <f>IFERROR(__xludf.DUMMYFUNCTION("""COMPUTED_VALUE"""),41829.666666666664)</f>
        <v>41829.66667</v>
      </c>
      <c r="C2889" s="9">
        <f>IFERROR(__xludf.DUMMYFUNCTION("""COMPUTED_VALUE"""),53.41)</f>
        <v>53.41</v>
      </c>
      <c r="K2889" s="16"/>
      <c r="T2889" s="17"/>
      <c r="AC2889" s="17"/>
    </row>
    <row r="2890">
      <c r="B2890" s="11">
        <f>IFERROR(__xludf.DUMMYFUNCTION("""COMPUTED_VALUE"""),41828.666666666664)</f>
        <v>41828.66667</v>
      </c>
      <c r="C2890" s="9">
        <f>IFERROR(__xludf.DUMMYFUNCTION("""COMPUTED_VALUE"""),53.22)</f>
        <v>53.22</v>
      </c>
      <c r="K2890" s="16"/>
      <c r="T2890" s="17"/>
      <c r="AC2890" s="17"/>
    </row>
    <row r="2891">
      <c r="B2891" s="11">
        <f>IFERROR(__xludf.DUMMYFUNCTION("""COMPUTED_VALUE"""),41827.666666666664)</f>
        <v>41827.66667</v>
      </c>
      <c r="C2891" s="9">
        <f>IFERROR(__xludf.DUMMYFUNCTION("""COMPUTED_VALUE"""),53.9)</f>
        <v>53.9</v>
      </c>
      <c r="K2891" s="16"/>
      <c r="T2891" s="17"/>
      <c r="AC2891" s="17"/>
    </row>
    <row r="2892">
      <c r="B2892" s="11">
        <f>IFERROR(__xludf.DUMMYFUNCTION("""COMPUTED_VALUE"""),41823.666666666664)</f>
        <v>41823.66667</v>
      </c>
      <c r="C2892" s="9">
        <f>IFERROR(__xludf.DUMMYFUNCTION("""COMPUTED_VALUE"""),54.23)</f>
        <v>54.23</v>
      </c>
      <c r="K2892" s="16"/>
      <c r="T2892" s="17"/>
      <c r="AC2892" s="17"/>
    </row>
    <row r="2893">
      <c r="B2893" s="11">
        <f>IFERROR(__xludf.DUMMYFUNCTION("""COMPUTED_VALUE"""),41822.666666666664)</f>
        <v>41822.66667</v>
      </c>
      <c r="C2893" s="9">
        <f>IFERROR(__xludf.DUMMYFUNCTION("""COMPUTED_VALUE"""),53.94)</f>
        <v>53.94</v>
      </c>
      <c r="K2893" s="16"/>
      <c r="T2893" s="17"/>
      <c r="AC2893" s="17"/>
    </row>
    <row r="2894">
      <c r="B2894" s="11">
        <f>IFERROR(__xludf.DUMMYFUNCTION("""COMPUTED_VALUE"""),41821.666666666664)</f>
        <v>41821.66667</v>
      </c>
      <c r="C2894" s="9">
        <f>IFERROR(__xludf.DUMMYFUNCTION("""COMPUTED_VALUE"""),54.43)</f>
        <v>54.43</v>
      </c>
      <c r="K2894" s="16"/>
      <c r="T2894" s="17"/>
      <c r="AC2894" s="17"/>
    </row>
    <row r="2895">
      <c r="B2895" s="11">
        <f>IFERROR(__xludf.DUMMYFUNCTION("""COMPUTED_VALUE"""),41820.666666666664)</f>
        <v>41820.66667</v>
      </c>
      <c r="C2895" s="9">
        <f>IFERROR(__xludf.DUMMYFUNCTION("""COMPUTED_VALUE"""),53.92)</f>
        <v>53.92</v>
      </c>
      <c r="K2895" s="16"/>
      <c r="T2895" s="17"/>
      <c r="AC2895" s="17"/>
    </row>
    <row r="2896">
      <c r="B2896" s="11">
        <f>IFERROR(__xludf.DUMMYFUNCTION("""COMPUTED_VALUE"""),41817.666666666664)</f>
        <v>41817.66667</v>
      </c>
      <c r="C2896" s="9">
        <f>IFERROR(__xludf.DUMMYFUNCTION("""COMPUTED_VALUE"""),54.27)</f>
        <v>54.27</v>
      </c>
      <c r="K2896" s="16"/>
      <c r="T2896" s="17"/>
      <c r="AC2896" s="17"/>
    </row>
    <row r="2897">
      <c r="B2897" s="11">
        <f>IFERROR(__xludf.DUMMYFUNCTION("""COMPUTED_VALUE"""),41816.666666666664)</f>
        <v>41816.66667</v>
      </c>
      <c r="C2897" s="9">
        <f>IFERROR(__xludf.DUMMYFUNCTION("""COMPUTED_VALUE"""),54.03)</f>
        <v>54.03</v>
      </c>
      <c r="K2897" s="16"/>
      <c r="T2897" s="17"/>
      <c r="AC2897" s="17"/>
    </row>
    <row r="2898">
      <c r="B2898" s="11">
        <f>IFERROR(__xludf.DUMMYFUNCTION("""COMPUTED_VALUE"""),41815.666666666664)</f>
        <v>41815.66667</v>
      </c>
      <c r="C2898" s="9">
        <f>IFERROR(__xludf.DUMMYFUNCTION("""COMPUTED_VALUE"""),54.17)</f>
        <v>54.17</v>
      </c>
      <c r="K2898" s="16"/>
      <c r="T2898" s="17"/>
      <c r="AC2898" s="17"/>
    </row>
    <row r="2899">
      <c r="B2899" s="11">
        <f>IFERROR(__xludf.DUMMYFUNCTION("""COMPUTED_VALUE"""),41814.666666666664)</f>
        <v>41814.66667</v>
      </c>
      <c r="C2899" s="9">
        <f>IFERROR(__xludf.DUMMYFUNCTION("""COMPUTED_VALUE"""),54.18)</f>
        <v>54.18</v>
      </c>
      <c r="K2899" s="16"/>
      <c r="T2899" s="17"/>
      <c r="AC2899" s="17"/>
    </row>
    <row r="2900">
      <c r="B2900" s="11">
        <f>IFERROR(__xludf.DUMMYFUNCTION("""COMPUTED_VALUE"""),41813.666666666664)</f>
        <v>41813.66667</v>
      </c>
      <c r="C2900" s="9">
        <f>IFERROR(__xludf.DUMMYFUNCTION("""COMPUTED_VALUE"""),55.25)</f>
        <v>55.25</v>
      </c>
      <c r="K2900" s="16"/>
      <c r="T2900" s="17"/>
      <c r="AC2900" s="17"/>
    </row>
    <row r="2901">
      <c r="B2901" s="11">
        <f>IFERROR(__xludf.DUMMYFUNCTION("""COMPUTED_VALUE"""),41810.666666666664)</f>
        <v>41810.66667</v>
      </c>
      <c r="C2901" s="9">
        <f>IFERROR(__xludf.DUMMYFUNCTION("""COMPUTED_VALUE"""),55.7)</f>
        <v>55.7</v>
      </c>
      <c r="K2901" s="16"/>
      <c r="T2901" s="17"/>
      <c r="AC2901" s="17"/>
    </row>
    <row r="2902">
      <c r="B2902" s="11">
        <f>IFERROR(__xludf.DUMMYFUNCTION("""COMPUTED_VALUE"""),41809.666666666664)</f>
        <v>41809.66667</v>
      </c>
      <c r="C2902" s="9">
        <f>IFERROR(__xludf.DUMMYFUNCTION("""COMPUTED_VALUE"""),55.58)</f>
        <v>55.58</v>
      </c>
      <c r="K2902" s="16"/>
      <c r="T2902" s="17"/>
      <c r="AC2902" s="17"/>
    </row>
    <row r="2903">
      <c r="B2903" s="11">
        <f>IFERROR(__xludf.DUMMYFUNCTION("""COMPUTED_VALUE"""),41808.666666666664)</f>
        <v>41808.66667</v>
      </c>
      <c r="C2903" s="9">
        <f>IFERROR(__xludf.DUMMYFUNCTION("""COMPUTED_VALUE"""),55.6)</f>
        <v>55.6</v>
      </c>
      <c r="K2903" s="16"/>
      <c r="T2903" s="17"/>
      <c r="AC2903" s="17"/>
    </row>
    <row r="2904">
      <c r="B2904" s="11">
        <f>IFERROR(__xludf.DUMMYFUNCTION("""COMPUTED_VALUE"""),41807.666666666664)</f>
        <v>41807.66667</v>
      </c>
      <c r="C2904" s="9">
        <f>IFERROR(__xludf.DUMMYFUNCTION("""COMPUTED_VALUE"""),55.5)</f>
        <v>55.5</v>
      </c>
      <c r="K2904" s="16"/>
      <c r="T2904" s="17"/>
      <c r="AC2904" s="17"/>
    </row>
    <row r="2905">
      <c r="B2905" s="11">
        <f>IFERROR(__xludf.DUMMYFUNCTION("""COMPUTED_VALUE"""),41806.666666666664)</f>
        <v>41806.66667</v>
      </c>
      <c r="C2905" s="9">
        <f>IFERROR(__xludf.DUMMYFUNCTION("""COMPUTED_VALUE"""),55.58)</f>
        <v>55.58</v>
      </c>
      <c r="K2905" s="16"/>
      <c r="T2905" s="17"/>
      <c r="AC2905" s="17"/>
    </row>
    <row r="2906">
      <c r="B2906" s="11">
        <f>IFERROR(__xludf.DUMMYFUNCTION("""COMPUTED_VALUE"""),41803.666666666664)</f>
        <v>41803.66667</v>
      </c>
      <c r="C2906" s="9">
        <f>IFERROR(__xludf.DUMMYFUNCTION("""COMPUTED_VALUE"""),55.5)</f>
        <v>55.5</v>
      </c>
      <c r="K2906" s="16"/>
      <c r="T2906" s="17"/>
      <c r="AC2906" s="17"/>
    </row>
    <row r="2907">
      <c r="B2907" s="11">
        <f>IFERROR(__xludf.DUMMYFUNCTION("""COMPUTED_VALUE"""),41802.666666666664)</f>
        <v>41802.66667</v>
      </c>
      <c r="C2907" s="9">
        <f>IFERROR(__xludf.DUMMYFUNCTION("""COMPUTED_VALUE"""),55.36)</f>
        <v>55.36</v>
      </c>
      <c r="K2907" s="16"/>
      <c r="T2907" s="17"/>
      <c r="AC2907" s="17"/>
    </row>
    <row r="2908">
      <c r="B2908" s="11">
        <f>IFERROR(__xludf.DUMMYFUNCTION("""COMPUTED_VALUE"""),41801.666666666664)</f>
        <v>41801.66667</v>
      </c>
      <c r="C2908" s="9">
        <f>IFERROR(__xludf.DUMMYFUNCTION("""COMPUTED_VALUE"""),56.06)</f>
        <v>56.06</v>
      </c>
      <c r="K2908" s="16"/>
      <c r="T2908" s="17"/>
      <c r="AC2908" s="17"/>
    </row>
    <row r="2909">
      <c r="B2909" s="11">
        <f>IFERROR(__xludf.DUMMYFUNCTION("""COMPUTED_VALUE"""),41800.666666666664)</f>
        <v>41800.66667</v>
      </c>
      <c r="C2909" s="9">
        <f>IFERROR(__xludf.DUMMYFUNCTION("""COMPUTED_VALUE"""),56.71)</f>
        <v>56.71</v>
      </c>
      <c r="K2909" s="16"/>
      <c r="T2909" s="17"/>
      <c r="AC2909" s="17"/>
    </row>
    <row r="2910">
      <c r="B2910" s="11">
        <f>IFERROR(__xludf.DUMMYFUNCTION("""COMPUTED_VALUE"""),41799.666666666664)</f>
        <v>41799.66667</v>
      </c>
      <c r="C2910" s="9">
        <f>IFERROR(__xludf.DUMMYFUNCTION("""COMPUTED_VALUE"""),57.09)</f>
        <v>57.09</v>
      </c>
      <c r="K2910" s="16"/>
      <c r="T2910" s="17"/>
      <c r="AC2910" s="17"/>
    </row>
    <row r="2911">
      <c r="B2911" s="11">
        <f>IFERROR(__xludf.DUMMYFUNCTION("""COMPUTED_VALUE"""),41796.666666666664)</f>
        <v>41796.66667</v>
      </c>
      <c r="C2911" s="9">
        <f>IFERROR(__xludf.DUMMYFUNCTION("""COMPUTED_VALUE"""),56.63)</f>
        <v>56.63</v>
      </c>
      <c r="K2911" s="16"/>
      <c r="T2911" s="17"/>
      <c r="AC2911" s="17"/>
    </row>
    <row r="2912">
      <c r="B2912" s="11">
        <f>IFERROR(__xludf.DUMMYFUNCTION("""COMPUTED_VALUE"""),41795.666666666664)</f>
        <v>41795.66667</v>
      </c>
      <c r="C2912" s="9">
        <f>IFERROR(__xludf.DUMMYFUNCTION("""COMPUTED_VALUE"""),56.21)</f>
        <v>56.21</v>
      </c>
      <c r="K2912" s="16"/>
      <c r="T2912" s="17"/>
      <c r="AC2912" s="17"/>
    </row>
    <row r="2913">
      <c r="B2913" s="11">
        <f>IFERROR(__xludf.DUMMYFUNCTION("""COMPUTED_VALUE"""),41794.666666666664)</f>
        <v>41794.66667</v>
      </c>
      <c r="C2913" s="9">
        <f>IFERROR(__xludf.DUMMYFUNCTION("""COMPUTED_VALUE"""),55.35)</f>
        <v>55.35</v>
      </c>
      <c r="K2913" s="16"/>
      <c r="T2913" s="17"/>
      <c r="AC2913" s="17"/>
    </row>
    <row r="2914">
      <c r="B2914" s="11">
        <f>IFERROR(__xludf.DUMMYFUNCTION("""COMPUTED_VALUE"""),41793.666666666664)</f>
        <v>41793.66667</v>
      </c>
      <c r="C2914" s="9">
        <f>IFERROR(__xludf.DUMMYFUNCTION("""COMPUTED_VALUE"""),55.19)</f>
        <v>55.19</v>
      </c>
      <c r="K2914" s="16"/>
      <c r="T2914" s="17"/>
      <c r="AC2914" s="17"/>
    </row>
    <row r="2915">
      <c r="B2915" s="11">
        <f>IFERROR(__xludf.DUMMYFUNCTION("""COMPUTED_VALUE"""),41792.666666666664)</f>
        <v>41792.66667</v>
      </c>
      <c r="C2915" s="9">
        <f>IFERROR(__xludf.DUMMYFUNCTION("""COMPUTED_VALUE"""),55.24)</f>
        <v>55.24</v>
      </c>
      <c r="K2915" s="16"/>
      <c r="T2915" s="17"/>
      <c r="AC2915" s="17"/>
    </row>
    <row r="2916">
      <c r="B2916" s="11">
        <f>IFERROR(__xludf.DUMMYFUNCTION("""COMPUTED_VALUE"""),41789.666666666664)</f>
        <v>41789.66667</v>
      </c>
      <c r="C2916" s="9">
        <f>IFERROR(__xludf.DUMMYFUNCTION("""COMPUTED_VALUE"""),54.96)</f>
        <v>54.96</v>
      </c>
      <c r="K2916" s="16"/>
      <c r="T2916" s="17"/>
      <c r="AC2916" s="17"/>
    </row>
    <row r="2917">
      <c r="B2917" s="11">
        <f>IFERROR(__xludf.DUMMYFUNCTION("""COMPUTED_VALUE"""),41788.666666666664)</f>
        <v>41788.66667</v>
      </c>
      <c r="C2917" s="9">
        <f>IFERROR(__xludf.DUMMYFUNCTION("""COMPUTED_VALUE"""),54.84)</f>
        <v>54.84</v>
      </c>
      <c r="K2917" s="16"/>
      <c r="T2917" s="17"/>
      <c r="AC2917" s="17"/>
    </row>
    <row r="2918">
      <c r="B2918" s="11">
        <f>IFERROR(__xludf.DUMMYFUNCTION("""COMPUTED_VALUE"""),41787.666666666664)</f>
        <v>41787.66667</v>
      </c>
      <c r="C2918" s="9">
        <f>IFERROR(__xludf.DUMMYFUNCTION("""COMPUTED_VALUE"""),54.5)</f>
        <v>54.5</v>
      </c>
      <c r="K2918" s="16"/>
      <c r="T2918" s="17"/>
      <c r="AC2918" s="17"/>
    </row>
    <row r="2919">
      <c r="B2919" s="11">
        <f>IFERROR(__xludf.DUMMYFUNCTION("""COMPUTED_VALUE"""),41786.666666666664)</f>
        <v>41786.66667</v>
      </c>
      <c r="C2919" s="9">
        <f>IFERROR(__xludf.DUMMYFUNCTION("""COMPUTED_VALUE"""),54.64)</f>
        <v>54.64</v>
      </c>
      <c r="K2919" s="16"/>
      <c r="T2919" s="17"/>
      <c r="AC2919" s="17"/>
    </row>
    <row r="2920">
      <c r="B2920" s="11">
        <f>IFERROR(__xludf.DUMMYFUNCTION("""COMPUTED_VALUE"""),41782.666666666664)</f>
        <v>41782.66667</v>
      </c>
      <c r="C2920" s="9">
        <f>IFERROR(__xludf.DUMMYFUNCTION("""COMPUTED_VALUE"""),54.23)</f>
        <v>54.23</v>
      </c>
      <c r="K2920" s="16"/>
      <c r="T2920" s="17"/>
      <c r="AC2920" s="17"/>
    </row>
    <row r="2921">
      <c r="B2921" s="11">
        <f>IFERROR(__xludf.DUMMYFUNCTION("""COMPUTED_VALUE"""),41781.666666666664)</f>
        <v>41781.66667</v>
      </c>
      <c r="C2921" s="9">
        <f>IFERROR(__xludf.DUMMYFUNCTION("""COMPUTED_VALUE"""),53.75)</f>
        <v>53.75</v>
      </c>
      <c r="K2921" s="16"/>
      <c r="T2921" s="17"/>
      <c r="AC2921" s="17"/>
    </row>
    <row r="2922">
      <c r="B2922" s="11">
        <f>IFERROR(__xludf.DUMMYFUNCTION("""COMPUTED_VALUE"""),41780.666666666664)</f>
        <v>41780.66667</v>
      </c>
      <c r="C2922" s="9">
        <f>IFERROR(__xludf.DUMMYFUNCTION("""COMPUTED_VALUE"""),53.46)</f>
        <v>53.46</v>
      </c>
      <c r="K2922" s="16"/>
      <c r="T2922" s="17"/>
      <c r="AC2922" s="17"/>
    </row>
    <row r="2923">
      <c r="B2923" s="11">
        <f>IFERROR(__xludf.DUMMYFUNCTION("""COMPUTED_VALUE"""),41779.666666666664)</f>
        <v>41779.66667</v>
      </c>
      <c r="C2923" s="9">
        <f>IFERROR(__xludf.DUMMYFUNCTION("""COMPUTED_VALUE"""),53.19)</f>
        <v>53.19</v>
      </c>
      <c r="K2923" s="16"/>
      <c r="T2923" s="17"/>
      <c r="AC2923" s="17"/>
    </row>
    <row r="2924">
      <c r="B2924" s="11">
        <f>IFERROR(__xludf.DUMMYFUNCTION("""COMPUTED_VALUE"""),41778.666666666664)</f>
        <v>41778.66667</v>
      </c>
      <c r="C2924" s="9">
        <f>IFERROR(__xludf.DUMMYFUNCTION("""COMPUTED_VALUE"""),54.03)</f>
        <v>54.03</v>
      </c>
      <c r="K2924" s="16"/>
      <c r="T2924" s="17"/>
      <c r="AC2924" s="17"/>
    </row>
    <row r="2925">
      <c r="B2925" s="11">
        <f>IFERROR(__xludf.DUMMYFUNCTION("""COMPUTED_VALUE"""),41775.666666666664)</f>
        <v>41775.66667</v>
      </c>
      <c r="C2925" s="9">
        <f>IFERROR(__xludf.DUMMYFUNCTION("""COMPUTED_VALUE"""),53.87)</f>
        <v>53.87</v>
      </c>
      <c r="K2925" s="16"/>
      <c r="T2925" s="17"/>
      <c r="AC2925" s="17"/>
    </row>
    <row r="2926">
      <c r="B2926" s="11">
        <f>IFERROR(__xludf.DUMMYFUNCTION("""COMPUTED_VALUE"""),41774.666666666664)</f>
        <v>41774.66667</v>
      </c>
      <c r="C2926" s="9">
        <f>IFERROR(__xludf.DUMMYFUNCTION("""COMPUTED_VALUE"""),54.01)</f>
        <v>54.01</v>
      </c>
      <c r="K2926" s="16"/>
      <c r="T2926" s="17"/>
      <c r="AC2926" s="17"/>
    </row>
    <row r="2927">
      <c r="B2927" s="11">
        <f>IFERROR(__xludf.DUMMYFUNCTION("""COMPUTED_VALUE"""),41773.666666666664)</f>
        <v>41773.66667</v>
      </c>
      <c r="C2927" s="9">
        <f>IFERROR(__xludf.DUMMYFUNCTION("""COMPUTED_VALUE"""),54.86)</f>
        <v>54.86</v>
      </c>
      <c r="K2927" s="16"/>
      <c r="T2927" s="17"/>
      <c r="AC2927" s="17"/>
    </row>
    <row r="2928">
      <c r="B2928" s="11">
        <f>IFERROR(__xludf.DUMMYFUNCTION("""COMPUTED_VALUE"""),41772.666666666664)</f>
        <v>41772.66667</v>
      </c>
      <c r="C2928" s="9">
        <f>IFERROR(__xludf.DUMMYFUNCTION("""COMPUTED_VALUE"""),55.63)</f>
        <v>55.63</v>
      </c>
      <c r="K2928" s="16"/>
      <c r="T2928" s="17"/>
      <c r="AC2928" s="17"/>
    </row>
    <row r="2929">
      <c r="B2929" s="11">
        <f>IFERROR(__xludf.DUMMYFUNCTION("""COMPUTED_VALUE"""),41771.666666666664)</f>
        <v>41771.66667</v>
      </c>
      <c r="C2929" s="9">
        <f>IFERROR(__xludf.DUMMYFUNCTION("""COMPUTED_VALUE"""),55.63)</f>
        <v>55.63</v>
      </c>
      <c r="K2929" s="16"/>
      <c r="T2929" s="17"/>
      <c r="AC2929" s="17"/>
    </row>
    <row r="2930">
      <c r="B2930" s="11">
        <f>IFERROR(__xludf.DUMMYFUNCTION("""COMPUTED_VALUE"""),41768.666666666664)</f>
        <v>41768.66667</v>
      </c>
      <c r="C2930" s="9">
        <f>IFERROR(__xludf.DUMMYFUNCTION("""COMPUTED_VALUE"""),54.81)</f>
        <v>54.81</v>
      </c>
      <c r="K2930" s="16"/>
      <c r="T2930" s="17"/>
      <c r="AC2930" s="17"/>
    </row>
    <row r="2931">
      <c r="B2931" s="11">
        <f>IFERROR(__xludf.DUMMYFUNCTION("""COMPUTED_VALUE"""),41767.666666666664)</f>
        <v>41767.66667</v>
      </c>
      <c r="C2931" s="9">
        <f>IFERROR(__xludf.DUMMYFUNCTION("""COMPUTED_VALUE"""),54.71)</f>
        <v>54.71</v>
      </c>
      <c r="K2931" s="16"/>
      <c r="T2931" s="17"/>
      <c r="AC2931" s="17"/>
    </row>
    <row r="2932">
      <c r="B2932" s="11">
        <f>IFERROR(__xludf.DUMMYFUNCTION("""COMPUTED_VALUE"""),41766.666666666664)</f>
        <v>41766.66667</v>
      </c>
      <c r="C2932" s="9">
        <f>IFERROR(__xludf.DUMMYFUNCTION("""COMPUTED_VALUE"""),54.91)</f>
        <v>54.91</v>
      </c>
      <c r="K2932" s="16"/>
      <c r="T2932" s="17"/>
      <c r="AC2932" s="17"/>
    </row>
    <row r="2933">
      <c r="B2933" s="11">
        <f>IFERROR(__xludf.DUMMYFUNCTION("""COMPUTED_VALUE"""),41765.666666666664)</f>
        <v>41765.66667</v>
      </c>
      <c r="C2933" s="9">
        <f>IFERROR(__xludf.DUMMYFUNCTION("""COMPUTED_VALUE"""),54.49)</f>
        <v>54.49</v>
      </c>
      <c r="K2933" s="16"/>
      <c r="T2933" s="17"/>
      <c r="AC2933" s="17"/>
    </row>
    <row r="2934">
      <c r="B2934" s="11">
        <f>IFERROR(__xludf.DUMMYFUNCTION("""COMPUTED_VALUE"""),41764.666666666664)</f>
        <v>41764.66667</v>
      </c>
      <c r="C2934" s="9">
        <f>IFERROR(__xludf.DUMMYFUNCTION("""COMPUTED_VALUE"""),55.17)</f>
        <v>55.17</v>
      </c>
      <c r="K2934" s="16"/>
      <c r="T2934" s="17"/>
      <c r="AC2934" s="17"/>
    </row>
    <row r="2935">
      <c r="B2935" s="11">
        <f>IFERROR(__xludf.DUMMYFUNCTION("""COMPUTED_VALUE"""),41761.666666666664)</f>
        <v>41761.66667</v>
      </c>
      <c r="C2935" s="9">
        <f>IFERROR(__xludf.DUMMYFUNCTION("""COMPUTED_VALUE"""),54.55)</f>
        <v>54.55</v>
      </c>
      <c r="K2935" s="16"/>
      <c r="T2935" s="17"/>
      <c r="AC2935" s="17"/>
    </row>
    <row r="2936">
      <c r="B2936" s="11">
        <f>IFERROR(__xludf.DUMMYFUNCTION("""COMPUTED_VALUE"""),41760.666666666664)</f>
        <v>41760.66667</v>
      </c>
      <c r="C2936" s="9">
        <f>IFERROR(__xludf.DUMMYFUNCTION("""COMPUTED_VALUE"""),54.18)</f>
        <v>54.18</v>
      </c>
      <c r="K2936" s="16"/>
      <c r="T2936" s="17"/>
      <c r="AC2936" s="17"/>
    </row>
    <row r="2937">
      <c r="B2937" s="11">
        <f>IFERROR(__xludf.DUMMYFUNCTION("""COMPUTED_VALUE"""),41759.666666666664)</f>
        <v>41759.66667</v>
      </c>
      <c r="C2937" s="9">
        <f>IFERROR(__xludf.DUMMYFUNCTION("""COMPUTED_VALUE"""),54.34)</f>
        <v>54.34</v>
      </c>
      <c r="K2937" s="16"/>
      <c r="T2937" s="17"/>
      <c r="AC2937" s="17"/>
    </row>
    <row r="2938">
      <c r="B2938" s="11">
        <f>IFERROR(__xludf.DUMMYFUNCTION("""COMPUTED_VALUE"""),41758.666666666664)</f>
        <v>41758.66667</v>
      </c>
      <c r="C2938" s="9">
        <f>IFERROR(__xludf.DUMMYFUNCTION("""COMPUTED_VALUE"""),54.03)</f>
        <v>54.03</v>
      </c>
      <c r="K2938" s="16"/>
      <c r="T2938" s="17"/>
      <c r="AC2938" s="17"/>
    </row>
    <row r="2939">
      <c r="B2939" s="11">
        <f>IFERROR(__xludf.DUMMYFUNCTION("""COMPUTED_VALUE"""),41757.666666666664)</f>
        <v>41757.66667</v>
      </c>
      <c r="C2939" s="9">
        <f>IFERROR(__xludf.DUMMYFUNCTION("""COMPUTED_VALUE"""),53.35)</f>
        <v>53.35</v>
      </c>
      <c r="K2939" s="16"/>
      <c r="T2939" s="17"/>
      <c r="AC2939" s="17"/>
    </row>
    <row r="2940">
      <c r="B2940" s="11">
        <f>IFERROR(__xludf.DUMMYFUNCTION("""COMPUTED_VALUE"""),41754.666666666664)</f>
        <v>41754.66667</v>
      </c>
      <c r="C2940" s="9">
        <f>IFERROR(__xludf.DUMMYFUNCTION("""COMPUTED_VALUE"""),53.59)</f>
        <v>53.59</v>
      </c>
      <c r="K2940" s="16"/>
      <c r="T2940" s="17"/>
      <c r="AC2940" s="17"/>
    </row>
    <row r="2941">
      <c r="B2941" s="11">
        <f>IFERROR(__xludf.DUMMYFUNCTION("""COMPUTED_VALUE"""),41753.666666666664)</f>
        <v>41753.66667</v>
      </c>
      <c r="C2941" s="9">
        <f>IFERROR(__xludf.DUMMYFUNCTION("""COMPUTED_VALUE"""),54.32)</f>
        <v>54.32</v>
      </c>
      <c r="K2941" s="16"/>
      <c r="T2941" s="17"/>
      <c r="AC2941" s="17"/>
    </row>
    <row r="2942">
      <c r="B2942" s="11">
        <f>IFERROR(__xludf.DUMMYFUNCTION("""COMPUTED_VALUE"""),41752.666666666664)</f>
        <v>41752.66667</v>
      </c>
      <c r="C2942" s="9">
        <f>IFERROR(__xludf.DUMMYFUNCTION("""COMPUTED_VALUE"""),54.89)</f>
        <v>54.89</v>
      </c>
      <c r="K2942" s="16"/>
      <c r="T2942" s="17"/>
      <c r="AC2942" s="17"/>
    </row>
    <row r="2943">
      <c r="B2943" s="11">
        <f>IFERROR(__xludf.DUMMYFUNCTION("""COMPUTED_VALUE"""),41751.666666666664)</f>
        <v>41751.66667</v>
      </c>
      <c r="C2943" s="9">
        <f>IFERROR(__xludf.DUMMYFUNCTION("""COMPUTED_VALUE"""),54.33)</f>
        <v>54.33</v>
      </c>
      <c r="K2943" s="16"/>
      <c r="T2943" s="17"/>
      <c r="AC2943" s="17"/>
    </row>
    <row r="2944">
      <c r="B2944" s="11">
        <f>IFERROR(__xludf.DUMMYFUNCTION("""COMPUTED_VALUE"""),41750.666666666664)</f>
        <v>41750.66667</v>
      </c>
      <c r="C2944" s="9">
        <f>IFERROR(__xludf.DUMMYFUNCTION("""COMPUTED_VALUE"""),54.52)</f>
        <v>54.52</v>
      </c>
      <c r="K2944" s="16"/>
      <c r="T2944" s="17"/>
      <c r="AC2944" s="17"/>
    </row>
    <row r="2945">
      <c r="B2945" s="11">
        <f>IFERROR(__xludf.DUMMYFUNCTION("""COMPUTED_VALUE"""),41746.666666666664)</f>
        <v>41746.66667</v>
      </c>
      <c r="C2945" s="9">
        <f>IFERROR(__xludf.DUMMYFUNCTION("""COMPUTED_VALUE"""),54.45)</f>
        <v>54.45</v>
      </c>
      <c r="K2945" s="16"/>
      <c r="T2945" s="17"/>
      <c r="AC2945" s="17"/>
    </row>
    <row r="2946">
      <c r="B2946" s="11">
        <f>IFERROR(__xludf.DUMMYFUNCTION("""COMPUTED_VALUE"""),41745.666666666664)</f>
        <v>41745.66667</v>
      </c>
      <c r="C2946" s="9">
        <f>IFERROR(__xludf.DUMMYFUNCTION("""COMPUTED_VALUE"""),53.83)</f>
        <v>53.83</v>
      </c>
      <c r="K2946" s="16"/>
      <c r="T2946" s="17"/>
      <c r="AC2946" s="17"/>
    </row>
    <row r="2947">
      <c r="B2947" s="11">
        <f>IFERROR(__xludf.DUMMYFUNCTION("""COMPUTED_VALUE"""),41744.666666666664)</f>
        <v>41744.66667</v>
      </c>
      <c r="C2947" s="9">
        <f>IFERROR(__xludf.DUMMYFUNCTION("""COMPUTED_VALUE"""),53.04)</f>
        <v>53.04</v>
      </c>
      <c r="K2947" s="16"/>
      <c r="T2947" s="17"/>
      <c r="AC2947" s="17"/>
    </row>
    <row r="2948">
      <c r="B2948" s="11">
        <f>IFERROR(__xludf.DUMMYFUNCTION("""COMPUTED_VALUE"""),41743.666666666664)</f>
        <v>41743.66667</v>
      </c>
      <c r="C2948" s="9">
        <f>IFERROR(__xludf.DUMMYFUNCTION("""COMPUTED_VALUE"""),52.42)</f>
        <v>52.42</v>
      </c>
      <c r="K2948" s="16"/>
      <c r="T2948" s="17"/>
      <c r="AC2948" s="17"/>
    </row>
    <row r="2949">
      <c r="B2949" s="11">
        <f>IFERROR(__xludf.DUMMYFUNCTION("""COMPUTED_VALUE"""),41740.666666666664)</f>
        <v>41740.66667</v>
      </c>
      <c r="C2949" s="9">
        <f>IFERROR(__xludf.DUMMYFUNCTION("""COMPUTED_VALUE"""),52.05)</f>
        <v>52.05</v>
      </c>
      <c r="K2949" s="16"/>
      <c r="T2949" s="17"/>
      <c r="AC2949" s="17"/>
    </row>
    <row r="2950">
      <c r="B2950" s="11">
        <f>IFERROR(__xludf.DUMMYFUNCTION("""COMPUTED_VALUE"""),41739.666666666664)</f>
        <v>41739.66667</v>
      </c>
      <c r="C2950" s="9">
        <f>IFERROR(__xludf.DUMMYFUNCTION("""COMPUTED_VALUE"""),52.63)</f>
        <v>52.63</v>
      </c>
      <c r="K2950" s="16"/>
      <c r="T2950" s="17"/>
      <c r="AC2950" s="17"/>
    </row>
    <row r="2951">
      <c r="B2951" s="11">
        <f>IFERROR(__xludf.DUMMYFUNCTION("""COMPUTED_VALUE"""),41738.666666666664)</f>
        <v>41738.66667</v>
      </c>
      <c r="C2951" s="9">
        <f>IFERROR(__xludf.DUMMYFUNCTION("""COMPUTED_VALUE"""),53.95)</f>
        <v>53.95</v>
      </c>
      <c r="K2951" s="16"/>
      <c r="T2951" s="17"/>
      <c r="AC2951" s="17"/>
    </row>
    <row r="2952">
      <c r="B2952" s="11">
        <f>IFERROR(__xludf.DUMMYFUNCTION("""COMPUTED_VALUE"""),41737.666666666664)</f>
        <v>41737.66667</v>
      </c>
      <c r="C2952" s="9">
        <f>IFERROR(__xludf.DUMMYFUNCTION("""COMPUTED_VALUE"""),53.01)</f>
        <v>53.01</v>
      </c>
      <c r="K2952" s="16"/>
      <c r="T2952" s="17"/>
      <c r="AC2952" s="17"/>
    </row>
    <row r="2953">
      <c r="B2953" s="11">
        <f>IFERROR(__xludf.DUMMYFUNCTION("""COMPUTED_VALUE"""),41736.666666666664)</f>
        <v>41736.66667</v>
      </c>
      <c r="C2953" s="9">
        <f>IFERROR(__xludf.DUMMYFUNCTION("""COMPUTED_VALUE"""),53.3)</f>
        <v>53.3</v>
      </c>
      <c r="K2953" s="16"/>
      <c r="T2953" s="17"/>
      <c r="AC2953" s="17"/>
    </row>
    <row r="2954">
      <c r="B2954" s="11">
        <f>IFERROR(__xludf.DUMMYFUNCTION("""COMPUTED_VALUE"""),41733.666666666664)</f>
        <v>41733.66667</v>
      </c>
      <c r="C2954" s="9">
        <f>IFERROR(__xludf.DUMMYFUNCTION("""COMPUTED_VALUE"""),54.08)</f>
        <v>54.08</v>
      </c>
      <c r="K2954" s="16"/>
      <c r="T2954" s="17"/>
      <c r="AC2954" s="17"/>
    </row>
    <row r="2955">
      <c r="B2955" s="11">
        <f>IFERROR(__xludf.DUMMYFUNCTION("""COMPUTED_VALUE"""),41732.666666666664)</f>
        <v>41732.66667</v>
      </c>
      <c r="C2955" s="9">
        <f>IFERROR(__xludf.DUMMYFUNCTION("""COMPUTED_VALUE"""),55.41)</f>
        <v>55.41</v>
      </c>
      <c r="K2955" s="16"/>
      <c r="T2955" s="17"/>
      <c r="AC2955" s="17"/>
    </row>
    <row r="2956">
      <c r="B2956" s="11">
        <f>IFERROR(__xludf.DUMMYFUNCTION("""COMPUTED_VALUE"""),41731.666666666664)</f>
        <v>41731.66667</v>
      </c>
      <c r="C2956" s="9">
        <f>IFERROR(__xludf.DUMMYFUNCTION("""COMPUTED_VALUE"""),55.57)</f>
        <v>55.57</v>
      </c>
      <c r="K2956" s="16"/>
      <c r="T2956" s="17"/>
      <c r="AC2956" s="17"/>
    </row>
    <row r="2957">
      <c r="B2957" s="11">
        <f>IFERROR(__xludf.DUMMYFUNCTION("""COMPUTED_VALUE"""),41730.666666666664)</f>
        <v>41730.66667</v>
      </c>
      <c r="C2957" s="9">
        <f>IFERROR(__xludf.DUMMYFUNCTION("""COMPUTED_VALUE"""),55.27)</f>
        <v>55.27</v>
      </c>
      <c r="K2957" s="16"/>
      <c r="T2957" s="17"/>
      <c r="AC2957" s="17"/>
    </row>
    <row r="2958">
      <c r="B2958" s="11">
        <f>IFERROR(__xludf.DUMMYFUNCTION("""COMPUTED_VALUE"""),41729.666666666664)</f>
        <v>41729.66667</v>
      </c>
      <c r="C2958" s="9">
        <f>IFERROR(__xludf.DUMMYFUNCTION("""COMPUTED_VALUE"""),54.58)</f>
        <v>54.58</v>
      </c>
      <c r="K2958" s="16"/>
      <c r="T2958" s="17"/>
      <c r="AC2958" s="17"/>
    </row>
    <row r="2959">
      <c r="B2959" s="11">
        <f>IFERROR(__xludf.DUMMYFUNCTION("""COMPUTED_VALUE"""),41726.666666666664)</f>
        <v>41726.66667</v>
      </c>
      <c r="C2959" s="9">
        <f>IFERROR(__xludf.DUMMYFUNCTION("""COMPUTED_VALUE"""),53.66)</f>
        <v>53.66</v>
      </c>
      <c r="K2959" s="16"/>
      <c r="T2959" s="17"/>
      <c r="AC2959" s="17"/>
    </row>
    <row r="2960">
      <c r="B2960" s="11">
        <f>IFERROR(__xludf.DUMMYFUNCTION("""COMPUTED_VALUE"""),41725.666666666664)</f>
        <v>41725.66667</v>
      </c>
      <c r="C2960" s="9">
        <f>IFERROR(__xludf.DUMMYFUNCTION("""COMPUTED_VALUE"""),53.27)</f>
        <v>53.27</v>
      </c>
      <c r="K2960" s="16"/>
      <c r="T2960" s="17"/>
      <c r="AC2960" s="17"/>
    </row>
    <row r="2961">
      <c r="B2961" s="11">
        <f>IFERROR(__xludf.DUMMYFUNCTION("""COMPUTED_VALUE"""),41724.666666666664)</f>
        <v>41724.66667</v>
      </c>
      <c r="C2961" s="9">
        <f>IFERROR(__xludf.DUMMYFUNCTION("""COMPUTED_VALUE"""),53.67)</f>
        <v>53.67</v>
      </c>
      <c r="K2961" s="16"/>
      <c r="T2961" s="17"/>
      <c r="AC2961" s="17"/>
    </row>
    <row r="2962">
      <c r="B2962" s="11">
        <f>IFERROR(__xludf.DUMMYFUNCTION("""COMPUTED_VALUE"""),41723.666666666664)</f>
        <v>41723.66667</v>
      </c>
      <c r="C2962" s="9">
        <f>IFERROR(__xludf.DUMMYFUNCTION("""COMPUTED_VALUE"""),54.26)</f>
        <v>54.26</v>
      </c>
      <c r="K2962" s="16"/>
      <c r="T2962" s="17"/>
      <c r="AC2962" s="17"/>
    </row>
    <row r="2963">
      <c r="B2963" s="11">
        <f>IFERROR(__xludf.DUMMYFUNCTION("""COMPUTED_VALUE"""),41722.666666666664)</f>
        <v>41722.66667</v>
      </c>
      <c r="C2963" s="9">
        <f>IFERROR(__xludf.DUMMYFUNCTION("""COMPUTED_VALUE"""),54.02)</f>
        <v>54.02</v>
      </c>
      <c r="K2963" s="16"/>
      <c r="T2963" s="17"/>
      <c r="AC2963" s="17"/>
    </row>
    <row r="2964">
      <c r="B2964" s="11">
        <f>IFERROR(__xludf.DUMMYFUNCTION("""COMPUTED_VALUE"""),41719.666666666664)</f>
        <v>41719.66667</v>
      </c>
      <c r="C2964" s="9">
        <f>IFERROR(__xludf.DUMMYFUNCTION("""COMPUTED_VALUE"""),54.23)</f>
        <v>54.23</v>
      </c>
      <c r="K2964" s="16"/>
      <c r="T2964" s="17"/>
      <c r="AC2964" s="17"/>
    </row>
    <row r="2965">
      <c r="B2965" s="11">
        <f>IFERROR(__xludf.DUMMYFUNCTION("""COMPUTED_VALUE"""),41718.666666666664)</f>
        <v>41718.66667</v>
      </c>
      <c r="C2965" s="9">
        <f>IFERROR(__xludf.DUMMYFUNCTION("""COMPUTED_VALUE"""),54.49)</f>
        <v>54.49</v>
      </c>
      <c r="K2965" s="16"/>
      <c r="T2965" s="17"/>
      <c r="AC2965" s="17"/>
    </row>
    <row r="2966">
      <c r="B2966" s="11">
        <f>IFERROR(__xludf.DUMMYFUNCTION("""COMPUTED_VALUE"""),41717.666666666664)</f>
        <v>41717.66667</v>
      </c>
      <c r="C2966" s="9">
        <f>IFERROR(__xludf.DUMMYFUNCTION("""COMPUTED_VALUE"""),54.47)</f>
        <v>54.47</v>
      </c>
      <c r="K2966" s="16"/>
      <c r="T2966" s="17"/>
      <c r="AC2966" s="17"/>
    </row>
    <row r="2967">
      <c r="B2967" s="11">
        <f>IFERROR(__xludf.DUMMYFUNCTION("""COMPUTED_VALUE"""),41716.666666666664)</f>
        <v>41716.66667</v>
      </c>
      <c r="C2967" s="9">
        <f>IFERROR(__xludf.DUMMYFUNCTION("""COMPUTED_VALUE"""),55.02)</f>
        <v>55.02</v>
      </c>
      <c r="K2967" s="16"/>
      <c r="T2967" s="17"/>
      <c r="AC2967" s="17"/>
    </row>
    <row r="2968">
      <c r="B2968" s="11">
        <f>IFERROR(__xludf.DUMMYFUNCTION("""COMPUTED_VALUE"""),41715.666666666664)</f>
        <v>41715.66667</v>
      </c>
      <c r="C2968" s="9">
        <f>IFERROR(__xludf.DUMMYFUNCTION("""COMPUTED_VALUE"""),54.65)</f>
        <v>54.65</v>
      </c>
      <c r="K2968" s="16"/>
      <c r="T2968" s="17"/>
      <c r="AC2968" s="17"/>
    </row>
    <row r="2969">
      <c r="B2969" s="11">
        <f>IFERROR(__xludf.DUMMYFUNCTION("""COMPUTED_VALUE"""),41712.666666666664)</f>
        <v>41712.66667</v>
      </c>
      <c r="C2969" s="9">
        <f>IFERROR(__xludf.DUMMYFUNCTION("""COMPUTED_VALUE"""),54.08)</f>
        <v>54.08</v>
      </c>
      <c r="K2969" s="16"/>
      <c r="T2969" s="17"/>
      <c r="AC2969" s="17"/>
    </row>
    <row r="2970">
      <c r="B2970" s="11">
        <f>IFERROR(__xludf.DUMMYFUNCTION("""COMPUTED_VALUE"""),41711.666666666664)</f>
        <v>41711.66667</v>
      </c>
      <c r="C2970" s="9">
        <f>IFERROR(__xludf.DUMMYFUNCTION("""COMPUTED_VALUE"""),53.98)</f>
        <v>53.98</v>
      </c>
      <c r="K2970" s="16"/>
      <c r="T2970" s="17"/>
      <c r="AC2970" s="17"/>
    </row>
    <row r="2971">
      <c r="B2971" s="11">
        <f>IFERROR(__xludf.DUMMYFUNCTION("""COMPUTED_VALUE"""),41710.666666666664)</f>
        <v>41710.66667</v>
      </c>
      <c r="C2971" s="9">
        <f>IFERROR(__xludf.DUMMYFUNCTION("""COMPUTED_VALUE"""),54.75)</f>
        <v>54.75</v>
      </c>
      <c r="K2971" s="16"/>
      <c r="T2971" s="17"/>
      <c r="AC2971" s="17"/>
    </row>
    <row r="2972">
      <c r="B2972" s="11">
        <f>IFERROR(__xludf.DUMMYFUNCTION("""COMPUTED_VALUE"""),41709.666666666664)</f>
        <v>41709.66667</v>
      </c>
      <c r="C2972" s="9">
        <f>IFERROR(__xludf.DUMMYFUNCTION("""COMPUTED_VALUE"""),54.82)</f>
        <v>54.82</v>
      </c>
      <c r="K2972" s="16"/>
      <c r="T2972" s="17"/>
      <c r="AC2972" s="17"/>
    </row>
    <row r="2973">
      <c r="B2973" s="11">
        <f>IFERROR(__xludf.DUMMYFUNCTION("""COMPUTED_VALUE"""),41708.666666666664)</f>
        <v>41708.66667</v>
      </c>
      <c r="C2973" s="9">
        <f>IFERROR(__xludf.DUMMYFUNCTION("""COMPUTED_VALUE"""),55.51)</f>
        <v>55.51</v>
      </c>
      <c r="K2973" s="16"/>
      <c r="T2973" s="17"/>
      <c r="AC2973" s="17"/>
    </row>
    <row r="2974">
      <c r="B2974" s="11">
        <f>IFERROR(__xludf.DUMMYFUNCTION("""COMPUTED_VALUE"""),41705.666666666664)</f>
        <v>41705.66667</v>
      </c>
      <c r="C2974" s="9">
        <f>IFERROR(__xludf.DUMMYFUNCTION("""COMPUTED_VALUE"""),55.88)</f>
        <v>55.88</v>
      </c>
      <c r="K2974" s="16"/>
      <c r="T2974" s="17"/>
      <c r="AC2974" s="17"/>
    </row>
    <row r="2975">
      <c r="B2975" s="11">
        <f>IFERROR(__xludf.DUMMYFUNCTION("""COMPUTED_VALUE"""),41704.666666666664)</f>
        <v>41704.66667</v>
      </c>
      <c r="C2975" s="9">
        <f>IFERROR(__xludf.DUMMYFUNCTION("""COMPUTED_VALUE"""),55.89)</f>
        <v>55.89</v>
      </c>
      <c r="K2975" s="16"/>
      <c r="T2975" s="17"/>
      <c r="AC2975" s="17"/>
    </row>
    <row r="2976">
      <c r="B2976" s="11">
        <f>IFERROR(__xludf.DUMMYFUNCTION("""COMPUTED_VALUE"""),41703.666666666664)</f>
        <v>41703.66667</v>
      </c>
      <c r="C2976" s="9">
        <f>IFERROR(__xludf.DUMMYFUNCTION("""COMPUTED_VALUE"""),55.87)</f>
        <v>55.87</v>
      </c>
      <c r="K2976" s="16"/>
      <c r="T2976" s="17"/>
      <c r="AC2976" s="17"/>
    </row>
    <row r="2977">
      <c r="B2977" s="11">
        <f>IFERROR(__xludf.DUMMYFUNCTION("""COMPUTED_VALUE"""),41702.666666666664)</f>
        <v>41702.66667</v>
      </c>
      <c r="C2977" s="9">
        <f>IFERROR(__xludf.DUMMYFUNCTION("""COMPUTED_VALUE"""),55.93)</f>
        <v>55.93</v>
      </c>
      <c r="K2977" s="16"/>
      <c r="T2977" s="17"/>
      <c r="AC2977" s="17"/>
    </row>
    <row r="2978">
      <c r="B2978" s="11">
        <f>IFERROR(__xludf.DUMMYFUNCTION("""COMPUTED_VALUE"""),41701.666666666664)</f>
        <v>41701.66667</v>
      </c>
      <c r="C2978" s="9">
        <f>IFERROR(__xludf.DUMMYFUNCTION("""COMPUTED_VALUE"""),54.84)</f>
        <v>54.84</v>
      </c>
      <c r="K2978" s="16"/>
      <c r="T2978" s="17"/>
      <c r="AC2978" s="17"/>
    </row>
    <row r="2979">
      <c r="B2979" s="11">
        <f>IFERROR(__xludf.DUMMYFUNCTION("""COMPUTED_VALUE"""),41698.666666666664)</f>
        <v>41698.66667</v>
      </c>
      <c r="C2979" s="9">
        <f>IFERROR(__xludf.DUMMYFUNCTION("""COMPUTED_VALUE"""),54.82)</f>
        <v>54.82</v>
      </c>
      <c r="K2979" s="16"/>
      <c r="T2979" s="17"/>
      <c r="AC2979" s="17"/>
    </row>
    <row r="2980">
      <c r="B2980" s="11">
        <f>IFERROR(__xludf.DUMMYFUNCTION("""COMPUTED_VALUE"""),41697.666666666664)</f>
        <v>41697.66667</v>
      </c>
      <c r="C2980" s="9">
        <f>IFERROR(__xludf.DUMMYFUNCTION("""COMPUTED_VALUE"""),54.75)</f>
        <v>54.75</v>
      </c>
      <c r="K2980" s="16"/>
      <c r="T2980" s="17"/>
      <c r="AC2980" s="17"/>
    </row>
    <row r="2981">
      <c r="B2981" s="11">
        <f>IFERROR(__xludf.DUMMYFUNCTION("""COMPUTED_VALUE"""),41696.666666666664)</f>
        <v>41696.66667</v>
      </c>
      <c r="C2981" s="9">
        <f>IFERROR(__xludf.DUMMYFUNCTION("""COMPUTED_VALUE"""),54.14)</f>
        <v>54.14</v>
      </c>
      <c r="K2981" s="16"/>
      <c r="T2981" s="17"/>
      <c r="AC2981" s="17"/>
    </row>
    <row r="2982">
      <c r="B2982" s="11">
        <f>IFERROR(__xludf.DUMMYFUNCTION("""COMPUTED_VALUE"""),41695.666666666664)</f>
        <v>41695.66667</v>
      </c>
      <c r="C2982" s="9">
        <f>IFERROR(__xludf.DUMMYFUNCTION("""COMPUTED_VALUE"""),54.39)</f>
        <v>54.39</v>
      </c>
      <c r="K2982" s="16"/>
      <c r="T2982" s="17"/>
      <c r="AC2982" s="17"/>
    </row>
    <row r="2983">
      <c r="B2983" s="11">
        <f>IFERROR(__xludf.DUMMYFUNCTION("""COMPUTED_VALUE"""),41694.666666666664)</f>
        <v>41694.66667</v>
      </c>
      <c r="C2983" s="9">
        <f>IFERROR(__xludf.DUMMYFUNCTION("""COMPUTED_VALUE"""),54.88)</f>
        <v>54.88</v>
      </c>
      <c r="K2983" s="16"/>
      <c r="T2983" s="17"/>
      <c r="AC2983" s="17"/>
    </row>
    <row r="2984">
      <c r="B2984" s="11">
        <f>IFERROR(__xludf.DUMMYFUNCTION("""COMPUTED_VALUE"""),41691.666666666664)</f>
        <v>41691.66667</v>
      </c>
      <c r="C2984" s="9">
        <f>IFERROR(__xludf.DUMMYFUNCTION("""COMPUTED_VALUE"""),54.36)</f>
        <v>54.36</v>
      </c>
      <c r="K2984" s="16"/>
      <c r="T2984" s="17"/>
      <c r="AC2984" s="17"/>
    </row>
    <row r="2985">
      <c r="B2985" s="11">
        <f>IFERROR(__xludf.DUMMYFUNCTION("""COMPUTED_VALUE"""),41690.666666666664)</f>
        <v>41690.66667</v>
      </c>
      <c r="C2985" s="9">
        <f>IFERROR(__xludf.DUMMYFUNCTION("""COMPUTED_VALUE"""),54.43)</f>
        <v>54.43</v>
      </c>
      <c r="K2985" s="16"/>
      <c r="T2985" s="17"/>
      <c r="AC2985" s="17"/>
    </row>
    <row r="2986">
      <c r="B2986" s="11">
        <f>IFERROR(__xludf.DUMMYFUNCTION("""COMPUTED_VALUE"""),41689.666666666664)</f>
        <v>41689.66667</v>
      </c>
      <c r="C2986" s="9">
        <f>IFERROR(__xludf.DUMMYFUNCTION("""COMPUTED_VALUE"""),53.67)</f>
        <v>53.67</v>
      </c>
      <c r="K2986" s="16"/>
      <c r="T2986" s="17"/>
      <c r="AC2986" s="17"/>
    </row>
    <row r="2987">
      <c r="B2987" s="11">
        <f>IFERROR(__xludf.DUMMYFUNCTION("""COMPUTED_VALUE"""),41688.666666666664)</f>
        <v>41688.66667</v>
      </c>
      <c r="C2987" s="9">
        <f>IFERROR(__xludf.DUMMYFUNCTION("""COMPUTED_VALUE"""),54.21)</f>
        <v>54.21</v>
      </c>
      <c r="K2987" s="16"/>
      <c r="T2987" s="17"/>
      <c r="AC2987" s="17"/>
    </row>
    <row r="2988">
      <c r="B2988" s="11">
        <f>IFERROR(__xludf.DUMMYFUNCTION("""COMPUTED_VALUE"""),41684.666666666664)</f>
        <v>41684.66667</v>
      </c>
      <c r="C2988" s="9">
        <f>IFERROR(__xludf.DUMMYFUNCTION("""COMPUTED_VALUE"""),53.92)</f>
        <v>53.92</v>
      </c>
      <c r="K2988" s="16"/>
      <c r="T2988" s="17"/>
      <c r="AC2988" s="17"/>
    </row>
    <row r="2989">
      <c r="B2989" s="11">
        <f>IFERROR(__xludf.DUMMYFUNCTION("""COMPUTED_VALUE"""),41683.666666666664)</f>
        <v>41683.66667</v>
      </c>
      <c r="C2989" s="9">
        <f>IFERROR(__xludf.DUMMYFUNCTION("""COMPUTED_VALUE"""),53.53)</f>
        <v>53.53</v>
      </c>
      <c r="K2989" s="16"/>
      <c r="T2989" s="17"/>
      <c r="AC2989" s="17"/>
    </row>
    <row r="2990">
      <c r="B2990" s="11">
        <f>IFERROR(__xludf.DUMMYFUNCTION("""COMPUTED_VALUE"""),41682.666666666664)</f>
        <v>41682.66667</v>
      </c>
      <c r="C2990" s="9">
        <f>IFERROR(__xludf.DUMMYFUNCTION("""COMPUTED_VALUE"""),53.19)</f>
        <v>53.19</v>
      </c>
      <c r="K2990" s="16"/>
      <c r="T2990" s="17"/>
      <c r="AC2990" s="17"/>
    </row>
    <row r="2991">
      <c r="B2991" s="11">
        <f>IFERROR(__xludf.DUMMYFUNCTION("""COMPUTED_VALUE"""),41681.666666666664)</f>
        <v>41681.66667</v>
      </c>
      <c r="C2991" s="9">
        <f>IFERROR(__xludf.DUMMYFUNCTION("""COMPUTED_VALUE"""),52.83)</f>
        <v>52.83</v>
      </c>
      <c r="K2991" s="16"/>
      <c r="T2991" s="17"/>
      <c r="AC2991" s="17"/>
    </row>
    <row r="2992">
      <c r="B2992" s="11">
        <f>IFERROR(__xludf.DUMMYFUNCTION("""COMPUTED_VALUE"""),41680.666666666664)</f>
        <v>41680.66667</v>
      </c>
      <c r="C2992" s="9">
        <f>IFERROR(__xludf.DUMMYFUNCTION("""COMPUTED_VALUE"""),52.16)</f>
        <v>52.16</v>
      </c>
      <c r="K2992" s="16"/>
      <c r="T2992" s="17"/>
      <c r="AC2992" s="17"/>
    </row>
    <row r="2993">
      <c r="B2993" s="11">
        <f>IFERROR(__xludf.DUMMYFUNCTION("""COMPUTED_VALUE"""),41677.666666666664)</f>
        <v>41677.66667</v>
      </c>
      <c r="C2993" s="9">
        <f>IFERROR(__xludf.DUMMYFUNCTION("""COMPUTED_VALUE"""),52.41)</f>
        <v>52.41</v>
      </c>
      <c r="K2993" s="16"/>
      <c r="T2993" s="17"/>
      <c r="AC2993" s="17"/>
    </row>
    <row r="2994">
      <c r="B2994" s="11">
        <f>IFERROR(__xludf.DUMMYFUNCTION("""COMPUTED_VALUE"""),41676.666666666664)</f>
        <v>41676.66667</v>
      </c>
      <c r="C2994" s="9">
        <f>IFERROR(__xludf.DUMMYFUNCTION("""COMPUTED_VALUE"""),51.42)</f>
        <v>51.42</v>
      </c>
      <c r="K2994" s="16"/>
      <c r="T2994" s="17"/>
      <c r="AC2994" s="17"/>
    </row>
    <row r="2995">
      <c r="B2995" s="11">
        <f>IFERROR(__xludf.DUMMYFUNCTION("""COMPUTED_VALUE"""),41675.666666666664)</f>
        <v>41675.66667</v>
      </c>
      <c r="C2995" s="9">
        <f>IFERROR(__xludf.DUMMYFUNCTION("""COMPUTED_VALUE"""),51.16)</f>
        <v>51.16</v>
      </c>
      <c r="K2995" s="16"/>
      <c r="T2995" s="17"/>
      <c r="AC2995" s="17"/>
    </row>
    <row r="2996">
      <c r="B2996" s="11">
        <f>IFERROR(__xludf.DUMMYFUNCTION("""COMPUTED_VALUE"""),41674.666666666664)</f>
        <v>41674.66667</v>
      </c>
      <c r="C2996" s="9">
        <f>IFERROR(__xludf.DUMMYFUNCTION("""COMPUTED_VALUE"""),51.17)</f>
        <v>51.17</v>
      </c>
      <c r="K2996" s="16"/>
      <c r="T2996" s="17"/>
      <c r="AC2996" s="17"/>
    </row>
    <row r="2997">
      <c r="B2997" s="11">
        <f>IFERROR(__xludf.DUMMYFUNCTION("""COMPUTED_VALUE"""),41673.666666666664)</f>
        <v>41673.66667</v>
      </c>
      <c r="C2997" s="9">
        <f>IFERROR(__xludf.DUMMYFUNCTION("""COMPUTED_VALUE"""),51.06)</f>
        <v>51.06</v>
      </c>
      <c r="K2997" s="16"/>
      <c r="T2997" s="17"/>
      <c r="AC2997" s="17"/>
    </row>
    <row r="2998">
      <c r="B2998" s="11">
        <f>IFERROR(__xludf.DUMMYFUNCTION("""COMPUTED_VALUE"""),41670.666666666664)</f>
        <v>41670.66667</v>
      </c>
      <c r="C2998" s="9">
        <f>IFERROR(__xludf.DUMMYFUNCTION("""COMPUTED_VALUE"""),52.62)</f>
        <v>52.62</v>
      </c>
      <c r="K2998" s="16"/>
      <c r="T2998" s="17"/>
      <c r="AC2998" s="17"/>
    </row>
    <row r="2999">
      <c r="B2999" s="11">
        <f>IFERROR(__xludf.DUMMYFUNCTION("""COMPUTED_VALUE"""),41669.666666666664)</f>
        <v>41669.66667</v>
      </c>
      <c r="C2999" s="9">
        <f>IFERROR(__xludf.DUMMYFUNCTION("""COMPUTED_VALUE"""),52.29)</f>
        <v>52.29</v>
      </c>
      <c r="K2999" s="16"/>
      <c r="T2999" s="17"/>
      <c r="AC2999" s="17"/>
    </row>
    <row r="3000">
      <c r="B3000" s="11">
        <f>IFERROR(__xludf.DUMMYFUNCTION("""COMPUTED_VALUE"""),41668.666666666664)</f>
        <v>41668.66667</v>
      </c>
      <c r="C3000" s="9">
        <f>IFERROR(__xludf.DUMMYFUNCTION("""COMPUTED_VALUE"""),52.03)</f>
        <v>52.03</v>
      </c>
      <c r="K3000" s="16"/>
      <c r="T3000" s="17"/>
      <c r="AC3000" s="17"/>
    </row>
    <row r="3001">
      <c r="B3001" s="11">
        <f>IFERROR(__xludf.DUMMYFUNCTION("""COMPUTED_VALUE"""),41667.666666666664)</f>
        <v>41667.66667</v>
      </c>
      <c r="C3001" s="9">
        <f>IFERROR(__xludf.DUMMYFUNCTION("""COMPUTED_VALUE"""),52.96)</f>
        <v>52.96</v>
      </c>
      <c r="K3001" s="16"/>
      <c r="T3001" s="17"/>
      <c r="AC3001" s="17"/>
    </row>
    <row r="3002">
      <c r="B3002" s="11">
        <f>IFERROR(__xludf.DUMMYFUNCTION("""COMPUTED_VALUE"""),41666.666666666664)</f>
        <v>41666.66667</v>
      </c>
      <c r="C3002" s="9">
        <f>IFERROR(__xludf.DUMMYFUNCTION("""COMPUTED_VALUE"""),52.65)</f>
        <v>52.65</v>
      </c>
      <c r="K3002" s="16"/>
      <c r="T3002" s="17"/>
      <c r="AC3002" s="17"/>
    </row>
    <row r="3003">
      <c r="B3003" s="11">
        <f>IFERROR(__xludf.DUMMYFUNCTION("""COMPUTED_VALUE"""),41663.666666666664)</f>
        <v>41663.66667</v>
      </c>
      <c r="C3003" s="9">
        <f>IFERROR(__xludf.DUMMYFUNCTION("""COMPUTED_VALUE"""),52.68)</f>
        <v>52.68</v>
      </c>
      <c r="K3003" s="16"/>
      <c r="T3003" s="17"/>
      <c r="AC3003" s="17"/>
    </row>
    <row r="3004">
      <c r="B3004" s="11">
        <f>IFERROR(__xludf.DUMMYFUNCTION("""COMPUTED_VALUE"""),41662.666666666664)</f>
        <v>41662.66667</v>
      </c>
      <c r="C3004" s="9">
        <f>IFERROR(__xludf.DUMMYFUNCTION("""COMPUTED_VALUE"""),54.52)</f>
        <v>54.52</v>
      </c>
      <c r="K3004" s="16"/>
      <c r="T3004" s="17"/>
      <c r="AC3004" s="17"/>
    </row>
    <row r="3005">
      <c r="B3005" s="11">
        <f>IFERROR(__xludf.DUMMYFUNCTION("""COMPUTED_VALUE"""),41661.666666666664)</f>
        <v>41661.66667</v>
      </c>
      <c r="C3005" s="9">
        <f>IFERROR(__xludf.DUMMYFUNCTION("""COMPUTED_VALUE"""),55.25)</f>
        <v>55.25</v>
      </c>
      <c r="K3005" s="16"/>
      <c r="T3005" s="17"/>
      <c r="AC3005" s="17"/>
    </row>
    <row r="3006">
      <c r="B3006" s="11">
        <f>IFERROR(__xludf.DUMMYFUNCTION("""COMPUTED_VALUE"""),41660.666666666664)</f>
        <v>41660.66667</v>
      </c>
      <c r="C3006" s="9">
        <f>IFERROR(__xludf.DUMMYFUNCTION("""COMPUTED_VALUE"""),54.44)</f>
        <v>54.44</v>
      </c>
      <c r="K3006" s="16"/>
      <c r="T3006" s="17"/>
      <c r="AC3006" s="17"/>
    </row>
    <row r="3007">
      <c r="B3007" s="11">
        <f>IFERROR(__xludf.DUMMYFUNCTION("""COMPUTED_VALUE"""),41656.666666666664)</f>
        <v>41656.66667</v>
      </c>
      <c r="C3007" s="9">
        <f>IFERROR(__xludf.DUMMYFUNCTION("""COMPUTED_VALUE"""),54.2)</f>
        <v>54.2</v>
      </c>
      <c r="K3007" s="16"/>
      <c r="T3007" s="17"/>
      <c r="AC3007" s="17"/>
    </row>
    <row r="3008">
      <c r="B3008" s="11">
        <f>IFERROR(__xludf.DUMMYFUNCTION("""COMPUTED_VALUE"""),41655.666666666664)</f>
        <v>41655.66667</v>
      </c>
      <c r="C3008" s="9">
        <f>IFERROR(__xludf.DUMMYFUNCTION("""COMPUTED_VALUE"""),54.29)</f>
        <v>54.29</v>
      </c>
      <c r="K3008" s="16"/>
      <c r="T3008" s="17"/>
      <c r="AC3008" s="17"/>
    </row>
    <row r="3009">
      <c r="B3009" s="11">
        <f>IFERROR(__xludf.DUMMYFUNCTION("""COMPUTED_VALUE"""),41654.666666666664)</f>
        <v>41654.66667</v>
      </c>
      <c r="C3009" s="9">
        <f>IFERROR(__xludf.DUMMYFUNCTION("""COMPUTED_VALUE"""),54.18)</f>
        <v>54.18</v>
      </c>
      <c r="K3009" s="16"/>
      <c r="T3009" s="17"/>
      <c r="AC3009" s="17"/>
    </row>
    <row r="3010">
      <c r="B3010" s="11">
        <f>IFERROR(__xludf.DUMMYFUNCTION("""COMPUTED_VALUE"""),41653.666666666664)</f>
        <v>41653.66667</v>
      </c>
      <c r="C3010" s="9">
        <f>IFERROR(__xludf.DUMMYFUNCTION("""COMPUTED_VALUE"""),53.75)</f>
        <v>53.75</v>
      </c>
      <c r="K3010" s="16"/>
      <c r="T3010" s="17"/>
      <c r="AC3010" s="17"/>
    </row>
    <row r="3011">
      <c r="B3011" s="11">
        <f>IFERROR(__xludf.DUMMYFUNCTION("""COMPUTED_VALUE"""),41652.666666666664)</f>
        <v>41652.66667</v>
      </c>
      <c r="C3011" s="9">
        <f>IFERROR(__xludf.DUMMYFUNCTION("""COMPUTED_VALUE"""),53.44)</f>
        <v>53.44</v>
      </c>
      <c r="K3011" s="16"/>
      <c r="T3011" s="17"/>
      <c r="AC3011" s="17"/>
    </row>
    <row r="3012">
      <c r="B3012" s="11">
        <f>IFERROR(__xludf.DUMMYFUNCTION("""COMPUTED_VALUE"""),41649.666666666664)</f>
        <v>41649.66667</v>
      </c>
      <c r="C3012" s="9">
        <f>IFERROR(__xludf.DUMMYFUNCTION("""COMPUTED_VALUE"""),53.72)</f>
        <v>53.72</v>
      </c>
      <c r="K3012" s="16"/>
      <c r="T3012" s="17"/>
      <c r="AC3012" s="17"/>
    </row>
    <row r="3013">
      <c r="B3013" s="11">
        <f>IFERROR(__xludf.DUMMYFUNCTION("""COMPUTED_VALUE"""),41648.666666666664)</f>
        <v>41648.66667</v>
      </c>
      <c r="C3013" s="9">
        <f>IFERROR(__xludf.DUMMYFUNCTION("""COMPUTED_VALUE"""),53.48)</f>
        <v>53.48</v>
      </c>
      <c r="K3013" s="16"/>
      <c r="T3013" s="17"/>
      <c r="AC3013" s="17"/>
    </row>
    <row r="3014">
      <c r="B3014" s="11">
        <f>IFERROR(__xludf.DUMMYFUNCTION("""COMPUTED_VALUE"""),41647.666666666664)</f>
        <v>41647.66667</v>
      </c>
      <c r="C3014" s="9">
        <f>IFERROR(__xludf.DUMMYFUNCTION("""COMPUTED_VALUE"""),53.05)</f>
        <v>53.05</v>
      </c>
      <c r="K3014" s="16"/>
      <c r="T3014" s="17"/>
      <c r="AC3014" s="17"/>
    </row>
    <row r="3015">
      <c r="B3015" s="11">
        <f>IFERROR(__xludf.DUMMYFUNCTION("""COMPUTED_VALUE"""),41646.666666666664)</f>
        <v>41646.66667</v>
      </c>
      <c r="C3015" s="9">
        <f>IFERROR(__xludf.DUMMYFUNCTION("""COMPUTED_VALUE"""),52.82)</f>
        <v>52.82</v>
      </c>
      <c r="K3015" s="16"/>
      <c r="T3015" s="17"/>
      <c r="AC3015" s="17"/>
    </row>
    <row r="3016">
      <c r="B3016" s="11">
        <f>IFERROR(__xludf.DUMMYFUNCTION("""COMPUTED_VALUE"""),41645.666666666664)</f>
        <v>41645.66667</v>
      </c>
      <c r="C3016" s="9">
        <f>IFERROR(__xludf.DUMMYFUNCTION("""COMPUTED_VALUE"""),52.42)</f>
        <v>52.42</v>
      </c>
      <c r="K3016" s="16"/>
      <c r="T3016" s="17"/>
      <c r="AC3016" s="17"/>
    </row>
    <row r="3017">
      <c r="B3017" s="11">
        <f>IFERROR(__xludf.DUMMYFUNCTION("""COMPUTED_VALUE"""),41642.666666666664)</f>
        <v>41642.66667</v>
      </c>
      <c r="C3017" s="9">
        <f>IFERROR(__xludf.DUMMYFUNCTION("""COMPUTED_VALUE"""),52.5)</f>
        <v>52.5</v>
      </c>
      <c r="K3017" s="16"/>
      <c r="T3017" s="17"/>
      <c r="AC3017" s="17"/>
    </row>
    <row r="3018">
      <c r="B3018" s="11">
        <f>IFERROR(__xludf.DUMMYFUNCTION("""COMPUTED_VALUE"""),41641.666666666664)</f>
        <v>41641.66667</v>
      </c>
      <c r="C3018" s="9">
        <f>IFERROR(__xludf.DUMMYFUNCTION("""COMPUTED_VALUE"""),52.26)</f>
        <v>52.26</v>
      </c>
      <c r="K3018" s="16"/>
      <c r="T3018" s="17"/>
      <c r="AC3018" s="17"/>
    </row>
    <row r="3019">
      <c r="B3019" s="11">
        <f>IFERROR(__xludf.DUMMYFUNCTION("""COMPUTED_VALUE"""),41639.666666666664)</f>
        <v>41639.66667</v>
      </c>
      <c r="C3019" s="9">
        <f>IFERROR(__xludf.DUMMYFUNCTION("""COMPUTED_VALUE"""),52.84)</f>
        <v>52.84</v>
      </c>
      <c r="K3019" s="16"/>
      <c r="T3019" s="17"/>
      <c r="AC3019" s="17"/>
    </row>
    <row r="3020">
      <c r="B3020" s="11">
        <f>IFERROR(__xludf.DUMMYFUNCTION("""COMPUTED_VALUE"""),41638.666666666664)</f>
        <v>41638.66667</v>
      </c>
      <c r="C3020" s="9">
        <f>IFERROR(__xludf.DUMMYFUNCTION("""COMPUTED_VALUE"""),52.63)</f>
        <v>52.63</v>
      </c>
      <c r="K3020" s="16"/>
      <c r="T3020" s="17"/>
      <c r="AC3020" s="17"/>
    </row>
    <row r="3021">
      <c r="B3021" s="11">
        <f>IFERROR(__xludf.DUMMYFUNCTION("""COMPUTED_VALUE"""),41635.666666666664)</f>
        <v>41635.66667</v>
      </c>
      <c r="C3021" s="9">
        <f>IFERROR(__xludf.DUMMYFUNCTION("""COMPUTED_VALUE"""),52.77)</f>
        <v>52.77</v>
      </c>
      <c r="K3021" s="16"/>
      <c r="T3021" s="17"/>
      <c r="AC3021" s="17"/>
    </row>
    <row r="3022">
      <c r="B3022" s="11">
        <f>IFERROR(__xludf.DUMMYFUNCTION("""COMPUTED_VALUE"""),41634.666666666664)</f>
        <v>41634.66667</v>
      </c>
      <c r="C3022" s="9">
        <f>IFERROR(__xludf.DUMMYFUNCTION("""COMPUTED_VALUE"""),53.04)</f>
        <v>53.04</v>
      </c>
      <c r="K3022" s="16"/>
      <c r="T3022" s="17"/>
      <c r="AC3022" s="17"/>
    </row>
    <row r="3023">
      <c r="B3023" s="11">
        <f>IFERROR(__xludf.DUMMYFUNCTION("""COMPUTED_VALUE"""),41632.666666666664)</f>
        <v>41632.66667</v>
      </c>
      <c r="C3023" s="9">
        <f>IFERROR(__xludf.DUMMYFUNCTION("""COMPUTED_VALUE"""),52.59)</f>
        <v>52.59</v>
      </c>
      <c r="K3023" s="16"/>
      <c r="T3023" s="17"/>
      <c r="AC3023" s="17"/>
    </row>
    <row r="3024">
      <c r="B3024" s="11">
        <f>IFERROR(__xludf.DUMMYFUNCTION("""COMPUTED_VALUE"""),41631.666666666664)</f>
        <v>41631.66667</v>
      </c>
      <c r="C3024" s="9">
        <f>IFERROR(__xludf.DUMMYFUNCTION("""COMPUTED_VALUE"""),52.32)</f>
        <v>52.32</v>
      </c>
      <c r="K3024" s="16"/>
      <c r="T3024" s="17"/>
      <c r="AC3024" s="17"/>
    </row>
    <row r="3025">
      <c r="B3025" s="11">
        <f>IFERROR(__xludf.DUMMYFUNCTION("""COMPUTED_VALUE"""),41628.666666666664)</f>
        <v>41628.66667</v>
      </c>
      <c r="C3025" s="9">
        <f>IFERROR(__xludf.DUMMYFUNCTION("""COMPUTED_VALUE"""),52.34)</f>
        <v>52.34</v>
      </c>
      <c r="K3025" s="16"/>
      <c r="T3025" s="17"/>
      <c r="AC3025" s="17"/>
    </row>
    <row r="3026">
      <c r="B3026" s="11">
        <f>IFERROR(__xludf.DUMMYFUNCTION("""COMPUTED_VALUE"""),41627.666666666664)</f>
        <v>41627.66667</v>
      </c>
      <c r="C3026" s="9">
        <f>IFERROR(__xludf.DUMMYFUNCTION("""COMPUTED_VALUE"""),51.48)</f>
        <v>51.48</v>
      </c>
      <c r="K3026" s="16"/>
      <c r="T3026" s="17"/>
      <c r="AC3026" s="17"/>
    </row>
    <row r="3027">
      <c r="B3027" s="11">
        <f>IFERROR(__xludf.DUMMYFUNCTION("""COMPUTED_VALUE"""),41626.666666666664)</f>
        <v>41626.66667</v>
      </c>
      <c r="C3027" s="9">
        <f>IFERROR(__xludf.DUMMYFUNCTION("""COMPUTED_VALUE"""),51.79)</f>
        <v>51.79</v>
      </c>
      <c r="K3027" s="16"/>
      <c r="T3027" s="17"/>
      <c r="AC3027" s="17"/>
    </row>
    <row r="3028">
      <c r="B3028" s="11">
        <f>IFERROR(__xludf.DUMMYFUNCTION("""COMPUTED_VALUE"""),41625.666666666664)</f>
        <v>41625.66667</v>
      </c>
      <c r="C3028" s="9">
        <f>IFERROR(__xludf.DUMMYFUNCTION("""COMPUTED_VALUE"""),51.1)</f>
        <v>51.1</v>
      </c>
      <c r="K3028" s="16"/>
      <c r="T3028" s="17"/>
      <c r="AC3028" s="17"/>
    </row>
    <row r="3029">
      <c r="B3029" s="11">
        <f>IFERROR(__xludf.DUMMYFUNCTION("""COMPUTED_VALUE"""),41624.666666666664)</f>
        <v>41624.66667</v>
      </c>
      <c r="C3029" s="9">
        <f>IFERROR(__xludf.DUMMYFUNCTION("""COMPUTED_VALUE"""),50.98)</f>
        <v>50.98</v>
      </c>
      <c r="K3029" s="16"/>
      <c r="T3029" s="17"/>
      <c r="AC3029" s="17"/>
    </row>
    <row r="3030">
      <c r="B3030" s="11">
        <f>IFERROR(__xludf.DUMMYFUNCTION("""COMPUTED_VALUE"""),41621.666666666664)</f>
        <v>41621.66667</v>
      </c>
      <c r="C3030" s="9">
        <f>IFERROR(__xludf.DUMMYFUNCTION("""COMPUTED_VALUE"""),50.39)</f>
        <v>50.39</v>
      </c>
      <c r="K3030" s="16"/>
      <c r="T3030" s="17"/>
      <c r="AC3030" s="17"/>
    </row>
    <row r="3031">
      <c r="B3031" s="11">
        <f>IFERROR(__xludf.DUMMYFUNCTION("""COMPUTED_VALUE"""),41620.666666666664)</f>
        <v>41620.66667</v>
      </c>
      <c r="C3031" s="9">
        <f>IFERROR(__xludf.DUMMYFUNCTION("""COMPUTED_VALUE"""),50.32)</f>
        <v>50.32</v>
      </c>
      <c r="K3031" s="16"/>
      <c r="T3031" s="17"/>
      <c r="AC3031" s="17"/>
    </row>
    <row r="3032">
      <c r="B3032" s="11">
        <f>IFERROR(__xludf.DUMMYFUNCTION("""COMPUTED_VALUE"""),41619.666666666664)</f>
        <v>41619.66667</v>
      </c>
      <c r="C3032" s="9">
        <f>IFERROR(__xludf.DUMMYFUNCTION("""COMPUTED_VALUE"""),50.11)</f>
        <v>50.11</v>
      </c>
      <c r="K3032" s="16"/>
      <c r="T3032" s="17"/>
      <c r="AC3032" s="17"/>
    </row>
    <row r="3033">
      <c r="B3033" s="11">
        <f>IFERROR(__xludf.DUMMYFUNCTION("""COMPUTED_VALUE"""),41618.666666666664)</f>
        <v>41618.66667</v>
      </c>
      <c r="C3033" s="9">
        <f>IFERROR(__xludf.DUMMYFUNCTION("""COMPUTED_VALUE"""),50.83)</f>
        <v>50.83</v>
      </c>
      <c r="K3033" s="16"/>
      <c r="T3033" s="17"/>
      <c r="AC3033" s="17"/>
    </row>
    <row r="3034">
      <c r="B3034" s="11">
        <f>IFERROR(__xludf.DUMMYFUNCTION("""COMPUTED_VALUE"""),41617.666666666664)</f>
        <v>41617.66667</v>
      </c>
      <c r="C3034" s="9">
        <f>IFERROR(__xludf.DUMMYFUNCTION("""COMPUTED_VALUE"""),50.99)</f>
        <v>50.99</v>
      </c>
      <c r="K3034" s="16"/>
      <c r="T3034" s="17"/>
      <c r="AC3034" s="17"/>
    </row>
    <row r="3035">
      <c r="B3035" s="11">
        <f>IFERROR(__xludf.DUMMYFUNCTION("""COMPUTED_VALUE"""),41614.666666666664)</f>
        <v>41614.66667</v>
      </c>
      <c r="C3035" s="9">
        <f>IFERROR(__xludf.DUMMYFUNCTION("""COMPUTED_VALUE"""),51.08)</f>
        <v>51.08</v>
      </c>
      <c r="K3035" s="16"/>
      <c r="T3035" s="17"/>
      <c r="AC3035" s="17"/>
    </row>
    <row r="3036">
      <c r="B3036" s="11">
        <f>IFERROR(__xludf.DUMMYFUNCTION("""COMPUTED_VALUE"""),41613.666666666664)</f>
        <v>41613.66667</v>
      </c>
      <c r="C3036" s="9">
        <f>IFERROR(__xludf.DUMMYFUNCTION("""COMPUTED_VALUE"""),50.42)</f>
        <v>50.42</v>
      </c>
      <c r="K3036" s="16"/>
      <c r="T3036" s="17"/>
      <c r="AC3036" s="17"/>
    </row>
    <row r="3037">
      <c r="B3037" s="11">
        <f>IFERROR(__xludf.DUMMYFUNCTION("""COMPUTED_VALUE"""),41612.666666666664)</f>
        <v>41612.66667</v>
      </c>
      <c r="C3037" s="9">
        <f>IFERROR(__xludf.DUMMYFUNCTION("""COMPUTED_VALUE"""),50.38)</f>
        <v>50.38</v>
      </c>
      <c r="K3037" s="16"/>
      <c r="T3037" s="17"/>
      <c r="AC3037" s="17"/>
    </row>
    <row r="3038">
      <c r="B3038" s="11">
        <f>IFERROR(__xludf.DUMMYFUNCTION("""COMPUTED_VALUE"""),41611.666666666664)</f>
        <v>41611.66667</v>
      </c>
      <c r="C3038" s="9">
        <f>IFERROR(__xludf.DUMMYFUNCTION("""COMPUTED_VALUE"""),50.88)</f>
        <v>50.88</v>
      </c>
      <c r="K3038" s="16"/>
      <c r="T3038" s="17"/>
      <c r="AC3038" s="17"/>
    </row>
    <row r="3039">
      <c r="B3039" s="11">
        <f>IFERROR(__xludf.DUMMYFUNCTION("""COMPUTED_VALUE"""),41610.666666666664)</f>
        <v>41610.66667</v>
      </c>
      <c r="C3039" s="9">
        <f>IFERROR(__xludf.DUMMYFUNCTION("""COMPUTED_VALUE"""),51.22)</f>
        <v>51.22</v>
      </c>
      <c r="K3039" s="16"/>
      <c r="T3039" s="17"/>
      <c r="AC3039" s="17"/>
    </row>
    <row r="3040">
      <c r="B3040" s="11">
        <f>IFERROR(__xludf.DUMMYFUNCTION("""COMPUTED_VALUE"""),41607.666666666664)</f>
        <v>41607.66667</v>
      </c>
      <c r="C3040" s="9">
        <f>IFERROR(__xludf.DUMMYFUNCTION("""COMPUTED_VALUE"""),51.54)</f>
        <v>51.54</v>
      </c>
      <c r="K3040" s="16"/>
      <c r="T3040" s="17"/>
      <c r="AC3040" s="17"/>
    </row>
    <row r="3041">
      <c r="B3041" s="11">
        <f>IFERROR(__xludf.DUMMYFUNCTION("""COMPUTED_VALUE"""),41605.666666666664)</f>
        <v>41605.66667</v>
      </c>
      <c r="C3041" s="9">
        <f>IFERROR(__xludf.DUMMYFUNCTION("""COMPUTED_VALUE"""),51.82)</f>
        <v>51.82</v>
      </c>
      <c r="K3041" s="16"/>
      <c r="T3041" s="17"/>
      <c r="AC3041" s="17"/>
    </row>
    <row r="3042">
      <c r="B3042" s="11">
        <f>IFERROR(__xludf.DUMMYFUNCTION("""COMPUTED_VALUE"""),41604.666666666664)</f>
        <v>41604.66667</v>
      </c>
      <c r="C3042" s="9">
        <f>IFERROR(__xludf.DUMMYFUNCTION("""COMPUTED_VALUE"""),51.38)</f>
        <v>51.38</v>
      </c>
      <c r="K3042" s="16"/>
      <c r="T3042" s="17"/>
      <c r="AC3042" s="17"/>
    </row>
    <row r="3043">
      <c r="B3043" s="11">
        <f>IFERROR(__xludf.DUMMYFUNCTION("""COMPUTED_VALUE"""),41603.666666666664)</f>
        <v>41603.66667</v>
      </c>
      <c r="C3043" s="9">
        <f>IFERROR(__xludf.DUMMYFUNCTION("""COMPUTED_VALUE"""),50.98)</f>
        <v>50.98</v>
      </c>
      <c r="K3043" s="16"/>
      <c r="T3043" s="17"/>
      <c r="AC3043" s="17"/>
    </row>
    <row r="3044">
      <c r="B3044" s="11">
        <f>IFERROR(__xludf.DUMMYFUNCTION("""COMPUTED_VALUE"""),41600.666666666664)</f>
        <v>41600.66667</v>
      </c>
      <c r="C3044" s="9">
        <f>IFERROR(__xludf.DUMMYFUNCTION("""COMPUTED_VALUE"""),51.04)</f>
        <v>51.04</v>
      </c>
      <c r="K3044" s="16"/>
      <c r="T3044" s="17"/>
      <c r="AC3044" s="17"/>
    </row>
    <row r="3045">
      <c r="B3045" s="11">
        <f>IFERROR(__xludf.DUMMYFUNCTION("""COMPUTED_VALUE"""),41599.666666666664)</f>
        <v>41599.66667</v>
      </c>
      <c r="C3045" s="9">
        <f>IFERROR(__xludf.DUMMYFUNCTION("""COMPUTED_VALUE"""),50.41)</f>
        <v>50.41</v>
      </c>
      <c r="K3045" s="16"/>
      <c r="T3045" s="17"/>
      <c r="AC3045" s="17"/>
    </row>
    <row r="3046">
      <c r="B3046" s="11">
        <f>IFERROR(__xludf.DUMMYFUNCTION("""COMPUTED_VALUE"""),41598.666666666664)</f>
        <v>41598.66667</v>
      </c>
      <c r="C3046" s="9">
        <f>IFERROR(__xludf.DUMMYFUNCTION("""COMPUTED_VALUE"""),49.81)</f>
        <v>49.81</v>
      </c>
      <c r="K3046" s="16"/>
      <c r="T3046" s="17"/>
      <c r="AC3046" s="17"/>
    </row>
    <row r="3047">
      <c r="B3047" s="11">
        <f>IFERROR(__xludf.DUMMYFUNCTION("""COMPUTED_VALUE"""),41597.666666666664)</f>
        <v>41597.66667</v>
      </c>
      <c r="C3047" s="9">
        <f>IFERROR(__xludf.DUMMYFUNCTION("""COMPUTED_VALUE"""),50.04)</f>
        <v>50.04</v>
      </c>
      <c r="K3047" s="16"/>
      <c r="T3047" s="17"/>
      <c r="AC3047" s="17"/>
    </row>
    <row r="3048">
      <c r="B3048" s="11">
        <f>IFERROR(__xludf.DUMMYFUNCTION("""COMPUTED_VALUE"""),41596.666666666664)</f>
        <v>41596.66667</v>
      </c>
      <c r="C3048" s="9">
        <f>IFERROR(__xludf.DUMMYFUNCTION("""COMPUTED_VALUE"""),50.16)</f>
        <v>50.16</v>
      </c>
      <c r="K3048" s="16"/>
      <c r="T3048" s="17"/>
      <c r="AC3048" s="17"/>
    </row>
    <row r="3049">
      <c r="B3049" s="11">
        <f>IFERROR(__xludf.DUMMYFUNCTION("""COMPUTED_VALUE"""),41593.666666666664)</f>
        <v>41593.66667</v>
      </c>
      <c r="C3049" s="9">
        <f>IFERROR(__xludf.DUMMYFUNCTION("""COMPUTED_VALUE"""),49.86)</f>
        <v>49.86</v>
      </c>
      <c r="K3049" s="16"/>
      <c r="T3049" s="17"/>
      <c r="AC3049" s="17"/>
    </row>
    <row r="3050">
      <c r="B3050" s="11">
        <f>IFERROR(__xludf.DUMMYFUNCTION("""COMPUTED_VALUE"""),41592.666666666664)</f>
        <v>41592.66667</v>
      </c>
      <c r="C3050" s="9">
        <f>IFERROR(__xludf.DUMMYFUNCTION("""COMPUTED_VALUE"""),49.78)</f>
        <v>49.78</v>
      </c>
      <c r="K3050" s="16"/>
      <c r="T3050" s="17"/>
      <c r="AC3050" s="17"/>
    </row>
    <row r="3051">
      <c r="B3051" s="11">
        <f>IFERROR(__xludf.DUMMYFUNCTION("""COMPUTED_VALUE"""),41591.666666666664)</f>
        <v>41591.66667</v>
      </c>
      <c r="C3051" s="9">
        <f>IFERROR(__xludf.DUMMYFUNCTION("""COMPUTED_VALUE"""),49.61)</f>
        <v>49.61</v>
      </c>
      <c r="K3051" s="16"/>
      <c r="T3051" s="17"/>
      <c r="AC3051" s="17"/>
    </row>
    <row r="3052">
      <c r="B3052" s="11">
        <f>IFERROR(__xludf.DUMMYFUNCTION("""COMPUTED_VALUE"""),41590.666666666664)</f>
        <v>41590.66667</v>
      </c>
      <c r="C3052" s="9">
        <f>IFERROR(__xludf.DUMMYFUNCTION("""COMPUTED_VALUE"""),49.26)</f>
        <v>49.26</v>
      </c>
      <c r="K3052" s="16"/>
      <c r="T3052" s="17"/>
      <c r="AC3052" s="17"/>
    </row>
    <row r="3053">
      <c r="B3053" s="11">
        <f>IFERROR(__xludf.DUMMYFUNCTION("""COMPUTED_VALUE"""),41589.666666666664)</f>
        <v>41589.66667</v>
      </c>
      <c r="C3053" s="9">
        <f>IFERROR(__xludf.DUMMYFUNCTION("""COMPUTED_VALUE"""),49.36)</f>
        <v>49.36</v>
      </c>
      <c r="K3053" s="16"/>
      <c r="T3053" s="17"/>
      <c r="AC3053" s="17"/>
    </row>
    <row r="3054">
      <c r="B3054" s="11">
        <f>IFERROR(__xludf.DUMMYFUNCTION("""COMPUTED_VALUE"""),41586.666666666664)</f>
        <v>41586.66667</v>
      </c>
      <c r="C3054" s="9">
        <f>IFERROR(__xludf.DUMMYFUNCTION("""COMPUTED_VALUE"""),49.48)</f>
        <v>49.48</v>
      </c>
      <c r="K3054" s="16"/>
      <c r="T3054" s="17"/>
      <c r="AC3054" s="17"/>
    </row>
    <row r="3055">
      <c r="B3055" s="11">
        <f>IFERROR(__xludf.DUMMYFUNCTION("""COMPUTED_VALUE"""),41585.666666666664)</f>
        <v>41585.66667</v>
      </c>
      <c r="C3055" s="9">
        <f>IFERROR(__xludf.DUMMYFUNCTION("""COMPUTED_VALUE"""),48.72)</f>
        <v>48.72</v>
      </c>
      <c r="K3055" s="16"/>
      <c r="T3055" s="17"/>
      <c r="AC3055" s="17"/>
    </row>
    <row r="3056">
      <c r="B3056" s="11">
        <f>IFERROR(__xludf.DUMMYFUNCTION("""COMPUTED_VALUE"""),41584.666666666664)</f>
        <v>41584.66667</v>
      </c>
      <c r="C3056" s="9">
        <f>IFERROR(__xludf.DUMMYFUNCTION("""COMPUTED_VALUE"""),49.38)</f>
        <v>49.38</v>
      </c>
      <c r="K3056" s="16"/>
      <c r="T3056" s="17"/>
      <c r="AC3056" s="17"/>
    </row>
    <row r="3057">
      <c r="B3057" s="11">
        <f>IFERROR(__xludf.DUMMYFUNCTION("""COMPUTED_VALUE"""),41583.666666666664)</f>
        <v>41583.66667</v>
      </c>
      <c r="C3057" s="9">
        <f>IFERROR(__xludf.DUMMYFUNCTION("""COMPUTED_VALUE"""),49.14)</f>
        <v>49.14</v>
      </c>
      <c r="K3057" s="16"/>
      <c r="T3057" s="17"/>
      <c r="AC3057" s="17"/>
    </row>
    <row r="3058">
      <c r="B3058" s="11">
        <f>IFERROR(__xludf.DUMMYFUNCTION("""COMPUTED_VALUE"""),41582.666666666664)</f>
        <v>41582.66667</v>
      </c>
      <c r="C3058" s="9">
        <f>IFERROR(__xludf.DUMMYFUNCTION("""COMPUTED_VALUE"""),49.04)</f>
        <v>49.04</v>
      </c>
      <c r="K3058" s="16"/>
      <c r="T3058" s="17"/>
      <c r="AC3058" s="17"/>
    </row>
    <row r="3059">
      <c r="B3059" s="11">
        <f>IFERROR(__xludf.DUMMYFUNCTION("""COMPUTED_VALUE"""),41579.666666666664)</f>
        <v>41579.66667</v>
      </c>
      <c r="C3059" s="9">
        <f>IFERROR(__xludf.DUMMYFUNCTION("""COMPUTED_VALUE"""),48.73)</f>
        <v>48.73</v>
      </c>
      <c r="K3059" s="16"/>
      <c r="T3059" s="17"/>
      <c r="AC3059" s="17"/>
    </row>
    <row r="3060">
      <c r="B3060" s="11">
        <f>IFERROR(__xludf.DUMMYFUNCTION("""COMPUTED_VALUE"""),41578.666666666664)</f>
        <v>41578.66667</v>
      </c>
      <c r="C3060" s="9">
        <f>IFERROR(__xludf.DUMMYFUNCTION("""COMPUTED_VALUE"""),48.44)</f>
        <v>48.44</v>
      </c>
      <c r="K3060" s="16"/>
      <c r="T3060" s="17"/>
      <c r="AC3060" s="17"/>
    </row>
    <row r="3061">
      <c r="B3061" s="11">
        <f>IFERROR(__xludf.DUMMYFUNCTION("""COMPUTED_VALUE"""),41577.666666666664)</f>
        <v>41577.66667</v>
      </c>
      <c r="C3061" s="9">
        <f>IFERROR(__xludf.DUMMYFUNCTION("""COMPUTED_VALUE"""),48.43)</f>
        <v>48.43</v>
      </c>
      <c r="K3061" s="16"/>
      <c r="T3061" s="17"/>
      <c r="AC3061" s="17"/>
    </row>
    <row r="3062">
      <c r="B3062" s="11">
        <f>IFERROR(__xludf.DUMMYFUNCTION("""COMPUTED_VALUE"""),41576.666666666664)</f>
        <v>41576.66667</v>
      </c>
      <c r="C3062" s="9">
        <f>IFERROR(__xludf.DUMMYFUNCTION("""COMPUTED_VALUE"""),48.6)</f>
        <v>48.6</v>
      </c>
      <c r="K3062" s="16"/>
      <c r="T3062" s="17"/>
      <c r="AC3062" s="17"/>
    </row>
    <row r="3063">
      <c r="B3063" s="11">
        <f>IFERROR(__xludf.DUMMYFUNCTION("""COMPUTED_VALUE"""),41575.666666666664)</f>
        <v>41575.66667</v>
      </c>
      <c r="C3063" s="9">
        <f>IFERROR(__xludf.DUMMYFUNCTION("""COMPUTED_VALUE"""),48.26)</f>
        <v>48.26</v>
      </c>
      <c r="K3063" s="16"/>
      <c r="T3063" s="17"/>
      <c r="AC3063" s="17"/>
    </row>
    <row r="3064">
      <c r="B3064" s="11">
        <f>IFERROR(__xludf.DUMMYFUNCTION("""COMPUTED_VALUE"""),41572.666666666664)</f>
        <v>41572.66667</v>
      </c>
      <c r="C3064" s="9">
        <f>IFERROR(__xludf.DUMMYFUNCTION("""COMPUTED_VALUE"""),48.53)</f>
        <v>48.53</v>
      </c>
      <c r="K3064" s="16"/>
      <c r="T3064" s="17"/>
      <c r="AC3064" s="17"/>
    </row>
    <row r="3065">
      <c r="B3065" s="11">
        <f>IFERROR(__xludf.DUMMYFUNCTION("""COMPUTED_VALUE"""),41571.666666666664)</f>
        <v>41571.66667</v>
      </c>
      <c r="C3065" s="9">
        <f>IFERROR(__xludf.DUMMYFUNCTION("""COMPUTED_VALUE"""),48.29)</f>
        <v>48.29</v>
      </c>
      <c r="K3065" s="16"/>
      <c r="T3065" s="17"/>
      <c r="AC3065" s="17"/>
    </row>
    <row r="3066">
      <c r="B3066" s="11">
        <f>IFERROR(__xludf.DUMMYFUNCTION("""COMPUTED_VALUE"""),41570.666666666664)</f>
        <v>41570.66667</v>
      </c>
      <c r="C3066" s="9">
        <f>IFERROR(__xludf.DUMMYFUNCTION("""COMPUTED_VALUE"""),47.95)</f>
        <v>47.95</v>
      </c>
      <c r="K3066" s="16"/>
      <c r="T3066" s="17"/>
      <c r="AC3066" s="17"/>
    </row>
    <row r="3067">
      <c r="B3067" s="11">
        <f>IFERROR(__xludf.DUMMYFUNCTION("""COMPUTED_VALUE"""),41569.666666666664)</f>
        <v>41569.66667</v>
      </c>
      <c r="C3067" s="9">
        <f>IFERROR(__xludf.DUMMYFUNCTION("""COMPUTED_VALUE"""),47.18)</f>
        <v>47.18</v>
      </c>
      <c r="K3067" s="16"/>
      <c r="T3067" s="17"/>
      <c r="AC3067" s="17"/>
    </row>
    <row r="3068">
      <c r="B3068" s="11">
        <f>IFERROR(__xludf.DUMMYFUNCTION("""COMPUTED_VALUE"""),41568.666666666664)</f>
        <v>41568.66667</v>
      </c>
      <c r="C3068" s="9">
        <f>IFERROR(__xludf.DUMMYFUNCTION("""COMPUTED_VALUE"""),46.9)</f>
        <v>46.9</v>
      </c>
      <c r="K3068" s="16"/>
      <c r="T3068" s="17"/>
      <c r="AC3068" s="17"/>
    </row>
    <row r="3069">
      <c r="B3069" s="11">
        <f>IFERROR(__xludf.DUMMYFUNCTION("""COMPUTED_VALUE"""),41565.666666666664)</f>
        <v>41565.66667</v>
      </c>
      <c r="C3069" s="9">
        <f>IFERROR(__xludf.DUMMYFUNCTION("""COMPUTED_VALUE"""),47.31)</f>
        <v>47.31</v>
      </c>
      <c r="K3069" s="16"/>
      <c r="T3069" s="17"/>
      <c r="AC3069" s="17"/>
    </row>
    <row r="3070">
      <c r="B3070" s="11">
        <f>IFERROR(__xludf.DUMMYFUNCTION("""COMPUTED_VALUE"""),41564.666666666664)</f>
        <v>41564.66667</v>
      </c>
      <c r="C3070" s="9">
        <f>IFERROR(__xludf.DUMMYFUNCTION("""COMPUTED_VALUE"""),46.98)</f>
        <v>46.98</v>
      </c>
      <c r="K3070" s="16"/>
      <c r="T3070" s="17"/>
      <c r="AC3070" s="17"/>
    </row>
    <row r="3071">
      <c r="B3071" s="11">
        <f>IFERROR(__xludf.DUMMYFUNCTION("""COMPUTED_VALUE"""),41563.666666666664)</f>
        <v>41563.66667</v>
      </c>
      <c r="C3071" s="9">
        <f>IFERROR(__xludf.DUMMYFUNCTION("""COMPUTED_VALUE"""),46.33)</f>
        <v>46.33</v>
      </c>
      <c r="K3071" s="16"/>
      <c r="T3071" s="17"/>
      <c r="AC3071" s="17"/>
    </row>
    <row r="3072">
      <c r="B3072" s="11">
        <f>IFERROR(__xludf.DUMMYFUNCTION("""COMPUTED_VALUE"""),41562.666666666664)</f>
        <v>41562.66667</v>
      </c>
      <c r="C3072" s="9">
        <f>IFERROR(__xludf.DUMMYFUNCTION("""COMPUTED_VALUE"""),45.97)</f>
        <v>45.97</v>
      </c>
      <c r="K3072" s="16"/>
      <c r="T3072" s="17"/>
      <c r="AC3072" s="17"/>
    </row>
    <row r="3073">
      <c r="B3073" s="11">
        <f>IFERROR(__xludf.DUMMYFUNCTION("""COMPUTED_VALUE"""),41561.666666666664)</f>
        <v>41561.66667</v>
      </c>
      <c r="C3073" s="9">
        <f>IFERROR(__xludf.DUMMYFUNCTION("""COMPUTED_VALUE"""),46.68)</f>
        <v>46.68</v>
      </c>
      <c r="K3073" s="16"/>
      <c r="T3073" s="17"/>
      <c r="AC3073" s="17"/>
    </row>
    <row r="3074">
      <c r="B3074" s="11">
        <f>IFERROR(__xludf.DUMMYFUNCTION("""COMPUTED_VALUE"""),41558.666666666664)</f>
        <v>41558.66667</v>
      </c>
      <c r="C3074" s="9">
        <f>IFERROR(__xludf.DUMMYFUNCTION("""COMPUTED_VALUE"""),46.48)</f>
        <v>46.48</v>
      </c>
      <c r="K3074" s="16"/>
      <c r="T3074" s="17"/>
      <c r="AC3074" s="17"/>
    </row>
    <row r="3075">
      <c r="B3075" s="11">
        <f>IFERROR(__xludf.DUMMYFUNCTION("""COMPUTED_VALUE"""),41557.666666666664)</f>
        <v>41557.66667</v>
      </c>
      <c r="C3075" s="9">
        <f>IFERROR(__xludf.DUMMYFUNCTION("""COMPUTED_VALUE"""),46.16)</f>
        <v>46.16</v>
      </c>
      <c r="K3075" s="16"/>
      <c r="T3075" s="17"/>
      <c r="AC3075" s="17"/>
    </row>
    <row r="3076">
      <c r="B3076" s="11">
        <f>IFERROR(__xludf.DUMMYFUNCTION("""COMPUTED_VALUE"""),41556.666666666664)</f>
        <v>41556.66667</v>
      </c>
      <c r="C3076" s="9">
        <f>IFERROR(__xludf.DUMMYFUNCTION("""COMPUTED_VALUE"""),44.77)</f>
        <v>44.77</v>
      </c>
      <c r="K3076" s="16"/>
      <c r="T3076" s="17"/>
      <c r="AC3076" s="17"/>
    </row>
    <row r="3077">
      <c r="B3077" s="11">
        <f>IFERROR(__xludf.DUMMYFUNCTION("""COMPUTED_VALUE"""),41555.666666666664)</f>
        <v>41555.66667</v>
      </c>
      <c r="C3077" s="9">
        <f>IFERROR(__xludf.DUMMYFUNCTION("""COMPUTED_VALUE"""),44.94)</f>
        <v>44.94</v>
      </c>
      <c r="K3077" s="16"/>
      <c r="T3077" s="17"/>
      <c r="AC3077" s="17"/>
    </row>
    <row r="3078">
      <c r="B3078" s="11">
        <f>IFERROR(__xludf.DUMMYFUNCTION("""COMPUTED_VALUE"""),41554.666666666664)</f>
        <v>41554.66667</v>
      </c>
      <c r="C3078" s="9">
        <f>IFERROR(__xludf.DUMMYFUNCTION("""COMPUTED_VALUE"""),45.44)</f>
        <v>45.44</v>
      </c>
      <c r="K3078" s="16"/>
      <c r="T3078" s="17"/>
      <c r="AC3078" s="17"/>
    </row>
    <row r="3079">
      <c r="B3079" s="11">
        <f>IFERROR(__xludf.DUMMYFUNCTION("""COMPUTED_VALUE"""),41551.666666666664)</f>
        <v>41551.66667</v>
      </c>
      <c r="C3079" s="9">
        <f>IFERROR(__xludf.DUMMYFUNCTION("""COMPUTED_VALUE"""),45.52)</f>
        <v>45.52</v>
      </c>
      <c r="K3079" s="16"/>
      <c r="T3079" s="17"/>
      <c r="AC3079" s="17"/>
    </row>
    <row r="3080">
      <c r="B3080" s="11">
        <f>IFERROR(__xludf.DUMMYFUNCTION("""COMPUTED_VALUE"""),41550.666666666664)</f>
        <v>41550.66667</v>
      </c>
      <c r="C3080" s="9">
        <f>IFERROR(__xludf.DUMMYFUNCTION("""COMPUTED_VALUE"""),45.33)</f>
        <v>45.33</v>
      </c>
      <c r="K3080" s="16"/>
      <c r="T3080" s="17"/>
      <c r="AC3080" s="17"/>
    </row>
    <row r="3081">
      <c r="B3081" s="11">
        <f>IFERROR(__xludf.DUMMYFUNCTION("""COMPUTED_VALUE"""),41549.666666666664)</f>
        <v>41549.66667</v>
      </c>
      <c r="C3081" s="9">
        <f>IFERROR(__xludf.DUMMYFUNCTION("""COMPUTED_VALUE"""),46.01)</f>
        <v>46.01</v>
      </c>
      <c r="K3081" s="16"/>
      <c r="T3081" s="17"/>
      <c r="AC3081" s="17"/>
    </row>
    <row r="3082">
      <c r="B3082" s="11">
        <f>IFERROR(__xludf.DUMMYFUNCTION("""COMPUTED_VALUE"""),41548.666666666664)</f>
        <v>41548.66667</v>
      </c>
      <c r="C3082" s="9">
        <f>IFERROR(__xludf.DUMMYFUNCTION("""COMPUTED_VALUE"""),46.37)</f>
        <v>46.37</v>
      </c>
      <c r="K3082" s="16"/>
      <c r="T3082" s="17"/>
      <c r="AC3082" s="17"/>
    </row>
    <row r="3083">
      <c r="B3083" s="11">
        <f>IFERROR(__xludf.DUMMYFUNCTION("""COMPUTED_VALUE"""),41547.666666666664)</f>
        <v>41547.66667</v>
      </c>
      <c r="C3083" s="9">
        <f>IFERROR(__xludf.DUMMYFUNCTION("""COMPUTED_VALUE"""),45.95)</f>
        <v>45.95</v>
      </c>
      <c r="K3083" s="16"/>
      <c r="T3083" s="17"/>
      <c r="AC3083" s="17"/>
    </row>
    <row r="3084">
      <c r="B3084" s="11">
        <f>IFERROR(__xludf.DUMMYFUNCTION("""COMPUTED_VALUE"""),41544.666666666664)</f>
        <v>41544.66667</v>
      </c>
      <c r="C3084" s="9">
        <f>IFERROR(__xludf.DUMMYFUNCTION("""COMPUTED_VALUE"""),46.37)</f>
        <v>46.37</v>
      </c>
      <c r="K3084" s="16"/>
      <c r="T3084" s="17"/>
      <c r="AC3084" s="17"/>
    </row>
    <row r="3085">
      <c r="B3085" s="11">
        <f>IFERROR(__xludf.DUMMYFUNCTION("""COMPUTED_VALUE"""),41543.666666666664)</f>
        <v>41543.66667</v>
      </c>
      <c r="C3085" s="9">
        <f>IFERROR(__xludf.DUMMYFUNCTION("""COMPUTED_VALUE"""),46.48)</f>
        <v>46.48</v>
      </c>
      <c r="K3085" s="16"/>
      <c r="T3085" s="17"/>
      <c r="AC3085" s="17"/>
    </row>
    <row r="3086">
      <c r="B3086" s="11">
        <f>IFERROR(__xludf.DUMMYFUNCTION("""COMPUTED_VALUE"""),41542.666666666664)</f>
        <v>41542.66667</v>
      </c>
      <c r="C3086" s="9">
        <f>IFERROR(__xludf.DUMMYFUNCTION("""COMPUTED_VALUE"""),46.19)</f>
        <v>46.19</v>
      </c>
      <c r="K3086" s="16"/>
      <c r="T3086" s="17"/>
      <c r="AC3086" s="17"/>
    </row>
    <row r="3087">
      <c r="B3087" s="11">
        <f>IFERROR(__xludf.DUMMYFUNCTION("""COMPUTED_VALUE"""),41541.666666666664)</f>
        <v>41541.66667</v>
      </c>
      <c r="C3087" s="9">
        <f>IFERROR(__xludf.DUMMYFUNCTION("""COMPUTED_VALUE"""),46.4)</f>
        <v>46.4</v>
      </c>
      <c r="K3087" s="16"/>
      <c r="T3087" s="17"/>
      <c r="AC3087" s="17"/>
    </row>
    <row r="3088">
      <c r="B3088" s="11">
        <f>IFERROR(__xludf.DUMMYFUNCTION("""COMPUTED_VALUE"""),41540.666666666664)</f>
        <v>41540.66667</v>
      </c>
      <c r="C3088" s="9">
        <f>IFERROR(__xludf.DUMMYFUNCTION("""COMPUTED_VALUE"""),46.31)</f>
        <v>46.31</v>
      </c>
      <c r="K3088" s="16"/>
      <c r="T3088" s="17"/>
      <c r="AC3088" s="17"/>
    </row>
    <row r="3089">
      <c r="B3089" s="11">
        <f>IFERROR(__xludf.DUMMYFUNCTION("""COMPUTED_VALUE"""),41537.666666666664)</f>
        <v>41537.66667</v>
      </c>
      <c r="C3089" s="9">
        <f>IFERROR(__xludf.DUMMYFUNCTION("""COMPUTED_VALUE"""),46.67)</f>
        <v>46.67</v>
      </c>
      <c r="K3089" s="16"/>
      <c r="T3089" s="17"/>
      <c r="AC3089" s="17"/>
    </row>
    <row r="3090">
      <c r="B3090" s="11">
        <f>IFERROR(__xludf.DUMMYFUNCTION("""COMPUTED_VALUE"""),41536.666666666664)</f>
        <v>41536.66667</v>
      </c>
      <c r="C3090" s="9">
        <f>IFERROR(__xludf.DUMMYFUNCTION("""COMPUTED_VALUE"""),47.38)</f>
        <v>47.38</v>
      </c>
      <c r="K3090" s="16"/>
      <c r="T3090" s="17"/>
      <c r="AC3090" s="17"/>
    </row>
    <row r="3091">
      <c r="B3091" s="11">
        <f>IFERROR(__xludf.DUMMYFUNCTION("""COMPUTED_VALUE"""),41535.666666666664)</f>
        <v>41535.66667</v>
      </c>
      <c r="C3091" s="9">
        <f>IFERROR(__xludf.DUMMYFUNCTION("""COMPUTED_VALUE"""),47.38)</f>
        <v>47.38</v>
      </c>
      <c r="K3091" s="16"/>
      <c r="T3091" s="17"/>
      <c r="AC3091" s="17"/>
    </row>
    <row r="3092">
      <c r="B3092" s="11">
        <f>IFERROR(__xludf.DUMMYFUNCTION("""COMPUTED_VALUE"""),41534.666666666664)</f>
        <v>41534.66667</v>
      </c>
      <c r="C3092" s="9">
        <f>IFERROR(__xludf.DUMMYFUNCTION("""COMPUTED_VALUE"""),47.26)</f>
        <v>47.26</v>
      </c>
      <c r="K3092" s="16"/>
      <c r="T3092" s="17"/>
      <c r="AC3092" s="17"/>
    </row>
    <row r="3093">
      <c r="B3093" s="11">
        <f>IFERROR(__xludf.DUMMYFUNCTION("""COMPUTED_VALUE"""),41533.666666666664)</f>
        <v>41533.66667</v>
      </c>
      <c r="C3093" s="9">
        <f>IFERROR(__xludf.DUMMYFUNCTION("""COMPUTED_VALUE"""),46.67)</f>
        <v>46.67</v>
      </c>
      <c r="K3093" s="16"/>
      <c r="T3093" s="17"/>
      <c r="AC3093" s="17"/>
    </row>
    <row r="3094">
      <c r="B3094" s="11">
        <f>IFERROR(__xludf.DUMMYFUNCTION("""COMPUTED_VALUE"""),41530.666666666664)</f>
        <v>41530.66667</v>
      </c>
      <c r="C3094" s="9">
        <f>IFERROR(__xludf.DUMMYFUNCTION("""COMPUTED_VALUE"""),46.0)</f>
        <v>46</v>
      </c>
      <c r="K3094" s="16"/>
      <c r="T3094" s="17"/>
      <c r="AC3094" s="17"/>
    </row>
    <row r="3095">
      <c r="B3095" s="11">
        <f>IFERROR(__xludf.DUMMYFUNCTION("""COMPUTED_VALUE"""),41529.666666666664)</f>
        <v>41529.66667</v>
      </c>
      <c r="C3095" s="9">
        <f>IFERROR(__xludf.DUMMYFUNCTION("""COMPUTED_VALUE"""),45.72)</f>
        <v>45.72</v>
      </c>
      <c r="K3095" s="16"/>
      <c r="T3095" s="17"/>
      <c r="AC3095" s="17"/>
    </row>
    <row r="3096">
      <c r="B3096" s="11">
        <f>IFERROR(__xludf.DUMMYFUNCTION("""COMPUTED_VALUE"""),41528.666666666664)</f>
        <v>41528.66667</v>
      </c>
      <c r="C3096" s="9">
        <f>IFERROR(__xludf.DUMMYFUNCTION("""COMPUTED_VALUE"""),45.8)</f>
        <v>45.8</v>
      </c>
      <c r="K3096" s="16"/>
      <c r="T3096" s="17"/>
      <c r="AC3096" s="17"/>
    </row>
    <row r="3097">
      <c r="B3097" s="11">
        <f>IFERROR(__xludf.DUMMYFUNCTION("""COMPUTED_VALUE"""),41527.666666666664)</f>
        <v>41527.66667</v>
      </c>
      <c r="C3097" s="9">
        <f>IFERROR(__xludf.DUMMYFUNCTION("""COMPUTED_VALUE"""),45.44)</f>
        <v>45.44</v>
      </c>
      <c r="K3097" s="16"/>
      <c r="T3097" s="17"/>
      <c r="AC3097" s="17"/>
    </row>
    <row r="3098">
      <c r="B3098" s="11">
        <f>IFERROR(__xludf.DUMMYFUNCTION("""COMPUTED_VALUE"""),41526.666666666664)</f>
        <v>41526.66667</v>
      </c>
      <c r="C3098" s="9">
        <f>IFERROR(__xludf.DUMMYFUNCTION("""COMPUTED_VALUE"""),44.85)</f>
        <v>44.85</v>
      </c>
      <c r="K3098" s="16"/>
      <c r="T3098" s="17"/>
      <c r="AC3098" s="17"/>
    </row>
    <row r="3099">
      <c r="B3099" s="11">
        <f>IFERROR(__xludf.DUMMYFUNCTION("""COMPUTED_VALUE"""),41523.666666666664)</f>
        <v>41523.66667</v>
      </c>
      <c r="C3099" s="9">
        <f>IFERROR(__xludf.DUMMYFUNCTION("""COMPUTED_VALUE"""),44.31)</f>
        <v>44.31</v>
      </c>
      <c r="K3099" s="16"/>
      <c r="T3099" s="17"/>
      <c r="AC3099" s="17"/>
    </row>
    <row r="3100">
      <c r="B3100" s="11">
        <f>IFERROR(__xludf.DUMMYFUNCTION("""COMPUTED_VALUE"""),41522.666666666664)</f>
        <v>41522.66667</v>
      </c>
      <c r="C3100" s="9">
        <f>IFERROR(__xludf.DUMMYFUNCTION("""COMPUTED_VALUE"""),44.49)</f>
        <v>44.49</v>
      </c>
      <c r="K3100" s="16"/>
      <c r="T3100" s="17"/>
      <c r="AC3100" s="17"/>
    </row>
    <row r="3101">
      <c r="B3101" s="11">
        <f>IFERROR(__xludf.DUMMYFUNCTION("""COMPUTED_VALUE"""),41521.666666666664)</f>
        <v>41521.66667</v>
      </c>
      <c r="C3101" s="9">
        <f>IFERROR(__xludf.DUMMYFUNCTION("""COMPUTED_VALUE"""),44.39)</f>
        <v>44.39</v>
      </c>
      <c r="K3101" s="16"/>
      <c r="T3101" s="17"/>
      <c r="AC3101" s="17"/>
    </row>
    <row r="3102">
      <c r="B3102" s="11">
        <f>IFERROR(__xludf.DUMMYFUNCTION("""COMPUTED_VALUE"""),41520.666666666664)</f>
        <v>41520.66667</v>
      </c>
      <c r="C3102" s="9">
        <f>IFERROR(__xludf.DUMMYFUNCTION("""COMPUTED_VALUE"""),43.91)</f>
        <v>43.91</v>
      </c>
      <c r="K3102" s="16"/>
      <c r="T3102" s="17"/>
      <c r="AC3102" s="17"/>
    </row>
    <row r="3103">
      <c r="B3103" s="11">
        <f>IFERROR(__xludf.DUMMYFUNCTION("""COMPUTED_VALUE"""),41516.666666666664)</f>
        <v>41516.66667</v>
      </c>
      <c r="C3103" s="9">
        <f>IFERROR(__xludf.DUMMYFUNCTION("""COMPUTED_VALUE"""),43.47)</f>
        <v>43.47</v>
      </c>
      <c r="K3103" s="16"/>
      <c r="T3103" s="17"/>
      <c r="AC3103" s="17"/>
    </row>
    <row r="3104">
      <c r="B3104" s="11">
        <f>IFERROR(__xludf.DUMMYFUNCTION("""COMPUTED_VALUE"""),41515.666666666664)</f>
        <v>41515.66667</v>
      </c>
      <c r="C3104" s="9">
        <f>IFERROR(__xludf.DUMMYFUNCTION("""COMPUTED_VALUE"""),44.02)</f>
        <v>44.02</v>
      </c>
      <c r="K3104" s="16"/>
      <c r="T3104" s="17"/>
      <c r="AC3104" s="17"/>
    </row>
    <row r="3105">
      <c r="B3105" s="11">
        <f>IFERROR(__xludf.DUMMYFUNCTION("""COMPUTED_VALUE"""),41514.666666666664)</f>
        <v>41514.66667</v>
      </c>
      <c r="C3105" s="9">
        <f>IFERROR(__xludf.DUMMYFUNCTION("""COMPUTED_VALUE"""),43.66)</f>
        <v>43.66</v>
      </c>
      <c r="K3105" s="16"/>
      <c r="T3105" s="17"/>
      <c r="AC3105" s="17"/>
    </row>
    <row r="3106">
      <c r="B3106" s="11">
        <f>IFERROR(__xludf.DUMMYFUNCTION("""COMPUTED_VALUE"""),41513.666666666664)</f>
        <v>41513.66667</v>
      </c>
      <c r="C3106" s="9">
        <f>IFERROR(__xludf.DUMMYFUNCTION("""COMPUTED_VALUE"""),43.55)</f>
        <v>43.55</v>
      </c>
      <c r="K3106" s="16"/>
      <c r="T3106" s="17"/>
      <c r="AC3106" s="17"/>
    </row>
    <row r="3107">
      <c r="B3107" s="11">
        <f>IFERROR(__xludf.DUMMYFUNCTION("""COMPUTED_VALUE"""),41512.666666666664)</f>
        <v>41512.66667</v>
      </c>
      <c r="C3107" s="9">
        <f>IFERROR(__xludf.DUMMYFUNCTION("""COMPUTED_VALUE"""),44.52)</f>
        <v>44.52</v>
      </c>
      <c r="K3107" s="16"/>
      <c r="T3107" s="17"/>
      <c r="AC3107" s="17"/>
    </row>
    <row r="3108">
      <c r="B3108" s="11">
        <f>IFERROR(__xludf.DUMMYFUNCTION("""COMPUTED_VALUE"""),41509.666666666664)</f>
        <v>41509.66667</v>
      </c>
      <c r="C3108" s="9">
        <f>IFERROR(__xludf.DUMMYFUNCTION("""COMPUTED_VALUE"""),44.62)</f>
        <v>44.62</v>
      </c>
      <c r="K3108" s="16"/>
      <c r="T3108" s="17"/>
      <c r="AC3108" s="17"/>
    </row>
    <row r="3109">
      <c r="B3109" s="11">
        <f>IFERROR(__xludf.DUMMYFUNCTION("""COMPUTED_VALUE"""),41508.666666666664)</f>
        <v>41508.66667</v>
      </c>
      <c r="C3109" s="9">
        <f>IFERROR(__xludf.DUMMYFUNCTION("""COMPUTED_VALUE"""),44.47)</f>
        <v>44.47</v>
      </c>
      <c r="K3109" s="16"/>
      <c r="T3109" s="17"/>
      <c r="AC3109" s="17"/>
    </row>
    <row r="3110">
      <c r="B3110" s="11">
        <f>IFERROR(__xludf.DUMMYFUNCTION("""COMPUTED_VALUE"""),41507.666666666664)</f>
        <v>41507.66667</v>
      </c>
      <c r="C3110" s="9">
        <f>IFERROR(__xludf.DUMMYFUNCTION("""COMPUTED_VALUE"""),43.95)</f>
        <v>43.95</v>
      </c>
      <c r="K3110" s="16"/>
      <c r="T3110" s="17"/>
      <c r="AC3110" s="17"/>
    </row>
    <row r="3111">
      <c r="B3111" s="11">
        <f>IFERROR(__xludf.DUMMYFUNCTION("""COMPUTED_VALUE"""),41506.666666666664)</f>
        <v>41506.66667</v>
      </c>
      <c r="C3111" s="9">
        <f>IFERROR(__xludf.DUMMYFUNCTION("""COMPUTED_VALUE"""),44.15)</f>
        <v>44.15</v>
      </c>
      <c r="K3111" s="16"/>
      <c r="T3111" s="17"/>
      <c r="AC3111" s="17"/>
    </row>
    <row r="3112">
      <c r="B3112" s="11">
        <f>IFERROR(__xludf.DUMMYFUNCTION("""COMPUTED_VALUE"""),41505.666666666664)</f>
        <v>41505.66667</v>
      </c>
      <c r="C3112" s="9">
        <f>IFERROR(__xludf.DUMMYFUNCTION("""COMPUTED_VALUE"""),43.97)</f>
        <v>43.97</v>
      </c>
      <c r="K3112" s="16"/>
      <c r="T3112" s="17"/>
      <c r="AC3112" s="17"/>
    </row>
    <row r="3113">
      <c r="B3113" s="11">
        <f>IFERROR(__xludf.DUMMYFUNCTION("""COMPUTED_VALUE"""),41502.666666666664)</f>
        <v>41502.66667</v>
      </c>
      <c r="C3113" s="9">
        <f>IFERROR(__xludf.DUMMYFUNCTION("""COMPUTED_VALUE"""),44.09)</f>
        <v>44.09</v>
      </c>
      <c r="K3113" s="16"/>
      <c r="T3113" s="17"/>
      <c r="AC3113" s="17"/>
    </row>
    <row r="3114">
      <c r="B3114" s="11">
        <f>IFERROR(__xludf.DUMMYFUNCTION("""COMPUTED_VALUE"""),41501.666666666664)</f>
        <v>41501.66667</v>
      </c>
      <c r="C3114" s="9">
        <f>IFERROR(__xludf.DUMMYFUNCTION("""COMPUTED_VALUE"""),44.06)</f>
        <v>44.06</v>
      </c>
      <c r="K3114" s="16"/>
      <c r="T3114" s="17"/>
      <c r="AC3114" s="17"/>
    </row>
    <row r="3115">
      <c r="B3115" s="11">
        <f>IFERROR(__xludf.DUMMYFUNCTION("""COMPUTED_VALUE"""),41500.666666666664)</f>
        <v>41500.66667</v>
      </c>
      <c r="C3115" s="9">
        <f>IFERROR(__xludf.DUMMYFUNCTION("""COMPUTED_VALUE"""),44.86)</f>
        <v>44.86</v>
      </c>
      <c r="K3115" s="16"/>
      <c r="T3115" s="17"/>
      <c r="AC3115" s="17"/>
    </row>
    <row r="3116">
      <c r="B3116" s="11">
        <f>IFERROR(__xludf.DUMMYFUNCTION("""COMPUTED_VALUE"""),41499.666666666664)</f>
        <v>41499.66667</v>
      </c>
      <c r="C3116" s="9">
        <f>IFERROR(__xludf.DUMMYFUNCTION("""COMPUTED_VALUE"""),45.17)</f>
        <v>45.17</v>
      </c>
      <c r="K3116" s="16"/>
      <c r="T3116" s="17"/>
      <c r="AC3116" s="17"/>
    </row>
    <row r="3117">
      <c r="B3117" s="11">
        <f>IFERROR(__xludf.DUMMYFUNCTION("""COMPUTED_VALUE"""),41498.666666666664)</f>
        <v>41498.66667</v>
      </c>
      <c r="C3117" s="9">
        <f>IFERROR(__xludf.DUMMYFUNCTION("""COMPUTED_VALUE"""),44.91)</f>
        <v>44.91</v>
      </c>
      <c r="K3117" s="16"/>
      <c r="T3117" s="17"/>
      <c r="AC3117" s="17"/>
    </row>
    <row r="3118">
      <c r="B3118" s="11">
        <f>IFERROR(__xludf.DUMMYFUNCTION("""COMPUTED_VALUE"""),41495.666666666664)</f>
        <v>41495.66667</v>
      </c>
      <c r="C3118" s="9">
        <f>IFERROR(__xludf.DUMMYFUNCTION("""COMPUTED_VALUE"""),45.07)</f>
        <v>45.07</v>
      </c>
      <c r="K3118" s="16"/>
      <c r="T3118" s="17"/>
      <c r="AC3118" s="17"/>
    </row>
    <row r="3119">
      <c r="B3119" s="11">
        <f>IFERROR(__xludf.DUMMYFUNCTION("""COMPUTED_VALUE"""),41494.666666666664)</f>
        <v>41494.66667</v>
      </c>
      <c r="C3119" s="9">
        <f>IFERROR(__xludf.DUMMYFUNCTION("""COMPUTED_VALUE"""),45.26)</f>
        <v>45.26</v>
      </c>
      <c r="K3119" s="16"/>
      <c r="T3119" s="17"/>
      <c r="AC3119" s="17"/>
    </row>
    <row r="3120">
      <c r="B3120" s="11">
        <f>IFERROR(__xludf.DUMMYFUNCTION("""COMPUTED_VALUE"""),41493.666666666664)</f>
        <v>41493.66667</v>
      </c>
      <c r="C3120" s="9">
        <f>IFERROR(__xludf.DUMMYFUNCTION("""COMPUTED_VALUE"""),45.18)</f>
        <v>45.18</v>
      </c>
      <c r="K3120" s="16"/>
      <c r="T3120" s="17"/>
      <c r="AC3120" s="17"/>
    </row>
    <row r="3121">
      <c r="B3121" s="11">
        <f>IFERROR(__xludf.DUMMYFUNCTION("""COMPUTED_VALUE"""),41492.666666666664)</f>
        <v>41492.66667</v>
      </c>
      <c r="C3121" s="9">
        <f>IFERROR(__xludf.DUMMYFUNCTION("""COMPUTED_VALUE"""),45.11)</f>
        <v>45.11</v>
      </c>
      <c r="K3121" s="16"/>
      <c r="T3121" s="17"/>
      <c r="AC3121" s="17"/>
    </row>
    <row r="3122">
      <c r="B3122" s="11">
        <f>IFERROR(__xludf.DUMMYFUNCTION("""COMPUTED_VALUE"""),41491.666666666664)</f>
        <v>41491.66667</v>
      </c>
      <c r="C3122" s="9">
        <f>IFERROR(__xludf.DUMMYFUNCTION("""COMPUTED_VALUE"""),45.52)</f>
        <v>45.52</v>
      </c>
      <c r="K3122" s="16"/>
      <c r="T3122" s="17"/>
      <c r="AC3122" s="17"/>
    </row>
    <row r="3123">
      <c r="B3123" s="11">
        <f>IFERROR(__xludf.DUMMYFUNCTION("""COMPUTED_VALUE"""),41488.666666666664)</f>
        <v>41488.66667</v>
      </c>
      <c r="C3123" s="9">
        <f>IFERROR(__xludf.DUMMYFUNCTION("""COMPUTED_VALUE"""),45.43)</f>
        <v>45.43</v>
      </c>
      <c r="K3123" s="16"/>
      <c r="T3123" s="17"/>
      <c r="AC3123" s="17"/>
    </row>
    <row r="3124">
      <c r="B3124" s="11">
        <f>IFERROR(__xludf.DUMMYFUNCTION("""COMPUTED_VALUE"""),41487.666666666664)</f>
        <v>41487.66667</v>
      </c>
      <c r="C3124" s="9">
        <f>IFERROR(__xludf.DUMMYFUNCTION("""COMPUTED_VALUE"""),45.1)</f>
        <v>45.1</v>
      </c>
      <c r="K3124" s="16"/>
      <c r="T3124" s="17"/>
      <c r="AC3124" s="17"/>
    </row>
    <row r="3125">
      <c r="B3125" s="11">
        <f>IFERROR(__xludf.DUMMYFUNCTION("""COMPUTED_VALUE"""),41486.666666666664)</f>
        <v>41486.66667</v>
      </c>
      <c r="C3125" s="9">
        <f>IFERROR(__xludf.DUMMYFUNCTION("""COMPUTED_VALUE"""),44.25)</f>
        <v>44.25</v>
      </c>
      <c r="K3125" s="16"/>
      <c r="T3125" s="17"/>
      <c r="AC3125" s="17"/>
    </row>
    <row r="3126">
      <c r="B3126" s="11">
        <f>IFERROR(__xludf.DUMMYFUNCTION("""COMPUTED_VALUE"""),41485.666666666664)</f>
        <v>41485.66667</v>
      </c>
      <c r="C3126" s="9">
        <f>IFERROR(__xludf.DUMMYFUNCTION("""COMPUTED_VALUE"""),44.11)</f>
        <v>44.11</v>
      </c>
      <c r="K3126" s="16"/>
      <c r="T3126" s="17"/>
      <c r="AC3126" s="17"/>
    </row>
    <row r="3127">
      <c r="B3127" s="11">
        <f>IFERROR(__xludf.DUMMYFUNCTION("""COMPUTED_VALUE"""),41484.666666666664)</f>
        <v>41484.66667</v>
      </c>
      <c r="C3127" s="9">
        <f>IFERROR(__xludf.DUMMYFUNCTION("""COMPUTED_VALUE"""),44.01)</f>
        <v>44.01</v>
      </c>
      <c r="K3127" s="16"/>
      <c r="T3127" s="17"/>
      <c r="AC3127" s="17"/>
    </row>
    <row r="3128">
      <c r="B3128" s="11">
        <f>IFERROR(__xludf.DUMMYFUNCTION("""COMPUTED_VALUE"""),41481.666666666664)</f>
        <v>41481.66667</v>
      </c>
      <c r="C3128" s="9">
        <f>IFERROR(__xludf.DUMMYFUNCTION("""COMPUTED_VALUE"""),44.17)</f>
        <v>44.17</v>
      </c>
      <c r="K3128" s="16"/>
      <c r="T3128" s="17"/>
      <c r="AC3128" s="17"/>
    </row>
    <row r="3129">
      <c r="B3129" s="11">
        <f>IFERROR(__xludf.DUMMYFUNCTION("""COMPUTED_VALUE"""),41480.666666666664)</f>
        <v>41480.66667</v>
      </c>
      <c r="C3129" s="9">
        <f>IFERROR(__xludf.DUMMYFUNCTION("""COMPUTED_VALUE"""),44.39)</f>
        <v>44.39</v>
      </c>
      <c r="K3129" s="16"/>
      <c r="T3129" s="17"/>
      <c r="AC3129" s="17"/>
    </row>
    <row r="3130">
      <c r="B3130" s="11">
        <f>IFERROR(__xludf.DUMMYFUNCTION("""COMPUTED_VALUE"""),41479.666666666664)</f>
        <v>41479.66667</v>
      </c>
      <c r="C3130" s="9">
        <f>IFERROR(__xludf.DUMMYFUNCTION("""COMPUTED_VALUE"""),44.16)</f>
        <v>44.16</v>
      </c>
      <c r="K3130" s="16"/>
      <c r="T3130" s="17"/>
      <c r="AC3130" s="17"/>
    </row>
    <row r="3131">
      <c r="B3131" s="11">
        <f>IFERROR(__xludf.DUMMYFUNCTION("""COMPUTED_VALUE"""),41478.666666666664)</f>
        <v>41478.66667</v>
      </c>
      <c r="C3131" s="9">
        <f>IFERROR(__xludf.DUMMYFUNCTION("""COMPUTED_VALUE"""),44.19)</f>
        <v>44.19</v>
      </c>
      <c r="K3131" s="16"/>
      <c r="T3131" s="17"/>
      <c r="AC3131" s="17"/>
    </row>
    <row r="3132">
      <c r="B3132" s="11">
        <f>IFERROR(__xludf.DUMMYFUNCTION("""COMPUTED_VALUE"""),41477.666666666664)</f>
        <v>41477.66667</v>
      </c>
      <c r="C3132" s="9">
        <f>IFERROR(__xludf.DUMMYFUNCTION("""COMPUTED_VALUE"""),43.87)</f>
        <v>43.87</v>
      </c>
      <c r="K3132" s="16"/>
      <c r="T3132" s="17"/>
      <c r="AC3132" s="17"/>
    </row>
    <row r="3133">
      <c r="B3133" s="11">
        <f>IFERROR(__xludf.DUMMYFUNCTION("""COMPUTED_VALUE"""),41474.666666666664)</f>
        <v>41474.66667</v>
      </c>
      <c r="C3133" s="9">
        <f>IFERROR(__xludf.DUMMYFUNCTION("""COMPUTED_VALUE"""),43.83)</f>
        <v>43.83</v>
      </c>
      <c r="K3133" s="16"/>
      <c r="T3133" s="17"/>
      <c r="AC3133" s="17"/>
    </row>
    <row r="3134">
      <c r="B3134" s="11">
        <f>IFERROR(__xludf.DUMMYFUNCTION("""COMPUTED_VALUE"""),41473.666666666664)</f>
        <v>41473.66667</v>
      </c>
      <c r="C3134" s="9">
        <f>IFERROR(__xludf.DUMMYFUNCTION("""COMPUTED_VALUE"""),43.65)</f>
        <v>43.65</v>
      </c>
      <c r="K3134" s="16"/>
      <c r="T3134" s="17"/>
      <c r="AC3134" s="17"/>
    </row>
    <row r="3135">
      <c r="B3135" s="11">
        <f>IFERROR(__xludf.DUMMYFUNCTION("""COMPUTED_VALUE"""),41472.666666666664)</f>
        <v>41472.66667</v>
      </c>
      <c r="C3135" s="9">
        <f>IFERROR(__xludf.DUMMYFUNCTION("""COMPUTED_VALUE"""),43.21)</f>
        <v>43.21</v>
      </c>
      <c r="K3135" s="16"/>
      <c r="T3135" s="17"/>
      <c r="AC3135" s="17"/>
    </row>
    <row r="3136">
      <c r="B3136" s="11">
        <f>IFERROR(__xludf.DUMMYFUNCTION("""COMPUTED_VALUE"""),41471.666666666664)</f>
        <v>41471.66667</v>
      </c>
      <c r="C3136" s="9">
        <f>IFERROR(__xludf.DUMMYFUNCTION("""COMPUTED_VALUE"""),43.0)</f>
        <v>43</v>
      </c>
      <c r="K3136" s="16"/>
      <c r="T3136" s="17"/>
      <c r="AC3136" s="17"/>
    </row>
    <row r="3137">
      <c r="B3137" s="11">
        <f>IFERROR(__xludf.DUMMYFUNCTION("""COMPUTED_VALUE"""),41470.666666666664)</f>
        <v>41470.66667</v>
      </c>
      <c r="C3137" s="9">
        <f>IFERROR(__xludf.DUMMYFUNCTION("""COMPUTED_VALUE"""),43.35)</f>
        <v>43.35</v>
      </c>
      <c r="K3137" s="16"/>
      <c r="T3137" s="17"/>
      <c r="AC3137" s="17"/>
    </row>
    <row r="3138">
      <c r="B3138" s="11">
        <f>IFERROR(__xludf.DUMMYFUNCTION("""COMPUTED_VALUE"""),41467.666666666664)</f>
        <v>41467.66667</v>
      </c>
      <c r="C3138" s="9">
        <f>IFERROR(__xludf.DUMMYFUNCTION("""COMPUTED_VALUE"""),42.93)</f>
        <v>42.93</v>
      </c>
      <c r="K3138" s="16"/>
      <c r="T3138" s="17"/>
      <c r="AC3138" s="17"/>
    </row>
    <row r="3139">
      <c r="B3139" s="11">
        <f>IFERROR(__xludf.DUMMYFUNCTION("""COMPUTED_VALUE"""),41466.666666666664)</f>
        <v>41466.66667</v>
      </c>
      <c r="C3139" s="9">
        <f>IFERROR(__xludf.DUMMYFUNCTION("""COMPUTED_VALUE"""),43.21)</f>
        <v>43.21</v>
      </c>
      <c r="K3139" s="16"/>
      <c r="T3139" s="17"/>
      <c r="AC3139" s="17"/>
    </row>
    <row r="3140">
      <c r="B3140" s="11">
        <f>IFERROR(__xludf.DUMMYFUNCTION("""COMPUTED_VALUE"""),41465.666666666664)</f>
        <v>41465.66667</v>
      </c>
      <c r="C3140" s="9">
        <f>IFERROR(__xludf.DUMMYFUNCTION("""COMPUTED_VALUE"""),42.57)</f>
        <v>42.57</v>
      </c>
      <c r="K3140" s="16"/>
      <c r="T3140" s="17"/>
      <c r="AC3140" s="17"/>
    </row>
    <row r="3141">
      <c r="B3141" s="11">
        <f>IFERROR(__xludf.DUMMYFUNCTION("""COMPUTED_VALUE"""),41464.666666666664)</f>
        <v>41464.66667</v>
      </c>
      <c r="C3141" s="9">
        <f>IFERROR(__xludf.DUMMYFUNCTION("""COMPUTED_VALUE"""),42.3)</f>
        <v>42.3</v>
      </c>
      <c r="K3141" s="16"/>
      <c r="T3141" s="17"/>
      <c r="AC3141" s="17"/>
    </row>
    <row r="3142">
      <c r="B3142" s="11">
        <f>IFERROR(__xludf.DUMMYFUNCTION("""COMPUTED_VALUE"""),41463.666666666664)</f>
        <v>41463.66667</v>
      </c>
      <c r="C3142" s="9">
        <f>IFERROR(__xludf.DUMMYFUNCTION("""COMPUTED_VALUE"""),42.0)</f>
        <v>42</v>
      </c>
      <c r="K3142" s="16"/>
      <c r="T3142" s="17"/>
      <c r="AC3142" s="17"/>
    </row>
    <row r="3143">
      <c r="B3143" s="11">
        <f>IFERROR(__xludf.DUMMYFUNCTION("""COMPUTED_VALUE"""),41460.666666666664)</f>
        <v>41460.66667</v>
      </c>
      <c r="C3143" s="9">
        <f>IFERROR(__xludf.DUMMYFUNCTION("""COMPUTED_VALUE"""),41.69)</f>
        <v>41.69</v>
      </c>
      <c r="K3143" s="16"/>
      <c r="T3143" s="17"/>
      <c r="AC3143" s="17"/>
    </row>
    <row r="3144">
      <c r="B3144" s="11">
        <f>IFERROR(__xludf.DUMMYFUNCTION("""COMPUTED_VALUE"""),41458.666666666664)</f>
        <v>41458.66667</v>
      </c>
      <c r="C3144" s="9">
        <f>IFERROR(__xludf.DUMMYFUNCTION("""COMPUTED_VALUE"""),41.02)</f>
        <v>41.02</v>
      </c>
      <c r="K3144" s="16"/>
      <c r="T3144" s="17"/>
      <c r="AC3144" s="17"/>
    </row>
    <row r="3145">
      <c r="B3145" s="11">
        <f>IFERROR(__xludf.DUMMYFUNCTION("""COMPUTED_VALUE"""),41457.666666666664)</f>
        <v>41457.66667</v>
      </c>
      <c r="C3145" s="9">
        <f>IFERROR(__xludf.DUMMYFUNCTION("""COMPUTED_VALUE"""),40.67)</f>
        <v>40.67</v>
      </c>
      <c r="K3145" s="16"/>
      <c r="T3145" s="17"/>
      <c r="AC3145" s="17"/>
    </row>
    <row r="3146">
      <c r="B3146" s="11">
        <f>IFERROR(__xludf.DUMMYFUNCTION("""COMPUTED_VALUE"""),41456.666666666664)</f>
        <v>41456.66667</v>
      </c>
      <c r="C3146" s="9">
        <f>IFERROR(__xludf.DUMMYFUNCTION("""COMPUTED_VALUE"""),41.28)</f>
        <v>41.28</v>
      </c>
      <c r="K3146" s="16"/>
      <c r="T3146" s="17"/>
      <c r="AC3146" s="17"/>
    </row>
    <row r="3147">
      <c r="B3147" s="11">
        <f>IFERROR(__xludf.DUMMYFUNCTION("""COMPUTED_VALUE"""),41453.666666666664)</f>
        <v>41453.66667</v>
      </c>
      <c r="C3147" s="9">
        <f>IFERROR(__xludf.DUMMYFUNCTION("""COMPUTED_VALUE"""),40.78)</f>
        <v>40.78</v>
      </c>
      <c r="K3147" s="16"/>
      <c r="T3147" s="17"/>
      <c r="AC3147" s="17"/>
    </row>
    <row r="3148">
      <c r="B3148" s="11">
        <f>IFERROR(__xludf.DUMMYFUNCTION("""COMPUTED_VALUE"""),41452.666666666664)</f>
        <v>41452.66667</v>
      </c>
      <c r="C3148" s="9">
        <f>IFERROR(__xludf.DUMMYFUNCTION("""COMPUTED_VALUE"""),40.92)</f>
        <v>40.92</v>
      </c>
      <c r="K3148" s="16"/>
      <c r="T3148" s="17"/>
      <c r="AC3148" s="17"/>
    </row>
    <row r="3149">
      <c r="B3149" s="11">
        <f>IFERROR(__xludf.DUMMYFUNCTION("""COMPUTED_VALUE"""),41451.666666666664)</f>
        <v>41451.66667</v>
      </c>
      <c r="C3149" s="9">
        <f>IFERROR(__xludf.DUMMYFUNCTION("""COMPUTED_VALUE"""),40.22)</f>
        <v>40.22</v>
      </c>
      <c r="K3149" s="16"/>
      <c r="T3149" s="17"/>
      <c r="AC3149" s="17"/>
    </row>
    <row r="3150">
      <c r="B3150" s="11">
        <f>IFERROR(__xludf.DUMMYFUNCTION("""COMPUTED_VALUE"""),41450.666666666664)</f>
        <v>41450.66667</v>
      </c>
      <c r="C3150" s="9">
        <f>IFERROR(__xludf.DUMMYFUNCTION("""COMPUTED_VALUE"""),39.77)</f>
        <v>39.77</v>
      </c>
      <c r="K3150" s="16"/>
      <c r="T3150" s="17"/>
      <c r="AC3150" s="17"/>
    </row>
    <row r="3151">
      <c r="B3151" s="11">
        <f>IFERROR(__xludf.DUMMYFUNCTION("""COMPUTED_VALUE"""),41449.666666666664)</f>
        <v>41449.66667</v>
      </c>
      <c r="C3151" s="9">
        <f>IFERROR(__xludf.DUMMYFUNCTION("""COMPUTED_VALUE"""),39.7)</f>
        <v>39.7</v>
      </c>
      <c r="K3151" s="16"/>
      <c r="T3151" s="17"/>
      <c r="AC3151" s="17"/>
    </row>
    <row r="3152">
      <c r="B3152" s="11">
        <f>IFERROR(__xludf.DUMMYFUNCTION("""COMPUTED_VALUE"""),41446.666666666664)</f>
        <v>41446.66667</v>
      </c>
      <c r="C3152" s="9">
        <f>IFERROR(__xludf.DUMMYFUNCTION("""COMPUTED_VALUE"""),40.15)</f>
        <v>40.15</v>
      </c>
      <c r="K3152" s="16"/>
      <c r="T3152" s="17"/>
      <c r="AC3152" s="17"/>
    </row>
    <row r="3153">
      <c r="B3153" s="11">
        <f>IFERROR(__xludf.DUMMYFUNCTION("""COMPUTED_VALUE"""),41445.666666666664)</f>
        <v>41445.66667</v>
      </c>
      <c r="C3153" s="9">
        <f>IFERROR(__xludf.DUMMYFUNCTION("""COMPUTED_VALUE"""),40.2)</f>
        <v>40.2</v>
      </c>
      <c r="K3153" s="16"/>
      <c r="T3153" s="17"/>
      <c r="AC3153" s="17"/>
    </row>
    <row r="3154">
      <c r="B3154" s="11">
        <f>IFERROR(__xludf.DUMMYFUNCTION("""COMPUTED_VALUE"""),41444.666666666664)</f>
        <v>41444.66667</v>
      </c>
      <c r="C3154" s="9">
        <f>IFERROR(__xludf.DUMMYFUNCTION("""COMPUTED_VALUE"""),40.83)</f>
        <v>40.83</v>
      </c>
      <c r="K3154" s="16"/>
      <c r="T3154" s="17"/>
      <c r="AC3154" s="17"/>
    </row>
    <row r="3155">
      <c r="B3155" s="11">
        <f>IFERROR(__xludf.DUMMYFUNCTION("""COMPUTED_VALUE"""),41443.666666666664)</f>
        <v>41443.66667</v>
      </c>
      <c r="C3155" s="9">
        <f>IFERROR(__xludf.DUMMYFUNCTION("""COMPUTED_VALUE"""),41.43)</f>
        <v>41.43</v>
      </c>
      <c r="K3155" s="16"/>
      <c r="T3155" s="17"/>
      <c r="AC3155" s="17"/>
    </row>
    <row r="3156">
      <c r="B3156" s="11">
        <f>IFERROR(__xludf.DUMMYFUNCTION("""COMPUTED_VALUE"""),41442.666666666664)</f>
        <v>41442.66667</v>
      </c>
      <c r="C3156" s="9">
        <f>IFERROR(__xludf.DUMMYFUNCTION("""COMPUTED_VALUE"""),40.91)</f>
        <v>40.91</v>
      </c>
      <c r="K3156" s="16"/>
      <c r="T3156" s="17"/>
      <c r="AC3156" s="17"/>
    </row>
    <row r="3157">
      <c r="B3157" s="11">
        <f>IFERROR(__xludf.DUMMYFUNCTION("""COMPUTED_VALUE"""),41439.666666666664)</f>
        <v>41439.66667</v>
      </c>
      <c r="C3157" s="9">
        <f>IFERROR(__xludf.DUMMYFUNCTION("""COMPUTED_VALUE"""),40.6)</f>
        <v>40.6</v>
      </c>
      <c r="K3157" s="16"/>
      <c r="T3157" s="17"/>
      <c r="AC3157" s="17"/>
    </row>
    <row r="3158">
      <c r="B3158" s="11">
        <f>IFERROR(__xludf.DUMMYFUNCTION("""COMPUTED_VALUE"""),41438.666666666664)</f>
        <v>41438.66667</v>
      </c>
      <c r="C3158" s="9">
        <f>IFERROR(__xludf.DUMMYFUNCTION("""COMPUTED_VALUE"""),40.78)</f>
        <v>40.78</v>
      </c>
      <c r="K3158" s="16"/>
      <c r="T3158" s="17"/>
      <c r="AC3158" s="17"/>
    </row>
    <row r="3159">
      <c r="B3159" s="11">
        <f>IFERROR(__xludf.DUMMYFUNCTION("""COMPUTED_VALUE"""),41437.666666666664)</f>
        <v>41437.66667</v>
      </c>
      <c r="C3159" s="9">
        <f>IFERROR(__xludf.DUMMYFUNCTION("""COMPUTED_VALUE"""),40.2)</f>
        <v>40.2</v>
      </c>
      <c r="K3159" s="16"/>
      <c r="T3159" s="17"/>
      <c r="AC3159" s="17"/>
    </row>
    <row r="3160">
      <c r="B3160" s="11">
        <f>IFERROR(__xludf.DUMMYFUNCTION("""COMPUTED_VALUE"""),41436.666666666664)</f>
        <v>41436.66667</v>
      </c>
      <c r="C3160" s="9">
        <f>IFERROR(__xludf.DUMMYFUNCTION("""COMPUTED_VALUE"""),40.55)</f>
        <v>40.55</v>
      </c>
      <c r="K3160" s="16"/>
      <c r="T3160" s="17"/>
      <c r="AC3160" s="17"/>
    </row>
    <row r="3161">
      <c r="B3161" s="11">
        <f>IFERROR(__xludf.DUMMYFUNCTION("""COMPUTED_VALUE"""),41435.666666666664)</f>
        <v>41435.66667</v>
      </c>
      <c r="C3161" s="9">
        <f>IFERROR(__xludf.DUMMYFUNCTION("""COMPUTED_VALUE"""),40.74)</f>
        <v>40.74</v>
      </c>
      <c r="K3161" s="16"/>
      <c r="T3161" s="17"/>
      <c r="AC3161" s="17"/>
    </row>
    <row r="3162">
      <c r="B3162" s="11">
        <f>IFERROR(__xludf.DUMMYFUNCTION("""COMPUTED_VALUE"""),41432.666666666664)</f>
        <v>41432.66667</v>
      </c>
      <c r="C3162" s="9">
        <f>IFERROR(__xludf.DUMMYFUNCTION("""COMPUTED_VALUE"""),40.84)</f>
        <v>40.84</v>
      </c>
      <c r="K3162" s="16"/>
      <c r="T3162" s="17"/>
      <c r="AC3162" s="17"/>
    </row>
    <row r="3163">
      <c r="B3163" s="11">
        <f>IFERROR(__xludf.DUMMYFUNCTION("""COMPUTED_VALUE"""),41431.666666666664)</f>
        <v>41431.66667</v>
      </c>
      <c r="C3163" s="9">
        <f>IFERROR(__xludf.DUMMYFUNCTION("""COMPUTED_VALUE"""),40.15)</f>
        <v>40.15</v>
      </c>
      <c r="K3163" s="16"/>
      <c r="T3163" s="17"/>
      <c r="AC3163" s="17"/>
    </row>
    <row r="3164">
      <c r="B3164" s="11">
        <f>IFERROR(__xludf.DUMMYFUNCTION("""COMPUTED_VALUE"""),41430.666666666664)</f>
        <v>41430.66667</v>
      </c>
      <c r="C3164" s="9">
        <f>IFERROR(__xludf.DUMMYFUNCTION("""COMPUTED_VALUE"""),39.65)</f>
        <v>39.65</v>
      </c>
      <c r="K3164" s="16"/>
      <c r="T3164" s="17"/>
      <c r="AC3164" s="17"/>
    </row>
    <row r="3165">
      <c r="B3165" s="11">
        <f>IFERROR(__xludf.DUMMYFUNCTION("""COMPUTED_VALUE"""),41429.666666666664)</f>
        <v>41429.66667</v>
      </c>
      <c r="C3165" s="9">
        <f>IFERROR(__xludf.DUMMYFUNCTION("""COMPUTED_VALUE"""),40.19)</f>
        <v>40.19</v>
      </c>
      <c r="K3165" s="16"/>
      <c r="T3165" s="17"/>
      <c r="AC3165" s="17"/>
    </row>
    <row r="3166">
      <c r="B3166" s="11">
        <f>IFERROR(__xludf.DUMMYFUNCTION("""COMPUTED_VALUE"""),41428.666666666664)</f>
        <v>41428.66667</v>
      </c>
      <c r="C3166" s="9">
        <f>IFERROR(__xludf.DUMMYFUNCTION("""COMPUTED_VALUE"""),40.45)</f>
        <v>40.45</v>
      </c>
      <c r="K3166" s="16"/>
      <c r="T3166" s="17"/>
      <c r="AC3166" s="17"/>
    </row>
    <row r="3167">
      <c r="B3167" s="11">
        <f>IFERROR(__xludf.DUMMYFUNCTION("""COMPUTED_VALUE"""),41425.666666666664)</f>
        <v>41425.66667</v>
      </c>
      <c r="C3167" s="9">
        <f>IFERROR(__xludf.DUMMYFUNCTION("""COMPUTED_VALUE"""),40.35)</f>
        <v>40.35</v>
      </c>
      <c r="K3167" s="16"/>
      <c r="T3167" s="17"/>
      <c r="AC3167" s="17"/>
    </row>
    <row r="3168">
      <c r="B3168" s="11">
        <f>IFERROR(__xludf.DUMMYFUNCTION("""COMPUTED_VALUE"""),41424.666666666664)</f>
        <v>41424.66667</v>
      </c>
      <c r="C3168" s="9">
        <f>IFERROR(__xludf.DUMMYFUNCTION("""COMPUTED_VALUE"""),40.58)</f>
        <v>40.58</v>
      </c>
      <c r="K3168" s="16"/>
      <c r="T3168" s="17"/>
      <c r="AC3168" s="17"/>
    </row>
    <row r="3169">
      <c r="B3169" s="11">
        <f>IFERROR(__xludf.DUMMYFUNCTION("""COMPUTED_VALUE"""),41423.666666666664)</f>
        <v>41423.66667</v>
      </c>
      <c r="C3169" s="9">
        <f>IFERROR(__xludf.DUMMYFUNCTION("""COMPUTED_VALUE"""),40.28)</f>
        <v>40.28</v>
      </c>
      <c r="K3169" s="16"/>
      <c r="T3169" s="17"/>
      <c r="AC3169" s="17"/>
    </row>
    <row r="3170">
      <c r="B3170" s="11">
        <f>IFERROR(__xludf.DUMMYFUNCTION("""COMPUTED_VALUE"""),41422.666666666664)</f>
        <v>41422.66667</v>
      </c>
      <c r="C3170" s="9">
        <f>IFERROR(__xludf.DUMMYFUNCTION("""COMPUTED_VALUE"""),40.6)</f>
        <v>40.6</v>
      </c>
      <c r="K3170" s="16"/>
      <c r="T3170" s="17"/>
      <c r="AC3170" s="17"/>
    </row>
    <row r="3171">
      <c r="B3171" s="11">
        <f>IFERROR(__xludf.DUMMYFUNCTION("""COMPUTED_VALUE"""),41418.666666666664)</f>
        <v>41418.66667</v>
      </c>
      <c r="C3171" s="9">
        <f>IFERROR(__xludf.DUMMYFUNCTION("""COMPUTED_VALUE"""),40.1)</f>
        <v>40.1</v>
      </c>
      <c r="K3171" s="16"/>
      <c r="T3171" s="17"/>
      <c r="AC3171" s="17"/>
    </row>
    <row r="3172">
      <c r="B3172" s="11">
        <f>IFERROR(__xludf.DUMMYFUNCTION("""COMPUTED_VALUE"""),41417.666666666664)</f>
        <v>41417.66667</v>
      </c>
      <c r="C3172" s="9">
        <f>IFERROR(__xludf.DUMMYFUNCTION("""COMPUTED_VALUE"""),39.95)</f>
        <v>39.95</v>
      </c>
      <c r="K3172" s="16"/>
      <c r="T3172" s="17"/>
      <c r="AC3172" s="17"/>
    </row>
    <row r="3173">
      <c r="B3173" s="11">
        <f>IFERROR(__xludf.DUMMYFUNCTION("""COMPUTED_VALUE"""),41416.666666666664)</f>
        <v>41416.66667</v>
      </c>
      <c r="C3173" s="9">
        <f>IFERROR(__xludf.DUMMYFUNCTION("""COMPUTED_VALUE"""),39.89)</f>
        <v>39.89</v>
      </c>
      <c r="K3173" s="16"/>
      <c r="T3173" s="17"/>
      <c r="AC3173" s="17"/>
    </row>
    <row r="3174">
      <c r="B3174" s="11">
        <f>IFERROR(__xludf.DUMMYFUNCTION("""COMPUTED_VALUE"""),41415.666666666664)</f>
        <v>41415.66667</v>
      </c>
      <c r="C3174" s="9">
        <f>IFERROR(__xludf.DUMMYFUNCTION("""COMPUTED_VALUE"""),40.38)</f>
        <v>40.38</v>
      </c>
      <c r="K3174" s="16"/>
      <c r="T3174" s="17"/>
      <c r="AC3174" s="17"/>
    </row>
    <row r="3175">
      <c r="B3175" s="11">
        <f>IFERROR(__xludf.DUMMYFUNCTION("""COMPUTED_VALUE"""),41414.666666666664)</f>
        <v>41414.66667</v>
      </c>
      <c r="C3175" s="9">
        <f>IFERROR(__xludf.DUMMYFUNCTION("""COMPUTED_VALUE"""),40.42)</f>
        <v>40.42</v>
      </c>
      <c r="K3175" s="16"/>
      <c r="T3175" s="17"/>
      <c r="AC3175" s="17"/>
    </row>
    <row r="3176">
      <c r="B3176" s="11">
        <f>IFERROR(__xludf.DUMMYFUNCTION("""COMPUTED_VALUE"""),41411.666666666664)</f>
        <v>41411.66667</v>
      </c>
      <c r="C3176" s="9">
        <f>IFERROR(__xludf.DUMMYFUNCTION("""COMPUTED_VALUE"""),40.37)</f>
        <v>40.37</v>
      </c>
      <c r="K3176" s="16"/>
      <c r="T3176" s="17"/>
      <c r="AC3176" s="17"/>
    </row>
    <row r="3177">
      <c r="B3177" s="11">
        <f>IFERROR(__xludf.DUMMYFUNCTION("""COMPUTED_VALUE"""),41410.666666666664)</f>
        <v>41410.66667</v>
      </c>
      <c r="C3177" s="9">
        <f>IFERROR(__xludf.DUMMYFUNCTION("""COMPUTED_VALUE"""),39.69)</f>
        <v>39.69</v>
      </c>
      <c r="K3177" s="16"/>
      <c r="T3177" s="17"/>
      <c r="AC3177" s="17"/>
    </row>
    <row r="3178">
      <c r="B3178" s="11">
        <f>IFERROR(__xludf.DUMMYFUNCTION("""COMPUTED_VALUE"""),41409.666666666664)</f>
        <v>41409.66667</v>
      </c>
      <c r="C3178" s="9">
        <f>IFERROR(__xludf.DUMMYFUNCTION("""COMPUTED_VALUE"""),39.92)</f>
        <v>39.92</v>
      </c>
      <c r="K3178" s="16"/>
      <c r="T3178" s="17"/>
      <c r="AC3178" s="17"/>
    </row>
    <row r="3179">
      <c r="B3179" s="11">
        <f>IFERROR(__xludf.DUMMYFUNCTION("""COMPUTED_VALUE"""),41408.666666666664)</f>
        <v>41408.66667</v>
      </c>
      <c r="C3179" s="9">
        <f>IFERROR(__xludf.DUMMYFUNCTION("""COMPUTED_VALUE"""),39.63)</f>
        <v>39.63</v>
      </c>
      <c r="K3179" s="16"/>
      <c r="T3179" s="17"/>
      <c r="AC3179" s="17"/>
    </row>
    <row r="3180">
      <c r="B3180" s="11">
        <f>IFERROR(__xludf.DUMMYFUNCTION("""COMPUTED_VALUE"""),41407.666666666664)</f>
        <v>41407.66667</v>
      </c>
      <c r="C3180" s="9">
        <f>IFERROR(__xludf.DUMMYFUNCTION("""COMPUTED_VALUE"""),39.12)</f>
        <v>39.12</v>
      </c>
      <c r="K3180" s="16"/>
      <c r="T3180" s="17"/>
      <c r="AC3180" s="17"/>
    </row>
    <row r="3181">
      <c r="B3181" s="11">
        <f>IFERROR(__xludf.DUMMYFUNCTION("""COMPUTED_VALUE"""),41404.666666666664)</f>
        <v>41404.66667</v>
      </c>
      <c r="C3181" s="9">
        <f>IFERROR(__xludf.DUMMYFUNCTION("""COMPUTED_VALUE"""),39.23)</f>
        <v>39.23</v>
      </c>
      <c r="K3181" s="16"/>
      <c r="T3181" s="17"/>
      <c r="AC3181" s="17"/>
    </row>
    <row r="3182">
      <c r="B3182" s="11">
        <f>IFERROR(__xludf.DUMMYFUNCTION("""COMPUTED_VALUE"""),41403.666666666664)</f>
        <v>41403.66667</v>
      </c>
      <c r="C3182" s="9">
        <f>IFERROR(__xludf.DUMMYFUNCTION("""COMPUTED_VALUE"""),39.06)</f>
        <v>39.06</v>
      </c>
      <c r="K3182" s="16"/>
      <c r="T3182" s="17"/>
      <c r="AC3182" s="17"/>
    </row>
    <row r="3183">
      <c r="B3183" s="11">
        <f>IFERROR(__xludf.DUMMYFUNCTION("""COMPUTED_VALUE"""),41402.666666666664)</f>
        <v>41402.66667</v>
      </c>
      <c r="C3183" s="9">
        <f>IFERROR(__xludf.DUMMYFUNCTION("""COMPUTED_VALUE"""),38.8)</f>
        <v>38.8</v>
      </c>
      <c r="K3183" s="16"/>
      <c r="T3183" s="17"/>
      <c r="AC3183" s="17"/>
    </row>
    <row r="3184">
      <c r="B3184" s="11">
        <f>IFERROR(__xludf.DUMMYFUNCTION("""COMPUTED_VALUE"""),41401.666666666664)</f>
        <v>41401.66667</v>
      </c>
      <c r="C3184" s="9">
        <f>IFERROR(__xludf.DUMMYFUNCTION("""COMPUTED_VALUE"""),38.8)</f>
        <v>38.8</v>
      </c>
      <c r="K3184" s="16"/>
      <c r="T3184" s="17"/>
      <c r="AC3184" s="17"/>
    </row>
    <row r="3185">
      <c r="B3185" s="11">
        <f>IFERROR(__xludf.DUMMYFUNCTION("""COMPUTED_VALUE"""),41400.666666666664)</f>
        <v>41400.66667</v>
      </c>
      <c r="C3185" s="9">
        <f>IFERROR(__xludf.DUMMYFUNCTION("""COMPUTED_VALUE"""),38.54)</f>
        <v>38.54</v>
      </c>
      <c r="K3185" s="16"/>
      <c r="T3185" s="17"/>
      <c r="AC3185" s="17"/>
    </row>
    <row r="3186">
      <c r="B3186" s="11">
        <f>IFERROR(__xludf.DUMMYFUNCTION("""COMPUTED_VALUE"""),41397.666666666664)</f>
        <v>41397.66667</v>
      </c>
      <c r="C3186" s="9">
        <f>IFERROR(__xludf.DUMMYFUNCTION("""COMPUTED_VALUE"""),38.35)</f>
        <v>38.35</v>
      </c>
      <c r="K3186" s="16"/>
      <c r="T3186" s="17"/>
      <c r="AC3186" s="17"/>
    </row>
    <row r="3187">
      <c r="B3187" s="11">
        <f>IFERROR(__xludf.DUMMYFUNCTION("""COMPUTED_VALUE"""),41396.666666666664)</f>
        <v>41396.66667</v>
      </c>
      <c r="C3187" s="9">
        <f>IFERROR(__xludf.DUMMYFUNCTION("""COMPUTED_VALUE"""),37.9)</f>
        <v>37.9</v>
      </c>
      <c r="K3187" s="16"/>
      <c r="T3187" s="17"/>
      <c r="AC3187" s="17"/>
    </row>
    <row r="3188">
      <c r="B3188" s="11">
        <f>IFERROR(__xludf.DUMMYFUNCTION("""COMPUTED_VALUE"""),41395.666666666664)</f>
        <v>41395.66667</v>
      </c>
      <c r="C3188" s="9">
        <f>IFERROR(__xludf.DUMMYFUNCTION("""COMPUTED_VALUE"""),37.57)</f>
        <v>37.57</v>
      </c>
      <c r="K3188" s="16"/>
      <c r="T3188" s="17"/>
      <c r="AC3188" s="17"/>
    </row>
    <row r="3189">
      <c r="B3189" s="11">
        <f>IFERROR(__xludf.DUMMYFUNCTION("""COMPUTED_VALUE"""),41394.666666666664)</f>
        <v>41394.66667</v>
      </c>
      <c r="C3189" s="9">
        <f>IFERROR(__xludf.DUMMYFUNCTION("""COMPUTED_VALUE"""),37.84)</f>
        <v>37.84</v>
      </c>
      <c r="K3189" s="16"/>
      <c r="T3189" s="17"/>
      <c r="AC3189" s="17"/>
    </row>
    <row r="3190">
      <c r="B3190" s="11">
        <f>IFERROR(__xludf.DUMMYFUNCTION("""COMPUTED_VALUE"""),41393.666666666664)</f>
        <v>41393.66667</v>
      </c>
      <c r="C3190" s="9">
        <f>IFERROR(__xludf.DUMMYFUNCTION("""COMPUTED_VALUE"""),37.66)</f>
        <v>37.66</v>
      </c>
      <c r="K3190" s="16"/>
      <c r="T3190" s="17"/>
      <c r="AC3190" s="17"/>
    </row>
    <row r="3191">
      <c r="B3191" s="11">
        <f>IFERROR(__xludf.DUMMYFUNCTION("""COMPUTED_VALUE"""),41390.666666666664)</f>
        <v>41390.66667</v>
      </c>
      <c r="C3191" s="9">
        <f>IFERROR(__xludf.DUMMYFUNCTION("""COMPUTED_VALUE"""),37.55)</f>
        <v>37.55</v>
      </c>
      <c r="K3191" s="16"/>
      <c r="T3191" s="17"/>
      <c r="AC3191" s="17"/>
    </row>
    <row r="3192">
      <c r="B3192" s="11">
        <f>IFERROR(__xludf.DUMMYFUNCTION("""COMPUTED_VALUE"""),41389.666666666664)</f>
        <v>41389.66667</v>
      </c>
      <c r="C3192" s="9">
        <f>IFERROR(__xludf.DUMMYFUNCTION("""COMPUTED_VALUE"""),37.7)</f>
        <v>37.7</v>
      </c>
      <c r="K3192" s="16"/>
      <c r="T3192" s="17"/>
      <c r="AC3192" s="17"/>
    </row>
    <row r="3193">
      <c r="B3193" s="11">
        <f>IFERROR(__xludf.DUMMYFUNCTION("""COMPUTED_VALUE"""),41388.666666666664)</f>
        <v>41388.66667</v>
      </c>
      <c r="C3193" s="9">
        <f>IFERROR(__xludf.DUMMYFUNCTION("""COMPUTED_VALUE"""),37.34)</f>
        <v>37.34</v>
      </c>
      <c r="K3193" s="16"/>
      <c r="T3193" s="17"/>
      <c r="AC3193" s="17"/>
    </row>
    <row r="3194">
      <c r="B3194" s="11">
        <f>IFERROR(__xludf.DUMMYFUNCTION("""COMPUTED_VALUE"""),41387.666666666664)</f>
        <v>41387.66667</v>
      </c>
      <c r="C3194" s="9">
        <f>IFERROR(__xludf.DUMMYFUNCTION("""COMPUTED_VALUE"""),36.83)</f>
        <v>36.83</v>
      </c>
      <c r="K3194" s="16"/>
      <c r="T3194" s="17"/>
      <c r="AC3194" s="17"/>
    </row>
    <row r="3195">
      <c r="B3195" s="11">
        <f>IFERROR(__xludf.DUMMYFUNCTION("""COMPUTED_VALUE"""),41386.666666666664)</f>
        <v>41386.66667</v>
      </c>
      <c r="C3195" s="9">
        <f>IFERROR(__xludf.DUMMYFUNCTION("""COMPUTED_VALUE"""),36.49)</f>
        <v>36.49</v>
      </c>
      <c r="K3195" s="16"/>
      <c r="T3195" s="17"/>
      <c r="AC3195" s="17"/>
    </row>
    <row r="3196">
      <c r="B3196" s="11">
        <f>IFERROR(__xludf.DUMMYFUNCTION("""COMPUTED_VALUE"""),41383.666666666664)</f>
        <v>41383.66667</v>
      </c>
      <c r="C3196" s="9">
        <f>IFERROR(__xludf.DUMMYFUNCTION("""COMPUTED_VALUE"""),36.44)</f>
        <v>36.44</v>
      </c>
      <c r="K3196" s="16"/>
      <c r="T3196" s="17"/>
      <c r="AC3196" s="17"/>
    </row>
    <row r="3197">
      <c r="B3197" s="11">
        <f>IFERROR(__xludf.DUMMYFUNCTION("""COMPUTED_VALUE"""),41382.666666666664)</f>
        <v>41382.66667</v>
      </c>
      <c r="C3197" s="9">
        <f>IFERROR(__xludf.DUMMYFUNCTION("""COMPUTED_VALUE"""),35.94)</f>
        <v>35.94</v>
      </c>
      <c r="K3197" s="16"/>
      <c r="T3197" s="17"/>
      <c r="AC3197" s="17"/>
    </row>
    <row r="3198">
      <c r="B3198" s="11">
        <f>IFERROR(__xludf.DUMMYFUNCTION("""COMPUTED_VALUE"""),41381.666666666664)</f>
        <v>41381.66667</v>
      </c>
      <c r="C3198" s="9">
        <f>IFERROR(__xludf.DUMMYFUNCTION("""COMPUTED_VALUE"""),36.27)</f>
        <v>36.27</v>
      </c>
      <c r="K3198" s="16"/>
      <c r="T3198" s="17"/>
      <c r="AC3198" s="17"/>
    </row>
    <row r="3199">
      <c r="B3199" s="11">
        <f>IFERROR(__xludf.DUMMYFUNCTION("""COMPUTED_VALUE"""),41380.666666666664)</f>
        <v>41380.66667</v>
      </c>
      <c r="C3199" s="9">
        <f>IFERROR(__xludf.DUMMYFUNCTION("""COMPUTED_VALUE"""),36.9)</f>
        <v>36.9</v>
      </c>
      <c r="K3199" s="16"/>
      <c r="T3199" s="17"/>
      <c r="AC3199" s="17"/>
    </row>
    <row r="3200">
      <c r="B3200" s="11">
        <f>IFERROR(__xludf.DUMMYFUNCTION("""COMPUTED_VALUE"""),41379.666666666664)</f>
        <v>41379.66667</v>
      </c>
      <c r="C3200" s="9">
        <f>IFERROR(__xludf.DUMMYFUNCTION("""COMPUTED_VALUE"""),36.76)</f>
        <v>36.76</v>
      </c>
      <c r="K3200" s="16"/>
      <c r="T3200" s="17"/>
      <c r="AC3200" s="17"/>
    </row>
    <row r="3201">
      <c r="B3201" s="11">
        <f>IFERROR(__xludf.DUMMYFUNCTION("""COMPUTED_VALUE"""),41376.666666666664)</f>
        <v>41376.66667</v>
      </c>
      <c r="C3201" s="9">
        <f>IFERROR(__xludf.DUMMYFUNCTION("""COMPUTED_VALUE"""),37.77)</f>
        <v>37.77</v>
      </c>
      <c r="K3201" s="16"/>
      <c r="T3201" s="17"/>
      <c r="AC3201" s="17"/>
    </row>
    <row r="3202">
      <c r="B3202" s="11">
        <f>IFERROR(__xludf.DUMMYFUNCTION("""COMPUTED_VALUE"""),41375.666666666664)</f>
        <v>41375.66667</v>
      </c>
      <c r="C3202" s="9">
        <f>IFERROR(__xludf.DUMMYFUNCTION("""COMPUTED_VALUE"""),37.9)</f>
        <v>37.9</v>
      </c>
      <c r="K3202" s="16"/>
      <c r="T3202" s="17"/>
      <c r="AC3202" s="17"/>
    </row>
    <row r="3203">
      <c r="B3203" s="11">
        <f>IFERROR(__xludf.DUMMYFUNCTION("""COMPUTED_VALUE"""),41374.666666666664)</f>
        <v>41374.66667</v>
      </c>
      <c r="C3203" s="9">
        <f>IFERROR(__xludf.DUMMYFUNCTION("""COMPUTED_VALUE"""),37.7)</f>
        <v>37.7</v>
      </c>
      <c r="K3203" s="16"/>
      <c r="T3203" s="17"/>
      <c r="AC3203" s="17"/>
    </row>
    <row r="3204">
      <c r="B3204" s="11">
        <f>IFERROR(__xludf.DUMMYFUNCTION("""COMPUTED_VALUE"""),41373.666666666664)</f>
        <v>41373.66667</v>
      </c>
      <c r="C3204" s="9">
        <f>IFERROR(__xludf.DUMMYFUNCTION("""COMPUTED_VALUE"""),37.2)</f>
        <v>37.2</v>
      </c>
      <c r="K3204" s="16"/>
      <c r="T3204" s="17"/>
      <c r="AC3204" s="17"/>
    </row>
    <row r="3205">
      <c r="B3205" s="11">
        <f>IFERROR(__xludf.DUMMYFUNCTION("""COMPUTED_VALUE"""),41372.666666666664)</f>
        <v>41372.66667</v>
      </c>
      <c r="C3205" s="9">
        <f>IFERROR(__xludf.DUMMYFUNCTION("""COMPUTED_VALUE"""),37.03)</f>
        <v>37.03</v>
      </c>
      <c r="K3205" s="16"/>
      <c r="T3205" s="17"/>
      <c r="AC3205" s="17"/>
    </row>
    <row r="3206">
      <c r="B3206" s="11">
        <f>IFERROR(__xludf.DUMMYFUNCTION("""COMPUTED_VALUE"""),41369.666666666664)</f>
        <v>41369.66667</v>
      </c>
      <c r="C3206" s="9">
        <f>IFERROR(__xludf.DUMMYFUNCTION("""COMPUTED_VALUE"""),36.83)</f>
        <v>36.83</v>
      </c>
      <c r="K3206" s="16"/>
      <c r="T3206" s="17"/>
      <c r="AC3206" s="17"/>
    </row>
    <row r="3207">
      <c r="B3207" s="11">
        <f>IFERROR(__xludf.DUMMYFUNCTION("""COMPUTED_VALUE"""),41368.666666666664)</f>
        <v>41368.66667</v>
      </c>
      <c r="C3207" s="9">
        <f>IFERROR(__xludf.DUMMYFUNCTION("""COMPUTED_VALUE"""),36.83)</f>
        <v>36.83</v>
      </c>
      <c r="K3207" s="16"/>
      <c r="T3207" s="17"/>
      <c r="AC3207" s="17"/>
    </row>
    <row r="3208">
      <c r="B3208" s="11">
        <f>IFERROR(__xludf.DUMMYFUNCTION("""COMPUTED_VALUE"""),41367.666666666664)</f>
        <v>41367.66667</v>
      </c>
      <c r="C3208" s="9">
        <f>IFERROR(__xludf.DUMMYFUNCTION("""COMPUTED_VALUE"""),36.76)</f>
        <v>36.76</v>
      </c>
      <c r="K3208" s="16"/>
      <c r="T3208" s="17"/>
      <c r="AC3208" s="17"/>
    </row>
    <row r="3209">
      <c r="B3209" s="11">
        <f>IFERROR(__xludf.DUMMYFUNCTION("""COMPUTED_VALUE"""),41366.666666666664)</f>
        <v>41366.66667</v>
      </c>
      <c r="C3209" s="9">
        <f>IFERROR(__xludf.DUMMYFUNCTION("""COMPUTED_VALUE"""),36.66)</f>
        <v>36.66</v>
      </c>
      <c r="K3209" s="16"/>
      <c r="T3209" s="17"/>
      <c r="AC3209" s="17"/>
    </row>
    <row r="3210">
      <c r="B3210" s="11">
        <f>IFERROR(__xludf.DUMMYFUNCTION("""COMPUTED_VALUE"""),41365.666666666664)</f>
        <v>41365.66667</v>
      </c>
      <c r="C3210" s="9">
        <f>IFERROR(__xludf.DUMMYFUNCTION("""COMPUTED_VALUE"""),37.0)</f>
        <v>37</v>
      </c>
      <c r="K3210" s="16"/>
      <c r="T3210" s="17"/>
      <c r="AC3210" s="17"/>
    </row>
    <row r="3211">
      <c r="B3211" s="11">
        <f>IFERROR(__xludf.DUMMYFUNCTION("""COMPUTED_VALUE"""),41361.666666666664)</f>
        <v>41361.66667</v>
      </c>
      <c r="C3211" s="9">
        <f>IFERROR(__xludf.DUMMYFUNCTION("""COMPUTED_VALUE"""),37.37)</f>
        <v>37.37</v>
      </c>
      <c r="K3211" s="16"/>
      <c r="T3211" s="17"/>
      <c r="AC3211" s="17"/>
    </row>
    <row r="3212">
      <c r="B3212" s="11">
        <f>IFERROR(__xludf.DUMMYFUNCTION("""COMPUTED_VALUE"""),41360.666666666664)</f>
        <v>41360.66667</v>
      </c>
      <c r="C3212" s="9">
        <f>IFERROR(__xludf.DUMMYFUNCTION("""COMPUTED_VALUE"""),37.03)</f>
        <v>37.03</v>
      </c>
      <c r="K3212" s="16"/>
      <c r="T3212" s="17"/>
      <c r="AC3212" s="17"/>
    </row>
    <row r="3213">
      <c r="B3213" s="11">
        <f>IFERROR(__xludf.DUMMYFUNCTION("""COMPUTED_VALUE"""),41359.666666666664)</f>
        <v>41359.66667</v>
      </c>
      <c r="C3213" s="9">
        <f>IFERROR(__xludf.DUMMYFUNCTION("""COMPUTED_VALUE"""),37.22)</f>
        <v>37.22</v>
      </c>
      <c r="K3213" s="16"/>
      <c r="T3213" s="17"/>
      <c r="AC3213" s="17"/>
    </row>
    <row r="3214">
      <c r="B3214" s="11">
        <f>IFERROR(__xludf.DUMMYFUNCTION("""COMPUTED_VALUE"""),41358.666666666664)</f>
        <v>41358.66667</v>
      </c>
      <c r="C3214" s="9">
        <f>IFERROR(__xludf.DUMMYFUNCTION("""COMPUTED_VALUE"""),36.89)</f>
        <v>36.89</v>
      </c>
      <c r="K3214" s="16"/>
      <c r="T3214" s="17"/>
      <c r="AC3214" s="17"/>
    </row>
    <row r="3215">
      <c r="B3215" s="11">
        <f>IFERROR(__xludf.DUMMYFUNCTION("""COMPUTED_VALUE"""),41355.666666666664)</f>
        <v>41355.66667</v>
      </c>
      <c r="C3215" s="9">
        <f>IFERROR(__xludf.DUMMYFUNCTION("""COMPUTED_VALUE"""),37.26)</f>
        <v>37.26</v>
      </c>
      <c r="K3215" s="16"/>
      <c r="T3215" s="17"/>
      <c r="AC3215" s="17"/>
    </row>
    <row r="3216">
      <c r="B3216" s="11">
        <f>IFERROR(__xludf.DUMMYFUNCTION("""COMPUTED_VALUE"""),41354.666666666664)</f>
        <v>41354.66667</v>
      </c>
      <c r="C3216" s="9">
        <f>IFERROR(__xludf.DUMMYFUNCTION("""COMPUTED_VALUE"""),37.26)</f>
        <v>37.26</v>
      </c>
      <c r="K3216" s="16"/>
      <c r="T3216" s="17"/>
      <c r="AC3216" s="17"/>
    </row>
    <row r="3217">
      <c r="B3217" s="11">
        <f>IFERROR(__xludf.DUMMYFUNCTION("""COMPUTED_VALUE"""),41353.666666666664)</f>
        <v>41353.66667</v>
      </c>
      <c r="C3217" s="9">
        <f>IFERROR(__xludf.DUMMYFUNCTION("""COMPUTED_VALUE"""),37.6)</f>
        <v>37.6</v>
      </c>
      <c r="K3217" s="16"/>
      <c r="T3217" s="17"/>
      <c r="AC3217" s="17"/>
    </row>
    <row r="3218">
      <c r="B3218" s="11">
        <f>IFERROR(__xludf.DUMMYFUNCTION("""COMPUTED_VALUE"""),41352.666666666664)</f>
        <v>41352.66667</v>
      </c>
      <c r="C3218" s="9">
        <f>IFERROR(__xludf.DUMMYFUNCTION("""COMPUTED_VALUE"""),37.39)</f>
        <v>37.39</v>
      </c>
      <c r="K3218" s="16"/>
      <c r="T3218" s="17"/>
      <c r="AC3218" s="17"/>
    </row>
    <row r="3219">
      <c r="B3219" s="11">
        <f>IFERROR(__xludf.DUMMYFUNCTION("""COMPUTED_VALUE"""),41351.666666666664)</f>
        <v>41351.66667</v>
      </c>
      <c r="C3219" s="9">
        <f>IFERROR(__xludf.DUMMYFUNCTION("""COMPUTED_VALUE"""),37.4)</f>
        <v>37.4</v>
      </c>
      <c r="K3219" s="16"/>
      <c r="T3219" s="17"/>
      <c r="AC3219" s="17"/>
    </row>
    <row r="3220">
      <c r="B3220" s="11">
        <f>IFERROR(__xludf.DUMMYFUNCTION("""COMPUTED_VALUE"""),41348.666666666664)</f>
        <v>41348.66667</v>
      </c>
      <c r="C3220" s="9">
        <f>IFERROR(__xludf.DUMMYFUNCTION("""COMPUTED_VALUE"""),37.57)</f>
        <v>37.57</v>
      </c>
      <c r="K3220" s="16"/>
      <c r="T3220" s="17"/>
      <c r="AC3220" s="17"/>
    </row>
    <row r="3221">
      <c r="B3221" s="11">
        <f>IFERROR(__xludf.DUMMYFUNCTION("""COMPUTED_VALUE"""),41347.666666666664)</f>
        <v>41347.66667</v>
      </c>
      <c r="C3221" s="9">
        <f>IFERROR(__xludf.DUMMYFUNCTION("""COMPUTED_VALUE"""),37.33)</f>
        <v>37.33</v>
      </c>
      <c r="K3221" s="16"/>
      <c r="T3221" s="17"/>
      <c r="AC3221" s="17"/>
    </row>
    <row r="3222">
      <c r="B3222" s="11">
        <f>IFERROR(__xludf.DUMMYFUNCTION("""COMPUTED_VALUE"""),41346.666666666664)</f>
        <v>41346.66667</v>
      </c>
      <c r="C3222" s="9">
        <f>IFERROR(__xludf.DUMMYFUNCTION("""COMPUTED_VALUE"""),37.16)</f>
        <v>37.16</v>
      </c>
      <c r="K3222" s="16"/>
      <c r="T3222" s="17"/>
      <c r="AC3222" s="17"/>
    </row>
    <row r="3223">
      <c r="B3223" s="11">
        <f>IFERROR(__xludf.DUMMYFUNCTION("""COMPUTED_VALUE"""),41345.666666666664)</f>
        <v>41345.66667</v>
      </c>
      <c r="C3223" s="9">
        <f>IFERROR(__xludf.DUMMYFUNCTION("""COMPUTED_VALUE"""),36.76)</f>
        <v>36.76</v>
      </c>
      <c r="K3223" s="16"/>
      <c r="T3223" s="17"/>
      <c r="AC3223" s="17"/>
    </row>
    <row r="3224">
      <c r="B3224" s="11">
        <f>IFERROR(__xludf.DUMMYFUNCTION("""COMPUTED_VALUE"""),41344.666666666664)</f>
        <v>41344.66667</v>
      </c>
      <c r="C3224" s="9">
        <f>IFERROR(__xludf.DUMMYFUNCTION("""COMPUTED_VALUE"""),36.6)</f>
        <v>36.6</v>
      </c>
      <c r="K3224" s="16"/>
      <c r="T3224" s="17"/>
      <c r="AC3224" s="17"/>
    </row>
    <row r="3225">
      <c r="B3225" s="11">
        <f>IFERROR(__xludf.DUMMYFUNCTION("""COMPUTED_VALUE"""),41341.666666666664)</f>
        <v>41341.66667</v>
      </c>
      <c r="C3225" s="9">
        <f>IFERROR(__xludf.DUMMYFUNCTION("""COMPUTED_VALUE"""),36.44)</f>
        <v>36.44</v>
      </c>
      <c r="K3225" s="16"/>
      <c r="T3225" s="17"/>
      <c r="AC3225" s="17"/>
    </row>
    <row r="3226">
      <c r="B3226" s="11">
        <f>IFERROR(__xludf.DUMMYFUNCTION("""COMPUTED_VALUE"""),41340.666666666664)</f>
        <v>41340.66667</v>
      </c>
      <c r="C3226" s="9">
        <f>IFERROR(__xludf.DUMMYFUNCTION("""COMPUTED_VALUE"""),36.17)</f>
        <v>36.17</v>
      </c>
      <c r="K3226" s="16"/>
      <c r="T3226" s="17"/>
      <c r="AC3226" s="17"/>
    </row>
    <row r="3227">
      <c r="B3227" s="11">
        <f>IFERROR(__xludf.DUMMYFUNCTION("""COMPUTED_VALUE"""),41339.666666666664)</f>
        <v>41339.66667</v>
      </c>
      <c r="C3227" s="9">
        <f>IFERROR(__xludf.DUMMYFUNCTION("""COMPUTED_VALUE"""),35.9)</f>
        <v>35.9</v>
      </c>
      <c r="K3227" s="16"/>
      <c r="T3227" s="17"/>
      <c r="AC3227" s="17"/>
    </row>
    <row r="3228">
      <c r="B3228" s="11">
        <f>IFERROR(__xludf.DUMMYFUNCTION("""COMPUTED_VALUE"""),41338.666666666664)</f>
        <v>41338.66667</v>
      </c>
      <c r="C3228" s="9">
        <f>IFERROR(__xludf.DUMMYFUNCTION("""COMPUTED_VALUE"""),35.77)</f>
        <v>35.77</v>
      </c>
      <c r="K3228" s="16"/>
      <c r="T3228" s="17"/>
      <c r="AC3228" s="17"/>
    </row>
    <row r="3229">
      <c r="B3229" s="11">
        <f>IFERROR(__xludf.DUMMYFUNCTION("""COMPUTED_VALUE"""),41337.666666666664)</f>
        <v>41337.66667</v>
      </c>
      <c r="C3229" s="9">
        <f>IFERROR(__xludf.DUMMYFUNCTION("""COMPUTED_VALUE"""),35.33)</f>
        <v>35.33</v>
      </c>
      <c r="K3229" s="16"/>
      <c r="T3229" s="17"/>
      <c r="AC3229" s="17"/>
    </row>
    <row r="3230">
      <c r="B3230" s="11">
        <f>IFERROR(__xludf.DUMMYFUNCTION("""COMPUTED_VALUE"""),41334.666666666664)</f>
        <v>41334.66667</v>
      </c>
      <c r="C3230" s="9">
        <f>IFERROR(__xludf.DUMMYFUNCTION("""COMPUTED_VALUE"""),35.48)</f>
        <v>35.48</v>
      </c>
      <c r="K3230" s="16"/>
      <c r="T3230" s="17"/>
      <c r="AC3230" s="17"/>
    </row>
    <row r="3231">
      <c r="B3231" s="11">
        <f>IFERROR(__xludf.DUMMYFUNCTION("""COMPUTED_VALUE"""),41333.666666666664)</f>
        <v>41333.66667</v>
      </c>
      <c r="C3231" s="9">
        <f>IFERROR(__xludf.DUMMYFUNCTION("""COMPUTED_VALUE"""),35.6)</f>
        <v>35.6</v>
      </c>
      <c r="K3231" s="16"/>
      <c r="T3231" s="17"/>
      <c r="AC3231" s="17"/>
    </row>
    <row r="3232">
      <c r="B3232" s="11">
        <f>IFERROR(__xludf.DUMMYFUNCTION("""COMPUTED_VALUE"""),41332.666666666664)</f>
        <v>41332.66667</v>
      </c>
      <c r="C3232" s="9">
        <f>IFERROR(__xludf.DUMMYFUNCTION("""COMPUTED_VALUE"""),35.6)</f>
        <v>35.6</v>
      </c>
      <c r="K3232" s="16"/>
      <c r="T3232" s="17"/>
      <c r="AC3232" s="17"/>
    </row>
    <row r="3233">
      <c r="B3233" s="11">
        <f>IFERROR(__xludf.DUMMYFUNCTION("""COMPUTED_VALUE"""),41331.666666666664)</f>
        <v>41331.66667</v>
      </c>
      <c r="C3233" s="9">
        <f>IFERROR(__xludf.DUMMYFUNCTION("""COMPUTED_VALUE"""),34.94)</f>
        <v>34.94</v>
      </c>
      <c r="K3233" s="16"/>
      <c r="T3233" s="17"/>
      <c r="AC3233" s="17"/>
    </row>
    <row r="3234">
      <c r="B3234" s="11">
        <f>IFERROR(__xludf.DUMMYFUNCTION("""COMPUTED_VALUE"""),41330.666666666664)</f>
        <v>41330.66667</v>
      </c>
      <c r="C3234" s="9">
        <f>IFERROR(__xludf.DUMMYFUNCTION("""COMPUTED_VALUE"""),34.76)</f>
        <v>34.76</v>
      </c>
      <c r="K3234" s="16"/>
      <c r="T3234" s="17"/>
      <c r="AC3234" s="17"/>
    </row>
    <row r="3235">
      <c r="B3235" s="11">
        <f>IFERROR(__xludf.DUMMYFUNCTION("""COMPUTED_VALUE"""),41327.666666666664)</f>
        <v>41327.66667</v>
      </c>
      <c r="C3235" s="9">
        <f>IFERROR(__xludf.DUMMYFUNCTION("""COMPUTED_VALUE"""),35.39)</f>
        <v>35.39</v>
      </c>
      <c r="K3235" s="16"/>
      <c r="T3235" s="17"/>
      <c r="AC3235" s="17"/>
    </row>
    <row r="3236">
      <c r="B3236" s="11">
        <f>IFERROR(__xludf.DUMMYFUNCTION("""COMPUTED_VALUE"""),41326.666666666664)</f>
        <v>41326.66667</v>
      </c>
      <c r="C3236" s="9">
        <f>IFERROR(__xludf.DUMMYFUNCTION("""COMPUTED_VALUE"""),34.97)</f>
        <v>34.97</v>
      </c>
      <c r="K3236" s="16"/>
      <c r="T3236" s="17"/>
      <c r="AC3236" s="17"/>
    </row>
    <row r="3237">
      <c r="B3237" s="11">
        <f>IFERROR(__xludf.DUMMYFUNCTION("""COMPUTED_VALUE"""),41325.666666666664)</f>
        <v>41325.66667</v>
      </c>
      <c r="C3237" s="9">
        <f>IFERROR(__xludf.DUMMYFUNCTION("""COMPUTED_VALUE"""),35.27)</f>
        <v>35.27</v>
      </c>
      <c r="K3237" s="16"/>
      <c r="T3237" s="17"/>
      <c r="AC3237" s="17"/>
    </row>
    <row r="3238">
      <c r="B3238" s="11">
        <f>IFERROR(__xludf.DUMMYFUNCTION("""COMPUTED_VALUE"""),41324.666666666664)</f>
        <v>41324.66667</v>
      </c>
      <c r="C3238" s="9">
        <f>IFERROR(__xludf.DUMMYFUNCTION("""COMPUTED_VALUE"""),35.57)</f>
        <v>35.57</v>
      </c>
      <c r="K3238" s="16"/>
      <c r="T3238" s="17"/>
      <c r="AC3238" s="17"/>
    </row>
    <row r="3239">
      <c r="B3239" s="11">
        <f>IFERROR(__xludf.DUMMYFUNCTION("""COMPUTED_VALUE"""),41320.666666666664)</f>
        <v>41320.66667</v>
      </c>
      <c r="C3239" s="9">
        <f>IFERROR(__xludf.DUMMYFUNCTION("""COMPUTED_VALUE"""),35.41)</f>
        <v>35.41</v>
      </c>
      <c r="K3239" s="16"/>
      <c r="T3239" s="17"/>
      <c r="AC3239" s="17"/>
    </row>
    <row r="3240">
      <c r="B3240" s="11">
        <f>IFERROR(__xludf.DUMMYFUNCTION("""COMPUTED_VALUE"""),41319.666666666664)</f>
        <v>41319.66667</v>
      </c>
      <c r="C3240" s="9">
        <f>IFERROR(__xludf.DUMMYFUNCTION("""COMPUTED_VALUE"""),35.44)</f>
        <v>35.44</v>
      </c>
      <c r="K3240" s="16"/>
      <c r="T3240" s="17"/>
      <c r="AC3240" s="17"/>
    </row>
    <row r="3241">
      <c r="B3241" s="11">
        <f>IFERROR(__xludf.DUMMYFUNCTION("""COMPUTED_VALUE"""),41318.666666666664)</f>
        <v>41318.66667</v>
      </c>
      <c r="C3241" s="9">
        <f>IFERROR(__xludf.DUMMYFUNCTION("""COMPUTED_VALUE"""),35.42)</f>
        <v>35.42</v>
      </c>
      <c r="K3241" s="16"/>
      <c r="T3241" s="17"/>
      <c r="AC3241" s="17"/>
    </row>
    <row r="3242">
      <c r="B3242" s="11">
        <f>IFERROR(__xludf.DUMMYFUNCTION("""COMPUTED_VALUE"""),41317.666666666664)</f>
        <v>41317.66667</v>
      </c>
      <c r="C3242" s="9">
        <f>IFERROR(__xludf.DUMMYFUNCTION("""COMPUTED_VALUE"""),35.53)</f>
        <v>35.53</v>
      </c>
      <c r="K3242" s="16"/>
      <c r="T3242" s="17"/>
      <c r="AC3242" s="17"/>
    </row>
    <row r="3243">
      <c r="B3243" s="11">
        <f>IFERROR(__xludf.DUMMYFUNCTION("""COMPUTED_VALUE"""),41316.666666666664)</f>
        <v>41316.66667</v>
      </c>
      <c r="C3243" s="9">
        <f>IFERROR(__xludf.DUMMYFUNCTION("""COMPUTED_VALUE"""),35.46)</f>
        <v>35.46</v>
      </c>
      <c r="K3243" s="16"/>
      <c r="T3243" s="17"/>
      <c r="AC3243" s="17"/>
    </row>
    <row r="3244">
      <c r="B3244" s="11">
        <f>IFERROR(__xludf.DUMMYFUNCTION("""COMPUTED_VALUE"""),41313.666666666664)</f>
        <v>41313.66667</v>
      </c>
      <c r="C3244" s="9">
        <f>IFERROR(__xludf.DUMMYFUNCTION("""COMPUTED_VALUE"""),35.48)</f>
        <v>35.48</v>
      </c>
      <c r="K3244" s="16"/>
      <c r="T3244" s="17"/>
      <c r="AC3244" s="17"/>
    </row>
    <row r="3245">
      <c r="B3245" s="11">
        <f>IFERROR(__xludf.DUMMYFUNCTION("""COMPUTED_VALUE"""),41312.666666666664)</f>
        <v>41312.66667</v>
      </c>
      <c r="C3245" s="9">
        <f>IFERROR(__xludf.DUMMYFUNCTION("""COMPUTED_VALUE"""),35.28)</f>
        <v>35.28</v>
      </c>
      <c r="K3245" s="16"/>
      <c r="T3245" s="17"/>
      <c r="AC3245" s="17"/>
    </row>
    <row r="3246">
      <c r="B3246" s="11">
        <f>IFERROR(__xludf.DUMMYFUNCTION("""COMPUTED_VALUE"""),41311.666666666664)</f>
        <v>41311.66667</v>
      </c>
      <c r="C3246" s="9">
        <f>IFERROR(__xludf.DUMMYFUNCTION("""COMPUTED_VALUE"""),34.94)</f>
        <v>34.94</v>
      </c>
      <c r="K3246" s="16"/>
      <c r="T3246" s="17"/>
      <c r="AC3246" s="17"/>
    </row>
    <row r="3247">
      <c r="B3247" s="11">
        <f>IFERROR(__xludf.DUMMYFUNCTION("""COMPUTED_VALUE"""),41310.666666666664)</f>
        <v>41310.66667</v>
      </c>
      <c r="C3247" s="9">
        <f>IFERROR(__xludf.DUMMYFUNCTION("""COMPUTED_VALUE"""),34.92)</f>
        <v>34.92</v>
      </c>
      <c r="K3247" s="16"/>
      <c r="T3247" s="17"/>
      <c r="AC3247" s="17"/>
    </row>
    <row r="3248">
      <c r="B3248" s="11">
        <f>IFERROR(__xludf.DUMMYFUNCTION("""COMPUTED_VALUE"""),41309.666666666664)</f>
        <v>41309.66667</v>
      </c>
      <c r="C3248" s="9">
        <f>IFERROR(__xludf.DUMMYFUNCTION("""COMPUTED_VALUE"""),34.49)</f>
        <v>34.49</v>
      </c>
      <c r="K3248" s="16"/>
      <c r="T3248" s="17"/>
      <c r="AC3248" s="17"/>
    </row>
    <row r="3249">
      <c r="B3249" s="11">
        <f>IFERROR(__xludf.DUMMYFUNCTION("""COMPUTED_VALUE"""),41306.666666666664)</f>
        <v>41306.66667</v>
      </c>
      <c r="C3249" s="9">
        <f>IFERROR(__xludf.DUMMYFUNCTION("""COMPUTED_VALUE"""),34.78)</f>
        <v>34.78</v>
      </c>
      <c r="K3249" s="16"/>
      <c r="T3249" s="17"/>
      <c r="AC3249" s="17"/>
    </row>
    <row r="3250">
      <c r="B3250" s="11">
        <f>IFERROR(__xludf.DUMMYFUNCTION("""COMPUTED_VALUE"""),41305.666666666664)</f>
        <v>41305.66667</v>
      </c>
      <c r="C3250" s="9">
        <f>IFERROR(__xludf.DUMMYFUNCTION("""COMPUTED_VALUE"""),34.55)</f>
        <v>34.55</v>
      </c>
      <c r="K3250" s="16"/>
      <c r="T3250" s="17"/>
      <c r="AC3250" s="17"/>
    </row>
    <row r="3251">
      <c r="B3251" s="11">
        <f>IFERROR(__xludf.DUMMYFUNCTION("""COMPUTED_VALUE"""),41304.666666666664)</f>
        <v>41304.66667</v>
      </c>
      <c r="C3251" s="9">
        <f>IFERROR(__xludf.DUMMYFUNCTION("""COMPUTED_VALUE"""),34.9)</f>
        <v>34.9</v>
      </c>
      <c r="K3251" s="16"/>
      <c r="T3251" s="17"/>
      <c r="AC3251" s="17"/>
    </row>
    <row r="3252">
      <c r="B3252" s="11">
        <f>IFERROR(__xludf.DUMMYFUNCTION("""COMPUTED_VALUE"""),41303.666666666664)</f>
        <v>41303.66667</v>
      </c>
      <c r="C3252" s="9">
        <f>IFERROR(__xludf.DUMMYFUNCTION("""COMPUTED_VALUE"""),35.25)</f>
        <v>35.25</v>
      </c>
      <c r="K3252" s="16"/>
      <c r="T3252" s="17"/>
      <c r="AC3252" s="17"/>
    </row>
    <row r="3253">
      <c r="B3253" s="11">
        <f>IFERROR(__xludf.DUMMYFUNCTION("""COMPUTED_VALUE"""),41302.666666666664)</f>
        <v>41302.66667</v>
      </c>
      <c r="C3253" s="9">
        <f>IFERROR(__xludf.DUMMYFUNCTION("""COMPUTED_VALUE"""),35.26)</f>
        <v>35.26</v>
      </c>
      <c r="K3253" s="16"/>
      <c r="T3253" s="17"/>
      <c r="AC3253" s="17"/>
    </row>
    <row r="3254">
      <c r="B3254" s="11">
        <f>IFERROR(__xludf.DUMMYFUNCTION("""COMPUTED_VALUE"""),41299.666666666664)</f>
        <v>41299.66667</v>
      </c>
      <c r="C3254" s="9">
        <f>IFERROR(__xludf.DUMMYFUNCTION("""COMPUTED_VALUE"""),35.64)</f>
        <v>35.64</v>
      </c>
      <c r="K3254" s="16"/>
      <c r="T3254" s="17"/>
      <c r="AC3254" s="17"/>
    </row>
    <row r="3255">
      <c r="B3255" s="11">
        <f>IFERROR(__xludf.DUMMYFUNCTION("""COMPUTED_VALUE"""),41298.666666666664)</f>
        <v>41298.66667</v>
      </c>
      <c r="C3255" s="9">
        <f>IFERROR(__xludf.DUMMYFUNCTION("""COMPUTED_VALUE"""),35.66)</f>
        <v>35.66</v>
      </c>
      <c r="K3255" s="16"/>
      <c r="T3255" s="17"/>
      <c r="AC3255" s="17"/>
    </row>
    <row r="3256">
      <c r="B3256" s="11">
        <f>IFERROR(__xludf.DUMMYFUNCTION("""COMPUTED_VALUE"""),41297.666666666664)</f>
        <v>41297.66667</v>
      </c>
      <c r="C3256" s="9">
        <f>IFERROR(__xludf.DUMMYFUNCTION("""COMPUTED_VALUE"""),35.53)</f>
        <v>35.53</v>
      </c>
      <c r="K3256" s="16"/>
      <c r="T3256" s="17"/>
      <c r="AC3256" s="17"/>
    </row>
    <row r="3257">
      <c r="B3257" s="11">
        <f>IFERROR(__xludf.DUMMYFUNCTION("""COMPUTED_VALUE"""),41296.666666666664)</f>
        <v>41296.66667</v>
      </c>
      <c r="C3257" s="9">
        <f>IFERROR(__xludf.DUMMYFUNCTION("""COMPUTED_VALUE"""),35.44)</f>
        <v>35.44</v>
      </c>
      <c r="K3257" s="16"/>
      <c r="T3257" s="17"/>
      <c r="AC3257" s="17"/>
    </row>
    <row r="3258">
      <c r="B3258" s="11">
        <f>IFERROR(__xludf.DUMMYFUNCTION("""COMPUTED_VALUE"""),41292.666666666664)</f>
        <v>41292.66667</v>
      </c>
      <c r="C3258" s="9">
        <f>IFERROR(__xludf.DUMMYFUNCTION("""COMPUTED_VALUE"""),35.25)</f>
        <v>35.25</v>
      </c>
      <c r="K3258" s="16"/>
      <c r="T3258" s="17"/>
      <c r="AC3258" s="17"/>
    </row>
    <row r="3259">
      <c r="B3259" s="11">
        <f>IFERROR(__xludf.DUMMYFUNCTION("""COMPUTED_VALUE"""),41291.666666666664)</f>
        <v>41291.66667</v>
      </c>
      <c r="C3259" s="9">
        <f>IFERROR(__xludf.DUMMYFUNCTION("""COMPUTED_VALUE"""),35.1)</f>
        <v>35.1</v>
      </c>
      <c r="K3259" s="16"/>
      <c r="T3259" s="17"/>
      <c r="AC3259" s="17"/>
    </row>
    <row r="3260">
      <c r="B3260" s="11">
        <f>IFERROR(__xludf.DUMMYFUNCTION("""COMPUTED_VALUE"""),41290.666666666664)</f>
        <v>41290.66667</v>
      </c>
      <c r="C3260" s="9">
        <f>IFERROR(__xludf.DUMMYFUNCTION("""COMPUTED_VALUE"""),34.69)</f>
        <v>34.69</v>
      </c>
      <c r="K3260" s="16"/>
      <c r="T3260" s="17"/>
      <c r="AC3260" s="17"/>
    </row>
    <row r="3261">
      <c r="B3261" s="11">
        <f>IFERROR(__xludf.DUMMYFUNCTION("""COMPUTED_VALUE"""),41289.666666666664)</f>
        <v>41289.66667</v>
      </c>
      <c r="C3261" s="9">
        <f>IFERROR(__xludf.DUMMYFUNCTION("""COMPUTED_VALUE"""),35.03)</f>
        <v>35.03</v>
      </c>
      <c r="K3261" s="16"/>
      <c r="T3261" s="17"/>
      <c r="AC3261" s="17"/>
    </row>
    <row r="3262">
      <c r="B3262" s="11">
        <f>IFERROR(__xludf.DUMMYFUNCTION("""COMPUTED_VALUE"""),41288.666666666664)</f>
        <v>41288.66667</v>
      </c>
      <c r="C3262" s="9">
        <f>IFERROR(__xludf.DUMMYFUNCTION("""COMPUTED_VALUE"""),34.74)</f>
        <v>34.74</v>
      </c>
      <c r="K3262" s="16"/>
      <c r="T3262" s="17"/>
      <c r="AC3262" s="17"/>
    </row>
    <row r="3263">
      <c r="B3263" s="11">
        <f>IFERROR(__xludf.DUMMYFUNCTION("""COMPUTED_VALUE"""),41285.666666666664)</f>
        <v>41285.66667</v>
      </c>
      <c r="C3263" s="9">
        <f>IFERROR(__xludf.DUMMYFUNCTION("""COMPUTED_VALUE"""),34.82)</f>
        <v>34.82</v>
      </c>
      <c r="K3263" s="16"/>
      <c r="T3263" s="17"/>
      <c r="AC3263" s="17"/>
    </row>
    <row r="3264">
      <c r="B3264" s="11">
        <f>IFERROR(__xludf.DUMMYFUNCTION("""COMPUTED_VALUE"""),41284.666666666664)</f>
        <v>41284.66667</v>
      </c>
      <c r="C3264" s="9">
        <f>IFERROR(__xludf.DUMMYFUNCTION("""COMPUTED_VALUE"""),35.01)</f>
        <v>35.01</v>
      </c>
      <c r="K3264" s="16"/>
      <c r="T3264" s="17"/>
      <c r="AC3264" s="17"/>
    </row>
    <row r="3265">
      <c r="B3265" s="11">
        <f>IFERROR(__xludf.DUMMYFUNCTION("""COMPUTED_VALUE"""),41283.666666666664)</f>
        <v>41283.66667</v>
      </c>
      <c r="C3265" s="9">
        <f>IFERROR(__xludf.DUMMYFUNCTION("""COMPUTED_VALUE"""),34.96)</f>
        <v>34.96</v>
      </c>
      <c r="K3265" s="16"/>
      <c r="T3265" s="17"/>
      <c r="AC3265" s="17"/>
    </row>
    <row r="3266">
      <c r="B3266" s="11">
        <f>IFERROR(__xludf.DUMMYFUNCTION("""COMPUTED_VALUE"""),41282.666666666664)</f>
        <v>41282.66667</v>
      </c>
      <c r="C3266" s="9">
        <f>IFERROR(__xludf.DUMMYFUNCTION("""COMPUTED_VALUE"""),34.62)</f>
        <v>34.62</v>
      </c>
      <c r="K3266" s="16"/>
      <c r="T3266" s="17"/>
      <c r="AC3266" s="17"/>
    </row>
    <row r="3267">
      <c r="B3267" s="11">
        <f>IFERROR(__xludf.DUMMYFUNCTION("""COMPUTED_VALUE"""),41281.666666666664)</f>
        <v>41281.66667</v>
      </c>
      <c r="C3267" s="9">
        <f>IFERROR(__xludf.DUMMYFUNCTION("""COMPUTED_VALUE"""),35.11)</f>
        <v>35.11</v>
      </c>
      <c r="K3267" s="16"/>
      <c r="T3267" s="17"/>
      <c r="AC3267" s="17"/>
    </row>
    <row r="3268">
      <c r="B3268" s="11">
        <f>IFERROR(__xludf.DUMMYFUNCTION("""COMPUTED_VALUE"""),41278.666666666664)</f>
        <v>41278.66667</v>
      </c>
      <c r="C3268" s="9">
        <f>IFERROR(__xludf.DUMMYFUNCTION("""COMPUTED_VALUE"""),35.28)</f>
        <v>35.28</v>
      </c>
      <c r="K3268" s="16"/>
      <c r="T3268" s="17"/>
      <c r="AC3268" s="17"/>
    </row>
    <row r="3269">
      <c r="B3269" s="11">
        <f>IFERROR(__xludf.DUMMYFUNCTION("""COMPUTED_VALUE"""),41277.666666666664)</f>
        <v>41277.66667</v>
      </c>
      <c r="C3269" s="9">
        <f>IFERROR(__xludf.DUMMYFUNCTION("""COMPUTED_VALUE"""),35.09)</f>
        <v>35.09</v>
      </c>
      <c r="K3269" s="16"/>
      <c r="T3269" s="17"/>
      <c r="AC3269" s="17"/>
    </row>
    <row r="3270">
      <c r="B3270" s="11">
        <f>IFERROR(__xludf.DUMMYFUNCTION("""COMPUTED_VALUE"""),41276.666666666664)</f>
        <v>41276.66667</v>
      </c>
      <c r="C3270" s="9">
        <f>IFERROR(__xludf.DUMMYFUNCTION("""COMPUTED_VALUE"""),34.93)</f>
        <v>34.93</v>
      </c>
      <c r="K3270" s="16"/>
      <c r="T3270" s="17"/>
      <c r="AC3270" s="17"/>
    </row>
    <row r="3271">
      <c r="B3271" s="11">
        <f>IFERROR(__xludf.DUMMYFUNCTION("""COMPUTED_VALUE"""),41274.666666666664)</f>
        <v>41274.66667</v>
      </c>
      <c r="C3271" s="9">
        <f>IFERROR(__xludf.DUMMYFUNCTION("""COMPUTED_VALUE"""),34.13)</f>
        <v>34.13</v>
      </c>
      <c r="K3271" s="16"/>
      <c r="T3271" s="17"/>
      <c r="AC3271" s="17"/>
    </row>
    <row r="3272">
      <c r="B3272" s="11">
        <f>IFERROR(__xludf.DUMMYFUNCTION("""COMPUTED_VALUE"""),41271.666666666664)</f>
        <v>41271.66667</v>
      </c>
      <c r="C3272" s="9">
        <f>IFERROR(__xludf.DUMMYFUNCTION("""COMPUTED_VALUE"""),33.53)</f>
        <v>33.53</v>
      </c>
      <c r="K3272" s="16"/>
      <c r="T3272" s="17"/>
      <c r="AC3272" s="17"/>
    </row>
    <row r="3273">
      <c r="B3273" s="11">
        <f>IFERROR(__xludf.DUMMYFUNCTION("""COMPUTED_VALUE"""),41270.666666666664)</f>
        <v>41270.66667</v>
      </c>
      <c r="C3273" s="9">
        <f>IFERROR(__xludf.DUMMYFUNCTION("""COMPUTED_VALUE"""),33.97)</f>
        <v>33.97</v>
      </c>
      <c r="K3273" s="16"/>
      <c r="T3273" s="17"/>
      <c r="AC3273" s="17"/>
    </row>
    <row r="3274">
      <c r="B3274" s="11">
        <f>IFERROR(__xludf.DUMMYFUNCTION("""COMPUTED_VALUE"""),41269.666666666664)</f>
        <v>41269.66667</v>
      </c>
      <c r="C3274" s="9">
        <f>IFERROR(__xludf.DUMMYFUNCTION("""COMPUTED_VALUE"""),33.98)</f>
        <v>33.98</v>
      </c>
      <c r="K3274" s="16"/>
      <c r="T3274" s="17"/>
      <c r="AC3274" s="17"/>
    </row>
    <row r="3275">
      <c r="B3275" s="11">
        <f>IFERROR(__xludf.DUMMYFUNCTION("""COMPUTED_VALUE"""),41267.666666666664)</f>
        <v>41267.66667</v>
      </c>
      <c r="C3275" s="9">
        <f>IFERROR(__xludf.DUMMYFUNCTION("""COMPUTED_VALUE"""),34.07)</f>
        <v>34.07</v>
      </c>
      <c r="K3275" s="16"/>
      <c r="T3275" s="17"/>
      <c r="AC3275" s="17"/>
    </row>
    <row r="3276">
      <c r="B3276" s="11">
        <f>IFERROR(__xludf.DUMMYFUNCTION("""COMPUTED_VALUE"""),41264.666666666664)</f>
        <v>41264.66667</v>
      </c>
      <c r="C3276" s="9">
        <f>IFERROR(__xludf.DUMMYFUNCTION("""COMPUTED_VALUE"""),34.17)</f>
        <v>34.17</v>
      </c>
      <c r="K3276" s="16"/>
      <c r="T3276" s="17"/>
      <c r="AC3276" s="17"/>
    </row>
    <row r="3277">
      <c r="B3277" s="11">
        <f>IFERROR(__xludf.DUMMYFUNCTION("""COMPUTED_VALUE"""),41263.666666666664)</f>
        <v>41263.66667</v>
      </c>
      <c r="C3277" s="9">
        <f>IFERROR(__xludf.DUMMYFUNCTION("""COMPUTED_VALUE"""),34.22)</f>
        <v>34.22</v>
      </c>
      <c r="K3277" s="16"/>
      <c r="T3277" s="17"/>
      <c r="AC3277" s="17"/>
    </row>
    <row r="3278">
      <c r="B3278" s="11">
        <f>IFERROR(__xludf.DUMMYFUNCTION("""COMPUTED_VALUE"""),41262.666666666664)</f>
        <v>41262.66667</v>
      </c>
      <c r="C3278" s="9">
        <f>IFERROR(__xludf.DUMMYFUNCTION("""COMPUTED_VALUE"""),34.1)</f>
        <v>34.1</v>
      </c>
      <c r="K3278" s="16"/>
      <c r="T3278" s="17"/>
      <c r="AC3278" s="17"/>
    </row>
    <row r="3279">
      <c r="B3279" s="11">
        <f>IFERROR(__xludf.DUMMYFUNCTION("""COMPUTED_VALUE"""),41261.666666666664)</f>
        <v>41261.66667</v>
      </c>
      <c r="C3279" s="9">
        <f>IFERROR(__xludf.DUMMYFUNCTION("""COMPUTED_VALUE"""),34.26)</f>
        <v>34.26</v>
      </c>
      <c r="K3279" s="16"/>
      <c r="T3279" s="17"/>
      <c r="AC3279" s="17"/>
    </row>
    <row r="3280">
      <c r="B3280" s="11">
        <f>IFERROR(__xludf.DUMMYFUNCTION("""COMPUTED_VALUE"""),41260.666666666664)</f>
        <v>41260.66667</v>
      </c>
      <c r="C3280" s="9">
        <f>IFERROR(__xludf.DUMMYFUNCTION("""COMPUTED_VALUE"""),33.62)</f>
        <v>33.62</v>
      </c>
      <c r="K3280" s="16"/>
      <c r="T3280" s="17"/>
      <c r="AC3280" s="17"/>
    </row>
    <row r="3281">
      <c r="B3281" s="11">
        <f>IFERROR(__xludf.DUMMYFUNCTION("""COMPUTED_VALUE"""),41257.666666666664)</f>
        <v>41257.66667</v>
      </c>
      <c r="C3281" s="9">
        <f>IFERROR(__xludf.DUMMYFUNCTION("""COMPUTED_VALUE"""),33.55)</f>
        <v>33.55</v>
      </c>
      <c r="K3281" s="16"/>
      <c r="T3281" s="17"/>
      <c r="AC3281" s="17"/>
    </row>
    <row r="3282">
      <c r="B3282" s="11">
        <f>IFERROR(__xludf.DUMMYFUNCTION("""COMPUTED_VALUE"""),41256.666666666664)</f>
        <v>41256.66667</v>
      </c>
      <c r="C3282" s="9">
        <f>IFERROR(__xludf.DUMMYFUNCTION("""COMPUTED_VALUE"""),33.64)</f>
        <v>33.64</v>
      </c>
      <c r="K3282" s="16"/>
      <c r="T3282" s="17"/>
      <c r="AC3282" s="17"/>
    </row>
    <row r="3283">
      <c r="B3283" s="11">
        <f>IFERROR(__xludf.DUMMYFUNCTION("""COMPUTED_VALUE"""),41255.666666666664)</f>
        <v>41255.66667</v>
      </c>
      <c r="C3283" s="9">
        <f>IFERROR(__xludf.DUMMYFUNCTION("""COMPUTED_VALUE"""),33.91)</f>
        <v>33.91</v>
      </c>
      <c r="K3283" s="16"/>
      <c r="T3283" s="17"/>
      <c r="AC3283" s="17"/>
    </row>
    <row r="3284">
      <c r="B3284" s="11">
        <f>IFERROR(__xludf.DUMMYFUNCTION("""COMPUTED_VALUE"""),41254.666666666664)</f>
        <v>41254.66667</v>
      </c>
      <c r="C3284" s="9">
        <f>IFERROR(__xludf.DUMMYFUNCTION("""COMPUTED_VALUE"""),34.04)</f>
        <v>34.04</v>
      </c>
      <c r="K3284" s="16"/>
      <c r="T3284" s="17"/>
      <c r="AC3284" s="17"/>
    </row>
    <row r="3285">
      <c r="B3285" s="11">
        <f>IFERROR(__xludf.DUMMYFUNCTION("""COMPUTED_VALUE"""),41253.666666666664)</f>
        <v>41253.66667</v>
      </c>
      <c r="C3285" s="9">
        <f>IFERROR(__xludf.DUMMYFUNCTION("""COMPUTED_VALUE"""),33.92)</f>
        <v>33.92</v>
      </c>
      <c r="K3285" s="16"/>
      <c r="T3285" s="17"/>
      <c r="AC3285" s="17"/>
    </row>
    <row r="3286">
      <c r="B3286" s="11">
        <f>IFERROR(__xludf.DUMMYFUNCTION("""COMPUTED_VALUE"""),41250.666666666664)</f>
        <v>41250.66667</v>
      </c>
      <c r="C3286" s="9">
        <f>IFERROR(__xludf.DUMMYFUNCTION("""COMPUTED_VALUE"""),33.63)</f>
        <v>33.63</v>
      </c>
      <c r="K3286" s="16"/>
      <c r="T3286" s="17"/>
      <c r="AC3286" s="17"/>
    </row>
    <row r="3287">
      <c r="B3287" s="11">
        <f>IFERROR(__xludf.DUMMYFUNCTION("""COMPUTED_VALUE"""),41249.666666666664)</f>
        <v>41249.66667</v>
      </c>
      <c r="C3287" s="9">
        <f>IFERROR(__xludf.DUMMYFUNCTION("""COMPUTED_VALUE"""),33.47)</f>
        <v>33.47</v>
      </c>
      <c r="K3287" s="16"/>
      <c r="T3287" s="17"/>
      <c r="AC3287" s="17"/>
    </row>
    <row r="3288">
      <c r="B3288" s="11">
        <f>IFERROR(__xludf.DUMMYFUNCTION("""COMPUTED_VALUE"""),41248.666666666664)</f>
        <v>41248.66667</v>
      </c>
      <c r="C3288" s="9">
        <f>IFERROR(__xludf.DUMMYFUNCTION("""COMPUTED_VALUE"""),33.49)</f>
        <v>33.49</v>
      </c>
      <c r="K3288" s="16"/>
      <c r="T3288" s="17"/>
      <c r="AC3288" s="17"/>
    </row>
    <row r="3289">
      <c r="B3289" s="11">
        <f>IFERROR(__xludf.DUMMYFUNCTION("""COMPUTED_VALUE"""),41247.666666666664)</f>
        <v>41247.66667</v>
      </c>
      <c r="C3289" s="9">
        <f>IFERROR(__xludf.DUMMYFUNCTION("""COMPUTED_VALUE"""),33.45)</f>
        <v>33.45</v>
      </c>
      <c r="K3289" s="16"/>
      <c r="T3289" s="17"/>
      <c r="AC3289" s="17"/>
    </row>
    <row r="3290">
      <c r="B3290" s="11">
        <f>IFERROR(__xludf.DUMMYFUNCTION("""COMPUTED_VALUE"""),41246.666666666664)</f>
        <v>41246.66667</v>
      </c>
      <c r="C3290" s="9">
        <f>IFERROR(__xludf.DUMMYFUNCTION("""COMPUTED_VALUE"""),33.32)</f>
        <v>33.32</v>
      </c>
      <c r="K3290" s="16"/>
      <c r="T3290" s="17"/>
      <c r="AC3290" s="17"/>
    </row>
    <row r="3291">
      <c r="B3291" s="11">
        <f>IFERROR(__xludf.DUMMYFUNCTION("""COMPUTED_VALUE"""),41243.666666666664)</f>
        <v>41243.66667</v>
      </c>
      <c r="C3291" s="9">
        <f>IFERROR(__xludf.DUMMYFUNCTION("""COMPUTED_VALUE"""),33.67)</f>
        <v>33.67</v>
      </c>
      <c r="K3291" s="16"/>
      <c r="T3291" s="17"/>
      <c r="AC3291" s="17"/>
    </row>
    <row r="3292">
      <c r="B3292" s="11">
        <f>IFERROR(__xludf.DUMMYFUNCTION("""COMPUTED_VALUE"""),41242.666666666664)</f>
        <v>41242.66667</v>
      </c>
      <c r="C3292" s="9">
        <f>IFERROR(__xludf.DUMMYFUNCTION("""COMPUTED_VALUE"""),33.67)</f>
        <v>33.67</v>
      </c>
      <c r="K3292" s="16"/>
      <c r="T3292" s="17"/>
      <c r="AC3292" s="17"/>
    </row>
    <row r="3293">
      <c r="B3293" s="11">
        <f>IFERROR(__xludf.DUMMYFUNCTION("""COMPUTED_VALUE"""),41241.666666666664)</f>
        <v>41241.66667</v>
      </c>
      <c r="C3293" s="9">
        <f>IFERROR(__xludf.DUMMYFUNCTION("""COMPUTED_VALUE"""),33.43)</f>
        <v>33.43</v>
      </c>
      <c r="K3293" s="16"/>
      <c r="T3293" s="17"/>
      <c r="AC3293" s="17"/>
    </row>
    <row r="3294">
      <c r="B3294" s="11">
        <f>IFERROR(__xludf.DUMMYFUNCTION("""COMPUTED_VALUE"""),41240.666666666664)</f>
        <v>41240.66667</v>
      </c>
      <c r="C3294" s="9">
        <f>IFERROR(__xludf.DUMMYFUNCTION("""COMPUTED_VALUE"""),33.15)</f>
        <v>33.15</v>
      </c>
      <c r="K3294" s="16"/>
      <c r="T3294" s="17"/>
      <c r="AC3294" s="17"/>
    </row>
    <row r="3295">
      <c r="B3295" s="11">
        <f>IFERROR(__xludf.DUMMYFUNCTION("""COMPUTED_VALUE"""),41239.666666666664)</f>
        <v>41239.66667</v>
      </c>
      <c r="C3295" s="9">
        <f>IFERROR(__xludf.DUMMYFUNCTION("""COMPUTED_VALUE"""),33.05)</f>
        <v>33.05</v>
      </c>
      <c r="K3295" s="16"/>
      <c r="T3295" s="17"/>
      <c r="AC3295" s="17"/>
    </row>
    <row r="3296">
      <c r="B3296" s="11">
        <f>IFERROR(__xludf.DUMMYFUNCTION("""COMPUTED_VALUE"""),41236.666666666664)</f>
        <v>41236.66667</v>
      </c>
      <c r="C3296" s="9">
        <f>IFERROR(__xludf.DUMMYFUNCTION("""COMPUTED_VALUE"""),32.99)</f>
        <v>32.99</v>
      </c>
      <c r="K3296" s="16"/>
      <c r="T3296" s="17"/>
      <c r="AC3296" s="17"/>
    </row>
    <row r="3297">
      <c r="B3297" s="11">
        <f>IFERROR(__xludf.DUMMYFUNCTION("""COMPUTED_VALUE"""),41234.666666666664)</f>
        <v>41234.66667</v>
      </c>
      <c r="C3297" s="9">
        <f>IFERROR(__xludf.DUMMYFUNCTION("""COMPUTED_VALUE"""),32.72)</f>
        <v>32.72</v>
      </c>
      <c r="K3297" s="16"/>
      <c r="T3297" s="17"/>
      <c r="AC3297" s="17"/>
    </row>
    <row r="3298">
      <c r="B3298" s="11">
        <f>IFERROR(__xludf.DUMMYFUNCTION("""COMPUTED_VALUE"""),41233.666666666664)</f>
        <v>41233.66667</v>
      </c>
      <c r="C3298" s="9">
        <f>IFERROR(__xludf.DUMMYFUNCTION("""COMPUTED_VALUE"""),32.44)</f>
        <v>32.44</v>
      </c>
      <c r="K3298" s="16"/>
      <c r="T3298" s="17"/>
      <c r="AC3298" s="17"/>
    </row>
    <row r="3299">
      <c r="B3299" s="11">
        <f>IFERROR(__xludf.DUMMYFUNCTION("""COMPUTED_VALUE"""),41232.666666666664)</f>
        <v>41232.66667</v>
      </c>
      <c r="C3299" s="9">
        <f>IFERROR(__xludf.DUMMYFUNCTION("""COMPUTED_VALUE"""),32.35)</f>
        <v>32.35</v>
      </c>
      <c r="K3299" s="16"/>
      <c r="T3299" s="17"/>
      <c r="AC3299" s="17"/>
    </row>
    <row r="3300">
      <c r="B3300" s="11">
        <f>IFERROR(__xludf.DUMMYFUNCTION("""COMPUTED_VALUE"""),41229.666666666664)</f>
        <v>41229.66667</v>
      </c>
      <c r="C3300" s="9">
        <f>IFERROR(__xludf.DUMMYFUNCTION("""COMPUTED_VALUE"""),31.68)</f>
        <v>31.68</v>
      </c>
      <c r="K3300" s="16"/>
      <c r="T3300" s="17"/>
      <c r="AC3300" s="17"/>
    </row>
    <row r="3301">
      <c r="B3301" s="11">
        <f>IFERROR(__xludf.DUMMYFUNCTION("""COMPUTED_VALUE"""),41228.666666666664)</f>
        <v>41228.66667</v>
      </c>
      <c r="C3301" s="9">
        <f>IFERROR(__xludf.DUMMYFUNCTION("""COMPUTED_VALUE"""),31.58)</f>
        <v>31.58</v>
      </c>
      <c r="K3301" s="16"/>
      <c r="T3301" s="17"/>
      <c r="AC3301" s="17"/>
    </row>
    <row r="3302">
      <c r="B3302" s="11">
        <f>IFERROR(__xludf.DUMMYFUNCTION("""COMPUTED_VALUE"""),41227.666666666664)</f>
        <v>41227.66667</v>
      </c>
      <c r="C3302" s="9">
        <f>IFERROR(__xludf.DUMMYFUNCTION("""COMPUTED_VALUE"""),31.74)</f>
        <v>31.74</v>
      </c>
      <c r="K3302" s="16"/>
      <c r="T3302" s="17"/>
      <c r="AC3302" s="17"/>
    </row>
    <row r="3303">
      <c r="B3303" s="11">
        <f>IFERROR(__xludf.DUMMYFUNCTION("""COMPUTED_VALUE"""),41226.666666666664)</f>
        <v>41226.66667</v>
      </c>
      <c r="C3303" s="9">
        <f>IFERROR(__xludf.DUMMYFUNCTION("""COMPUTED_VALUE"""),32.52)</f>
        <v>32.52</v>
      </c>
      <c r="K3303" s="16"/>
      <c r="T3303" s="17"/>
      <c r="AC3303" s="17"/>
    </row>
    <row r="3304">
      <c r="B3304" s="11">
        <f>IFERROR(__xludf.DUMMYFUNCTION("""COMPUTED_VALUE"""),41225.666666666664)</f>
        <v>41225.66667</v>
      </c>
      <c r="C3304" s="9">
        <f>IFERROR(__xludf.DUMMYFUNCTION("""COMPUTED_VALUE"""),32.55)</f>
        <v>32.55</v>
      </c>
      <c r="K3304" s="16"/>
      <c r="T3304" s="17"/>
      <c r="AC3304" s="17"/>
    </row>
    <row r="3305">
      <c r="B3305" s="11">
        <f>IFERROR(__xludf.DUMMYFUNCTION("""COMPUTED_VALUE"""),41222.666666666664)</f>
        <v>41222.66667</v>
      </c>
      <c r="C3305" s="9">
        <f>IFERROR(__xludf.DUMMYFUNCTION("""COMPUTED_VALUE"""),32.37)</f>
        <v>32.37</v>
      </c>
      <c r="K3305" s="16"/>
      <c r="T3305" s="17"/>
      <c r="AC3305" s="17"/>
    </row>
    <row r="3306">
      <c r="B3306" s="11">
        <f>IFERROR(__xludf.DUMMYFUNCTION("""COMPUTED_VALUE"""),41221.666666666664)</f>
        <v>41221.66667</v>
      </c>
      <c r="C3306" s="9">
        <f>IFERROR(__xludf.DUMMYFUNCTION("""COMPUTED_VALUE"""),32.23)</f>
        <v>32.23</v>
      </c>
      <c r="K3306" s="16"/>
      <c r="T3306" s="17"/>
      <c r="AC3306" s="17"/>
    </row>
    <row r="3307">
      <c r="B3307" s="11">
        <f>IFERROR(__xludf.DUMMYFUNCTION("""COMPUTED_VALUE"""),41220.666666666664)</f>
        <v>41220.66667</v>
      </c>
      <c r="C3307" s="9">
        <f>IFERROR(__xludf.DUMMYFUNCTION("""COMPUTED_VALUE"""),32.59)</f>
        <v>32.59</v>
      </c>
      <c r="K3307" s="16"/>
      <c r="T3307" s="17"/>
      <c r="AC3307" s="17"/>
    </row>
    <row r="3308">
      <c r="B3308" s="11">
        <f>IFERROR(__xludf.DUMMYFUNCTION("""COMPUTED_VALUE"""),41219.666666666664)</f>
        <v>41219.66667</v>
      </c>
      <c r="C3308" s="9">
        <f>IFERROR(__xludf.DUMMYFUNCTION("""COMPUTED_VALUE"""),33.6)</f>
        <v>33.6</v>
      </c>
      <c r="K3308" s="16"/>
      <c r="T3308" s="17"/>
      <c r="AC3308" s="17"/>
    </row>
    <row r="3309">
      <c r="B3309" s="11">
        <f>IFERROR(__xludf.DUMMYFUNCTION("""COMPUTED_VALUE"""),41218.666666666664)</f>
        <v>41218.66667</v>
      </c>
      <c r="C3309" s="9">
        <f>IFERROR(__xludf.DUMMYFUNCTION("""COMPUTED_VALUE"""),33.03)</f>
        <v>33.03</v>
      </c>
      <c r="K3309" s="16"/>
      <c r="T3309" s="17"/>
      <c r="AC3309" s="17"/>
    </row>
    <row r="3310">
      <c r="B3310" s="11">
        <f>IFERROR(__xludf.DUMMYFUNCTION("""COMPUTED_VALUE"""),41215.666666666664)</f>
        <v>41215.66667</v>
      </c>
      <c r="C3310" s="9">
        <f>IFERROR(__xludf.DUMMYFUNCTION("""COMPUTED_VALUE"""),33.01)</f>
        <v>33.01</v>
      </c>
      <c r="K3310" s="16"/>
      <c r="T3310" s="17"/>
      <c r="AC3310" s="17"/>
    </row>
    <row r="3311">
      <c r="B3311" s="11">
        <f>IFERROR(__xludf.DUMMYFUNCTION("""COMPUTED_VALUE"""),41214.666666666664)</f>
        <v>41214.66667</v>
      </c>
      <c r="C3311" s="9">
        <f>IFERROR(__xludf.DUMMYFUNCTION("""COMPUTED_VALUE"""),33.19)</f>
        <v>33.19</v>
      </c>
      <c r="K3311" s="16"/>
      <c r="T3311" s="17"/>
      <c r="AC3311" s="17"/>
    </row>
    <row r="3312">
      <c r="B3312" s="11">
        <f>IFERROR(__xludf.DUMMYFUNCTION("""COMPUTED_VALUE"""),41213.666666666664)</f>
        <v>41213.66667</v>
      </c>
      <c r="C3312" s="9">
        <f>IFERROR(__xludf.DUMMYFUNCTION("""COMPUTED_VALUE"""),32.88)</f>
        <v>32.88</v>
      </c>
      <c r="K3312" s="16"/>
      <c r="T3312" s="17"/>
      <c r="AC3312" s="17"/>
    </row>
    <row r="3313">
      <c r="B3313" s="11">
        <f>IFERROR(__xludf.DUMMYFUNCTION("""COMPUTED_VALUE"""),41208.666666666664)</f>
        <v>41208.66667</v>
      </c>
      <c r="C3313" s="9">
        <f>IFERROR(__xludf.DUMMYFUNCTION("""COMPUTED_VALUE"""),32.65)</f>
        <v>32.65</v>
      </c>
      <c r="K3313" s="16"/>
      <c r="T3313" s="17"/>
      <c r="AC3313" s="17"/>
    </row>
    <row r="3314">
      <c r="B3314" s="11">
        <f>IFERROR(__xludf.DUMMYFUNCTION("""COMPUTED_VALUE"""),41207.666666666664)</f>
        <v>41207.66667</v>
      </c>
      <c r="C3314" s="9">
        <f>IFERROR(__xludf.DUMMYFUNCTION("""COMPUTED_VALUE"""),32.61)</f>
        <v>32.61</v>
      </c>
      <c r="K3314" s="16"/>
      <c r="T3314" s="17"/>
      <c r="AC3314" s="17"/>
    </row>
    <row r="3315">
      <c r="B3315" s="11">
        <f>IFERROR(__xludf.DUMMYFUNCTION("""COMPUTED_VALUE"""),41206.666666666664)</f>
        <v>41206.66667</v>
      </c>
      <c r="C3315" s="9">
        <f>IFERROR(__xludf.DUMMYFUNCTION("""COMPUTED_VALUE"""),32.71)</f>
        <v>32.71</v>
      </c>
      <c r="K3315" s="16"/>
      <c r="T3315" s="17"/>
      <c r="AC3315" s="17"/>
    </row>
    <row r="3316">
      <c r="B3316" s="11">
        <f>IFERROR(__xludf.DUMMYFUNCTION("""COMPUTED_VALUE"""),41205.666666666664)</f>
        <v>41205.66667</v>
      </c>
      <c r="C3316" s="9">
        <f>IFERROR(__xludf.DUMMYFUNCTION("""COMPUTED_VALUE"""),32.66)</f>
        <v>32.66</v>
      </c>
      <c r="K3316" s="16"/>
      <c r="T3316" s="17"/>
      <c r="AC3316" s="17"/>
    </row>
    <row r="3317">
      <c r="B3317" s="11">
        <f>IFERROR(__xludf.DUMMYFUNCTION("""COMPUTED_VALUE"""),41204.666666666664)</f>
        <v>41204.66667</v>
      </c>
      <c r="C3317" s="9">
        <f>IFERROR(__xludf.DUMMYFUNCTION("""COMPUTED_VALUE"""),32.91)</f>
        <v>32.91</v>
      </c>
      <c r="K3317" s="16"/>
      <c r="T3317" s="17"/>
      <c r="AC3317" s="17"/>
    </row>
    <row r="3318">
      <c r="B3318" s="11">
        <f>IFERROR(__xludf.DUMMYFUNCTION("""COMPUTED_VALUE"""),41201.666666666664)</f>
        <v>41201.66667</v>
      </c>
      <c r="C3318" s="9">
        <f>IFERROR(__xludf.DUMMYFUNCTION("""COMPUTED_VALUE"""),33.07)</f>
        <v>33.07</v>
      </c>
      <c r="K3318" s="16"/>
      <c r="T3318" s="17"/>
      <c r="AC3318" s="17"/>
    </row>
    <row r="3319">
      <c r="B3319" s="11">
        <f>IFERROR(__xludf.DUMMYFUNCTION("""COMPUTED_VALUE"""),41200.666666666664)</f>
        <v>41200.66667</v>
      </c>
      <c r="C3319" s="9">
        <f>IFERROR(__xludf.DUMMYFUNCTION("""COMPUTED_VALUE"""),33.58)</f>
        <v>33.58</v>
      </c>
      <c r="K3319" s="16"/>
      <c r="T3319" s="17"/>
      <c r="AC3319" s="17"/>
    </row>
    <row r="3320">
      <c r="B3320" s="11">
        <f>IFERROR(__xludf.DUMMYFUNCTION("""COMPUTED_VALUE"""),41199.666666666664)</f>
        <v>41199.66667</v>
      </c>
      <c r="C3320" s="9">
        <f>IFERROR(__xludf.DUMMYFUNCTION("""COMPUTED_VALUE"""),33.4)</f>
        <v>33.4</v>
      </c>
      <c r="K3320" s="16"/>
      <c r="T3320" s="17"/>
      <c r="AC3320" s="17"/>
    </row>
    <row r="3321">
      <c r="B3321" s="11">
        <f>IFERROR(__xludf.DUMMYFUNCTION("""COMPUTED_VALUE"""),41198.666666666664)</f>
        <v>41198.66667</v>
      </c>
      <c r="C3321" s="9">
        <f>IFERROR(__xludf.DUMMYFUNCTION("""COMPUTED_VALUE"""),33.3)</f>
        <v>33.3</v>
      </c>
      <c r="K3321" s="16"/>
      <c r="T3321" s="17"/>
      <c r="AC3321" s="17"/>
    </row>
    <row r="3322">
      <c r="B3322" s="11">
        <f>IFERROR(__xludf.DUMMYFUNCTION("""COMPUTED_VALUE"""),41197.666666666664)</f>
        <v>41197.66667</v>
      </c>
      <c r="C3322" s="9">
        <f>IFERROR(__xludf.DUMMYFUNCTION("""COMPUTED_VALUE"""),32.87)</f>
        <v>32.87</v>
      </c>
      <c r="K3322" s="16"/>
      <c r="T3322" s="17"/>
      <c r="AC3322" s="17"/>
    </row>
    <row r="3323">
      <c r="B3323" s="11">
        <f>IFERROR(__xludf.DUMMYFUNCTION("""COMPUTED_VALUE"""),41194.666666666664)</f>
        <v>41194.66667</v>
      </c>
      <c r="C3323" s="9">
        <f>IFERROR(__xludf.DUMMYFUNCTION("""COMPUTED_VALUE"""),32.67)</f>
        <v>32.67</v>
      </c>
      <c r="K3323" s="16"/>
      <c r="T3323" s="17"/>
      <c r="AC3323" s="17"/>
    </row>
    <row r="3324">
      <c r="B3324" s="11">
        <f>IFERROR(__xludf.DUMMYFUNCTION("""COMPUTED_VALUE"""),41193.666666666664)</f>
        <v>41193.66667</v>
      </c>
      <c r="C3324" s="9">
        <f>IFERROR(__xludf.DUMMYFUNCTION("""COMPUTED_VALUE"""),32.66)</f>
        <v>32.66</v>
      </c>
      <c r="K3324" s="16"/>
      <c r="T3324" s="17"/>
      <c r="AC3324" s="17"/>
    </row>
    <row r="3325">
      <c r="B3325" s="11">
        <f>IFERROR(__xludf.DUMMYFUNCTION("""COMPUTED_VALUE"""),41192.666666666664)</f>
        <v>41192.66667</v>
      </c>
      <c r="C3325" s="9">
        <f>IFERROR(__xludf.DUMMYFUNCTION("""COMPUTED_VALUE"""),32.49)</f>
        <v>32.49</v>
      </c>
      <c r="K3325" s="16"/>
      <c r="T3325" s="17"/>
      <c r="AC3325" s="17"/>
    </row>
    <row r="3326">
      <c r="B3326" s="11">
        <f>IFERROR(__xludf.DUMMYFUNCTION("""COMPUTED_VALUE"""),41191.666666666664)</f>
        <v>41191.66667</v>
      </c>
      <c r="C3326" s="9">
        <f>IFERROR(__xludf.DUMMYFUNCTION("""COMPUTED_VALUE"""),32.7)</f>
        <v>32.7</v>
      </c>
      <c r="K3326" s="16"/>
      <c r="T3326" s="17"/>
      <c r="AC3326" s="17"/>
    </row>
    <row r="3327">
      <c r="B3327" s="11">
        <f>IFERROR(__xludf.DUMMYFUNCTION("""COMPUTED_VALUE"""),41190.666666666664)</f>
        <v>41190.66667</v>
      </c>
      <c r="C3327" s="9">
        <f>IFERROR(__xludf.DUMMYFUNCTION("""COMPUTED_VALUE"""),33.01)</f>
        <v>33.01</v>
      </c>
      <c r="K3327" s="16"/>
      <c r="T3327" s="17"/>
      <c r="AC3327" s="17"/>
    </row>
    <row r="3328">
      <c r="B3328" s="11">
        <f>IFERROR(__xludf.DUMMYFUNCTION("""COMPUTED_VALUE"""),41187.666666666664)</f>
        <v>41187.66667</v>
      </c>
      <c r="C3328" s="9">
        <f>IFERROR(__xludf.DUMMYFUNCTION("""COMPUTED_VALUE"""),33.18)</f>
        <v>33.18</v>
      </c>
      <c r="K3328" s="16"/>
      <c r="T3328" s="17"/>
      <c r="AC3328" s="17"/>
    </row>
    <row r="3329">
      <c r="B3329" s="11">
        <f>IFERROR(__xludf.DUMMYFUNCTION("""COMPUTED_VALUE"""),41186.666666666664)</f>
        <v>41186.66667</v>
      </c>
      <c r="C3329" s="9">
        <f>IFERROR(__xludf.DUMMYFUNCTION("""COMPUTED_VALUE"""),33.06)</f>
        <v>33.06</v>
      </c>
      <c r="K3329" s="16"/>
      <c r="T3329" s="17"/>
      <c r="AC3329" s="17"/>
    </row>
    <row r="3330">
      <c r="B3330" s="11">
        <f>IFERROR(__xludf.DUMMYFUNCTION("""COMPUTED_VALUE"""),41185.666666666664)</f>
        <v>41185.66667</v>
      </c>
      <c r="C3330" s="9">
        <f>IFERROR(__xludf.DUMMYFUNCTION("""COMPUTED_VALUE"""),32.89)</f>
        <v>32.89</v>
      </c>
      <c r="K3330" s="16"/>
      <c r="T3330" s="17"/>
      <c r="AC3330" s="17"/>
    </row>
    <row r="3331">
      <c r="B3331" s="11">
        <f>IFERROR(__xludf.DUMMYFUNCTION("""COMPUTED_VALUE"""),41184.666666666664)</f>
        <v>41184.66667</v>
      </c>
      <c r="C3331" s="9">
        <f>IFERROR(__xludf.DUMMYFUNCTION("""COMPUTED_VALUE"""),32.95)</f>
        <v>32.95</v>
      </c>
      <c r="K3331" s="16"/>
      <c r="T3331" s="17"/>
      <c r="AC3331" s="17"/>
    </row>
    <row r="3332">
      <c r="B3332" s="11">
        <f>IFERROR(__xludf.DUMMYFUNCTION("""COMPUTED_VALUE"""),41183.666666666664)</f>
        <v>41183.66667</v>
      </c>
      <c r="C3332" s="9">
        <f>IFERROR(__xludf.DUMMYFUNCTION("""COMPUTED_VALUE"""),32.97)</f>
        <v>32.97</v>
      </c>
      <c r="K3332" s="16"/>
      <c r="T3332" s="17"/>
      <c r="AC3332" s="17"/>
    </row>
    <row r="3333">
      <c r="B3333" s="11">
        <f>IFERROR(__xludf.DUMMYFUNCTION("""COMPUTED_VALUE"""),41180.666666666664)</f>
        <v>41180.66667</v>
      </c>
      <c r="C3333" s="9">
        <f>IFERROR(__xludf.DUMMYFUNCTION("""COMPUTED_VALUE"""),32.63)</f>
        <v>32.63</v>
      </c>
      <c r="K3333" s="16"/>
      <c r="T3333" s="17"/>
      <c r="AC3333" s="17"/>
    </row>
    <row r="3334">
      <c r="B3334" s="11">
        <f>IFERROR(__xludf.DUMMYFUNCTION("""COMPUTED_VALUE"""),41179.666666666664)</f>
        <v>41179.66667</v>
      </c>
      <c r="C3334" s="9">
        <f>IFERROR(__xludf.DUMMYFUNCTION("""COMPUTED_VALUE"""),32.73)</f>
        <v>32.73</v>
      </c>
      <c r="K3334" s="16"/>
      <c r="T3334" s="17"/>
      <c r="AC3334" s="17"/>
    </row>
    <row r="3335">
      <c r="B3335" s="11">
        <f>IFERROR(__xludf.DUMMYFUNCTION("""COMPUTED_VALUE"""),41178.666666666664)</f>
        <v>41178.66667</v>
      </c>
      <c r="C3335" s="9">
        <f>IFERROR(__xludf.DUMMYFUNCTION("""COMPUTED_VALUE"""),32.46)</f>
        <v>32.46</v>
      </c>
      <c r="K3335" s="16"/>
      <c r="T3335" s="17"/>
      <c r="AC3335" s="17"/>
    </row>
    <row r="3336">
      <c r="B3336" s="11">
        <f>IFERROR(__xludf.DUMMYFUNCTION("""COMPUTED_VALUE"""),41177.666666666664)</f>
        <v>41177.66667</v>
      </c>
      <c r="C3336" s="9">
        <f>IFERROR(__xludf.DUMMYFUNCTION("""COMPUTED_VALUE"""),32.53)</f>
        <v>32.53</v>
      </c>
      <c r="K3336" s="16"/>
      <c r="T3336" s="17"/>
      <c r="AC3336" s="17"/>
    </row>
    <row r="3337">
      <c r="B3337" s="11">
        <f>IFERROR(__xludf.DUMMYFUNCTION("""COMPUTED_VALUE"""),41176.666666666664)</f>
        <v>41176.66667</v>
      </c>
      <c r="C3337" s="9">
        <f>IFERROR(__xludf.DUMMYFUNCTION("""COMPUTED_VALUE"""),32.86)</f>
        <v>32.86</v>
      </c>
      <c r="K3337" s="16"/>
      <c r="T3337" s="17"/>
      <c r="AC3337" s="17"/>
    </row>
    <row r="3338">
      <c r="B3338" s="11">
        <f>IFERROR(__xludf.DUMMYFUNCTION("""COMPUTED_VALUE"""),41173.666666666664)</f>
        <v>41173.66667</v>
      </c>
      <c r="C3338" s="9">
        <f>IFERROR(__xludf.DUMMYFUNCTION("""COMPUTED_VALUE"""),33.09)</f>
        <v>33.09</v>
      </c>
      <c r="K3338" s="16"/>
      <c r="T3338" s="17"/>
      <c r="AC3338" s="17"/>
    </row>
    <row r="3339">
      <c r="B3339" s="11">
        <f>IFERROR(__xludf.DUMMYFUNCTION("""COMPUTED_VALUE"""),41172.666666666664)</f>
        <v>41172.66667</v>
      </c>
      <c r="C3339" s="9">
        <f>IFERROR(__xludf.DUMMYFUNCTION("""COMPUTED_VALUE"""),32.95)</f>
        <v>32.95</v>
      </c>
      <c r="K3339" s="16"/>
      <c r="T3339" s="17"/>
      <c r="AC3339" s="17"/>
    </row>
    <row r="3340">
      <c r="B3340" s="11">
        <f>IFERROR(__xludf.DUMMYFUNCTION("""COMPUTED_VALUE"""),41171.666666666664)</f>
        <v>41171.66667</v>
      </c>
      <c r="C3340" s="9">
        <f>IFERROR(__xludf.DUMMYFUNCTION("""COMPUTED_VALUE"""),33.13)</f>
        <v>33.13</v>
      </c>
      <c r="K3340" s="16"/>
      <c r="T3340" s="17"/>
      <c r="AC3340" s="17"/>
    </row>
    <row r="3341">
      <c r="B3341" s="11">
        <f>IFERROR(__xludf.DUMMYFUNCTION("""COMPUTED_VALUE"""),41170.666666666664)</f>
        <v>41170.66667</v>
      </c>
      <c r="C3341" s="9">
        <f>IFERROR(__xludf.DUMMYFUNCTION("""COMPUTED_VALUE"""),33.13)</f>
        <v>33.13</v>
      </c>
      <c r="K3341" s="16"/>
      <c r="T3341" s="17"/>
      <c r="AC3341" s="17"/>
    </row>
    <row r="3342">
      <c r="B3342" s="11">
        <f>IFERROR(__xludf.DUMMYFUNCTION("""COMPUTED_VALUE"""),41169.666666666664)</f>
        <v>41169.66667</v>
      </c>
      <c r="C3342" s="9">
        <f>IFERROR(__xludf.DUMMYFUNCTION("""COMPUTED_VALUE"""),33.15)</f>
        <v>33.15</v>
      </c>
      <c r="K3342" s="16"/>
      <c r="T3342" s="17"/>
      <c r="AC3342" s="17"/>
    </row>
    <row r="3343">
      <c r="B3343" s="11">
        <f>IFERROR(__xludf.DUMMYFUNCTION("""COMPUTED_VALUE"""),41166.666666666664)</f>
        <v>41166.66667</v>
      </c>
      <c r="C3343" s="9">
        <f>IFERROR(__xludf.DUMMYFUNCTION("""COMPUTED_VALUE"""),33.3)</f>
        <v>33.3</v>
      </c>
      <c r="K3343" s="16"/>
      <c r="T3343" s="17"/>
      <c r="AC3343" s="17"/>
    </row>
    <row r="3344">
      <c r="B3344" s="11">
        <f>IFERROR(__xludf.DUMMYFUNCTION("""COMPUTED_VALUE"""),41165.666666666664)</f>
        <v>41165.66667</v>
      </c>
      <c r="C3344" s="9">
        <f>IFERROR(__xludf.DUMMYFUNCTION("""COMPUTED_VALUE"""),33.14)</f>
        <v>33.14</v>
      </c>
      <c r="K3344" s="16"/>
      <c r="T3344" s="17"/>
      <c r="AC3344" s="17"/>
    </row>
    <row r="3345">
      <c r="B3345" s="11">
        <f>IFERROR(__xludf.DUMMYFUNCTION("""COMPUTED_VALUE"""),41164.666666666664)</f>
        <v>41164.66667</v>
      </c>
      <c r="C3345" s="9">
        <f>IFERROR(__xludf.DUMMYFUNCTION("""COMPUTED_VALUE"""),32.81)</f>
        <v>32.81</v>
      </c>
      <c r="K3345" s="16"/>
      <c r="T3345" s="17"/>
      <c r="AC3345" s="17"/>
    </row>
    <row r="3346">
      <c r="B3346" s="11">
        <f>IFERROR(__xludf.DUMMYFUNCTION("""COMPUTED_VALUE"""),41163.666666666664)</f>
        <v>41163.66667</v>
      </c>
      <c r="C3346" s="9">
        <f>IFERROR(__xludf.DUMMYFUNCTION("""COMPUTED_VALUE"""),32.7)</f>
        <v>32.7</v>
      </c>
      <c r="K3346" s="16"/>
      <c r="T3346" s="17"/>
      <c r="AC3346" s="17"/>
    </row>
    <row r="3347">
      <c r="B3347" s="11">
        <f>IFERROR(__xludf.DUMMYFUNCTION("""COMPUTED_VALUE"""),41162.666666666664)</f>
        <v>41162.66667</v>
      </c>
      <c r="C3347" s="9">
        <f>IFERROR(__xludf.DUMMYFUNCTION("""COMPUTED_VALUE"""),32.63)</f>
        <v>32.63</v>
      </c>
      <c r="K3347" s="16"/>
      <c r="T3347" s="17"/>
      <c r="AC3347" s="17"/>
    </row>
    <row r="3348">
      <c r="B3348" s="11">
        <f>IFERROR(__xludf.DUMMYFUNCTION("""COMPUTED_VALUE"""),41159.666666666664)</f>
        <v>41159.66667</v>
      </c>
      <c r="C3348" s="9">
        <f>IFERROR(__xludf.DUMMYFUNCTION("""COMPUTED_VALUE"""),32.96)</f>
        <v>32.96</v>
      </c>
      <c r="K3348" s="16"/>
      <c r="T3348" s="17"/>
      <c r="AC3348" s="17"/>
    </row>
    <row r="3349">
      <c r="B3349" s="11">
        <f>IFERROR(__xludf.DUMMYFUNCTION("""COMPUTED_VALUE"""),41158.666666666664)</f>
        <v>41158.66667</v>
      </c>
      <c r="C3349" s="9">
        <f>IFERROR(__xludf.DUMMYFUNCTION("""COMPUTED_VALUE"""),32.79)</f>
        <v>32.79</v>
      </c>
      <c r="K3349" s="16"/>
      <c r="T3349" s="17"/>
      <c r="AC3349" s="17"/>
    </row>
    <row r="3350">
      <c r="B3350" s="11">
        <f>IFERROR(__xludf.DUMMYFUNCTION("""COMPUTED_VALUE"""),41157.666666666664)</f>
        <v>41157.66667</v>
      </c>
      <c r="C3350" s="9">
        <f>IFERROR(__xludf.DUMMYFUNCTION("""COMPUTED_VALUE"""),32.15)</f>
        <v>32.15</v>
      </c>
      <c r="K3350" s="16"/>
      <c r="T3350" s="17"/>
      <c r="AC3350" s="17"/>
    </row>
    <row r="3351">
      <c r="B3351" s="11">
        <f>IFERROR(__xludf.DUMMYFUNCTION("""COMPUTED_VALUE"""),41156.666666666664)</f>
        <v>41156.66667</v>
      </c>
      <c r="C3351" s="9">
        <f>IFERROR(__xludf.DUMMYFUNCTION("""COMPUTED_VALUE"""),32.09)</f>
        <v>32.09</v>
      </c>
      <c r="K3351" s="16"/>
      <c r="T3351" s="17"/>
      <c r="AC3351" s="17"/>
    </row>
    <row r="3352">
      <c r="B3352" s="11">
        <f>IFERROR(__xludf.DUMMYFUNCTION("""COMPUTED_VALUE"""),41152.666666666664)</f>
        <v>41152.66667</v>
      </c>
      <c r="C3352" s="9">
        <f>IFERROR(__xludf.DUMMYFUNCTION("""COMPUTED_VALUE"""),32.26)</f>
        <v>32.26</v>
      </c>
      <c r="K3352" s="16"/>
      <c r="T3352" s="17"/>
      <c r="AC3352" s="17"/>
    </row>
    <row r="3353">
      <c r="B3353" s="11">
        <f>IFERROR(__xludf.DUMMYFUNCTION("""COMPUTED_VALUE"""),41151.666666666664)</f>
        <v>41151.66667</v>
      </c>
      <c r="C3353" s="9">
        <f>IFERROR(__xludf.DUMMYFUNCTION("""COMPUTED_VALUE"""),32.05)</f>
        <v>32.05</v>
      </c>
      <c r="K3353" s="16"/>
      <c r="T3353" s="17"/>
      <c r="AC3353" s="17"/>
    </row>
    <row r="3354">
      <c r="B3354" s="11">
        <f>IFERROR(__xludf.DUMMYFUNCTION("""COMPUTED_VALUE"""),41150.666666666664)</f>
        <v>41150.66667</v>
      </c>
      <c r="C3354" s="9">
        <f>IFERROR(__xludf.DUMMYFUNCTION("""COMPUTED_VALUE"""),32.32)</f>
        <v>32.32</v>
      </c>
      <c r="K3354" s="16"/>
      <c r="T3354" s="17"/>
      <c r="AC3354" s="17"/>
    </row>
    <row r="3355">
      <c r="B3355" s="11">
        <f>IFERROR(__xludf.DUMMYFUNCTION("""COMPUTED_VALUE"""),41149.666666666664)</f>
        <v>41149.66667</v>
      </c>
      <c r="C3355" s="9">
        <f>IFERROR(__xludf.DUMMYFUNCTION("""COMPUTED_VALUE"""),32.28)</f>
        <v>32.28</v>
      </c>
      <c r="K3355" s="16"/>
      <c r="T3355" s="17"/>
      <c r="AC3355" s="17"/>
    </row>
    <row r="3356">
      <c r="B3356" s="11">
        <f>IFERROR(__xludf.DUMMYFUNCTION("""COMPUTED_VALUE"""),41148.666666666664)</f>
        <v>41148.66667</v>
      </c>
      <c r="C3356" s="9">
        <f>IFERROR(__xludf.DUMMYFUNCTION("""COMPUTED_VALUE"""),32.21)</f>
        <v>32.21</v>
      </c>
      <c r="K3356" s="16"/>
      <c r="T3356" s="17"/>
      <c r="AC3356" s="17"/>
    </row>
    <row r="3357">
      <c r="B3357" s="11">
        <f>IFERROR(__xludf.DUMMYFUNCTION("""COMPUTED_VALUE"""),41145.666666666664)</f>
        <v>41145.66667</v>
      </c>
      <c r="C3357" s="9">
        <f>IFERROR(__xludf.DUMMYFUNCTION("""COMPUTED_VALUE"""),32.23)</f>
        <v>32.23</v>
      </c>
      <c r="K3357" s="16"/>
      <c r="T3357" s="17"/>
      <c r="AC3357" s="17"/>
    </row>
    <row r="3358">
      <c r="B3358" s="11">
        <f>IFERROR(__xludf.DUMMYFUNCTION("""COMPUTED_VALUE"""),41144.666666666664)</f>
        <v>41144.66667</v>
      </c>
      <c r="C3358" s="9">
        <f>IFERROR(__xludf.DUMMYFUNCTION("""COMPUTED_VALUE"""),32.12)</f>
        <v>32.12</v>
      </c>
      <c r="K3358" s="16"/>
      <c r="T3358" s="17"/>
      <c r="AC3358" s="17"/>
    </row>
    <row r="3359">
      <c r="B3359" s="11">
        <f>IFERROR(__xludf.DUMMYFUNCTION("""COMPUTED_VALUE"""),41143.666666666664)</f>
        <v>41143.66667</v>
      </c>
      <c r="C3359" s="9">
        <f>IFERROR(__xludf.DUMMYFUNCTION("""COMPUTED_VALUE"""),32.46)</f>
        <v>32.46</v>
      </c>
      <c r="K3359" s="16"/>
      <c r="T3359" s="17"/>
      <c r="AC3359" s="17"/>
    </row>
    <row r="3360">
      <c r="B3360" s="11">
        <f>IFERROR(__xludf.DUMMYFUNCTION("""COMPUTED_VALUE"""),41142.666666666664)</f>
        <v>41142.66667</v>
      </c>
      <c r="C3360" s="9">
        <f>IFERROR(__xludf.DUMMYFUNCTION("""COMPUTED_VALUE"""),32.71)</f>
        <v>32.71</v>
      </c>
      <c r="K3360" s="16"/>
      <c r="T3360" s="17"/>
      <c r="AC3360" s="17"/>
    </row>
    <row r="3361">
      <c r="B3361" s="11">
        <f>IFERROR(__xludf.DUMMYFUNCTION("""COMPUTED_VALUE"""),41141.666666666664)</f>
        <v>41141.66667</v>
      </c>
      <c r="C3361" s="9">
        <f>IFERROR(__xludf.DUMMYFUNCTION("""COMPUTED_VALUE"""),32.81)</f>
        <v>32.81</v>
      </c>
      <c r="K3361" s="16"/>
      <c r="T3361" s="17"/>
      <c r="AC3361" s="17"/>
    </row>
    <row r="3362">
      <c r="B3362" s="11">
        <f>IFERROR(__xludf.DUMMYFUNCTION("""COMPUTED_VALUE"""),41138.666666666664)</f>
        <v>41138.66667</v>
      </c>
      <c r="C3362" s="9">
        <f>IFERROR(__xludf.DUMMYFUNCTION("""COMPUTED_VALUE"""),32.7)</f>
        <v>32.7</v>
      </c>
      <c r="K3362" s="16"/>
      <c r="T3362" s="17"/>
      <c r="AC3362" s="17"/>
    </row>
    <row r="3363">
      <c r="B3363" s="11">
        <f>IFERROR(__xludf.DUMMYFUNCTION("""COMPUTED_VALUE"""),41137.666666666664)</f>
        <v>41137.66667</v>
      </c>
      <c r="C3363" s="9">
        <f>IFERROR(__xludf.DUMMYFUNCTION("""COMPUTED_VALUE"""),32.48)</f>
        <v>32.48</v>
      </c>
      <c r="K3363" s="16"/>
      <c r="T3363" s="17"/>
      <c r="AC3363" s="17"/>
    </row>
    <row r="3364">
      <c r="B3364" s="11">
        <f>IFERROR(__xludf.DUMMYFUNCTION("""COMPUTED_VALUE"""),41136.666666666664)</f>
        <v>41136.66667</v>
      </c>
      <c r="C3364" s="9">
        <f>IFERROR(__xludf.DUMMYFUNCTION("""COMPUTED_VALUE"""),32.17)</f>
        <v>32.17</v>
      </c>
      <c r="K3364" s="16"/>
      <c r="T3364" s="17"/>
      <c r="AC3364" s="17"/>
    </row>
    <row r="3365">
      <c r="B3365" s="11">
        <f>IFERROR(__xludf.DUMMYFUNCTION("""COMPUTED_VALUE"""),41135.666666666664)</f>
        <v>41135.66667</v>
      </c>
      <c r="C3365" s="9">
        <f>IFERROR(__xludf.DUMMYFUNCTION("""COMPUTED_VALUE"""),32.13)</f>
        <v>32.13</v>
      </c>
      <c r="K3365" s="16"/>
      <c r="T3365" s="17"/>
      <c r="AC3365" s="17"/>
    </row>
    <row r="3366">
      <c r="B3366" s="11">
        <f>IFERROR(__xludf.DUMMYFUNCTION("""COMPUTED_VALUE"""),41134.666666666664)</f>
        <v>41134.66667</v>
      </c>
      <c r="C3366" s="9">
        <f>IFERROR(__xludf.DUMMYFUNCTION("""COMPUTED_VALUE"""),32.23)</f>
        <v>32.23</v>
      </c>
      <c r="K3366" s="16"/>
      <c r="T3366" s="17"/>
      <c r="AC3366" s="17"/>
    </row>
    <row r="3367">
      <c r="B3367" s="11">
        <f>IFERROR(__xludf.DUMMYFUNCTION("""COMPUTED_VALUE"""),41131.666666666664)</f>
        <v>41131.66667</v>
      </c>
      <c r="C3367" s="9">
        <f>IFERROR(__xludf.DUMMYFUNCTION("""COMPUTED_VALUE"""),32.29)</f>
        <v>32.29</v>
      </c>
      <c r="K3367" s="16"/>
      <c r="T3367" s="17"/>
      <c r="AC3367" s="17"/>
    </row>
    <row r="3368">
      <c r="B3368" s="11">
        <f>IFERROR(__xludf.DUMMYFUNCTION("""COMPUTED_VALUE"""),41130.666666666664)</f>
        <v>41130.66667</v>
      </c>
      <c r="C3368" s="9">
        <f>IFERROR(__xludf.DUMMYFUNCTION("""COMPUTED_VALUE"""),32.38)</f>
        <v>32.38</v>
      </c>
      <c r="K3368" s="16"/>
      <c r="T3368" s="17"/>
      <c r="AC3368" s="17"/>
    </row>
    <row r="3369">
      <c r="B3369" s="11">
        <f>IFERROR(__xludf.DUMMYFUNCTION("""COMPUTED_VALUE"""),41129.666666666664)</f>
        <v>41129.66667</v>
      </c>
      <c r="C3369" s="9">
        <f>IFERROR(__xludf.DUMMYFUNCTION("""COMPUTED_VALUE"""),32.2)</f>
        <v>32.2</v>
      </c>
      <c r="K3369" s="16"/>
      <c r="T3369" s="17"/>
      <c r="AC3369" s="17"/>
    </row>
    <row r="3370">
      <c r="B3370" s="11">
        <f>IFERROR(__xludf.DUMMYFUNCTION("""COMPUTED_VALUE"""),41128.666666666664)</f>
        <v>41128.66667</v>
      </c>
      <c r="C3370" s="9">
        <f>IFERROR(__xludf.DUMMYFUNCTION("""COMPUTED_VALUE"""),32.15)</f>
        <v>32.15</v>
      </c>
      <c r="K3370" s="16"/>
      <c r="T3370" s="17"/>
      <c r="AC3370" s="17"/>
    </row>
    <row r="3371">
      <c r="B3371" s="11">
        <f>IFERROR(__xludf.DUMMYFUNCTION("""COMPUTED_VALUE"""),41127.666666666664)</f>
        <v>41127.66667</v>
      </c>
      <c r="C3371" s="9">
        <f>IFERROR(__xludf.DUMMYFUNCTION("""COMPUTED_VALUE"""),31.66)</f>
        <v>31.66</v>
      </c>
      <c r="K3371" s="16"/>
      <c r="T3371" s="17"/>
      <c r="AC3371" s="17"/>
    </row>
    <row r="3372">
      <c r="B3372" s="11">
        <f>IFERROR(__xludf.DUMMYFUNCTION("""COMPUTED_VALUE"""),41124.666666666664)</f>
        <v>41124.66667</v>
      </c>
      <c r="C3372" s="9">
        <f>IFERROR(__xludf.DUMMYFUNCTION("""COMPUTED_VALUE"""),31.67)</f>
        <v>31.67</v>
      </c>
      <c r="K3372" s="16"/>
      <c r="T3372" s="17"/>
      <c r="AC3372" s="17"/>
    </row>
    <row r="3373">
      <c r="B3373" s="11">
        <f>IFERROR(__xludf.DUMMYFUNCTION("""COMPUTED_VALUE"""),41123.666666666664)</f>
        <v>41123.66667</v>
      </c>
      <c r="C3373" s="9">
        <f>IFERROR(__xludf.DUMMYFUNCTION("""COMPUTED_VALUE"""),30.96)</f>
        <v>30.96</v>
      </c>
      <c r="K3373" s="16"/>
      <c r="T3373" s="17"/>
      <c r="AC3373" s="17"/>
    </row>
    <row r="3374">
      <c r="B3374" s="11">
        <f>IFERROR(__xludf.DUMMYFUNCTION("""COMPUTED_VALUE"""),41122.666666666664)</f>
        <v>41122.66667</v>
      </c>
      <c r="C3374" s="9">
        <f>IFERROR(__xludf.DUMMYFUNCTION("""COMPUTED_VALUE"""),31.23)</f>
        <v>31.23</v>
      </c>
      <c r="K3374" s="16"/>
      <c r="T3374" s="17"/>
      <c r="AC3374" s="17"/>
    </row>
    <row r="3375">
      <c r="B3375" s="11">
        <f>IFERROR(__xludf.DUMMYFUNCTION("""COMPUTED_VALUE"""),41121.666666666664)</f>
        <v>41121.66667</v>
      </c>
      <c r="C3375" s="9">
        <f>IFERROR(__xludf.DUMMYFUNCTION("""COMPUTED_VALUE"""),31.56)</f>
        <v>31.56</v>
      </c>
      <c r="K3375" s="16"/>
      <c r="T3375" s="17"/>
      <c r="AC3375" s="17"/>
    </row>
    <row r="3376">
      <c r="B3376" s="11">
        <f>IFERROR(__xludf.DUMMYFUNCTION("""COMPUTED_VALUE"""),41120.666666666664)</f>
        <v>41120.66667</v>
      </c>
      <c r="C3376" s="9">
        <f>IFERROR(__xludf.DUMMYFUNCTION("""COMPUTED_VALUE"""),31.63)</f>
        <v>31.63</v>
      </c>
      <c r="K3376" s="16"/>
      <c r="T3376" s="17"/>
      <c r="AC3376" s="17"/>
    </row>
    <row r="3377">
      <c r="B3377" s="11">
        <f>IFERROR(__xludf.DUMMYFUNCTION("""COMPUTED_VALUE"""),41117.666666666664)</f>
        <v>41117.66667</v>
      </c>
      <c r="C3377" s="9">
        <f>IFERROR(__xludf.DUMMYFUNCTION("""COMPUTED_VALUE"""),31.67)</f>
        <v>31.67</v>
      </c>
      <c r="K3377" s="16"/>
      <c r="T3377" s="17"/>
      <c r="AC3377" s="17"/>
    </row>
    <row r="3378">
      <c r="B3378" s="11">
        <f>IFERROR(__xludf.DUMMYFUNCTION("""COMPUTED_VALUE"""),41116.666666666664)</f>
        <v>41116.66667</v>
      </c>
      <c r="C3378" s="9">
        <f>IFERROR(__xludf.DUMMYFUNCTION("""COMPUTED_VALUE"""),31.21)</f>
        <v>31.21</v>
      </c>
      <c r="K3378" s="16"/>
      <c r="T3378" s="17"/>
      <c r="AC3378" s="17"/>
    </row>
    <row r="3379">
      <c r="B3379" s="11">
        <f>IFERROR(__xludf.DUMMYFUNCTION("""COMPUTED_VALUE"""),41115.666666666664)</f>
        <v>41115.66667</v>
      </c>
      <c r="C3379" s="9">
        <f>IFERROR(__xludf.DUMMYFUNCTION("""COMPUTED_VALUE"""),30.98)</f>
        <v>30.98</v>
      </c>
      <c r="K3379" s="16"/>
      <c r="T3379" s="17"/>
      <c r="AC3379" s="17"/>
    </row>
    <row r="3380">
      <c r="B3380" s="11">
        <f>IFERROR(__xludf.DUMMYFUNCTION("""COMPUTED_VALUE"""),41114.666666666664)</f>
        <v>41114.66667</v>
      </c>
      <c r="C3380" s="9">
        <f>IFERROR(__xludf.DUMMYFUNCTION("""COMPUTED_VALUE"""),30.88)</f>
        <v>30.88</v>
      </c>
      <c r="K3380" s="16"/>
      <c r="T3380" s="17"/>
      <c r="AC3380" s="17"/>
    </row>
    <row r="3381">
      <c r="B3381" s="11">
        <f>IFERROR(__xludf.DUMMYFUNCTION("""COMPUTED_VALUE"""),41113.666666666664)</f>
        <v>41113.66667</v>
      </c>
      <c r="C3381" s="9">
        <f>IFERROR(__xludf.DUMMYFUNCTION("""COMPUTED_VALUE"""),31.31)</f>
        <v>31.31</v>
      </c>
      <c r="K3381" s="16"/>
      <c r="T3381" s="17"/>
      <c r="AC3381" s="17"/>
    </row>
    <row r="3382">
      <c r="B3382" s="11">
        <f>IFERROR(__xludf.DUMMYFUNCTION("""COMPUTED_VALUE"""),41110.666666666664)</f>
        <v>41110.66667</v>
      </c>
      <c r="C3382" s="9">
        <f>IFERROR(__xludf.DUMMYFUNCTION("""COMPUTED_VALUE"""),31.76)</f>
        <v>31.76</v>
      </c>
      <c r="K3382" s="16"/>
      <c r="T3382" s="17"/>
      <c r="AC3382" s="17"/>
    </row>
    <row r="3383">
      <c r="B3383" s="11">
        <f>IFERROR(__xludf.DUMMYFUNCTION("""COMPUTED_VALUE"""),41109.666666666664)</f>
        <v>41109.66667</v>
      </c>
      <c r="C3383" s="9">
        <f>IFERROR(__xludf.DUMMYFUNCTION("""COMPUTED_VALUE"""),32.16)</f>
        <v>32.16</v>
      </c>
      <c r="K3383" s="16"/>
      <c r="T3383" s="17"/>
      <c r="AC3383" s="17"/>
    </row>
    <row r="3384">
      <c r="B3384" s="11">
        <f>IFERROR(__xludf.DUMMYFUNCTION("""COMPUTED_VALUE"""),41108.666666666664)</f>
        <v>41108.66667</v>
      </c>
      <c r="C3384" s="9">
        <f>IFERROR(__xludf.DUMMYFUNCTION("""COMPUTED_VALUE"""),31.86)</f>
        <v>31.86</v>
      </c>
      <c r="K3384" s="16"/>
      <c r="T3384" s="17"/>
      <c r="AC3384" s="17"/>
    </row>
    <row r="3385">
      <c r="B3385" s="11">
        <f>IFERROR(__xludf.DUMMYFUNCTION("""COMPUTED_VALUE"""),41107.666666666664)</f>
        <v>41107.66667</v>
      </c>
      <c r="C3385" s="9">
        <f>IFERROR(__xludf.DUMMYFUNCTION("""COMPUTED_VALUE"""),31.36)</f>
        <v>31.36</v>
      </c>
      <c r="K3385" s="16"/>
      <c r="T3385" s="17"/>
      <c r="AC3385" s="17"/>
    </row>
    <row r="3386">
      <c r="B3386" s="11">
        <f>IFERROR(__xludf.DUMMYFUNCTION("""COMPUTED_VALUE"""),41106.666666666664)</f>
        <v>41106.66667</v>
      </c>
      <c r="C3386" s="9">
        <f>IFERROR(__xludf.DUMMYFUNCTION("""COMPUTED_VALUE"""),31.41)</f>
        <v>31.41</v>
      </c>
      <c r="K3386" s="16"/>
      <c r="T3386" s="17"/>
      <c r="AC3386" s="17"/>
    </row>
    <row r="3387">
      <c r="B3387" s="11">
        <f>IFERROR(__xludf.DUMMYFUNCTION("""COMPUTED_VALUE"""),41103.666666666664)</f>
        <v>41103.66667</v>
      </c>
      <c r="C3387" s="9">
        <f>IFERROR(__xludf.DUMMYFUNCTION("""COMPUTED_VALUE"""),31.55)</f>
        <v>31.55</v>
      </c>
      <c r="K3387" s="16"/>
      <c r="T3387" s="17"/>
      <c r="AC3387" s="17"/>
    </row>
    <row r="3388">
      <c r="B3388" s="11">
        <f>IFERROR(__xludf.DUMMYFUNCTION("""COMPUTED_VALUE"""),41102.666666666664)</f>
        <v>41102.66667</v>
      </c>
      <c r="C3388" s="9">
        <f>IFERROR(__xludf.DUMMYFUNCTION("""COMPUTED_VALUE"""),30.93)</f>
        <v>30.93</v>
      </c>
      <c r="K3388" s="16"/>
      <c r="T3388" s="17"/>
      <c r="AC3388" s="17"/>
    </row>
    <row r="3389">
      <c r="B3389" s="11">
        <f>IFERROR(__xludf.DUMMYFUNCTION("""COMPUTED_VALUE"""),41101.666666666664)</f>
        <v>41101.66667</v>
      </c>
      <c r="C3389" s="9">
        <f>IFERROR(__xludf.DUMMYFUNCTION("""COMPUTED_VALUE"""),31.11)</f>
        <v>31.11</v>
      </c>
      <c r="K3389" s="16"/>
      <c r="T3389" s="17"/>
      <c r="AC3389" s="17"/>
    </row>
    <row r="3390">
      <c r="B3390" s="11">
        <f>IFERROR(__xludf.DUMMYFUNCTION("""COMPUTED_VALUE"""),41100.666666666664)</f>
        <v>41100.66667</v>
      </c>
      <c r="C3390" s="9">
        <f>IFERROR(__xludf.DUMMYFUNCTION("""COMPUTED_VALUE"""),31.51)</f>
        <v>31.51</v>
      </c>
      <c r="K3390" s="16"/>
      <c r="T3390" s="17"/>
      <c r="AC3390" s="17"/>
    </row>
    <row r="3391">
      <c r="B3391" s="11">
        <f>IFERROR(__xludf.DUMMYFUNCTION("""COMPUTED_VALUE"""),41099.666666666664)</f>
        <v>41099.66667</v>
      </c>
      <c r="C3391" s="9">
        <f>IFERROR(__xludf.DUMMYFUNCTION("""COMPUTED_VALUE"""),31.8)</f>
        <v>31.8</v>
      </c>
      <c r="K3391" s="16"/>
      <c r="T3391" s="17"/>
      <c r="AC3391" s="17"/>
    </row>
    <row r="3392">
      <c r="B3392" s="11">
        <f>IFERROR(__xludf.DUMMYFUNCTION("""COMPUTED_VALUE"""),41096.666666666664)</f>
        <v>41096.66667</v>
      </c>
      <c r="C3392" s="9">
        <f>IFERROR(__xludf.DUMMYFUNCTION("""COMPUTED_VALUE"""),31.81)</f>
        <v>31.81</v>
      </c>
      <c r="K3392" s="16"/>
      <c r="T3392" s="17"/>
      <c r="AC3392" s="17"/>
    </row>
    <row r="3393">
      <c r="B3393" s="11">
        <f>IFERROR(__xludf.DUMMYFUNCTION("""COMPUTED_VALUE"""),41095.666666666664)</f>
        <v>41095.66667</v>
      </c>
      <c r="C3393" s="9">
        <f>IFERROR(__xludf.DUMMYFUNCTION("""COMPUTED_VALUE"""),32.25)</f>
        <v>32.25</v>
      </c>
      <c r="K3393" s="16"/>
      <c r="T3393" s="17"/>
      <c r="AC3393" s="17"/>
    </row>
    <row r="3394">
      <c r="B3394" s="11">
        <f>IFERROR(__xludf.DUMMYFUNCTION("""COMPUTED_VALUE"""),41093.666666666664)</f>
        <v>41093.66667</v>
      </c>
      <c r="C3394" s="9">
        <f>IFERROR(__xludf.DUMMYFUNCTION("""COMPUTED_VALUE"""),32.17)</f>
        <v>32.17</v>
      </c>
      <c r="K3394" s="16"/>
      <c r="T3394" s="17"/>
      <c r="AC3394" s="17"/>
    </row>
    <row r="3395">
      <c r="B3395" s="11">
        <f>IFERROR(__xludf.DUMMYFUNCTION("""COMPUTED_VALUE"""),41092.666666666664)</f>
        <v>41092.66667</v>
      </c>
      <c r="C3395" s="9">
        <f>IFERROR(__xludf.DUMMYFUNCTION("""COMPUTED_VALUE"""),31.9)</f>
        <v>31.9</v>
      </c>
      <c r="K3395" s="16"/>
      <c r="T3395" s="17"/>
      <c r="AC3395" s="17"/>
    </row>
    <row r="3396">
      <c r="B3396" s="11">
        <f>IFERROR(__xludf.DUMMYFUNCTION("""COMPUTED_VALUE"""),41089.666666666664)</f>
        <v>41089.66667</v>
      </c>
      <c r="C3396" s="9">
        <f>IFERROR(__xludf.DUMMYFUNCTION("""COMPUTED_VALUE"""),32.0)</f>
        <v>32</v>
      </c>
      <c r="K3396" s="16"/>
      <c r="T3396" s="17"/>
      <c r="AC3396" s="17"/>
    </row>
    <row r="3397">
      <c r="B3397" s="11">
        <f>IFERROR(__xludf.DUMMYFUNCTION("""COMPUTED_VALUE"""),41088.666666666664)</f>
        <v>41088.66667</v>
      </c>
      <c r="C3397" s="9">
        <f>IFERROR(__xludf.DUMMYFUNCTION("""COMPUTED_VALUE"""),30.93)</f>
        <v>30.93</v>
      </c>
      <c r="K3397" s="16"/>
      <c r="T3397" s="17"/>
      <c r="AC3397" s="17"/>
    </row>
    <row r="3398">
      <c r="B3398" s="11">
        <f>IFERROR(__xludf.DUMMYFUNCTION("""COMPUTED_VALUE"""),41087.666666666664)</f>
        <v>41087.66667</v>
      </c>
      <c r="C3398" s="9">
        <f>IFERROR(__xludf.DUMMYFUNCTION("""COMPUTED_VALUE"""),31.14)</f>
        <v>31.14</v>
      </c>
      <c r="K3398" s="16"/>
      <c r="T3398" s="17"/>
      <c r="AC3398" s="17"/>
    </row>
    <row r="3399">
      <c r="B3399" s="11">
        <f>IFERROR(__xludf.DUMMYFUNCTION("""COMPUTED_VALUE"""),41086.666666666664)</f>
        <v>41086.66667</v>
      </c>
      <c r="C3399" s="9">
        <f>IFERROR(__xludf.DUMMYFUNCTION("""COMPUTED_VALUE"""),30.76)</f>
        <v>30.76</v>
      </c>
      <c r="K3399" s="16"/>
      <c r="T3399" s="17"/>
      <c r="AC3399" s="17"/>
    </row>
    <row r="3400">
      <c r="B3400" s="11">
        <f>IFERROR(__xludf.DUMMYFUNCTION("""COMPUTED_VALUE"""),41085.666666666664)</f>
        <v>41085.66667</v>
      </c>
      <c r="C3400" s="9">
        <f>IFERROR(__xludf.DUMMYFUNCTION("""COMPUTED_VALUE"""),30.84)</f>
        <v>30.84</v>
      </c>
      <c r="K3400" s="16"/>
      <c r="T3400" s="17"/>
      <c r="AC3400" s="17"/>
    </row>
    <row r="3401">
      <c r="B3401" s="11">
        <f>IFERROR(__xludf.DUMMYFUNCTION("""COMPUTED_VALUE"""),41082.666666666664)</f>
        <v>41082.66667</v>
      </c>
      <c r="C3401" s="9">
        <f>IFERROR(__xludf.DUMMYFUNCTION("""COMPUTED_VALUE"""),31.28)</f>
        <v>31.28</v>
      </c>
      <c r="K3401" s="16"/>
      <c r="T3401" s="17"/>
      <c r="AC3401" s="17"/>
    </row>
    <row r="3402">
      <c r="B3402" s="11">
        <f>IFERROR(__xludf.DUMMYFUNCTION("""COMPUTED_VALUE"""),41081.666666666664)</f>
        <v>41081.66667</v>
      </c>
      <c r="C3402" s="9">
        <f>IFERROR(__xludf.DUMMYFUNCTION("""COMPUTED_VALUE"""),31.13)</f>
        <v>31.13</v>
      </c>
      <c r="K3402" s="16"/>
      <c r="T3402" s="17"/>
      <c r="AC3402" s="17"/>
    </row>
    <row r="3403">
      <c r="B3403" s="11">
        <f>IFERROR(__xludf.DUMMYFUNCTION("""COMPUTED_VALUE"""),41080.666666666664)</f>
        <v>41080.66667</v>
      </c>
      <c r="C3403" s="9">
        <f>IFERROR(__xludf.DUMMYFUNCTION("""COMPUTED_VALUE"""),31.67)</f>
        <v>31.67</v>
      </c>
      <c r="K3403" s="16"/>
      <c r="T3403" s="17"/>
      <c r="AC3403" s="17"/>
    </row>
    <row r="3404">
      <c r="B3404" s="11">
        <f>IFERROR(__xludf.DUMMYFUNCTION("""COMPUTED_VALUE"""),41079.666666666664)</f>
        <v>41079.66667</v>
      </c>
      <c r="C3404" s="9">
        <f>IFERROR(__xludf.DUMMYFUNCTION("""COMPUTED_VALUE"""),31.77)</f>
        <v>31.77</v>
      </c>
      <c r="K3404" s="16"/>
      <c r="T3404" s="17"/>
      <c r="AC3404" s="17"/>
    </row>
    <row r="3405">
      <c r="B3405" s="11">
        <f>IFERROR(__xludf.DUMMYFUNCTION("""COMPUTED_VALUE"""),41078.666666666664)</f>
        <v>41078.66667</v>
      </c>
      <c r="C3405" s="9">
        <f>IFERROR(__xludf.DUMMYFUNCTION("""COMPUTED_VALUE"""),31.43)</f>
        <v>31.43</v>
      </c>
      <c r="K3405" s="16"/>
      <c r="T3405" s="17"/>
      <c r="AC3405" s="17"/>
    </row>
    <row r="3406">
      <c r="B3406" s="11">
        <f>IFERROR(__xludf.DUMMYFUNCTION("""COMPUTED_VALUE"""),41075.666666666664)</f>
        <v>41075.66667</v>
      </c>
      <c r="C3406" s="9">
        <f>IFERROR(__xludf.DUMMYFUNCTION("""COMPUTED_VALUE"""),31.17)</f>
        <v>31.17</v>
      </c>
      <c r="K3406" s="16"/>
      <c r="T3406" s="17"/>
      <c r="AC3406" s="17"/>
    </row>
    <row r="3407">
      <c r="B3407" s="11">
        <f>IFERROR(__xludf.DUMMYFUNCTION("""COMPUTED_VALUE"""),41074.666666666664)</f>
        <v>41074.66667</v>
      </c>
      <c r="C3407" s="9">
        <f>IFERROR(__xludf.DUMMYFUNCTION("""COMPUTED_VALUE"""),31.06)</f>
        <v>31.06</v>
      </c>
      <c r="K3407" s="16"/>
      <c r="T3407" s="17"/>
      <c r="AC3407" s="17"/>
    </row>
    <row r="3408">
      <c r="B3408" s="11">
        <f>IFERROR(__xludf.DUMMYFUNCTION("""COMPUTED_VALUE"""),41073.666666666664)</f>
        <v>41073.66667</v>
      </c>
      <c r="C3408" s="9">
        <f>IFERROR(__xludf.DUMMYFUNCTION("""COMPUTED_VALUE"""),30.92)</f>
        <v>30.92</v>
      </c>
      <c r="K3408" s="16"/>
      <c r="T3408" s="17"/>
      <c r="AC3408" s="17"/>
    </row>
    <row r="3409">
      <c r="B3409" s="11">
        <f>IFERROR(__xludf.DUMMYFUNCTION("""COMPUTED_VALUE"""),41072.666666666664)</f>
        <v>41072.66667</v>
      </c>
      <c r="C3409" s="9">
        <f>IFERROR(__xludf.DUMMYFUNCTION("""COMPUTED_VALUE"""),31.28)</f>
        <v>31.28</v>
      </c>
      <c r="K3409" s="16"/>
      <c r="T3409" s="17"/>
      <c r="AC3409" s="17"/>
    </row>
    <row r="3410">
      <c r="B3410" s="11">
        <f>IFERROR(__xludf.DUMMYFUNCTION("""COMPUTED_VALUE"""),41071.666666666664)</f>
        <v>41071.66667</v>
      </c>
      <c r="C3410" s="9">
        <f>IFERROR(__xludf.DUMMYFUNCTION("""COMPUTED_VALUE"""),30.96)</f>
        <v>30.96</v>
      </c>
      <c r="K3410" s="16"/>
      <c r="T3410" s="17"/>
      <c r="AC3410" s="17"/>
    </row>
    <row r="3411">
      <c r="B3411" s="11">
        <f>IFERROR(__xludf.DUMMYFUNCTION("""COMPUTED_VALUE"""),41068.666666666664)</f>
        <v>41068.66667</v>
      </c>
      <c r="C3411" s="9">
        <f>IFERROR(__xludf.DUMMYFUNCTION("""COMPUTED_VALUE"""),31.05)</f>
        <v>31.05</v>
      </c>
      <c r="K3411" s="16"/>
      <c r="T3411" s="17"/>
      <c r="AC3411" s="17"/>
    </row>
    <row r="3412">
      <c r="B3412" s="11">
        <f>IFERROR(__xludf.DUMMYFUNCTION("""COMPUTED_VALUE"""),41067.666666666664)</f>
        <v>41067.66667</v>
      </c>
      <c r="C3412" s="9">
        <f>IFERROR(__xludf.DUMMYFUNCTION("""COMPUTED_VALUE"""),31.05)</f>
        <v>31.05</v>
      </c>
      <c r="K3412" s="16"/>
      <c r="T3412" s="17"/>
      <c r="AC3412" s="17"/>
    </row>
    <row r="3413">
      <c r="B3413" s="11">
        <f>IFERROR(__xludf.DUMMYFUNCTION("""COMPUTED_VALUE"""),41066.666666666664)</f>
        <v>41066.66667</v>
      </c>
      <c r="C3413" s="9">
        <f>IFERROR(__xludf.DUMMYFUNCTION("""COMPUTED_VALUE"""),30.74)</f>
        <v>30.74</v>
      </c>
      <c r="K3413" s="16"/>
      <c r="T3413" s="17"/>
      <c r="AC3413" s="17"/>
    </row>
    <row r="3414">
      <c r="B3414" s="11">
        <f>IFERROR(__xludf.DUMMYFUNCTION("""COMPUTED_VALUE"""),41065.666666666664)</f>
        <v>41065.66667</v>
      </c>
      <c r="C3414" s="9">
        <f>IFERROR(__xludf.DUMMYFUNCTION("""COMPUTED_VALUE"""),30.04)</f>
        <v>30.04</v>
      </c>
      <c r="K3414" s="16"/>
      <c r="T3414" s="17"/>
      <c r="AC3414" s="17"/>
    </row>
    <row r="3415">
      <c r="B3415" s="11">
        <f>IFERROR(__xludf.DUMMYFUNCTION("""COMPUTED_VALUE"""),41064.666666666664)</f>
        <v>41064.66667</v>
      </c>
      <c r="C3415" s="9">
        <f>IFERROR(__xludf.DUMMYFUNCTION("""COMPUTED_VALUE"""),29.98)</f>
        <v>29.98</v>
      </c>
      <c r="K3415" s="16"/>
      <c r="T3415" s="17"/>
      <c r="AC3415" s="17"/>
    </row>
    <row r="3416">
      <c r="B3416" s="11">
        <f>IFERROR(__xludf.DUMMYFUNCTION("""COMPUTED_VALUE"""),41061.666666666664)</f>
        <v>41061.66667</v>
      </c>
      <c r="C3416" s="9">
        <f>IFERROR(__xludf.DUMMYFUNCTION("""COMPUTED_VALUE"""),30.09)</f>
        <v>30.09</v>
      </c>
      <c r="K3416" s="16"/>
      <c r="T3416" s="17"/>
      <c r="AC3416" s="17"/>
    </row>
    <row r="3417">
      <c r="B3417" s="11">
        <f>IFERROR(__xludf.DUMMYFUNCTION("""COMPUTED_VALUE"""),41060.666666666664)</f>
        <v>41060.66667</v>
      </c>
      <c r="C3417" s="9">
        <f>IFERROR(__xludf.DUMMYFUNCTION("""COMPUTED_VALUE"""),30.89)</f>
        <v>30.89</v>
      </c>
      <c r="K3417" s="16"/>
      <c r="T3417" s="17"/>
      <c r="AC3417" s="17"/>
    </row>
    <row r="3418">
      <c r="B3418" s="11">
        <f>IFERROR(__xludf.DUMMYFUNCTION("""COMPUTED_VALUE"""),41059.666666666664)</f>
        <v>41059.66667</v>
      </c>
      <c r="C3418" s="9">
        <f>IFERROR(__xludf.DUMMYFUNCTION("""COMPUTED_VALUE"""),31.01)</f>
        <v>31.01</v>
      </c>
      <c r="K3418" s="16"/>
      <c r="T3418" s="17"/>
      <c r="AC3418" s="17"/>
    </row>
    <row r="3419">
      <c r="B3419" s="11">
        <f>IFERROR(__xludf.DUMMYFUNCTION("""COMPUTED_VALUE"""),41058.666666666664)</f>
        <v>41058.66667</v>
      </c>
      <c r="C3419" s="9">
        <f>IFERROR(__xludf.DUMMYFUNCTION("""COMPUTED_VALUE"""),31.16)</f>
        <v>31.16</v>
      </c>
      <c r="K3419" s="16"/>
      <c r="T3419" s="17"/>
      <c r="AC3419" s="17"/>
    </row>
    <row r="3420">
      <c r="B3420" s="11">
        <f>IFERROR(__xludf.DUMMYFUNCTION("""COMPUTED_VALUE"""),41054.666666666664)</f>
        <v>41054.66667</v>
      </c>
      <c r="C3420" s="9">
        <f>IFERROR(__xludf.DUMMYFUNCTION("""COMPUTED_VALUE"""),30.85)</f>
        <v>30.85</v>
      </c>
      <c r="K3420" s="16"/>
      <c r="T3420" s="17"/>
      <c r="AC3420" s="17"/>
    </row>
    <row r="3421">
      <c r="B3421" s="11">
        <f>IFERROR(__xludf.DUMMYFUNCTION("""COMPUTED_VALUE"""),41053.666666666664)</f>
        <v>41053.66667</v>
      </c>
      <c r="C3421" s="9">
        <f>IFERROR(__xludf.DUMMYFUNCTION("""COMPUTED_VALUE"""),31.03)</f>
        <v>31.03</v>
      </c>
      <c r="K3421" s="16"/>
      <c r="T3421" s="17"/>
      <c r="AC3421" s="17"/>
    </row>
    <row r="3422">
      <c r="B3422" s="11">
        <f>IFERROR(__xludf.DUMMYFUNCTION("""COMPUTED_VALUE"""),41052.666666666664)</f>
        <v>41052.66667</v>
      </c>
      <c r="C3422" s="9">
        <f>IFERROR(__xludf.DUMMYFUNCTION("""COMPUTED_VALUE"""),31.11)</f>
        <v>31.11</v>
      </c>
      <c r="K3422" s="16"/>
      <c r="T3422" s="17"/>
      <c r="AC3422" s="17"/>
    </row>
    <row r="3423">
      <c r="B3423" s="11">
        <f>IFERROR(__xludf.DUMMYFUNCTION("""COMPUTED_VALUE"""),41051.666666666664)</f>
        <v>41051.66667</v>
      </c>
      <c r="C3423" s="9">
        <f>IFERROR(__xludf.DUMMYFUNCTION("""COMPUTED_VALUE"""),31.03)</f>
        <v>31.03</v>
      </c>
      <c r="K3423" s="16"/>
      <c r="T3423" s="17"/>
      <c r="AC3423" s="17"/>
    </row>
    <row r="3424">
      <c r="B3424" s="11">
        <f>IFERROR(__xludf.DUMMYFUNCTION("""COMPUTED_VALUE"""),41050.666666666664)</f>
        <v>41050.66667</v>
      </c>
      <c r="C3424" s="9">
        <f>IFERROR(__xludf.DUMMYFUNCTION("""COMPUTED_VALUE"""),31.09)</f>
        <v>31.09</v>
      </c>
      <c r="K3424" s="16"/>
      <c r="T3424" s="17"/>
      <c r="AC3424" s="17"/>
    </row>
    <row r="3425">
      <c r="B3425" s="11">
        <f>IFERROR(__xludf.DUMMYFUNCTION("""COMPUTED_VALUE"""),41047.666666666664)</f>
        <v>41047.66667</v>
      </c>
      <c r="C3425" s="9">
        <f>IFERROR(__xludf.DUMMYFUNCTION("""COMPUTED_VALUE"""),30.5)</f>
        <v>30.5</v>
      </c>
      <c r="K3425" s="16"/>
      <c r="T3425" s="17"/>
      <c r="AC3425" s="17"/>
    </row>
    <row r="3426">
      <c r="B3426" s="11">
        <f>IFERROR(__xludf.DUMMYFUNCTION("""COMPUTED_VALUE"""),41046.666666666664)</f>
        <v>41046.66667</v>
      </c>
      <c r="C3426" s="9">
        <f>IFERROR(__xludf.DUMMYFUNCTION("""COMPUTED_VALUE"""),30.77)</f>
        <v>30.77</v>
      </c>
      <c r="K3426" s="16"/>
      <c r="T3426" s="17"/>
      <c r="AC3426" s="17"/>
    </row>
    <row r="3427">
      <c r="B3427" s="11">
        <f>IFERROR(__xludf.DUMMYFUNCTION("""COMPUTED_VALUE"""),41045.666666666664)</f>
        <v>41045.66667</v>
      </c>
      <c r="C3427" s="9">
        <f>IFERROR(__xludf.DUMMYFUNCTION("""COMPUTED_VALUE"""),31.42)</f>
        <v>31.42</v>
      </c>
      <c r="K3427" s="16"/>
      <c r="T3427" s="17"/>
      <c r="AC3427" s="17"/>
    </row>
    <row r="3428">
      <c r="B3428" s="11">
        <f>IFERROR(__xludf.DUMMYFUNCTION("""COMPUTED_VALUE"""),41044.666666666664)</f>
        <v>41044.66667</v>
      </c>
      <c r="C3428" s="9">
        <f>IFERROR(__xludf.DUMMYFUNCTION("""COMPUTED_VALUE"""),31.61)</f>
        <v>31.61</v>
      </c>
      <c r="K3428" s="16"/>
      <c r="T3428" s="17"/>
      <c r="AC3428" s="17"/>
    </row>
    <row r="3429">
      <c r="B3429" s="11">
        <f>IFERROR(__xludf.DUMMYFUNCTION("""COMPUTED_VALUE"""),41043.666666666664)</f>
        <v>41043.66667</v>
      </c>
      <c r="C3429" s="9">
        <f>IFERROR(__xludf.DUMMYFUNCTION("""COMPUTED_VALUE"""),31.75)</f>
        <v>31.75</v>
      </c>
      <c r="K3429" s="16"/>
      <c r="T3429" s="17"/>
      <c r="AC3429" s="17"/>
    </row>
    <row r="3430">
      <c r="B3430" s="11">
        <f>IFERROR(__xludf.DUMMYFUNCTION("""COMPUTED_VALUE"""),41040.666666666664)</f>
        <v>41040.66667</v>
      </c>
      <c r="C3430" s="9">
        <f>IFERROR(__xludf.DUMMYFUNCTION("""COMPUTED_VALUE"""),31.94)</f>
        <v>31.94</v>
      </c>
      <c r="K3430" s="16"/>
      <c r="T3430" s="17"/>
      <c r="AC3430" s="17"/>
    </row>
    <row r="3431">
      <c r="B3431" s="11">
        <f>IFERROR(__xludf.DUMMYFUNCTION("""COMPUTED_VALUE"""),41039.666666666664)</f>
        <v>41039.66667</v>
      </c>
      <c r="C3431" s="9">
        <f>IFERROR(__xludf.DUMMYFUNCTION("""COMPUTED_VALUE"""),31.99)</f>
        <v>31.99</v>
      </c>
      <c r="K3431" s="16"/>
      <c r="T3431" s="17"/>
      <c r="AC3431" s="17"/>
    </row>
    <row r="3432">
      <c r="B3432" s="11">
        <f>IFERROR(__xludf.DUMMYFUNCTION("""COMPUTED_VALUE"""),41038.666666666664)</f>
        <v>41038.66667</v>
      </c>
      <c r="C3432" s="9">
        <f>IFERROR(__xludf.DUMMYFUNCTION("""COMPUTED_VALUE"""),32.02)</f>
        <v>32.02</v>
      </c>
      <c r="K3432" s="16"/>
      <c r="T3432" s="17"/>
      <c r="AC3432" s="17"/>
    </row>
    <row r="3433">
      <c r="B3433" s="11">
        <f>IFERROR(__xludf.DUMMYFUNCTION("""COMPUTED_VALUE"""),41037.666666666664)</f>
        <v>41037.66667</v>
      </c>
      <c r="C3433" s="9">
        <f>IFERROR(__xludf.DUMMYFUNCTION("""COMPUTED_VALUE"""),32.46)</f>
        <v>32.46</v>
      </c>
      <c r="K3433" s="16"/>
      <c r="T3433" s="17"/>
      <c r="AC3433" s="17"/>
    </row>
    <row r="3434">
      <c r="B3434" s="11">
        <f>IFERROR(__xludf.DUMMYFUNCTION("""COMPUTED_VALUE"""),41036.666666666664)</f>
        <v>41036.66667</v>
      </c>
      <c r="C3434" s="9">
        <f>IFERROR(__xludf.DUMMYFUNCTION("""COMPUTED_VALUE"""),32.59)</f>
        <v>32.59</v>
      </c>
      <c r="K3434" s="16"/>
      <c r="T3434" s="17"/>
      <c r="AC3434" s="17"/>
    </row>
    <row r="3435">
      <c r="B3435" s="11">
        <f>IFERROR(__xludf.DUMMYFUNCTION("""COMPUTED_VALUE"""),41033.666666666664)</f>
        <v>41033.66667</v>
      </c>
      <c r="C3435" s="9">
        <f>IFERROR(__xludf.DUMMYFUNCTION("""COMPUTED_VALUE"""),32.7)</f>
        <v>32.7</v>
      </c>
      <c r="K3435" s="16"/>
      <c r="T3435" s="17"/>
      <c r="AC3435" s="17"/>
    </row>
    <row r="3436">
      <c r="B3436" s="11">
        <f>IFERROR(__xludf.DUMMYFUNCTION("""COMPUTED_VALUE"""),41032.666666666664)</f>
        <v>41032.66667</v>
      </c>
      <c r="C3436" s="9">
        <f>IFERROR(__xludf.DUMMYFUNCTION("""COMPUTED_VALUE"""),33.2)</f>
        <v>33.2</v>
      </c>
      <c r="K3436" s="16"/>
      <c r="T3436" s="17"/>
      <c r="AC3436" s="17"/>
    </row>
    <row r="3437">
      <c r="B3437" s="11">
        <f>IFERROR(__xludf.DUMMYFUNCTION("""COMPUTED_VALUE"""),41031.666666666664)</f>
        <v>41031.66667</v>
      </c>
      <c r="C3437" s="9">
        <f>IFERROR(__xludf.DUMMYFUNCTION("""COMPUTED_VALUE"""),33.49)</f>
        <v>33.49</v>
      </c>
      <c r="K3437" s="16"/>
      <c r="T3437" s="17"/>
      <c r="AC3437" s="17"/>
    </row>
    <row r="3438">
      <c r="B3438" s="11">
        <f>IFERROR(__xludf.DUMMYFUNCTION("""COMPUTED_VALUE"""),41030.666666666664)</f>
        <v>41030.66667</v>
      </c>
      <c r="C3438" s="9">
        <f>IFERROR(__xludf.DUMMYFUNCTION("""COMPUTED_VALUE"""),33.53)</f>
        <v>33.53</v>
      </c>
      <c r="K3438" s="16"/>
      <c r="T3438" s="17"/>
      <c r="AC3438" s="17"/>
    </row>
    <row r="3439">
      <c r="B3439" s="11">
        <f>IFERROR(__xludf.DUMMYFUNCTION("""COMPUTED_VALUE"""),41029.666666666664)</f>
        <v>41029.66667</v>
      </c>
      <c r="C3439" s="9">
        <f>IFERROR(__xludf.DUMMYFUNCTION("""COMPUTED_VALUE"""),33.42)</f>
        <v>33.42</v>
      </c>
      <c r="K3439" s="16"/>
      <c r="T3439" s="17"/>
      <c r="AC3439" s="17"/>
    </row>
    <row r="3440">
      <c r="B3440" s="11">
        <f>IFERROR(__xludf.DUMMYFUNCTION("""COMPUTED_VALUE"""),41026.666666666664)</f>
        <v>41026.66667</v>
      </c>
      <c r="C3440" s="9">
        <f>IFERROR(__xludf.DUMMYFUNCTION("""COMPUTED_VALUE"""),33.71)</f>
        <v>33.71</v>
      </c>
      <c r="K3440" s="16"/>
      <c r="T3440" s="17"/>
      <c r="AC3440" s="17"/>
    </row>
    <row r="3441">
      <c r="B3441" s="11">
        <f>IFERROR(__xludf.DUMMYFUNCTION("""COMPUTED_VALUE"""),41025.666666666664)</f>
        <v>41025.66667</v>
      </c>
      <c r="C3441" s="9">
        <f>IFERROR(__xludf.DUMMYFUNCTION("""COMPUTED_VALUE"""),33.49)</f>
        <v>33.49</v>
      </c>
      <c r="K3441" s="16"/>
      <c r="T3441" s="17"/>
      <c r="AC3441" s="17"/>
    </row>
    <row r="3442">
      <c r="B3442" s="11">
        <f>IFERROR(__xludf.DUMMYFUNCTION("""COMPUTED_VALUE"""),41024.666666666664)</f>
        <v>41024.66667</v>
      </c>
      <c r="C3442" s="9">
        <f>IFERROR(__xludf.DUMMYFUNCTION("""COMPUTED_VALUE"""),33.21)</f>
        <v>33.21</v>
      </c>
      <c r="K3442" s="16"/>
      <c r="T3442" s="17"/>
      <c r="AC3442" s="17"/>
    </row>
    <row r="3443">
      <c r="B3443" s="11">
        <f>IFERROR(__xludf.DUMMYFUNCTION("""COMPUTED_VALUE"""),41023.666666666664)</f>
        <v>41023.66667</v>
      </c>
      <c r="C3443" s="9">
        <f>IFERROR(__xludf.DUMMYFUNCTION("""COMPUTED_VALUE"""),32.93)</f>
        <v>32.93</v>
      </c>
      <c r="K3443" s="16"/>
      <c r="T3443" s="17"/>
      <c r="AC3443" s="17"/>
    </row>
    <row r="3444">
      <c r="B3444" s="11">
        <f>IFERROR(__xludf.DUMMYFUNCTION("""COMPUTED_VALUE"""),41022.666666666664)</f>
        <v>41022.66667</v>
      </c>
      <c r="C3444" s="9">
        <f>IFERROR(__xludf.DUMMYFUNCTION("""COMPUTED_VALUE"""),32.79)</f>
        <v>32.79</v>
      </c>
      <c r="K3444" s="16"/>
      <c r="T3444" s="17"/>
      <c r="AC3444" s="17"/>
    </row>
    <row r="3445">
      <c r="B3445" s="11">
        <f>IFERROR(__xludf.DUMMYFUNCTION("""COMPUTED_VALUE"""),41019.666666666664)</f>
        <v>41019.66667</v>
      </c>
      <c r="C3445" s="9">
        <f>IFERROR(__xludf.DUMMYFUNCTION("""COMPUTED_VALUE"""),33.12)</f>
        <v>33.12</v>
      </c>
      <c r="K3445" s="16"/>
      <c r="T3445" s="17"/>
      <c r="AC3445" s="17"/>
    </row>
    <row r="3446">
      <c r="B3446" s="11">
        <f>IFERROR(__xludf.DUMMYFUNCTION("""COMPUTED_VALUE"""),41018.666666666664)</f>
        <v>41018.66667</v>
      </c>
      <c r="C3446" s="9">
        <f>IFERROR(__xludf.DUMMYFUNCTION("""COMPUTED_VALUE"""),32.77)</f>
        <v>32.77</v>
      </c>
      <c r="K3446" s="16"/>
      <c r="T3446" s="17"/>
      <c r="AC3446" s="17"/>
    </row>
    <row r="3447">
      <c r="B3447" s="11">
        <f>IFERROR(__xludf.DUMMYFUNCTION("""COMPUTED_VALUE"""),41017.666666666664)</f>
        <v>41017.66667</v>
      </c>
      <c r="C3447" s="9">
        <f>IFERROR(__xludf.DUMMYFUNCTION("""COMPUTED_VALUE"""),33.13)</f>
        <v>33.13</v>
      </c>
      <c r="K3447" s="16"/>
      <c r="T3447" s="17"/>
      <c r="AC3447" s="17"/>
    </row>
    <row r="3448">
      <c r="B3448" s="11">
        <f>IFERROR(__xludf.DUMMYFUNCTION("""COMPUTED_VALUE"""),41016.666666666664)</f>
        <v>41016.66667</v>
      </c>
      <c r="C3448" s="9">
        <f>IFERROR(__xludf.DUMMYFUNCTION("""COMPUTED_VALUE"""),33.33)</f>
        <v>33.33</v>
      </c>
      <c r="K3448" s="16"/>
      <c r="T3448" s="17"/>
      <c r="AC3448" s="17"/>
    </row>
    <row r="3449">
      <c r="B3449" s="11">
        <f>IFERROR(__xludf.DUMMYFUNCTION("""COMPUTED_VALUE"""),41015.666666666664)</f>
        <v>41015.66667</v>
      </c>
      <c r="C3449" s="9">
        <f>IFERROR(__xludf.DUMMYFUNCTION("""COMPUTED_VALUE"""),32.78)</f>
        <v>32.78</v>
      </c>
      <c r="K3449" s="16"/>
      <c r="T3449" s="17"/>
      <c r="AC3449" s="17"/>
    </row>
    <row r="3450">
      <c r="B3450" s="11">
        <f>IFERROR(__xludf.DUMMYFUNCTION("""COMPUTED_VALUE"""),41012.666666666664)</f>
        <v>41012.66667</v>
      </c>
      <c r="C3450" s="9">
        <f>IFERROR(__xludf.DUMMYFUNCTION("""COMPUTED_VALUE"""),32.73)</f>
        <v>32.73</v>
      </c>
      <c r="K3450" s="16"/>
      <c r="T3450" s="17"/>
      <c r="AC3450" s="17"/>
    </row>
    <row r="3451">
      <c r="B3451" s="11">
        <f>IFERROR(__xludf.DUMMYFUNCTION("""COMPUTED_VALUE"""),41011.666666666664)</f>
        <v>41011.66667</v>
      </c>
      <c r="C3451" s="9">
        <f>IFERROR(__xludf.DUMMYFUNCTION("""COMPUTED_VALUE"""),33.12)</f>
        <v>33.12</v>
      </c>
      <c r="K3451" s="16"/>
      <c r="T3451" s="17"/>
      <c r="AC3451" s="17"/>
    </row>
    <row r="3452">
      <c r="B3452" s="11">
        <f>IFERROR(__xludf.DUMMYFUNCTION("""COMPUTED_VALUE"""),41010.666666666664)</f>
        <v>41010.66667</v>
      </c>
      <c r="C3452" s="9">
        <f>IFERROR(__xludf.DUMMYFUNCTION("""COMPUTED_VALUE"""),32.42)</f>
        <v>32.42</v>
      </c>
      <c r="K3452" s="16"/>
      <c r="T3452" s="17"/>
      <c r="AC3452" s="17"/>
    </row>
    <row r="3453">
      <c r="B3453" s="11">
        <f>IFERROR(__xludf.DUMMYFUNCTION("""COMPUTED_VALUE"""),41009.666666666664)</f>
        <v>41009.66667</v>
      </c>
      <c r="C3453" s="9">
        <f>IFERROR(__xludf.DUMMYFUNCTION("""COMPUTED_VALUE"""),31.99)</f>
        <v>31.99</v>
      </c>
      <c r="K3453" s="16"/>
      <c r="T3453" s="17"/>
      <c r="AC3453" s="17"/>
    </row>
    <row r="3454">
      <c r="B3454" s="11">
        <f>IFERROR(__xludf.DUMMYFUNCTION("""COMPUTED_VALUE"""),41008.666666666664)</f>
        <v>41008.66667</v>
      </c>
      <c r="C3454" s="9">
        <f>IFERROR(__xludf.DUMMYFUNCTION("""COMPUTED_VALUE"""),32.59)</f>
        <v>32.59</v>
      </c>
      <c r="K3454" s="16"/>
      <c r="T3454" s="17"/>
      <c r="AC3454" s="17"/>
    </row>
    <row r="3455">
      <c r="B3455" s="11">
        <f>IFERROR(__xludf.DUMMYFUNCTION("""COMPUTED_VALUE"""),41004.666666666664)</f>
        <v>41004.66667</v>
      </c>
      <c r="C3455" s="9">
        <f>IFERROR(__xludf.DUMMYFUNCTION("""COMPUTED_VALUE"""),33.11)</f>
        <v>33.11</v>
      </c>
      <c r="K3455" s="16"/>
      <c r="T3455" s="17"/>
      <c r="AC3455" s="17"/>
    </row>
    <row r="3456">
      <c r="B3456" s="11">
        <f>IFERROR(__xludf.DUMMYFUNCTION("""COMPUTED_VALUE"""),41003.666666666664)</f>
        <v>41003.66667</v>
      </c>
      <c r="C3456" s="9">
        <f>IFERROR(__xludf.DUMMYFUNCTION("""COMPUTED_VALUE"""),33.41)</f>
        <v>33.41</v>
      </c>
      <c r="K3456" s="16"/>
      <c r="T3456" s="17"/>
      <c r="AC3456" s="17"/>
    </row>
    <row r="3457">
      <c r="B3457" s="11">
        <f>IFERROR(__xludf.DUMMYFUNCTION("""COMPUTED_VALUE"""),41002.666666666664)</f>
        <v>41002.66667</v>
      </c>
      <c r="C3457" s="9">
        <f>IFERROR(__xludf.DUMMYFUNCTION("""COMPUTED_VALUE"""),33.71)</f>
        <v>33.71</v>
      </c>
      <c r="K3457" s="16"/>
      <c r="T3457" s="17"/>
      <c r="AC3457" s="17"/>
    </row>
    <row r="3458">
      <c r="B3458" s="11">
        <f>IFERROR(__xludf.DUMMYFUNCTION("""COMPUTED_VALUE"""),41001.666666666664)</f>
        <v>41001.66667</v>
      </c>
      <c r="C3458" s="9">
        <f>IFERROR(__xludf.DUMMYFUNCTION("""COMPUTED_VALUE"""),33.85)</f>
        <v>33.85</v>
      </c>
      <c r="K3458" s="16"/>
      <c r="T3458" s="17"/>
      <c r="AC3458" s="17"/>
    </row>
    <row r="3459">
      <c r="B3459" s="11">
        <f>IFERROR(__xludf.DUMMYFUNCTION("""COMPUTED_VALUE"""),40998.666666666664)</f>
        <v>40998.66667</v>
      </c>
      <c r="C3459" s="9">
        <f>IFERROR(__xludf.DUMMYFUNCTION("""COMPUTED_VALUE"""),33.57)</f>
        <v>33.57</v>
      </c>
      <c r="K3459" s="16"/>
      <c r="T3459" s="17"/>
      <c r="AC3459" s="17"/>
    </row>
    <row r="3460">
      <c r="B3460" s="11">
        <f>IFERROR(__xludf.DUMMYFUNCTION("""COMPUTED_VALUE"""),40997.666666666664)</f>
        <v>40997.66667</v>
      </c>
      <c r="C3460" s="9">
        <f>IFERROR(__xludf.DUMMYFUNCTION("""COMPUTED_VALUE"""),33.51)</f>
        <v>33.51</v>
      </c>
      <c r="K3460" s="16"/>
      <c r="T3460" s="17"/>
      <c r="AC3460" s="17"/>
    </row>
    <row r="3461">
      <c r="B3461" s="11">
        <f>IFERROR(__xludf.DUMMYFUNCTION("""COMPUTED_VALUE"""),40996.666666666664)</f>
        <v>40996.66667</v>
      </c>
      <c r="C3461" s="9">
        <f>IFERROR(__xludf.DUMMYFUNCTION("""COMPUTED_VALUE"""),33.52)</f>
        <v>33.52</v>
      </c>
      <c r="K3461" s="16"/>
      <c r="T3461" s="17"/>
      <c r="AC3461" s="17"/>
    </row>
    <row r="3462">
      <c r="B3462" s="11">
        <f>IFERROR(__xludf.DUMMYFUNCTION("""COMPUTED_VALUE"""),40995.666666666664)</f>
        <v>40995.66667</v>
      </c>
      <c r="C3462" s="9">
        <f>IFERROR(__xludf.DUMMYFUNCTION("""COMPUTED_VALUE"""),33.8)</f>
        <v>33.8</v>
      </c>
      <c r="K3462" s="16"/>
      <c r="T3462" s="17"/>
      <c r="AC3462" s="17"/>
    </row>
    <row r="3463">
      <c r="B3463" s="11">
        <f>IFERROR(__xludf.DUMMYFUNCTION("""COMPUTED_VALUE"""),40994.666666666664)</f>
        <v>40994.66667</v>
      </c>
      <c r="C3463" s="9">
        <f>IFERROR(__xludf.DUMMYFUNCTION("""COMPUTED_VALUE"""),33.99)</f>
        <v>33.99</v>
      </c>
      <c r="K3463" s="16"/>
      <c r="T3463" s="17"/>
      <c r="AC3463" s="17"/>
    </row>
    <row r="3464">
      <c r="B3464" s="11">
        <f>IFERROR(__xludf.DUMMYFUNCTION("""COMPUTED_VALUE"""),40991.666666666664)</f>
        <v>40991.66667</v>
      </c>
      <c r="C3464" s="9">
        <f>IFERROR(__xludf.DUMMYFUNCTION("""COMPUTED_VALUE"""),33.5)</f>
        <v>33.5</v>
      </c>
      <c r="K3464" s="16"/>
      <c r="T3464" s="17"/>
      <c r="AC3464" s="17"/>
    </row>
    <row r="3465">
      <c r="B3465" s="11">
        <f>IFERROR(__xludf.DUMMYFUNCTION("""COMPUTED_VALUE"""),40990.666666666664)</f>
        <v>40990.66667</v>
      </c>
      <c r="C3465" s="9">
        <f>IFERROR(__xludf.DUMMYFUNCTION("""COMPUTED_VALUE"""),33.28)</f>
        <v>33.28</v>
      </c>
      <c r="K3465" s="16"/>
      <c r="T3465" s="17"/>
      <c r="AC3465" s="17"/>
    </row>
    <row r="3466">
      <c r="B3466" s="11">
        <f>IFERROR(__xludf.DUMMYFUNCTION("""COMPUTED_VALUE"""),40989.666666666664)</f>
        <v>40989.66667</v>
      </c>
      <c r="C3466" s="9">
        <f>IFERROR(__xludf.DUMMYFUNCTION("""COMPUTED_VALUE"""),33.46)</f>
        <v>33.46</v>
      </c>
      <c r="K3466" s="16"/>
      <c r="T3466" s="17"/>
      <c r="AC3466" s="17"/>
    </row>
    <row r="3467">
      <c r="B3467" s="11">
        <f>IFERROR(__xludf.DUMMYFUNCTION("""COMPUTED_VALUE"""),40988.666666666664)</f>
        <v>40988.66667</v>
      </c>
      <c r="C3467" s="9">
        <f>IFERROR(__xludf.DUMMYFUNCTION("""COMPUTED_VALUE"""),33.42)</f>
        <v>33.42</v>
      </c>
      <c r="K3467" s="16"/>
      <c r="T3467" s="17"/>
      <c r="AC3467" s="17"/>
    </row>
    <row r="3468">
      <c r="B3468" s="11">
        <f>IFERROR(__xludf.DUMMYFUNCTION("""COMPUTED_VALUE"""),40987.666666666664)</f>
        <v>40987.66667</v>
      </c>
      <c r="C3468" s="9">
        <f>IFERROR(__xludf.DUMMYFUNCTION("""COMPUTED_VALUE"""),33.87)</f>
        <v>33.87</v>
      </c>
      <c r="K3468" s="16"/>
      <c r="T3468" s="17"/>
      <c r="AC3468" s="17"/>
    </row>
    <row r="3469">
      <c r="B3469" s="11">
        <f>IFERROR(__xludf.DUMMYFUNCTION("""COMPUTED_VALUE"""),40984.666666666664)</f>
        <v>40984.66667</v>
      </c>
      <c r="C3469" s="9">
        <f>IFERROR(__xludf.DUMMYFUNCTION("""COMPUTED_VALUE"""),33.85)</f>
        <v>33.85</v>
      </c>
      <c r="K3469" s="16"/>
      <c r="T3469" s="17"/>
      <c r="AC3469" s="17"/>
    </row>
    <row r="3470">
      <c r="B3470" s="11">
        <f>IFERROR(__xludf.DUMMYFUNCTION("""COMPUTED_VALUE"""),40983.666666666664)</f>
        <v>40983.66667</v>
      </c>
      <c r="C3470" s="9">
        <f>IFERROR(__xludf.DUMMYFUNCTION("""COMPUTED_VALUE"""),33.98)</f>
        <v>33.98</v>
      </c>
      <c r="K3470" s="16"/>
      <c r="T3470" s="17"/>
      <c r="AC3470" s="17"/>
    </row>
    <row r="3471">
      <c r="B3471" s="11">
        <f>IFERROR(__xludf.DUMMYFUNCTION("""COMPUTED_VALUE"""),40982.666666666664)</f>
        <v>40982.66667</v>
      </c>
      <c r="C3471" s="9">
        <f>IFERROR(__xludf.DUMMYFUNCTION("""COMPUTED_VALUE"""),33.94)</f>
        <v>33.94</v>
      </c>
      <c r="K3471" s="16"/>
      <c r="T3471" s="17"/>
      <c r="AC3471" s="17"/>
    </row>
    <row r="3472">
      <c r="B3472" s="11">
        <f>IFERROR(__xludf.DUMMYFUNCTION("""COMPUTED_VALUE"""),40981.666666666664)</f>
        <v>40981.66667</v>
      </c>
      <c r="C3472" s="9">
        <f>IFERROR(__xludf.DUMMYFUNCTION("""COMPUTED_VALUE"""),33.92)</f>
        <v>33.92</v>
      </c>
      <c r="K3472" s="16"/>
      <c r="T3472" s="17"/>
      <c r="AC3472" s="17"/>
    </row>
    <row r="3473">
      <c r="B3473" s="11">
        <f>IFERROR(__xludf.DUMMYFUNCTION("""COMPUTED_VALUE"""),40980.666666666664)</f>
        <v>40980.66667</v>
      </c>
      <c r="C3473" s="9">
        <f>IFERROR(__xludf.DUMMYFUNCTION("""COMPUTED_VALUE"""),33.45)</f>
        <v>33.45</v>
      </c>
      <c r="K3473" s="16"/>
      <c r="T3473" s="17"/>
      <c r="AC3473" s="17"/>
    </row>
    <row r="3474">
      <c r="B3474" s="11">
        <f>IFERROR(__xludf.DUMMYFUNCTION("""COMPUTED_VALUE"""),40977.666666666664)</f>
        <v>40977.66667</v>
      </c>
      <c r="C3474" s="9">
        <f>IFERROR(__xludf.DUMMYFUNCTION("""COMPUTED_VALUE"""),33.46)</f>
        <v>33.46</v>
      </c>
      <c r="K3474" s="16"/>
      <c r="T3474" s="17"/>
      <c r="AC3474" s="17"/>
    </row>
    <row r="3475">
      <c r="B3475" s="11">
        <f>IFERROR(__xludf.DUMMYFUNCTION("""COMPUTED_VALUE"""),40976.666666666664)</f>
        <v>40976.66667</v>
      </c>
      <c r="C3475" s="9">
        <f>IFERROR(__xludf.DUMMYFUNCTION("""COMPUTED_VALUE"""),33.27)</f>
        <v>33.27</v>
      </c>
      <c r="K3475" s="16"/>
      <c r="T3475" s="17"/>
      <c r="AC3475" s="17"/>
    </row>
    <row r="3476">
      <c r="B3476" s="11">
        <f>IFERROR(__xludf.DUMMYFUNCTION("""COMPUTED_VALUE"""),40975.666666666664)</f>
        <v>40975.66667</v>
      </c>
      <c r="C3476" s="9">
        <f>IFERROR(__xludf.DUMMYFUNCTION("""COMPUTED_VALUE"""),32.79)</f>
        <v>32.79</v>
      </c>
      <c r="K3476" s="16"/>
      <c r="T3476" s="17"/>
      <c r="AC3476" s="17"/>
    </row>
    <row r="3477">
      <c r="B3477" s="11">
        <f>IFERROR(__xludf.DUMMYFUNCTION("""COMPUTED_VALUE"""),40974.666666666664)</f>
        <v>40974.66667</v>
      </c>
      <c r="C3477" s="9">
        <f>IFERROR(__xludf.DUMMYFUNCTION("""COMPUTED_VALUE"""),32.58)</f>
        <v>32.58</v>
      </c>
      <c r="K3477" s="16"/>
      <c r="T3477" s="17"/>
      <c r="AC3477" s="17"/>
    </row>
    <row r="3478">
      <c r="B3478" s="11">
        <f>IFERROR(__xludf.DUMMYFUNCTION("""COMPUTED_VALUE"""),40973.666666666664)</f>
        <v>40973.66667</v>
      </c>
      <c r="C3478" s="9">
        <f>IFERROR(__xludf.DUMMYFUNCTION("""COMPUTED_VALUE"""),33.21)</f>
        <v>33.21</v>
      </c>
      <c r="K3478" s="16"/>
      <c r="T3478" s="17"/>
      <c r="AC3478" s="17"/>
    </row>
    <row r="3479">
      <c r="B3479" s="11">
        <f>IFERROR(__xludf.DUMMYFUNCTION("""COMPUTED_VALUE"""),40970.666666666664)</f>
        <v>40970.66667</v>
      </c>
      <c r="C3479" s="9">
        <f>IFERROR(__xludf.DUMMYFUNCTION("""COMPUTED_VALUE"""),33.32)</f>
        <v>33.32</v>
      </c>
      <c r="K3479" s="16"/>
      <c r="T3479" s="17"/>
      <c r="AC3479" s="17"/>
    </row>
    <row r="3480">
      <c r="B3480" s="11">
        <f>IFERROR(__xludf.DUMMYFUNCTION("""COMPUTED_VALUE"""),40969.666666666664)</f>
        <v>40969.66667</v>
      </c>
      <c r="C3480" s="9">
        <f>IFERROR(__xludf.DUMMYFUNCTION("""COMPUTED_VALUE"""),33.49)</f>
        <v>33.49</v>
      </c>
      <c r="K3480" s="16"/>
      <c r="T3480" s="17"/>
      <c r="AC3480" s="17"/>
    </row>
    <row r="3481">
      <c r="B3481" s="11">
        <f>IFERROR(__xludf.DUMMYFUNCTION("""COMPUTED_VALUE"""),40968.666666666664)</f>
        <v>40968.66667</v>
      </c>
      <c r="C3481" s="9">
        <f>IFERROR(__xludf.DUMMYFUNCTION("""COMPUTED_VALUE"""),33.4)</f>
        <v>33.4</v>
      </c>
      <c r="K3481" s="16"/>
      <c r="T3481" s="17"/>
      <c r="AC3481" s="17"/>
    </row>
    <row r="3482">
      <c r="B3482" s="11">
        <f>IFERROR(__xludf.DUMMYFUNCTION("""COMPUTED_VALUE"""),40967.666666666664)</f>
        <v>40967.66667</v>
      </c>
      <c r="C3482" s="9">
        <f>IFERROR(__xludf.DUMMYFUNCTION("""COMPUTED_VALUE"""),33.47)</f>
        <v>33.47</v>
      </c>
      <c r="K3482" s="16"/>
      <c r="T3482" s="17"/>
      <c r="AC3482" s="17"/>
    </row>
    <row r="3483">
      <c r="B3483" s="11">
        <f>IFERROR(__xludf.DUMMYFUNCTION("""COMPUTED_VALUE"""),40966.666666666664)</f>
        <v>40966.66667</v>
      </c>
      <c r="C3483" s="9">
        <f>IFERROR(__xludf.DUMMYFUNCTION("""COMPUTED_VALUE"""),33.55)</f>
        <v>33.55</v>
      </c>
      <c r="K3483" s="16"/>
      <c r="T3483" s="17"/>
      <c r="AC3483" s="17"/>
    </row>
    <row r="3484">
      <c r="B3484" s="11">
        <f>IFERROR(__xludf.DUMMYFUNCTION("""COMPUTED_VALUE"""),40963.666666666664)</f>
        <v>40963.66667</v>
      </c>
      <c r="C3484" s="9">
        <f>IFERROR(__xludf.DUMMYFUNCTION("""COMPUTED_VALUE"""),33.64)</f>
        <v>33.64</v>
      </c>
      <c r="K3484" s="16"/>
      <c r="T3484" s="17"/>
      <c r="AC3484" s="17"/>
    </row>
    <row r="3485">
      <c r="B3485" s="11">
        <f>IFERROR(__xludf.DUMMYFUNCTION("""COMPUTED_VALUE"""),40962.666666666664)</f>
        <v>40962.66667</v>
      </c>
      <c r="C3485" s="9">
        <f>IFERROR(__xludf.DUMMYFUNCTION("""COMPUTED_VALUE"""),33.46)</f>
        <v>33.46</v>
      </c>
      <c r="K3485" s="16"/>
      <c r="T3485" s="17"/>
      <c r="AC3485" s="17"/>
    </row>
    <row r="3486">
      <c r="B3486" s="11">
        <f>IFERROR(__xludf.DUMMYFUNCTION("""COMPUTED_VALUE"""),40961.666666666664)</f>
        <v>40961.66667</v>
      </c>
      <c r="C3486" s="9">
        <f>IFERROR(__xludf.DUMMYFUNCTION("""COMPUTED_VALUE"""),33.45)</f>
        <v>33.45</v>
      </c>
      <c r="K3486" s="16"/>
      <c r="T3486" s="17"/>
      <c r="AC3486" s="17"/>
    </row>
    <row r="3487">
      <c r="B3487" s="11">
        <f>IFERROR(__xludf.DUMMYFUNCTION("""COMPUTED_VALUE"""),40960.666666666664)</f>
        <v>40960.66667</v>
      </c>
      <c r="C3487" s="9">
        <f>IFERROR(__xludf.DUMMYFUNCTION("""COMPUTED_VALUE"""),33.48)</f>
        <v>33.48</v>
      </c>
      <c r="K3487" s="16"/>
      <c r="T3487" s="17"/>
      <c r="AC3487" s="17"/>
    </row>
    <row r="3488">
      <c r="B3488" s="11">
        <f>IFERROR(__xludf.DUMMYFUNCTION("""COMPUTED_VALUE"""),40956.666666666664)</f>
        <v>40956.66667</v>
      </c>
      <c r="C3488" s="9">
        <f>IFERROR(__xludf.DUMMYFUNCTION("""COMPUTED_VALUE"""),33.51)</f>
        <v>33.51</v>
      </c>
      <c r="K3488" s="16"/>
      <c r="T3488" s="17"/>
      <c r="AC3488" s="17"/>
    </row>
    <row r="3489">
      <c r="B3489" s="11">
        <f>IFERROR(__xludf.DUMMYFUNCTION("""COMPUTED_VALUE"""),40955.666666666664)</f>
        <v>40955.66667</v>
      </c>
      <c r="C3489" s="9">
        <f>IFERROR(__xludf.DUMMYFUNCTION("""COMPUTED_VALUE"""),33.32)</f>
        <v>33.32</v>
      </c>
      <c r="K3489" s="16"/>
      <c r="T3489" s="17"/>
      <c r="AC3489" s="17"/>
    </row>
    <row r="3490">
      <c r="B3490" s="11">
        <f>IFERROR(__xludf.DUMMYFUNCTION("""COMPUTED_VALUE"""),40954.666666666664)</f>
        <v>40954.66667</v>
      </c>
      <c r="C3490" s="9">
        <f>IFERROR(__xludf.DUMMYFUNCTION("""COMPUTED_VALUE"""),33.13)</f>
        <v>33.13</v>
      </c>
      <c r="K3490" s="16"/>
      <c r="T3490" s="17"/>
      <c r="AC3490" s="17"/>
    </row>
    <row r="3491">
      <c r="B3491" s="11">
        <f>IFERROR(__xludf.DUMMYFUNCTION("""COMPUTED_VALUE"""),40953.666666666664)</f>
        <v>40953.66667</v>
      </c>
      <c r="C3491" s="9">
        <f>IFERROR(__xludf.DUMMYFUNCTION("""COMPUTED_VALUE"""),33.5)</f>
        <v>33.5</v>
      </c>
      <c r="K3491" s="16"/>
      <c r="T3491" s="17"/>
      <c r="AC3491" s="17"/>
    </row>
    <row r="3492">
      <c r="B3492" s="11">
        <f>IFERROR(__xludf.DUMMYFUNCTION("""COMPUTED_VALUE"""),40952.666666666664)</f>
        <v>40952.66667</v>
      </c>
      <c r="C3492" s="9">
        <f>IFERROR(__xludf.DUMMYFUNCTION("""COMPUTED_VALUE"""),33.57)</f>
        <v>33.57</v>
      </c>
      <c r="K3492" s="16"/>
      <c r="T3492" s="17"/>
      <c r="AC3492" s="17"/>
    </row>
    <row r="3493">
      <c r="B3493" s="11">
        <f>IFERROR(__xludf.DUMMYFUNCTION("""COMPUTED_VALUE"""),40949.666666666664)</f>
        <v>40949.66667</v>
      </c>
      <c r="C3493" s="9">
        <f>IFERROR(__xludf.DUMMYFUNCTION("""COMPUTED_VALUE"""),33.26)</f>
        <v>33.26</v>
      </c>
      <c r="K3493" s="16"/>
      <c r="T3493" s="17"/>
      <c r="AC3493" s="17"/>
    </row>
    <row r="3494">
      <c r="B3494" s="11">
        <f>IFERROR(__xludf.DUMMYFUNCTION("""COMPUTED_VALUE"""),40948.666666666664)</f>
        <v>40948.66667</v>
      </c>
      <c r="C3494" s="9">
        <f>IFERROR(__xludf.DUMMYFUNCTION("""COMPUTED_VALUE"""),33.51)</f>
        <v>33.51</v>
      </c>
      <c r="K3494" s="16"/>
      <c r="T3494" s="17"/>
      <c r="AC3494" s="17"/>
    </row>
    <row r="3495">
      <c r="B3495" s="11">
        <f>IFERROR(__xludf.DUMMYFUNCTION("""COMPUTED_VALUE"""),40947.666666666664)</f>
        <v>40947.66667</v>
      </c>
      <c r="C3495" s="9">
        <f>IFERROR(__xludf.DUMMYFUNCTION("""COMPUTED_VALUE"""),33.45)</f>
        <v>33.45</v>
      </c>
      <c r="K3495" s="16"/>
      <c r="T3495" s="17"/>
      <c r="AC3495" s="17"/>
    </row>
    <row r="3496">
      <c r="B3496" s="11">
        <f>IFERROR(__xludf.DUMMYFUNCTION("""COMPUTED_VALUE"""),40946.666666666664)</f>
        <v>40946.66667</v>
      </c>
      <c r="C3496" s="9">
        <f>IFERROR(__xludf.DUMMYFUNCTION("""COMPUTED_VALUE"""),33.23)</f>
        <v>33.23</v>
      </c>
      <c r="K3496" s="16"/>
      <c r="T3496" s="17"/>
      <c r="AC3496" s="17"/>
    </row>
    <row r="3497">
      <c r="B3497" s="11">
        <f>IFERROR(__xludf.DUMMYFUNCTION("""COMPUTED_VALUE"""),40945.666666666664)</f>
        <v>40945.66667</v>
      </c>
      <c r="C3497" s="9">
        <f>IFERROR(__xludf.DUMMYFUNCTION("""COMPUTED_VALUE"""),33.03)</f>
        <v>33.03</v>
      </c>
      <c r="K3497" s="16"/>
      <c r="T3497" s="17"/>
      <c r="AC3497" s="17"/>
    </row>
    <row r="3498">
      <c r="B3498" s="11">
        <f>IFERROR(__xludf.DUMMYFUNCTION("""COMPUTED_VALUE"""),40942.666666666664)</f>
        <v>40942.66667</v>
      </c>
      <c r="C3498" s="9">
        <f>IFERROR(__xludf.DUMMYFUNCTION("""COMPUTED_VALUE"""),33.24)</f>
        <v>33.24</v>
      </c>
      <c r="K3498" s="16"/>
      <c r="T3498" s="17"/>
      <c r="AC3498" s="17"/>
    </row>
    <row r="3499">
      <c r="B3499" s="11">
        <f>IFERROR(__xludf.DUMMYFUNCTION("""COMPUTED_VALUE"""),40941.666666666664)</f>
        <v>40941.66667</v>
      </c>
      <c r="C3499" s="9">
        <f>IFERROR(__xludf.DUMMYFUNCTION("""COMPUTED_VALUE"""),32.66)</f>
        <v>32.66</v>
      </c>
      <c r="K3499" s="16"/>
      <c r="T3499" s="17"/>
      <c r="AC3499" s="17"/>
    </row>
    <row r="3500">
      <c r="B3500" s="11">
        <f>IFERROR(__xludf.DUMMYFUNCTION("""COMPUTED_VALUE"""),40940.666666666664)</f>
        <v>40940.66667</v>
      </c>
      <c r="C3500" s="9">
        <f>IFERROR(__xludf.DUMMYFUNCTION("""COMPUTED_VALUE"""),32.76)</f>
        <v>32.76</v>
      </c>
      <c r="K3500" s="16"/>
      <c r="T3500" s="17"/>
      <c r="AC3500" s="17"/>
    </row>
    <row r="3501">
      <c r="B3501" s="11">
        <f>IFERROR(__xludf.DUMMYFUNCTION("""COMPUTED_VALUE"""),40939.666666666664)</f>
        <v>40939.66667</v>
      </c>
      <c r="C3501" s="9">
        <f>IFERROR(__xludf.DUMMYFUNCTION("""COMPUTED_VALUE"""),32.17)</f>
        <v>32.17</v>
      </c>
      <c r="K3501" s="16"/>
      <c r="T3501" s="17"/>
      <c r="AC3501" s="17"/>
    </row>
    <row r="3502">
      <c r="B3502" s="11">
        <f>IFERROR(__xludf.DUMMYFUNCTION("""COMPUTED_VALUE"""),40938.666666666664)</f>
        <v>40938.66667</v>
      </c>
      <c r="C3502" s="9">
        <f>IFERROR(__xludf.DUMMYFUNCTION("""COMPUTED_VALUE"""),31.94)</f>
        <v>31.94</v>
      </c>
      <c r="K3502" s="16"/>
      <c r="T3502" s="17"/>
      <c r="AC3502" s="17"/>
    </row>
    <row r="3503">
      <c r="B3503" s="11">
        <f>IFERROR(__xludf.DUMMYFUNCTION("""COMPUTED_VALUE"""),40935.666666666664)</f>
        <v>40935.66667</v>
      </c>
      <c r="C3503" s="9">
        <f>IFERROR(__xludf.DUMMYFUNCTION("""COMPUTED_VALUE"""),32.15)</f>
        <v>32.15</v>
      </c>
      <c r="K3503" s="16"/>
      <c r="T3503" s="17"/>
      <c r="AC3503" s="17"/>
    </row>
    <row r="3504">
      <c r="B3504" s="11">
        <f>IFERROR(__xludf.DUMMYFUNCTION("""COMPUTED_VALUE"""),40934.666666666664)</f>
        <v>40934.66667</v>
      </c>
      <c r="C3504" s="9">
        <f>IFERROR(__xludf.DUMMYFUNCTION("""COMPUTED_VALUE"""),32.2)</f>
        <v>32.2</v>
      </c>
      <c r="K3504" s="16"/>
      <c r="T3504" s="17"/>
      <c r="AC3504" s="17"/>
    </row>
    <row r="3505">
      <c r="B3505" s="11">
        <f>IFERROR(__xludf.DUMMYFUNCTION("""COMPUTED_VALUE"""),40933.666666666664)</f>
        <v>40933.66667</v>
      </c>
      <c r="C3505" s="9">
        <f>IFERROR(__xludf.DUMMYFUNCTION("""COMPUTED_VALUE"""),32.43)</f>
        <v>32.43</v>
      </c>
      <c r="K3505" s="16"/>
      <c r="T3505" s="17"/>
      <c r="AC3505" s="17"/>
    </row>
    <row r="3506">
      <c r="B3506" s="11">
        <f>IFERROR(__xludf.DUMMYFUNCTION("""COMPUTED_VALUE"""),40932.666666666664)</f>
        <v>40932.66667</v>
      </c>
      <c r="C3506" s="9">
        <f>IFERROR(__xludf.DUMMYFUNCTION("""COMPUTED_VALUE"""),32.15)</f>
        <v>32.15</v>
      </c>
      <c r="K3506" s="16"/>
      <c r="T3506" s="17"/>
      <c r="AC3506" s="17"/>
    </row>
    <row r="3507">
      <c r="B3507" s="11">
        <f>IFERROR(__xludf.DUMMYFUNCTION("""COMPUTED_VALUE"""),40931.666666666664)</f>
        <v>40931.66667</v>
      </c>
      <c r="C3507" s="9">
        <f>IFERROR(__xludf.DUMMYFUNCTION("""COMPUTED_VALUE"""),32.15)</f>
        <v>32.15</v>
      </c>
      <c r="K3507" s="16"/>
      <c r="T3507" s="17"/>
      <c r="AC3507" s="17"/>
    </row>
    <row r="3508">
      <c r="B3508" s="11">
        <f>IFERROR(__xludf.DUMMYFUNCTION("""COMPUTED_VALUE"""),40928.666666666664)</f>
        <v>40928.66667</v>
      </c>
      <c r="C3508" s="9">
        <f>IFERROR(__xludf.DUMMYFUNCTION("""COMPUTED_VALUE"""),32.27)</f>
        <v>32.27</v>
      </c>
      <c r="K3508" s="16"/>
      <c r="T3508" s="17"/>
      <c r="AC3508" s="17"/>
    </row>
    <row r="3509">
      <c r="B3509" s="11">
        <f>IFERROR(__xludf.DUMMYFUNCTION("""COMPUTED_VALUE"""),40927.666666666664)</f>
        <v>40927.66667</v>
      </c>
      <c r="C3509" s="9">
        <f>IFERROR(__xludf.DUMMYFUNCTION("""COMPUTED_VALUE"""),32.34)</f>
        <v>32.34</v>
      </c>
      <c r="K3509" s="16"/>
      <c r="T3509" s="17"/>
      <c r="AC3509" s="17"/>
    </row>
    <row r="3510">
      <c r="B3510" s="11">
        <f>IFERROR(__xludf.DUMMYFUNCTION("""COMPUTED_VALUE"""),40926.666666666664)</f>
        <v>40926.66667</v>
      </c>
      <c r="C3510" s="9">
        <f>IFERROR(__xludf.DUMMYFUNCTION("""COMPUTED_VALUE"""),32.05)</f>
        <v>32.05</v>
      </c>
      <c r="K3510" s="16"/>
      <c r="T3510" s="17"/>
      <c r="AC3510" s="17"/>
    </row>
    <row r="3511">
      <c r="B3511" s="11">
        <f>IFERROR(__xludf.DUMMYFUNCTION("""COMPUTED_VALUE"""),40925.666666666664)</f>
        <v>40925.66667</v>
      </c>
      <c r="C3511" s="9">
        <f>IFERROR(__xludf.DUMMYFUNCTION("""COMPUTED_VALUE"""),31.85)</f>
        <v>31.85</v>
      </c>
      <c r="K3511" s="16"/>
      <c r="T3511" s="17"/>
      <c r="AC3511" s="17"/>
    </row>
    <row r="3512">
      <c r="B3512" s="11">
        <f>IFERROR(__xludf.DUMMYFUNCTION("""COMPUTED_VALUE"""),40921.666666666664)</f>
        <v>40921.66667</v>
      </c>
      <c r="C3512" s="9">
        <f>IFERROR(__xludf.DUMMYFUNCTION("""COMPUTED_VALUE"""),31.59)</f>
        <v>31.59</v>
      </c>
      <c r="K3512" s="16"/>
      <c r="T3512" s="17"/>
      <c r="AC3512" s="17"/>
    </row>
    <row r="3513">
      <c r="B3513" s="11">
        <f>IFERROR(__xludf.DUMMYFUNCTION("""COMPUTED_VALUE"""),40920.666666666664)</f>
        <v>40920.66667</v>
      </c>
      <c r="C3513" s="9">
        <f>IFERROR(__xludf.DUMMYFUNCTION("""COMPUTED_VALUE"""),31.88)</f>
        <v>31.88</v>
      </c>
      <c r="K3513" s="16"/>
      <c r="T3513" s="17"/>
      <c r="AC3513" s="17"/>
    </row>
    <row r="3514">
      <c r="B3514" s="11">
        <f>IFERROR(__xludf.DUMMYFUNCTION("""COMPUTED_VALUE"""),40919.666666666664)</f>
        <v>40919.66667</v>
      </c>
      <c r="C3514" s="9">
        <f>IFERROR(__xludf.DUMMYFUNCTION("""COMPUTED_VALUE"""),31.66)</f>
        <v>31.66</v>
      </c>
      <c r="K3514" s="16"/>
      <c r="T3514" s="17"/>
      <c r="AC3514" s="17"/>
    </row>
    <row r="3515">
      <c r="B3515" s="11">
        <f>IFERROR(__xludf.DUMMYFUNCTION("""COMPUTED_VALUE"""),40918.666666666664)</f>
        <v>40918.66667</v>
      </c>
      <c r="C3515" s="9">
        <f>IFERROR(__xludf.DUMMYFUNCTION("""COMPUTED_VALUE"""),31.56)</f>
        <v>31.56</v>
      </c>
      <c r="K3515" s="16"/>
      <c r="T3515" s="17"/>
      <c r="AC3515" s="17"/>
    </row>
    <row r="3516">
      <c r="B3516" s="11">
        <f>IFERROR(__xludf.DUMMYFUNCTION("""COMPUTED_VALUE"""),40917.666666666664)</f>
        <v>40917.66667</v>
      </c>
      <c r="C3516" s="9">
        <f>IFERROR(__xludf.DUMMYFUNCTION("""COMPUTED_VALUE"""),31.06)</f>
        <v>31.06</v>
      </c>
      <c r="K3516" s="16"/>
      <c r="T3516" s="17"/>
      <c r="AC3516" s="17"/>
    </row>
    <row r="3517">
      <c r="B3517" s="11">
        <f>IFERROR(__xludf.DUMMYFUNCTION("""COMPUTED_VALUE"""),40914.666666666664)</f>
        <v>40914.66667</v>
      </c>
      <c r="C3517" s="9">
        <f>IFERROR(__xludf.DUMMYFUNCTION("""COMPUTED_VALUE"""),30.93)</f>
        <v>30.93</v>
      </c>
      <c r="K3517" s="16"/>
      <c r="T3517" s="17"/>
      <c r="AC3517" s="17"/>
    </row>
    <row r="3518">
      <c r="B3518" s="11">
        <f>IFERROR(__xludf.DUMMYFUNCTION("""COMPUTED_VALUE"""),40913.666666666664)</f>
        <v>40913.66667</v>
      </c>
      <c r="C3518" s="9">
        <f>IFERROR(__xludf.DUMMYFUNCTION("""COMPUTED_VALUE"""),30.87)</f>
        <v>30.87</v>
      </c>
      <c r="K3518" s="16"/>
      <c r="T3518" s="17"/>
      <c r="AC3518" s="17"/>
    </row>
    <row r="3519">
      <c r="B3519" s="11">
        <f>IFERROR(__xludf.DUMMYFUNCTION("""COMPUTED_VALUE"""),40912.666666666664)</f>
        <v>40912.66667</v>
      </c>
      <c r="C3519" s="9">
        <f>IFERROR(__xludf.DUMMYFUNCTION("""COMPUTED_VALUE"""),30.97)</f>
        <v>30.97</v>
      </c>
      <c r="K3519" s="16"/>
      <c r="T3519" s="17"/>
      <c r="AC3519" s="17"/>
    </row>
    <row r="3520">
      <c r="B3520" s="11">
        <f>IFERROR(__xludf.DUMMYFUNCTION("""COMPUTED_VALUE"""),40911.666666666664)</f>
        <v>40911.66667</v>
      </c>
      <c r="C3520" s="9">
        <f>IFERROR(__xludf.DUMMYFUNCTION("""COMPUTED_VALUE"""),31.0)</f>
        <v>31</v>
      </c>
      <c r="K3520" s="16"/>
      <c r="T3520" s="17"/>
      <c r="AC3520" s="17"/>
    </row>
    <row r="3521">
      <c r="B3521" s="11">
        <f>IFERROR(__xludf.DUMMYFUNCTION("""COMPUTED_VALUE"""),40907.666666666664)</f>
        <v>40907.66667</v>
      </c>
      <c r="C3521" s="9">
        <f>IFERROR(__xludf.DUMMYFUNCTION("""COMPUTED_VALUE"""),30.6)</f>
        <v>30.6</v>
      </c>
      <c r="K3521" s="16"/>
      <c r="T3521" s="17"/>
      <c r="AC3521" s="17"/>
    </row>
    <row r="3522">
      <c r="B3522" s="11">
        <f>IFERROR(__xludf.DUMMYFUNCTION("""COMPUTED_VALUE"""),40906.666666666664)</f>
        <v>40906.66667</v>
      </c>
      <c r="C3522" s="9">
        <f>IFERROR(__xludf.DUMMYFUNCTION("""COMPUTED_VALUE"""),30.83)</f>
        <v>30.83</v>
      </c>
      <c r="K3522" s="16"/>
      <c r="T3522" s="17"/>
      <c r="AC3522" s="17"/>
    </row>
    <row r="3523">
      <c r="B3523" s="11">
        <f>IFERROR(__xludf.DUMMYFUNCTION("""COMPUTED_VALUE"""),40905.666666666664)</f>
        <v>40905.66667</v>
      </c>
      <c r="C3523" s="9">
        <f>IFERROR(__xludf.DUMMYFUNCTION("""COMPUTED_VALUE"""),30.43)</f>
        <v>30.43</v>
      </c>
      <c r="K3523" s="16"/>
      <c r="T3523" s="17"/>
      <c r="AC3523" s="17"/>
    </row>
    <row r="3524">
      <c r="B3524" s="11">
        <f>IFERROR(__xludf.DUMMYFUNCTION("""COMPUTED_VALUE"""),40904.666666666664)</f>
        <v>40904.66667</v>
      </c>
      <c r="C3524" s="9">
        <f>IFERROR(__xludf.DUMMYFUNCTION("""COMPUTED_VALUE"""),30.92)</f>
        <v>30.92</v>
      </c>
      <c r="K3524" s="16"/>
      <c r="T3524" s="17"/>
      <c r="AC3524" s="17"/>
    </row>
    <row r="3525">
      <c r="B3525" s="11">
        <f>IFERROR(__xludf.DUMMYFUNCTION("""COMPUTED_VALUE"""),40900.666666666664)</f>
        <v>40900.66667</v>
      </c>
      <c r="C3525" s="9">
        <f>IFERROR(__xludf.DUMMYFUNCTION("""COMPUTED_VALUE"""),30.85)</f>
        <v>30.85</v>
      </c>
      <c r="K3525" s="16"/>
      <c r="T3525" s="17"/>
      <c r="AC3525" s="17"/>
    </row>
    <row r="3526">
      <c r="B3526" s="11">
        <f>IFERROR(__xludf.DUMMYFUNCTION("""COMPUTED_VALUE"""),40899.666666666664)</f>
        <v>40899.66667</v>
      </c>
      <c r="C3526" s="9">
        <f>IFERROR(__xludf.DUMMYFUNCTION("""COMPUTED_VALUE"""),30.74)</f>
        <v>30.74</v>
      </c>
      <c r="K3526" s="16"/>
      <c r="T3526" s="17"/>
      <c r="AC3526" s="17"/>
    </row>
    <row r="3527">
      <c r="B3527" s="11">
        <f>IFERROR(__xludf.DUMMYFUNCTION("""COMPUTED_VALUE"""),40898.666666666664)</f>
        <v>40898.66667</v>
      </c>
      <c r="C3527" s="9">
        <f>IFERROR(__xludf.DUMMYFUNCTION("""COMPUTED_VALUE"""),30.57)</f>
        <v>30.57</v>
      </c>
      <c r="K3527" s="16"/>
      <c r="T3527" s="17"/>
      <c r="AC3527" s="17"/>
    </row>
    <row r="3528">
      <c r="B3528" s="11">
        <f>IFERROR(__xludf.DUMMYFUNCTION("""COMPUTED_VALUE"""),40897.666666666664)</f>
        <v>40897.66667</v>
      </c>
      <c r="C3528" s="9">
        <f>IFERROR(__xludf.DUMMYFUNCTION("""COMPUTED_VALUE"""),30.4)</f>
        <v>30.4</v>
      </c>
      <c r="K3528" s="16"/>
      <c r="T3528" s="17"/>
      <c r="AC3528" s="17"/>
    </row>
    <row r="3529">
      <c r="B3529" s="11">
        <f>IFERROR(__xludf.DUMMYFUNCTION("""COMPUTED_VALUE"""),40896.666666666664)</f>
        <v>40896.66667</v>
      </c>
      <c r="C3529" s="9">
        <f>IFERROR(__xludf.DUMMYFUNCTION("""COMPUTED_VALUE"""),29.42)</f>
        <v>29.42</v>
      </c>
      <c r="K3529" s="16"/>
      <c r="T3529" s="17"/>
      <c r="AC3529" s="17"/>
    </row>
    <row r="3530">
      <c r="B3530" s="11">
        <f>IFERROR(__xludf.DUMMYFUNCTION("""COMPUTED_VALUE"""),40893.666666666664)</f>
        <v>40893.66667</v>
      </c>
      <c r="C3530" s="9">
        <f>IFERROR(__xludf.DUMMYFUNCTION("""COMPUTED_VALUE"""),29.64)</f>
        <v>29.64</v>
      </c>
      <c r="K3530" s="16"/>
      <c r="T3530" s="17"/>
      <c r="AC3530" s="17"/>
    </row>
    <row r="3531">
      <c r="B3531" s="11">
        <f>IFERROR(__xludf.DUMMYFUNCTION("""COMPUTED_VALUE"""),40892.666666666664)</f>
        <v>40892.66667</v>
      </c>
      <c r="C3531" s="9">
        <f>IFERROR(__xludf.DUMMYFUNCTION("""COMPUTED_VALUE"""),29.57)</f>
        <v>29.57</v>
      </c>
      <c r="K3531" s="16"/>
      <c r="T3531" s="17"/>
      <c r="AC3531" s="17"/>
    </row>
    <row r="3532">
      <c r="B3532" s="11">
        <f>IFERROR(__xludf.DUMMYFUNCTION("""COMPUTED_VALUE"""),40891.666666666664)</f>
        <v>40891.66667</v>
      </c>
      <c r="C3532" s="9">
        <f>IFERROR(__xludf.DUMMYFUNCTION("""COMPUTED_VALUE"""),29.35)</f>
        <v>29.35</v>
      </c>
      <c r="K3532" s="16"/>
      <c r="T3532" s="17"/>
      <c r="AC3532" s="17"/>
    </row>
    <row r="3533">
      <c r="B3533" s="11">
        <f>IFERROR(__xludf.DUMMYFUNCTION("""COMPUTED_VALUE"""),40890.666666666664)</f>
        <v>40890.66667</v>
      </c>
      <c r="C3533" s="9">
        <f>IFERROR(__xludf.DUMMYFUNCTION("""COMPUTED_VALUE"""),29.63)</f>
        <v>29.63</v>
      </c>
      <c r="K3533" s="16"/>
      <c r="T3533" s="17"/>
      <c r="AC3533" s="17"/>
    </row>
    <row r="3534">
      <c r="B3534" s="11">
        <f>IFERROR(__xludf.DUMMYFUNCTION("""COMPUTED_VALUE"""),40889.666666666664)</f>
        <v>40889.66667</v>
      </c>
      <c r="C3534" s="9">
        <f>IFERROR(__xludf.DUMMYFUNCTION("""COMPUTED_VALUE"""),29.87)</f>
        <v>29.87</v>
      </c>
      <c r="K3534" s="16"/>
      <c r="T3534" s="17"/>
      <c r="AC3534" s="17"/>
    </row>
    <row r="3535">
      <c r="B3535" s="11">
        <f>IFERROR(__xludf.DUMMYFUNCTION("""COMPUTED_VALUE"""),40886.666666666664)</f>
        <v>40886.66667</v>
      </c>
      <c r="C3535" s="9">
        <f>IFERROR(__xludf.DUMMYFUNCTION("""COMPUTED_VALUE"""),30.34)</f>
        <v>30.34</v>
      </c>
      <c r="K3535" s="16"/>
      <c r="T3535" s="17"/>
      <c r="AC3535" s="17"/>
    </row>
    <row r="3536">
      <c r="B3536" s="11">
        <f>IFERROR(__xludf.DUMMYFUNCTION("""COMPUTED_VALUE"""),40885.666666666664)</f>
        <v>40885.66667</v>
      </c>
      <c r="C3536" s="9">
        <f>IFERROR(__xludf.DUMMYFUNCTION("""COMPUTED_VALUE"""),29.66)</f>
        <v>29.66</v>
      </c>
      <c r="K3536" s="16"/>
      <c r="T3536" s="17"/>
      <c r="AC3536" s="17"/>
    </row>
    <row r="3537">
      <c r="B3537" s="11">
        <f>IFERROR(__xludf.DUMMYFUNCTION("""COMPUTED_VALUE"""),40884.666666666664)</f>
        <v>40884.66667</v>
      </c>
      <c r="C3537" s="9">
        <f>IFERROR(__xludf.DUMMYFUNCTION("""COMPUTED_VALUE"""),30.37)</f>
        <v>30.37</v>
      </c>
      <c r="K3537" s="16"/>
      <c r="T3537" s="17"/>
      <c r="AC3537" s="17"/>
    </row>
    <row r="3538">
      <c r="B3538" s="11">
        <f>IFERROR(__xludf.DUMMYFUNCTION("""COMPUTED_VALUE"""),40883.666666666664)</f>
        <v>40883.66667</v>
      </c>
      <c r="C3538" s="9">
        <f>IFERROR(__xludf.DUMMYFUNCTION("""COMPUTED_VALUE"""),30.53)</f>
        <v>30.53</v>
      </c>
      <c r="K3538" s="16"/>
      <c r="T3538" s="17"/>
      <c r="AC3538" s="17"/>
    </row>
    <row r="3539">
      <c r="B3539" s="11">
        <f>IFERROR(__xludf.DUMMYFUNCTION("""COMPUTED_VALUE"""),40882.666666666664)</f>
        <v>40882.66667</v>
      </c>
      <c r="C3539" s="9">
        <f>IFERROR(__xludf.DUMMYFUNCTION("""COMPUTED_VALUE"""),30.46)</f>
        <v>30.46</v>
      </c>
      <c r="K3539" s="16"/>
      <c r="T3539" s="17"/>
      <c r="AC3539" s="17"/>
    </row>
    <row r="3540">
      <c r="B3540" s="11">
        <f>IFERROR(__xludf.DUMMYFUNCTION("""COMPUTED_VALUE"""),40879.666666666664)</f>
        <v>40879.66667</v>
      </c>
      <c r="C3540" s="9">
        <f>IFERROR(__xludf.DUMMYFUNCTION("""COMPUTED_VALUE"""),30.3)</f>
        <v>30.3</v>
      </c>
      <c r="K3540" s="16"/>
      <c r="T3540" s="17"/>
      <c r="AC3540" s="17"/>
    </row>
    <row r="3541">
      <c r="B3541" s="11">
        <f>IFERROR(__xludf.DUMMYFUNCTION("""COMPUTED_VALUE"""),40878.666666666664)</f>
        <v>40878.66667</v>
      </c>
      <c r="C3541" s="9">
        <f>IFERROR(__xludf.DUMMYFUNCTION("""COMPUTED_VALUE"""),30.47)</f>
        <v>30.47</v>
      </c>
      <c r="K3541" s="16"/>
      <c r="T3541" s="17"/>
      <c r="AC3541" s="17"/>
    </row>
    <row r="3542">
      <c r="B3542" s="11">
        <f>IFERROR(__xludf.DUMMYFUNCTION("""COMPUTED_VALUE"""),40877.666666666664)</f>
        <v>40877.66667</v>
      </c>
      <c r="C3542" s="9">
        <f>IFERROR(__xludf.DUMMYFUNCTION("""COMPUTED_VALUE"""),30.47)</f>
        <v>30.47</v>
      </c>
      <c r="K3542" s="16"/>
      <c r="T3542" s="17"/>
      <c r="AC3542" s="17"/>
    </row>
    <row r="3543">
      <c r="B3543" s="11">
        <f>IFERROR(__xludf.DUMMYFUNCTION("""COMPUTED_VALUE"""),40876.666666666664)</f>
        <v>40876.66667</v>
      </c>
      <c r="C3543" s="9">
        <f>IFERROR(__xludf.DUMMYFUNCTION("""COMPUTED_VALUE"""),29.21)</f>
        <v>29.21</v>
      </c>
      <c r="K3543" s="16"/>
      <c r="T3543" s="17"/>
      <c r="AC3543" s="17"/>
    </row>
    <row r="3544">
      <c r="B3544" s="11">
        <f>IFERROR(__xludf.DUMMYFUNCTION("""COMPUTED_VALUE"""),40875.666666666664)</f>
        <v>40875.66667</v>
      </c>
      <c r="C3544" s="9">
        <f>IFERROR(__xludf.DUMMYFUNCTION("""COMPUTED_VALUE"""),29.17)</f>
        <v>29.17</v>
      </c>
      <c r="K3544" s="16"/>
      <c r="T3544" s="17"/>
      <c r="AC3544" s="17"/>
    </row>
    <row r="3545">
      <c r="B3545" s="11">
        <f>IFERROR(__xludf.DUMMYFUNCTION("""COMPUTED_VALUE"""),40872.666666666664)</f>
        <v>40872.66667</v>
      </c>
      <c r="C3545" s="9">
        <f>IFERROR(__xludf.DUMMYFUNCTION("""COMPUTED_VALUE"""),28.3)</f>
        <v>28.3</v>
      </c>
      <c r="K3545" s="16"/>
      <c r="T3545" s="17"/>
      <c r="AC3545" s="17"/>
    </row>
    <row r="3546">
      <c r="B3546" s="11">
        <f>IFERROR(__xludf.DUMMYFUNCTION("""COMPUTED_VALUE"""),40870.666666666664)</f>
        <v>40870.66667</v>
      </c>
      <c r="C3546" s="9">
        <f>IFERROR(__xludf.DUMMYFUNCTION("""COMPUTED_VALUE"""),28.13)</f>
        <v>28.13</v>
      </c>
      <c r="K3546" s="16"/>
      <c r="T3546" s="17"/>
      <c r="AC3546" s="17"/>
    </row>
    <row r="3547">
      <c r="B3547" s="11">
        <f>IFERROR(__xludf.DUMMYFUNCTION("""COMPUTED_VALUE"""),40869.666666666664)</f>
        <v>40869.66667</v>
      </c>
      <c r="C3547" s="9">
        <f>IFERROR(__xludf.DUMMYFUNCTION("""COMPUTED_VALUE"""),28.94)</f>
        <v>28.94</v>
      </c>
      <c r="K3547" s="16"/>
      <c r="T3547" s="17"/>
      <c r="AC3547" s="17"/>
    </row>
    <row r="3548">
      <c r="B3548" s="11">
        <f>IFERROR(__xludf.DUMMYFUNCTION("""COMPUTED_VALUE"""),40868.666666666664)</f>
        <v>40868.66667</v>
      </c>
      <c r="C3548" s="9">
        <f>IFERROR(__xludf.DUMMYFUNCTION("""COMPUTED_VALUE"""),29.2)</f>
        <v>29.2</v>
      </c>
      <c r="K3548" s="16"/>
      <c r="T3548" s="17"/>
      <c r="AC3548" s="17"/>
    </row>
    <row r="3549">
      <c r="B3549" s="11">
        <f>IFERROR(__xludf.DUMMYFUNCTION("""COMPUTED_VALUE"""),40865.666666666664)</f>
        <v>40865.66667</v>
      </c>
      <c r="C3549" s="9">
        <f>IFERROR(__xludf.DUMMYFUNCTION("""COMPUTED_VALUE"""),29.8)</f>
        <v>29.8</v>
      </c>
      <c r="K3549" s="16"/>
      <c r="T3549" s="17"/>
      <c r="AC3549" s="17"/>
    </row>
    <row r="3550">
      <c r="B3550" s="11">
        <f>IFERROR(__xludf.DUMMYFUNCTION("""COMPUTED_VALUE"""),40864.666666666664)</f>
        <v>40864.66667</v>
      </c>
      <c r="C3550" s="9">
        <f>IFERROR(__xludf.DUMMYFUNCTION("""COMPUTED_VALUE"""),29.66)</f>
        <v>29.66</v>
      </c>
      <c r="K3550" s="16"/>
      <c r="T3550" s="17"/>
      <c r="AC3550" s="17"/>
    </row>
    <row r="3551">
      <c r="B3551" s="11">
        <f>IFERROR(__xludf.DUMMYFUNCTION("""COMPUTED_VALUE"""),40863.666666666664)</f>
        <v>40863.66667</v>
      </c>
      <c r="C3551" s="9">
        <f>IFERROR(__xludf.DUMMYFUNCTION("""COMPUTED_VALUE"""),30.18)</f>
        <v>30.18</v>
      </c>
      <c r="K3551" s="16"/>
      <c r="T3551" s="17"/>
      <c r="AC3551" s="17"/>
    </row>
    <row r="3552">
      <c r="B3552" s="11">
        <f>IFERROR(__xludf.DUMMYFUNCTION("""COMPUTED_VALUE"""),40862.666666666664)</f>
        <v>40862.66667</v>
      </c>
      <c r="C3552" s="9">
        <f>IFERROR(__xludf.DUMMYFUNCTION("""COMPUTED_VALUE"""),30.74)</f>
        <v>30.74</v>
      </c>
      <c r="K3552" s="16"/>
      <c r="T3552" s="17"/>
      <c r="AC3552" s="17"/>
    </row>
    <row r="3553">
      <c r="B3553" s="11">
        <f>IFERROR(__xludf.DUMMYFUNCTION("""COMPUTED_VALUE"""),40861.666666666664)</f>
        <v>40861.66667</v>
      </c>
      <c r="C3553" s="9">
        <f>IFERROR(__xludf.DUMMYFUNCTION("""COMPUTED_VALUE"""),30.36)</f>
        <v>30.36</v>
      </c>
      <c r="K3553" s="16"/>
      <c r="T3553" s="17"/>
      <c r="AC3553" s="17"/>
    </row>
    <row r="3554">
      <c r="B3554" s="11">
        <f>IFERROR(__xludf.DUMMYFUNCTION("""COMPUTED_VALUE"""),40858.666666666664)</f>
        <v>40858.66667</v>
      </c>
      <c r="C3554" s="9">
        <f>IFERROR(__xludf.DUMMYFUNCTION("""COMPUTED_VALUE"""),30.55)</f>
        <v>30.55</v>
      </c>
      <c r="K3554" s="16"/>
      <c r="T3554" s="17"/>
      <c r="AC3554" s="17"/>
    </row>
    <row r="3555">
      <c r="B3555" s="11">
        <f>IFERROR(__xludf.DUMMYFUNCTION("""COMPUTED_VALUE"""),40857.666666666664)</f>
        <v>40857.66667</v>
      </c>
      <c r="C3555" s="9">
        <f>IFERROR(__xludf.DUMMYFUNCTION("""COMPUTED_VALUE"""),29.89)</f>
        <v>29.89</v>
      </c>
      <c r="K3555" s="16"/>
      <c r="T3555" s="17"/>
      <c r="AC3555" s="17"/>
    </row>
    <row r="3556">
      <c r="B3556" s="11">
        <f>IFERROR(__xludf.DUMMYFUNCTION("""COMPUTED_VALUE"""),40856.666666666664)</f>
        <v>40856.66667</v>
      </c>
      <c r="C3556" s="9">
        <f>IFERROR(__xludf.DUMMYFUNCTION("""COMPUTED_VALUE"""),29.78)</f>
        <v>29.78</v>
      </c>
      <c r="K3556" s="16"/>
      <c r="T3556" s="17"/>
      <c r="AC3556" s="17"/>
    </row>
    <row r="3557">
      <c r="B3557" s="11">
        <f>IFERROR(__xludf.DUMMYFUNCTION("""COMPUTED_VALUE"""),40855.666666666664)</f>
        <v>40855.66667</v>
      </c>
      <c r="C3557" s="9">
        <f>IFERROR(__xludf.DUMMYFUNCTION("""COMPUTED_VALUE"""),30.76)</f>
        <v>30.76</v>
      </c>
      <c r="K3557" s="16"/>
      <c r="T3557" s="17"/>
      <c r="AC3557" s="17"/>
    </row>
    <row r="3558">
      <c r="B3558" s="11">
        <f>IFERROR(__xludf.DUMMYFUNCTION("""COMPUTED_VALUE"""),40854.666666666664)</f>
        <v>40854.66667</v>
      </c>
      <c r="C3558" s="9">
        <f>IFERROR(__xludf.DUMMYFUNCTION("""COMPUTED_VALUE"""),30.47)</f>
        <v>30.47</v>
      </c>
      <c r="K3558" s="16"/>
      <c r="T3558" s="17"/>
      <c r="AC3558" s="17"/>
    </row>
    <row r="3559">
      <c r="B3559" s="11">
        <f>IFERROR(__xludf.DUMMYFUNCTION("""COMPUTED_VALUE"""),40851.666666666664)</f>
        <v>40851.66667</v>
      </c>
      <c r="C3559" s="9">
        <f>IFERROR(__xludf.DUMMYFUNCTION("""COMPUTED_VALUE"""),30.16)</f>
        <v>30.16</v>
      </c>
      <c r="K3559" s="16"/>
      <c r="T3559" s="17"/>
      <c r="AC3559" s="17"/>
    </row>
    <row r="3560">
      <c r="B3560" s="11">
        <f>IFERROR(__xludf.DUMMYFUNCTION("""COMPUTED_VALUE"""),40850.666666666664)</f>
        <v>40850.66667</v>
      </c>
      <c r="C3560" s="9">
        <f>IFERROR(__xludf.DUMMYFUNCTION("""COMPUTED_VALUE"""),30.24)</f>
        <v>30.24</v>
      </c>
      <c r="K3560" s="16"/>
      <c r="T3560" s="17"/>
      <c r="AC3560" s="17"/>
    </row>
    <row r="3561">
      <c r="B3561" s="11">
        <f>IFERROR(__xludf.DUMMYFUNCTION("""COMPUTED_VALUE"""),40849.666666666664)</f>
        <v>40849.66667</v>
      </c>
      <c r="C3561" s="9">
        <f>IFERROR(__xludf.DUMMYFUNCTION("""COMPUTED_VALUE"""),29.3)</f>
        <v>29.3</v>
      </c>
      <c r="K3561" s="16"/>
      <c r="T3561" s="17"/>
      <c r="AC3561" s="17"/>
    </row>
    <row r="3562">
      <c r="B3562" s="11">
        <f>IFERROR(__xludf.DUMMYFUNCTION("""COMPUTED_VALUE"""),40848.666666666664)</f>
        <v>40848.66667</v>
      </c>
      <c r="C3562" s="9">
        <f>IFERROR(__xludf.DUMMYFUNCTION("""COMPUTED_VALUE"""),28.84)</f>
        <v>28.84</v>
      </c>
      <c r="K3562" s="16"/>
      <c r="T3562" s="17"/>
      <c r="AC3562" s="17"/>
    </row>
    <row r="3563">
      <c r="B3563" s="11">
        <f>IFERROR(__xludf.DUMMYFUNCTION("""COMPUTED_VALUE"""),40847.666666666664)</f>
        <v>40847.66667</v>
      </c>
      <c r="C3563" s="9">
        <f>IFERROR(__xludf.DUMMYFUNCTION("""COMPUTED_VALUE"""),29.96)</f>
        <v>29.96</v>
      </c>
      <c r="K3563" s="16"/>
      <c r="T3563" s="17"/>
      <c r="AC3563" s="17"/>
    </row>
    <row r="3564">
      <c r="B3564" s="11">
        <f>IFERROR(__xludf.DUMMYFUNCTION("""COMPUTED_VALUE"""),40844.666666666664)</f>
        <v>40844.66667</v>
      </c>
      <c r="C3564" s="9">
        <f>IFERROR(__xludf.DUMMYFUNCTION("""COMPUTED_VALUE"""),30.47)</f>
        <v>30.47</v>
      </c>
      <c r="K3564" s="16"/>
      <c r="T3564" s="17"/>
      <c r="AC3564" s="17"/>
    </row>
    <row r="3565">
      <c r="B3565" s="11">
        <f>IFERROR(__xludf.DUMMYFUNCTION("""COMPUTED_VALUE"""),40843.666666666664)</f>
        <v>40843.66667</v>
      </c>
      <c r="C3565" s="9">
        <f>IFERROR(__xludf.DUMMYFUNCTION("""COMPUTED_VALUE"""),30.57)</f>
        <v>30.57</v>
      </c>
      <c r="K3565" s="16"/>
      <c r="T3565" s="17"/>
      <c r="AC3565" s="17"/>
    </row>
    <row r="3566">
      <c r="B3566" s="11">
        <f>IFERROR(__xludf.DUMMYFUNCTION("""COMPUTED_VALUE"""),40842.666666666664)</f>
        <v>40842.66667</v>
      </c>
      <c r="C3566" s="9">
        <f>IFERROR(__xludf.DUMMYFUNCTION("""COMPUTED_VALUE"""),29.6)</f>
        <v>29.6</v>
      </c>
      <c r="K3566" s="16"/>
      <c r="T3566" s="17"/>
      <c r="AC3566" s="17"/>
    </row>
    <row r="3567">
      <c r="B3567" s="11">
        <f>IFERROR(__xludf.DUMMYFUNCTION("""COMPUTED_VALUE"""),40841.666666666664)</f>
        <v>40841.66667</v>
      </c>
      <c r="C3567" s="9">
        <f>IFERROR(__xludf.DUMMYFUNCTION("""COMPUTED_VALUE"""),29.53)</f>
        <v>29.53</v>
      </c>
      <c r="K3567" s="16"/>
      <c r="T3567" s="17"/>
      <c r="AC3567" s="17"/>
    </row>
    <row r="3568">
      <c r="B3568" s="11">
        <f>IFERROR(__xludf.DUMMYFUNCTION("""COMPUTED_VALUE"""),40840.666666666664)</f>
        <v>40840.66667</v>
      </c>
      <c r="C3568" s="9">
        <f>IFERROR(__xludf.DUMMYFUNCTION("""COMPUTED_VALUE"""),29.98)</f>
        <v>29.98</v>
      </c>
      <c r="K3568" s="16"/>
      <c r="T3568" s="17"/>
      <c r="AC3568" s="17"/>
    </row>
    <row r="3569">
      <c r="B3569" s="11">
        <f>IFERROR(__xludf.DUMMYFUNCTION("""COMPUTED_VALUE"""),40837.666666666664)</f>
        <v>40837.66667</v>
      </c>
      <c r="C3569" s="9">
        <f>IFERROR(__xludf.DUMMYFUNCTION("""COMPUTED_VALUE"""),29.5)</f>
        <v>29.5</v>
      </c>
      <c r="K3569" s="16"/>
      <c r="T3569" s="17"/>
      <c r="AC3569" s="17"/>
    </row>
    <row r="3570">
      <c r="B3570" s="11">
        <f>IFERROR(__xludf.DUMMYFUNCTION("""COMPUTED_VALUE"""),40836.666666666664)</f>
        <v>40836.66667</v>
      </c>
      <c r="C3570" s="9">
        <f>IFERROR(__xludf.DUMMYFUNCTION("""COMPUTED_VALUE"""),28.75)</f>
        <v>28.75</v>
      </c>
      <c r="K3570" s="16"/>
      <c r="T3570" s="17"/>
      <c r="AC3570" s="17"/>
    </row>
    <row r="3571">
      <c r="B3571" s="11">
        <f>IFERROR(__xludf.DUMMYFUNCTION("""COMPUTED_VALUE"""),40835.666666666664)</f>
        <v>40835.66667</v>
      </c>
      <c r="C3571" s="9">
        <f>IFERROR(__xludf.DUMMYFUNCTION("""COMPUTED_VALUE"""),28.59)</f>
        <v>28.59</v>
      </c>
      <c r="K3571" s="16"/>
      <c r="T3571" s="17"/>
      <c r="AC3571" s="17"/>
    </row>
    <row r="3572">
      <c r="B3572" s="11">
        <f>IFERROR(__xludf.DUMMYFUNCTION("""COMPUTED_VALUE"""),40834.666666666664)</f>
        <v>40834.66667</v>
      </c>
      <c r="C3572" s="9">
        <f>IFERROR(__xludf.DUMMYFUNCTION("""COMPUTED_VALUE"""),28.91)</f>
        <v>28.91</v>
      </c>
      <c r="K3572" s="16"/>
      <c r="T3572" s="17"/>
      <c r="AC3572" s="17"/>
    </row>
    <row r="3573">
      <c r="B3573" s="11">
        <f>IFERROR(__xludf.DUMMYFUNCTION("""COMPUTED_VALUE"""),40833.666666666664)</f>
        <v>40833.66667</v>
      </c>
      <c r="C3573" s="9">
        <f>IFERROR(__xludf.DUMMYFUNCTION("""COMPUTED_VALUE"""),28.24)</f>
        <v>28.24</v>
      </c>
      <c r="K3573" s="16"/>
      <c r="T3573" s="17"/>
      <c r="AC3573" s="17"/>
    </row>
    <row r="3574">
      <c r="B3574" s="11">
        <f>IFERROR(__xludf.DUMMYFUNCTION("""COMPUTED_VALUE"""),40830.666666666664)</f>
        <v>40830.66667</v>
      </c>
      <c r="C3574" s="9">
        <f>IFERROR(__xludf.DUMMYFUNCTION("""COMPUTED_VALUE"""),29.05)</f>
        <v>29.05</v>
      </c>
      <c r="K3574" s="16"/>
      <c r="T3574" s="17"/>
      <c r="AC3574" s="17"/>
    </row>
    <row r="3575">
      <c r="B3575" s="11">
        <f>IFERROR(__xludf.DUMMYFUNCTION("""COMPUTED_VALUE"""),40829.666666666664)</f>
        <v>40829.66667</v>
      </c>
      <c r="C3575" s="9">
        <f>IFERROR(__xludf.DUMMYFUNCTION("""COMPUTED_VALUE"""),28.77)</f>
        <v>28.77</v>
      </c>
      <c r="K3575" s="16"/>
      <c r="T3575" s="17"/>
      <c r="AC3575" s="17"/>
    </row>
    <row r="3576">
      <c r="B3576" s="11">
        <f>IFERROR(__xludf.DUMMYFUNCTION("""COMPUTED_VALUE"""),40828.666666666664)</f>
        <v>40828.66667</v>
      </c>
      <c r="C3576" s="9">
        <f>IFERROR(__xludf.DUMMYFUNCTION("""COMPUTED_VALUE"""),29.01)</f>
        <v>29.01</v>
      </c>
      <c r="K3576" s="16"/>
      <c r="T3576" s="17"/>
      <c r="AC3576" s="17"/>
    </row>
    <row r="3577">
      <c r="B3577" s="11">
        <f>IFERROR(__xludf.DUMMYFUNCTION("""COMPUTED_VALUE"""),40827.666666666664)</f>
        <v>40827.66667</v>
      </c>
      <c r="C3577" s="9">
        <f>IFERROR(__xludf.DUMMYFUNCTION("""COMPUTED_VALUE"""),28.75)</f>
        <v>28.75</v>
      </c>
      <c r="K3577" s="16"/>
      <c r="T3577" s="17"/>
      <c r="AC3577" s="17"/>
    </row>
    <row r="3578">
      <c r="B3578" s="11">
        <f>IFERROR(__xludf.DUMMYFUNCTION("""COMPUTED_VALUE"""),40826.666666666664)</f>
        <v>40826.66667</v>
      </c>
      <c r="C3578" s="9">
        <f>IFERROR(__xludf.DUMMYFUNCTION("""COMPUTED_VALUE"""),28.6)</f>
        <v>28.6</v>
      </c>
      <c r="K3578" s="16"/>
      <c r="T3578" s="17"/>
      <c r="AC3578" s="17"/>
    </row>
    <row r="3579">
      <c r="B3579" s="11">
        <f>IFERROR(__xludf.DUMMYFUNCTION("""COMPUTED_VALUE"""),40823.666666666664)</f>
        <v>40823.66667</v>
      </c>
      <c r="C3579" s="9">
        <f>IFERROR(__xludf.DUMMYFUNCTION("""COMPUTED_VALUE"""),27.83)</f>
        <v>27.83</v>
      </c>
      <c r="K3579" s="16"/>
      <c r="T3579" s="17"/>
      <c r="AC3579" s="17"/>
    </row>
    <row r="3580">
      <c r="B3580" s="11">
        <f>IFERROR(__xludf.DUMMYFUNCTION("""COMPUTED_VALUE"""),40822.666666666664)</f>
        <v>40822.66667</v>
      </c>
      <c r="C3580" s="9">
        <f>IFERROR(__xludf.DUMMYFUNCTION("""COMPUTED_VALUE"""),27.85)</f>
        <v>27.85</v>
      </c>
      <c r="K3580" s="16"/>
      <c r="T3580" s="17"/>
      <c r="AC3580" s="17"/>
    </row>
    <row r="3581">
      <c r="B3581" s="11">
        <f>IFERROR(__xludf.DUMMYFUNCTION("""COMPUTED_VALUE"""),40821.666666666664)</f>
        <v>40821.66667</v>
      </c>
      <c r="C3581" s="9">
        <f>IFERROR(__xludf.DUMMYFUNCTION("""COMPUTED_VALUE"""),27.34)</f>
        <v>27.34</v>
      </c>
      <c r="K3581" s="16"/>
      <c r="T3581" s="17"/>
      <c r="AC3581" s="17"/>
    </row>
    <row r="3582">
      <c r="B3582" s="11">
        <f>IFERROR(__xludf.DUMMYFUNCTION("""COMPUTED_VALUE"""),40820.666666666664)</f>
        <v>40820.66667</v>
      </c>
      <c r="C3582" s="9">
        <f>IFERROR(__xludf.DUMMYFUNCTION("""COMPUTED_VALUE"""),26.91)</f>
        <v>26.91</v>
      </c>
      <c r="K3582" s="16"/>
      <c r="T3582" s="17"/>
      <c r="AC3582" s="17"/>
    </row>
    <row r="3583">
      <c r="B3583" s="11">
        <f>IFERROR(__xludf.DUMMYFUNCTION("""COMPUTED_VALUE"""),40819.666666666664)</f>
        <v>40819.66667</v>
      </c>
      <c r="C3583" s="9">
        <f>IFERROR(__xludf.DUMMYFUNCTION("""COMPUTED_VALUE"""),26.28)</f>
        <v>26.28</v>
      </c>
      <c r="K3583" s="16"/>
      <c r="T3583" s="17"/>
      <c r="AC3583" s="17"/>
    </row>
    <row r="3584">
      <c r="B3584" s="11">
        <f>IFERROR(__xludf.DUMMYFUNCTION("""COMPUTED_VALUE"""),40816.666666666664)</f>
        <v>40816.66667</v>
      </c>
      <c r="C3584" s="9">
        <f>IFERROR(__xludf.DUMMYFUNCTION("""COMPUTED_VALUE"""),27.25)</f>
        <v>27.25</v>
      </c>
      <c r="K3584" s="16"/>
      <c r="T3584" s="17"/>
      <c r="AC3584" s="17"/>
    </row>
    <row r="3585">
      <c r="B3585" s="11">
        <f>IFERROR(__xludf.DUMMYFUNCTION("""COMPUTED_VALUE"""),40815.666666666664)</f>
        <v>40815.66667</v>
      </c>
      <c r="C3585" s="9">
        <f>IFERROR(__xludf.DUMMYFUNCTION("""COMPUTED_VALUE"""),27.81)</f>
        <v>27.81</v>
      </c>
      <c r="K3585" s="16"/>
      <c r="T3585" s="17"/>
      <c r="AC3585" s="17"/>
    </row>
    <row r="3586">
      <c r="B3586" s="11">
        <f>IFERROR(__xludf.DUMMYFUNCTION("""COMPUTED_VALUE"""),40814.666666666664)</f>
        <v>40814.66667</v>
      </c>
      <c r="C3586" s="9">
        <f>IFERROR(__xludf.DUMMYFUNCTION("""COMPUTED_VALUE"""),27.55)</f>
        <v>27.55</v>
      </c>
      <c r="K3586" s="16"/>
      <c r="T3586" s="17"/>
      <c r="AC3586" s="17"/>
    </row>
    <row r="3587">
      <c r="B3587" s="11">
        <f>IFERROR(__xludf.DUMMYFUNCTION("""COMPUTED_VALUE"""),40813.666666666664)</f>
        <v>40813.66667</v>
      </c>
      <c r="C3587" s="9">
        <f>IFERROR(__xludf.DUMMYFUNCTION("""COMPUTED_VALUE"""),28.23)</f>
        <v>28.23</v>
      </c>
      <c r="K3587" s="16"/>
      <c r="T3587" s="17"/>
      <c r="AC3587" s="17"/>
    </row>
    <row r="3588">
      <c r="B3588" s="11">
        <f>IFERROR(__xludf.DUMMYFUNCTION("""COMPUTED_VALUE"""),40812.666666666664)</f>
        <v>40812.66667</v>
      </c>
      <c r="C3588" s="9">
        <f>IFERROR(__xludf.DUMMYFUNCTION("""COMPUTED_VALUE"""),27.6)</f>
        <v>27.6</v>
      </c>
      <c r="K3588" s="16"/>
      <c r="T3588" s="17"/>
      <c r="AC3588" s="17"/>
    </row>
    <row r="3589">
      <c r="B3589" s="11">
        <f>IFERROR(__xludf.DUMMYFUNCTION("""COMPUTED_VALUE"""),40809.666666666664)</f>
        <v>40809.66667</v>
      </c>
      <c r="C3589" s="9">
        <f>IFERROR(__xludf.DUMMYFUNCTION("""COMPUTED_VALUE"""),26.82)</f>
        <v>26.82</v>
      </c>
      <c r="K3589" s="16"/>
      <c r="T3589" s="17"/>
      <c r="AC3589" s="17"/>
    </row>
    <row r="3590">
      <c r="B3590" s="11">
        <f>IFERROR(__xludf.DUMMYFUNCTION("""COMPUTED_VALUE"""),40808.666666666664)</f>
        <v>40808.66667</v>
      </c>
      <c r="C3590" s="9">
        <f>IFERROR(__xludf.DUMMYFUNCTION("""COMPUTED_VALUE"""),26.49)</f>
        <v>26.49</v>
      </c>
      <c r="K3590" s="16"/>
      <c r="T3590" s="17"/>
      <c r="AC3590" s="17"/>
    </row>
    <row r="3591">
      <c r="B3591" s="11">
        <f>IFERROR(__xludf.DUMMYFUNCTION("""COMPUTED_VALUE"""),40807.666666666664)</f>
        <v>40807.66667</v>
      </c>
      <c r="C3591" s="9">
        <f>IFERROR(__xludf.DUMMYFUNCTION("""COMPUTED_VALUE"""),27.28)</f>
        <v>27.28</v>
      </c>
      <c r="K3591" s="16"/>
      <c r="T3591" s="17"/>
      <c r="AC3591" s="17"/>
    </row>
    <row r="3592">
      <c r="B3592" s="11">
        <f>IFERROR(__xludf.DUMMYFUNCTION("""COMPUTED_VALUE"""),40806.666666666664)</f>
        <v>40806.66667</v>
      </c>
      <c r="C3592" s="9">
        <f>IFERROR(__xludf.DUMMYFUNCTION("""COMPUTED_VALUE"""),28.34)</f>
        <v>28.34</v>
      </c>
      <c r="K3592" s="16"/>
      <c r="T3592" s="17"/>
      <c r="AC3592" s="17"/>
    </row>
    <row r="3593">
      <c r="B3593" s="11">
        <f>IFERROR(__xludf.DUMMYFUNCTION("""COMPUTED_VALUE"""),40805.666666666664)</f>
        <v>40805.66667</v>
      </c>
      <c r="C3593" s="9">
        <f>IFERROR(__xludf.DUMMYFUNCTION("""COMPUTED_VALUE"""),28.65)</f>
        <v>28.65</v>
      </c>
      <c r="K3593" s="16"/>
      <c r="T3593" s="17"/>
      <c r="AC3593" s="17"/>
    </row>
    <row r="3594">
      <c r="B3594" s="11">
        <f>IFERROR(__xludf.DUMMYFUNCTION("""COMPUTED_VALUE"""),40802.666666666664)</f>
        <v>40802.66667</v>
      </c>
      <c r="C3594" s="9">
        <f>IFERROR(__xludf.DUMMYFUNCTION("""COMPUTED_VALUE"""),28.73)</f>
        <v>28.73</v>
      </c>
      <c r="K3594" s="16"/>
      <c r="T3594" s="17"/>
      <c r="AC3594" s="17"/>
    </row>
    <row r="3595">
      <c r="B3595" s="11">
        <f>IFERROR(__xludf.DUMMYFUNCTION("""COMPUTED_VALUE"""),40801.666666666664)</f>
        <v>40801.66667</v>
      </c>
      <c r="C3595" s="9">
        <f>IFERROR(__xludf.DUMMYFUNCTION("""COMPUTED_VALUE"""),28.29)</f>
        <v>28.29</v>
      </c>
      <c r="K3595" s="16"/>
      <c r="T3595" s="17"/>
      <c r="AC3595" s="17"/>
    </row>
    <row r="3596">
      <c r="B3596" s="11">
        <f>IFERROR(__xludf.DUMMYFUNCTION("""COMPUTED_VALUE"""),40800.666666666664)</f>
        <v>40800.66667</v>
      </c>
      <c r="C3596" s="9">
        <f>IFERROR(__xludf.DUMMYFUNCTION("""COMPUTED_VALUE"""),27.77)</f>
        <v>27.77</v>
      </c>
      <c r="K3596" s="16"/>
      <c r="T3596" s="17"/>
      <c r="AC3596" s="17"/>
    </row>
    <row r="3597">
      <c r="B3597" s="11">
        <f>IFERROR(__xludf.DUMMYFUNCTION("""COMPUTED_VALUE"""),40799.666666666664)</f>
        <v>40799.66667</v>
      </c>
      <c r="C3597" s="9">
        <f>IFERROR(__xludf.DUMMYFUNCTION("""COMPUTED_VALUE"""),27.31)</f>
        <v>27.31</v>
      </c>
      <c r="K3597" s="16"/>
      <c r="T3597" s="17"/>
      <c r="AC3597" s="17"/>
    </row>
    <row r="3598">
      <c r="B3598" s="11">
        <f>IFERROR(__xludf.DUMMYFUNCTION("""COMPUTED_VALUE"""),40798.666666666664)</f>
        <v>40798.66667</v>
      </c>
      <c r="C3598" s="9">
        <f>IFERROR(__xludf.DUMMYFUNCTION("""COMPUTED_VALUE"""),26.94)</f>
        <v>26.94</v>
      </c>
      <c r="K3598" s="16"/>
      <c r="T3598" s="17"/>
      <c r="AC3598" s="17"/>
    </row>
    <row r="3599">
      <c r="B3599" s="11">
        <f>IFERROR(__xludf.DUMMYFUNCTION("""COMPUTED_VALUE"""),40795.666666666664)</f>
        <v>40795.66667</v>
      </c>
      <c r="C3599" s="9">
        <f>IFERROR(__xludf.DUMMYFUNCTION("""COMPUTED_VALUE"""),26.82)</f>
        <v>26.82</v>
      </c>
      <c r="K3599" s="16"/>
      <c r="T3599" s="17"/>
      <c r="AC3599" s="17"/>
    </row>
    <row r="3600">
      <c r="B3600" s="11">
        <f>IFERROR(__xludf.DUMMYFUNCTION("""COMPUTED_VALUE"""),40794.666666666664)</f>
        <v>40794.66667</v>
      </c>
      <c r="C3600" s="9">
        <f>IFERROR(__xludf.DUMMYFUNCTION("""COMPUTED_VALUE"""),27.54)</f>
        <v>27.54</v>
      </c>
      <c r="K3600" s="16"/>
      <c r="T3600" s="17"/>
      <c r="AC3600" s="17"/>
    </row>
    <row r="3601">
      <c r="B3601" s="11">
        <f>IFERROR(__xludf.DUMMYFUNCTION("""COMPUTED_VALUE"""),40793.666666666664)</f>
        <v>40793.66667</v>
      </c>
      <c r="C3601" s="9">
        <f>IFERROR(__xludf.DUMMYFUNCTION("""COMPUTED_VALUE"""),27.98)</f>
        <v>27.98</v>
      </c>
      <c r="K3601" s="16"/>
      <c r="T3601" s="17"/>
      <c r="AC3601" s="17"/>
    </row>
    <row r="3602">
      <c r="B3602" s="11">
        <f>IFERROR(__xludf.DUMMYFUNCTION("""COMPUTED_VALUE"""),40792.666666666664)</f>
        <v>40792.66667</v>
      </c>
      <c r="C3602" s="9">
        <f>IFERROR(__xludf.DUMMYFUNCTION("""COMPUTED_VALUE"""),27.13)</f>
        <v>27.13</v>
      </c>
      <c r="K3602" s="16"/>
      <c r="T3602" s="17"/>
      <c r="AC3602" s="17"/>
    </row>
    <row r="3603">
      <c r="B3603" s="11">
        <f>IFERROR(__xludf.DUMMYFUNCTION("""COMPUTED_VALUE"""),40788.666666666664)</f>
        <v>40788.66667</v>
      </c>
      <c r="C3603" s="9">
        <f>IFERROR(__xludf.DUMMYFUNCTION("""COMPUTED_VALUE"""),27.36)</f>
        <v>27.36</v>
      </c>
      <c r="K3603" s="16"/>
      <c r="T3603" s="17"/>
      <c r="AC3603" s="17"/>
    </row>
    <row r="3604">
      <c r="B3604" s="11">
        <f>IFERROR(__xludf.DUMMYFUNCTION("""COMPUTED_VALUE"""),40787.666666666664)</f>
        <v>40787.66667</v>
      </c>
      <c r="C3604" s="9">
        <f>IFERROR(__xludf.DUMMYFUNCTION("""COMPUTED_VALUE"""),28.44)</f>
        <v>28.44</v>
      </c>
      <c r="K3604" s="16"/>
      <c r="T3604" s="17"/>
      <c r="AC3604" s="17"/>
    </row>
    <row r="3605">
      <c r="B3605" s="11">
        <f>IFERROR(__xludf.DUMMYFUNCTION("""COMPUTED_VALUE"""),40786.666666666664)</f>
        <v>40786.66667</v>
      </c>
      <c r="C3605" s="9">
        <f>IFERROR(__xludf.DUMMYFUNCTION("""COMPUTED_VALUE"""),29.07)</f>
        <v>29.07</v>
      </c>
      <c r="K3605" s="16"/>
      <c r="T3605" s="17"/>
      <c r="AC3605" s="17"/>
    </row>
    <row r="3606">
      <c r="B3606" s="11">
        <f>IFERROR(__xludf.DUMMYFUNCTION("""COMPUTED_VALUE"""),40785.666666666664)</f>
        <v>40785.66667</v>
      </c>
      <c r="C3606" s="9">
        <f>IFERROR(__xludf.DUMMYFUNCTION("""COMPUTED_VALUE"""),28.91)</f>
        <v>28.91</v>
      </c>
      <c r="K3606" s="16"/>
      <c r="T3606" s="17"/>
      <c r="AC3606" s="17"/>
    </row>
    <row r="3607">
      <c r="B3607" s="11">
        <f>IFERROR(__xludf.DUMMYFUNCTION("""COMPUTED_VALUE"""),40784.666666666664)</f>
        <v>40784.66667</v>
      </c>
      <c r="C3607" s="9">
        <f>IFERROR(__xludf.DUMMYFUNCTION("""COMPUTED_VALUE"""),28.6)</f>
        <v>28.6</v>
      </c>
      <c r="K3607" s="16"/>
      <c r="T3607" s="17"/>
      <c r="AC3607" s="17"/>
    </row>
    <row r="3608">
      <c r="B3608" s="11">
        <f>IFERROR(__xludf.DUMMYFUNCTION("""COMPUTED_VALUE"""),40781.666666666664)</f>
        <v>40781.66667</v>
      </c>
      <c r="C3608" s="9">
        <f>IFERROR(__xludf.DUMMYFUNCTION("""COMPUTED_VALUE"""),27.67)</f>
        <v>27.67</v>
      </c>
      <c r="K3608" s="16"/>
      <c r="T3608" s="17"/>
      <c r="AC3608" s="17"/>
    </row>
    <row r="3609">
      <c r="B3609" s="11">
        <f>IFERROR(__xludf.DUMMYFUNCTION("""COMPUTED_VALUE"""),40780.666666666664)</f>
        <v>40780.66667</v>
      </c>
      <c r="C3609" s="9">
        <f>IFERROR(__xludf.DUMMYFUNCTION("""COMPUTED_VALUE"""),27.08)</f>
        <v>27.08</v>
      </c>
      <c r="K3609" s="16"/>
      <c r="T3609" s="17"/>
      <c r="AC3609" s="17"/>
    </row>
    <row r="3610">
      <c r="B3610" s="11">
        <f>IFERROR(__xludf.DUMMYFUNCTION("""COMPUTED_VALUE"""),40779.666666666664)</f>
        <v>40779.66667</v>
      </c>
      <c r="C3610" s="9">
        <f>IFERROR(__xludf.DUMMYFUNCTION("""COMPUTED_VALUE"""),27.55)</f>
        <v>27.55</v>
      </c>
      <c r="K3610" s="16"/>
      <c r="T3610" s="17"/>
      <c r="AC3610" s="17"/>
    </row>
    <row r="3611">
      <c r="B3611" s="11">
        <f>IFERROR(__xludf.DUMMYFUNCTION("""COMPUTED_VALUE"""),40778.666666666664)</f>
        <v>40778.66667</v>
      </c>
      <c r="C3611" s="9">
        <f>IFERROR(__xludf.DUMMYFUNCTION("""COMPUTED_VALUE"""),26.98)</f>
        <v>26.98</v>
      </c>
      <c r="K3611" s="16"/>
      <c r="T3611" s="17"/>
      <c r="AC3611" s="17"/>
    </row>
    <row r="3612">
      <c r="B3612" s="11">
        <f>IFERROR(__xludf.DUMMYFUNCTION("""COMPUTED_VALUE"""),40777.666666666664)</f>
        <v>40777.66667</v>
      </c>
      <c r="C3612" s="9">
        <f>IFERROR(__xludf.DUMMYFUNCTION("""COMPUTED_VALUE"""),26.0)</f>
        <v>26</v>
      </c>
      <c r="K3612" s="16"/>
      <c r="T3612" s="17"/>
      <c r="AC3612" s="17"/>
    </row>
    <row r="3613">
      <c r="B3613" s="11">
        <f>IFERROR(__xludf.DUMMYFUNCTION("""COMPUTED_VALUE"""),40774.666666666664)</f>
        <v>40774.66667</v>
      </c>
      <c r="C3613" s="9">
        <f>IFERROR(__xludf.DUMMYFUNCTION("""COMPUTED_VALUE"""),25.79)</f>
        <v>25.79</v>
      </c>
      <c r="K3613" s="16"/>
      <c r="T3613" s="17"/>
      <c r="AC3613" s="17"/>
    </row>
    <row r="3614">
      <c r="B3614" s="11">
        <f>IFERROR(__xludf.DUMMYFUNCTION("""COMPUTED_VALUE"""),40773.666666666664)</f>
        <v>40773.66667</v>
      </c>
      <c r="C3614" s="9">
        <f>IFERROR(__xludf.DUMMYFUNCTION("""COMPUTED_VALUE"""),26.05)</f>
        <v>26.05</v>
      </c>
      <c r="K3614" s="16"/>
      <c r="T3614" s="17"/>
      <c r="AC3614" s="17"/>
    </row>
    <row r="3615">
      <c r="B3615" s="11">
        <f>IFERROR(__xludf.DUMMYFUNCTION("""COMPUTED_VALUE"""),40772.666666666664)</f>
        <v>40772.66667</v>
      </c>
      <c r="C3615" s="9">
        <f>IFERROR(__xludf.DUMMYFUNCTION("""COMPUTED_VALUE"""),27.57)</f>
        <v>27.57</v>
      </c>
      <c r="K3615" s="16"/>
      <c r="T3615" s="17"/>
      <c r="AC3615" s="17"/>
    </row>
    <row r="3616">
      <c r="B3616" s="11">
        <f>IFERROR(__xludf.DUMMYFUNCTION("""COMPUTED_VALUE"""),40771.666666666664)</f>
        <v>40771.66667</v>
      </c>
      <c r="C3616" s="9">
        <f>IFERROR(__xludf.DUMMYFUNCTION("""COMPUTED_VALUE"""),27.54)</f>
        <v>27.54</v>
      </c>
      <c r="K3616" s="16"/>
      <c r="T3616" s="17"/>
      <c r="AC3616" s="17"/>
    </row>
    <row r="3617">
      <c r="B3617" s="11">
        <f>IFERROR(__xludf.DUMMYFUNCTION("""COMPUTED_VALUE"""),40770.666666666664)</f>
        <v>40770.66667</v>
      </c>
      <c r="C3617" s="9">
        <f>IFERROR(__xludf.DUMMYFUNCTION("""COMPUTED_VALUE"""),27.82)</f>
        <v>27.82</v>
      </c>
      <c r="K3617" s="16"/>
      <c r="T3617" s="17"/>
      <c r="AC3617" s="17"/>
    </row>
    <row r="3618">
      <c r="B3618" s="11">
        <f>IFERROR(__xludf.DUMMYFUNCTION("""COMPUTED_VALUE"""),40767.666666666664)</f>
        <v>40767.66667</v>
      </c>
      <c r="C3618" s="9">
        <f>IFERROR(__xludf.DUMMYFUNCTION("""COMPUTED_VALUE"""),27.31)</f>
        <v>27.31</v>
      </c>
      <c r="K3618" s="16"/>
      <c r="T3618" s="17"/>
      <c r="AC3618" s="17"/>
    </row>
    <row r="3619">
      <c r="B3619" s="11">
        <f>IFERROR(__xludf.DUMMYFUNCTION("""COMPUTED_VALUE"""),40766.666666666664)</f>
        <v>40766.66667</v>
      </c>
      <c r="C3619" s="9">
        <f>IFERROR(__xludf.DUMMYFUNCTION("""COMPUTED_VALUE"""),26.75)</f>
        <v>26.75</v>
      </c>
      <c r="K3619" s="16"/>
      <c r="T3619" s="17"/>
      <c r="AC3619" s="17"/>
    </row>
    <row r="3620">
      <c r="B3620" s="11">
        <f>IFERROR(__xludf.DUMMYFUNCTION("""COMPUTED_VALUE"""),40765.666666666664)</f>
        <v>40765.66667</v>
      </c>
      <c r="C3620" s="9">
        <f>IFERROR(__xludf.DUMMYFUNCTION("""COMPUTED_VALUE"""),25.64)</f>
        <v>25.64</v>
      </c>
      <c r="K3620" s="16"/>
      <c r="T3620" s="17"/>
      <c r="AC3620" s="17"/>
    </row>
    <row r="3621">
      <c r="B3621" s="11">
        <f>IFERROR(__xludf.DUMMYFUNCTION("""COMPUTED_VALUE"""),40764.666666666664)</f>
        <v>40764.66667</v>
      </c>
      <c r="C3621" s="9">
        <f>IFERROR(__xludf.DUMMYFUNCTION("""COMPUTED_VALUE"""),27.38)</f>
        <v>27.38</v>
      </c>
      <c r="K3621" s="16"/>
      <c r="T3621" s="17"/>
      <c r="AC3621" s="17"/>
    </row>
    <row r="3622">
      <c r="B3622" s="11">
        <f>IFERROR(__xludf.DUMMYFUNCTION("""COMPUTED_VALUE"""),40763.666666666664)</f>
        <v>40763.66667</v>
      </c>
      <c r="C3622" s="9">
        <f>IFERROR(__xludf.DUMMYFUNCTION("""COMPUTED_VALUE"""),25.9)</f>
        <v>25.9</v>
      </c>
      <c r="K3622" s="16"/>
      <c r="T3622" s="17"/>
      <c r="AC3622" s="17"/>
    </row>
    <row r="3623">
      <c r="B3623" s="11">
        <f>IFERROR(__xludf.DUMMYFUNCTION("""COMPUTED_VALUE"""),40760.666666666664)</f>
        <v>40760.66667</v>
      </c>
      <c r="C3623" s="9">
        <f>IFERROR(__xludf.DUMMYFUNCTION("""COMPUTED_VALUE"""),28.06)</f>
        <v>28.06</v>
      </c>
      <c r="K3623" s="16"/>
      <c r="T3623" s="17"/>
      <c r="AC3623" s="17"/>
    </row>
    <row r="3624">
      <c r="B3624" s="11">
        <f>IFERROR(__xludf.DUMMYFUNCTION("""COMPUTED_VALUE"""),40759.666666666664)</f>
        <v>40759.66667</v>
      </c>
      <c r="C3624" s="9">
        <f>IFERROR(__xludf.DUMMYFUNCTION("""COMPUTED_VALUE"""),28.22)</f>
        <v>28.22</v>
      </c>
      <c r="K3624" s="16"/>
      <c r="T3624" s="17"/>
      <c r="AC3624" s="17"/>
    </row>
    <row r="3625">
      <c r="B3625" s="11">
        <f>IFERROR(__xludf.DUMMYFUNCTION("""COMPUTED_VALUE"""),40758.666666666664)</f>
        <v>40758.66667</v>
      </c>
      <c r="C3625" s="9">
        <f>IFERROR(__xludf.DUMMYFUNCTION("""COMPUTED_VALUE"""),29.76)</f>
        <v>29.76</v>
      </c>
      <c r="K3625" s="16"/>
      <c r="T3625" s="17"/>
      <c r="AC3625" s="17"/>
    </row>
    <row r="3626">
      <c r="B3626" s="11">
        <f>IFERROR(__xludf.DUMMYFUNCTION("""COMPUTED_VALUE"""),40757.666666666664)</f>
        <v>40757.66667</v>
      </c>
      <c r="C3626" s="9">
        <f>IFERROR(__xludf.DUMMYFUNCTION("""COMPUTED_VALUE"""),29.78)</f>
        <v>29.78</v>
      </c>
      <c r="K3626" s="16"/>
      <c r="T3626" s="17"/>
      <c r="AC3626" s="17"/>
    </row>
    <row r="3627">
      <c r="B3627" s="11">
        <f>IFERROR(__xludf.DUMMYFUNCTION("""COMPUTED_VALUE"""),40756.666666666664)</f>
        <v>40756.66667</v>
      </c>
      <c r="C3627" s="9">
        <f>IFERROR(__xludf.DUMMYFUNCTION("""COMPUTED_VALUE"""),30.65)</f>
        <v>30.65</v>
      </c>
      <c r="K3627" s="16"/>
      <c r="T3627" s="17"/>
      <c r="AC3627" s="17"/>
    </row>
    <row r="3628">
      <c r="B3628" s="11">
        <f>IFERROR(__xludf.DUMMYFUNCTION("""COMPUTED_VALUE"""),40753.666666666664)</f>
        <v>40753.66667</v>
      </c>
      <c r="C3628" s="9">
        <f>IFERROR(__xludf.DUMMYFUNCTION("""COMPUTED_VALUE"""),30.99)</f>
        <v>30.99</v>
      </c>
      <c r="K3628" s="16"/>
      <c r="T3628" s="17"/>
      <c r="AC3628" s="17"/>
    </row>
    <row r="3629">
      <c r="B3629" s="11">
        <f>IFERROR(__xludf.DUMMYFUNCTION("""COMPUTED_VALUE"""),40752.666666666664)</f>
        <v>40752.66667</v>
      </c>
      <c r="C3629" s="9">
        <f>IFERROR(__xludf.DUMMYFUNCTION("""COMPUTED_VALUE"""),30.86)</f>
        <v>30.86</v>
      </c>
      <c r="K3629" s="16"/>
      <c r="T3629" s="17"/>
      <c r="AC3629" s="17"/>
    </row>
    <row r="3630">
      <c r="B3630" s="11">
        <f>IFERROR(__xludf.DUMMYFUNCTION("""COMPUTED_VALUE"""),40751.666666666664)</f>
        <v>40751.66667</v>
      </c>
      <c r="C3630" s="9">
        <f>IFERROR(__xludf.DUMMYFUNCTION("""COMPUTED_VALUE"""),31.0)</f>
        <v>31</v>
      </c>
      <c r="K3630" s="16"/>
      <c r="T3630" s="17"/>
      <c r="AC3630" s="17"/>
    </row>
    <row r="3631">
      <c r="B3631" s="11">
        <f>IFERROR(__xludf.DUMMYFUNCTION("""COMPUTED_VALUE"""),40750.666666666664)</f>
        <v>40750.66667</v>
      </c>
      <c r="C3631" s="9">
        <f>IFERROR(__xludf.DUMMYFUNCTION("""COMPUTED_VALUE"""),31.93)</f>
        <v>31.93</v>
      </c>
      <c r="K3631" s="16"/>
      <c r="T3631" s="17"/>
      <c r="AC3631" s="17"/>
    </row>
    <row r="3632">
      <c r="B3632" s="11">
        <f>IFERROR(__xludf.DUMMYFUNCTION("""COMPUTED_VALUE"""),40749.666666666664)</f>
        <v>40749.66667</v>
      </c>
      <c r="C3632" s="9">
        <f>IFERROR(__xludf.DUMMYFUNCTION("""COMPUTED_VALUE"""),32.21)</f>
        <v>32.21</v>
      </c>
      <c r="K3632" s="16"/>
      <c r="T3632" s="17"/>
      <c r="AC3632" s="17"/>
    </row>
    <row r="3633">
      <c r="B3633" s="11">
        <f>IFERROR(__xludf.DUMMYFUNCTION("""COMPUTED_VALUE"""),40746.666666666664)</f>
        <v>40746.66667</v>
      </c>
      <c r="C3633" s="9">
        <f>IFERROR(__xludf.DUMMYFUNCTION("""COMPUTED_VALUE"""),32.44)</f>
        <v>32.44</v>
      </c>
      <c r="K3633" s="16"/>
      <c r="T3633" s="17"/>
      <c r="AC3633" s="17"/>
    </row>
    <row r="3634">
      <c r="B3634" s="11">
        <f>IFERROR(__xludf.DUMMYFUNCTION("""COMPUTED_VALUE"""),40745.666666666664)</f>
        <v>40745.66667</v>
      </c>
      <c r="C3634" s="9">
        <f>IFERROR(__xludf.DUMMYFUNCTION("""COMPUTED_VALUE"""),32.67)</f>
        <v>32.67</v>
      </c>
      <c r="K3634" s="16"/>
      <c r="T3634" s="17"/>
      <c r="AC3634" s="17"/>
    </row>
    <row r="3635">
      <c r="B3635" s="11">
        <f>IFERROR(__xludf.DUMMYFUNCTION("""COMPUTED_VALUE"""),40744.666666666664)</f>
        <v>40744.66667</v>
      </c>
      <c r="C3635" s="9">
        <f>IFERROR(__xludf.DUMMYFUNCTION("""COMPUTED_VALUE"""),32.07)</f>
        <v>32.07</v>
      </c>
      <c r="K3635" s="16"/>
      <c r="T3635" s="17"/>
      <c r="AC3635" s="17"/>
    </row>
    <row r="3636">
      <c r="B3636" s="11">
        <f>IFERROR(__xludf.DUMMYFUNCTION("""COMPUTED_VALUE"""),40743.666666666664)</f>
        <v>40743.66667</v>
      </c>
      <c r="C3636" s="9">
        <f>IFERROR(__xludf.DUMMYFUNCTION("""COMPUTED_VALUE"""),31.75)</f>
        <v>31.75</v>
      </c>
      <c r="K3636" s="16"/>
      <c r="T3636" s="17"/>
      <c r="AC3636" s="17"/>
    </row>
    <row r="3637">
      <c r="B3637" s="11">
        <f>IFERROR(__xludf.DUMMYFUNCTION("""COMPUTED_VALUE"""),40742.666666666664)</f>
        <v>40742.66667</v>
      </c>
      <c r="C3637" s="9">
        <f>IFERROR(__xludf.DUMMYFUNCTION("""COMPUTED_VALUE"""),31.28)</f>
        <v>31.28</v>
      </c>
      <c r="K3637" s="16"/>
      <c r="T3637" s="17"/>
      <c r="AC3637" s="17"/>
    </row>
    <row r="3638">
      <c r="B3638" s="11">
        <f>IFERROR(__xludf.DUMMYFUNCTION("""COMPUTED_VALUE"""),40739.666666666664)</f>
        <v>40739.66667</v>
      </c>
      <c r="C3638" s="9">
        <f>IFERROR(__xludf.DUMMYFUNCTION("""COMPUTED_VALUE"""),31.63)</f>
        <v>31.63</v>
      </c>
      <c r="K3638" s="16"/>
      <c r="T3638" s="17"/>
      <c r="AC3638" s="17"/>
    </row>
    <row r="3639">
      <c r="B3639" s="11">
        <f>IFERROR(__xludf.DUMMYFUNCTION("""COMPUTED_VALUE"""),40738.666666666664)</f>
        <v>40738.66667</v>
      </c>
      <c r="C3639" s="9">
        <f>IFERROR(__xludf.DUMMYFUNCTION("""COMPUTED_VALUE"""),31.9)</f>
        <v>31.9</v>
      </c>
      <c r="K3639" s="16"/>
      <c r="T3639" s="17"/>
      <c r="AC3639" s="17"/>
    </row>
    <row r="3640">
      <c r="B3640" s="11">
        <f>IFERROR(__xludf.DUMMYFUNCTION("""COMPUTED_VALUE"""),40737.666666666664)</f>
        <v>40737.66667</v>
      </c>
      <c r="C3640" s="9">
        <f>IFERROR(__xludf.DUMMYFUNCTION("""COMPUTED_VALUE"""),32.35)</f>
        <v>32.35</v>
      </c>
      <c r="K3640" s="16"/>
      <c r="T3640" s="17"/>
      <c r="AC3640" s="17"/>
    </row>
    <row r="3641">
      <c r="B3641" s="11">
        <f>IFERROR(__xludf.DUMMYFUNCTION("""COMPUTED_VALUE"""),40736.666666666664)</f>
        <v>40736.66667</v>
      </c>
      <c r="C3641" s="9">
        <f>IFERROR(__xludf.DUMMYFUNCTION("""COMPUTED_VALUE"""),32.32)</f>
        <v>32.32</v>
      </c>
      <c r="K3641" s="16"/>
      <c r="T3641" s="17"/>
      <c r="AC3641" s="17"/>
    </row>
    <row r="3642">
      <c r="B3642" s="11">
        <f>IFERROR(__xludf.DUMMYFUNCTION("""COMPUTED_VALUE"""),40735.666666666664)</f>
        <v>40735.66667</v>
      </c>
      <c r="C3642" s="9">
        <f>IFERROR(__xludf.DUMMYFUNCTION("""COMPUTED_VALUE"""),32.52)</f>
        <v>32.52</v>
      </c>
      <c r="K3642" s="16"/>
      <c r="T3642" s="17"/>
      <c r="AC3642" s="17"/>
    </row>
    <row r="3643">
      <c r="B3643" s="11">
        <f>IFERROR(__xludf.DUMMYFUNCTION("""COMPUTED_VALUE"""),40732.666666666664)</f>
        <v>40732.66667</v>
      </c>
      <c r="C3643" s="9">
        <f>IFERROR(__xludf.DUMMYFUNCTION("""COMPUTED_VALUE"""),33.12)</f>
        <v>33.12</v>
      </c>
      <c r="K3643" s="16"/>
      <c r="T3643" s="17"/>
      <c r="AC3643" s="17"/>
    </row>
    <row r="3644">
      <c r="B3644" s="11">
        <f>IFERROR(__xludf.DUMMYFUNCTION("""COMPUTED_VALUE"""),40731.666666666664)</f>
        <v>40731.66667</v>
      </c>
      <c r="C3644" s="9">
        <f>IFERROR(__xludf.DUMMYFUNCTION("""COMPUTED_VALUE"""),33.38)</f>
        <v>33.38</v>
      </c>
      <c r="K3644" s="16"/>
      <c r="T3644" s="17"/>
      <c r="AC3644" s="17"/>
    </row>
    <row r="3645">
      <c r="B3645" s="11">
        <f>IFERROR(__xludf.DUMMYFUNCTION("""COMPUTED_VALUE"""),40730.666666666664)</f>
        <v>40730.66667</v>
      </c>
      <c r="C3645" s="9">
        <f>IFERROR(__xludf.DUMMYFUNCTION("""COMPUTED_VALUE"""),33.19)</f>
        <v>33.19</v>
      </c>
      <c r="K3645" s="16"/>
      <c r="T3645" s="17"/>
      <c r="AC3645" s="17"/>
    </row>
    <row r="3646">
      <c r="B3646" s="11">
        <f>IFERROR(__xludf.DUMMYFUNCTION("""COMPUTED_VALUE"""),40729.666666666664)</f>
        <v>40729.66667</v>
      </c>
      <c r="C3646" s="9">
        <f>IFERROR(__xludf.DUMMYFUNCTION("""COMPUTED_VALUE"""),33.03)</f>
        <v>33.03</v>
      </c>
      <c r="K3646" s="16"/>
      <c r="T3646" s="17"/>
      <c r="AC3646" s="17"/>
    </row>
    <row r="3647">
      <c r="B3647" s="11">
        <f>IFERROR(__xludf.DUMMYFUNCTION("""COMPUTED_VALUE"""),40725.666666666664)</f>
        <v>40725.66667</v>
      </c>
      <c r="C3647" s="9">
        <f>IFERROR(__xludf.DUMMYFUNCTION("""COMPUTED_VALUE"""),33.23)</f>
        <v>33.23</v>
      </c>
      <c r="K3647" s="16"/>
      <c r="T3647" s="17"/>
      <c r="AC3647" s="17"/>
    </row>
    <row r="3648">
      <c r="B3648" s="11">
        <f>IFERROR(__xludf.DUMMYFUNCTION("""COMPUTED_VALUE"""),40724.666666666664)</f>
        <v>40724.66667</v>
      </c>
      <c r="C3648" s="9">
        <f>IFERROR(__xludf.DUMMYFUNCTION("""COMPUTED_VALUE"""),32.82)</f>
        <v>32.82</v>
      </c>
      <c r="K3648" s="16"/>
      <c r="T3648" s="17"/>
      <c r="AC3648" s="17"/>
    </row>
    <row r="3649">
      <c r="B3649" s="11">
        <f>IFERROR(__xludf.DUMMYFUNCTION("""COMPUTED_VALUE"""),40723.666666666664)</f>
        <v>40723.66667</v>
      </c>
      <c r="C3649" s="9">
        <f>IFERROR(__xludf.DUMMYFUNCTION("""COMPUTED_VALUE"""),32.33)</f>
        <v>32.33</v>
      </c>
      <c r="K3649" s="16"/>
      <c r="T3649" s="17"/>
      <c r="AC3649" s="17"/>
    </row>
    <row r="3650">
      <c r="B3650" s="11">
        <f>IFERROR(__xludf.DUMMYFUNCTION("""COMPUTED_VALUE"""),40722.666666666664)</f>
        <v>40722.66667</v>
      </c>
      <c r="C3650" s="9">
        <f>IFERROR(__xludf.DUMMYFUNCTION("""COMPUTED_VALUE"""),32.1)</f>
        <v>32.1</v>
      </c>
      <c r="K3650" s="16"/>
      <c r="T3650" s="17"/>
      <c r="AC3650" s="17"/>
    </row>
    <row r="3651">
      <c r="B3651" s="11">
        <f>IFERROR(__xludf.DUMMYFUNCTION("""COMPUTED_VALUE"""),40721.666666666664)</f>
        <v>40721.66667</v>
      </c>
      <c r="C3651" s="9">
        <f>IFERROR(__xludf.DUMMYFUNCTION("""COMPUTED_VALUE"""),31.72)</f>
        <v>31.72</v>
      </c>
      <c r="K3651" s="16"/>
      <c r="T3651" s="17"/>
      <c r="AC3651" s="17"/>
    </row>
    <row r="3652">
      <c r="B3652" s="11">
        <f>IFERROR(__xludf.DUMMYFUNCTION("""COMPUTED_VALUE"""),40718.666666666664)</f>
        <v>40718.66667</v>
      </c>
      <c r="C3652" s="9">
        <f>IFERROR(__xludf.DUMMYFUNCTION("""COMPUTED_VALUE"""),31.48)</f>
        <v>31.48</v>
      </c>
      <c r="K3652" s="16"/>
      <c r="T3652" s="17"/>
      <c r="AC3652" s="17"/>
    </row>
    <row r="3653">
      <c r="B3653" s="11">
        <f>IFERROR(__xludf.DUMMYFUNCTION("""COMPUTED_VALUE"""),40717.666666666664)</f>
        <v>40717.66667</v>
      </c>
      <c r="C3653" s="9">
        <f>IFERROR(__xludf.DUMMYFUNCTION("""COMPUTED_VALUE"""),31.84)</f>
        <v>31.84</v>
      </c>
      <c r="K3653" s="16"/>
      <c r="T3653" s="17"/>
      <c r="AC3653" s="17"/>
    </row>
    <row r="3654">
      <c r="B3654" s="11">
        <f>IFERROR(__xludf.DUMMYFUNCTION("""COMPUTED_VALUE"""),40716.666666666664)</f>
        <v>40716.66667</v>
      </c>
      <c r="C3654" s="9">
        <f>IFERROR(__xludf.DUMMYFUNCTION("""COMPUTED_VALUE"""),32.02)</f>
        <v>32.02</v>
      </c>
      <c r="K3654" s="16"/>
      <c r="T3654" s="17"/>
      <c r="AC3654" s="17"/>
    </row>
    <row r="3655">
      <c r="B3655" s="11">
        <f>IFERROR(__xludf.DUMMYFUNCTION("""COMPUTED_VALUE"""),40715.666666666664)</f>
        <v>40715.66667</v>
      </c>
      <c r="C3655" s="9">
        <f>IFERROR(__xludf.DUMMYFUNCTION("""COMPUTED_VALUE"""),32.03)</f>
        <v>32.03</v>
      </c>
      <c r="K3655" s="16"/>
      <c r="T3655" s="17"/>
      <c r="AC3655" s="17"/>
    </row>
    <row r="3656">
      <c r="B3656" s="11">
        <f>IFERROR(__xludf.DUMMYFUNCTION("""COMPUTED_VALUE"""),40714.666666666664)</f>
        <v>40714.66667</v>
      </c>
      <c r="C3656" s="9">
        <f>IFERROR(__xludf.DUMMYFUNCTION("""COMPUTED_VALUE"""),31.75)</f>
        <v>31.75</v>
      </c>
      <c r="K3656" s="16"/>
      <c r="T3656" s="17"/>
      <c r="AC3656" s="17"/>
    </row>
    <row r="3657">
      <c r="B3657" s="11">
        <f>IFERROR(__xludf.DUMMYFUNCTION("""COMPUTED_VALUE"""),40711.666666666664)</f>
        <v>40711.66667</v>
      </c>
      <c r="C3657" s="9">
        <f>IFERROR(__xludf.DUMMYFUNCTION("""COMPUTED_VALUE"""),31.39)</f>
        <v>31.39</v>
      </c>
      <c r="K3657" s="16"/>
      <c r="T3657" s="17"/>
      <c r="AC3657" s="17"/>
    </row>
    <row r="3658">
      <c r="B3658" s="11">
        <f>IFERROR(__xludf.DUMMYFUNCTION("""COMPUTED_VALUE"""),40710.666666666664)</f>
        <v>40710.66667</v>
      </c>
      <c r="C3658" s="9">
        <f>IFERROR(__xludf.DUMMYFUNCTION("""COMPUTED_VALUE"""),31.29)</f>
        <v>31.29</v>
      </c>
      <c r="K3658" s="16"/>
      <c r="T3658" s="17"/>
      <c r="AC3658" s="17"/>
    </row>
    <row r="3659">
      <c r="B3659" s="11">
        <f>IFERROR(__xludf.DUMMYFUNCTION("""COMPUTED_VALUE"""),40709.666666666664)</f>
        <v>40709.66667</v>
      </c>
      <c r="C3659" s="9">
        <f>IFERROR(__xludf.DUMMYFUNCTION("""COMPUTED_VALUE"""),31.08)</f>
        <v>31.08</v>
      </c>
      <c r="K3659" s="16"/>
      <c r="T3659" s="17"/>
      <c r="AC3659" s="17"/>
    </row>
    <row r="3660">
      <c r="B3660" s="11">
        <f>IFERROR(__xludf.DUMMYFUNCTION("""COMPUTED_VALUE"""),40708.666666666664)</f>
        <v>40708.66667</v>
      </c>
      <c r="C3660" s="9">
        <f>IFERROR(__xludf.DUMMYFUNCTION("""COMPUTED_VALUE"""),31.35)</f>
        <v>31.35</v>
      </c>
      <c r="K3660" s="16"/>
      <c r="T3660" s="17"/>
      <c r="AC3660" s="17"/>
    </row>
    <row r="3661">
      <c r="B3661" s="11">
        <f>IFERROR(__xludf.DUMMYFUNCTION("""COMPUTED_VALUE"""),40707.666666666664)</f>
        <v>40707.66667</v>
      </c>
      <c r="C3661" s="9">
        <f>IFERROR(__xludf.DUMMYFUNCTION("""COMPUTED_VALUE"""),30.79)</f>
        <v>30.79</v>
      </c>
      <c r="K3661" s="16"/>
      <c r="T3661" s="17"/>
      <c r="AC3661" s="17"/>
    </row>
    <row r="3662">
      <c r="B3662" s="11">
        <f>IFERROR(__xludf.DUMMYFUNCTION("""COMPUTED_VALUE"""),40704.666666666664)</f>
        <v>40704.66667</v>
      </c>
      <c r="C3662" s="9">
        <f>IFERROR(__xludf.DUMMYFUNCTION("""COMPUTED_VALUE"""),30.67)</f>
        <v>30.67</v>
      </c>
      <c r="K3662" s="16"/>
      <c r="T3662" s="17"/>
      <c r="AC3662" s="17"/>
    </row>
    <row r="3663">
      <c r="B3663" s="11">
        <f>IFERROR(__xludf.DUMMYFUNCTION("""COMPUTED_VALUE"""),40703.666666666664)</f>
        <v>40703.66667</v>
      </c>
      <c r="C3663" s="9">
        <f>IFERROR(__xludf.DUMMYFUNCTION("""COMPUTED_VALUE"""),31.09)</f>
        <v>31.09</v>
      </c>
      <c r="K3663" s="16"/>
      <c r="T3663" s="17"/>
      <c r="AC3663" s="17"/>
    </row>
    <row r="3664">
      <c r="B3664" s="11">
        <f>IFERROR(__xludf.DUMMYFUNCTION("""COMPUTED_VALUE"""),40702.666666666664)</f>
        <v>40702.66667</v>
      </c>
      <c r="C3664" s="9">
        <f>IFERROR(__xludf.DUMMYFUNCTION("""COMPUTED_VALUE"""),30.91)</f>
        <v>30.91</v>
      </c>
      <c r="K3664" s="16"/>
      <c r="T3664" s="17"/>
      <c r="AC3664" s="17"/>
    </row>
    <row r="3665">
      <c r="B3665" s="11">
        <f>IFERROR(__xludf.DUMMYFUNCTION("""COMPUTED_VALUE"""),40701.666666666664)</f>
        <v>40701.66667</v>
      </c>
      <c r="C3665" s="9">
        <f>IFERROR(__xludf.DUMMYFUNCTION("""COMPUTED_VALUE"""),31.14)</f>
        <v>31.14</v>
      </c>
      <c r="K3665" s="16"/>
      <c r="T3665" s="17"/>
      <c r="AC3665" s="17"/>
    </row>
    <row r="3666">
      <c r="B3666" s="11">
        <f>IFERROR(__xludf.DUMMYFUNCTION("""COMPUTED_VALUE"""),40700.666666666664)</f>
        <v>40700.66667</v>
      </c>
      <c r="C3666" s="9">
        <f>IFERROR(__xludf.DUMMYFUNCTION("""COMPUTED_VALUE"""),31.15)</f>
        <v>31.15</v>
      </c>
      <c r="K3666" s="16"/>
      <c r="T3666" s="17"/>
      <c r="AC3666" s="17"/>
    </row>
    <row r="3667">
      <c r="B3667" s="11">
        <f>IFERROR(__xludf.DUMMYFUNCTION("""COMPUTED_VALUE"""),40697.666666666664)</f>
        <v>40697.66667</v>
      </c>
      <c r="C3667" s="9">
        <f>IFERROR(__xludf.DUMMYFUNCTION("""COMPUTED_VALUE"""),31.16)</f>
        <v>31.16</v>
      </c>
      <c r="K3667" s="16"/>
      <c r="T3667" s="17"/>
      <c r="AC3667" s="17"/>
    </row>
    <row r="3668">
      <c r="B3668" s="11">
        <f>IFERROR(__xludf.DUMMYFUNCTION("""COMPUTED_VALUE"""),40696.666666666664)</f>
        <v>40696.66667</v>
      </c>
      <c r="C3668" s="9">
        <f>IFERROR(__xludf.DUMMYFUNCTION("""COMPUTED_VALUE"""),31.45)</f>
        <v>31.45</v>
      </c>
      <c r="K3668" s="16"/>
      <c r="T3668" s="17"/>
      <c r="AC3668" s="17"/>
    </row>
    <row r="3669">
      <c r="B3669" s="11">
        <f>IFERROR(__xludf.DUMMYFUNCTION("""COMPUTED_VALUE"""),40695.666666666664)</f>
        <v>40695.66667</v>
      </c>
      <c r="C3669" s="9">
        <f>IFERROR(__xludf.DUMMYFUNCTION("""COMPUTED_VALUE"""),31.41)</f>
        <v>31.41</v>
      </c>
      <c r="K3669" s="16"/>
      <c r="T3669" s="17"/>
      <c r="AC3669" s="17"/>
    </row>
    <row r="3670">
      <c r="B3670" s="11">
        <f>IFERROR(__xludf.DUMMYFUNCTION("""COMPUTED_VALUE"""),40694.666666666664)</f>
        <v>40694.66667</v>
      </c>
      <c r="C3670" s="9">
        <f>IFERROR(__xludf.DUMMYFUNCTION("""COMPUTED_VALUE"""),32.26)</f>
        <v>32.26</v>
      </c>
      <c r="K3670" s="16"/>
      <c r="T3670" s="17"/>
      <c r="AC3670" s="17"/>
    </row>
    <row r="3671">
      <c r="B3671" s="11">
        <f>IFERROR(__xludf.DUMMYFUNCTION("""COMPUTED_VALUE"""),40690.666666666664)</f>
        <v>40690.66667</v>
      </c>
      <c r="C3671" s="9">
        <f>IFERROR(__xludf.DUMMYFUNCTION("""COMPUTED_VALUE"""),31.92)</f>
        <v>31.92</v>
      </c>
      <c r="K3671" s="16"/>
      <c r="T3671" s="17"/>
      <c r="AC3671" s="17"/>
    </row>
    <row r="3672">
      <c r="B3672" s="11">
        <f>IFERROR(__xludf.DUMMYFUNCTION("""COMPUTED_VALUE"""),40689.666666666664)</f>
        <v>40689.66667</v>
      </c>
      <c r="C3672" s="9">
        <f>IFERROR(__xludf.DUMMYFUNCTION("""COMPUTED_VALUE"""),31.74)</f>
        <v>31.74</v>
      </c>
      <c r="K3672" s="16"/>
      <c r="T3672" s="17"/>
      <c r="AC3672" s="17"/>
    </row>
    <row r="3673">
      <c r="B3673" s="11">
        <f>IFERROR(__xludf.DUMMYFUNCTION("""COMPUTED_VALUE"""),40688.666666666664)</f>
        <v>40688.66667</v>
      </c>
      <c r="C3673" s="9">
        <f>IFERROR(__xludf.DUMMYFUNCTION("""COMPUTED_VALUE"""),31.73)</f>
        <v>31.73</v>
      </c>
      <c r="K3673" s="16"/>
      <c r="T3673" s="17"/>
      <c r="AC3673" s="17"/>
    </row>
    <row r="3674">
      <c r="B3674" s="11">
        <f>IFERROR(__xludf.DUMMYFUNCTION("""COMPUTED_VALUE"""),40687.666666666664)</f>
        <v>40687.66667</v>
      </c>
      <c r="C3674" s="9">
        <f>IFERROR(__xludf.DUMMYFUNCTION("""COMPUTED_VALUE"""),31.5)</f>
        <v>31.5</v>
      </c>
      <c r="K3674" s="16"/>
      <c r="T3674" s="17"/>
      <c r="AC3674" s="17"/>
    </row>
    <row r="3675">
      <c r="B3675" s="11">
        <f>IFERROR(__xludf.DUMMYFUNCTION("""COMPUTED_VALUE"""),40686.666666666664)</f>
        <v>40686.66667</v>
      </c>
      <c r="C3675" s="9">
        <f>IFERROR(__xludf.DUMMYFUNCTION("""COMPUTED_VALUE"""),31.68)</f>
        <v>31.68</v>
      </c>
      <c r="K3675" s="16"/>
      <c r="T3675" s="17"/>
      <c r="AC3675" s="17"/>
    </row>
    <row r="3676">
      <c r="B3676" s="11">
        <f>IFERROR(__xludf.DUMMYFUNCTION("""COMPUTED_VALUE"""),40683.666666666664)</f>
        <v>40683.66667</v>
      </c>
      <c r="C3676" s="9">
        <f>IFERROR(__xludf.DUMMYFUNCTION("""COMPUTED_VALUE"""),32.2)</f>
        <v>32.2</v>
      </c>
      <c r="K3676" s="16"/>
      <c r="T3676" s="17"/>
      <c r="AC3676" s="17"/>
    </row>
    <row r="3677">
      <c r="B3677" s="11">
        <f>IFERROR(__xludf.DUMMYFUNCTION("""COMPUTED_VALUE"""),40682.666666666664)</f>
        <v>40682.66667</v>
      </c>
      <c r="C3677" s="9">
        <f>IFERROR(__xludf.DUMMYFUNCTION("""COMPUTED_VALUE"""),32.49)</f>
        <v>32.49</v>
      </c>
      <c r="K3677" s="16"/>
      <c r="T3677" s="17"/>
      <c r="AC3677" s="17"/>
    </row>
    <row r="3678">
      <c r="B3678" s="11">
        <f>IFERROR(__xludf.DUMMYFUNCTION("""COMPUTED_VALUE"""),40681.666666666664)</f>
        <v>40681.66667</v>
      </c>
      <c r="C3678" s="9">
        <f>IFERROR(__xludf.DUMMYFUNCTION("""COMPUTED_VALUE"""),32.37)</f>
        <v>32.37</v>
      </c>
      <c r="K3678" s="16"/>
      <c r="T3678" s="17"/>
      <c r="AC3678" s="17"/>
    </row>
    <row r="3679">
      <c r="B3679" s="11">
        <f>IFERROR(__xludf.DUMMYFUNCTION("""COMPUTED_VALUE"""),40680.666666666664)</f>
        <v>40680.66667</v>
      </c>
      <c r="C3679" s="9">
        <f>IFERROR(__xludf.DUMMYFUNCTION("""COMPUTED_VALUE"""),32.07)</f>
        <v>32.07</v>
      </c>
      <c r="K3679" s="16"/>
      <c r="T3679" s="17"/>
      <c r="AC3679" s="17"/>
    </row>
    <row r="3680">
      <c r="B3680" s="11">
        <f>IFERROR(__xludf.DUMMYFUNCTION("""COMPUTED_VALUE"""),40679.666666666664)</f>
        <v>40679.66667</v>
      </c>
      <c r="C3680" s="9">
        <f>IFERROR(__xludf.DUMMYFUNCTION("""COMPUTED_VALUE"""),32.42)</f>
        <v>32.42</v>
      </c>
      <c r="K3680" s="16"/>
      <c r="T3680" s="17"/>
      <c r="AC3680" s="17"/>
    </row>
    <row r="3681">
      <c r="B3681" s="11">
        <f>IFERROR(__xludf.DUMMYFUNCTION("""COMPUTED_VALUE"""),40676.666666666664)</f>
        <v>40676.66667</v>
      </c>
      <c r="C3681" s="9">
        <f>IFERROR(__xludf.DUMMYFUNCTION("""COMPUTED_VALUE"""),32.49)</f>
        <v>32.49</v>
      </c>
      <c r="K3681" s="16"/>
      <c r="T3681" s="17"/>
      <c r="AC3681" s="17"/>
    </row>
    <row r="3682">
      <c r="B3682" s="11">
        <f>IFERROR(__xludf.DUMMYFUNCTION("""COMPUTED_VALUE"""),40675.666666666664)</f>
        <v>40675.66667</v>
      </c>
      <c r="C3682" s="9">
        <f>IFERROR(__xludf.DUMMYFUNCTION("""COMPUTED_VALUE"""),32.88)</f>
        <v>32.88</v>
      </c>
      <c r="K3682" s="16"/>
      <c r="T3682" s="17"/>
      <c r="AC3682" s="17"/>
    </row>
    <row r="3683">
      <c r="B3683" s="11">
        <f>IFERROR(__xludf.DUMMYFUNCTION("""COMPUTED_VALUE"""),40674.666666666664)</f>
        <v>40674.66667</v>
      </c>
      <c r="C3683" s="9">
        <f>IFERROR(__xludf.DUMMYFUNCTION("""COMPUTED_VALUE"""),32.64)</f>
        <v>32.64</v>
      </c>
      <c r="K3683" s="16"/>
      <c r="T3683" s="17"/>
      <c r="AC3683" s="17"/>
    </row>
    <row r="3684">
      <c r="B3684" s="11">
        <f>IFERROR(__xludf.DUMMYFUNCTION("""COMPUTED_VALUE"""),40673.666666666664)</f>
        <v>40673.66667</v>
      </c>
      <c r="C3684" s="9">
        <f>IFERROR(__xludf.DUMMYFUNCTION("""COMPUTED_VALUE"""),32.86)</f>
        <v>32.86</v>
      </c>
      <c r="K3684" s="16"/>
      <c r="T3684" s="17"/>
      <c r="AC3684" s="17"/>
    </row>
    <row r="3685">
      <c r="B3685" s="11">
        <f>IFERROR(__xludf.DUMMYFUNCTION("""COMPUTED_VALUE"""),40672.666666666664)</f>
        <v>40672.66667</v>
      </c>
      <c r="C3685" s="9">
        <f>IFERROR(__xludf.DUMMYFUNCTION("""COMPUTED_VALUE"""),32.56)</f>
        <v>32.56</v>
      </c>
      <c r="K3685" s="16"/>
      <c r="T3685" s="17"/>
      <c r="AC3685" s="17"/>
    </row>
    <row r="3686">
      <c r="B3686" s="11">
        <f>IFERROR(__xludf.DUMMYFUNCTION("""COMPUTED_VALUE"""),40669.666666666664)</f>
        <v>40669.66667</v>
      </c>
      <c r="C3686" s="9">
        <f>IFERROR(__xludf.DUMMYFUNCTION("""COMPUTED_VALUE"""),32.39)</f>
        <v>32.39</v>
      </c>
      <c r="K3686" s="16"/>
      <c r="T3686" s="17"/>
      <c r="AC3686" s="17"/>
    </row>
    <row r="3687">
      <c r="B3687" s="11">
        <f>IFERROR(__xludf.DUMMYFUNCTION("""COMPUTED_VALUE"""),40668.666666666664)</f>
        <v>40668.66667</v>
      </c>
      <c r="C3687" s="9">
        <f>IFERROR(__xludf.DUMMYFUNCTION("""COMPUTED_VALUE"""),32.03)</f>
        <v>32.03</v>
      </c>
      <c r="K3687" s="16"/>
      <c r="T3687" s="17"/>
      <c r="AC3687" s="17"/>
    </row>
    <row r="3688">
      <c r="B3688" s="11">
        <f>IFERROR(__xludf.DUMMYFUNCTION("""COMPUTED_VALUE"""),40667.666666666664)</f>
        <v>40667.66667</v>
      </c>
      <c r="C3688" s="9">
        <f>IFERROR(__xludf.DUMMYFUNCTION("""COMPUTED_VALUE"""),32.02)</f>
        <v>32.02</v>
      </c>
      <c r="K3688" s="16"/>
      <c r="T3688" s="17"/>
      <c r="AC3688" s="17"/>
    </row>
    <row r="3689">
      <c r="B3689" s="11">
        <f>IFERROR(__xludf.DUMMYFUNCTION("""COMPUTED_VALUE"""),40666.666666666664)</f>
        <v>40666.66667</v>
      </c>
      <c r="C3689" s="9">
        <f>IFERROR(__xludf.DUMMYFUNCTION("""COMPUTED_VALUE"""),32.43)</f>
        <v>32.43</v>
      </c>
      <c r="K3689" s="16"/>
      <c r="T3689" s="17"/>
      <c r="AC3689" s="17"/>
    </row>
    <row r="3690">
      <c r="B3690" s="11">
        <f>IFERROR(__xludf.DUMMYFUNCTION("""COMPUTED_VALUE"""),40665.666666666664)</f>
        <v>40665.66667</v>
      </c>
      <c r="C3690" s="9">
        <f>IFERROR(__xludf.DUMMYFUNCTION("""COMPUTED_VALUE"""),32.38)</f>
        <v>32.38</v>
      </c>
      <c r="K3690" s="16"/>
      <c r="T3690" s="17"/>
      <c r="AC3690" s="17"/>
    </row>
    <row r="3691">
      <c r="B3691" s="11">
        <f>IFERROR(__xludf.DUMMYFUNCTION("""COMPUTED_VALUE"""),40662.666666666664)</f>
        <v>40662.66667</v>
      </c>
      <c r="C3691" s="9">
        <f>IFERROR(__xludf.DUMMYFUNCTION("""COMPUTED_VALUE"""),32.38)</f>
        <v>32.38</v>
      </c>
      <c r="K3691" s="16"/>
      <c r="T3691" s="17"/>
      <c r="AC3691" s="17"/>
    </row>
    <row r="3692">
      <c r="B3692" s="11">
        <f>IFERROR(__xludf.DUMMYFUNCTION("""COMPUTED_VALUE"""),40661.666666666664)</f>
        <v>40661.66667</v>
      </c>
      <c r="C3692" s="9">
        <f>IFERROR(__xludf.DUMMYFUNCTION("""COMPUTED_VALUE"""),32.12)</f>
        <v>32.12</v>
      </c>
      <c r="K3692" s="16"/>
      <c r="T3692" s="17"/>
      <c r="AC3692" s="17"/>
    </row>
    <row r="3693">
      <c r="B3693" s="11">
        <f>IFERROR(__xludf.DUMMYFUNCTION("""COMPUTED_VALUE"""),40660.666666666664)</f>
        <v>40660.66667</v>
      </c>
      <c r="C3693" s="9">
        <f>IFERROR(__xludf.DUMMYFUNCTION("""COMPUTED_VALUE"""),32.0)</f>
        <v>32</v>
      </c>
      <c r="K3693" s="16"/>
      <c r="T3693" s="17"/>
      <c r="AC3693" s="17"/>
    </row>
    <row r="3694">
      <c r="B3694" s="11">
        <f>IFERROR(__xludf.DUMMYFUNCTION("""COMPUTED_VALUE"""),40659.666666666664)</f>
        <v>40659.66667</v>
      </c>
      <c r="C3694" s="9">
        <f>IFERROR(__xludf.DUMMYFUNCTION("""COMPUTED_VALUE"""),31.89)</f>
        <v>31.89</v>
      </c>
      <c r="K3694" s="16"/>
      <c r="T3694" s="17"/>
      <c r="AC3694" s="17"/>
    </row>
    <row r="3695">
      <c r="B3695" s="11">
        <f>IFERROR(__xludf.DUMMYFUNCTION("""COMPUTED_VALUE"""),40658.666666666664)</f>
        <v>40658.66667</v>
      </c>
      <c r="C3695" s="9">
        <f>IFERROR(__xludf.DUMMYFUNCTION("""COMPUTED_VALUE"""),31.41)</f>
        <v>31.41</v>
      </c>
      <c r="K3695" s="16"/>
      <c r="T3695" s="17"/>
      <c r="AC3695" s="17"/>
    </row>
    <row r="3696">
      <c r="B3696" s="11">
        <f>IFERROR(__xludf.DUMMYFUNCTION("""COMPUTED_VALUE"""),40654.666666666664)</f>
        <v>40654.66667</v>
      </c>
      <c r="C3696" s="9">
        <f>IFERROR(__xludf.DUMMYFUNCTION("""COMPUTED_VALUE"""),31.61)</f>
        <v>31.61</v>
      </c>
      <c r="K3696" s="16"/>
      <c r="T3696" s="17"/>
      <c r="AC3696" s="17"/>
    </row>
    <row r="3697">
      <c r="B3697" s="11">
        <f>IFERROR(__xludf.DUMMYFUNCTION("""COMPUTED_VALUE"""),40653.666666666664)</f>
        <v>40653.66667</v>
      </c>
      <c r="C3697" s="9">
        <f>IFERROR(__xludf.DUMMYFUNCTION("""COMPUTED_VALUE"""),31.49)</f>
        <v>31.49</v>
      </c>
      <c r="K3697" s="16"/>
      <c r="T3697" s="17"/>
      <c r="AC3697" s="17"/>
    </row>
    <row r="3698">
      <c r="B3698" s="11">
        <f>IFERROR(__xludf.DUMMYFUNCTION("""COMPUTED_VALUE"""),40652.666666666664)</f>
        <v>40652.66667</v>
      </c>
      <c r="C3698" s="9">
        <f>IFERROR(__xludf.DUMMYFUNCTION("""COMPUTED_VALUE"""),30.78)</f>
        <v>30.78</v>
      </c>
      <c r="K3698" s="16"/>
      <c r="T3698" s="17"/>
      <c r="AC3698" s="17"/>
    </row>
    <row r="3699">
      <c r="B3699" s="11">
        <f>IFERROR(__xludf.DUMMYFUNCTION("""COMPUTED_VALUE"""),40651.666666666664)</f>
        <v>40651.66667</v>
      </c>
      <c r="C3699" s="9">
        <f>IFERROR(__xludf.DUMMYFUNCTION("""COMPUTED_VALUE"""),30.64)</f>
        <v>30.64</v>
      </c>
      <c r="K3699" s="16"/>
      <c r="T3699" s="17"/>
      <c r="AC3699" s="17"/>
    </row>
    <row r="3700">
      <c r="B3700" s="11">
        <f>IFERROR(__xludf.DUMMYFUNCTION("""COMPUTED_VALUE"""),40648.666666666664)</f>
        <v>40648.66667</v>
      </c>
      <c r="C3700" s="9">
        <f>IFERROR(__xludf.DUMMYFUNCTION("""COMPUTED_VALUE"""),31.13)</f>
        <v>31.13</v>
      </c>
      <c r="K3700" s="16"/>
      <c r="T3700" s="17"/>
      <c r="AC3700" s="17"/>
    </row>
    <row r="3701">
      <c r="B3701" s="11">
        <f>IFERROR(__xludf.DUMMYFUNCTION("""COMPUTED_VALUE"""),40647.666666666664)</f>
        <v>40647.66667</v>
      </c>
      <c r="C3701" s="9">
        <f>IFERROR(__xludf.DUMMYFUNCTION("""COMPUTED_VALUE"""),30.94)</f>
        <v>30.94</v>
      </c>
      <c r="K3701" s="16"/>
      <c r="T3701" s="17"/>
      <c r="AC3701" s="17"/>
    </row>
    <row r="3702">
      <c r="B3702" s="11">
        <f>IFERROR(__xludf.DUMMYFUNCTION("""COMPUTED_VALUE"""),40646.666666666664)</f>
        <v>40646.66667</v>
      </c>
      <c r="C3702" s="9">
        <f>IFERROR(__xludf.DUMMYFUNCTION("""COMPUTED_VALUE"""),31.13)</f>
        <v>31.13</v>
      </c>
      <c r="K3702" s="16"/>
      <c r="T3702" s="17"/>
      <c r="AC3702" s="17"/>
    </row>
    <row r="3703">
      <c r="B3703" s="11">
        <f>IFERROR(__xludf.DUMMYFUNCTION("""COMPUTED_VALUE"""),40645.666666666664)</f>
        <v>40645.66667</v>
      </c>
      <c r="C3703" s="9">
        <f>IFERROR(__xludf.DUMMYFUNCTION("""COMPUTED_VALUE"""),31.46)</f>
        <v>31.46</v>
      </c>
      <c r="K3703" s="16"/>
      <c r="T3703" s="17"/>
      <c r="AC3703" s="17"/>
    </row>
    <row r="3704">
      <c r="B3704" s="11">
        <f>IFERROR(__xludf.DUMMYFUNCTION("""COMPUTED_VALUE"""),40644.666666666664)</f>
        <v>40644.66667</v>
      </c>
      <c r="C3704" s="9">
        <f>IFERROR(__xludf.DUMMYFUNCTION("""COMPUTED_VALUE"""),31.75)</f>
        <v>31.75</v>
      </c>
      <c r="K3704" s="16"/>
      <c r="T3704" s="17"/>
      <c r="AC3704" s="17"/>
    </row>
    <row r="3705">
      <c r="B3705" s="11">
        <f>IFERROR(__xludf.DUMMYFUNCTION("""COMPUTED_VALUE"""),40641.666666666664)</f>
        <v>40641.66667</v>
      </c>
      <c r="C3705" s="9">
        <f>IFERROR(__xludf.DUMMYFUNCTION("""COMPUTED_VALUE"""),31.82)</f>
        <v>31.82</v>
      </c>
      <c r="K3705" s="16"/>
      <c r="T3705" s="17"/>
      <c r="AC3705" s="17"/>
    </row>
    <row r="3706">
      <c r="B3706" s="11">
        <f>IFERROR(__xludf.DUMMYFUNCTION("""COMPUTED_VALUE"""),40640.666666666664)</f>
        <v>40640.66667</v>
      </c>
      <c r="C3706" s="9">
        <f>IFERROR(__xludf.DUMMYFUNCTION("""COMPUTED_VALUE"""),32.26)</f>
        <v>32.26</v>
      </c>
      <c r="K3706" s="16"/>
      <c r="T3706" s="17"/>
      <c r="AC3706" s="17"/>
    </row>
    <row r="3707">
      <c r="B3707" s="11">
        <f>IFERROR(__xludf.DUMMYFUNCTION("""COMPUTED_VALUE"""),40639.666666666664)</f>
        <v>40639.66667</v>
      </c>
      <c r="C3707" s="9">
        <f>IFERROR(__xludf.DUMMYFUNCTION("""COMPUTED_VALUE"""),32.33)</f>
        <v>32.33</v>
      </c>
      <c r="K3707" s="16"/>
      <c r="T3707" s="17"/>
      <c r="AC3707" s="17"/>
    </row>
    <row r="3708">
      <c r="B3708" s="11">
        <f>IFERROR(__xludf.DUMMYFUNCTION("""COMPUTED_VALUE"""),40638.666666666664)</f>
        <v>40638.66667</v>
      </c>
      <c r="C3708" s="9">
        <f>IFERROR(__xludf.DUMMYFUNCTION("""COMPUTED_VALUE"""),32.16)</f>
        <v>32.16</v>
      </c>
      <c r="K3708" s="16"/>
      <c r="T3708" s="17"/>
      <c r="AC3708" s="17"/>
    </row>
    <row r="3709">
      <c r="B3709" s="11">
        <f>IFERROR(__xludf.DUMMYFUNCTION("""COMPUTED_VALUE"""),40637.666666666664)</f>
        <v>40637.66667</v>
      </c>
      <c r="C3709" s="9">
        <f>IFERROR(__xludf.DUMMYFUNCTION("""COMPUTED_VALUE"""),32.17)</f>
        <v>32.17</v>
      </c>
      <c r="K3709" s="16"/>
      <c r="T3709" s="17"/>
      <c r="AC3709" s="17"/>
    </row>
    <row r="3710">
      <c r="B3710" s="11">
        <f>IFERROR(__xludf.DUMMYFUNCTION("""COMPUTED_VALUE"""),40634.666666666664)</f>
        <v>40634.66667</v>
      </c>
      <c r="C3710" s="9">
        <f>IFERROR(__xludf.DUMMYFUNCTION("""COMPUTED_VALUE"""),32.34)</f>
        <v>32.34</v>
      </c>
      <c r="K3710" s="16"/>
      <c r="T3710" s="17"/>
      <c r="AC3710" s="17"/>
    </row>
    <row r="3711">
      <c r="B3711" s="11">
        <f>IFERROR(__xludf.DUMMYFUNCTION("""COMPUTED_VALUE"""),40633.666666666664)</f>
        <v>40633.66667</v>
      </c>
      <c r="C3711" s="9">
        <f>IFERROR(__xludf.DUMMYFUNCTION("""COMPUTED_VALUE"""),32.12)</f>
        <v>32.12</v>
      </c>
      <c r="K3711" s="16"/>
      <c r="T3711" s="17"/>
      <c r="AC3711" s="17"/>
    </row>
    <row r="3712">
      <c r="B3712" s="11">
        <f>IFERROR(__xludf.DUMMYFUNCTION("""COMPUTED_VALUE"""),40632.666666666664)</f>
        <v>40632.66667</v>
      </c>
      <c r="C3712" s="9">
        <f>IFERROR(__xludf.DUMMYFUNCTION("""COMPUTED_VALUE"""),31.94)</f>
        <v>31.94</v>
      </c>
      <c r="K3712" s="16"/>
      <c r="T3712" s="17"/>
      <c r="AC3712" s="17"/>
    </row>
    <row r="3713">
      <c r="B3713" s="11">
        <f>IFERROR(__xludf.DUMMYFUNCTION("""COMPUTED_VALUE"""),40631.666666666664)</f>
        <v>40631.66667</v>
      </c>
      <c r="C3713" s="9">
        <f>IFERROR(__xludf.DUMMYFUNCTION("""COMPUTED_VALUE"""),31.82)</f>
        <v>31.82</v>
      </c>
      <c r="K3713" s="16"/>
      <c r="T3713" s="17"/>
      <c r="AC3713" s="17"/>
    </row>
    <row r="3714">
      <c r="B3714" s="11">
        <f>IFERROR(__xludf.DUMMYFUNCTION("""COMPUTED_VALUE"""),40630.666666666664)</f>
        <v>40630.66667</v>
      </c>
      <c r="C3714" s="9">
        <f>IFERROR(__xludf.DUMMYFUNCTION("""COMPUTED_VALUE"""),31.65)</f>
        <v>31.65</v>
      </c>
      <c r="K3714" s="16"/>
      <c r="T3714" s="17"/>
      <c r="AC3714" s="17"/>
    </row>
    <row r="3715">
      <c r="B3715" s="11">
        <f>IFERROR(__xludf.DUMMYFUNCTION("""COMPUTED_VALUE"""),40627.666666666664)</f>
        <v>40627.66667</v>
      </c>
      <c r="C3715" s="9">
        <f>IFERROR(__xludf.DUMMYFUNCTION("""COMPUTED_VALUE"""),31.78)</f>
        <v>31.78</v>
      </c>
      <c r="K3715" s="16"/>
      <c r="T3715" s="17"/>
      <c r="AC3715" s="17"/>
    </row>
    <row r="3716">
      <c r="B3716" s="11">
        <f>IFERROR(__xludf.DUMMYFUNCTION("""COMPUTED_VALUE"""),40626.666666666664)</f>
        <v>40626.66667</v>
      </c>
      <c r="C3716" s="9">
        <f>IFERROR(__xludf.DUMMYFUNCTION("""COMPUTED_VALUE"""),31.73)</f>
        <v>31.73</v>
      </c>
      <c r="K3716" s="16"/>
      <c r="T3716" s="17"/>
      <c r="AC3716" s="17"/>
    </row>
    <row r="3717">
      <c r="B3717" s="11">
        <f>IFERROR(__xludf.DUMMYFUNCTION("""COMPUTED_VALUE"""),40625.666666666664)</f>
        <v>40625.66667</v>
      </c>
      <c r="C3717" s="9">
        <f>IFERROR(__xludf.DUMMYFUNCTION("""COMPUTED_VALUE"""),31.58)</f>
        <v>31.58</v>
      </c>
      <c r="K3717" s="16"/>
      <c r="T3717" s="17"/>
      <c r="AC3717" s="17"/>
    </row>
    <row r="3718">
      <c r="B3718" s="11">
        <f>IFERROR(__xludf.DUMMYFUNCTION("""COMPUTED_VALUE"""),40624.666666666664)</f>
        <v>40624.66667</v>
      </c>
      <c r="C3718" s="9">
        <f>IFERROR(__xludf.DUMMYFUNCTION("""COMPUTED_VALUE"""),31.41)</f>
        <v>31.41</v>
      </c>
      <c r="K3718" s="16"/>
      <c r="T3718" s="17"/>
      <c r="AC3718" s="17"/>
    </row>
    <row r="3719">
      <c r="B3719" s="11">
        <f>IFERROR(__xludf.DUMMYFUNCTION("""COMPUTED_VALUE"""),40623.666666666664)</f>
        <v>40623.66667</v>
      </c>
      <c r="C3719" s="9">
        <f>IFERROR(__xludf.DUMMYFUNCTION("""COMPUTED_VALUE"""),31.46)</f>
        <v>31.46</v>
      </c>
      <c r="K3719" s="16"/>
      <c r="T3719" s="17"/>
      <c r="AC3719" s="17"/>
    </row>
    <row r="3720">
      <c r="B3720" s="11">
        <f>IFERROR(__xludf.DUMMYFUNCTION("""COMPUTED_VALUE"""),40620.666666666664)</f>
        <v>40620.66667</v>
      </c>
      <c r="C3720" s="9">
        <f>IFERROR(__xludf.DUMMYFUNCTION("""COMPUTED_VALUE"""),30.79)</f>
        <v>30.79</v>
      </c>
      <c r="K3720" s="16"/>
      <c r="T3720" s="17"/>
      <c r="AC3720" s="17"/>
    </row>
    <row r="3721">
      <c r="B3721" s="11">
        <f>IFERROR(__xludf.DUMMYFUNCTION("""COMPUTED_VALUE"""),40619.666666666664)</f>
        <v>40619.66667</v>
      </c>
      <c r="C3721" s="9">
        <f>IFERROR(__xludf.DUMMYFUNCTION("""COMPUTED_VALUE"""),30.49)</f>
        <v>30.49</v>
      </c>
      <c r="K3721" s="16"/>
      <c r="T3721" s="17"/>
      <c r="AC3721" s="17"/>
    </row>
    <row r="3722">
      <c r="B3722" s="11">
        <f>IFERROR(__xludf.DUMMYFUNCTION("""COMPUTED_VALUE"""),40618.666666666664)</f>
        <v>40618.66667</v>
      </c>
      <c r="C3722" s="9">
        <f>IFERROR(__xludf.DUMMYFUNCTION("""COMPUTED_VALUE"""),30.2)</f>
        <v>30.2</v>
      </c>
      <c r="K3722" s="16"/>
      <c r="T3722" s="17"/>
      <c r="AC3722" s="17"/>
    </row>
    <row r="3723">
      <c r="B3723" s="11">
        <f>IFERROR(__xludf.DUMMYFUNCTION("""COMPUTED_VALUE"""),40617.666666666664)</f>
        <v>40617.66667</v>
      </c>
      <c r="C3723" s="9">
        <f>IFERROR(__xludf.DUMMYFUNCTION("""COMPUTED_VALUE"""),30.87)</f>
        <v>30.87</v>
      </c>
      <c r="K3723" s="16"/>
      <c r="T3723" s="17"/>
      <c r="AC3723" s="17"/>
    </row>
    <row r="3724">
      <c r="B3724" s="11">
        <f>IFERROR(__xludf.DUMMYFUNCTION("""COMPUTED_VALUE"""),40616.666666666664)</f>
        <v>40616.66667</v>
      </c>
      <c r="C3724" s="9">
        <f>IFERROR(__xludf.DUMMYFUNCTION("""COMPUTED_VALUE"""),31.18)</f>
        <v>31.18</v>
      </c>
      <c r="K3724" s="16"/>
      <c r="T3724" s="17"/>
      <c r="AC3724" s="17"/>
    </row>
    <row r="3725">
      <c r="B3725" s="11">
        <f>IFERROR(__xludf.DUMMYFUNCTION("""COMPUTED_VALUE"""),40613.666666666664)</f>
        <v>40613.66667</v>
      </c>
      <c r="C3725" s="9">
        <f>IFERROR(__xludf.DUMMYFUNCTION("""COMPUTED_VALUE"""),31.47)</f>
        <v>31.47</v>
      </c>
      <c r="K3725" s="16"/>
      <c r="T3725" s="17"/>
      <c r="AC3725" s="17"/>
    </row>
    <row r="3726">
      <c r="B3726" s="11">
        <f>IFERROR(__xludf.DUMMYFUNCTION("""COMPUTED_VALUE"""),40612.666666666664)</f>
        <v>40612.66667</v>
      </c>
      <c r="C3726" s="9">
        <f>IFERROR(__xludf.DUMMYFUNCTION("""COMPUTED_VALUE"""),31.21)</f>
        <v>31.21</v>
      </c>
      <c r="K3726" s="16"/>
      <c r="T3726" s="17"/>
      <c r="AC3726" s="17"/>
    </row>
    <row r="3727">
      <c r="B3727" s="11">
        <f>IFERROR(__xludf.DUMMYFUNCTION("""COMPUTED_VALUE"""),40611.666666666664)</f>
        <v>40611.66667</v>
      </c>
      <c r="C3727" s="9">
        <f>IFERROR(__xludf.DUMMYFUNCTION("""COMPUTED_VALUE"""),31.89)</f>
        <v>31.89</v>
      </c>
      <c r="K3727" s="16"/>
      <c r="T3727" s="17"/>
      <c r="AC3727" s="17"/>
    </row>
    <row r="3728">
      <c r="B3728" s="11">
        <f>IFERROR(__xludf.DUMMYFUNCTION("""COMPUTED_VALUE"""),40610.666666666664)</f>
        <v>40610.66667</v>
      </c>
      <c r="C3728" s="9">
        <f>IFERROR(__xludf.DUMMYFUNCTION("""COMPUTED_VALUE"""),31.69)</f>
        <v>31.69</v>
      </c>
      <c r="K3728" s="16"/>
      <c r="T3728" s="17"/>
      <c r="AC3728" s="17"/>
    </row>
    <row r="3729">
      <c r="B3729" s="11">
        <f>IFERROR(__xludf.DUMMYFUNCTION("""COMPUTED_VALUE"""),40609.666666666664)</f>
        <v>40609.66667</v>
      </c>
      <c r="C3729" s="9">
        <f>IFERROR(__xludf.DUMMYFUNCTION("""COMPUTED_VALUE"""),31.13)</f>
        <v>31.13</v>
      </c>
      <c r="K3729" s="16"/>
      <c r="T3729" s="17"/>
      <c r="AC3729" s="17"/>
    </row>
    <row r="3730">
      <c r="B3730" s="11">
        <f>IFERROR(__xludf.DUMMYFUNCTION("""COMPUTED_VALUE"""),40606.666666666664)</f>
        <v>40606.66667</v>
      </c>
      <c r="C3730" s="9">
        <f>IFERROR(__xludf.DUMMYFUNCTION("""COMPUTED_VALUE"""),31.55)</f>
        <v>31.55</v>
      </c>
      <c r="K3730" s="16"/>
      <c r="T3730" s="17"/>
      <c r="AC3730" s="17"/>
    </row>
    <row r="3731">
      <c r="B3731" s="11">
        <f>IFERROR(__xludf.DUMMYFUNCTION("""COMPUTED_VALUE"""),40605.666666666664)</f>
        <v>40605.66667</v>
      </c>
      <c r="C3731" s="9">
        <f>IFERROR(__xludf.DUMMYFUNCTION("""COMPUTED_VALUE"""),31.87)</f>
        <v>31.87</v>
      </c>
      <c r="K3731" s="16"/>
      <c r="T3731" s="17"/>
      <c r="AC3731" s="17"/>
    </row>
    <row r="3732">
      <c r="B3732" s="11">
        <f>IFERROR(__xludf.DUMMYFUNCTION("""COMPUTED_VALUE"""),40604.666666666664)</f>
        <v>40604.66667</v>
      </c>
      <c r="C3732" s="9">
        <f>IFERROR(__xludf.DUMMYFUNCTION("""COMPUTED_VALUE"""),31.03)</f>
        <v>31.03</v>
      </c>
      <c r="K3732" s="16"/>
      <c r="T3732" s="17"/>
      <c r="AC3732" s="17"/>
    </row>
    <row r="3733">
      <c r="B3733" s="11">
        <f>IFERROR(__xludf.DUMMYFUNCTION("""COMPUTED_VALUE"""),40603.666666666664)</f>
        <v>40603.66667</v>
      </c>
      <c r="C3733" s="9">
        <f>IFERROR(__xludf.DUMMYFUNCTION("""COMPUTED_VALUE"""),30.92)</f>
        <v>30.92</v>
      </c>
      <c r="K3733" s="16"/>
      <c r="T3733" s="17"/>
      <c r="AC3733" s="17"/>
    </row>
    <row r="3734">
      <c r="B3734" s="11">
        <f>IFERROR(__xludf.DUMMYFUNCTION("""COMPUTED_VALUE"""),40602.666666666664)</f>
        <v>40602.66667</v>
      </c>
      <c r="C3734" s="9">
        <f>IFERROR(__xludf.DUMMYFUNCTION("""COMPUTED_VALUE"""),31.47)</f>
        <v>31.47</v>
      </c>
      <c r="K3734" s="16"/>
      <c r="T3734" s="17"/>
      <c r="AC3734" s="17"/>
    </row>
    <row r="3735">
      <c r="B3735" s="11">
        <f>IFERROR(__xludf.DUMMYFUNCTION("""COMPUTED_VALUE"""),40599.666666666664)</f>
        <v>40599.66667</v>
      </c>
      <c r="C3735" s="9">
        <f>IFERROR(__xludf.DUMMYFUNCTION("""COMPUTED_VALUE"""),31.59)</f>
        <v>31.59</v>
      </c>
      <c r="K3735" s="16"/>
      <c r="T3735" s="17"/>
      <c r="AC3735" s="17"/>
    </row>
    <row r="3736">
      <c r="B3736" s="11">
        <f>IFERROR(__xludf.DUMMYFUNCTION("""COMPUTED_VALUE"""),40598.666666666664)</f>
        <v>40598.66667</v>
      </c>
      <c r="C3736" s="9">
        <f>IFERROR(__xludf.DUMMYFUNCTION("""COMPUTED_VALUE"""),31.27)</f>
        <v>31.27</v>
      </c>
      <c r="K3736" s="16"/>
      <c r="T3736" s="17"/>
      <c r="AC3736" s="17"/>
    </row>
    <row r="3737">
      <c r="B3737" s="11">
        <f>IFERROR(__xludf.DUMMYFUNCTION("""COMPUTED_VALUE"""),40597.666666666664)</f>
        <v>40597.66667</v>
      </c>
      <c r="C3737" s="9">
        <f>IFERROR(__xludf.DUMMYFUNCTION("""COMPUTED_VALUE"""),31.06)</f>
        <v>31.06</v>
      </c>
      <c r="K3737" s="16"/>
      <c r="T3737" s="17"/>
      <c r="AC3737" s="17"/>
    </row>
    <row r="3738">
      <c r="B3738" s="11">
        <f>IFERROR(__xludf.DUMMYFUNCTION("""COMPUTED_VALUE"""),40596.666666666664)</f>
        <v>40596.66667</v>
      </c>
      <c r="C3738" s="9">
        <f>IFERROR(__xludf.DUMMYFUNCTION("""COMPUTED_VALUE"""),31.43)</f>
        <v>31.43</v>
      </c>
      <c r="K3738" s="16"/>
      <c r="T3738" s="17"/>
      <c r="AC3738" s="17"/>
    </row>
    <row r="3739">
      <c r="B3739" s="11">
        <f>IFERROR(__xludf.DUMMYFUNCTION("""COMPUTED_VALUE"""),40592.666666666664)</f>
        <v>40592.66667</v>
      </c>
      <c r="C3739" s="9">
        <f>IFERROR(__xludf.DUMMYFUNCTION("""COMPUTED_VALUE"""),32.35)</f>
        <v>32.35</v>
      </c>
      <c r="K3739" s="16"/>
      <c r="T3739" s="17"/>
      <c r="AC3739" s="17"/>
    </row>
    <row r="3740">
      <c r="B3740" s="11">
        <f>IFERROR(__xludf.DUMMYFUNCTION("""COMPUTED_VALUE"""),40591.666666666664)</f>
        <v>40591.66667</v>
      </c>
      <c r="C3740" s="9">
        <f>IFERROR(__xludf.DUMMYFUNCTION("""COMPUTED_VALUE"""),32.19)</f>
        <v>32.19</v>
      </c>
      <c r="K3740" s="16"/>
      <c r="T3740" s="17"/>
      <c r="AC3740" s="17"/>
    </row>
    <row r="3741">
      <c r="B3741" s="11">
        <f>IFERROR(__xludf.DUMMYFUNCTION("""COMPUTED_VALUE"""),40590.666666666664)</f>
        <v>40590.66667</v>
      </c>
      <c r="C3741" s="9">
        <f>IFERROR(__xludf.DUMMYFUNCTION("""COMPUTED_VALUE"""),32.09)</f>
        <v>32.09</v>
      </c>
      <c r="K3741" s="16"/>
      <c r="T3741" s="17"/>
      <c r="AC3741" s="17"/>
    </row>
    <row r="3742">
      <c r="B3742" s="11">
        <f>IFERROR(__xludf.DUMMYFUNCTION("""COMPUTED_VALUE"""),40589.666666666664)</f>
        <v>40589.66667</v>
      </c>
      <c r="C3742" s="9">
        <f>IFERROR(__xludf.DUMMYFUNCTION("""COMPUTED_VALUE"""),32.03)</f>
        <v>32.03</v>
      </c>
      <c r="K3742" s="16"/>
      <c r="T3742" s="17"/>
      <c r="AC3742" s="17"/>
    </row>
    <row r="3743">
      <c r="B3743" s="11">
        <f>IFERROR(__xludf.DUMMYFUNCTION("""COMPUTED_VALUE"""),40588.666666666664)</f>
        <v>40588.66667</v>
      </c>
      <c r="C3743" s="9">
        <f>IFERROR(__xludf.DUMMYFUNCTION("""COMPUTED_VALUE"""),32.03)</f>
        <v>32.03</v>
      </c>
      <c r="K3743" s="16"/>
      <c r="T3743" s="17"/>
      <c r="AC3743" s="17"/>
    </row>
    <row r="3744">
      <c r="B3744" s="11">
        <f>IFERROR(__xludf.DUMMYFUNCTION("""COMPUTED_VALUE"""),40585.666666666664)</f>
        <v>40585.66667</v>
      </c>
      <c r="C3744" s="9">
        <f>IFERROR(__xludf.DUMMYFUNCTION("""COMPUTED_VALUE"""),32.12)</f>
        <v>32.12</v>
      </c>
      <c r="K3744" s="16"/>
      <c r="T3744" s="17"/>
      <c r="AC3744" s="17"/>
    </row>
    <row r="3745">
      <c r="B3745" s="11">
        <f>IFERROR(__xludf.DUMMYFUNCTION("""COMPUTED_VALUE"""),40584.666666666664)</f>
        <v>40584.66667</v>
      </c>
      <c r="C3745" s="9">
        <f>IFERROR(__xludf.DUMMYFUNCTION("""COMPUTED_VALUE"""),32.12)</f>
        <v>32.12</v>
      </c>
      <c r="K3745" s="16"/>
      <c r="T3745" s="17"/>
      <c r="AC3745" s="17"/>
    </row>
    <row r="3746">
      <c r="B3746" s="11">
        <f>IFERROR(__xludf.DUMMYFUNCTION("""COMPUTED_VALUE"""),40583.666666666664)</f>
        <v>40583.66667</v>
      </c>
      <c r="C3746" s="9">
        <f>IFERROR(__xludf.DUMMYFUNCTION("""COMPUTED_VALUE"""),32.16)</f>
        <v>32.16</v>
      </c>
      <c r="K3746" s="16"/>
      <c r="T3746" s="17"/>
      <c r="AC3746" s="17"/>
    </row>
    <row r="3747">
      <c r="B3747" s="11">
        <f>IFERROR(__xludf.DUMMYFUNCTION("""COMPUTED_VALUE"""),40582.666666666664)</f>
        <v>40582.66667</v>
      </c>
      <c r="C3747" s="9">
        <f>IFERROR(__xludf.DUMMYFUNCTION("""COMPUTED_VALUE"""),32.16)</f>
        <v>32.16</v>
      </c>
      <c r="K3747" s="16"/>
      <c r="T3747" s="17"/>
      <c r="AC3747" s="17"/>
    </row>
    <row r="3748">
      <c r="B3748" s="11">
        <f>IFERROR(__xludf.DUMMYFUNCTION("""COMPUTED_VALUE"""),40581.666666666664)</f>
        <v>40581.66667</v>
      </c>
      <c r="C3748" s="9">
        <f>IFERROR(__xludf.DUMMYFUNCTION("""COMPUTED_VALUE"""),31.97)</f>
        <v>31.97</v>
      </c>
      <c r="K3748" s="16"/>
      <c r="T3748" s="17"/>
      <c r="AC3748" s="17"/>
    </row>
    <row r="3749">
      <c r="B3749" s="11">
        <f>IFERROR(__xludf.DUMMYFUNCTION("""COMPUTED_VALUE"""),40578.666666666664)</f>
        <v>40578.66667</v>
      </c>
      <c r="C3749" s="9">
        <f>IFERROR(__xludf.DUMMYFUNCTION("""COMPUTED_VALUE"""),31.6)</f>
        <v>31.6</v>
      </c>
      <c r="K3749" s="16"/>
      <c r="T3749" s="17"/>
      <c r="AC3749" s="17"/>
    </row>
    <row r="3750">
      <c r="B3750" s="11">
        <f>IFERROR(__xludf.DUMMYFUNCTION("""COMPUTED_VALUE"""),40577.666666666664)</f>
        <v>40577.66667</v>
      </c>
      <c r="C3750" s="9">
        <f>IFERROR(__xludf.DUMMYFUNCTION("""COMPUTED_VALUE"""),31.55)</f>
        <v>31.55</v>
      </c>
      <c r="K3750" s="16"/>
      <c r="T3750" s="17"/>
      <c r="AC3750" s="17"/>
    </row>
    <row r="3751">
      <c r="B3751" s="11">
        <f>IFERROR(__xludf.DUMMYFUNCTION("""COMPUTED_VALUE"""),40576.666666666664)</f>
        <v>40576.66667</v>
      </c>
      <c r="C3751" s="9">
        <f>IFERROR(__xludf.DUMMYFUNCTION("""COMPUTED_VALUE"""),31.64)</f>
        <v>31.64</v>
      </c>
      <c r="K3751" s="16"/>
      <c r="T3751" s="17"/>
      <c r="AC3751" s="17"/>
    </row>
    <row r="3752">
      <c r="B3752" s="11">
        <f>IFERROR(__xludf.DUMMYFUNCTION("""COMPUTED_VALUE"""),40575.666666666664)</f>
        <v>40575.66667</v>
      </c>
      <c r="C3752" s="9">
        <f>IFERROR(__xludf.DUMMYFUNCTION("""COMPUTED_VALUE"""),31.58)</f>
        <v>31.58</v>
      </c>
      <c r="K3752" s="16"/>
      <c r="T3752" s="17"/>
      <c r="AC3752" s="17"/>
    </row>
    <row r="3753">
      <c r="B3753" s="11">
        <f>IFERROR(__xludf.DUMMYFUNCTION("""COMPUTED_VALUE"""),40574.666666666664)</f>
        <v>40574.66667</v>
      </c>
      <c r="C3753" s="9">
        <f>IFERROR(__xludf.DUMMYFUNCTION("""COMPUTED_VALUE"""),31.16)</f>
        <v>31.16</v>
      </c>
      <c r="K3753" s="16"/>
      <c r="T3753" s="17"/>
      <c r="AC3753" s="17"/>
    </row>
    <row r="3754">
      <c r="B3754" s="11">
        <f>IFERROR(__xludf.DUMMYFUNCTION("""COMPUTED_VALUE"""),40571.666666666664)</f>
        <v>40571.66667</v>
      </c>
      <c r="C3754" s="9">
        <f>IFERROR(__xludf.DUMMYFUNCTION("""COMPUTED_VALUE"""),30.86)</f>
        <v>30.86</v>
      </c>
      <c r="K3754" s="16"/>
      <c r="T3754" s="17"/>
      <c r="AC3754" s="17"/>
    </row>
    <row r="3755">
      <c r="B3755" s="11">
        <f>IFERROR(__xludf.DUMMYFUNCTION("""COMPUTED_VALUE"""),40570.666666666664)</f>
        <v>40570.66667</v>
      </c>
      <c r="C3755" s="9">
        <f>IFERROR(__xludf.DUMMYFUNCTION("""COMPUTED_VALUE"""),31.55)</f>
        <v>31.55</v>
      </c>
      <c r="K3755" s="16"/>
      <c r="T3755" s="17"/>
      <c r="AC3755" s="17"/>
    </row>
    <row r="3756">
      <c r="B3756" s="11">
        <f>IFERROR(__xludf.DUMMYFUNCTION("""COMPUTED_VALUE"""),40569.666666666664)</f>
        <v>40569.66667</v>
      </c>
      <c r="C3756" s="9">
        <f>IFERROR(__xludf.DUMMYFUNCTION("""COMPUTED_VALUE"""),31.32)</f>
        <v>31.32</v>
      </c>
      <c r="K3756" s="16"/>
      <c r="T3756" s="17"/>
      <c r="AC3756" s="17"/>
    </row>
    <row r="3757">
      <c r="B3757" s="11">
        <f>IFERROR(__xludf.DUMMYFUNCTION("""COMPUTED_VALUE"""),40568.666666666664)</f>
        <v>40568.66667</v>
      </c>
      <c r="C3757" s="9">
        <f>IFERROR(__xludf.DUMMYFUNCTION("""COMPUTED_VALUE"""),31.34)</f>
        <v>31.34</v>
      </c>
      <c r="K3757" s="16"/>
      <c r="T3757" s="17"/>
      <c r="AC3757" s="17"/>
    </row>
    <row r="3758">
      <c r="B3758" s="11">
        <f>IFERROR(__xludf.DUMMYFUNCTION("""COMPUTED_VALUE"""),40567.666666666664)</f>
        <v>40567.66667</v>
      </c>
      <c r="C3758" s="9">
        <f>IFERROR(__xludf.DUMMYFUNCTION("""COMPUTED_VALUE"""),31.12)</f>
        <v>31.12</v>
      </c>
      <c r="K3758" s="16"/>
      <c r="T3758" s="17"/>
      <c r="AC3758" s="17"/>
    </row>
    <row r="3759">
      <c r="B3759" s="11">
        <f>IFERROR(__xludf.DUMMYFUNCTION("""COMPUTED_VALUE"""),40564.666666666664)</f>
        <v>40564.66667</v>
      </c>
      <c r="C3759" s="9">
        <f>IFERROR(__xludf.DUMMYFUNCTION("""COMPUTED_VALUE"""),31.01)</f>
        <v>31.01</v>
      </c>
      <c r="K3759" s="16"/>
      <c r="T3759" s="17"/>
      <c r="AC3759" s="17"/>
    </row>
    <row r="3760">
      <c r="B3760" s="11">
        <f>IFERROR(__xludf.DUMMYFUNCTION("""COMPUTED_VALUE"""),40563.666666666664)</f>
        <v>40563.66667</v>
      </c>
      <c r="C3760" s="9">
        <f>IFERROR(__xludf.DUMMYFUNCTION("""COMPUTED_VALUE"""),31.05)</f>
        <v>31.05</v>
      </c>
      <c r="K3760" s="16"/>
      <c r="T3760" s="17"/>
      <c r="AC3760" s="17"/>
    </row>
    <row r="3761">
      <c r="B3761" s="11">
        <f>IFERROR(__xludf.DUMMYFUNCTION("""COMPUTED_VALUE"""),40562.666666666664)</f>
        <v>40562.66667</v>
      </c>
      <c r="C3761" s="9">
        <f>IFERROR(__xludf.DUMMYFUNCTION("""COMPUTED_VALUE"""),31.09)</f>
        <v>31.09</v>
      </c>
      <c r="K3761" s="16"/>
      <c r="T3761" s="17"/>
      <c r="AC3761" s="17"/>
    </row>
    <row r="3762">
      <c r="B3762" s="11">
        <f>IFERROR(__xludf.DUMMYFUNCTION("""COMPUTED_VALUE"""),40561.666666666664)</f>
        <v>40561.66667</v>
      </c>
      <c r="C3762" s="9">
        <f>IFERROR(__xludf.DUMMYFUNCTION("""COMPUTED_VALUE"""),31.39)</f>
        <v>31.39</v>
      </c>
      <c r="K3762" s="16"/>
      <c r="T3762" s="17"/>
      <c r="AC3762" s="17"/>
    </row>
    <row r="3763">
      <c r="B3763" s="11">
        <f>IFERROR(__xludf.DUMMYFUNCTION("""COMPUTED_VALUE"""),40557.666666666664)</f>
        <v>40557.66667</v>
      </c>
      <c r="C3763" s="9">
        <f>IFERROR(__xludf.DUMMYFUNCTION("""COMPUTED_VALUE"""),30.84)</f>
        <v>30.84</v>
      </c>
      <c r="K3763" s="16"/>
      <c r="T3763" s="17"/>
      <c r="AC3763" s="17"/>
    </row>
    <row r="3764">
      <c r="B3764" s="11">
        <f>IFERROR(__xludf.DUMMYFUNCTION("""COMPUTED_VALUE"""),40556.666666666664)</f>
        <v>40556.66667</v>
      </c>
      <c r="C3764" s="9">
        <f>IFERROR(__xludf.DUMMYFUNCTION("""COMPUTED_VALUE"""),30.64)</f>
        <v>30.64</v>
      </c>
      <c r="K3764" s="16"/>
      <c r="T3764" s="17"/>
      <c r="AC3764" s="17"/>
    </row>
    <row r="3765">
      <c r="B3765" s="11">
        <f>IFERROR(__xludf.DUMMYFUNCTION("""COMPUTED_VALUE"""),40555.666666666664)</f>
        <v>40555.66667</v>
      </c>
      <c r="C3765" s="9">
        <f>IFERROR(__xludf.DUMMYFUNCTION("""COMPUTED_VALUE"""),30.59)</f>
        <v>30.59</v>
      </c>
      <c r="K3765" s="16"/>
      <c r="T3765" s="17"/>
      <c r="AC3765" s="17"/>
    </row>
    <row r="3766">
      <c r="B3766" s="11">
        <f>IFERROR(__xludf.DUMMYFUNCTION("""COMPUTED_VALUE"""),40554.666666666664)</f>
        <v>40554.66667</v>
      </c>
      <c r="C3766" s="9">
        <f>IFERROR(__xludf.DUMMYFUNCTION("""COMPUTED_VALUE"""),30.28)</f>
        <v>30.28</v>
      </c>
      <c r="K3766" s="16"/>
      <c r="T3766" s="17"/>
      <c r="AC3766" s="17"/>
    </row>
    <row r="3767">
      <c r="B3767" s="11">
        <f>IFERROR(__xludf.DUMMYFUNCTION("""COMPUTED_VALUE"""),40553.666666666664)</f>
        <v>40553.66667</v>
      </c>
      <c r="C3767" s="9">
        <f>IFERROR(__xludf.DUMMYFUNCTION("""COMPUTED_VALUE"""),30.38)</f>
        <v>30.38</v>
      </c>
      <c r="K3767" s="16"/>
      <c r="T3767" s="17"/>
      <c r="AC3767" s="17"/>
    </row>
    <row r="3768">
      <c r="B3768" s="11">
        <f>IFERROR(__xludf.DUMMYFUNCTION("""COMPUTED_VALUE"""),40550.666666666664)</f>
        <v>40550.66667</v>
      </c>
      <c r="C3768" s="9">
        <f>IFERROR(__xludf.DUMMYFUNCTION("""COMPUTED_VALUE"""),30.46)</f>
        <v>30.46</v>
      </c>
      <c r="K3768" s="16"/>
      <c r="T3768" s="17"/>
      <c r="AC3768" s="17"/>
    </row>
    <row r="3769">
      <c r="B3769" s="11">
        <f>IFERROR(__xludf.DUMMYFUNCTION("""COMPUTED_VALUE"""),40549.666666666664)</f>
        <v>40549.66667</v>
      </c>
      <c r="C3769" s="9">
        <f>IFERROR(__xludf.DUMMYFUNCTION("""COMPUTED_VALUE"""),30.27)</f>
        <v>30.27</v>
      </c>
      <c r="K3769" s="16"/>
      <c r="T3769" s="17"/>
      <c r="AC3769" s="17"/>
    </row>
    <row r="3770">
      <c r="B3770" s="11">
        <f>IFERROR(__xludf.DUMMYFUNCTION("""COMPUTED_VALUE"""),40548.666666666664)</f>
        <v>40548.66667</v>
      </c>
      <c r="C3770" s="9">
        <f>IFERROR(__xludf.DUMMYFUNCTION("""COMPUTED_VALUE"""),30.01)</f>
        <v>30.01</v>
      </c>
      <c r="K3770" s="16"/>
      <c r="T3770" s="17"/>
      <c r="AC3770" s="17"/>
    </row>
    <row r="3771">
      <c r="B3771" s="11">
        <f>IFERROR(__xludf.DUMMYFUNCTION("""COMPUTED_VALUE"""),40547.666666666664)</f>
        <v>40547.66667</v>
      </c>
      <c r="C3771" s="9">
        <f>IFERROR(__xludf.DUMMYFUNCTION("""COMPUTED_VALUE"""),29.64)</f>
        <v>29.64</v>
      </c>
      <c r="K3771" s="16"/>
      <c r="T3771" s="17"/>
      <c r="AC3771" s="17"/>
    </row>
    <row r="3772">
      <c r="B3772" s="11">
        <f>IFERROR(__xludf.DUMMYFUNCTION("""COMPUTED_VALUE"""),40546.666666666664)</f>
        <v>40546.66667</v>
      </c>
      <c r="C3772" s="9">
        <f>IFERROR(__xludf.DUMMYFUNCTION("""COMPUTED_VALUE"""),29.73)</f>
        <v>29.73</v>
      </c>
      <c r="K3772" s="16"/>
      <c r="T3772" s="17"/>
      <c r="AC3772" s="17"/>
    </row>
    <row r="3773">
      <c r="B3773" s="11">
        <f>IFERROR(__xludf.DUMMYFUNCTION("""COMPUTED_VALUE"""),40543.666666666664)</f>
        <v>40543.66667</v>
      </c>
      <c r="C3773" s="9">
        <f>IFERROR(__xludf.DUMMYFUNCTION("""COMPUTED_VALUE"""),29.43)</f>
        <v>29.43</v>
      </c>
      <c r="K3773" s="16"/>
      <c r="T3773" s="17"/>
      <c r="AC3773" s="17"/>
    </row>
    <row r="3774">
      <c r="B3774" s="11">
        <f>IFERROR(__xludf.DUMMYFUNCTION("""COMPUTED_VALUE"""),40542.666666666664)</f>
        <v>40542.66667</v>
      </c>
      <c r="C3774" s="9">
        <f>IFERROR(__xludf.DUMMYFUNCTION("""COMPUTED_VALUE"""),29.38)</f>
        <v>29.38</v>
      </c>
      <c r="K3774" s="16"/>
      <c r="T3774" s="17"/>
      <c r="AC3774" s="17"/>
    </row>
    <row r="3775">
      <c r="B3775" s="11">
        <f>IFERROR(__xludf.DUMMYFUNCTION("""COMPUTED_VALUE"""),40541.666666666664)</f>
        <v>40541.66667</v>
      </c>
      <c r="C3775" s="9">
        <f>IFERROR(__xludf.DUMMYFUNCTION("""COMPUTED_VALUE"""),29.46)</f>
        <v>29.46</v>
      </c>
      <c r="K3775" s="16"/>
      <c r="T3775" s="17"/>
      <c r="AC3775" s="17"/>
    </row>
    <row r="3776">
      <c r="B3776" s="11">
        <f>IFERROR(__xludf.DUMMYFUNCTION("""COMPUTED_VALUE"""),40540.666666666664)</f>
        <v>40540.66667</v>
      </c>
      <c r="C3776" s="9">
        <f>IFERROR(__xludf.DUMMYFUNCTION("""COMPUTED_VALUE"""),29.48)</f>
        <v>29.48</v>
      </c>
      <c r="K3776" s="16"/>
      <c r="T3776" s="17"/>
      <c r="AC3776" s="17"/>
    </row>
    <row r="3777">
      <c r="B3777" s="11">
        <f>IFERROR(__xludf.DUMMYFUNCTION("""COMPUTED_VALUE"""),40539.666666666664)</f>
        <v>40539.66667</v>
      </c>
      <c r="C3777" s="9">
        <f>IFERROR(__xludf.DUMMYFUNCTION("""COMPUTED_VALUE"""),29.48)</f>
        <v>29.48</v>
      </c>
      <c r="K3777" s="16"/>
      <c r="T3777" s="17"/>
      <c r="AC3777" s="17"/>
    </row>
    <row r="3778">
      <c r="B3778" s="11">
        <f>IFERROR(__xludf.DUMMYFUNCTION("""COMPUTED_VALUE"""),40535.666666666664)</f>
        <v>40535.66667</v>
      </c>
      <c r="C3778" s="9">
        <f>IFERROR(__xludf.DUMMYFUNCTION("""COMPUTED_VALUE"""),29.53)</f>
        <v>29.53</v>
      </c>
      <c r="K3778" s="16"/>
      <c r="T3778" s="17"/>
      <c r="AC3778" s="17"/>
    </row>
    <row r="3779">
      <c r="B3779" s="11">
        <f>IFERROR(__xludf.DUMMYFUNCTION("""COMPUTED_VALUE"""),40534.666666666664)</f>
        <v>40534.66667</v>
      </c>
      <c r="C3779" s="9">
        <f>IFERROR(__xludf.DUMMYFUNCTION("""COMPUTED_VALUE"""),29.46)</f>
        <v>29.46</v>
      </c>
      <c r="K3779" s="16"/>
      <c r="T3779" s="17"/>
      <c r="AC3779" s="17"/>
    </row>
    <row r="3780">
      <c r="B3780" s="11">
        <f>IFERROR(__xludf.DUMMYFUNCTION("""COMPUTED_VALUE"""),40533.666666666664)</f>
        <v>40533.66667</v>
      </c>
      <c r="C3780" s="9">
        <f>IFERROR(__xludf.DUMMYFUNCTION("""COMPUTED_VALUE"""),29.42)</f>
        <v>29.42</v>
      </c>
      <c r="K3780" s="16"/>
      <c r="T3780" s="17"/>
      <c r="AC3780" s="17"/>
    </row>
    <row r="3781">
      <c r="B3781" s="11">
        <f>IFERROR(__xludf.DUMMYFUNCTION("""COMPUTED_VALUE"""),40532.666666666664)</f>
        <v>40532.66667</v>
      </c>
      <c r="C3781" s="9">
        <f>IFERROR(__xludf.DUMMYFUNCTION("""COMPUTED_VALUE"""),29.26)</f>
        <v>29.26</v>
      </c>
      <c r="K3781" s="16"/>
      <c r="T3781" s="17"/>
      <c r="AC3781" s="17"/>
    </row>
    <row r="3782">
      <c r="B3782" s="11">
        <f>IFERROR(__xludf.DUMMYFUNCTION("""COMPUTED_VALUE"""),40529.666666666664)</f>
        <v>40529.66667</v>
      </c>
      <c r="C3782" s="9">
        <f>IFERROR(__xludf.DUMMYFUNCTION("""COMPUTED_VALUE"""),29.37)</f>
        <v>29.37</v>
      </c>
      <c r="K3782" s="16"/>
      <c r="T3782" s="17"/>
      <c r="AC3782" s="17"/>
    </row>
    <row r="3783">
      <c r="B3783" s="11">
        <f>IFERROR(__xludf.DUMMYFUNCTION("""COMPUTED_VALUE"""),40528.666666666664)</f>
        <v>40528.66667</v>
      </c>
      <c r="C3783" s="9">
        <f>IFERROR(__xludf.DUMMYFUNCTION("""COMPUTED_VALUE"""),29.39)</f>
        <v>29.39</v>
      </c>
      <c r="K3783" s="16"/>
      <c r="T3783" s="17"/>
      <c r="AC3783" s="17"/>
    </row>
    <row r="3784">
      <c r="B3784" s="11">
        <f>IFERROR(__xludf.DUMMYFUNCTION("""COMPUTED_VALUE"""),40527.666666666664)</f>
        <v>40527.66667</v>
      </c>
      <c r="C3784" s="9">
        <f>IFERROR(__xludf.DUMMYFUNCTION("""COMPUTED_VALUE"""),29.16)</f>
        <v>29.16</v>
      </c>
      <c r="K3784" s="16"/>
      <c r="T3784" s="17"/>
      <c r="AC3784" s="17"/>
    </row>
    <row r="3785">
      <c r="B3785" s="11">
        <f>IFERROR(__xludf.DUMMYFUNCTION("""COMPUTED_VALUE"""),40526.666666666664)</f>
        <v>40526.66667</v>
      </c>
      <c r="C3785" s="9">
        <f>IFERROR(__xludf.DUMMYFUNCTION("""COMPUTED_VALUE"""),29.36)</f>
        <v>29.36</v>
      </c>
      <c r="K3785" s="16"/>
      <c r="T3785" s="17"/>
      <c r="AC3785" s="17"/>
    </row>
    <row r="3786">
      <c r="B3786" s="11">
        <f>IFERROR(__xludf.DUMMYFUNCTION("""COMPUTED_VALUE"""),40525.666666666664)</f>
        <v>40525.66667</v>
      </c>
      <c r="C3786" s="9">
        <f>IFERROR(__xludf.DUMMYFUNCTION("""COMPUTED_VALUE"""),29.25)</f>
        <v>29.25</v>
      </c>
      <c r="K3786" s="16"/>
      <c r="T3786" s="17"/>
      <c r="AC3786" s="17"/>
    </row>
    <row r="3787">
      <c r="B3787" s="11">
        <f>IFERROR(__xludf.DUMMYFUNCTION("""COMPUTED_VALUE"""),40522.666666666664)</f>
        <v>40522.66667</v>
      </c>
      <c r="C3787" s="9">
        <f>IFERROR(__xludf.DUMMYFUNCTION("""COMPUTED_VALUE"""),29.33)</f>
        <v>29.33</v>
      </c>
      <c r="K3787" s="16"/>
      <c r="T3787" s="17"/>
      <c r="AC3787" s="17"/>
    </row>
    <row r="3788">
      <c r="B3788" s="11">
        <f>IFERROR(__xludf.DUMMYFUNCTION("""COMPUTED_VALUE"""),40521.666666666664)</f>
        <v>40521.66667</v>
      </c>
      <c r="C3788" s="9">
        <f>IFERROR(__xludf.DUMMYFUNCTION("""COMPUTED_VALUE"""),29.1)</f>
        <v>29.1</v>
      </c>
      <c r="K3788" s="16"/>
      <c r="T3788" s="17"/>
      <c r="AC3788" s="17"/>
    </row>
    <row r="3789">
      <c r="B3789" s="11">
        <f>IFERROR(__xludf.DUMMYFUNCTION("""COMPUTED_VALUE"""),40520.666666666664)</f>
        <v>40520.66667</v>
      </c>
      <c r="C3789" s="9">
        <f>IFERROR(__xludf.DUMMYFUNCTION("""COMPUTED_VALUE"""),29.26)</f>
        <v>29.26</v>
      </c>
      <c r="K3789" s="16"/>
      <c r="T3789" s="17"/>
      <c r="AC3789" s="17"/>
    </row>
    <row r="3790">
      <c r="B3790" s="11">
        <f>IFERROR(__xludf.DUMMYFUNCTION("""COMPUTED_VALUE"""),40519.666666666664)</f>
        <v>40519.66667</v>
      </c>
      <c r="C3790" s="9">
        <f>IFERROR(__xludf.DUMMYFUNCTION("""COMPUTED_VALUE"""),29.32)</f>
        <v>29.32</v>
      </c>
      <c r="K3790" s="16"/>
      <c r="T3790" s="17"/>
      <c r="AC3790" s="17"/>
    </row>
    <row r="3791">
      <c r="B3791" s="11">
        <f>IFERROR(__xludf.DUMMYFUNCTION("""COMPUTED_VALUE"""),40518.666666666664)</f>
        <v>40518.66667</v>
      </c>
      <c r="C3791" s="9">
        <f>IFERROR(__xludf.DUMMYFUNCTION("""COMPUTED_VALUE"""),29.21)</f>
        <v>29.21</v>
      </c>
      <c r="K3791" s="16"/>
      <c r="T3791" s="17"/>
      <c r="AC3791" s="17"/>
    </row>
    <row r="3792">
      <c r="B3792" s="11">
        <f>IFERROR(__xludf.DUMMYFUNCTION("""COMPUTED_VALUE"""),40515.666666666664)</f>
        <v>40515.66667</v>
      </c>
      <c r="C3792" s="9">
        <f>IFERROR(__xludf.DUMMYFUNCTION("""COMPUTED_VALUE"""),29.21)</f>
        <v>29.21</v>
      </c>
      <c r="K3792" s="16"/>
      <c r="T3792" s="17"/>
      <c r="AC3792" s="17"/>
    </row>
    <row r="3793">
      <c r="B3793" s="11">
        <f>IFERROR(__xludf.DUMMYFUNCTION("""COMPUTED_VALUE"""),40514.666666666664)</f>
        <v>40514.66667</v>
      </c>
      <c r="C3793" s="9">
        <f>IFERROR(__xludf.DUMMYFUNCTION("""COMPUTED_VALUE"""),29.21)</f>
        <v>29.21</v>
      </c>
      <c r="K3793" s="16"/>
      <c r="T3793" s="17"/>
      <c r="AC3793" s="17"/>
    </row>
    <row r="3794">
      <c r="B3794" s="11">
        <f>IFERROR(__xludf.DUMMYFUNCTION("""COMPUTED_VALUE"""),40513.666666666664)</f>
        <v>40513.66667</v>
      </c>
      <c r="C3794" s="9">
        <f>IFERROR(__xludf.DUMMYFUNCTION("""COMPUTED_VALUE"""),28.89)</f>
        <v>28.89</v>
      </c>
      <c r="K3794" s="16"/>
      <c r="T3794" s="17"/>
      <c r="AC3794" s="17"/>
    </row>
    <row r="3795">
      <c r="B3795" s="11">
        <f>IFERROR(__xludf.DUMMYFUNCTION("""COMPUTED_VALUE"""),40512.666666666664)</f>
        <v>40512.66667</v>
      </c>
      <c r="C3795" s="9">
        <f>IFERROR(__xludf.DUMMYFUNCTION("""COMPUTED_VALUE"""),28.15)</f>
        <v>28.15</v>
      </c>
      <c r="K3795" s="16"/>
      <c r="T3795" s="17"/>
      <c r="AC3795" s="17"/>
    </row>
    <row r="3796">
      <c r="B3796" s="11">
        <f>IFERROR(__xludf.DUMMYFUNCTION("""COMPUTED_VALUE"""),40511.666666666664)</f>
        <v>40511.66667</v>
      </c>
      <c r="C3796" s="9">
        <f>IFERROR(__xludf.DUMMYFUNCTION("""COMPUTED_VALUE"""),28.14)</f>
        <v>28.14</v>
      </c>
      <c r="K3796" s="16"/>
      <c r="T3796" s="17"/>
      <c r="AC3796" s="17"/>
    </row>
    <row r="3797">
      <c r="B3797" s="11">
        <f>IFERROR(__xludf.DUMMYFUNCTION("""COMPUTED_VALUE"""),40508.666666666664)</f>
        <v>40508.66667</v>
      </c>
      <c r="C3797" s="9">
        <f>IFERROR(__xludf.DUMMYFUNCTION("""COMPUTED_VALUE"""),28.32)</f>
        <v>28.32</v>
      </c>
      <c r="K3797" s="16"/>
      <c r="T3797" s="17"/>
      <c r="AC3797" s="17"/>
    </row>
    <row r="3798">
      <c r="B3798" s="11">
        <f>IFERROR(__xludf.DUMMYFUNCTION("""COMPUTED_VALUE"""),40506.666666666664)</f>
        <v>40506.66667</v>
      </c>
      <c r="C3798" s="9">
        <f>IFERROR(__xludf.DUMMYFUNCTION("""COMPUTED_VALUE"""),28.54)</f>
        <v>28.54</v>
      </c>
      <c r="K3798" s="16"/>
      <c r="T3798" s="17"/>
      <c r="AC3798" s="17"/>
    </row>
    <row r="3799">
      <c r="B3799" s="11">
        <f>IFERROR(__xludf.DUMMYFUNCTION("""COMPUTED_VALUE"""),40505.666666666664)</f>
        <v>40505.66667</v>
      </c>
      <c r="C3799" s="9">
        <f>IFERROR(__xludf.DUMMYFUNCTION("""COMPUTED_VALUE"""),27.78)</f>
        <v>27.78</v>
      </c>
      <c r="K3799" s="16"/>
      <c r="T3799" s="17"/>
      <c r="AC3799" s="17"/>
    </row>
    <row r="3800">
      <c r="B3800" s="11">
        <f>IFERROR(__xludf.DUMMYFUNCTION("""COMPUTED_VALUE"""),40504.666666666664)</f>
        <v>40504.66667</v>
      </c>
      <c r="C3800" s="9">
        <f>IFERROR(__xludf.DUMMYFUNCTION("""COMPUTED_VALUE"""),27.9)</f>
        <v>27.9</v>
      </c>
      <c r="K3800" s="16"/>
      <c r="T3800" s="17"/>
      <c r="AC3800" s="17"/>
    </row>
    <row r="3801">
      <c r="B3801" s="11">
        <f>IFERROR(__xludf.DUMMYFUNCTION("""COMPUTED_VALUE"""),40501.666666666664)</f>
        <v>40501.66667</v>
      </c>
      <c r="C3801" s="9">
        <f>IFERROR(__xludf.DUMMYFUNCTION("""COMPUTED_VALUE"""),28.02)</f>
        <v>28.02</v>
      </c>
      <c r="K3801" s="16"/>
      <c r="T3801" s="17"/>
      <c r="AC3801" s="17"/>
    </row>
    <row r="3802">
      <c r="B3802" s="11">
        <f>IFERROR(__xludf.DUMMYFUNCTION("""COMPUTED_VALUE"""),40500.666666666664)</f>
        <v>40500.66667</v>
      </c>
      <c r="C3802" s="9">
        <f>IFERROR(__xludf.DUMMYFUNCTION("""COMPUTED_VALUE"""),28.03)</f>
        <v>28.03</v>
      </c>
      <c r="K3802" s="16"/>
      <c r="T3802" s="17"/>
      <c r="AC3802" s="17"/>
    </row>
    <row r="3803">
      <c r="B3803" s="11">
        <f>IFERROR(__xludf.DUMMYFUNCTION("""COMPUTED_VALUE"""),40499.666666666664)</f>
        <v>40499.66667</v>
      </c>
      <c r="C3803" s="9">
        <f>IFERROR(__xludf.DUMMYFUNCTION("""COMPUTED_VALUE"""),27.47)</f>
        <v>27.47</v>
      </c>
      <c r="K3803" s="16"/>
      <c r="T3803" s="17"/>
      <c r="AC3803" s="17"/>
    </row>
    <row r="3804">
      <c r="B3804" s="11">
        <f>IFERROR(__xludf.DUMMYFUNCTION("""COMPUTED_VALUE"""),40498.666666666664)</f>
        <v>40498.66667</v>
      </c>
      <c r="C3804" s="9">
        <f>IFERROR(__xludf.DUMMYFUNCTION("""COMPUTED_VALUE"""),27.46)</f>
        <v>27.46</v>
      </c>
      <c r="K3804" s="16"/>
      <c r="T3804" s="17"/>
      <c r="AC3804" s="17"/>
    </row>
    <row r="3805">
      <c r="B3805" s="11">
        <f>IFERROR(__xludf.DUMMYFUNCTION("""COMPUTED_VALUE"""),40497.666666666664)</f>
        <v>40497.66667</v>
      </c>
      <c r="C3805" s="9">
        <f>IFERROR(__xludf.DUMMYFUNCTION("""COMPUTED_VALUE"""),27.77)</f>
        <v>27.77</v>
      </c>
      <c r="K3805" s="16"/>
      <c r="T3805" s="17"/>
      <c r="AC3805" s="17"/>
    </row>
    <row r="3806">
      <c r="B3806" s="11">
        <f>IFERROR(__xludf.DUMMYFUNCTION("""COMPUTED_VALUE"""),40494.666666666664)</f>
        <v>40494.66667</v>
      </c>
      <c r="C3806" s="9">
        <f>IFERROR(__xludf.DUMMYFUNCTION("""COMPUTED_VALUE"""),27.72)</f>
        <v>27.72</v>
      </c>
      <c r="K3806" s="16"/>
      <c r="T3806" s="17"/>
      <c r="AC3806" s="17"/>
    </row>
    <row r="3807">
      <c r="B3807" s="11">
        <f>IFERROR(__xludf.DUMMYFUNCTION("""COMPUTED_VALUE"""),40493.666666666664)</f>
        <v>40493.66667</v>
      </c>
      <c r="C3807" s="9">
        <f>IFERROR(__xludf.DUMMYFUNCTION("""COMPUTED_VALUE"""),28.18)</f>
        <v>28.18</v>
      </c>
      <c r="K3807" s="16"/>
      <c r="T3807" s="17"/>
      <c r="AC3807" s="17"/>
    </row>
    <row r="3808">
      <c r="B3808" s="11">
        <f>IFERROR(__xludf.DUMMYFUNCTION("""COMPUTED_VALUE"""),40492.666666666664)</f>
        <v>40492.66667</v>
      </c>
      <c r="C3808" s="9">
        <f>IFERROR(__xludf.DUMMYFUNCTION("""COMPUTED_VALUE"""),28.69)</f>
        <v>28.69</v>
      </c>
      <c r="K3808" s="16"/>
      <c r="T3808" s="17"/>
      <c r="AC3808" s="17"/>
    </row>
    <row r="3809">
      <c r="B3809" s="11">
        <f>IFERROR(__xludf.DUMMYFUNCTION("""COMPUTED_VALUE"""),40491.666666666664)</f>
        <v>40491.66667</v>
      </c>
      <c r="C3809" s="9">
        <f>IFERROR(__xludf.DUMMYFUNCTION("""COMPUTED_VALUE"""),28.81)</f>
        <v>28.81</v>
      </c>
      <c r="K3809" s="16"/>
      <c r="T3809" s="17"/>
      <c r="AC3809" s="17"/>
    </row>
    <row r="3810">
      <c r="B3810" s="11">
        <f>IFERROR(__xludf.DUMMYFUNCTION("""COMPUTED_VALUE"""),40490.666666666664)</f>
        <v>40490.66667</v>
      </c>
      <c r="C3810" s="9">
        <f>IFERROR(__xludf.DUMMYFUNCTION("""COMPUTED_VALUE"""),29.11)</f>
        <v>29.11</v>
      </c>
      <c r="K3810" s="16"/>
      <c r="T3810" s="17"/>
      <c r="AC3810" s="17"/>
    </row>
    <row r="3811">
      <c r="B3811" s="11">
        <f>IFERROR(__xludf.DUMMYFUNCTION("""COMPUTED_VALUE"""),40487.666666666664)</f>
        <v>40487.66667</v>
      </c>
      <c r="C3811" s="9">
        <f>IFERROR(__xludf.DUMMYFUNCTION("""COMPUTED_VALUE"""),29.3)</f>
        <v>29.3</v>
      </c>
      <c r="K3811" s="16"/>
      <c r="T3811" s="17"/>
      <c r="AC3811" s="17"/>
    </row>
    <row r="3812">
      <c r="B3812" s="11">
        <f>IFERROR(__xludf.DUMMYFUNCTION("""COMPUTED_VALUE"""),40486.666666666664)</f>
        <v>40486.66667</v>
      </c>
      <c r="C3812" s="9">
        <f>IFERROR(__xludf.DUMMYFUNCTION("""COMPUTED_VALUE"""),29.13)</f>
        <v>29.13</v>
      </c>
      <c r="K3812" s="16"/>
      <c r="T3812" s="17"/>
      <c r="AC3812" s="17"/>
    </row>
    <row r="3813">
      <c r="B3813" s="11">
        <f>IFERROR(__xludf.DUMMYFUNCTION("""COMPUTED_VALUE"""),40485.666666666664)</f>
        <v>40485.66667</v>
      </c>
      <c r="C3813" s="9">
        <f>IFERROR(__xludf.DUMMYFUNCTION("""COMPUTED_VALUE"""),28.62)</f>
        <v>28.62</v>
      </c>
      <c r="K3813" s="16"/>
      <c r="T3813" s="17"/>
      <c r="AC3813" s="17"/>
    </row>
    <row r="3814">
      <c r="B3814" s="11">
        <f>IFERROR(__xludf.DUMMYFUNCTION("""COMPUTED_VALUE"""),40484.666666666664)</f>
        <v>40484.66667</v>
      </c>
      <c r="C3814" s="9">
        <f>IFERROR(__xludf.DUMMYFUNCTION("""COMPUTED_VALUE"""),28.67)</f>
        <v>28.67</v>
      </c>
      <c r="K3814" s="16"/>
      <c r="T3814" s="17"/>
      <c r="AC3814" s="17"/>
    </row>
    <row r="3815">
      <c r="B3815" s="11">
        <f>IFERROR(__xludf.DUMMYFUNCTION("""COMPUTED_VALUE"""),40483.666666666664)</f>
        <v>40483.66667</v>
      </c>
      <c r="C3815" s="9">
        <f>IFERROR(__xludf.DUMMYFUNCTION("""COMPUTED_VALUE"""),28.21)</f>
        <v>28.21</v>
      </c>
      <c r="K3815" s="16"/>
      <c r="T3815" s="17"/>
      <c r="AC3815" s="17"/>
    </row>
    <row r="3816">
      <c r="B3816" s="11">
        <f>IFERROR(__xludf.DUMMYFUNCTION("""COMPUTED_VALUE"""),40480.666666666664)</f>
        <v>40480.66667</v>
      </c>
      <c r="C3816" s="9">
        <f>IFERROR(__xludf.DUMMYFUNCTION("""COMPUTED_VALUE"""),28.43)</f>
        <v>28.43</v>
      </c>
      <c r="K3816" s="16"/>
      <c r="T3816" s="17"/>
      <c r="AC3816" s="17"/>
    </row>
    <row r="3817">
      <c r="B3817" s="11">
        <f>IFERROR(__xludf.DUMMYFUNCTION("""COMPUTED_VALUE"""),40479.666666666664)</f>
        <v>40479.66667</v>
      </c>
      <c r="C3817" s="9">
        <f>IFERROR(__xludf.DUMMYFUNCTION("""COMPUTED_VALUE"""),28.37)</f>
        <v>28.37</v>
      </c>
      <c r="K3817" s="16"/>
      <c r="T3817" s="17"/>
      <c r="AC3817" s="17"/>
    </row>
    <row r="3818">
      <c r="B3818" s="11">
        <f>IFERROR(__xludf.DUMMYFUNCTION("""COMPUTED_VALUE"""),40478.666666666664)</f>
        <v>40478.66667</v>
      </c>
      <c r="C3818" s="9">
        <f>IFERROR(__xludf.DUMMYFUNCTION("""COMPUTED_VALUE"""),28.32)</f>
        <v>28.32</v>
      </c>
      <c r="K3818" s="16"/>
      <c r="T3818" s="17"/>
      <c r="AC3818" s="17"/>
    </row>
    <row r="3819">
      <c r="B3819" s="11">
        <f>IFERROR(__xludf.DUMMYFUNCTION("""COMPUTED_VALUE"""),40477.666666666664)</f>
        <v>40477.66667</v>
      </c>
      <c r="C3819" s="9">
        <f>IFERROR(__xludf.DUMMYFUNCTION("""COMPUTED_VALUE"""),28.42)</f>
        <v>28.42</v>
      </c>
      <c r="K3819" s="16"/>
      <c r="T3819" s="17"/>
      <c r="AC3819" s="17"/>
    </row>
    <row r="3820">
      <c r="B3820" s="11">
        <f>IFERROR(__xludf.DUMMYFUNCTION("""COMPUTED_VALUE"""),40476.666666666664)</f>
        <v>40476.66667</v>
      </c>
      <c r="C3820" s="9">
        <f>IFERROR(__xludf.DUMMYFUNCTION("""COMPUTED_VALUE"""),28.38)</f>
        <v>28.38</v>
      </c>
      <c r="K3820" s="16"/>
      <c r="T3820" s="17"/>
      <c r="AC3820" s="17"/>
    </row>
    <row r="3821">
      <c r="B3821" s="11">
        <f>IFERROR(__xludf.DUMMYFUNCTION("""COMPUTED_VALUE"""),40473.666666666664)</f>
        <v>40473.66667</v>
      </c>
      <c r="C3821" s="9">
        <f>IFERROR(__xludf.DUMMYFUNCTION("""COMPUTED_VALUE"""),28.37)</f>
        <v>28.37</v>
      </c>
      <c r="K3821" s="16"/>
      <c r="T3821" s="17"/>
      <c r="AC3821" s="17"/>
    </row>
    <row r="3822">
      <c r="B3822" s="11">
        <f>IFERROR(__xludf.DUMMYFUNCTION("""COMPUTED_VALUE"""),40472.666666666664)</f>
        <v>40472.66667</v>
      </c>
      <c r="C3822" s="9">
        <f>IFERROR(__xludf.DUMMYFUNCTION("""COMPUTED_VALUE"""),28.27)</f>
        <v>28.27</v>
      </c>
      <c r="K3822" s="16"/>
      <c r="T3822" s="17"/>
      <c r="AC3822" s="17"/>
    </row>
    <row r="3823">
      <c r="B3823" s="11">
        <f>IFERROR(__xludf.DUMMYFUNCTION("""COMPUTED_VALUE"""),40471.666666666664)</f>
        <v>40471.66667</v>
      </c>
      <c r="C3823" s="9">
        <f>IFERROR(__xludf.DUMMYFUNCTION("""COMPUTED_VALUE"""),27.88)</f>
        <v>27.88</v>
      </c>
      <c r="K3823" s="16"/>
      <c r="T3823" s="17"/>
      <c r="AC3823" s="17"/>
    </row>
    <row r="3824">
      <c r="B3824" s="11">
        <f>IFERROR(__xludf.DUMMYFUNCTION("""COMPUTED_VALUE"""),40470.666666666664)</f>
        <v>40470.66667</v>
      </c>
      <c r="C3824" s="9">
        <f>IFERROR(__xludf.DUMMYFUNCTION("""COMPUTED_VALUE"""),27.42)</f>
        <v>27.42</v>
      </c>
      <c r="K3824" s="16"/>
      <c r="T3824" s="17"/>
      <c r="AC3824" s="17"/>
    </row>
    <row r="3825">
      <c r="B3825" s="11">
        <f>IFERROR(__xludf.DUMMYFUNCTION("""COMPUTED_VALUE"""),40469.666666666664)</f>
        <v>40469.66667</v>
      </c>
      <c r="C3825" s="9">
        <f>IFERROR(__xludf.DUMMYFUNCTION("""COMPUTED_VALUE"""),27.92)</f>
        <v>27.92</v>
      </c>
      <c r="K3825" s="16"/>
      <c r="T3825" s="17"/>
      <c r="AC3825" s="17"/>
    </row>
    <row r="3826">
      <c r="B3826" s="11">
        <f>IFERROR(__xludf.DUMMYFUNCTION("""COMPUTED_VALUE"""),40466.666666666664)</f>
        <v>40466.66667</v>
      </c>
      <c r="C3826" s="9">
        <f>IFERROR(__xludf.DUMMYFUNCTION("""COMPUTED_VALUE"""),27.81)</f>
        <v>27.81</v>
      </c>
      <c r="K3826" s="16"/>
      <c r="T3826" s="17"/>
      <c r="AC3826" s="17"/>
    </row>
    <row r="3827">
      <c r="B3827" s="11">
        <f>IFERROR(__xludf.DUMMYFUNCTION("""COMPUTED_VALUE"""),40465.666666666664)</f>
        <v>40465.66667</v>
      </c>
      <c r="C3827" s="9">
        <f>IFERROR(__xludf.DUMMYFUNCTION("""COMPUTED_VALUE"""),27.87)</f>
        <v>27.87</v>
      </c>
      <c r="K3827" s="16"/>
      <c r="T3827" s="17"/>
      <c r="AC3827" s="17"/>
    </row>
    <row r="3828">
      <c r="B3828" s="11">
        <f>IFERROR(__xludf.DUMMYFUNCTION("""COMPUTED_VALUE"""),40464.666666666664)</f>
        <v>40464.66667</v>
      </c>
      <c r="C3828" s="9">
        <f>IFERROR(__xludf.DUMMYFUNCTION("""COMPUTED_VALUE"""),28.02)</f>
        <v>28.02</v>
      </c>
      <c r="K3828" s="16"/>
      <c r="T3828" s="17"/>
      <c r="AC3828" s="17"/>
    </row>
    <row r="3829">
      <c r="B3829" s="11">
        <f>IFERROR(__xludf.DUMMYFUNCTION("""COMPUTED_VALUE"""),40463.666666666664)</f>
        <v>40463.66667</v>
      </c>
      <c r="C3829" s="9">
        <f>IFERROR(__xludf.DUMMYFUNCTION("""COMPUTED_VALUE"""),27.61)</f>
        <v>27.61</v>
      </c>
      <c r="K3829" s="16"/>
      <c r="T3829" s="17"/>
      <c r="AC3829" s="17"/>
    </row>
    <row r="3830">
      <c r="B3830" s="11">
        <f>IFERROR(__xludf.DUMMYFUNCTION("""COMPUTED_VALUE"""),40462.666666666664)</f>
        <v>40462.66667</v>
      </c>
      <c r="C3830" s="9">
        <f>IFERROR(__xludf.DUMMYFUNCTION("""COMPUTED_VALUE"""),27.58)</f>
        <v>27.58</v>
      </c>
      <c r="K3830" s="16"/>
      <c r="T3830" s="17"/>
      <c r="AC3830" s="17"/>
    </row>
    <row r="3831">
      <c r="B3831" s="11">
        <f>IFERROR(__xludf.DUMMYFUNCTION("""COMPUTED_VALUE"""),40459.666666666664)</f>
        <v>40459.66667</v>
      </c>
      <c r="C3831" s="9">
        <f>IFERROR(__xludf.DUMMYFUNCTION("""COMPUTED_VALUE"""),27.63)</f>
        <v>27.63</v>
      </c>
      <c r="K3831" s="16"/>
      <c r="T3831" s="17"/>
      <c r="AC3831" s="17"/>
    </row>
    <row r="3832">
      <c r="B3832" s="11">
        <f>IFERROR(__xludf.DUMMYFUNCTION("""COMPUTED_VALUE"""),40458.666666666664)</f>
        <v>40458.66667</v>
      </c>
      <c r="C3832" s="9">
        <f>IFERROR(__xludf.DUMMYFUNCTION("""COMPUTED_VALUE"""),27.44)</f>
        <v>27.44</v>
      </c>
      <c r="K3832" s="16"/>
      <c r="T3832" s="17"/>
      <c r="AC3832" s="17"/>
    </row>
    <row r="3833">
      <c r="B3833" s="11">
        <f>IFERROR(__xludf.DUMMYFUNCTION("""COMPUTED_VALUE"""),40457.666666666664)</f>
        <v>40457.66667</v>
      </c>
      <c r="C3833" s="9">
        <f>IFERROR(__xludf.DUMMYFUNCTION("""COMPUTED_VALUE"""),27.47)</f>
        <v>27.47</v>
      </c>
      <c r="K3833" s="16"/>
      <c r="T3833" s="17"/>
      <c r="AC3833" s="17"/>
    </row>
    <row r="3834">
      <c r="B3834" s="11">
        <f>IFERROR(__xludf.DUMMYFUNCTION("""COMPUTED_VALUE"""),40456.666666666664)</f>
        <v>40456.66667</v>
      </c>
      <c r="C3834" s="9">
        <f>IFERROR(__xludf.DUMMYFUNCTION("""COMPUTED_VALUE"""),27.34)</f>
        <v>27.34</v>
      </c>
      <c r="K3834" s="16"/>
      <c r="T3834" s="17"/>
      <c r="AC3834" s="17"/>
    </row>
    <row r="3835">
      <c r="B3835" s="11">
        <f>IFERROR(__xludf.DUMMYFUNCTION("""COMPUTED_VALUE"""),40455.666666666664)</f>
        <v>40455.66667</v>
      </c>
      <c r="C3835" s="9">
        <f>IFERROR(__xludf.DUMMYFUNCTION("""COMPUTED_VALUE"""),26.57)</f>
        <v>26.57</v>
      </c>
      <c r="K3835" s="16"/>
      <c r="T3835" s="17"/>
      <c r="AC3835" s="17"/>
    </row>
    <row r="3836">
      <c r="B3836" s="11">
        <f>IFERROR(__xludf.DUMMYFUNCTION("""COMPUTED_VALUE"""),40452.666666666664)</f>
        <v>40452.66667</v>
      </c>
      <c r="C3836" s="9">
        <f>IFERROR(__xludf.DUMMYFUNCTION("""COMPUTED_VALUE"""),26.91)</f>
        <v>26.91</v>
      </c>
      <c r="K3836" s="16"/>
      <c r="T3836" s="17"/>
      <c r="AC3836" s="17"/>
    </row>
    <row r="3837">
      <c r="B3837" s="11">
        <f>IFERROR(__xludf.DUMMYFUNCTION("""COMPUTED_VALUE"""),40451.666666666664)</f>
        <v>40451.66667</v>
      </c>
      <c r="C3837" s="9">
        <f>IFERROR(__xludf.DUMMYFUNCTION("""COMPUTED_VALUE"""),26.94)</f>
        <v>26.94</v>
      </c>
      <c r="K3837" s="16"/>
      <c r="T3837" s="17"/>
      <c r="AC3837" s="17"/>
    </row>
    <row r="3838">
      <c r="B3838" s="11">
        <f>IFERROR(__xludf.DUMMYFUNCTION("""COMPUTED_VALUE"""),40450.666666666664)</f>
        <v>40450.66667</v>
      </c>
      <c r="C3838" s="9">
        <f>IFERROR(__xludf.DUMMYFUNCTION("""COMPUTED_VALUE"""),27.01)</f>
        <v>27.01</v>
      </c>
      <c r="K3838" s="16"/>
      <c r="T3838" s="17"/>
      <c r="AC3838" s="17"/>
    </row>
    <row r="3839">
      <c r="B3839" s="11">
        <f>IFERROR(__xludf.DUMMYFUNCTION("""COMPUTED_VALUE"""),40449.666666666664)</f>
        <v>40449.66667</v>
      </c>
      <c r="C3839" s="9">
        <f>IFERROR(__xludf.DUMMYFUNCTION("""COMPUTED_VALUE"""),26.93)</f>
        <v>26.93</v>
      </c>
      <c r="K3839" s="16"/>
      <c r="T3839" s="17"/>
      <c r="AC3839" s="17"/>
    </row>
    <row r="3840">
      <c r="B3840" s="11">
        <f>IFERROR(__xludf.DUMMYFUNCTION("""COMPUTED_VALUE"""),40448.666666666664)</f>
        <v>40448.66667</v>
      </c>
      <c r="C3840" s="9">
        <f>IFERROR(__xludf.DUMMYFUNCTION("""COMPUTED_VALUE"""),26.72)</f>
        <v>26.72</v>
      </c>
      <c r="K3840" s="16"/>
      <c r="T3840" s="17"/>
      <c r="AC3840" s="17"/>
    </row>
    <row r="3841">
      <c r="B3841" s="11">
        <f>IFERROR(__xludf.DUMMYFUNCTION("""COMPUTED_VALUE"""),40445.666666666664)</f>
        <v>40445.66667</v>
      </c>
      <c r="C3841" s="9">
        <f>IFERROR(__xludf.DUMMYFUNCTION("""COMPUTED_VALUE"""),26.99)</f>
        <v>26.99</v>
      </c>
      <c r="K3841" s="16"/>
      <c r="T3841" s="17"/>
      <c r="AC3841" s="17"/>
    </row>
    <row r="3842">
      <c r="B3842" s="11">
        <f>IFERROR(__xludf.DUMMYFUNCTION("""COMPUTED_VALUE"""),40444.666666666664)</f>
        <v>40444.66667</v>
      </c>
      <c r="C3842" s="9">
        <f>IFERROR(__xludf.DUMMYFUNCTION("""COMPUTED_VALUE"""),26.26)</f>
        <v>26.26</v>
      </c>
      <c r="K3842" s="16"/>
      <c r="T3842" s="17"/>
      <c r="AC3842" s="17"/>
    </row>
    <row r="3843">
      <c r="B3843" s="11">
        <f>IFERROR(__xludf.DUMMYFUNCTION("""COMPUTED_VALUE"""),40443.666666666664)</f>
        <v>40443.66667</v>
      </c>
      <c r="C3843" s="9">
        <f>IFERROR(__xludf.DUMMYFUNCTION("""COMPUTED_VALUE"""),26.76)</f>
        <v>26.76</v>
      </c>
      <c r="K3843" s="16"/>
      <c r="T3843" s="17"/>
      <c r="AC3843" s="17"/>
    </row>
    <row r="3844">
      <c r="B3844" s="11">
        <f>IFERROR(__xludf.DUMMYFUNCTION("""COMPUTED_VALUE"""),40442.666666666664)</f>
        <v>40442.66667</v>
      </c>
      <c r="C3844" s="9">
        <f>IFERROR(__xludf.DUMMYFUNCTION("""COMPUTED_VALUE"""),26.99)</f>
        <v>26.99</v>
      </c>
      <c r="K3844" s="16"/>
      <c r="T3844" s="17"/>
      <c r="AC3844" s="17"/>
    </row>
    <row r="3845">
      <c r="B3845" s="11">
        <f>IFERROR(__xludf.DUMMYFUNCTION("""COMPUTED_VALUE"""),40441.666666666664)</f>
        <v>40441.66667</v>
      </c>
      <c r="C3845" s="9">
        <f>IFERROR(__xludf.DUMMYFUNCTION("""COMPUTED_VALUE"""),27.01)</f>
        <v>27.01</v>
      </c>
      <c r="K3845" s="16"/>
      <c r="T3845" s="17"/>
      <c r="AC3845" s="17"/>
    </row>
    <row r="3846">
      <c r="B3846" s="11">
        <f>IFERROR(__xludf.DUMMYFUNCTION("""COMPUTED_VALUE"""),40438.666666666664)</f>
        <v>40438.66667</v>
      </c>
      <c r="C3846" s="9">
        <f>IFERROR(__xludf.DUMMYFUNCTION("""COMPUTED_VALUE"""),26.48)</f>
        <v>26.48</v>
      </c>
      <c r="K3846" s="16"/>
      <c r="T3846" s="17"/>
      <c r="AC3846" s="17"/>
    </row>
    <row r="3847">
      <c r="B3847" s="11">
        <f>IFERROR(__xludf.DUMMYFUNCTION("""COMPUTED_VALUE"""),40437.666666666664)</f>
        <v>40437.66667</v>
      </c>
      <c r="C3847" s="9">
        <f>IFERROR(__xludf.DUMMYFUNCTION("""COMPUTED_VALUE"""),26.13)</f>
        <v>26.13</v>
      </c>
      <c r="K3847" s="16"/>
      <c r="T3847" s="17"/>
      <c r="AC3847" s="17"/>
    </row>
    <row r="3848">
      <c r="B3848" s="11">
        <f>IFERROR(__xludf.DUMMYFUNCTION("""COMPUTED_VALUE"""),40436.666666666664)</f>
        <v>40436.66667</v>
      </c>
      <c r="C3848" s="9">
        <f>IFERROR(__xludf.DUMMYFUNCTION("""COMPUTED_VALUE"""),26.15)</f>
        <v>26.15</v>
      </c>
      <c r="K3848" s="16"/>
      <c r="T3848" s="17"/>
      <c r="AC3848" s="17"/>
    </row>
    <row r="3849">
      <c r="B3849" s="11">
        <f>IFERROR(__xludf.DUMMYFUNCTION("""COMPUTED_VALUE"""),40435.666666666664)</f>
        <v>40435.66667</v>
      </c>
      <c r="C3849" s="9">
        <f>IFERROR(__xludf.DUMMYFUNCTION("""COMPUTED_VALUE"""),26.23)</f>
        <v>26.23</v>
      </c>
      <c r="K3849" s="16"/>
      <c r="T3849" s="17"/>
      <c r="AC3849" s="17"/>
    </row>
    <row r="3850">
      <c r="B3850" s="11">
        <f>IFERROR(__xludf.DUMMYFUNCTION("""COMPUTED_VALUE"""),40434.666666666664)</f>
        <v>40434.66667</v>
      </c>
      <c r="C3850" s="9">
        <f>IFERROR(__xludf.DUMMYFUNCTION("""COMPUTED_VALUE"""),26.51)</f>
        <v>26.51</v>
      </c>
      <c r="K3850" s="16"/>
      <c r="T3850" s="17"/>
      <c r="AC3850" s="17"/>
    </row>
    <row r="3851">
      <c r="B3851" s="11">
        <f>IFERROR(__xludf.DUMMYFUNCTION("""COMPUTED_VALUE"""),40431.666666666664)</f>
        <v>40431.66667</v>
      </c>
      <c r="C3851" s="9">
        <f>IFERROR(__xludf.DUMMYFUNCTION("""COMPUTED_VALUE"""),26.17)</f>
        <v>26.17</v>
      </c>
      <c r="K3851" s="16"/>
      <c r="T3851" s="17"/>
      <c r="AC3851" s="17"/>
    </row>
    <row r="3852">
      <c r="B3852" s="11">
        <f>IFERROR(__xludf.DUMMYFUNCTION("""COMPUTED_VALUE"""),40430.666666666664)</f>
        <v>40430.66667</v>
      </c>
      <c r="C3852" s="9">
        <f>IFERROR(__xludf.DUMMYFUNCTION("""COMPUTED_VALUE"""),25.87)</f>
        <v>25.87</v>
      </c>
      <c r="K3852" s="16"/>
      <c r="T3852" s="17"/>
      <c r="AC3852" s="17"/>
    </row>
    <row r="3853">
      <c r="B3853" s="11">
        <f>IFERROR(__xludf.DUMMYFUNCTION("""COMPUTED_VALUE"""),40429.666666666664)</f>
        <v>40429.66667</v>
      </c>
      <c r="C3853" s="9">
        <f>IFERROR(__xludf.DUMMYFUNCTION("""COMPUTED_VALUE"""),25.97)</f>
        <v>25.97</v>
      </c>
      <c r="K3853" s="16"/>
      <c r="T3853" s="17"/>
      <c r="AC3853" s="17"/>
    </row>
    <row r="3854">
      <c r="B3854" s="11">
        <f>IFERROR(__xludf.DUMMYFUNCTION("""COMPUTED_VALUE"""),40428.666666666664)</f>
        <v>40428.66667</v>
      </c>
      <c r="C3854" s="9">
        <f>IFERROR(__xludf.DUMMYFUNCTION("""COMPUTED_VALUE"""),25.77)</f>
        <v>25.77</v>
      </c>
      <c r="K3854" s="16"/>
      <c r="T3854" s="17"/>
      <c r="AC3854" s="17"/>
    </row>
    <row r="3855">
      <c r="B3855" s="11">
        <f>IFERROR(__xludf.DUMMYFUNCTION("""COMPUTED_VALUE"""),40424.666666666664)</f>
        <v>40424.66667</v>
      </c>
      <c r="C3855" s="9">
        <f>IFERROR(__xludf.DUMMYFUNCTION("""COMPUTED_VALUE"""),26.21)</f>
        <v>26.21</v>
      </c>
      <c r="K3855" s="16"/>
      <c r="T3855" s="17"/>
      <c r="AC3855" s="17"/>
    </row>
    <row r="3856">
      <c r="B3856" s="11">
        <f>IFERROR(__xludf.DUMMYFUNCTION("""COMPUTED_VALUE"""),40423.666666666664)</f>
        <v>40423.66667</v>
      </c>
      <c r="C3856" s="9">
        <f>IFERROR(__xludf.DUMMYFUNCTION("""COMPUTED_VALUE"""),25.81)</f>
        <v>25.81</v>
      </c>
      <c r="K3856" s="16"/>
      <c r="T3856" s="17"/>
      <c r="AC3856" s="17"/>
    </row>
    <row r="3857">
      <c r="B3857" s="11">
        <f>IFERROR(__xludf.DUMMYFUNCTION("""COMPUTED_VALUE"""),40422.666666666664)</f>
        <v>40422.66667</v>
      </c>
      <c r="C3857" s="9">
        <f>IFERROR(__xludf.DUMMYFUNCTION("""COMPUTED_VALUE"""),25.52)</f>
        <v>25.52</v>
      </c>
      <c r="K3857" s="16"/>
      <c r="T3857" s="17"/>
      <c r="AC3857" s="17"/>
    </row>
    <row r="3858">
      <c r="B3858" s="11">
        <f>IFERROR(__xludf.DUMMYFUNCTION("""COMPUTED_VALUE"""),40421.666666666664)</f>
        <v>40421.66667</v>
      </c>
      <c r="C3858" s="9">
        <f>IFERROR(__xludf.DUMMYFUNCTION("""COMPUTED_VALUE"""),24.54)</f>
        <v>24.54</v>
      </c>
      <c r="K3858" s="16"/>
      <c r="T3858" s="17"/>
      <c r="AC3858" s="17"/>
    </row>
    <row r="3859">
      <c r="B3859" s="11">
        <f>IFERROR(__xludf.DUMMYFUNCTION("""COMPUTED_VALUE"""),40420.666666666664)</f>
        <v>40420.66667</v>
      </c>
      <c r="C3859" s="9">
        <f>IFERROR(__xludf.DUMMYFUNCTION("""COMPUTED_VALUE"""),24.78)</f>
        <v>24.78</v>
      </c>
      <c r="K3859" s="16"/>
      <c r="T3859" s="17"/>
      <c r="AC3859" s="17"/>
    </row>
    <row r="3860">
      <c r="B3860" s="11">
        <f>IFERROR(__xludf.DUMMYFUNCTION("""COMPUTED_VALUE"""),40417.666666666664)</f>
        <v>40417.66667</v>
      </c>
      <c r="C3860" s="9">
        <f>IFERROR(__xludf.DUMMYFUNCTION("""COMPUTED_VALUE"""),25.2)</f>
        <v>25.2</v>
      </c>
      <c r="K3860" s="16"/>
      <c r="T3860" s="17"/>
      <c r="AC3860" s="17"/>
    </row>
    <row r="3861">
      <c r="B3861" s="11">
        <f>IFERROR(__xludf.DUMMYFUNCTION("""COMPUTED_VALUE"""),40416.666666666664)</f>
        <v>40416.66667</v>
      </c>
      <c r="C3861" s="9">
        <f>IFERROR(__xludf.DUMMYFUNCTION("""COMPUTED_VALUE"""),24.63)</f>
        <v>24.63</v>
      </c>
      <c r="K3861" s="16"/>
      <c r="T3861" s="17"/>
      <c r="AC3861" s="17"/>
    </row>
    <row r="3862">
      <c r="B3862" s="11">
        <f>IFERROR(__xludf.DUMMYFUNCTION("""COMPUTED_VALUE"""),40415.666666666664)</f>
        <v>40415.66667</v>
      </c>
      <c r="C3862" s="9">
        <f>IFERROR(__xludf.DUMMYFUNCTION("""COMPUTED_VALUE"""),24.57)</f>
        <v>24.57</v>
      </c>
      <c r="K3862" s="16"/>
      <c r="T3862" s="17"/>
      <c r="AC3862" s="17"/>
    </row>
    <row r="3863">
      <c r="B3863" s="11">
        <f>IFERROR(__xludf.DUMMYFUNCTION("""COMPUTED_VALUE"""),40414.666666666664)</f>
        <v>40414.66667</v>
      </c>
      <c r="C3863" s="9">
        <f>IFERROR(__xludf.DUMMYFUNCTION("""COMPUTED_VALUE"""),24.46)</f>
        <v>24.46</v>
      </c>
      <c r="K3863" s="16"/>
      <c r="T3863" s="17"/>
      <c r="AC3863" s="17"/>
    </row>
    <row r="3864">
      <c r="B3864" s="11">
        <f>IFERROR(__xludf.DUMMYFUNCTION("""COMPUTED_VALUE"""),40413.666666666664)</f>
        <v>40413.66667</v>
      </c>
      <c r="C3864" s="9">
        <f>IFERROR(__xludf.DUMMYFUNCTION("""COMPUTED_VALUE"""),24.97)</f>
        <v>24.97</v>
      </c>
      <c r="K3864" s="16"/>
      <c r="T3864" s="17"/>
      <c r="AC3864" s="17"/>
    </row>
    <row r="3865">
      <c r="B3865" s="11">
        <f>IFERROR(__xludf.DUMMYFUNCTION("""COMPUTED_VALUE"""),40410.666666666664)</f>
        <v>40410.66667</v>
      </c>
      <c r="C3865" s="9">
        <f>IFERROR(__xludf.DUMMYFUNCTION("""COMPUTED_VALUE"""),25.47)</f>
        <v>25.47</v>
      </c>
      <c r="K3865" s="16"/>
      <c r="T3865" s="17"/>
      <c r="AC3865" s="17"/>
    </row>
    <row r="3866">
      <c r="B3866" s="11">
        <f>IFERROR(__xludf.DUMMYFUNCTION("""COMPUTED_VALUE"""),40409.666666666664)</f>
        <v>40409.66667</v>
      </c>
      <c r="C3866" s="9">
        <f>IFERROR(__xludf.DUMMYFUNCTION("""COMPUTED_VALUE"""),25.59)</f>
        <v>25.59</v>
      </c>
      <c r="K3866" s="16"/>
      <c r="T3866" s="17"/>
      <c r="AC3866" s="17"/>
    </row>
    <row r="3867">
      <c r="B3867" s="11">
        <f>IFERROR(__xludf.DUMMYFUNCTION("""COMPUTED_VALUE"""),40408.666666666664)</f>
        <v>40408.66667</v>
      </c>
      <c r="C3867" s="9">
        <f>IFERROR(__xludf.DUMMYFUNCTION("""COMPUTED_VALUE"""),26.22)</f>
        <v>26.22</v>
      </c>
      <c r="K3867" s="16"/>
      <c r="T3867" s="17"/>
      <c r="AC3867" s="17"/>
    </row>
    <row r="3868">
      <c r="B3868" s="11">
        <f>IFERROR(__xludf.DUMMYFUNCTION("""COMPUTED_VALUE"""),40407.666666666664)</f>
        <v>40407.66667</v>
      </c>
      <c r="C3868" s="9">
        <f>IFERROR(__xludf.DUMMYFUNCTION("""COMPUTED_VALUE"""),26.06)</f>
        <v>26.06</v>
      </c>
      <c r="K3868" s="16"/>
      <c r="T3868" s="17"/>
      <c r="AC3868" s="17"/>
    </row>
    <row r="3869">
      <c r="B3869" s="11">
        <f>IFERROR(__xludf.DUMMYFUNCTION("""COMPUTED_VALUE"""),40406.666666666664)</f>
        <v>40406.66667</v>
      </c>
      <c r="C3869" s="9">
        <f>IFERROR(__xludf.DUMMYFUNCTION("""COMPUTED_VALUE"""),25.51)</f>
        <v>25.51</v>
      </c>
      <c r="K3869" s="16"/>
      <c r="T3869" s="17"/>
      <c r="AC3869" s="17"/>
    </row>
    <row r="3870">
      <c r="B3870" s="11">
        <f>IFERROR(__xludf.DUMMYFUNCTION("""COMPUTED_VALUE"""),40403.666666666664)</f>
        <v>40403.66667</v>
      </c>
      <c r="C3870" s="9">
        <f>IFERROR(__xludf.DUMMYFUNCTION("""COMPUTED_VALUE"""),25.52)</f>
        <v>25.52</v>
      </c>
      <c r="K3870" s="16"/>
      <c r="T3870" s="17"/>
      <c r="AC3870" s="17"/>
    </row>
    <row r="3871">
      <c r="B3871" s="11">
        <f>IFERROR(__xludf.DUMMYFUNCTION("""COMPUTED_VALUE"""),40402.666666666664)</f>
        <v>40402.66667</v>
      </c>
      <c r="C3871" s="9">
        <f>IFERROR(__xludf.DUMMYFUNCTION("""COMPUTED_VALUE"""),25.55)</f>
        <v>25.55</v>
      </c>
      <c r="K3871" s="16"/>
      <c r="T3871" s="17"/>
      <c r="AC3871" s="17"/>
    </row>
    <row r="3872">
      <c r="B3872" s="11">
        <f>IFERROR(__xludf.DUMMYFUNCTION("""COMPUTED_VALUE"""),40401.666666666664)</f>
        <v>40401.66667</v>
      </c>
      <c r="C3872" s="9">
        <f>IFERROR(__xludf.DUMMYFUNCTION("""COMPUTED_VALUE"""),25.81)</f>
        <v>25.81</v>
      </c>
      <c r="K3872" s="16"/>
      <c r="T3872" s="17"/>
      <c r="AC3872" s="17"/>
    </row>
    <row r="3873">
      <c r="B3873" s="11">
        <f>IFERROR(__xludf.DUMMYFUNCTION("""COMPUTED_VALUE"""),40400.666666666664)</f>
        <v>40400.66667</v>
      </c>
      <c r="C3873" s="9">
        <f>IFERROR(__xludf.DUMMYFUNCTION("""COMPUTED_VALUE"""),26.84)</f>
        <v>26.84</v>
      </c>
      <c r="K3873" s="16"/>
      <c r="T3873" s="17"/>
      <c r="AC3873" s="17"/>
    </row>
    <row r="3874">
      <c r="B3874" s="11">
        <f>IFERROR(__xludf.DUMMYFUNCTION("""COMPUTED_VALUE"""),40399.666666666664)</f>
        <v>40399.66667</v>
      </c>
      <c r="C3874" s="9">
        <f>IFERROR(__xludf.DUMMYFUNCTION("""COMPUTED_VALUE"""),27.19)</f>
        <v>27.19</v>
      </c>
      <c r="K3874" s="16"/>
      <c r="T3874" s="17"/>
      <c r="AC3874" s="17"/>
    </row>
    <row r="3875">
      <c r="B3875" s="11">
        <f>IFERROR(__xludf.DUMMYFUNCTION("""COMPUTED_VALUE"""),40396.666666666664)</f>
        <v>40396.66667</v>
      </c>
      <c r="C3875" s="9">
        <f>IFERROR(__xludf.DUMMYFUNCTION("""COMPUTED_VALUE"""),26.98)</f>
        <v>26.98</v>
      </c>
      <c r="K3875" s="16"/>
      <c r="T3875" s="17"/>
      <c r="AC3875" s="17"/>
    </row>
    <row r="3876">
      <c r="B3876" s="11">
        <f>IFERROR(__xludf.DUMMYFUNCTION("""COMPUTED_VALUE"""),40395.666666666664)</f>
        <v>40395.66667</v>
      </c>
      <c r="C3876" s="9">
        <f>IFERROR(__xludf.DUMMYFUNCTION("""COMPUTED_VALUE"""),27.16)</f>
        <v>27.16</v>
      </c>
      <c r="K3876" s="16"/>
      <c r="T3876" s="17"/>
      <c r="AC3876" s="17"/>
    </row>
    <row r="3877">
      <c r="B3877" s="11">
        <f>IFERROR(__xludf.DUMMYFUNCTION("""COMPUTED_VALUE"""),40394.666666666664)</f>
        <v>40394.66667</v>
      </c>
      <c r="C3877" s="9">
        <f>IFERROR(__xludf.DUMMYFUNCTION("""COMPUTED_VALUE"""),27.23)</f>
        <v>27.23</v>
      </c>
      <c r="K3877" s="16"/>
      <c r="T3877" s="17"/>
      <c r="AC3877" s="17"/>
    </row>
    <row r="3878">
      <c r="B3878" s="11">
        <f>IFERROR(__xludf.DUMMYFUNCTION("""COMPUTED_VALUE"""),40393.666666666664)</f>
        <v>40393.66667</v>
      </c>
      <c r="C3878" s="9">
        <f>IFERROR(__xludf.DUMMYFUNCTION("""COMPUTED_VALUE"""),27.03)</f>
        <v>27.03</v>
      </c>
      <c r="K3878" s="16"/>
      <c r="T3878" s="17"/>
      <c r="AC3878" s="17"/>
    </row>
    <row r="3879">
      <c r="B3879" s="11">
        <f>IFERROR(__xludf.DUMMYFUNCTION("""COMPUTED_VALUE"""),40392.666666666664)</f>
        <v>40392.66667</v>
      </c>
      <c r="C3879" s="9">
        <f>IFERROR(__xludf.DUMMYFUNCTION("""COMPUTED_VALUE"""),27.14)</f>
        <v>27.14</v>
      </c>
      <c r="K3879" s="16"/>
      <c r="T3879" s="17"/>
      <c r="AC3879" s="17"/>
    </row>
    <row r="3880">
      <c r="B3880" s="11">
        <f>IFERROR(__xludf.DUMMYFUNCTION("""COMPUTED_VALUE"""),40389.666666666664)</f>
        <v>40389.66667</v>
      </c>
      <c r="C3880" s="9">
        <f>IFERROR(__xludf.DUMMYFUNCTION("""COMPUTED_VALUE"""),26.7)</f>
        <v>26.7</v>
      </c>
      <c r="K3880" s="16"/>
      <c r="T3880" s="17"/>
      <c r="AC3880" s="17"/>
    </row>
    <row r="3881">
      <c r="B3881" s="11">
        <f>IFERROR(__xludf.DUMMYFUNCTION("""COMPUTED_VALUE"""),40388.666666666664)</f>
        <v>40388.66667</v>
      </c>
      <c r="C3881" s="9">
        <f>IFERROR(__xludf.DUMMYFUNCTION("""COMPUTED_VALUE"""),26.73)</f>
        <v>26.73</v>
      </c>
      <c r="K3881" s="16"/>
      <c r="T3881" s="17"/>
      <c r="AC3881" s="17"/>
    </row>
    <row r="3882">
      <c r="B3882" s="11">
        <f>IFERROR(__xludf.DUMMYFUNCTION("""COMPUTED_VALUE"""),40387.666666666664)</f>
        <v>40387.66667</v>
      </c>
      <c r="C3882" s="9">
        <f>IFERROR(__xludf.DUMMYFUNCTION("""COMPUTED_VALUE"""),26.72)</f>
        <v>26.72</v>
      </c>
      <c r="K3882" s="16"/>
      <c r="T3882" s="17"/>
      <c r="AC3882" s="17"/>
    </row>
    <row r="3883">
      <c r="B3883" s="11">
        <f>IFERROR(__xludf.DUMMYFUNCTION("""COMPUTED_VALUE"""),40386.666666666664)</f>
        <v>40386.66667</v>
      </c>
      <c r="C3883" s="9">
        <f>IFERROR(__xludf.DUMMYFUNCTION("""COMPUTED_VALUE"""),26.84)</f>
        <v>26.84</v>
      </c>
      <c r="K3883" s="16"/>
      <c r="T3883" s="17"/>
      <c r="AC3883" s="17"/>
    </row>
    <row r="3884">
      <c r="B3884" s="11">
        <f>IFERROR(__xludf.DUMMYFUNCTION("""COMPUTED_VALUE"""),40385.666666666664)</f>
        <v>40385.66667</v>
      </c>
      <c r="C3884" s="9">
        <f>IFERROR(__xludf.DUMMYFUNCTION("""COMPUTED_VALUE"""),27.11)</f>
        <v>27.11</v>
      </c>
      <c r="K3884" s="16"/>
      <c r="T3884" s="17"/>
      <c r="AC3884" s="17"/>
    </row>
    <row r="3885">
      <c r="B3885" s="11">
        <f>IFERROR(__xludf.DUMMYFUNCTION("""COMPUTED_VALUE"""),40382.666666666664)</f>
        <v>40382.66667</v>
      </c>
      <c r="C3885" s="9">
        <f>IFERROR(__xludf.DUMMYFUNCTION("""COMPUTED_VALUE"""),26.62)</f>
        <v>26.62</v>
      </c>
      <c r="K3885" s="16"/>
      <c r="T3885" s="17"/>
      <c r="AC3885" s="17"/>
    </row>
    <row r="3886">
      <c r="B3886" s="11">
        <f>IFERROR(__xludf.DUMMYFUNCTION("""COMPUTED_VALUE"""),40381.666666666664)</f>
        <v>40381.66667</v>
      </c>
      <c r="C3886" s="9">
        <f>IFERROR(__xludf.DUMMYFUNCTION("""COMPUTED_VALUE"""),26.2)</f>
        <v>26.2</v>
      </c>
      <c r="K3886" s="16"/>
      <c r="T3886" s="17"/>
      <c r="AC3886" s="17"/>
    </row>
    <row r="3887">
      <c r="B3887" s="11">
        <f>IFERROR(__xludf.DUMMYFUNCTION("""COMPUTED_VALUE"""),40380.666666666664)</f>
        <v>40380.66667</v>
      </c>
      <c r="C3887" s="9">
        <f>IFERROR(__xludf.DUMMYFUNCTION("""COMPUTED_VALUE"""),25.4)</f>
        <v>25.4</v>
      </c>
      <c r="K3887" s="16"/>
      <c r="T3887" s="17"/>
      <c r="AC3887" s="17"/>
    </row>
    <row r="3888">
      <c r="B3888" s="11">
        <f>IFERROR(__xludf.DUMMYFUNCTION("""COMPUTED_VALUE"""),40379.666666666664)</f>
        <v>40379.66667</v>
      </c>
      <c r="C3888" s="9">
        <f>IFERROR(__xludf.DUMMYFUNCTION("""COMPUTED_VALUE"""),25.36)</f>
        <v>25.36</v>
      </c>
      <c r="K3888" s="16"/>
      <c r="T3888" s="17"/>
      <c r="AC3888" s="17"/>
    </row>
    <row r="3889">
      <c r="B3889" s="11">
        <f>IFERROR(__xludf.DUMMYFUNCTION("""COMPUTED_VALUE"""),40378.666666666664)</f>
        <v>40378.66667</v>
      </c>
      <c r="C3889" s="9">
        <f>IFERROR(__xludf.DUMMYFUNCTION("""COMPUTED_VALUE"""),25.09)</f>
        <v>25.09</v>
      </c>
      <c r="K3889" s="16"/>
      <c r="T3889" s="17"/>
      <c r="AC3889" s="17"/>
    </row>
    <row r="3890">
      <c r="B3890" s="11">
        <f>IFERROR(__xludf.DUMMYFUNCTION("""COMPUTED_VALUE"""),40375.666666666664)</f>
        <v>40375.66667</v>
      </c>
      <c r="C3890" s="9">
        <f>IFERROR(__xludf.DUMMYFUNCTION("""COMPUTED_VALUE"""),24.92)</f>
        <v>24.92</v>
      </c>
      <c r="K3890" s="16"/>
      <c r="T3890" s="17"/>
      <c r="AC3890" s="17"/>
    </row>
    <row r="3891">
      <c r="B3891" s="11">
        <f>IFERROR(__xludf.DUMMYFUNCTION("""COMPUTED_VALUE"""),40374.666666666664)</f>
        <v>40374.66667</v>
      </c>
      <c r="C3891" s="9">
        <f>IFERROR(__xludf.DUMMYFUNCTION("""COMPUTED_VALUE"""),25.84)</f>
        <v>25.84</v>
      </c>
      <c r="K3891" s="16"/>
      <c r="T3891" s="17"/>
      <c r="AC3891" s="17"/>
    </row>
    <row r="3892">
      <c r="B3892" s="11">
        <f>IFERROR(__xludf.DUMMYFUNCTION("""COMPUTED_VALUE"""),40373.666666666664)</f>
        <v>40373.66667</v>
      </c>
      <c r="C3892" s="9">
        <f>IFERROR(__xludf.DUMMYFUNCTION("""COMPUTED_VALUE"""),25.94)</f>
        <v>25.94</v>
      </c>
      <c r="K3892" s="16"/>
      <c r="T3892" s="17"/>
      <c r="AC3892" s="17"/>
    </row>
    <row r="3893">
      <c r="B3893" s="11">
        <f>IFERROR(__xludf.DUMMYFUNCTION("""COMPUTED_VALUE"""),40372.666666666664)</f>
        <v>40372.66667</v>
      </c>
      <c r="C3893" s="9">
        <f>IFERROR(__xludf.DUMMYFUNCTION("""COMPUTED_VALUE"""),25.86)</f>
        <v>25.86</v>
      </c>
      <c r="K3893" s="16"/>
      <c r="T3893" s="17"/>
      <c r="AC3893" s="17"/>
    </row>
    <row r="3894">
      <c r="B3894" s="11">
        <f>IFERROR(__xludf.DUMMYFUNCTION("""COMPUTED_VALUE"""),40371.666666666664)</f>
        <v>40371.66667</v>
      </c>
      <c r="C3894" s="9">
        <f>IFERROR(__xludf.DUMMYFUNCTION("""COMPUTED_VALUE"""),25.35)</f>
        <v>25.35</v>
      </c>
      <c r="K3894" s="16"/>
      <c r="T3894" s="17"/>
      <c r="AC3894" s="17"/>
    </row>
    <row r="3895">
      <c r="B3895" s="11">
        <f>IFERROR(__xludf.DUMMYFUNCTION("""COMPUTED_VALUE"""),40368.666666666664)</f>
        <v>40368.66667</v>
      </c>
      <c r="C3895" s="9">
        <f>IFERROR(__xludf.DUMMYFUNCTION("""COMPUTED_VALUE"""),25.73)</f>
        <v>25.73</v>
      </c>
      <c r="K3895" s="16"/>
      <c r="T3895" s="17"/>
      <c r="AC3895" s="17"/>
    </row>
    <row r="3896">
      <c r="B3896" s="11">
        <f>IFERROR(__xludf.DUMMYFUNCTION("""COMPUTED_VALUE"""),40367.666666666664)</f>
        <v>40367.66667</v>
      </c>
      <c r="C3896" s="9">
        <f>IFERROR(__xludf.DUMMYFUNCTION("""COMPUTED_VALUE"""),25.67)</f>
        <v>25.67</v>
      </c>
      <c r="K3896" s="16"/>
      <c r="T3896" s="17"/>
      <c r="AC3896" s="17"/>
    </row>
    <row r="3897">
      <c r="B3897" s="11">
        <f>IFERROR(__xludf.DUMMYFUNCTION("""COMPUTED_VALUE"""),40366.666666666664)</f>
        <v>40366.66667</v>
      </c>
      <c r="C3897" s="9">
        <f>IFERROR(__xludf.DUMMYFUNCTION("""COMPUTED_VALUE"""),25.26)</f>
        <v>25.26</v>
      </c>
      <c r="K3897" s="16"/>
      <c r="T3897" s="17"/>
      <c r="AC3897" s="17"/>
    </row>
    <row r="3898">
      <c r="B3898" s="11">
        <f>IFERROR(__xludf.DUMMYFUNCTION("""COMPUTED_VALUE"""),40365.666666666664)</f>
        <v>40365.66667</v>
      </c>
      <c r="C3898" s="9">
        <f>IFERROR(__xludf.DUMMYFUNCTION("""COMPUTED_VALUE"""),24.45)</f>
        <v>24.45</v>
      </c>
      <c r="K3898" s="16"/>
      <c r="T3898" s="17"/>
      <c r="AC3898" s="17"/>
    </row>
    <row r="3899">
      <c r="B3899" s="11">
        <f>IFERROR(__xludf.DUMMYFUNCTION("""COMPUTED_VALUE"""),40361.666666666664)</f>
        <v>40361.66667</v>
      </c>
      <c r="C3899" s="9">
        <f>IFERROR(__xludf.DUMMYFUNCTION("""COMPUTED_VALUE"""),24.54)</f>
        <v>24.54</v>
      </c>
      <c r="K3899" s="16"/>
      <c r="T3899" s="17"/>
      <c r="AC3899" s="17"/>
    </row>
    <row r="3900">
      <c r="B3900" s="11">
        <f>IFERROR(__xludf.DUMMYFUNCTION("""COMPUTED_VALUE"""),40360.666666666664)</f>
        <v>40360.66667</v>
      </c>
      <c r="C3900" s="9">
        <f>IFERROR(__xludf.DUMMYFUNCTION("""COMPUTED_VALUE"""),24.63)</f>
        <v>24.63</v>
      </c>
      <c r="K3900" s="16"/>
      <c r="T3900" s="17"/>
      <c r="AC3900" s="17"/>
    </row>
    <row r="3901">
      <c r="B3901" s="11">
        <f>IFERROR(__xludf.DUMMYFUNCTION("""COMPUTED_VALUE"""),40359.666666666664)</f>
        <v>40359.66667</v>
      </c>
      <c r="C3901" s="9">
        <f>IFERROR(__xludf.DUMMYFUNCTION("""COMPUTED_VALUE"""),24.85)</f>
        <v>24.85</v>
      </c>
      <c r="K3901" s="16"/>
      <c r="T3901" s="17"/>
      <c r="AC3901" s="17"/>
    </row>
    <row r="3902">
      <c r="B3902" s="11">
        <f>IFERROR(__xludf.DUMMYFUNCTION("""COMPUTED_VALUE"""),40358.666666666664)</f>
        <v>40358.66667</v>
      </c>
      <c r="C3902" s="9">
        <f>IFERROR(__xludf.DUMMYFUNCTION("""COMPUTED_VALUE"""),25.02)</f>
        <v>25.02</v>
      </c>
      <c r="K3902" s="16"/>
      <c r="T3902" s="17"/>
      <c r="AC3902" s="17"/>
    </row>
    <row r="3903">
      <c r="B3903" s="11">
        <f>IFERROR(__xludf.DUMMYFUNCTION("""COMPUTED_VALUE"""),40357.666666666664)</f>
        <v>40357.66667</v>
      </c>
      <c r="C3903" s="9">
        <f>IFERROR(__xludf.DUMMYFUNCTION("""COMPUTED_VALUE"""),26.14)</f>
        <v>26.14</v>
      </c>
      <c r="K3903" s="16"/>
      <c r="T3903" s="17"/>
      <c r="AC3903" s="17"/>
    </row>
    <row r="3904">
      <c r="B3904" s="11">
        <f>IFERROR(__xludf.DUMMYFUNCTION("""COMPUTED_VALUE"""),40354.666666666664)</f>
        <v>40354.66667</v>
      </c>
      <c r="C3904" s="9">
        <f>IFERROR(__xludf.DUMMYFUNCTION("""COMPUTED_VALUE"""),26.24)</f>
        <v>26.24</v>
      </c>
      <c r="K3904" s="16"/>
      <c r="T3904" s="17"/>
      <c r="AC3904" s="17"/>
    </row>
    <row r="3905">
      <c r="B3905" s="11">
        <f>IFERROR(__xludf.DUMMYFUNCTION("""COMPUTED_VALUE"""),40353.666666666664)</f>
        <v>40353.66667</v>
      </c>
      <c r="C3905" s="9">
        <f>IFERROR(__xludf.DUMMYFUNCTION("""COMPUTED_VALUE"""),26.0)</f>
        <v>26</v>
      </c>
      <c r="K3905" s="16"/>
      <c r="T3905" s="17"/>
      <c r="AC3905" s="17"/>
    </row>
    <row r="3906">
      <c r="B3906" s="11">
        <f>IFERROR(__xludf.DUMMYFUNCTION("""COMPUTED_VALUE"""),40352.666666666664)</f>
        <v>40352.66667</v>
      </c>
      <c r="C3906" s="9">
        <f>IFERROR(__xludf.DUMMYFUNCTION("""COMPUTED_VALUE"""),26.5)</f>
        <v>26.5</v>
      </c>
      <c r="K3906" s="16"/>
      <c r="T3906" s="17"/>
      <c r="AC3906" s="17"/>
    </row>
    <row r="3907">
      <c r="B3907" s="11">
        <f>IFERROR(__xludf.DUMMYFUNCTION("""COMPUTED_VALUE"""),40351.666666666664)</f>
        <v>40351.66667</v>
      </c>
      <c r="C3907" s="9">
        <f>IFERROR(__xludf.DUMMYFUNCTION("""COMPUTED_VALUE"""),26.46)</f>
        <v>26.46</v>
      </c>
      <c r="K3907" s="16"/>
      <c r="T3907" s="17"/>
      <c r="AC3907" s="17"/>
    </row>
    <row r="3908">
      <c r="B3908" s="11">
        <f>IFERROR(__xludf.DUMMYFUNCTION("""COMPUTED_VALUE"""),40350.666666666664)</f>
        <v>40350.66667</v>
      </c>
      <c r="C3908" s="9">
        <f>IFERROR(__xludf.DUMMYFUNCTION("""COMPUTED_VALUE"""),26.98)</f>
        <v>26.98</v>
      </c>
      <c r="K3908" s="16"/>
      <c r="T3908" s="17"/>
      <c r="AC3908" s="17"/>
    </row>
    <row r="3909">
      <c r="B3909" s="11">
        <f>IFERROR(__xludf.DUMMYFUNCTION("""COMPUTED_VALUE"""),40347.666666666664)</f>
        <v>40347.66667</v>
      </c>
      <c r="C3909" s="9">
        <f>IFERROR(__xludf.DUMMYFUNCTION("""COMPUTED_VALUE"""),27.04)</f>
        <v>27.04</v>
      </c>
      <c r="K3909" s="16"/>
      <c r="T3909" s="17"/>
      <c r="AC3909" s="17"/>
    </row>
    <row r="3910">
      <c r="B3910" s="11">
        <f>IFERROR(__xludf.DUMMYFUNCTION("""COMPUTED_VALUE"""),40346.666666666664)</f>
        <v>40346.66667</v>
      </c>
      <c r="C3910" s="9">
        <f>IFERROR(__xludf.DUMMYFUNCTION("""COMPUTED_VALUE"""),26.9)</f>
        <v>26.9</v>
      </c>
      <c r="K3910" s="16"/>
      <c r="T3910" s="17"/>
      <c r="AC3910" s="17"/>
    </row>
    <row r="3911">
      <c r="B3911" s="11">
        <f>IFERROR(__xludf.DUMMYFUNCTION("""COMPUTED_VALUE"""),40345.666666666664)</f>
        <v>40345.66667</v>
      </c>
      <c r="C3911" s="9">
        <f>IFERROR(__xludf.DUMMYFUNCTION("""COMPUTED_VALUE"""),26.87)</f>
        <v>26.87</v>
      </c>
      <c r="K3911" s="16"/>
      <c r="T3911" s="17"/>
      <c r="AC3911" s="17"/>
    </row>
    <row r="3912">
      <c r="B3912" s="11">
        <f>IFERROR(__xludf.DUMMYFUNCTION("""COMPUTED_VALUE"""),40344.666666666664)</f>
        <v>40344.66667</v>
      </c>
      <c r="C3912" s="9">
        <f>IFERROR(__xludf.DUMMYFUNCTION("""COMPUTED_VALUE"""),26.84)</f>
        <v>26.84</v>
      </c>
      <c r="K3912" s="16"/>
      <c r="T3912" s="17"/>
      <c r="AC3912" s="17"/>
    </row>
    <row r="3913">
      <c r="B3913" s="11">
        <f>IFERROR(__xludf.DUMMYFUNCTION("""COMPUTED_VALUE"""),40343.666666666664)</f>
        <v>40343.66667</v>
      </c>
      <c r="C3913" s="9">
        <f>IFERROR(__xludf.DUMMYFUNCTION("""COMPUTED_VALUE"""),26.15)</f>
        <v>26.15</v>
      </c>
      <c r="K3913" s="16"/>
      <c r="T3913" s="17"/>
      <c r="AC3913" s="17"/>
    </row>
    <row r="3914">
      <c r="B3914" s="11">
        <f>IFERROR(__xludf.DUMMYFUNCTION("""COMPUTED_VALUE"""),40340.666666666664)</f>
        <v>40340.66667</v>
      </c>
      <c r="C3914" s="9">
        <f>IFERROR(__xludf.DUMMYFUNCTION("""COMPUTED_VALUE"""),26.01)</f>
        <v>26.01</v>
      </c>
      <c r="K3914" s="16"/>
      <c r="T3914" s="17"/>
      <c r="AC3914" s="17"/>
    </row>
    <row r="3915">
      <c r="B3915" s="11">
        <f>IFERROR(__xludf.DUMMYFUNCTION("""COMPUTED_VALUE"""),40339.666666666664)</f>
        <v>40339.66667</v>
      </c>
      <c r="C3915" s="9">
        <f>IFERROR(__xludf.DUMMYFUNCTION("""COMPUTED_VALUE"""),25.87)</f>
        <v>25.87</v>
      </c>
      <c r="K3915" s="16"/>
      <c r="T3915" s="17"/>
      <c r="AC3915" s="17"/>
    </row>
    <row r="3916">
      <c r="B3916" s="11">
        <f>IFERROR(__xludf.DUMMYFUNCTION("""COMPUTED_VALUE"""),40338.666666666664)</f>
        <v>40338.66667</v>
      </c>
      <c r="C3916" s="9">
        <f>IFERROR(__xludf.DUMMYFUNCTION("""COMPUTED_VALUE"""),25.11)</f>
        <v>25.11</v>
      </c>
      <c r="K3916" s="16"/>
      <c r="T3916" s="17"/>
      <c r="AC3916" s="17"/>
    </row>
    <row r="3917">
      <c r="B3917" s="11">
        <f>IFERROR(__xludf.DUMMYFUNCTION("""COMPUTED_VALUE"""),40337.666666666664)</f>
        <v>40337.66667</v>
      </c>
      <c r="C3917" s="9">
        <f>IFERROR(__xludf.DUMMYFUNCTION("""COMPUTED_VALUE"""),25.07)</f>
        <v>25.07</v>
      </c>
      <c r="K3917" s="16"/>
      <c r="T3917" s="17"/>
      <c r="AC3917" s="17"/>
    </row>
    <row r="3918">
      <c r="B3918" s="11">
        <f>IFERROR(__xludf.DUMMYFUNCTION("""COMPUTED_VALUE"""),40336.666666666664)</f>
        <v>40336.66667</v>
      </c>
      <c r="C3918" s="9">
        <f>IFERROR(__xludf.DUMMYFUNCTION("""COMPUTED_VALUE"""),24.95)</f>
        <v>24.95</v>
      </c>
      <c r="K3918" s="16"/>
      <c r="T3918" s="17"/>
      <c r="AC3918" s="17"/>
    </row>
    <row r="3919">
      <c r="B3919" s="11">
        <f>IFERROR(__xludf.DUMMYFUNCTION("""COMPUTED_VALUE"""),40333.666666666664)</f>
        <v>40333.66667</v>
      </c>
      <c r="C3919" s="9">
        <f>IFERROR(__xludf.DUMMYFUNCTION("""COMPUTED_VALUE"""),25.7)</f>
        <v>25.7</v>
      </c>
      <c r="K3919" s="16"/>
      <c r="T3919" s="17"/>
      <c r="AC3919" s="17"/>
    </row>
    <row r="3920">
      <c r="B3920" s="11">
        <f>IFERROR(__xludf.DUMMYFUNCTION("""COMPUTED_VALUE"""),40332.666666666664)</f>
        <v>40332.66667</v>
      </c>
      <c r="C3920" s="9">
        <f>IFERROR(__xludf.DUMMYFUNCTION("""COMPUTED_VALUE"""),26.86)</f>
        <v>26.86</v>
      </c>
      <c r="K3920" s="16"/>
      <c r="T3920" s="17"/>
      <c r="AC3920" s="17"/>
    </row>
    <row r="3921">
      <c r="B3921" s="11">
        <f>IFERROR(__xludf.DUMMYFUNCTION("""COMPUTED_VALUE"""),40331.666666666664)</f>
        <v>40331.66667</v>
      </c>
      <c r="C3921" s="9">
        <f>IFERROR(__xludf.DUMMYFUNCTION("""COMPUTED_VALUE"""),26.74)</f>
        <v>26.74</v>
      </c>
      <c r="K3921" s="16"/>
      <c r="T3921" s="17"/>
      <c r="AC3921" s="17"/>
    </row>
    <row r="3922">
      <c r="B3922" s="11">
        <f>IFERROR(__xludf.DUMMYFUNCTION("""COMPUTED_VALUE"""),40330.666666666664)</f>
        <v>40330.66667</v>
      </c>
      <c r="C3922" s="9">
        <f>IFERROR(__xludf.DUMMYFUNCTION("""COMPUTED_VALUE"""),26.18)</f>
        <v>26.18</v>
      </c>
      <c r="K3922" s="16"/>
      <c r="T3922" s="17"/>
      <c r="AC3922" s="17"/>
    </row>
    <row r="3923">
      <c r="B3923" s="11">
        <f>IFERROR(__xludf.DUMMYFUNCTION("""COMPUTED_VALUE"""),40326.666666666664)</f>
        <v>40326.66667</v>
      </c>
      <c r="C3923" s="9">
        <f>IFERROR(__xludf.DUMMYFUNCTION("""COMPUTED_VALUE"""),26.79)</f>
        <v>26.79</v>
      </c>
      <c r="K3923" s="16"/>
      <c r="T3923" s="17"/>
      <c r="AC3923" s="17"/>
    </row>
    <row r="3924">
      <c r="B3924" s="11">
        <f>IFERROR(__xludf.DUMMYFUNCTION("""COMPUTED_VALUE"""),40325.666666666664)</f>
        <v>40325.66667</v>
      </c>
      <c r="C3924" s="9">
        <f>IFERROR(__xludf.DUMMYFUNCTION("""COMPUTED_VALUE"""),27.06)</f>
        <v>27.06</v>
      </c>
      <c r="K3924" s="16"/>
      <c r="T3924" s="17"/>
      <c r="AC3924" s="17"/>
    </row>
    <row r="3925">
      <c r="B3925" s="11">
        <f>IFERROR(__xludf.DUMMYFUNCTION("""COMPUTED_VALUE"""),40324.666666666664)</f>
        <v>40324.66667</v>
      </c>
      <c r="C3925" s="9">
        <f>IFERROR(__xludf.DUMMYFUNCTION("""COMPUTED_VALUE"""),26.21)</f>
        <v>26.21</v>
      </c>
      <c r="K3925" s="16"/>
      <c r="T3925" s="17"/>
      <c r="AC3925" s="17"/>
    </row>
    <row r="3926">
      <c r="B3926" s="11">
        <f>IFERROR(__xludf.DUMMYFUNCTION("""COMPUTED_VALUE"""),40323.666666666664)</f>
        <v>40323.66667</v>
      </c>
      <c r="C3926" s="9">
        <f>IFERROR(__xludf.DUMMYFUNCTION("""COMPUTED_VALUE"""),26.18)</f>
        <v>26.18</v>
      </c>
      <c r="K3926" s="16"/>
      <c r="T3926" s="17"/>
      <c r="AC3926" s="17"/>
    </row>
    <row r="3927">
      <c r="B3927" s="11">
        <f>IFERROR(__xludf.DUMMYFUNCTION("""COMPUTED_VALUE"""),40322.666666666664)</f>
        <v>40322.66667</v>
      </c>
      <c r="C3927" s="9">
        <f>IFERROR(__xludf.DUMMYFUNCTION("""COMPUTED_VALUE"""),26.36)</f>
        <v>26.36</v>
      </c>
      <c r="K3927" s="16"/>
      <c r="T3927" s="17"/>
      <c r="AC3927" s="17"/>
    </row>
    <row r="3928">
      <c r="B3928" s="11">
        <f>IFERROR(__xludf.DUMMYFUNCTION("""COMPUTED_VALUE"""),40319.666666666664)</f>
        <v>40319.66667</v>
      </c>
      <c r="C3928" s="9">
        <f>IFERROR(__xludf.DUMMYFUNCTION("""COMPUTED_VALUE"""),26.78)</f>
        <v>26.78</v>
      </c>
      <c r="K3928" s="16"/>
      <c r="T3928" s="17"/>
      <c r="AC3928" s="17"/>
    </row>
    <row r="3929">
      <c r="B3929" s="11">
        <f>IFERROR(__xludf.DUMMYFUNCTION("""COMPUTED_VALUE"""),40318.666666666664)</f>
        <v>40318.66667</v>
      </c>
      <c r="C3929" s="9">
        <f>IFERROR(__xludf.DUMMYFUNCTION("""COMPUTED_VALUE"""),26.25)</f>
        <v>26.25</v>
      </c>
      <c r="K3929" s="16"/>
      <c r="T3929" s="17"/>
      <c r="AC3929" s="17"/>
    </row>
    <row r="3930">
      <c r="B3930" s="11">
        <f>IFERROR(__xludf.DUMMYFUNCTION("""COMPUTED_VALUE"""),40317.666666666664)</f>
        <v>40317.66667</v>
      </c>
      <c r="C3930" s="9">
        <f>IFERROR(__xludf.DUMMYFUNCTION("""COMPUTED_VALUE"""),27.67)</f>
        <v>27.67</v>
      </c>
      <c r="K3930" s="16"/>
      <c r="T3930" s="17"/>
      <c r="AC3930" s="17"/>
    </row>
    <row r="3931">
      <c r="B3931" s="11">
        <f>IFERROR(__xludf.DUMMYFUNCTION("""COMPUTED_VALUE"""),40316.666666666664)</f>
        <v>40316.66667</v>
      </c>
      <c r="C3931" s="9">
        <f>IFERROR(__xludf.DUMMYFUNCTION("""COMPUTED_VALUE"""),28.07)</f>
        <v>28.07</v>
      </c>
      <c r="K3931" s="16"/>
      <c r="T3931" s="17"/>
      <c r="AC3931" s="17"/>
    </row>
    <row r="3932">
      <c r="B3932" s="11">
        <f>IFERROR(__xludf.DUMMYFUNCTION("""COMPUTED_VALUE"""),40315.666666666664)</f>
        <v>40315.66667</v>
      </c>
      <c r="C3932" s="9">
        <f>IFERROR(__xludf.DUMMYFUNCTION("""COMPUTED_VALUE"""),28.41)</f>
        <v>28.41</v>
      </c>
      <c r="K3932" s="16"/>
      <c r="T3932" s="17"/>
      <c r="AC3932" s="17"/>
    </row>
    <row r="3933">
      <c r="B3933" s="11">
        <f>IFERROR(__xludf.DUMMYFUNCTION("""COMPUTED_VALUE"""),40312.666666666664)</f>
        <v>40312.66667</v>
      </c>
      <c r="C3933" s="9">
        <f>IFERROR(__xludf.DUMMYFUNCTION("""COMPUTED_VALUE"""),28.44)</f>
        <v>28.44</v>
      </c>
      <c r="K3933" s="16"/>
      <c r="T3933" s="17"/>
      <c r="AC3933" s="17"/>
    </row>
    <row r="3934">
      <c r="B3934" s="11">
        <f>IFERROR(__xludf.DUMMYFUNCTION("""COMPUTED_VALUE"""),40311.666666666664)</f>
        <v>40311.66667</v>
      </c>
      <c r="C3934" s="9">
        <f>IFERROR(__xludf.DUMMYFUNCTION("""COMPUTED_VALUE"""),29.13)</f>
        <v>29.13</v>
      </c>
      <c r="K3934" s="16"/>
      <c r="T3934" s="17"/>
      <c r="AC3934" s="17"/>
    </row>
    <row r="3935">
      <c r="B3935" s="11">
        <f>IFERROR(__xludf.DUMMYFUNCTION("""COMPUTED_VALUE"""),40310.666666666664)</f>
        <v>40310.66667</v>
      </c>
      <c r="C3935" s="9">
        <f>IFERROR(__xludf.DUMMYFUNCTION("""COMPUTED_VALUE"""),29.34)</f>
        <v>29.34</v>
      </c>
      <c r="K3935" s="16"/>
      <c r="T3935" s="17"/>
      <c r="AC3935" s="17"/>
    </row>
    <row r="3936">
      <c r="B3936" s="11">
        <f>IFERROR(__xludf.DUMMYFUNCTION("""COMPUTED_VALUE"""),40309.666666666664)</f>
        <v>40309.66667</v>
      </c>
      <c r="C3936" s="9">
        <f>IFERROR(__xludf.DUMMYFUNCTION("""COMPUTED_VALUE"""),28.68)</f>
        <v>28.68</v>
      </c>
      <c r="K3936" s="16"/>
      <c r="T3936" s="17"/>
      <c r="AC3936" s="17"/>
    </row>
    <row r="3937">
      <c r="B3937" s="11">
        <f>IFERROR(__xludf.DUMMYFUNCTION("""COMPUTED_VALUE"""),40308.666666666664)</f>
        <v>40308.66667</v>
      </c>
      <c r="C3937" s="9">
        <f>IFERROR(__xludf.DUMMYFUNCTION("""COMPUTED_VALUE"""),28.51)</f>
        <v>28.51</v>
      </c>
      <c r="K3937" s="16"/>
      <c r="T3937" s="17"/>
      <c r="AC3937" s="17"/>
    </row>
    <row r="3938">
      <c r="B3938" s="11">
        <f>IFERROR(__xludf.DUMMYFUNCTION("""COMPUTED_VALUE"""),40305.666666666664)</f>
        <v>40305.66667</v>
      </c>
      <c r="C3938" s="9">
        <f>IFERROR(__xludf.DUMMYFUNCTION("""COMPUTED_VALUE"""),27.23)</f>
        <v>27.23</v>
      </c>
      <c r="K3938" s="16"/>
      <c r="T3938" s="17"/>
      <c r="AC3938" s="17"/>
    </row>
    <row r="3939">
      <c r="B3939" s="11">
        <f>IFERROR(__xludf.DUMMYFUNCTION("""COMPUTED_VALUE"""),40304.666666666664)</f>
        <v>40304.66667</v>
      </c>
      <c r="C3939" s="9">
        <f>IFERROR(__xludf.DUMMYFUNCTION("""COMPUTED_VALUE"""),28.03)</f>
        <v>28.03</v>
      </c>
      <c r="K3939" s="16"/>
      <c r="T3939" s="17"/>
      <c r="AC3939" s="17"/>
    </row>
    <row r="3940">
      <c r="B3940" s="11">
        <f>IFERROR(__xludf.DUMMYFUNCTION("""COMPUTED_VALUE"""),40303.666666666664)</f>
        <v>40303.66667</v>
      </c>
      <c r="C3940" s="9">
        <f>IFERROR(__xludf.DUMMYFUNCTION("""COMPUTED_VALUE"""),28.98)</f>
        <v>28.98</v>
      </c>
      <c r="K3940" s="16"/>
      <c r="T3940" s="17"/>
      <c r="AC3940" s="17"/>
    </row>
    <row r="3941">
      <c r="B3941" s="11">
        <f>IFERROR(__xludf.DUMMYFUNCTION("""COMPUTED_VALUE"""),40302.666666666664)</f>
        <v>40302.66667</v>
      </c>
      <c r="C3941" s="9">
        <f>IFERROR(__xludf.DUMMYFUNCTION("""COMPUTED_VALUE"""),29.25)</f>
        <v>29.25</v>
      </c>
      <c r="K3941" s="16"/>
      <c r="T3941" s="17"/>
      <c r="AC3941" s="17"/>
    </row>
    <row r="3942">
      <c r="B3942" s="11">
        <f>IFERROR(__xludf.DUMMYFUNCTION("""COMPUTED_VALUE"""),40301.666666666664)</f>
        <v>40301.66667</v>
      </c>
      <c r="C3942" s="9">
        <f>IFERROR(__xludf.DUMMYFUNCTION("""COMPUTED_VALUE"""),30.17)</f>
        <v>30.17</v>
      </c>
      <c r="K3942" s="16"/>
      <c r="T3942" s="17"/>
      <c r="AC3942" s="17"/>
    </row>
    <row r="3943">
      <c r="B3943" s="11">
        <f>IFERROR(__xludf.DUMMYFUNCTION("""COMPUTED_VALUE"""),40298.666666666664)</f>
        <v>40298.66667</v>
      </c>
      <c r="C3943" s="9">
        <f>IFERROR(__xludf.DUMMYFUNCTION("""COMPUTED_VALUE"""),29.46)</f>
        <v>29.46</v>
      </c>
      <c r="K3943" s="16"/>
      <c r="T3943" s="17"/>
      <c r="AC3943" s="17"/>
    </row>
    <row r="3944">
      <c r="B3944" s="11">
        <f>IFERROR(__xludf.DUMMYFUNCTION("""COMPUTED_VALUE"""),40297.666666666664)</f>
        <v>40297.66667</v>
      </c>
      <c r="C3944" s="9">
        <f>IFERROR(__xludf.DUMMYFUNCTION("""COMPUTED_VALUE"""),30.16)</f>
        <v>30.16</v>
      </c>
      <c r="K3944" s="16"/>
      <c r="T3944" s="17"/>
      <c r="AC3944" s="17"/>
    </row>
    <row r="3945">
      <c r="B3945" s="11">
        <f>IFERROR(__xludf.DUMMYFUNCTION("""COMPUTED_VALUE"""),40296.666666666664)</f>
        <v>40296.66667</v>
      </c>
      <c r="C3945" s="9">
        <f>IFERROR(__xludf.DUMMYFUNCTION("""COMPUTED_VALUE"""),29.66)</f>
        <v>29.66</v>
      </c>
      <c r="K3945" s="16"/>
      <c r="T3945" s="17"/>
      <c r="AC3945" s="17"/>
    </row>
    <row r="3946">
      <c r="B3946" s="11">
        <f>IFERROR(__xludf.DUMMYFUNCTION("""COMPUTED_VALUE"""),40295.666666666664)</f>
        <v>40295.66667</v>
      </c>
      <c r="C3946" s="9">
        <f>IFERROR(__xludf.DUMMYFUNCTION("""COMPUTED_VALUE"""),29.57)</f>
        <v>29.57</v>
      </c>
      <c r="K3946" s="16"/>
      <c r="T3946" s="17"/>
      <c r="AC3946" s="17"/>
    </row>
    <row r="3947">
      <c r="B3947" s="11">
        <f>IFERROR(__xludf.DUMMYFUNCTION("""COMPUTED_VALUE"""),40294.666666666664)</f>
        <v>40294.66667</v>
      </c>
      <c r="C3947" s="9">
        <f>IFERROR(__xludf.DUMMYFUNCTION("""COMPUTED_VALUE"""),30.18)</f>
        <v>30.18</v>
      </c>
      <c r="K3947" s="16"/>
      <c r="T3947" s="17"/>
      <c r="AC3947" s="17"/>
    </row>
    <row r="3948">
      <c r="B3948" s="11">
        <f>IFERROR(__xludf.DUMMYFUNCTION("""COMPUTED_VALUE"""),40291.666666666664)</f>
        <v>40291.66667</v>
      </c>
      <c r="C3948" s="9">
        <f>IFERROR(__xludf.DUMMYFUNCTION("""COMPUTED_VALUE"""),30.29)</f>
        <v>30.29</v>
      </c>
      <c r="K3948" s="16"/>
      <c r="T3948" s="17"/>
      <c r="AC3948" s="17"/>
    </row>
    <row r="3949">
      <c r="B3949" s="11">
        <f>IFERROR(__xludf.DUMMYFUNCTION("""COMPUTED_VALUE"""),40290.666666666664)</f>
        <v>40290.66667</v>
      </c>
      <c r="C3949" s="9">
        <f>IFERROR(__xludf.DUMMYFUNCTION("""COMPUTED_VALUE"""),30.33)</f>
        <v>30.33</v>
      </c>
      <c r="K3949" s="16"/>
      <c r="T3949" s="17"/>
      <c r="AC3949" s="17"/>
    </row>
    <row r="3950">
      <c r="B3950" s="11">
        <f>IFERROR(__xludf.DUMMYFUNCTION("""COMPUTED_VALUE"""),40289.666666666664)</f>
        <v>40289.66667</v>
      </c>
      <c r="C3950" s="9">
        <f>IFERROR(__xludf.DUMMYFUNCTION("""COMPUTED_VALUE"""),29.83)</f>
        <v>29.83</v>
      </c>
      <c r="K3950" s="16"/>
      <c r="T3950" s="17"/>
      <c r="AC3950" s="17"/>
    </row>
    <row r="3951">
      <c r="B3951" s="11">
        <f>IFERROR(__xludf.DUMMYFUNCTION("""COMPUTED_VALUE"""),40288.666666666664)</f>
        <v>40288.66667</v>
      </c>
      <c r="C3951" s="9">
        <f>IFERROR(__xludf.DUMMYFUNCTION("""COMPUTED_VALUE"""),29.35)</f>
        <v>29.35</v>
      </c>
      <c r="K3951" s="16"/>
      <c r="T3951" s="17"/>
      <c r="AC3951" s="17"/>
    </row>
    <row r="3952">
      <c r="B3952" s="11">
        <f>IFERROR(__xludf.DUMMYFUNCTION("""COMPUTED_VALUE"""),40287.666666666664)</f>
        <v>40287.66667</v>
      </c>
      <c r="C3952" s="9">
        <f>IFERROR(__xludf.DUMMYFUNCTION("""COMPUTED_VALUE"""),29.03)</f>
        <v>29.03</v>
      </c>
      <c r="K3952" s="16"/>
      <c r="T3952" s="17"/>
      <c r="AC3952" s="17"/>
    </row>
    <row r="3953">
      <c r="B3953" s="11">
        <f>IFERROR(__xludf.DUMMYFUNCTION("""COMPUTED_VALUE"""),40284.666666666664)</f>
        <v>40284.66667</v>
      </c>
      <c r="C3953" s="9">
        <f>IFERROR(__xludf.DUMMYFUNCTION("""COMPUTED_VALUE"""),29.02)</f>
        <v>29.02</v>
      </c>
      <c r="K3953" s="16"/>
      <c r="T3953" s="17"/>
      <c r="AC3953" s="17"/>
    </row>
    <row r="3954">
      <c r="B3954" s="11">
        <f>IFERROR(__xludf.DUMMYFUNCTION("""COMPUTED_VALUE"""),40283.666666666664)</f>
        <v>40283.66667</v>
      </c>
      <c r="C3954" s="9">
        <f>IFERROR(__xludf.DUMMYFUNCTION("""COMPUTED_VALUE"""),29.33)</f>
        <v>29.33</v>
      </c>
      <c r="K3954" s="16"/>
      <c r="T3954" s="17"/>
      <c r="AC3954" s="17"/>
    </row>
    <row r="3955">
      <c r="B3955" s="11">
        <f>IFERROR(__xludf.DUMMYFUNCTION("""COMPUTED_VALUE"""),40282.666666666664)</f>
        <v>40282.66667</v>
      </c>
      <c r="C3955" s="9">
        <f>IFERROR(__xludf.DUMMYFUNCTION("""COMPUTED_VALUE"""),29.2)</f>
        <v>29.2</v>
      </c>
      <c r="K3955" s="16"/>
      <c r="T3955" s="17"/>
      <c r="AC3955" s="17"/>
    </row>
    <row r="3956">
      <c r="B3956" s="11">
        <f>IFERROR(__xludf.DUMMYFUNCTION("""COMPUTED_VALUE"""),40281.666666666664)</f>
        <v>40281.66667</v>
      </c>
      <c r="C3956" s="9">
        <f>IFERROR(__xludf.DUMMYFUNCTION("""COMPUTED_VALUE"""),29.05)</f>
        <v>29.05</v>
      </c>
      <c r="K3956" s="16"/>
      <c r="T3956" s="17"/>
      <c r="AC3956" s="17"/>
    </row>
    <row r="3957">
      <c r="B3957" s="11">
        <f>IFERROR(__xludf.DUMMYFUNCTION("""COMPUTED_VALUE"""),40280.666666666664)</f>
        <v>40280.66667</v>
      </c>
      <c r="C3957" s="9">
        <f>IFERROR(__xludf.DUMMYFUNCTION("""COMPUTED_VALUE"""),29.13)</f>
        <v>29.13</v>
      </c>
      <c r="K3957" s="16"/>
      <c r="T3957" s="17"/>
      <c r="AC3957" s="17"/>
    </row>
    <row r="3958">
      <c r="B3958" s="11">
        <f>IFERROR(__xludf.DUMMYFUNCTION("""COMPUTED_VALUE"""),40277.666666666664)</f>
        <v>40277.66667</v>
      </c>
      <c r="C3958" s="9">
        <f>IFERROR(__xludf.DUMMYFUNCTION("""COMPUTED_VALUE"""),29.05)</f>
        <v>29.05</v>
      </c>
      <c r="K3958" s="16"/>
      <c r="T3958" s="17"/>
      <c r="AC3958" s="17"/>
    </row>
    <row r="3959">
      <c r="B3959" s="11">
        <f>IFERROR(__xludf.DUMMYFUNCTION("""COMPUTED_VALUE"""),40276.666666666664)</f>
        <v>40276.66667</v>
      </c>
      <c r="C3959" s="9">
        <f>IFERROR(__xludf.DUMMYFUNCTION("""COMPUTED_VALUE"""),28.85)</f>
        <v>28.85</v>
      </c>
      <c r="K3959" s="16"/>
      <c r="T3959" s="17"/>
      <c r="AC3959" s="17"/>
    </row>
    <row r="3960">
      <c r="B3960" s="11">
        <f>IFERROR(__xludf.DUMMYFUNCTION("""COMPUTED_VALUE"""),40275.666666666664)</f>
        <v>40275.66667</v>
      </c>
      <c r="C3960" s="9">
        <f>IFERROR(__xludf.DUMMYFUNCTION("""COMPUTED_VALUE"""),28.89)</f>
        <v>28.89</v>
      </c>
      <c r="K3960" s="16"/>
      <c r="T3960" s="17"/>
      <c r="AC3960" s="17"/>
    </row>
    <row r="3961">
      <c r="B3961" s="11">
        <f>IFERROR(__xludf.DUMMYFUNCTION("""COMPUTED_VALUE"""),40274.666666666664)</f>
        <v>40274.66667</v>
      </c>
      <c r="C3961" s="9">
        <f>IFERROR(__xludf.DUMMYFUNCTION("""COMPUTED_VALUE"""),28.96)</f>
        <v>28.96</v>
      </c>
      <c r="K3961" s="16"/>
      <c r="T3961" s="17"/>
      <c r="AC3961" s="17"/>
    </row>
    <row r="3962">
      <c r="B3962" s="11">
        <f>IFERROR(__xludf.DUMMYFUNCTION("""COMPUTED_VALUE"""),40273.666666666664)</f>
        <v>40273.66667</v>
      </c>
      <c r="C3962" s="9">
        <f>IFERROR(__xludf.DUMMYFUNCTION("""COMPUTED_VALUE"""),29.14)</f>
        <v>29.14</v>
      </c>
      <c r="K3962" s="16"/>
      <c r="T3962" s="17"/>
      <c r="AC3962" s="17"/>
    </row>
    <row r="3963">
      <c r="B3963" s="11">
        <f>IFERROR(__xludf.DUMMYFUNCTION("""COMPUTED_VALUE"""),40269.666666666664)</f>
        <v>40269.66667</v>
      </c>
      <c r="C3963" s="9">
        <f>IFERROR(__xludf.DUMMYFUNCTION("""COMPUTED_VALUE"""),29.05)</f>
        <v>29.05</v>
      </c>
      <c r="K3963" s="16"/>
      <c r="T3963" s="17"/>
      <c r="AC3963" s="17"/>
    </row>
    <row r="3964">
      <c r="B3964" s="11">
        <f>IFERROR(__xludf.DUMMYFUNCTION("""COMPUTED_VALUE"""),40268.666666666664)</f>
        <v>40268.66667</v>
      </c>
      <c r="C3964" s="9">
        <f>IFERROR(__xludf.DUMMYFUNCTION("""COMPUTED_VALUE"""),28.92)</f>
        <v>28.92</v>
      </c>
      <c r="K3964" s="16"/>
      <c r="T3964" s="17"/>
      <c r="AC3964" s="17"/>
    </row>
    <row r="3965">
      <c r="B3965" s="11">
        <f>IFERROR(__xludf.DUMMYFUNCTION("""COMPUTED_VALUE"""),40267.666666666664)</f>
        <v>40267.66667</v>
      </c>
      <c r="C3965" s="9">
        <f>IFERROR(__xludf.DUMMYFUNCTION("""COMPUTED_VALUE"""),29.16)</f>
        <v>29.16</v>
      </c>
      <c r="K3965" s="16"/>
      <c r="T3965" s="17"/>
      <c r="AC3965" s="17"/>
    </row>
    <row r="3966">
      <c r="B3966" s="11">
        <f>IFERROR(__xludf.DUMMYFUNCTION("""COMPUTED_VALUE"""),40266.666666666664)</f>
        <v>40266.66667</v>
      </c>
      <c r="C3966" s="9">
        <f>IFERROR(__xludf.DUMMYFUNCTION("""COMPUTED_VALUE"""),29.2)</f>
        <v>29.2</v>
      </c>
      <c r="K3966" s="16"/>
      <c r="T3966" s="17"/>
      <c r="AC3966" s="17"/>
    </row>
    <row r="3967">
      <c r="B3967" s="11">
        <f>IFERROR(__xludf.DUMMYFUNCTION("""COMPUTED_VALUE"""),40263.666666666664)</f>
        <v>40263.66667</v>
      </c>
      <c r="C3967" s="9">
        <f>IFERROR(__xludf.DUMMYFUNCTION("""COMPUTED_VALUE"""),28.96)</f>
        <v>28.96</v>
      </c>
      <c r="K3967" s="16"/>
      <c r="T3967" s="17"/>
      <c r="AC3967" s="17"/>
    </row>
    <row r="3968">
      <c r="B3968" s="11">
        <f>IFERROR(__xludf.DUMMYFUNCTION("""COMPUTED_VALUE"""),40262.666666666664)</f>
        <v>40262.66667</v>
      </c>
      <c r="C3968" s="9">
        <f>IFERROR(__xludf.DUMMYFUNCTION("""COMPUTED_VALUE"""),28.87)</f>
        <v>28.87</v>
      </c>
      <c r="K3968" s="16"/>
      <c r="T3968" s="17"/>
      <c r="AC3968" s="17"/>
    </row>
    <row r="3969">
      <c r="B3969" s="11">
        <f>IFERROR(__xludf.DUMMYFUNCTION("""COMPUTED_VALUE"""),40261.666666666664)</f>
        <v>40261.66667</v>
      </c>
      <c r="C3969" s="9">
        <f>IFERROR(__xludf.DUMMYFUNCTION("""COMPUTED_VALUE"""),28.93)</f>
        <v>28.93</v>
      </c>
      <c r="K3969" s="16"/>
      <c r="T3969" s="17"/>
      <c r="AC3969" s="17"/>
    </row>
    <row r="3970">
      <c r="B3970" s="11">
        <f>IFERROR(__xludf.DUMMYFUNCTION("""COMPUTED_VALUE"""),40260.666666666664)</f>
        <v>40260.66667</v>
      </c>
      <c r="C3970" s="9">
        <f>IFERROR(__xludf.DUMMYFUNCTION("""COMPUTED_VALUE"""),29.06)</f>
        <v>29.06</v>
      </c>
      <c r="K3970" s="16"/>
      <c r="T3970" s="17"/>
      <c r="AC3970" s="17"/>
    </row>
    <row r="3971">
      <c r="B3971" s="11">
        <f>IFERROR(__xludf.DUMMYFUNCTION("""COMPUTED_VALUE"""),40259.666666666664)</f>
        <v>40259.66667</v>
      </c>
      <c r="C3971" s="9">
        <f>IFERROR(__xludf.DUMMYFUNCTION("""COMPUTED_VALUE"""),28.84)</f>
        <v>28.84</v>
      </c>
      <c r="K3971" s="16"/>
      <c r="T3971" s="17"/>
      <c r="AC3971" s="17"/>
    </row>
    <row r="3972">
      <c r="B3972" s="11">
        <f>IFERROR(__xludf.DUMMYFUNCTION("""COMPUTED_VALUE"""),40256.666666666664)</f>
        <v>40256.66667</v>
      </c>
      <c r="C3972" s="9">
        <f>IFERROR(__xludf.DUMMYFUNCTION("""COMPUTED_VALUE"""),28.73)</f>
        <v>28.73</v>
      </c>
      <c r="K3972" s="16"/>
      <c r="T3972" s="17"/>
      <c r="AC3972" s="17"/>
    </row>
    <row r="3973">
      <c r="B3973" s="11">
        <f>IFERROR(__xludf.DUMMYFUNCTION("""COMPUTED_VALUE"""),40255.666666666664)</f>
        <v>40255.66667</v>
      </c>
      <c r="C3973" s="9">
        <f>IFERROR(__xludf.DUMMYFUNCTION("""COMPUTED_VALUE"""),28.57)</f>
        <v>28.57</v>
      </c>
      <c r="K3973" s="16"/>
      <c r="T3973" s="17"/>
      <c r="AC3973" s="17"/>
    </row>
    <row r="3974">
      <c r="B3974" s="11">
        <f>IFERROR(__xludf.DUMMYFUNCTION("""COMPUTED_VALUE"""),40254.666666666664)</f>
        <v>40254.66667</v>
      </c>
      <c r="C3974" s="9">
        <f>IFERROR(__xludf.DUMMYFUNCTION("""COMPUTED_VALUE"""),28.54)</f>
        <v>28.54</v>
      </c>
      <c r="K3974" s="16"/>
      <c r="T3974" s="17"/>
      <c r="AC3974" s="17"/>
    </row>
    <row r="3975">
      <c r="B3975" s="11">
        <f>IFERROR(__xludf.DUMMYFUNCTION("""COMPUTED_VALUE"""),40253.666666666664)</f>
        <v>40253.66667</v>
      </c>
      <c r="C3975" s="9">
        <f>IFERROR(__xludf.DUMMYFUNCTION("""COMPUTED_VALUE"""),28.47)</f>
        <v>28.47</v>
      </c>
      <c r="K3975" s="16"/>
      <c r="T3975" s="17"/>
      <c r="AC3975" s="17"/>
    </row>
    <row r="3976">
      <c r="B3976" s="11">
        <f>IFERROR(__xludf.DUMMYFUNCTION("""COMPUTED_VALUE"""),40252.666666666664)</f>
        <v>40252.66667</v>
      </c>
      <c r="C3976" s="9">
        <f>IFERROR(__xludf.DUMMYFUNCTION("""COMPUTED_VALUE"""),28.36)</f>
        <v>28.36</v>
      </c>
      <c r="K3976" s="16"/>
      <c r="T3976" s="17"/>
      <c r="AC3976" s="17"/>
    </row>
    <row r="3977">
      <c r="B3977" s="11">
        <f>IFERROR(__xludf.DUMMYFUNCTION("""COMPUTED_VALUE"""),40249.666666666664)</f>
        <v>40249.66667</v>
      </c>
      <c r="C3977" s="9">
        <f>IFERROR(__xludf.DUMMYFUNCTION("""COMPUTED_VALUE"""),28.38)</f>
        <v>28.38</v>
      </c>
      <c r="K3977" s="16"/>
      <c r="T3977" s="17"/>
      <c r="AC3977" s="17"/>
    </row>
    <row r="3978">
      <c r="B3978" s="11">
        <f>IFERROR(__xludf.DUMMYFUNCTION("""COMPUTED_VALUE"""),40248.666666666664)</f>
        <v>40248.66667</v>
      </c>
      <c r="C3978" s="9">
        <f>IFERROR(__xludf.DUMMYFUNCTION("""COMPUTED_VALUE"""),28.52)</f>
        <v>28.52</v>
      </c>
      <c r="K3978" s="16"/>
      <c r="T3978" s="17"/>
      <c r="AC3978" s="17"/>
    </row>
    <row r="3979">
      <c r="B3979" s="11">
        <f>IFERROR(__xludf.DUMMYFUNCTION("""COMPUTED_VALUE"""),40247.666666666664)</f>
        <v>40247.66667</v>
      </c>
      <c r="C3979" s="9">
        <f>IFERROR(__xludf.DUMMYFUNCTION("""COMPUTED_VALUE"""),28.42)</f>
        <v>28.42</v>
      </c>
      <c r="K3979" s="16"/>
      <c r="T3979" s="17"/>
      <c r="AC3979" s="17"/>
    </row>
    <row r="3980">
      <c r="B3980" s="11">
        <f>IFERROR(__xludf.DUMMYFUNCTION("""COMPUTED_VALUE"""),40246.666666666664)</f>
        <v>40246.66667</v>
      </c>
      <c r="C3980" s="9">
        <f>IFERROR(__xludf.DUMMYFUNCTION("""COMPUTED_VALUE"""),28.13)</f>
        <v>28.13</v>
      </c>
      <c r="K3980" s="16"/>
      <c r="T3980" s="17"/>
      <c r="AC3980" s="17"/>
    </row>
    <row r="3981">
      <c r="B3981" s="11">
        <f>IFERROR(__xludf.DUMMYFUNCTION("""COMPUTED_VALUE"""),40245.666666666664)</f>
        <v>40245.66667</v>
      </c>
      <c r="C3981" s="9">
        <f>IFERROR(__xludf.DUMMYFUNCTION("""COMPUTED_VALUE"""),27.86)</f>
        <v>27.86</v>
      </c>
      <c r="K3981" s="16"/>
      <c r="T3981" s="17"/>
      <c r="AC3981" s="17"/>
    </row>
    <row r="3982">
      <c r="B3982" s="11">
        <f>IFERROR(__xludf.DUMMYFUNCTION("""COMPUTED_VALUE"""),40242.666666666664)</f>
        <v>40242.66667</v>
      </c>
      <c r="C3982" s="9">
        <f>IFERROR(__xludf.DUMMYFUNCTION("""COMPUTED_VALUE"""),27.98)</f>
        <v>27.98</v>
      </c>
      <c r="K3982" s="16"/>
      <c r="T3982" s="17"/>
      <c r="AC3982" s="17"/>
    </row>
    <row r="3983">
      <c r="B3983" s="11">
        <f>IFERROR(__xludf.DUMMYFUNCTION("""COMPUTED_VALUE"""),40241.666666666664)</f>
        <v>40241.66667</v>
      </c>
      <c r="C3983" s="9">
        <f>IFERROR(__xludf.DUMMYFUNCTION("""COMPUTED_VALUE"""),27.54)</f>
        <v>27.54</v>
      </c>
      <c r="K3983" s="16"/>
      <c r="T3983" s="17"/>
      <c r="AC3983" s="17"/>
    </row>
    <row r="3984">
      <c r="B3984" s="11">
        <f>IFERROR(__xludf.DUMMYFUNCTION("""COMPUTED_VALUE"""),40240.666666666664)</f>
        <v>40240.66667</v>
      </c>
      <c r="C3984" s="9">
        <f>IFERROR(__xludf.DUMMYFUNCTION("""COMPUTED_VALUE"""),27.35)</f>
        <v>27.35</v>
      </c>
      <c r="K3984" s="16"/>
      <c r="T3984" s="17"/>
      <c r="AC3984" s="17"/>
    </row>
    <row r="3985">
      <c r="B3985" s="11">
        <f>IFERROR(__xludf.DUMMYFUNCTION("""COMPUTED_VALUE"""),40239.666666666664)</f>
        <v>40239.66667</v>
      </c>
      <c r="C3985" s="9">
        <f>IFERROR(__xludf.DUMMYFUNCTION("""COMPUTED_VALUE"""),27.42)</f>
        <v>27.42</v>
      </c>
      <c r="K3985" s="16"/>
      <c r="T3985" s="17"/>
      <c r="AC3985" s="17"/>
    </row>
    <row r="3986">
      <c r="B3986" s="11">
        <f>IFERROR(__xludf.DUMMYFUNCTION("""COMPUTED_VALUE"""),40238.666666666664)</f>
        <v>40238.66667</v>
      </c>
      <c r="C3986" s="9">
        <f>IFERROR(__xludf.DUMMYFUNCTION("""COMPUTED_VALUE"""),27.2)</f>
        <v>27.2</v>
      </c>
      <c r="K3986" s="16"/>
      <c r="T3986" s="17"/>
      <c r="AC3986" s="17"/>
    </row>
    <row r="3987">
      <c r="B3987" s="11">
        <f>IFERROR(__xludf.DUMMYFUNCTION("""COMPUTED_VALUE"""),40235.666666666664)</f>
        <v>40235.66667</v>
      </c>
      <c r="C3987" s="9">
        <f>IFERROR(__xludf.DUMMYFUNCTION("""COMPUTED_VALUE"""),26.71)</f>
        <v>26.71</v>
      </c>
      <c r="K3987" s="16"/>
      <c r="T3987" s="17"/>
      <c r="AC3987" s="17"/>
    </row>
    <row r="3988">
      <c r="B3988" s="11">
        <f>IFERROR(__xludf.DUMMYFUNCTION("""COMPUTED_VALUE"""),40234.666666666664)</f>
        <v>40234.66667</v>
      </c>
      <c r="C3988" s="9">
        <f>IFERROR(__xludf.DUMMYFUNCTION("""COMPUTED_VALUE"""),26.54)</f>
        <v>26.54</v>
      </c>
      <c r="K3988" s="16"/>
      <c r="T3988" s="17"/>
      <c r="AC3988" s="17"/>
    </row>
    <row r="3989">
      <c r="B3989" s="11">
        <f>IFERROR(__xludf.DUMMYFUNCTION("""COMPUTED_VALUE"""),40233.666666666664)</f>
        <v>40233.66667</v>
      </c>
      <c r="C3989" s="9">
        <f>IFERROR(__xludf.DUMMYFUNCTION("""COMPUTED_VALUE"""),26.56)</f>
        <v>26.56</v>
      </c>
      <c r="K3989" s="16"/>
      <c r="T3989" s="17"/>
      <c r="AC3989" s="17"/>
    </row>
    <row r="3990">
      <c r="B3990" s="11">
        <f>IFERROR(__xludf.DUMMYFUNCTION("""COMPUTED_VALUE"""),40232.666666666664)</f>
        <v>40232.66667</v>
      </c>
      <c r="C3990" s="9">
        <f>IFERROR(__xludf.DUMMYFUNCTION("""COMPUTED_VALUE"""),26.29)</f>
        <v>26.29</v>
      </c>
      <c r="K3990" s="16"/>
      <c r="T3990" s="17"/>
      <c r="AC3990" s="17"/>
    </row>
    <row r="3991">
      <c r="B3991" s="11">
        <f>IFERROR(__xludf.DUMMYFUNCTION("""COMPUTED_VALUE"""),40231.666666666664)</f>
        <v>40231.66667</v>
      </c>
      <c r="C3991" s="9">
        <f>IFERROR(__xludf.DUMMYFUNCTION("""COMPUTED_VALUE"""),26.68)</f>
        <v>26.68</v>
      </c>
      <c r="K3991" s="16"/>
      <c r="T3991" s="17"/>
      <c r="AC3991" s="17"/>
    </row>
    <row r="3992">
      <c r="B3992" s="11">
        <f>IFERROR(__xludf.DUMMYFUNCTION("""COMPUTED_VALUE"""),40228.666666666664)</f>
        <v>40228.66667</v>
      </c>
      <c r="C3992" s="9">
        <f>IFERROR(__xludf.DUMMYFUNCTION("""COMPUTED_VALUE"""),26.55)</f>
        <v>26.55</v>
      </c>
      <c r="K3992" s="16"/>
      <c r="T3992" s="17"/>
      <c r="AC3992" s="17"/>
    </row>
    <row r="3993">
      <c r="B3993" s="11">
        <f>IFERROR(__xludf.DUMMYFUNCTION("""COMPUTED_VALUE"""),40227.666666666664)</f>
        <v>40227.66667</v>
      </c>
      <c r="C3993" s="9">
        <f>IFERROR(__xludf.DUMMYFUNCTION("""COMPUTED_VALUE"""),26.39)</f>
        <v>26.39</v>
      </c>
      <c r="K3993" s="16"/>
      <c r="T3993" s="17"/>
      <c r="AC3993" s="17"/>
    </row>
    <row r="3994">
      <c r="B3994" s="11">
        <f>IFERROR(__xludf.DUMMYFUNCTION("""COMPUTED_VALUE"""),40226.666666666664)</f>
        <v>40226.66667</v>
      </c>
      <c r="C3994" s="9">
        <f>IFERROR(__xludf.DUMMYFUNCTION("""COMPUTED_VALUE"""),25.98)</f>
        <v>25.98</v>
      </c>
      <c r="K3994" s="16"/>
      <c r="T3994" s="17"/>
      <c r="AC3994" s="17"/>
    </row>
    <row r="3995">
      <c r="B3995" s="11">
        <f>IFERROR(__xludf.DUMMYFUNCTION("""COMPUTED_VALUE"""),40225.666666666664)</f>
        <v>40225.66667</v>
      </c>
      <c r="C3995" s="9">
        <f>IFERROR(__xludf.DUMMYFUNCTION("""COMPUTED_VALUE"""),25.72)</f>
        <v>25.72</v>
      </c>
      <c r="K3995" s="16"/>
      <c r="T3995" s="17"/>
      <c r="AC3995" s="17"/>
    </row>
    <row r="3996">
      <c r="B3996" s="11">
        <f>IFERROR(__xludf.DUMMYFUNCTION("""COMPUTED_VALUE"""),40221.666666666664)</f>
        <v>40221.66667</v>
      </c>
      <c r="C3996" s="9">
        <f>IFERROR(__xludf.DUMMYFUNCTION("""COMPUTED_VALUE"""),25.33)</f>
        <v>25.33</v>
      </c>
      <c r="K3996" s="16"/>
      <c r="T3996" s="17"/>
      <c r="AC3996" s="17"/>
    </row>
    <row r="3997">
      <c r="B3997" s="11">
        <f>IFERROR(__xludf.DUMMYFUNCTION("""COMPUTED_VALUE"""),40220.666666666664)</f>
        <v>40220.66667</v>
      </c>
      <c r="C3997" s="9">
        <f>IFERROR(__xludf.DUMMYFUNCTION("""COMPUTED_VALUE"""),25.51)</f>
        <v>25.51</v>
      </c>
      <c r="K3997" s="16"/>
      <c r="T3997" s="17"/>
      <c r="AC3997" s="17"/>
    </row>
    <row r="3998">
      <c r="B3998" s="11">
        <f>IFERROR(__xludf.DUMMYFUNCTION("""COMPUTED_VALUE"""),40219.666666666664)</f>
        <v>40219.66667</v>
      </c>
      <c r="C3998" s="9">
        <f>IFERROR(__xludf.DUMMYFUNCTION("""COMPUTED_VALUE"""),25.25)</f>
        <v>25.25</v>
      </c>
      <c r="K3998" s="16"/>
      <c r="T3998" s="17"/>
      <c r="AC3998" s="17"/>
    </row>
    <row r="3999">
      <c r="B3999" s="11">
        <f>IFERROR(__xludf.DUMMYFUNCTION("""COMPUTED_VALUE"""),40218.666666666664)</f>
        <v>40218.66667</v>
      </c>
      <c r="C3999" s="9">
        <f>IFERROR(__xludf.DUMMYFUNCTION("""COMPUTED_VALUE"""),25.28)</f>
        <v>25.28</v>
      </c>
      <c r="K3999" s="16"/>
      <c r="T3999" s="17"/>
      <c r="AC3999" s="17"/>
    </row>
    <row r="4000">
      <c r="B4000" s="11">
        <f>IFERROR(__xludf.DUMMYFUNCTION("""COMPUTED_VALUE"""),40217.666666666664)</f>
        <v>40217.66667</v>
      </c>
      <c r="C4000" s="9">
        <f>IFERROR(__xludf.DUMMYFUNCTION("""COMPUTED_VALUE"""),24.88)</f>
        <v>24.88</v>
      </c>
      <c r="K4000" s="16"/>
      <c r="T4000" s="17"/>
      <c r="AC4000" s="17"/>
    </row>
    <row r="4001">
      <c r="B4001" s="11">
        <f>IFERROR(__xludf.DUMMYFUNCTION("""COMPUTED_VALUE"""),40214.666666666664)</f>
        <v>40214.66667</v>
      </c>
      <c r="C4001" s="9">
        <f>IFERROR(__xludf.DUMMYFUNCTION("""COMPUTED_VALUE"""),25.05)</f>
        <v>25.05</v>
      </c>
      <c r="K4001" s="16"/>
      <c r="T4001" s="17"/>
      <c r="AC4001" s="17"/>
    </row>
    <row r="4002">
      <c r="B4002" s="11">
        <f>IFERROR(__xludf.DUMMYFUNCTION("""COMPUTED_VALUE"""),40213.666666666664)</f>
        <v>40213.66667</v>
      </c>
      <c r="C4002" s="9">
        <f>IFERROR(__xludf.DUMMYFUNCTION("""COMPUTED_VALUE"""),25.26)</f>
        <v>25.26</v>
      </c>
      <c r="K4002" s="16"/>
      <c r="T4002" s="17"/>
      <c r="AC4002" s="17"/>
    </row>
    <row r="4003">
      <c r="B4003" s="11">
        <f>IFERROR(__xludf.DUMMYFUNCTION("""COMPUTED_VALUE"""),40212.666666666664)</f>
        <v>40212.66667</v>
      </c>
      <c r="C4003" s="9">
        <f>IFERROR(__xludf.DUMMYFUNCTION("""COMPUTED_VALUE"""),26.13)</f>
        <v>26.13</v>
      </c>
      <c r="K4003" s="16"/>
      <c r="T4003" s="17"/>
      <c r="AC4003" s="17"/>
    </row>
    <row r="4004">
      <c r="B4004" s="11">
        <f>IFERROR(__xludf.DUMMYFUNCTION("""COMPUTED_VALUE"""),40211.666666666664)</f>
        <v>40211.66667</v>
      </c>
      <c r="C4004" s="9">
        <f>IFERROR(__xludf.DUMMYFUNCTION("""COMPUTED_VALUE"""),26.14)</f>
        <v>26.14</v>
      </c>
      <c r="K4004" s="16"/>
      <c r="T4004" s="17"/>
      <c r="AC4004" s="17"/>
    </row>
    <row r="4005">
      <c r="B4005" s="11">
        <f>IFERROR(__xludf.DUMMYFUNCTION("""COMPUTED_VALUE"""),40210.666666666664)</f>
        <v>40210.66667</v>
      </c>
      <c r="C4005" s="9">
        <f>IFERROR(__xludf.DUMMYFUNCTION("""COMPUTED_VALUE"""),25.71)</f>
        <v>25.71</v>
      </c>
      <c r="K4005" s="16"/>
      <c r="T4005" s="17"/>
      <c r="AC4005" s="17"/>
    </row>
    <row r="4006">
      <c r="B4006" s="11">
        <f>IFERROR(__xludf.DUMMYFUNCTION("""COMPUTED_VALUE"""),40207.666666666664)</f>
        <v>40207.66667</v>
      </c>
      <c r="C4006" s="9">
        <f>IFERROR(__xludf.DUMMYFUNCTION("""COMPUTED_VALUE"""),25.37)</f>
        <v>25.37</v>
      </c>
      <c r="K4006" s="16"/>
      <c r="T4006" s="17"/>
      <c r="AC4006" s="17"/>
    </row>
    <row r="4007">
      <c r="B4007" s="11">
        <f>IFERROR(__xludf.DUMMYFUNCTION("""COMPUTED_VALUE"""),40206.666666666664)</f>
        <v>40206.66667</v>
      </c>
      <c r="C4007" s="9">
        <f>IFERROR(__xludf.DUMMYFUNCTION("""COMPUTED_VALUE"""),25.61)</f>
        <v>25.61</v>
      </c>
      <c r="K4007" s="16"/>
      <c r="T4007" s="17"/>
      <c r="AC4007" s="17"/>
    </row>
    <row r="4008">
      <c r="B4008" s="11">
        <f>IFERROR(__xludf.DUMMYFUNCTION("""COMPUTED_VALUE"""),40205.666666666664)</f>
        <v>40205.66667</v>
      </c>
      <c r="C4008" s="9">
        <f>IFERROR(__xludf.DUMMYFUNCTION("""COMPUTED_VALUE"""),25.94)</f>
        <v>25.94</v>
      </c>
      <c r="K4008" s="16"/>
      <c r="T4008" s="17"/>
      <c r="AC4008" s="17"/>
    </row>
    <row r="4009">
      <c r="B4009" s="11">
        <f>IFERROR(__xludf.DUMMYFUNCTION("""COMPUTED_VALUE"""),40204.666666666664)</f>
        <v>40204.66667</v>
      </c>
      <c r="C4009" s="9">
        <f>IFERROR(__xludf.DUMMYFUNCTION("""COMPUTED_VALUE"""),25.68)</f>
        <v>25.68</v>
      </c>
      <c r="K4009" s="16"/>
      <c r="T4009" s="17"/>
      <c r="AC4009" s="17"/>
    </row>
    <row r="4010">
      <c r="B4010" s="11">
        <f>IFERROR(__xludf.DUMMYFUNCTION("""COMPUTED_VALUE"""),40203.666666666664)</f>
        <v>40203.66667</v>
      </c>
      <c r="C4010" s="9">
        <f>IFERROR(__xludf.DUMMYFUNCTION("""COMPUTED_VALUE"""),25.72)</f>
        <v>25.72</v>
      </c>
      <c r="K4010" s="16"/>
      <c r="T4010" s="17"/>
      <c r="AC4010" s="17"/>
    </row>
    <row r="4011">
      <c r="B4011" s="11">
        <f>IFERROR(__xludf.DUMMYFUNCTION("""COMPUTED_VALUE"""),40200.666666666664)</f>
        <v>40200.66667</v>
      </c>
      <c r="C4011" s="9">
        <f>IFERROR(__xludf.DUMMYFUNCTION("""COMPUTED_VALUE"""),25.67)</f>
        <v>25.67</v>
      </c>
      <c r="K4011" s="16"/>
      <c r="T4011" s="17"/>
      <c r="AC4011" s="17"/>
    </row>
    <row r="4012">
      <c r="B4012" s="11">
        <f>IFERROR(__xludf.DUMMYFUNCTION("""COMPUTED_VALUE"""),40199.666666666664)</f>
        <v>40199.66667</v>
      </c>
      <c r="C4012" s="9">
        <f>IFERROR(__xludf.DUMMYFUNCTION("""COMPUTED_VALUE"""),26.13)</f>
        <v>26.13</v>
      </c>
      <c r="K4012" s="16"/>
      <c r="T4012" s="17"/>
      <c r="AC4012" s="17"/>
    </row>
    <row r="4013">
      <c r="B4013" s="11">
        <f>IFERROR(__xludf.DUMMYFUNCTION("""COMPUTED_VALUE"""),40198.666666666664)</f>
        <v>40198.66667</v>
      </c>
      <c r="C4013" s="9">
        <f>IFERROR(__xludf.DUMMYFUNCTION("""COMPUTED_VALUE"""),26.73)</f>
        <v>26.73</v>
      </c>
      <c r="K4013" s="16"/>
      <c r="T4013" s="17"/>
      <c r="AC4013" s="17"/>
    </row>
    <row r="4014">
      <c r="B4014" s="11">
        <f>IFERROR(__xludf.DUMMYFUNCTION("""COMPUTED_VALUE"""),40197.666666666664)</f>
        <v>40197.66667</v>
      </c>
      <c r="C4014" s="9">
        <f>IFERROR(__xludf.DUMMYFUNCTION("""COMPUTED_VALUE"""),27.1)</f>
        <v>27.1</v>
      </c>
      <c r="K4014" s="16"/>
      <c r="T4014" s="17"/>
      <c r="AC4014" s="17"/>
    </row>
    <row r="4015">
      <c r="B4015" s="11">
        <f>IFERROR(__xludf.DUMMYFUNCTION("""COMPUTED_VALUE"""),40193.666666666664)</f>
        <v>40193.66667</v>
      </c>
      <c r="C4015" s="9">
        <f>IFERROR(__xludf.DUMMYFUNCTION("""COMPUTED_VALUE"""),26.88)</f>
        <v>26.88</v>
      </c>
      <c r="K4015" s="16"/>
      <c r="T4015" s="17"/>
      <c r="AC4015" s="17"/>
    </row>
    <row r="4016">
      <c r="B4016" s="11">
        <f>IFERROR(__xludf.DUMMYFUNCTION("""COMPUTED_VALUE"""),40192.666666666664)</f>
        <v>40192.66667</v>
      </c>
      <c r="C4016" s="9">
        <f>IFERROR(__xludf.DUMMYFUNCTION("""COMPUTED_VALUE"""),27.21)</f>
        <v>27.21</v>
      </c>
      <c r="K4016" s="16"/>
      <c r="T4016" s="17"/>
      <c r="AC4016" s="17"/>
    </row>
    <row r="4017">
      <c r="B4017" s="11">
        <f>IFERROR(__xludf.DUMMYFUNCTION("""COMPUTED_VALUE"""),40191.666666666664)</f>
        <v>40191.66667</v>
      </c>
      <c r="C4017" s="9">
        <f>IFERROR(__xludf.DUMMYFUNCTION("""COMPUTED_VALUE"""),27.03)</f>
        <v>27.03</v>
      </c>
      <c r="K4017" s="16"/>
      <c r="T4017" s="17"/>
      <c r="AC4017" s="17"/>
    </row>
    <row r="4018">
      <c r="B4018" s="11">
        <f>IFERROR(__xludf.DUMMYFUNCTION("""COMPUTED_VALUE"""),40190.666666666664)</f>
        <v>40190.66667</v>
      </c>
      <c r="C4018" s="9">
        <f>IFERROR(__xludf.DUMMYFUNCTION("""COMPUTED_VALUE"""),26.69)</f>
        <v>26.69</v>
      </c>
      <c r="K4018" s="16"/>
      <c r="T4018" s="17"/>
      <c r="AC4018" s="17"/>
    </row>
    <row r="4019">
      <c r="B4019" s="11">
        <f>IFERROR(__xludf.DUMMYFUNCTION("""COMPUTED_VALUE"""),40189.666666666664)</f>
        <v>40189.66667</v>
      </c>
      <c r="C4019" s="9">
        <f>IFERROR(__xludf.DUMMYFUNCTION("""COMPUTED_VALUE"""),26.94)</f>
        <v>26.94</v>
      </c>
      <c r="K4019" s="16"/>
      <c r="T4019" s="17"/>
      <c r="AC4019" s="17"/>
    </row>
    <row r="4020">
      <c r="B4020" s="11">
        <f>IFERROR(__xludf.DUMMYFUNCTION("""COMPUTED_VALUE"""),40186.666666666664)</f>
        <v>40186.66667</v>
      </c>
      <c r="C4020" s="9">
        <f>IFERROR(__xludf.DUMMYFUNCTION("""COMPUTED_VALUE"""),26.73)</f>
        <v>26.73</v>
      </c>
      <c r="K4020" s="16"/>
      <c r="T4020" s="17"/>
      <c r="AC4020" s="17"/>
    </row>
    <row r="4021">
      <c r="B4021" s="11">
        <f>IFERROR(__xludf.DUMMYFUNCTION("""COMPUTED_VALUE"""),40185.666666666664)</f>
        <v>40185.66667</v>
      </c>
      <c r="C4021" s="9">
        <f>IFERROR(__xludf.DUMMYFUNCTION("""COMPUTED_VALUE"""),26.58)</f>
        <v>26.58</v>
      </c>
      <c r="K4021" s="16"/>
      <c r="T4021" s="17"/>
      <c r="AC4021" s="17"/>
    </row>
    <row r="4022">
      <c r="B4022" s="11">
        <f>IFERROR(__xludf.DUMMYFUNCTION("""COMPUTED_VALUE"""),40184.666666666664)</f>
        <v>40184.66667</v>
      </c>
      <c r="C4022" s="9">
        <f>IFERROR(__xludf.DUMMYFUNCTION("""COMPUTED_VALUE"""),26.51)</f>
        <v>26.51</v>
      </c>
      <c r="K4022" s="16"/>
      <c r="T4022" s="17"/>
      <c r="AC4022" s="17"/>
    </row>
    <row r="4023">
      <c r="B4023" s="11">
        <f>IFERROR(__xludf.DUMMYFUNCTION("""COMPUTED_VALUE"""),40183.666666666664)</f>
        <v>40183.66667</v>
      </c>
      <c r="C4023" s="9">
        <f>IFERROR(__xludf.DUMMYFUNCTION("""COMPUTED_VALUE"""),26.28)</f>
        <v>26.28</v>
      </c>
      <c r="K4023" s="16"/>
      <c r="T4023" s="17"/>
      <c r="AC4023" s="17"/>
    </row>
    <row r="4024">
      <c r="B4024" s="11">
        <f>IFERROR(__xludf.DUMMYFUNCTION("""COMPUTED_VALUE"""),40182.666666666664)</f>
        <v>40182.66667</v>
      </c>
      <c r="C4024" s="9">
        <f>IFERROR(__xludf.DUMMYFUNCTION("""COMPUTED_VALUE"""),26.13)</f>
        <v>26.13</v>
      </c>
      <c r="K4024" s="16"/>
      <c r="T4024" s="17"/>
      <c r="AC4024" s="17"/>
    </row>
    <row r="4025">
      <c r="B4025" s="11">
        <f>IFERROR(__xludf.DUMMYFUNCTION("""COMPUTED_VALUE"""),40178.666666666664)</f>
        <v>40178.66667</v>
      </c>
      <c r="C4025" s="9">
        <f>IFERROR(__xludf.DUMMYFUNCTION("""COMPUTED_VALUE"""),25.48)</f>
        <v>25.48</v>
      </c>
      <c r="K4025" s="16"/>
      <c r="T4025" s="17"/>
      <c r="AC4025" s="17"/>
    </row>
    <row r="4026">
      <c r="B4026" s="11">
        <f>IFERROR(__xludf.DUMMYFUNCTION("""COMPUTED_VALUE"""),40177.666666666664)</f>
        <v>40177.66667</v>
      </c>
      <c r="C4026" s="9">
        <f>IFERROR(__xludf.DUMMYFUNCTION("""COMPUTED_VALUE"""),25.86)</f>
        <v>25.86</v>
      </c>
      <c r="K4026" s="16"/>
      <c r="T4026" s="17"/>
      <c r="AC4026" s="17"/>
    </row>
    <row r="4027">
      <c r="B4027" s="11">
        <f>IFERROR(__xludf.DUMMYFUNCTION("""COMPUTED_VALUE"""),40176.666666666664)</f>
        <v>40176.66667</v>
      </c>
      <c r="C4027" s="9">
        <f>IFERROR(__xludf.DUMMYFUNCTION("""COMPUTED_VALUE"""),25.85)</f>
        <v>25.85</v>
      </c>
      <c r="K4027" s="16"/>
      <c r="T4027" s="17"/>
      <c r="AC4027" s="17"/>
    </row>
    <row r="4028">
      <c r="B4028" s="11">
        <f>IFERROR(__xludf.DUMMYFUNCTION("""COMPUTED_VALUE"""),40175.666666666664)</f>
        <v>40175.66667</v>
      </c>
      <c r="C4028" s="9">
        <f>IFERROR(__xludf.DUMMYFUNCTION("""COMPUTED_VALUE"""),25.82)</f>
        <v>25.82</v>
      </c>
      <c r="K4028" s="16"/>
      <c r="T4028" s="17"/>
      <c r="AC4028" s="17"/>
    </row>
    <row r="4029">
      <c r="B4029" s="11">
        <f>IFERROR(__xludf.DUMMYFUNCTION("""COMPUTED_VALUE"""),40171.666666666664)</f>
        <v>40171.66667</v>
      </c>
      <c r="C4029" s="9">
        <f>IFERROR(__xludf.DUMMYFUNCTION("""COMPUTED_VALUE"""),25.81)</f>
        <v>25.81</v>
      </c>
      <c r="K4029" s="16"/>
      <c r="T4029" s="17"/>
      <c r="AC4029" s="17"/>
    </row>
    <row r="4030">
      <c r="B4030" s="11">
        <f>IFERROR(__xludf.DUMMYFUNCTION("""COMPUTED_VALUE"""),40170.666666666664)</f>
        <v>40170.66667</v>
      </c>
      <c r="C4030" s="9">
        <f>IFERROR(__xludf.DUMMYFUNCTION("""COMPUTED_VALUE"""),25.76)</f>
        <v>25.76</v>
      </c>
      <c r="K4030" s="16"/>
      <c r="T4030" s="17"/>
      <c r="AC4030" s="17"/>
    </row>
    <row r="4031">
      <c r="B4031" s="11">
        <f>IFERROR(__xludf.DUMMYFUNCTION("""COMPUTED_VALUE"""),40169.666666666664)</f>
        <v>40169.66667</v>
      </c>
      <c r="C4031" s="9">
        <f>IFERROR(__xludf.DUMMYFUNCTION("""COMPUTED_VALUE"""),25.87)</f>
        <v>25.87</v>
      </c>
      <c r="K4031" s="16"/>
      <c r="T4031" s="17"/>
      <c r="AC4031" s="17"/>
    </row>
    <row r="4032">
      <c r="B4032" s="11">
        <f>IFERROR(__xludf.DUMMYFUNCTION("""COMPUTED_VALUE"""),40168.666666666664)</f>
        <v>40168.66667</v>
      </c>
      <c r="C4032" s="9">
        <f>IFERROR(__xludf.DUMMYFUNCTION("""COMPUTED_VALUE"""),25.72)</f>
        <v>25.72</v>
      </c>
      <c r="K4032" s="16"/>
      <c r="T4032" s="17"/>
      <c r="AC4032" s="17"/>
    </row>
    <row r="4033">
      <c r="B4033" s="11">
        <f>IFERROR(__xludf.DUMMYFUNCTION("""COMPUTED_VALUE"""),40165.666666666664)</f>
        <v>40165.66667</v>
      </c>
      <c r="C4033" s="9">
        <f>IFERROR(__xludf.DUMMYFUNCTION("""COMPUTED_VALUE"""),25.4)</f>
        <v>25.4</v>
      </c>
      <c r="K4033" s="16"/>
      <c r="T4033" s="17"/>
      <c r="AC4033" s="17"/>
    </row>
    <row r="4034">
      <c r="B4034" s="11">
        <f>IFERROR(__xludf.DUMMYFUNCTION("""COMPUTED_VALUE"""),40164.666666666664)</f>
        <v>40164.66667</v>
      </c>
      <c r="C4034" s="9">
        <f>IFERROR(__xludf.DUMMYFUNCTION("""COMPUTED_VALUE"""),25.43)</f>
        <v>25.43</v>
      </c>
      <c r="K4034" s="16"/>
      <c r="T4034" s="17"/>
      <c r="AC4034" s="17"/>
    </row>
    <row r="4035">
      <c r="B4035" s="11">
        <f>IFERROR(__xludf.DUMMYFUNCTION("""COMPUTED_VALUE"""),40163.666666666664)</f>
        <v>40163.66667</v>
      </c>
      <c r="C4035" s="9">
        <f>IFERROR(__xludf.DUMMYFUNCTION("""COMPUTED_VALUE"""),25.72)</f>
        <v>25.72</v>
      </c>
      <c r="K4035" s="16"/>
      <c r="T4035" s="17"/>
      <c r="AC4035" s="17"/>
    </row>
    <row r="4036">
      <c r="B4036" s="11">
        <f>IFERROR(__xludf.DUMMYFUNCTION("""COMPUTED_VALUE"""),40162.666666666664)</f>
        <v>40162.66667</v>
      </c>
      <c r="C4036" s="9">
        <f>IFERROR(__xludf.DUMMYFUNCTION("""COMPUTED_VALUE"""),25.67)</f>
        <v>25.67</v>
      </c>
      <c r="K4036" s="16"/>
      <c r="T4036" s="17"/>
      <c r="AC4036" s="17"/>
    </row>
    <row r="4037">
      <c r="B4037" s="11">
        <f>IFERROR(__xludf.DUMMYFUNCTION("""COMPUTED_VALUE"""),40161.666666666664)</f>
        <v>40161.66667</v>
      </c>
      <c r="C4037" s="9">
        <f>IFERROR(__xludf.DUMMYFUNCTION("""COMPUTED_VALUE"""),25.72)</f>
        <v>25.72</v>
      </c>
      <c r="K4037" s="16"/>
      <c r="T4037" s="17"/>
      <c r="AC4037" s="17"/>
    </row>
    <row r="4038">
      <c r="B4038" s="11">
        <f>IFERROR(__xludf.DUMMYFUNCTION("""COMPUTED_VALUE"""),40158.666666666664)</f>
        <v>40158.66667</v>
      </c>
      <c r="C4038" s="9">
        <f>IFERROR(__xludf.DUMMYFUNCTION("""COMPUTED_VALUE"""),25.36)</f>
        <v>25.36</v>
      </c>
      <c r="K4038" s="16"/>
      <c r="T4038" s="17"/>
      <c r="AC4038" s="17"/>
    </row>
    <row r="4039">
      <c r="B4039" s="11">
        <f>IFERROR(__xludf.DUMMYFUNCTION("""COMPUTED_VALUE"""),40157.666666666664)</f>
        <v>40157.66667</v>
      </c>
      <c r="C4039" s="9">
        <f>IFERROR(__xludf.DUMMYFUNCTION("""COMPUTED_VALUE"""),24.95)</f>
        <v>24.95</v>
      </c>
      <c r="K4039" s="16"/>
      <c r="T4039" s="17"/>
      <c r="AC4039" s="17"/>
    </row>
    <row r="4040">
      <c r="B4040" s="11">
        <f>IFERROR(__xludf.DUMMYFUNCTION("""COMPUTED_VALUE"""),40156.666666666664)</f>
        <v>40156.66667</v>
      </c>
      <c r="C4040" s="9">
        <f>IFERROR(__xludf.DUMMYFUNCTION("""COMPUTED_VALUE"""),24.96)</f>
        <v>24.96</v>
      </c>
      <c r="K4040" s="16"/>
      <c r="T4040" s="17"/>
      <c r="AC4040" s="17"/>
    </row>
    <row r="4041">
      <c r="B4041" s="11">
        <f>IFERROR(__xludf.DUMMYFUNCTION("""COMPUTED_VALUE"""),40155.666666666664)</f>
        <v>40155.66667</v>
      </c>
      <c r="C4041" s="9">
        <f>IFERROR(__xludf.DUMMYFUNCTION("""COMPUTED_VALUE"""),25.13)</f>
        <v>25.13</v>
      </c>
      <c r="K4041" s="16"/>
      <c r="T4041" s="17"/>
      <c r="AC4041" s="17"/>
    </row>
    <row r="4042">
      <c r="B4042" s="11">
        <f>IFERROR(__xludf.DUMMYFUNCTION("""COMPUTED_VALUE"""),40154.666666666664)</f>
        <v>40154.66667</v>
      </c>
      <c r="C4042" s="9">
        <f>IFERROR(__xludf.DUMMYFUNCTION("""COMPUTED_VALUE"""),25.33)</f>
        <v>25.33</v>
      </c>
      <c r="K4042" s="16"/>
      <c r="T4042" s="17"/>
      <c r="AC4042" s="17"/>
    </row>
    <row r="4043">
      <c r="B4043" s="11">
        <f>IFERROR(__xludf.DUMMYFUNCTION("""COMPUTED_VALUE"""),40151.666666666664)</f>
        <v>40151.66667</v>
      </c>
      <c r="C4043" s="9">
        <f>IFERROR(__xludf.DUMMYFUNCTION("""COMPUTED_VALUE"""),25.12)</f>
        <v>25.12</v>
      </c>
      <c r="K4043" s="16"/>
      <c r="T4043" s="17"/>
      <c r="AC4043" s="17"/>
    </row>
    <row r="4044">
      <c r="B4044" s="11">
        <f>IFERROR(__xludf.DUMMYFUNCTION("""COMPUTED_VALUE"""),40150.666666666664)</f>
        <v>40150.66667</v>
      </c>
      <c r="C4044" s="9">
        <f>IFERROR(__xludf.DUMMYFUNCTION("""COMPUTED_VALUE"""),24.62)</f>
        <v>24.62</v>
      </c>
      <c r="K4044" s="16"/>
      <c r="T4044" s="17"/>
      <c r="AC4044" s="17"/>
    </row>
    <row r="4045">
      <c r="B4045" s="11">
        <f>IFERROR(__xludf.DUMMYFUNCTION("""COMPUTED_VALUE"""),40149.666666666664)</f>
        <v>40149.66667</v>
      </c>
      <c r="C4045" s="9">
        <f>IFERROR(__xludf.DUMMYFUNCTION("""COMPUTED_VALUE"""),24.73)</f>
        <v>24.73</v>
      </c>
      <c r="K4045" s="16"/>
      <c r="T4045" s="17"/>
      <c r="AC4045" s="17"/>
    </row>
    <row r="4046">
      <c r="B4046" s="11">
        <f>IFERROR(__xludf.DUMMYFUNCTION("""COMPUTED_VALUE"""),40148.666666666664)</f>
        <v>40148.66667</v>
      </c>
      <c r="C4046" s="9">
        <f>IFERROR(__xludf.DUMMYFUNCTION("""COMPUTED_VALUE"""),24.57)</f>
        <v>24.57</v>
      </c>
      <c r="K4046" s="16"/>
      <c r="T4046" s="17"/>
      <c r="AC4046" s="17"/>
    </row>
    <row r="4047">
      <c r="B4047" s="11">
        <f>IFERROR(__xludf.DUMMYFUNCTION("""COMPUTED_VALUE"""),40147.666666666664)</f>
        <v>40147.66667</v>
      </c>
      <c r="C4047" s="9">
        <f>IFERROR(__xludf.DUMMYFUNCTION("""COMPUTED_VALUE"""),24.21)</f>
        <v>24.21</v>
      </c>
      <c r="K4047" s="16"/>
      <c r="T4047" s="17"/>
      <c r="AC4047" s="17"/>
    </row>
    <row r="4048">
      <c r="B4048" s="11">
        <f>IFERROR(__xludf.DUMMYFUNCTION("""COMPUTED_VALUE"""),40144.666666666664)</f>
        <v>40144.66667</v>
      </c>
      <c r="C4048" s="9">
        <f>IFERROR(__xludf.DUMMYFUNCTION("""COMPUTED_VALUE"""),24.37)</f>
        <v>24.37</v>
      </c>
      <c r="K4048" s="16"/>
      <c r="T4048" s="17"/>
      <c r="AC4048" s="17"/>
    </row>
    <row r="4049">
      <c r="B4049" s="11">
        <f>IFERROR(__xludf.DUMMYFUNCTION("""COMPUTED_VALUE"""),40142.666666666664)</f>
        <v>40142.66667</v>
      </c>
      <c r="C4049" s="9">
        <f>IFERROR(__xludf.DUMMYFUNCTION("""COMPUTED_VALUE"""),24.76)</f>
        <v>24.76</v>
      </c>
      <c r="K4049" s="16"/>
      <c r="T4049" s="17"/>
      <c r="AC4049" s="17"/>
    </row>
    <row r="4050">
      <c r="B4050" s="11">
        <f>IFERROR(__xludf.DUMMYFUNCTION("""COMPUTED_VALUE"""),40141.666666666664)</f>
        <v>40141.66667</v>
      </c>
      <c r="C4050" s="9">
        <f>IFERROR(__xludf.DUMMYFUNCTION("""COMPUTED_VALUE"""),24.57)</f>
        <v>24.57</v>
      </c>
      <c r="K4050" s="16"/>
      <c r="T4050" s="17"/>
      <c r="AC4050" s="17"/>
    </row>
    <row r="4051">
      <c r="B4051" s="11">
        <f>IFERROR(__xludf.DUMMYFUNCTION("""COMPUTED_VALUE"""),40140.666666666664)</f>
        <v>40140.66667</v>
      </c>
      <c r="C4051" s="9">
        <f>IFERROR(__xludf.DUMMYFUNCTION("""COMPUTED_VALUE"""),24.63)</f>
        <v>24.63</v>
      </c>
      <c r="K4051" s="16"/>
      <c r="T4051" s="17"/>
      <c r="AC4051" s="17"/>
    </row>
    <row r="4052">
      <c r="B4052" s="11">
        <f>IFERROR(__xludf.DUMMYFUNCTION("""COMPUTED_VALUE"""),40137.666666666664)</f>
        <v>40137.66667</v>
      </c>
      <c r="C4052" s="9">
        <f>IFERROR(__xludf.DUMMYFUNCTION("""COMPUTED_VALUE"""),24.21)</f>
        <v>24.21</v>
      </c>
      <c r="K4052" s="16"/>
      <c r="T4052" s="17"/>
      <c r="AC4052" s="17"/>
    </row>
    <row r="4053">
      <c r="B4053" s="11">
        <f>IFERROR(__xludf.DUMMYFUNCTION("""COMPUTED_VALUE"""),40136.666666666664)</f>
        <v>40136.66667</v>
      </c>
      <c r="C4053" s="9">
        <f>IFERROR(__xludf.DUMMYFUNCTION("""COMPUTED_VALUE"""),24.14)</f>
        <v>24.14</v>
      </c>
      <c r="K4053" s="16"/>
      <c r="T4053" s="17"/>
      <c r="AC4053" s="17"/>
    </row>
    <row r="4054">
      <c r="B4054" s="11">
        <f>IFERROR(__xludf.DUMMYFUNCTION("""COMPUTED_VALUE"""),40135.666666666664)</f>
        <v>40135.66667</v>
      </c>
      <c r="C4054" s="9">
        <f>IFERROR(__xludf.DUMMYFUNCTION("""COMPUTED_VALUE"""),24.5)</f>
        <v>24.5</v>
      </c>
      <c r="K4054" s="16"/>
      <c r="T4054" s="17"/>
      <c r="AC4054" s="17"/>
    </row>
    <row r="4055">
      <c r="B4055" s="11">
        <f>IFERROR(__xludf.DUMMYFUNCTION("""COMPUTED_VALUE"""),40134.666666666664)</f>
        <v>40134.66667</v>
      </c>
      <c r="C4055" s="9">
        <f>IFERROR(__xludf.DUMMYFUNCTION("""COMPUTED_VALUE"""),24.75)</f>
        <v>24.75</v>
      </c>
      <c r="K4055" s="16"/>
      <c r="T4055" s="17"/>
      <c r="AC4055" s="17"/>
    </row>
    <row r="4056">
      <c r="B4056" s="11">
        <f>IFERROR(__xludf.DUMMYFUNCTION("""COMPUTED_VALUE"""),40133.666666666664)</f>
        <v>40133.66667</v>
      </c>
      <c r="C4056" s="9">
        <f>IFERROR(__xludf.DUMMYFUNCTION("""COMPUTED_VALUE"""),24.74)</f>
        <v>24.74</v>
      </c>
      <c r="K4056" s="16"/>
      <c r="T4056" s="17"/>
      <c r="AC4056" s="17"/>
    </row>
    <row r="4057">
      <c r="B4057" s="11">
        <f>IFERROR(__xludf.DUMMYFUNCTION("""COMPUTED_VALUE"""),40130.666666666664)</f>
        <v>40130.66667</v>
      </c>
      <c r="C4057" s="9">
        <f>IFERROR(__xludf.DUMMYFUNCTION("""COMPUTED_VALUE"""),24.18)</f>
        <v>24.18</v>
      </c>
      <c r="K4057" s="16"/>
      <c r="T4057" s="17"/>
      <c r="AC4057" s="17"/>
    </row>
    <row r="4058">
      <c r="B4058" s="11">
        <f>IFERROR(__xludf.DUMMYFUNCTION("""COMPUTED_VALUE"""),40129.666666666664)</f>
        <v>40129.66667</v>
      </c>
      <c r="C4058" s="9">
        <f>IFERROR(__xludf.DUMMYFUNCTION("""COMPUTED_VALUE"""),23.89)</f>
        <v>23.89</v>
      </c>
      <c r="K4058" s="16"/>
      <c r="T4058" s="17"/>
      <c r="AC4058" s="17"/>
    </row>
    <row r="4059">
      <c r="B4059" s="11">
        <f>IFERROR(__xludf.DUMMYFUNCTION("""COMPUTED_VALUE"""),40128.666666666664)</f>
        <v>40128.66667</v>
      </c>
      <c r="C4059" s="9">
        <f>IFERROR(__xludf.DUMMYFUNCTION("""COMPUTED_VALUE"""),24.14)</f>
        <v>24.14</v>
      </c>
      <c r="K4059" s="16"/>
      <c r="T4059" s="17"/>
      <c r="AC4059" s="17"/>
    </row>
    <row r="4060">
      <c r="B4060" s="11">
        <f>IFERROR(__xludf.DUMMYFUNCTION("""COMPUTED_VALUE"""),40127.666666666664)</f>
        <v>40127.66667</v>
      </c>
      <c r="C4060" s="9">
        <f>IFERROR(__xludf.DUMMYFUNCTION("""COMPUTED_VALUE"""),23.99)</f>
        <v>23.99</v>
      </c>
      <c r="K4060" s="16"/>
      <c r="T4060" s="17"/>
      <c r="AC4060" s="17"/>
    </row>
    <row r="4061">
      <c r="B4061" s="11">
        <f>IFERROR(__xludf.DUMMYFUNCTION("""COMPUTED_VALUE"""),40126.666666666664)</f>
        <v>40126.66667</v>
      </c>
      <c r="C4061" s="9">
        <f>IFERROR(__xludf.DUMMYFUNCTION("""COMPUTED_VALUE"""),24.11)</f>
        <v>24.11</v>
      </c>
      <c r="K4061" s="16"/>
      <c r="T4061" s="17"/>
      <c r="AC4061" s="17"/>
    </row>
    <row r="4062">
      <c r="B4062" s="11">
        <f>IFERROR(__xludf.DUMMYFUNCTION("""COMPUTED_VALUE"""),40123.666666666664)</f>
        <v>40123.66667</v>
      </c>
      <c r="C4062" s="9">
        <f>IFERROR(__xludf.DUMMYFUNCTION("""COMPUTED_VALUE"""),23.63)</f>
        <v>23.63</v>
      </c>
      <c r="K4062" s="16"/>
      <c r="T4062" s="17"/>
      <c r="AC4062" s="17"/>
    </row>
    <row r="4063">
      <c r="B4063" s="11">
        <f>IFERROR(__xludf.DUMMYFUNCTION("""COMPUTED_VALUE"""),40122.666666666664)</f>
        <v>40122.66667</v>
      </c>
      <c r="C4063" s="9">
        <f>IFERROR(__xludf.DUMMYFUNCTION("""COMPUTED_VALUE"""),23.55)</f>
        <v>23.55</v>
      </c>
      <c r="K4063" s="16"/>
      <c r="T4063" s="17"/>
      <c r="AC4063" s="17"/>
    </row>
    <row r="4064">
      <c r="B4064" s="11">
        <f>IFERROR(__xludf.DUMMYFUNCTION("""COMPUTED_VALUE"""),40121.666666666664)</f>
        <v>40121.66667</v>
      </c>
      <c r="C4064" s="9">
        <f>IFERROR(__xludf.DUMMYFUNCTION("""COMPUTED_VALUE"""),22.81)</f>
        <v>22.81</v>
      </c>
      <c r="K4064" s="16"/>
      <c r="T4064" s="17"/>
      <c r="AC4064" s="17"/>
    </row>
    <row r="4065">
      <c r="B4065" s="11">
        <f>IFERROR(__xludf.DUMMYFUNCTION("""COMPUTED_VALUE"""),40120.666666666664)</f>
        <v>40120.66667</v>
      </c>
      <c r="C4065" s="9">
        <f>IFERROR(__xludf.DUMMYFUNCTION("""COMPUTED_VALUE"""),22.71)</f>
        <v>22.71</v>
      </c>
      <c r="K4065" s="16"/>
      <c r="T4065" s="17"/>
      <c r="AC4065" s="17"/>
    </row>
    <row r="4066">
      <c r="B4066" s="11">
        <f>IFERROR(__xludf.DUMMYFUNCTION("""COMPUTED_VALUE"""),40119.666666666664)</f>
        <v>40119.66667</v>
      </c>
      <c r="C4066" s="9">
        <f>IFERROR(__xludf.DUMMYFUNCTION("""COMPUTED_VALUE"""),22.73)</f>
        <v>22.73</v>
      </c>
      <c r="K4066" s="16"/>
      <c r="T4066" s="17"/>
      <c r="AC4066" s="17"/>
    </row>
    <row r="4067">
      <c r="B4067" s="11">
        <f>IFERROR(__xludf.DUMMYFUNCTION("""COMPUTED_VALUE"""),40116.666666666664)</f>
        <v>40116.66667</v>
      </c>
      <c r="C4067" s="9">
        <f>IFERROR(__xludf.DUMMYFUNCTION("""COMPUTED_VALUE"""),22.53)</f>
        <v>22.53</v>
      </c>
      <c r="K4067" s="16"/>
      <c r="T4067" s="17"/>
      <c r="AC4067" s="17"/>
    </row>
    <row r="4068">
      <c r="B4068" s="11">
        <f>IFERROR(__xludf.DUMMYFUNCTION("""COMPUTED_VALUE"""),40115.666666666664)</f>
        <v>40115.66667</v>
      </c>
      <c r="C4068" s="9">
        <f>IFERROR(__xludf.DUMMYFUNCTION("""COMPUTED_VALUE"""),23.12)</f>
        <v>23.12</v>
      </c>
      <c r="K4068" s="16"/>
      <c r="T4068" s="17"/>
      <c r="AC4068" s="17"/>
    </row>
    <row r="4069">
      <c r="B4069" s="11">
        <f>IFERROR(__xludf.DUMMYFUNCTION("""COMPUTED_VALUE"""),40114.666666666664)</f>
        <v>40114.66667</v>
      </c>
      <c r="C4069" s="9">
        <f>IFERROR(__xludf.DUMMYFUNCTION("""COMPUTED_VALUE"""),22.8)</f>
        <v>22.8</v>
      </c>
      <c r="K4069" s="16"/>
      <c r="T4069" s="17"/>
      <c r="AC4069" s="17"/>
    </row>
    <row r="4070">
      <c r="B4070" s="11">
        <f>IFERROR(__xludf.DUMMYFUNCTION("""COMPUTED_VALUE"""),40113.666666666664)</f>
        <v>40113.66667</v>
      </c>
      <c r="C4070" s="9">
        <f>IFERROR(__xludf.DUMMYFUNCTION("""COMPUTED_VALUE"""),23.38)</f>
        <v>23.38</v>
      </c>
      <c r="K4070" s="16"/>
      <c r="T4070" s="17"/>
      <c r="AC4070" s="17"/>
    </row>
    <row r="4071">
      <c r="B4071" s="11">
        <f>IFERROR(__xludf.DUMMYFUNCTION("""COMPUTED_VALUE"""),40112.666666666664)</f>
        <v>40112.66667</v>
      </c>
      <c r="C4071" s="9">
        <f>IFERROR(__xludf.DUMMYFUNCTION("""COMPUTED_VALUE"""),23.56)</f>
        <v>23.56</v>
      </c>
      <c r="K4071" s="16"/>
      <c r="T4071" s="17"/>
      <c r="AC4071" s="17"/>
    </row>
    <row r="4072">
      <c r="B4072" s="11">
        <f>IFERROR(__xludf.DUMMYFUNCTION("""COMPUTED_VALUE"""),40109.666666666664)</f>
        <v>40109.66667</v>
      </c>
      <c r="C4072" s="9">
        <f>IFERROR(__xludf.DUMMYFUNCTION("""COMPUTED_VALUE"""),23.87)</f>
        <v>23.87</v>
      </c>
      <c r="K4072" s="16"/>
      <c r="T4072" s="17"/>
      <c r="AC4072" s="17"/>
    </row>
    <row r="4073">
      <c r="B4073" s="11">
        <f>IFERROR(__xludf.DUMMYFUNCTION("""COMPUTED_VALUE"""),40108.666666666664)</f>
        <v>40108.66667</v>
      </c>
      <c r="C4073" s="9">
        <f>IFERROR(__xludf.DUMMYFUNCTION("""COMPUTED_VALUE"""),24.18)</f>
        <v>24.18</v>
      </c>
      <c r="K4073" s="16"/>
      <c r="T4073" s="17"/>
      <c r="AC4073" s="17"/>
    </row>
    <row r="4074">
      <c r="B4074" s="11">
        <f>IFERROR(__xludf.DUMMYFUNCTION("""COMPUTED_VALUE"""),40107.666666666664)</f>
        <v>40107.66667</v>
      </c>
      <c r="C4074" s="9">
        <f>IFERROR(__xludf.DUMMYFUNCTION("""COMPUTED_VALUE"""),23.71)</f>
        <v>23.71</v>
      </c>
      <c r="K4074" s="16"/>
      <c r="T4074" s="17"/>
      <c r="AC4074" s="17"/>
    </row>
    <row r="4075">
      <c r="B4075" s="11">
        <f>IFERROR(__xludf.DUMMYFUNCTION("""COMPUTED_VALUE"""),40106.666666666664)</f>
        <v>40106.66667</v>
      </c>
      <c r="C4075" s="9">
        <f>IFERROR(__xludf.DUMMYFUNCTION("""COMPUTED_VALUE"""),23.98)</f>
        <v>23.98</v>
      </c>
      <c r="K4075" s="16"/>
      <c r="T4075" s="17"/>
      <c r="AC4075" s="17"/>
    </row>
    <row r="4076">
      <c r="B4076" s="11">
        <f>IFERROR(__xludf.DUMMYFUNCTION("""COMPUTED_VALUE"""),40105.666666666664)</f>
        <v>40105.66667</v>
      </c>
      <c r="C4076" s="9">
        <f>IFERROR(__xludf.DUMMYFUNCTION("""COMPUTED_VALUE"""),24.62)</f>
        <v>24.62</v>
      </c>
      <c r="K4076" s="16"/>
      <c r="T4076" s="17"/>
      <c r="AC4076" s="17"/>
    </row>
    <row r="4077">
      <c r="B4077" s="11">
        <f>IFERROR(__xludf.DUMMYFUNCTION("""COMPUTED_VALUE"""),40102.666666666664)</f>
        <v>40102.66667</v>
      </c>
      <c r="C4077" s="9">
        <f>IFERROR(__xludf.DUMMYFUNCTION("""COMPUTED_VALUE"""),24.36)</f>
        <v>24.36</v>
      </c>
      <c r="K4077" s="16"/>
      <c r="T4077" s="17"/>
      <c r="AC4077" s="17"/>
    </row>
    <row r="4078">
      <c r="B4078" s="11">
        <f>IFERROR(__xludf.DUMMYFUNCTION("""COMPUTED_VALUE"""),40101.666666666664)</f>
        <v>40101.66667</v>
      </c>
      <c r="C4078" s="9">
        <f>IFERROR(__xludf.DUMMYFUNCTION("""COMPUTED_VALUE"""),24.35)</f>
        <v>24.35</v>
      </c>
      <c r="K4078" s="16"/>
      <c r="T4078" s="17"/>
      <c r="AC4078" s="17"/>
    </row>
    <row r="4079">
      <c r="B4079" s="11">
        <f>IFERROR(__xludf.DUMMYFUNCTION("""COMPUTED_VALUE"""),40100.666666666664)</f>
        <v>40100.66667</v>
      </c>
      <c r="C4079" s="9">
        <f>IFERROR(__xludf.DUMMYFUNCTION("""COMPUTED_VALUE"""),24.34)</f>
        <v>24.34</v>
      </c>
      <c r="K4079" s="16"/>
      <c r="T4079" s="17"/>
      <c r="AC4079" s="17"/>
    </row>
    <row r="4080">
      <c r="B4080" s="11">
        <f>IFERROR(__xludf.DUMMYFUNCTION("""COMPUTED_VALUE"""),40099.666666666664)</f>
        <v>40099.66667</v>
      </c>
      <c r="C4080" s="9">
        <f>IFERROR(__xludf.DUMMYFUNCTION("""COMPUTED_VALUE"""),23.87)</f>
        <v>23.87</v>
      </c>
      <c r="K4080" s="16"/>
      <c r="T4080" s="17"/>
      <c r="AC4080" s="17"/>
    </row>
    <row r="4081">
      <c r="B4081" s="11">
        <f>IFERROR(__xludf.DUMMYFUNCTION("""COMPUTED_VALUE"""),40098.666666666664)</f>
        <v>40098.66667</v>
      </c>
      <c r="C4081" s="9">
        <f>IFERROR(__xludf.DUMMYFUNCTION("""COMPUTED_VALUE"""),23.92)</f>
        <v>23.92</v>
      </c>
      <c r="K4081" s="16"/>
      <c r="T4081" s="17"/>
      <c r="AC4081" s="17"/>
    </row>
    <row r="4082">
      <c r="B4082" s="11">
        <f>IFERROR(__xludf.DUMMYFUNCTION("""COMPUTED_VALUE"""),40095.666666666664)</f>
        <v>40095.66667</v>
      </c>
      <c r="C4082" s="9">
        <f>IFERROR(__xludf.DUMMYFUNCTION("""COMPUTED_VALUE"""),24.12)</f>
        <v>24.12</v>
      </c>
      <c r="K4082" s="16"/>
      <c r="T4082" s="17"/>
      <c r="AC4082" s="17"/>
    </row>
    <row r="4083">
      <c r="B4083" s="11">
        <f>IFERROR(__xludf.DUMMYFUNCTION("""COMPUTED_VALUE"""),40094.666666666664)</f>
        <v>40094.66667</v>
      </c>
      <c r="C4083" s="9">
        <f>IFERROR(__xludf.DUMMYFUNCTION("""COMPUTED_VALUE"""),23.78)</f>
        <v>23.78</v>
      </c>
      <c r="K4083" s="16"/>
      <c r="T4083" s="17"/>
      <c r="AC4083" s="17"/>
    </row>
    <row r="4084">
      <c r="B4084" s="11">
        <f>IFERROR(__xludf.DUMMYFUNCTION("""COMPUTED_VALUE"""),40093.666666666664)</f>
        <v>40093.66667</v>
      </c>
      <c r="C4084" s="9">
        <f>IFERROR(__xludf.DUMMYFUNCTION("""COMPUTED_VALUE"""),23.66)</f>
        <v>23.66</v>
      </c>
      <c r="K4084" s="16"/>
      <c r="T4084" s="17"/>
      <c r="AC4084" s="17"/>
    </row>
    <row r="4085">
      <c r="B4085" s="11">
        <f>IFERROR(__xludf.DUMMYFUNCTION("""COMPUTED_VALUE"""),40092.666666666664)</f>
        <v>40092.66667</v>
      </c>
      <c r="C4085" s="9">
        <f>IFERROR(__xludf.DUMMYFUNCTION("""COMPUTED_VALUE"""),23.71)</f>
        <v>23.71</v>
      </c>
      <c r="K4085" s="16"/>
      <c r="T4085" s="17"/>
      <c r="AC4085" s="17"/>
    </row>
    <row r="4086">
      <c r="B4086" s="11">
        <f>IFERROR(__xludf.DUMMYFUNCTION("""COMPUTED_VALUE"""),40091.666666666664)</f>
        <v>40091.66667</v>
      </c>
      <c r="C4086" s="9">
        <f>IFERROR(__xludf.DUMMYFUNCTION("""COMPUTED_VALUE"""),23.41)</f>
        <v>23.41</v>
      </c>
      <c r="K4086" s="16"/>
      <c r="T4086" s="17"/>
      <c r="AC4086" s="17"/>
    </row>
    <row r="4087">
      <c r="B4087" s="11">
        <f>IFERROR(__xludf.DUMMYFUNCTION("""COMPUTED_VALUE"""),40088.666666666664)</f>
        <v>40088.66667</v>
      </c>
      <c r="C4087" s="9">
        <f>IFERROR(__xludf.DUMMYFUNCTION("""COMPUTED_VALUE"""),23.13)</f>
        <v>23.13</v>
      </c>
      <c r="K4087" s="16"/>
      <c r="T4087" s="17"/>
      <c r="AC4087" s="17"/>
    </row>
    <row r="4088">
      <c r="B4088" s="11">
        <f>IFERROR(__xludf.DUMMYFUNCTION("""COMPUTED_VALUE"""),40087.666666666664)</f>
        <v>40087.66667</v>
      </c>
      <c r="C4088" s="9">
        <f>IFERROR(__xludf.DUMMYFUNCTION("""COMPUTED_VALUE"""),23.4)</f>
        <v>23.4</v>
      </c>
      <c r="K4088" s="16"/>
      <c r="T4088" s="17"/>
      <c r="AC4088" s="17"/>
    </row>
    <row r="4089">
      <c r="B4089" s="11">
        <f>IFERROR(__xludf.DUMMYFUNCTION("""COMPUTED_VALUE"""),40086.666666666664)</f>
        <v>40086.66667</v>
      </c>
      <c r="C4089" s="9">
        <f>IFERROR(__xludf.DUMMYFUNCTION("""COMPUTED_VALUE"""),24.03)</f>
        <v>24.03</v>
      </c>
      <c r="K4089" s="16"/>
      <c r="T4089" s="17"/>
      <c r="AC4089" s="17"/>
    </row>
    <row r="4090">
      <c r="B4090" s="11">
        <f>IFERROR(__xludf.DUMMYFUNCTION("""COMPUTED_VALUE"""),40085.666666666664)</f>
        <v>40085.66667</v>
      </c>
      <c r="C4090" s="9">
        <f>IFERROR(__xludf.DUMMYFUNCTION("""COMPUTED_VALUE"""),24.26)</f>
        <v>24.26</v>
      </c>
      <c r="K4090" s="16"/>
      <c r="T4090" s="17"/>
      <c r="AC4090" s="17"/>
    </row>
    <row r="4091">
      <c r="B4091" s="11">
        <f>IFERROR(__xludf.DUMMYFUNCTION("""COMPUTED_VALUE"""),40084.666666666664)</f>
        <v>40084.66667</v>
      </c>
      <c r="C4091" s="9">
        <f>IFERROR(__xludf.DUMMYFUNCTION("""COMPUTED_VALUE"""),24.07)</f>
        <v>24.07</v>
      </c>
      <c r="K4091" s="16"/>
      <c r="T4091" s="17"/>
      <c r="AC4091" s="17"/>
    </row>
    <row r="4092">
      <c r="B4092" s="11">
        <f>IFERROR(__xludf.DUMMYFUNCTION("""COMPUTED_VALUE"""),40081.666666666664)</f>
        <v>40081.66667</v>
      </c>
      <c r="C4092" s="9">
        <f>IFERROR(__xludf.DUMMYFUNCTION("""COMPUTED_VALUE"""),23.64)</f>
        <v>23.64</v>
      </c>
      <c r="K4092" s="16"/>
      <c r="T4092" s="17"/>
      <c r="AC4092" s="17"/>
    </row>
    <row r="4093">
      <c r="B4093" s="11">
        <f>IFERROR(__xludf.DUMMYFUNCTION("""COMPUTED_VALUE"""),40080.666666666664)</f>
        <v>40080.66667</v>
      </c>
      <c r="C4093" s="9">
        <f>IFERROR(__xludf.DUMMYFUNCTION("""COMPUTED_VALUE"""),23.77)</f>
        <v>23.77</v>
      </c>
      <c r="K4093" s="16"/>
      <c r="T4093" s="17"/>
      <c r="AC4093" s="17"/>
    </row>
    <row r="4094">
      <c r="B4094" s="11">
        <f>IFERROR(__xludf.DUMMYFUNCTION("""COMPUTED_VALUE"""),40079.666666666664)</f>
        <v>40079.66667</v>
      </c>
      <c r="C4094" s="9">
        <f>IFERROR(__xludf.DUMMYFUNCTION("""COMPUTED_VALUE"""),24.18)</f>
        <v>24.18</v>
      </c>
      <c r="K4094" s="16"/>
      <c r="T4094" s="17"/>
      <c r="AC4094" s="17"/>
    </row>
    <row r="4095">
      <c r="B4095" s="11">
        <f>IFERROR(__xludf.DUMMYFUNCTION("""COMPUTED_VALUE"""),40078.666666666664)</f>
        <v>40078.66667</v>
      </c>
      <c r="C4095" s="9">
        <f>IFERROR(__xludf.DUMMYFUNCTION("""COMPUTED_VALUE"""),24.26)</f>
        <v>24.26</v>
      </c>
      <c r="K4095" s="16"/>
      <c r="T4095" s="17"/>
      <c r="AC4095" s="17"/>
    </row>
    <row r="4096">
      <c r="B4096" s="11">
        <f>IFERROR(__xludf.DUMMYFUNCTION("""COMPUTED_VALUE"""),40077.666666666664)</f>
        <v>40077.66667</v>
      </c>
      <c r="C4096" s="9">
        <f>IFERROR(__xludf.DUMMYFUNCTION("""COMPUTED_VALUE"""),24.2)</f>
        <v>24.2</v>
      </c>
      <c r="K4096" s="16"/>
      <c r="T4096" s="17"/>
      <c r="AC4096" s="17"/>
    </row>
    <row r="4097">
      <c r="B4097" s="11">
        <f>IFERROR(__xludf.DUMMYFUNCTION("""COMPUTED_VALUE"""),40074.666666666664)</f>
        <v>40074.66667</v>
      </c>
      <c r="C4097" s="9">
        <f>IFERROR(__xludf.DUMMYFUNCTION("""COMPUTED_VALUE"""),24.37)</f>
        <v>24.37</v>
      </c>
      <c r="K4097" s="16"/>
      <c r="T4097" s="17"/>
      <c r="AC4097" s="17"/>
    </row>
    <row r="4098">
      <c r="B4098" s="11">
        <f>IFERROR(__xludf.DUMMYFUNCTION("""COMPUTED_VALUE"""),40073.666666666664)</f>
        <v>40073.66667</v>
      </c>
      <c r="C4098" s="9">
        <f>IFERROR(__xludf.DUMMYFUNCTION("""COMPUTED_VALUE"""),24.2)</f>
        <v>24.2</v>
      </c>
      <c r="K4098" s="16"/>
      <c r="T4098" s="17"/>
      <c r="AC4098" s="17"/>
    </row>
    <row r="4099">
      <c r="B4099" s="11">
        <f>IFERROR(__xludf.DUMMYFUNCTION("""COMPUTED_VALUE"""),40072.666666666664)</f>
        <v>40072.66667</v>
      </c>
      <c r="C4099" s="9">
        <f>IFERROR(__xludf.DUMMYFUNCTION("""COMPUTED_VALUE"""),23.86)</f>
        <v>23.86</v>
      </c>
      <c r="K4099" s="16"/>
      <c r="T4099" s="17"/>
      <c r="AC4099" s="17"/>
    </row>
    <row r="4100">
      <c r="B4100" s="11">
        <f>IFERROR(__xludf.DUMMYFUNCTION("""COMPUTED_VALUE"""),40071.666666666664)</f>
        <v>40071.66667</v>
      </c>
      <c r="C4100" s="9">
        <f>IFERROR(__xludf.DUMMYFUNCTION("""COMPUTED_VALUE"""),23.68)</f>
        <v>23.68</v>
      </c>
      <c r="K4100" s="16"/>
      <c r="T4100" s="17"/>
      <c r="AC4100" s="17"/>
    </row>
    <row r="4101">
      <c r="B4101" s="11">
        <f>IFERROR(__xludf.DUMMYFUNCTION("""COMPUTED_VALUE"""),40070.666666666664)</f>
        <v>40070.66667</v>
      </c>
      <c r="C4101" s="9">
        <f>IFERROR(__xludf.DUMMYFUNCTION("""COMPUTED_VALUE"""),23.54)</f>
        <v>23.54</v>
      </c>
      <c r="K4101" s="16"/>
      <c r="T4101" s="17"/>
      <c r="AC4101" s="17"/>
    </row>
    <row r="4102">
      <c r="B4102" s="11">
        <f>IFERROR(__xludf.DUMMYFUNCTION("""COMPUTED_VALUE"""),40067.666666666664)</f>
        <v>40067.66667</v>
      </c>
      <c r="C4102" s="9">
        <f>IFERROR(__xludf.DUMMYFUNCTION("""COMPUTED_VALUE"""),23.52)</f>
        <v>23.52</v>
      </c>
      <c r="K4102" s="16"/>
      <c r="T4102" s="17"/>
      <c r="AC4102" s="17"/>
    </row>
    <row r="4103">
      <c r="B4103" s="11">
        <f>IFERROR(__xludf.DUMMYFUNCTION("""COMPUTED_VALUE"""),40066.666666666664)</f>
        <v>40066.66667</v>
      </c>
      <c r="C4103" s="9">
        <f>IFERROR(__xludf.DUMMYFUNCTION("""COMPUTED_VALUE"""),23.3)</f>
        <v>23.3</v>
      </c>
      <c r="K4103" s="16"/>
      <c r="T4103" s="17"/>
      <c r="AC4103" s="17"/>
    </row>
    <row r="4104">
      <c r="B4104" s="11">
        <f>IFERROR(__xludf.DUMMYFUNCTION("""COMPUTED_VALUE"""),40065.666666666664)</f>
        <v>40065.66667</v>
      </c>
      <c r="C4104" s="9">
        <f>IFERROR(__xludf.DUMMYFUNCTION("""COMPUTED_VALUE"""),23.09)</f>
        <v>23.09</v>
      </c>
      <c r="K4104" s="16"/>
      <c r="T4104" s="17"/>
      <c r="AC4104" s="17"/>
    </row>
    <row r="4105">
      <c r="B4105" s="11">
        <f>IFERROR(__xludf.DUMMYFUNCTION("""COMPUTED_VALUE"""),40064.666666666664)</f>
        <v>40064.66667</v>
      </c>
      <c r="C4105" s="9">
        <f>IFERROR(__xludf.DUMMYFUNCTION("""COMPUTED_VALUE"""),22.86)</f>
        <v>22.86</v>
      </c>
      <c r="K4105" s="16"/>
      <c r="T4105" s="17"/>
      <c r="AC4105" s="17"/>
    </row>
    <row r="4106">
      <c r="B4106" s="11">
        <f>IFERROR(__xludf.DUMMYFUNCTION("""COMPUTED_VALUE"""),40060.666666666664)</f>
        <v>40060.66667</v>
      </c>
      <c r="C4106" s="9">
        <f>IFERROR(__xludf.DUMMYFUNCTION("""COMPUTED_VALUE"""),22.63)</f>
        <v>22.63</v>
      </c>
      <c r="K4106" s="16"/>
      <c r="T4106" s="17"/>
      <c r="AC4106" s="17"/>
    </row>
    <row r="4107">
      <c r="B4107" s="11">
        <f>IFERROR(__xludf.DUMMYFUNCTION("""COMPUTED_VALUE"""),40059.666666666664)</f>
        <v>40059.66667</v>
      </c>
      <c r="C4107" s="9">
        <f>IFERROR(__xludf.DUMMYFUNCTION("""COMPUTED_VALUE"""),22.2)</f>
        <v>22.2</v>
      </c>
      <c r="K4107" s="16"/>
      <c r="T4107" s="17"/>
      <c r="AC4107" s="17"/>
    </row>
    <row r="4108">
      <c r="B4108" s="11">
        <f>IFERROR(__xludf.DUMMYFUNCTION("""COMPUTED_VALUE"""),40058.666666666664)</f>
        <v>40058.66667</v>
      </c>
      <c r="C4108" s="9">
        <f>IFERROR(__xludf.DUMMYFUNCTION("""COMPUTED_VALUE"""),22.06)</f>
        <v>22.06</v>
      </c>
      <c r="K4108" s="16"/>
      <c r="T4108" s="17"/>
      <c r="AC4108" s="17"/>
    </row>
    <row r="4109">
      <c r="B4109" s="11">
        <f>IFERROR(__xludf.DUMMYFUNCTION("""COMPUTED_VALUE"""),40057.666666666664)</f>
        <v>40057.66667</v>
      </c>
      <c r="C4109" s="9">
        <f>IFERROR(__xludf.DUMMYFUNCTION("""COMPUTED_VALUE"""),22.17)</f>
        <v>22.17</v>
      </c>
      <c r="K4109" s="16"/>
      <c r="T4109" s="17"/>
      <c r="AC4109" s="17"/>
    </row>
    <row r="4110">
      <c r="B4110" s="11">
        <f>IFERROR(__xludf.DUMMYFUNCTION("""COMPUTED_VALUE"""),40056.666666666664)</f>
        <v>40056.66667</v>
      </c>
      <c r="C4110" s="9">
        <f>IFERROR(__xludf.DUMMYFUNCTION("""COMPUTED_VALUE"""),22.37)</f>
        <v>22.37</v>
      </c>
      <c r="K4110" s="16"/>
      <c r="T4110" s="17"/>
      <c r="AC4110" s="17"/>
    </row>
    <row r="4111">
      <c r="B4111" s="11">
        <f>IFERROR(__xludf.DUMMYFUNCTION("""COMPUTED_VALUE"""),40053.666666666664)</f>
        <v>40053.66667</v>
      </c>
      <c r="C4111" s="9">
        <f>IFERROR(__xludf.DUMMYFUNCTION("""COMPUTED_VALUE"""),22.58)</f>
        <v>22.58</v>
      </c>
      <c r="K4111" s="16"/>
      <c r="T4111" s="17"/>
      <c r="AC4111" s="17"/>
    </row>
    <row r="4112">
      <c r="B4112" s="11">
        <f>IFERROR(__xludf.DUMMYFUNCTION("""COMPUTED_VALUE"""),40052.666666666664)</f>
        <v>40052.66667</v>
      </c>
      <c r="C4112" s="9">
        <f>IFERROR(__xludf.DUMMYFUNCTION("""COMPUTED_VALUE"""),22.73)</f>
        <v>22.73</v>
      </c>
      <c r="K4112" s="16"/>
      <c r="T4112" s="17"/>
      <c r="AC4112" s="17"/>
    </row>
    <row r="4113">
      <c r="B4113" s="11">
        <f>IFERROR(__xludf.DUMMYFUNCTION("""COMPUTED_VALUE"""),40051.666666666664)</f>
        <v>40051.66667</v>
      </c>
      <c r="C4113" s="9">
        <f>IFERROR(__xludf.DUMMYFUNCTION("""COMPUTED_VALUE"""),22.28)</f>
        <v>22.28</v>
      </c>
      <c r="K4113" s="16"/>
      <c r="T4113" s="17"/>
      <c r="AC4113" s="17"/>
    </row>
    <row r="4114">
      <c r="B4114" s="11">
        <f>IFERROR(__xludf.DUMMYFUNCTION("""COMPUTED_VALUE"""),40050.666666666664)</f>
        <v>40050.66667</v>
      </c>
      <c r="C4114" s="9">
        <f>IFERROR(__xludf.DUMMYFUNCTION("""COMPUTED_VALUE"""),22.32)</f>
        <v>22.32</v>
      </c>
      <c r="K4114" s="16"/>
      <c r="T4114" s="17"/>
      <c r="AC4114" s="17"/>
    </row>
    <row r="4115">
      <c r="B4115" s="11">
        <f>IFERROR(__xludf.DUMMYFUNCTION("""COMPUTED_VALUE"""),40049.666666666664)</f>
        <v>40049.66667</v>
      </c>
      <c r="C4115" s="9">
        <f>IFERROR(__xludf.DUMMYFUNCTION("""COMPUTED_VALUE"""),22.32)</f>
        <v>22.32</v>
      </c>
      <c r="K4115" s="16"/>
      <c r="T4115" s="17"/>
      <c r="AC4115" s="17"/>
    </row>
    <row r="4116">
      <c r="B4116" s="11">
        <f>IFERROR(__xludf.DUMMYFUNCTION("""COMPUTED_VALUE"""),40046.666666666664)</f>
        <v>40046.66667</v>
      </c>
      <c r="C4116" s="9">
        <f>IFERROR(__xludf.DUMMYFUNCTION("""COMPUTED_VALUE"""),22.18)</f>
        <v>22.18</v>
      </c>
      <c r="K4116" s="16"/>
      <c r="T4116" s="17"/>
      <c r="AC4116" s="17"/>
    </row>
    <row r="4117">
      <c r="B4117" s="11">
        <f>IFERROR(__xludf.DUMMYFUNCTION("""COMPUTED_VALUE"""),40045.666666666664)</f>
        <v>40045.66667</v>
      </c>
      <c r="C4117" s="9">
        <f>IFERROR(__xludf.DUMMYFUNCTION("""COMPUTED_VALUE"""),21.62)</f>
        <v>21.62</v>
      </c>
      <c r="K4117" s="16"/>
      <c r="T4117" s="17"/>
      <c r="AC4117" s="17"/>
    </row>
    <row r="4118">
      <c r="B4118" s="11">
        <f>IFERROR(__xludf.DUMMYFUNCTION("""COMPUTED_VALUE"""),40044.666666666664)</f>
        <v>40044.66667</v>
      </c>
      <c r="C4118" s="9">
        <f>IFERROR(__xludf.DUMMYFUNCTION("""COMPUTED_VALUE"""),21.38)</f>
        <v>21.38</v>
      </c>
      <c r="K4118" s="16"/>
      <c r="T4118" s="17"/>
      <c r="AC4118" s="17"/>
    </row>
    <row r="4119">
      <c r="B4119" s="11">
        <f>IFERROR(__xludf.DUMMYFUNCTION("""COMPUTED_VALUE"""),40043.666666666664)</f>
        <v>40043.66667</v>
      </c>
      <c r="C4119" s="9">
        <f>IFERROR(__xludf.DUMMYFUNCTION("""COMPUTED_VALUE"""),21.31)</f>
        <v>21.31</v>
      </c>
      <c r="K4119" s="16"/>
      <c r="T4119" s="17"/>
      <c r="AC4119" s="17"/>
    </row>
    <row r="4120">
      <c r="B4120" s="11">
        <f>IFERROR(__xludf.DUMMYFUNCTION("""COMPUTED_VALUE"""),40042.666666666664)</f>
        <v>40042.66667</v>
      </c>
      <c r="C4120" s="9">
        <f>IFERROR(__xludf.DUMMYFUNCTION("""COMPUTED_VALUE"""),21.24)</f>
        <v>21.24</v>
      </c>
      <c r="K4120" s="16"/>
      <c r="T4120" s="17"/>
      <c r="AC4120" s="17"/>
    </row>
    <row r="4121">
      <c r="B4121" s="11">
        <f>IFERROR(__xludf.DUMMYFUNCTION("""COMPUTED_VALUE"""),40039.666666666664)</f>
        <v>40039.66667</v>
      </c>
      <c r="C4121" s="9">
        <f>IFERROR(__xludf.DUMMYFUNCTION("""COMPUTED_VALUE"""),21.67)</f>
        <v>21.67</v>
      </c>
      <c r="K4121" s="16"/>
      <c r="T4121" s="17"/>
      <c r="AC4121" s="17"/>
    </row>
    <row r="4122">
      <c r="B4122" s="11">
        <f>IFERROR(__xludf.DUMMYFUNCTION("""COMPUTED_VALUE"""),40038.666666666664)</f>
        <v>40038.66667</v>
      </c>
      <c r="C4122" s="9">
        <f>IFERROR(__xludf.DUMMYFUNCTION("""COMPUTED_VALUE"""),21.98)</f>
        <v>21.98</v>
      </c>
      <c r="K4122" s="16"/>
      <c r="T4122" s="17"/>
      <c r="AC4122" s="17"/>
    </row>
    <row r="4123">
      <c r="B4123" s="11">
        <f>IFERROR(__xludf.DUMMYFUNCTION("""COMPUTED_VALUE"""),40037.666666666664)</f>
        <v>40037.66667</v>
      </c>
      <c r="C4123" s="9">
        <f>IFERROR(__xludf.DUMMYFUNCTION("""COMPUTED_VALUE"""),22.05)</f>
        <v>22.05</v>
      </c>
      <c r="K4123" s="16"/>
      <c r="T4123" s="17"/>
      <c r="AC4123" s="17"/>
    </row>
    <row r="4124">
      <c r="B4124" s="11">
        <f>IFERROR(__xludf.DUMMYFUNCTION("""COMPUTED_VALUE"""),40036.666666666664)</f>
        <v>40036.66667</v>
      </c>
      <c r="C4124" s="9">
        <f>IFERROR(__xludf.DUMMYFUNCTION("""COMPUTED_VALUE"""),21.5)</f>
        <v>21.5</v>
      </c>
      <c r="K4124" s="16"/>
      <c r="T4124" s="17"/>
      <c r="AC4124" s="17"/>
    </row>
    <row r="4125">
      <c r="B4125" s="11">
        <f>IFERROR(__xludf.DUMMYFUNCTION("""COMPUTED_VALUE"""),40035.666666666664)</f>
        <v>40035.66667</v>
      </c>
      <c r="C4125" s="9">
        <f>IFERROR(__xludf.DUMMYFUNCTION("""COMPUTED_VALUE"""),21.75)</f>
        <v>21.75</v>
      </c>
      <c r="K4125" s="16"/>
      <c r="T4125" s="17"/>
      <c r="AC4125" s="17"/>
    </row>
    <row r="4126">
      <c r="B4126" s="11">
        <f>IFERROR(__xludf.DUMMYFUNCTION("""COMPUTED_VALUE"""),40032.666666666664)</f>
        <v>40032.66667</v>
      </c>
      <c r="C4126" s="9">
        <f>IFERROR(__xludf.DUMMYFUNCTION("""COMPUTED_VALUE"""),21.95)</f>
        <v>21.95</v>
      </c>
      <c r="K4126" s="16"/>
      <c r="T4126" s="17"/>
      <c r="AC4126" s="17"/>
    </row>
    <row r="4127">
      <c r="B4127" s="11">
        <f>IFERROR(__xludf.DUMMYFUNCTION("""COMPUTED_VALUE"""),40031.666666666664)</f>
        <v>40031.66667</v>
      </c>
      <c r="C4127" s="9">
        <f>IFERROR(__xludf.DUMMYFUNCTION("""COMPUTED_VALUE"""),21.54)</f>
        <v>21.54</v>
      </c>
      <c r="K4127" s="16"/>
      <c r="T4127" s="17"/>
      <c r="AC4127" s="17"/>
    </row>
    <row r="4128">
      <c r="B4128" s="11">
        <f>IFERROR(__xludf.DUMMYFUNCTION("""COMPUTED_VALUE"""),40030.666666666664)</f>
        <v>40030.66667</v>
      </c>
      <c r="C4128" s="9">
        <f>IFERROR(__xludf.DUMMYFUNCTION("""COMPUTED_VALUE"""),21.37)</f>
        <v>21.37</v>
      </c>
      <c r="K4128" s="16"/>
      <c r="T4128" s="17"/>
      <c r="AC4128" s="17"/>
    </row>
    <row r="4129">
      <c r="B4129" s="11">
        <f>IFERROR(__xludf.DUMMYFUNCTION("""COMPUTED_VALUE"""),40029.666666666664)</f>
        <v>40029.66667</v>
      </c>
      <c r="C4129" s="9">
        <f>IFERROR(__xludf.DUMMYFUNCTION("""COMPUTED_VALUE"""),21.61)</f>
        <v>21.61</v>
      </c>
      <c r="K4129" s="16"/>
      <c r="T4129" s="17"/>
      <c r="AC4129" s="17"/>
    </row>
    <row r="4130">
      <c r="B4130" s="11">
        <f>IFERROR(__xludf.DUMMYFUNCTION("""COMPUTED_VALUE"""),40028.666666666664)</f>
        <v>40028.66667</v>
      </c>
      <c r="C4130" s="9">
        <f>IFERROR(__xludf.DUMMYFUNCTION("""COMPUTED_VALUE"""),21.46)</f>
        <v>21.46</v>
      </c>
      <c r="K4130" s="16"/>
      <c r="T4130" s="17"/>
      <c r="AC4130" s="17"/>
    </row>
    <row r="4131">
      <c r="B4131" s="11">
        <f>IFERROR(__xludf.DUMMYFUNCTION("""COMPUTED_VALUE"""),40025.666666666664)</f>
        <v>40025.66667</v>
      </c>
      <c r="C4131" s="9">
        <f>IFERROR(__xludf.DUMMYFUNCTION("""COMPUTED_VALUE"""),21.05)</f>
        <v>21.05</v>
      </c>
      <c r="K4131" s="16"/>
      <c r="T4131" s="17"/>
      <c r="AC4131" s="17"/>
    </row>
    <row r="4132">
      <c r="B4132" s="11">
        <f>IFERROR(__xludf.DUMMYFUNCTION("""COMPUTED_VALUE"""),40024.666666666664)</f>
        <v>40024.66667</v>
      </c>
      <c r="C4132" s="9">
        <f>IFERROR(__xludf.DUMMYFUNCTION("""COMPUTED_VALUE"""),21.1)</f>
        <v>21.1</v>
      </c>
      <c r="K4132" s="16"/>
      <c r="T4132" s="17"/>
      <c r="AC4132" s="17"/>
    </row>
    <row r="4133">
      <c r="B4133" s="11">
        <f>IFERROR(__xludf.DUMMYFUNCTION("""COMPUTED_VALUE"""),40023.666666666664)</f>
        <v>40023.66667</v>
      </c>
      <c r="C4133" s="9">
        <f>IFERROR(__xludf.DUMMYFUNCTION("""COMPUTED_VALUE"""),20.79)</f>
        <v>20.79</v>
      </c>
      <c r="K4133" s="16"/>
      <c r="T4133" s="17"/>
      <c r="AC4133" s="17"/>
    </row>
    <row r="4134">
      <c r="B4134" s="11">
        <f>IFERROR(__xludf.DUMMYFUNCTION("""COMPUTED_VALUE"""),40022.666666666664)</f>
        <v>40022.66667</v>
      </c>
      <c r="C4134" s="9">
        <f>IFERROR(__xludf.DUMMYFUNCTION("""COMPUTED_VALUE"""),20.71)</f>
        <v>20.71</v>
      </c>
      <c r="K4134" s="16"/>
      <c r="T4134" s="17"/>
      <c r="AC4134" s="17"/>
    </row>
    <row r="4135">
      <c r="B4135" s="11">
        <f>IFERROR(__xludf.DUMMYFUNCTION("""COMPUTED_VALUE"""),40021.666666666664)</f>
        <v>40021.66667</v>
      </c>
      <c r="C4135" s="9">
        <f>IFERROR(__xludf.DUMMYFUNCTION("""COMPUTED_VALUE"""),20.57)</f>
        <v>20.57</v>
      </c>
      <c r="K4135" s="16"/>
      <c r="T4135" s="17"/>
      <c r="AC4135" s="17"/>
    </row>
    <row r="4136">
      <c r="B4136" s="11">
        <f>IFERROR(__xludf.DUMMYFUNCTION("""COMPUTED_VALUE"""),40018.666666666664)</f>
        <v>40018.66667</v>
      </c>
      <c r="C4136" s="9">
        <f>IFERROR(__xludf.DUMMYFUNCTION("""COMPUTED_VALUE"""),20.7)</f>
        <v>20.7</v>
      </c>
      <c r="K4136" s="16"/>
      <c r="T4136" s="17"/>
      <c r="AC4136" s="17"/>
    </row>
    <row r="4137">
      <c r="B4137" s="11">
        <f>IFERROR(__xludf.DUMMYFUNCTION("""COMPUTED_VALUE"""),40017.666666666664)</f>
        <v>40017.66667</v>
      </c>
      <c r="C4137" s="9">
        <f>IFERROR(__xludf.DUMMYFUNCTION("""COMPUTED_VALUE"""),20.83)</f>
        <v>20.83</v>
      </c>
      <c r="K4137" s="16"/>
      <c r="T4137" s="17"/>
      <c r="AC4137" s="17"/>
    </row>
    <row r="4138">
      <c r="B4138" s="11">
        <f>IFERROR(__xludf.DUMMYFUNCTION("""COMPUTED_VALUE"""),40016.666666666664)</f>
        <v>40016.66667</v>
      </c>
      <c r="C4138" s="9">
        <f>IFERROR(__xludf.DUMMYFUNCTION("""COMPUTED_VALUE"""),20.75)</f>
        <v>20.75</v>
      </c>
      <c r="K4138" s="16"/>
      <c r="T4138" s="17"/>
      <c r="AC4138" s="17"/>
    </row>
    <row r="4139">
      <c r="B4139" s="11">
        <f>IFERROR(__xludf.DUMMYFUNCTION("""COMPUTED_VALUE"""),40015.666666666664)</f>
        <v>40015.66667</v>
      </c>
      <c r="C4139" s="9">
        <f>IFERROR(__xludf.DUMMYFUNCTION("""COMPUTED_VALUE"""),20.79)</f>
        <v>20.79</v>
      </c>
      <c r="K4139" s="16"/>
      <c r="T4139" s="17"/>
      <c r="AC4139" s="17"/>
    </row>
    <row r="4140">
      <c r="B4140" s="11">
        <f>IFERROR(__xludf.DUMMYFUNCTION("""COMPUTED_VALUE"""),40014.666666666664)</f>
        <v>40014.66667</v>
      </c>
      <c r="C4140" s="9">
        <f>IFERROR(__xludf.DUMMYFUNCTION("""COMPUTED_VALUE"""),20.9)</f>
        <v>20.9</v>
      </c>
      <c r="K4140" s="16"/>
      <c r="T4140" s="17"/>
      <c r="AC4140" s="17"/>
    </row>
    <row r="4141">
      <c r="B4141" s="11">
        <f>IFERROR(__xludf.DUMMYFUNCTION("""COMPUTED_VALUE"""),40011.666666666664)</f>
        <v>40011.66667</v>
      </c>
      <c r="C4141" s="9">
        <f>IFERROR(__xludf.DUMMYFUNCTION("""COMPUTED_VALUE"""),20.58)</f>
        <v>20.58</v>
      </c>
      <c r="K4141" s="16"/>
      <c r="T4141" s="17"/>
      <c r="AC4141" s="17"/>
    </row>
    <row r="4142">
      <c r="B4142" s="11">
        <f>IFERROR(__xludf.DUMMYFUNCTION("""COMPUTED_VALUE"""),40010.666666666664)</f>
        <v>40010.66667</v>
      </c>
      <c r="C4142" s="9">
        <f>IFERROR(__xludf.DUMMYFUNCTION("""COMPUTED_VALUE"""),20.77)</f>
        <v>20.77</v>
      </c>
      <c r="K4142" s="16"/>
      <c r="T4142" s="17"/>
      <c r="AC4142" s="17"/>
    </row>
    <row r="4143">
      <c r="B4143" s="11">
        <f>IFERROR(__xludf.DUMMYFUNCTION("""COMPUTED_VALUE"""),40009.666666666664)</f>
        <v>40009.66667</v>
      </c>
      <c r="C4143" s="9">
        <f>IFERROR(__xludf.DUMMYFUNCTION("""COMPUTED_VALUE"""),20.45)</f>
        <v>20.45</v>
      </c>
      <c r="K4143" s="16"/>
      <c r="T4143" s="17"/>
      <c r="AC4143" s="17"/>
    </row>
    <row r="4144">
      <c r="B4144" s="11">
        <f>IFERROR(__xludf.DUMMYFUNCTION("""COMPUTED_VALUE"""),40008.666666666664)</f>
        <v>40008.66667</v>
      </c>
      <c r="C4144" s="9">
        <f>IFERROR(__xludf.DUMMYFUNCTION("""COMPUTED_VALUE"""),19.9)</f>
        <v>19.9</v>
      </c>
      <c r="K4144" s="16"/>
      <c r="T4144" s="17"/>
      <c r="AC4144" s="17"/>
    </row>
    <row r="4145">
      <c r="B4145" s="11">
        <f>IFERROR(__xludf.DUMMYFUNCTION("""COMPUTED_VALUE"""),40007.666666666664)</f>
        <v>40007.66667</v>
      </c>
      <c r="C4145" s="9">
        <f>IFERROR(__xludf.DUMMYFUNCTION("""COMPUTED_VALUE"""),19.58)</f>
        <v>19.58</v>
      </c>
      <c r="K4145" s="16"/>
      <c r="T4145" s="17"/>
      <c r="AC4145" s="17"/>
    </row>
    <row r="4146">
      <c r="B4146" s="11">
        <f>IFERROR(__xludf.DUMMYFUNCTION("""COMPUTED_VALUE"""),40004.666666666664)</f>
        <v>40004.66667</v>
      </c>
      <c r="C4146" s="9">
        <f>IFERROR(__xludf.DUMMYFUNCTION("""COMPUTED_VALUE"""),19.17)</f>
        <v>19.17</v>
      </c>
      <c r="K4146" s="16"/>
      <c r="T4146" s="17"/>
      <c r="AC4146" s="17"/>
    </row>
    <row r="4147">
      <c r="B4147" s="11">
        <f>IFERROR(__xludf.DUMMYFUNCTION("""COMPUTED_VALUE"""),40003.666666666664)</f>
        <v>40003.66667</v>
      </c>
      <c r="C4147" s="9">
        <f>IFERROR(__xludf.DUMMYFUNCTION("""COMPUTED_VALUE"""),19.05)</f>
        <v>19.05</v>
      </c>
      <c r="K4147" s="16"/>
      <c r="T4147" s="17"/>
      <c r="AC4147" s="17"/>
    </row>
    <row r="4148">
      <c r="B4148" s="11">
        <f>IFERROR(__xludf.DUMMYFUNCTION("""COMPUTED_VALUE"""),40002.666666666664)</f>
        <v>40002.66667</v>
      </c>
      <c r="C4148" s="9">
        <f>IFERROR(__xludf.DUMMYFUNCTION("""COMPUTED_VALUE"""),19.11)</f>
        <v>19.11</v>
      </c>
      <c r="K4148" s="16"/>
      <c r="T4148" s="17"/>
      <c r="AC4148" s="17"/>
    </row>
    <row r="4149">
      <c r="B4149" s="11">
        <f>IFERROR(__xludf.DUMMYFUNCTION("""COMPUTED_VALUE"""),40001.666666666664)</f>
        <v>40001.66667</v>
      </c>
      <c r="C4149" s="9">
        <f>IFERROR(__xludf.DUMMYFUNCTION("""COMPUTED_VALUE"""),19.11)</f>
        <v>19.11</v>
      </c>
      <c r="K4149" s="16"/>
      <c r="T4149" s="17"/>
      <c r="AC4149" s="17"/>
    </row>
    <row r="4150">
      <c r="B4150" s="11">
        <f>IFERROR(__xludf.DUMMYFUNCTION("""COMPUTED_VALUE"""),40000.666666666664)</f>
        <v>40000.66667</v>
      </c>
      <c r="C4150" s="9">
        <f>IFERROR(__xludf.DUMMYFUNCTION("""COMPUTED_VALUE"""),19.64)</f>
        <v>19.64</v>
      </c>
      <c r="K4150" s="16"/>
      <c r="T4150" s="17"/>
      <c r="AC4150" s="17"/>
    </row>
    <row r="4151">
      <c r="B4151" s="11">
        <f>IFERROR(__xludf.DUMMYFUNCTION("""COMPUTED_VALUE"""),39997.666666666664)</f>
        <v>39997.66667</v>
      </c>
      <c r="C4151" s="9">
        <f>IFERROR(__xludf.DUMMYFUNCTION("""COMPUTED_VALUE"""),19.7)</f>
        <v>19.7</v>
      </c>
      <c r="K4151" s="16"/>
      <c r="T4151" s="17"/>
      <c r="AC4151" s="17"/>
    </row>
    <row r="4152">
      <c r="B4152" s="11">
        <f>IFERROR(__xludf.DUMMYFUNCTION("""COMPUTED_VALUE"""),39996.666666666664)</f>
        <v>39996.66667</v>
      </c>
      <c r="C4152" s="9">
        <f>IFERROR(__xludf.DUMMYFUNCTION("""COMPUTED_VALUE"""),19.7)</f>
        <v>19.7</v>
      </c>
      <c r="K4152" s="16"/>
      <c r="T4152" s="17"/>
      <c r="AC4152" s="17"/>
    </row>
    <row r="4153">
      <c r="B4153" s="11">
        <f>IFERROR(__xludf.DUMMYFUNCTION("""COMPUTED_VALUE"""),39995.666666666664)</f>
        <v>39995.66667</v>
      </c>
      <c r="C4153" s="9">
        <f>IFERROR(__xludf.DUMMYFUNCTION("""COMPUTED_VALUE"""),20.42)</f>
        <v>20.42</v>
      </c>
      <c r="K4153" s="16"/>
      <c r="T4153" s="17"/>
      <c r="AC4153" s="17"/>
    </row>
    <row r="4154">
      <c r="B4154" s="11">
        <f>IFERROR(__xludf.DUMMYFUNCTION("""COMPUTED_VALUE"""),39994.666666666664)</f>
        <v>39994.66667</v>
      </c>
      <c r="C4154" s="9">
        <f>IFERROR(__xludf.DUMMYFUNCTION("""COMPUTED_VALUE"""),20.4)</f>
        <v>20.4</v>
      </c>
      <c r="K4154" s="16"/>
      <c r="T4154" s="17"/>
      <c r="AC4154" s="17"/>
    </row>
    <row r="4155">
      <c r="B4155" s="11">
        <f>IFERROR(__xludf.DUMMYFUNCTION("""COMPUTED_VALUE"""),39993.666666666664)</f>
        <v>39993.66667</v>
      </c>
      <c r="C4155" s="9">
        <f>IFERROR(__xludf.DUMMYFUNCTION("""COMPUTED_VALUE"""),20.65)</f>
        <v>20.65</v>
      </c>
      <c r="K4155" s="16"/>
      <c r="T4155" s="17"/>
      <c r="AC4155" s="17"/>
    </row>
    <row r="4156">
      <c r="B4156" s="11">
        <f>IFERROR(__xludf.DUMMYFUNCTION("""COMPUTED_VALUE"""),39990.666666666664)</f>
        <v>39990.66667</v>
      </c>
      <c r="C4156" s="9">
        <f>IFERROR(__xludf.DUMMYFUNCTION("""COMPUTED_VALUE"""),20.38)</f>
        <v>20.38</v>
      </c>
      <c r="K4156" s="16"/>
      <c r="T4156" s="17"/>
      <c r="AC4156" s="17"/>
    </row>
    <row r="4157">
      <c r="B4157" s="11">
        <f>IFERROR(__xludf.DUMMYFUNCTION("""COMPUTED_VALUE"""),39989.666666666664)</f>
        <v>39989.66667</v>
      </c>
      <c r="C4157" s="9">
        <f>IFERROR(__xludf.DUMMYFUNCTION("""COMPUTED_VALUE"""),20.49)</f>
        <v>20.49</v>
      </c>
      <c r="K4157" s="16"/>
      <c r="T4157" s="17"/>
      <c r="AC4157" s="17"/>
    </row>
    <row r="4158">
      <c r="B4158" s="11">
        <f>IFERROR(__xludf.DUMMYFUNCTION("""COMPUTED_VALUE"""),39988.666666666664)</f>
        <v>39988.66667</v>
      </c>
      <c r="C4158" s="9">
        <f>IFERROR(__xludf.DUMMYFUNCTION("""COMPUTED_VALUE"""),20.08)</f>
        <v>20.08</v>
      </c>
      <c r="K4158" s="16"/>
      <c r="T4158" s="17"/>
      <c r="AC4158" s="17"/>
    </row>
    <row r="4159">
      <c r="B4159" s="11">
        <f>IFERROR(__xludf.DUMMYFUNCTION("""COMPUTED_VALUE"""),39987.666666666664)</f>
        <v>39987.66667</v>
      </c>
      <c r="C4159" s="9">
        <f>IFERROR(__xludf.DUMMYFUNCTION("""COMPUTED_VALUE"""),20.42)</f>
        <v>20.42</v>
      </c>
      <c r="K4159" s="16"/>
      <c r="T4159" s="17"/>
      <c r="AC4159" s="17"/>
    </row>
    <row r="4160">
      <c r="B4160" s="11">
        <f>IFERROR(__xludf.DUMMYFUNCTION("""COMPUTED_VALUE"""),39986.666666666664)</f>
        <v>39986.66667</v>
      </c>
      <c r="C4160" s="9">
        <f>IFERROR(__xludf.DUMMYFUNCTION("""COMPUTED_VALUE"""),20.95)</f>
        <v>20.95</v>
      </c>
      <c r="K4160" s="16"/>
      <c r="T4160" s="17"/>
      <c r="AC4160" s="17"/>
    </row>
    <row r="4161">
      <c r="B4161" s="11">
        <f>IFERROR(__xludf.DUMMYFUNCTION("""COMPUTED_VALUE"""),39983.666666666664)</f>
        <v>39983.66667</v>
      </c>
      <c r="C4161" s="9">
        <f>IFERROR(__xludf.DUMMYFUNCTION("""COMPUTED_VALUE"""),21.42)</f>
        <v>21.42</v>
      </c>
      <c r="K4161" s="16"/>
      <c r="T4161" s="17"/>
      <c r="AC4161" s="17"/>
    </row>
    <row r="4162">
      <c r="B4162" s="11">
        <f>IFERROR(__xludf.DUMMYFUNCTION("""COMPUTED_VALUE"""),39982.666666666664)</f>
        <v>39982.66667</v>
      </c>
      <c r="C4162" s="9">
        <f>IFERROR(__xludf.DUMMYFUNCTION("""COMPUTED_VALUE"""),21.52)</f>
        <v>21.52</v>
      </c>
      <c r="K4162" s="16"/>
      <c r="T4162" s="17"/>
      <c r="AC4162" s="17"/>
    </row>
    <row r="4163">
      <c r="B4163" s="11">
        <f>IFERROR(__xludf.DUMMYFUNCTION("""COMPUTED_VALUE"""),39981.666666666664)</f>
        <v>39981.66667</v>
      </c>
      <c r="C4163" s="9">
        <f>IFERROR(__xludf.DUMMYFUNCTION("""COMPUTED_VALUE"""),21.35)</f>
        <v>21.35</v>
      </c>
      <c r="K4163" s="16"/>
      <c r="T4163" s="17"/>
      <c r="AC4163" s="17"/>
    </row>
    <row r="4164">
      <c r="B4164" s="11">
        <f>IFERROR(__xludf.DUMMYFUNCTION("""COMPUTED_VALUE"""),39980.666666666664)</f>
        <v>39980.66667</v>
      </c>
      <c r="C4164" s="9">
        <f>IFERROR(__xludf.DUMMYFUNCTION("""COMPUTED_VALUE"""),21.34)</f>
        <v>21.34</v>
      </c>
      <c r="K4164" s="16"/>
      <c r="T4164" s="17"/>
      <c r="AC4164" s="17"/>
    </row>
    <row r="4165">
      <c r="B4165" s="11">
        <f>IFERROR(__xludf.DUMMYFUNCTION("""COMPUTED_VALUE"""),39979.666666666664)</f>
        <v>39979.66667</v>
      </c>
      <c r="C4165" s="9">
        <f>IFERROR(__xludf.DUMMYFUNCTION("""COMPUTED_VALUE"""),21.63)</f>
        <v>21.63</v>
      </c>
      <c r="K4165" s="16"/>
      <c r="T4165" s="17"/>
      <c r="AC4165" s="17"/>
    </row>
    <row r="4166">
      <c r="B4166" s="11">
        <f>IFERROR(__xludf.DUMMYFUNCTION("""COMPUTED_VALUE"""),39976.666666666664)</f>
        <v>39976.66667</v>
      </c>
      <c r="C4166" s="9">
        <f>IFERROR(__xludf.DUMMYFUNCTION("""COMPUTED_VALUE"""),22.18)</f>
        <v>22.18</v>
      </c>
      <c r="K4166" s="16"/>
      <c r="T4166" s="17"/>
      <c r="AC4166" s="17"/>
    </row>
    <row r="4167">
      <c r="B4167" s="11">
        <f>IFERROR(__xludf.DUMMYFUNCTION("""COMPUTED_VALUE"""),39975.666666666664)</f>
        <v>39975.66667</v>
      </c>
      <c r="C4167" s="9">
        <f>IFERROR(__xludf.DUMMYFUNCTION("""COMPUTED_VALUE"""),22.02)</f>
        <v>22.02</v>
      </c>
      <c r="K4167" s="16"/>
      <c r="T4167" s="17"/>
      <c r="AC4167" s="17"/>
    </row>
    <row r="4168">
      <c r="B4168" s="11">
        <f>IFERROR(__xludf.DUMMYFUNCTION("""COMPUTED_VALUE"""),39974.666666666664)</f>
        <v>39974.66667</v>
      </c>
      <c r="C4168" s="9">
        <f>IFERROR(__xludf.DUMMYFUNCTION("""COMPUTED_VALUE"""),22.31)</f>
        <v>22.31</v>
      </c>
      <c r="K4168" s="16"/>
      <c r="T4168" s="17"/>
      <c r="AC4168" s="17"/>
    </row>
    <row r="4169">
      <c r="B4169" s="11">
        <f>IFERROR(__xludf.DUMMYFUNCTION("""COMPUTED_VALUE"""),39973.666666666664)</f>
        <v>39973.66667</v>
      </c>
      <c r="C4169" s="9">
        <f>IFERROR(__xludf.DUMMYFUNCTION("""COMPUTED_VALUE"""),22.39)</f>
        <v>22.39</v>
      </c>
      <c r="K4169" s="16"/>
      <c r="T4169" s="17"/>
      <c r="AC4169" s="17"/>
    </row>
    <row r="4170">
      <c r="B4170" s="11">
        <f>IFERROR(__xludf.DUMMYFUNCTION("""COMPUTED_VALUE"""),39972.666666666664)</f>
        <v>39972.66667</v>
      </c>
      <c r="C4170" s="9">
        <f>IFERROR(__xludf.DUMMYFUNCTION("""COMPUTED_VALUE"""),22.68)</f>
        <v>22.68</v>
      </c>
      <c r="K4170" s="16"/>
      <c r="T4170" s="17"/>
      <c r="AC4170" s="17"/>
    </row>
    <row r="4171">
      <c r="B4171" s="11">
        <f>IFERROR(__xludf.DUMMYFUNCTION("""COMPUTED_VALUE"""),39969.666666666664)</f>
        <v>39969.66667</v>
      </c>
      <c r="C4171" s="9">
        <f>IFERROR(__xludf.DUMMYFUNCTION("""COMPUTED_VALUE"""),22.84)</f>
        <v>22.84</v>
      </c>
      <c r="K4171" s="16"/>
      <c r="T4171" s="17"/>
      <c r="AC4171" s="17"/>
    </row>
    <row r="4172">
      <c r="B4172" s="11">
        <f>IFERROR(__xludf.DUMMYFUNCTION("""COMPUTED_VALUE"""),39968.666666666664)</f>
        <v>39968.66667</v>
      </c>
      <c r="C4172" s="9">
        <f>IFERROR(__xludf.DUMMYFUNCTION("""COMPUTED_VALUE"""),22.31)</f>
        <v>22.31</v>
      </c>
      <c r="K4172" s="16"/>
      <c r="T4172" s="17"/>
      <c r="AC4172" s="17"/>
    </row>
    <row r="4173">
      <c r="B4173" s="11">
        <f>IFERROR(__xludf.DUMMYFUNCTION("""COMPUTED_VALUE"""),39967.666666666664)</f>
        <v>39967.66667</v>
      </c>
      <c r="C4173" s="9">
        <f>IFERROR(__xludf.DUMMYFUNCTION("""COMPUTED_VALUE"""),21.76)</f>
        <v>21.76</v>
      </c>
      <c r="K4173" s="16"/>
      <c r="T4173" s="17"/>
      <c r="AC4173" s="17"/>
    </row>
    <row r="4174">
      <c r="B4174" s="11">
        <f>IFERROR(__xludf.DUMMYFUNCTION("""COMPUTED_VALUE"""),39966.666666666664)</f>
        <v>39966.66667</v>
      </c>
      <c r="C4174" s="9">
        <f>IFERROR(__xludf.DUMMYFUNCTION("""COMPUTED_VALUE"""),22.1)</f>
        <v>22.1</v>
      </c>
      <c r="K4174" s="16"/>
      <c r="T4174" s="17"/>
      <c r="AC4174" s="17"/>
    </row>
    <row r="4175">
      <c r="B4175" s="11">
        <f>IFERROR(__xludf.DUMMYFUNCTION("""COMPUTED_VALUE"""),39965.666666666664)</f>
        <v>39965.66667</v>
      </c>
      <c r="C4175" s="9">
        <f>IFERROR(__xludf.DUMMYFUNCTION("""COMPUTED_VALUE"""),21.93)</f>
        <v>21.93</v>
      </c>
      <c r="K4175" s="16"/>
      <c r="T4175" s="17"/>
      <c r="AC4175" s="17"/>
    </row>
    <row r="4176">
      <c r="B4176" s="11">
        <f>IFERROR(__xludf.DUMMYFUNCTION("""COMPUTED_VALUE"""),39962.666666666664)</f>
        <v>39962.66667</v>
      </c>
      <c r="C4176" s="9">
        <f>IFERROR(__xludf.DUMMYFUNCTION("""COMPUTED_VALUE"""),20.99)</f>
        <v>20.99</v>
      </c>
      <c r="K4176" s="16"/>
      <c r="T4176" s="17"/>
      <c r="AC4176" s="17"/>
    </row>
    <row r="4177">
      <c r="B4177" s="11">
        <f>IFERROR(__xludf.DUMMYFUNCTION("""COMPUTED_VALUE"""),39961.666666666664)</f>
        <v>39961.66667</v>
      </c>
      <c r="C4177" s="9">
        <f>IFERROR(__xludf.DUMMYFUNCTION("""COMPUTED_VALUE"""),20.95)</f>
        <v>20.95</v>
      </c>
      <c r="K4177" s="16"/>
      <c r="T4177" s="17"/>
      <c r="AC4177" s="17"/>
    </row>
    <row r="4178">
      <c r="B4178" s="11">
        <f>IFERROR(__xludf.DUMMYFUNCTION("""COMPUTED_VALUE"""),39960.666666666664)</f>
        <v>39960.66667</v>
      </c>
      <c r="C4178" s="9">
        <f>IFERROR(__xludf.DUMMYFUNCTION("""COMPUTED_VALUE"""),20.64)</f>
        <v>20.64</v>
      </c>
      <c r="K4178" s="16"/>
      <c r="T4178" s="17"/>
      <c r="AC4178" s="17"/>
    </row>
    <row r="4179">
      <c r="B4179" s="11">
        <f>IFERROR(__xludf.DUMMYFUNCTION("""COMPUTED_VALUE"""),39959.666666666664)</f>
        <v>39959.66667</v>
      </c>
      <c r="C4179" s="9">
        <f>IFERROR(__xludf.DUMMYFUNCTION("""COMPUTED_VALUE"""),20.88)</f>
        <v>20.88</v>
      </c>
      <c r="K4179" s="16"/>
      <c r="T4179" s="17"/>
      <c r="AC4179" s="17"/>
    </row>
    <row r="4180">
      <c r="B4180" s="11">
        <f>IFERROR(__xludf.DUMMYFUNCTION("""COMPUTED_VALUE"""),39955.666666666664)</f>
        <v>39955.66667</v>
      </c>
      <c r="C4180" s="9">
        <f>IFERROR(__xludf.DUMMYFUNCTION("""COMPUTED_VALUE"""),20.27)</f>
        <v>20.27</v>
      </c>
      <c r="K4180" s="16"/>
      <c r="T4180" s="17"/>
      <c r="AC4180" s="17"/>
    </row>
    <row r="4181">
      <c r="B4181" s="11">
        <f>IFERROR(__xludf.DUMMYFUNCTION("""COMPUTED_VALUE"""),39954.666666666664)</f>
        <v>39954.66667</v>
      </c>
      <c r="C4181" s="9">
        <f>IFERROR(__xludf.DUMMYFUNCTION("""COMPUTED_VALUE"""),20.28)</f>
        <v>20.28</v>
      </c>
      <c r="K4181" s="16"/>
      <c r="T4181" s="17"/>
      <c r="AC4181" s="17"/>
    </row>
    <row r="4182">
      <c r="B4182" s="11">
        <f>IFERROR(__xludf.DUMMYFUNCTION("""COMPUTED_VALUE"""),39953.666666666664)</f>
        <v>39953.66667</v>
      </c>
      <c r="C4182" s="9">
        <f>IFERROR(__xludf.DUMMYFUNCTION("""COMPUTED_VALUE"""),20.76)</f>
        <v>20.76</v>
      </c>
      <c r="K4182" s="16"/>
      <c r="T4182" s="17"/>
      <c r="AC4182" s="17"/>
    </row>
    <row r="4183">
      <c r="B4183" s="11">
        <f>IFERROR(__xludf.DUMMYFUNCTION("""COMPUTED_VALUE"""),39952.666666666664)</f>
        <v>39952.66667</v>
      </c>
      <c r="C4183" s="9">
        <f>IFERROR(__xludf.DUMMYFUNCTION("""COMPUTED_VALUE"""),20.73)</f>
        <v>20.73</v>
      </c>
      <c r="K4183" s="16"/>
      <c r="T4183" s="17"/>
      <c r="AC4183" s="17"/>
    </row>
    <row r="4184">
      <c r="B4184" s="11">
        <f>IFERROR(__xludf.DUMMYFUNCTION("""COMPUTED_VALUE"""),39951.666666666664)</f>
        <v>39951.66667</v>
      </c>
      <c r="C4184" s="9">
        <f>IFERROR(__xludf.DUMMYFUNCTION("""COMPUTED_VALUE"""),20.67)</f>
        <v>20.67</v>
      </c>
      <c r="K4184" s="16"/>
      <c r="T4184" s="17"/>
      <c r="AC4184" s="17"/>
    </row>
    <row r="4185">
      <c r="B4185" s="11">
        <f>IFERROR(__xludf.DUMMYFUNCTION("""COMPUTED_VALUE"""),39948.666666666664)</f>
        <v>39948.66667</v>
      </c>
      <c r="C4185" s="9">
        <f>IFERROR(__xludf.DUMMYFUNCTION("""COMPUTED_VALUE"""),20.11)</f>
        <v>20.11</v>
      </c>
      <c r="K4185" s="16"/>
      <c r="T4185" s="17"/>
      <c r="AC4185" s="17"/>
    </row>
    <row r="4186">
      <c r="B4186" s="11">
        <f>IFERROR(__xludf.DUMMYFUNCTION("""COMPUTED_VALUE"""),39947.666666666664)</f>
        <v>39947.66667</v>
      </c>
      <c r="C4186" s="9">
        <f>IFERROR(__xludf.DUMMYFUNCTION("""COMPUTED_VALUE"""),20.26)</f>
        <v>20.26</v>
      </c>
      <c r="K4186" s="16"/>
      <c r="T4186" s="17"/>
      <c r="AC4186" s="17"/>
    </row>
    <row r="4187">
      <c r="B4187" s="11">
        <f>IFERROR(__xludf.DUMMYFUNCTION("""COMPUTED_VALUE"""),39946.666666666664)</f>
        <v>39946.66667</v>
      </c>
      <c r="C4187" s="9">
        <f>IFERROR(__xludf.DUMMYFUNCTION("""COMPUTED_VALUE"""),20.07)</f>
        <v>20.07</v>
      </c>
      <c r="K4187" s="16"/>
      <c r="T4187" s="17"/>
      <c r="AC4187" s="17"/>
    </row>
    <row r="4188">
      <c r="B4188" s="11">
        <f>IFERROR(__xludf.DUMMYFUNCTION("""COMPUTED_VALUE"""),39945.666666666664)</f>
        <v>39945.66667</v>
      </c>
      <c r="C4188" s="9">
        <f>IFERROR(__xludf.DUMMYFUNCTION("""COMPUTED_VALUE"""),20.7)</f>
        <v>20.7</v>
      </c>
      <c r="K4188" s="16"/>
      <c r="T4188" s="17"/>
      <c r="AC4188" s="17"/>
    </row>
    <row r="4189">
      <c r="B4189" s="11">
        <f>IFERROR(__xludf.DUMMYFUNCTION("""COMPUTED_VALUE"""),39944.666666666664)</f>
        <v>39944.66667</v>
      </c>
      <c r="C4189" s="9">
        <f>IFERROR(__xludf.DUMMYFUNCTION("""COMPUTED_VALUE"""),20.74)</f>
        <v>20.74</v>
      </c>
      <c r="K4189" s="16"/>
      <c r="T4189" s="17"/>
      <c r="AC4189" s="17"/>
    </row>
    <row r="4190">
      <c r="B4190" s="11">
        <f>IFERROR(__xludf.DUMMYFUNCTION("""COMPUTED_VALUE"""),39941.666666666664)</f>
        <v>39941.66667</v>
      </c>
      <c r="C4190" s="9">
        <f>IFERROR(__xludf.DUMMYFUNCTION("""COMPUTED_VALUE"""),21.25)</f>
        <v>21.25</v>
      </c>
      <c r="K4190" s="16"/>
      <c r="T4190" s="17"/>
      <c r="AC4190" s="17"/>
    </row>
    <row r="4191">
      <c r="B4191" s="11">
        <f>IFERROR(__xludf.DUMMYFUNCTION("""COMPUTED_VALUE"""),39940.666666666664)</f>
        <v>39940.66667</v>
      </c>
      <c r="C4191" s="9">
        <f>IFERROR(__xludf.DUMMYFUNCTION("""COMPUTED_VALUE"""),20.39)</f>
        <v>20.39</v>
      </c>
      <c r="K4191" s="16"/>
      <c r="T4191" s="17"/>
      <c r="AC4191" s="17"/>
    </row>
    <row r="4192">
      <c r="B4192" s="11">
        <f>IFERROR(__xludf.DUMMYFUNCTION("""COMPUTED_VALUE"""),39939.666666666664)</f>
        <v>39939.66667</v>
      </c>
      <c r="C4192" s="9">
        <f>IFERROR(__xludf.DUMMYFUNCTION("""COMPUTED_VALUE"""),20.66)</f>
        <v>20.66</v>
      </c>
      <c r="K4192" s="16"/>
      <c r="T4192" s="17"/>
      <c r="AC4192" s="17"/>
    </row>
    <row r="4193">
      <c r="B4193" s="11">
        <f>IFERROR(__xludf.DUMMYFUNCTION("""COMPUTED_VALUE"""),39938.666666666664)</f>
        <v>39938.66667</v>
      </c>
      <c r="C4193" s="9">
        <f>IFERROR(__xludf.DUMMYFUNCTION("""COMPUTED_VALUE"""),20.49)</f>
        <v>20.49</v>
      </c>
      <c r="K4193" s="16"/>
      <c r="T4193" s="17"/>
      <c r="AC4193" s="17"/>
    </row>
    <row r="4194">
      <c r="B4194" s="11">
        <f>IFERROR(__xludf.DUMMYFUNCTION("""COMPUTED_VALUE"""),39937.666666666664)</f>
        <v>39937.66667</v>
      </c>
      <c r="C4194" s="9">
        <f>IFERROR(__xludf.DUMMYFUNCTION("""COMPUTED_VALUE"""),20.4)</f>
        <v>20.4</v>
      </c>
      <c r="K4194" s="16"/>
      <c r="T4194" s="17"/>
      <c r="AC4194" s="17"/>
    </row>
    <row r="4195">
      <c r="B4195" s="11">
        <f>IFERROR(__xludf.DUMMYFUNCTION("""COMPUTED_VALUE"""),39934.666666666664)</f>
        <v>39934.66667</v>
      </c>
      <c r="C4195" s="9">
        <f>IFERROR(__xludf.DUMMYFUNCTION("""COMPUTED_VALUE"""),20.02)</f>
        <v>20.02</v>
      </c>
      <c r="K4195" s="16"/>
      <c r="T4195" s="17"/>
      <c r="AC4195" s="17"/>
    </row>
    <row r="4196">
      <c r="B4196" s="11">
        <f>IFERROR(__xludf.DUMMYFUNCTION("""COMPUTED_VALUE"""),39933.666666666664)</f>
        <v>39933.66667</v>
      </c>
      <c r="C4196" s="9">
        <f>IFERROR(__xludf.DUMMYFUNCTION("""COMPUTED_VALUE"""),19.72)</f>
        <v>19.72</v>
      </c>
      <c r="K4196" s="16"/>
      <c r="T4196" s="17"/>
      <c r="AC4196" s="17"/>
    </row>
    <row r="4197">
      <c r="B4197" s="11">
        <f>IFERROR(__xludf.DUMMYFUNCTION("""COMPUTED_VALUE"""),39932.666666666664)</f>
        <v>39932.66667</v>
      </c>
      <c r="C4197" s="9">
        <f>IFERROR(__xludf.DUMMYFUNCTION("""COMPUTED_VALUE"""),19.93)</f>
        <v>19.93</v>
      </c>
      <c r="K4197" s="16"/>
      <c r="T4197" s="17"/>
      <c r="AC4197" s="17"/>
    </row>
    <row r="4198">
      <c r="B4198" s="11">
        <f>IFERROR(__xludf.DUMMYFUNCTION("""COMPUTED_VALUE"""),39931.666666666664)</f>
        <v>39931.66667</v>
      </c>
      <c r="C4198" s="9">
        <f>IFERROR(__xludf.DUMMYFUNCTION("""COMPUTED_VALUE"""),19.36)</f>
        <v>19.36</v>
      </c>
      <c r="K4198" s="16"/>
      <c r="T4198" s="17"/>
      <c r="AC4198" s="17"/>
    </row>
    <row r="4199">
      <c r="B4199" s="11">
        <f>IFERROR(__xludf.DUMMYFUNCTION("""COMPUTED_VALUE"""),39930.666666666664)</f>
        <v>39930.66667</v>
      </c>
      <c r="C4199" s="9">
        <f>IFERROR(__xludf.DUMMYFUNCTION("""COMPUTED_VALUE"""),19.52)</f>
        <v>19.52</v>
      </c>
      <c r="K4199" s="16"/>
      <c r="T4199" s="17"/>
      <c r="AC4199" s="17"/>
    </row>
    <row r="4200">
      <c r="B4200" s="11">
        <f>IFERROR(__xludf.DUMMYFUNCTION("""COMPUTED_VALUE"""),39927.666666666664)</f>
        <v>39927.66667</v>
      </c>
      <c r="C4200" s="9">
        <f>IFERROR(__xludf.DUMMYFUNCTION("""COMPUTED_VALUE"""),19.7)</f>
        <v>19.7</v>
      </c>
      <c r="K4200" s="16"/>
      <c r="T4200" s="17"/>
      <c r="AC4200" s="17"/>
    </row>
    <row r="4201">
      <c r="B4201" s="11">
        <f>IFERROR(__xludf.DUMMYFUNCTION("""COMPUTED_VALUE"""),39926.666666666664)</f>
        <v>39926.66667</v>
      </c>
      <c r="C4201" s="9">
        <f>IFERROR(__xludf.DUMMYFUNCTION("""COMPUTED_VALUE"""),19.39)</f>
        <v>19.39</v>
      </c>
      <c r="K4201" s="16"/>
      <c r="T4201" s="17"/>
      <c r="AC4201" s="17"/>
    </row>
    <row r="4202">
      <c r="B4202" s="11">
        <f>IFERROR(__xludf.DUMMYFUNCTION("""COMPUTED_VALUE"""),39925.666666666664)</f>
        <v>39925.66667</v>
      </c>
      <c r="C4202" s="9">
        <f>IFERROR(__xludf.DUMMYFUNCTION("""COMPUTED_VALUE"""),19.01)</f>
        <v>19.01</v>
      </c>
      <c r="K4202" s="16"/>
      <c r="T4202" s="17"/>
      <c r="AC4202" s="17"/>
    </row>
    <row r="4203">
      <c r="B4203" s="11">
        <f>IFERROR(__xludf.DUMMYFUNCTION("""COMPUTED_VALUE"""),39924.666666666664)</f>
        <v>39924.66667</v>
      </c>
      <c r="C4203" s="9">
        <f>IFERROR(__xludf.DUMMYFUNCTION("""COMPUTED_VALUE"""),18.77)</f>
        <v>18.77</v>
      </c>
      <c r="K4203" s="16"/>
      <c r="T4203" s="17"/>
      <c r="AC4203" s="17"/>
    </row>
    <row r="4204">
      <c r="B4204" s="11">
        <f>IFERROR(__xludf.DUMMYFUNCTION("""COMPUTED_VALUE"""),39923.666666666664)</f>
        <v>39923.66667</v>
      </c>
      <c r="C4204" s="9">
        <f>IFERROR(__xludf.DUMMYFUNCTION("""COMPUTED_VALUE"""),18.45)</f>
        <v>18.45</v>
      </c>
      <c r="K4204" s="16"/>
      <c r="T4204" s="17"/>
      <c r="AC4204" s="17"/>
    </row>
    <row r="4205">
      <c r="B4205" s="11">
        <f>IFERROR(__xludf.DUMMYFUNCTION("""COMPUTED_VALUE"""),39920.666666666664)</f>
        <v>39920.66667</v>
      </c>
      <c r="C4205" s="9">
        <f>IFERROR(__xludf.DUMMYFUNCTION("""COMPUTED_VALUE"""),19.16)</f>
        <v>19.16</v>
      </c>
      <c r="K4205" s="16"/>
      <c r="T4205" s="17"/>
      <c r="AC4205" s="17"/>
    </row>
    <row r="4206">
      <c r="B4206" s="11">
        <f>IFERROR(__xludf.DUMMYFUNCTION("""COMPUTED_VALUE"""),39919.666666666664)</f>
        <v>39919.66667</v>
      </c>
      <c r="C4206" s="9">
        <f>IFERROR(__xludf.DUMMYFUNCTION("""COMPUTED_VALUE"""),19.08)</f>
        <v>19.08</v>
      </c>
      <c r="K4206" s="16"/>
      <c r="T4206" s="17"/>
      <c r="AC4206" s="17"/>
    </row>
    <row r="4207">
      <c r="B4207" s="11">
        <f>IFERROR(__xludf.DUMMYFUNCTION("""COMPUTED_VALUE"""),39918.666666666664)</f>
        <v>39918.66667</v>
      </c>
      <c r="C4207" s="9">
        <f>IFERROR(__xludf.DUMMYFUNCTION("""COMPUTED_VALUE"""),18.45)</f>
        <v>18.45</v>
      </c>
      <c r="K4207" s="16"/>
      <c r="T4207" s="17"/>
      <c r="AC4207" s="17"/>
    </row>
    <row r="4208">
      <c r="B4208" s="11">
        <f>IFERROR(__xludf.DUMMYFUNCTION("""COMPUTED_VALUE"""),39917.666666666664)</f>
        <v>39917.66667</v>
      </c>
      <c r="C4208" s="9">
        <f>IFERROR(__xludf.DUMMYFUNCTION("""COMPUTED_VALUE"""),18.18)</f>
        <v>18.18</v>
      </c>
      <c r="K4208" s="16"/>
      <c r="T4208" s="17"/>
      <c r="AC4208" s="17"/>
    </row>
    <row r="4209">
      <c r="B4209" s="11">
        <f>IFERROR(__xludf.DUMMYFUNCTION("""COMPUTED_VALUE"""),39916.666666666664)</f>
        <v>39916.66667</v>
      </c>
      <c r="C4209" s="9">
        <f>IFERROR(__xludf.DUMMYFUNCTION("""COMPUTED_VALUE"""),18.5)</f>
        <v>18.5</v>
      </c>
      <c r="K4209" s="16"/>
      <c r="T4209" s="17"/>
      <c r="AC4209" s="17"/>
    </row>
    <row r="4210">
      <c r="B4210" s="11">
        <f>IFERROR(__xludf.DUMMYFUNCTION("""COMPUTED_VALUE"""),39912.666666666664)</f>
        <v>39912.66667</v>
      </c>
      <c r="C4210" s="9">
        <f>IFERROR(__xludf.DUMMYFUNCTION("""COMPUTED_VALUE"""),18.81)</f>
        <v>18.81</v>
      </c>
      <c r="K4210" s="16"/>
      <c r="T4210" s="17"/>
      <c r="AC4210" s="17"/>
    </row>
    <row r="4211">
      <c r="B4211" s="11">
        <f>IFERROR(__xludf.DUMMYFUNCTION("""COMPUTED_VALUE"""),39911.666666666664)</f>
        <v>39911.66667</v>
      </c>
      <c r="C4211" s="9">
        <f>IFERROR(__xludf.DUMMYFUNCTION("""COMPUTED_VALUE"""),17.87)</f>
        <v>17.87</v>
      </c>
      <c r="K4211" s="16"/>
      <c r="T4211" s="17"/>
      <c r="AC4211" s="17"/>
    </row>
    <row r="4212">
      <c r="B4212" s="11">
        <f>IFERROR(__xludf.DUMMYFUNCTION("""COMPUTED_VALUE"""),39910.666666666664)</f>
        <v>39910.66667</v>
      </c>
      <c r="C4212" s="9">
        <f>IFERROR(__xludf.DUMMYFUNCTION("""COMPUTED_VALUE"""),17.81)</f>
        <v>17.81</v>
      </c>
      <c r="K4212" s="16"/>
      <c r="T4212" s="17"/>
      <c r="AC4212" s="17"/>
    </row>
    <row r="4213">
      <c r="B4213" s="11">
        <f>IFERROR(__xludf.DUMMYFUNCTION("""COMPUTED_VALUE"""),39909.666666666664)</f>
        <v>39909.66667</v>
      </c>
      <c r="C4213" s="9">
        <f>IFERROR(__xludf.DUMMYFUNCTION("""COMPUTED_VALUE"""),18.2)</f>
        <v>18.2</v>
      </c>
      <c r="K4213" s="16"/>
      <c r="T4213" s="17"/>
      <c r="AC4213" s="17"/>
    </row>
    <row r="4214">
      <c r="B4214" s="11">
        <f>IFERROR(__xludf.DUMMYFUNCTION("""COMPUTED_VALUE"""),39906.666666666664)</f>
        <v>39906.66667</v>
      </c>
      <c r="C4214" s="9">
        <f>IFERROR(__xludf.DUMMYFUNCTION("""COMPUTED_VALUE"""),17.59)</f>
        <v>17.59</v>
      </c>
      <c r="K4214" s="16"/>
      <c r="T4214" s="17"/>
      <c r="AC4214" s="17"/>
    </row>
    <row r="4215">
      <c r="B4215" s="11">
        <f>IFERROR(__xludf.DUMMYFUNCTION("""COMPUTED_VALUE"""),39905.666666666664)</f>
        <v>39905.66667</v>
      </c>
      <c r="C4215" s="9">
        <f>IFERROR(__xludf.DUMMYFUNCTION("""COMPUTED_VALUE"""),17.66)</f>
        <v>17.66</v>
      </c>
      <c r="K4215" s="16"/>
      <c r="T4215" s="17"/>
      <c r="AC4215" s="17"/>
    </row>
    <row r="4216">
      <c r="B4216" s="11">
        <f>IFERROR(__xludf.DUMMYFUNCTION("""COMPUTED_VALUE"""),39904.666666666664)</f>
        <v>39904.66667</v>
      </c>
      <c r="C4216" s="9">
        <f>IFERROR(__xludf.DUMMYFUNCTION("""COMPUTED_VALUE"""),16.98)</f>
        <v>16.98</v>
      </c>
      <c r="K4216" s="16"/>
      <c r="T4216" s="17"/>
      <c r="AC4216" s="17"/>
    </row>
    <row r="4217">
      <c r="B4217" s="11">
        <f>IFERROR(__xludf.DUMMYFUNCTION("""COMPUTED_VALUE"""),39903.666666666664)</f>
        <v>39903.66667</v>
      </c>
      <c r="C4217" s="9">
        <f>IFERROR(__xludf.DUMMYFUNCTION("""COMPUTED_VALUE"""),16.77)</f>
        <v>16.77</v>
      </c>
      <c r="K4217" s="16"/>
      <c r="T4217" s="17"/>
      <c r="AC4217" s="17"/>
    </row>
    <row r="4218">
      <c r="B4218" s="11">
        <f>IFERROR(__xludf.DUMMYFUNCTION("""COMPUTED_VALUE"""),39902.666666666664)</f>
        <v>39902.66667</v>
      </c>
      <c r="C4218" s="9">
        <f>IFERROR(__xludf.DUMMYFUNCTION("""COMPUTED_VALUE"""),16.66)</f>
        <v>16.66</v>
      </c>
      <c r="K4218" s="16"/>
      <c r="T4218" s="17"/>
      <c r="AC4218" s="17"/>
    </row>
    <row r="4219">
      <c r="B4219" s="11">
        <f>IFERROR(__xludf.DUMMYFUNCTION("""COMPUTED_VALUE"""),39899.666666666664)</f>
        <v>39899.66667</v>
      </c>
      <c r="C4219" s="9">
        <f>IFERROR(__xludf.DUMMYFUNCTION("""COMPUTED_VALUE"""),17.36)</f>
        <v>17.36</v>
      </c>
      <c r="K4219" s="16"/>
      <c r="T4219" s="17"/>
      <c r="AC4219" s="17"/>
    </row>
    <row r="4220">
      <c r="B4220" s="11">
        <f>IFERROR(__xludf.DUMMYFUNCTION("""COMPUTED_VALUE"""),39898.666666666664)</f>
        <v>39898.66667</v>
      </c>
      <c r="C4220" s="9">
        <f>IFERROR(__xludf.DUMMYFUNCTION("""COMPUTED_VALUE"""),17.77)</f>
        <v>17.77</v>
      </c>
      <c r="K4220" s="16"/>
      <c r="T4220" s="17"/>
      <c r="AC4220" s="17"/>
    </row>
    <row r="4221">
      <c r="B4221" s="11">
        <f>IFERROR(__xludf.DUMMYFUNCTION("""COMPUTED_VALUE"""),39897.666666666664)</f>
        <v>39897.66667</v>
      </c>
      <c r="C4221" s="9">
        <f>IFERROR(__xludf.DUMMYFUNCTION("""COMPUTED_VALUE"""),16.93)</f>
        <v>16.93</v>
      </c>
      <c r="K4221" s="16"/>
      <c r="T4221" s="17"/>
      <c r="AC4221" s="17"/>
    </row>
    <row r="4222">
      <c r="B4222" s="11">
        <f>IFERROR(__xludf.DUMMYFUNCTION("""COMPUTED_VALUE"""),39896.666666666664)</f>
        <v>39896.66667</v>
      </c>
      <c r="C4222" s="9">
        <f>IFERROR(__xludf.DUMMYFUNCTION("""COMPUTED_VALUE"""),16.7)</f>
        <v>16.7</v>
      </c>
      <c r="K4222" s="16"/>
      <c r="T4222" s="17"/>
      <c r="AC4222" s="17"/>
    </row>
    <row r="4223">
      <c r="B4223" s="11">
        <f>IFERROR(__xludf.DUMMYFUNCTION("""COMPUTED_VALUE"""),39895.666666666664)</f>
        <v>39895.66667</v>
      </c>
      <c r="C4223" s="9">
        <f>IFERROR(__xludf.DUMMYFUNCTION("""COMPUTED_VALUE"""),16.86)</f>
        <v>16.86</v>
      </c>
      <c r="K4223" s="16"/>
      <c r="T4223" s="17"/>
      <c r="AC4223" s="17"/>
    </row>
    <row r="4224">
      <c r="B4224" s="11">
        <f>IFERROR(__xludf.DUMMYFUNCTION("""COMPUTED_VALUE"""),39892.666666666664)</f>
        <v>39892.66667</v>
      </c>
      <c r="C4224" s="9">
        <f>IFERROR(__xludf.DUMMYFUNCTION("""COMPUTED_VALUE"""),15.87)</f>
        <v>15.87</v>
      </c>
      <c r="K4224" s="16"/>
      <c r="T4224" s="17"/>
      <c r="AC4224" s="17"/>
    </row>
    <row r="4225">
      <c r="B4225" s="11">
        <f>IFERROR(__xludf.DUMMYFUNCTION("""COMPUTED_VALUE"""),39891.666666666664)</f>
        <v>39891.66667</v>
      </c>
      <c r="C4225" s="9">
        <f>IFERROR(__xludf.DUMMYFUNCTION("""COMPUTED_VALUE"""),16.18)</f>
        <v>16.18</v>
      </c>
      <c r="K4225" s="16"/>
      <c r="T4225" s="17"/>
      <c r="AC4225" s="17"/>
    </row>
    <row r="4226">
      <c r="B4226" s="11">
        <f>IFERROR(__xludf.DUMMYFUNCTION("""COMPUTED_VALUE"""),39890.666666666664)</f>
        <v>39890.66667</v>
      </c>
      <c r="C4226" s="9">
        <f>IFERROR(__xludf.DUMMYFUNCTION("""COMPUTED_VALUE"""),16.39)</f>
        <v>16.39</v>
      </c>
      <c r="K4226" s="16"/>
      <c r="T4226" s="17"/>
      <c r="AC4226" s="17"/>
    </row>
    <row r="4227">
      <c r="B4227" s="11">
        <f>IFERROR(__xludf.DUMMYFUNCTION("""COMPUTED_VALUE"""),39889.666666666664)</f>
        <v>39889.66667</v>
      </c>
      <c r="C4227" s="9">
        <f>IFERROR(__xludf.DUMMYFUNCTION("""COMPUTED_VALUE"""),16.11)</f>
        <v>16.11</v>
      </c>
      <c r="K4227" s="16"/>
      <c r="T4227" s="17"/>
      <c r="AC4227" s="17"/>
    </row>
    <row r="4228">
      <c r="B4228" s="11">
        <f>IFERROR(__xludf.DUMMYFUNCTION("""COMPUTED_VALUE"""),39888.666666666664)</f>
        <v>39888.66667</v>
      </c>
      <c r="C4228" s="9">
        <f>IFERROR(__xludf.DUMMYFUNCTION("""COMPUTED_VALUE"""),15.81)</f>
        <v>15.81</v>
      </c>
      <c r="K4228" s="16"/>
      <c r="T4228" s="17"/>
      <c r="AC4228" s="17"/>
    </row>
    <row r="4229">
      <c r="B4229" s="11">
        <f>IFERROR(__xludf.DUMMYFUNCTION("""COMPUTED_VALUE"""),39885.666666666664)</f>
        <v>39885.66667</v>
      </c>
      <c r="C4229" s="9">
        <f>IFERROR(__xludf.DUMMYFUNCTION("""COMPUTED_VALUE"""),15.53)</f>
        <v>15.53</v>
      </c>
      <c r="K4229" s="16"/>
      <c r="T4229" s="17"/>
      <c r="AC4229" s="17"/>
    </row>
    <row r="4230">
      <c r="B4230" s="11">
        <f>IFERROR(__xludf.DUMMYFUNCTION("""COMPUTED_VALUE"""),39884.666666666664)</f>
        <v>39884.66667</v>
      </c>
      <c r="C4230" s="9">
        <f>IFERROR(__xludf.DUMMYFUNCTION("""COMPUTED_VALUE"""),15.48)</f>
        <v>15.48</v>
      </c>
      <c r="K4230" s="16"/>
      <c r="T4230" s="17"/>
      <c r="AC4230" s="17"/>
    </row>
    <row r="4231">
      <c r="B4231" s="11">
        <f>IFERROR(__xludf.DUMMYFUNCTION("""COMPUTED_VALUE"""),39883.666666666664)</f>
        <v>39883.66667</v>
      </c>
      <c r="C4231" s="9">
        <f>IFERROR(__xludf.DUMMYFUNCTION("""COMPUTED_VALUE"""),15.03)</f>
        <v>15.03</v>
      </c>
      <c r="K4231" s="16"/>
      <c r="T4231" s="17"/>
      <c r="AC4231" s="17"/>
    </row>
    <row r="4232">
      <c r="B4232" s="11">
        <f>IFERROR(__xludf.DUMMYFUNCTION("""COMPUTED_VALUE"""),39882.666666666664)</f>
        <v>39882.66667</v>
      </c>
      <c r="C4232" s="9">
        <f>IFERROR(__xludf.DUMMYFUNCTION("""COMPUTED_VALUE"""),15.01)</f>
        <v>15.01</v>
      </c>
      <c r="K4232" s="16"/>
      <c r="T4232" s="17"/>
      <c r="AC4232" s="17"/>
    </row>
    <row r="4233">
      <c r="B4233" s="11">
        <f>IFERROR(__xludf.DUMMYFUNCTION("""COMPUTED_VALUE"""),39881.666666666664)</f>
        <v>39881.66667</v>
      </c>
      <c r="C4233" s="9">
        <f>IFERROR(__xludf.DUMMYFUNCTION("""COMPUTED_VALUE"""),14.29)</f>
        <v>14.29</v>
      </c>
      <c r="K4233" s="16"/>
      <c r="T4233" s="17"/>
      <c r="AC4233" s="17"/>
    </row>
    <row r="4234">
      <c r="B4234" s="11">
        <f>IFERROR(__xludf.DUMMYFUNCTION("""COMPUTED_VALUE"""),39878.666666666664)</f>
        <v>39878.66667</v>
      </c>
      <c r="C4234" s="9">
        <f>IFERROR(__xludf.DUMMYFUNCTION("""COMPUTED_VALUE"""),14.48)</f>
        <v>14.48</v>
      </c>
      <c r="K4234" s="16"/>
      <c r="T4234" s="17"/>
      <c r="AC4234" s="17"/>
    </row>
    <row r="4235">
      <c r="B4235" s="11">
        <f>IFERROR(__xludf.DUMMYFUNCTION("""COMPUTED_VALUE"""),39877.666666666664)</f>
        <v>39877.66667</v>
      </c>
      <c r="C4235" s="9">
        <f>IFERROR(__xludf.DUMMYFUNCTION("""COMPUTED_VALUE"""),14.53)</f>
        <v>14.53</v>
      </c>
      <c r="K4235" s="16"/>
      <c r="T4235" s="17"/>
      <c r="AC4235" s="17"/>
    </row>
    <row r="4236">
      <c r="B4236" s="11">
        <f>IFERROR(__xludf.DUMMYFUNCTION("""COMPUTED_VALUE"""),39876.666666666664)</f>
        <v>39876.66667</v>
      </c>
      <c r="C4236" s="9">
        <f>IFERROR(__xludf.DUMMYFUNCTION("""COMPUTED_VALUE"""),15.26)</f>
        <v>15.26</v>
      </c>
      <c r="K4236" s="16"/>
      <c r="T4236" s="17"/>
      <c r="AC4236" s="17"/>
    </row>
    <row r="4237">
      <c r="B4237" s="11">
        <f>IFERROR(__xludf.DUMMYFUNCTION("""COMPUTED_VALUE"""),39875.666666666664)</f>
        <v>39875.66667</v>
      </c>
      <c r="C4237" s="9">
        <f>IFERROR(__xludf.DUMMYFUNCTION("""COMPUTED_VALUE"""),14.91)</f>
        <v>14.91</v>
      </c>
      <c r="K4237" s="16"/>
      <c r="T4237" s="17"/>
      <c r="AC4237" s="17"/>
    </row>
    <row r="4238">
      <c r="B4238" s="11">
        <f>IFERROR(__xludf.DUMMYFUNCTION("""COMPUTED_VALUE"""),39874.666666666664)</f>
        <v>39874.66667</v>
      </c>
      <c r="C4238" s="9">
        <f>IFERROR(__xludf.DUMMYFUNCTION("""COMPUTED_VALUE"""),15.15)</f>
        <v>15.15</v>
      </c>
      <c r="K4238" s="16"/>
      <c r="T4238" s="17"/>
      <c r="AC4238" s="17"/>
    </row>
    <row r="4239">
      <c r="B4239" s="11">
        <f>IFERROR(__xludf.DUMMYFUNCTION("""COMPUTED_VALUE"""),39871.666666666664)</f>
        <v>39871.66667</v>
      </c>
      <c r="C4239" s="9">
        <f>IFERROR(__xludf.DUMMYFUNCTION("""COMPUTED_VALUE"""),16.22)</f>
        <v>16.22</v>
      </c>
      <c r="K4239" s="16"/>
      <c r="T4239" s="17"/>
      <c r="AC4239" s="17"/>
    </row>
    <row r="4240">
      <c r="B4240" s="11">
        <f>IFERROR(__xludf.DUMMYFUNCTION("""COMPUTED_VALUE"""),39870.666666666664)</f>
        <v>39870.66667</v>
      </c>
      <c r="C4240" s="9">
        <f>IFERROR(__xludf.DUMMYFUNCTION("""COMPUTED_VALUE"""),16.75)</f>
        <v>16.75</v>
      </c>
      <c r="K4240" s="16"/>
      <c r="T4240" s="17"/>
      <c r="AC4240" s="17"/>
    </row>
    <row r="4241">
      <c r="B4241" s="11">
        <f>IFERROR(__xludf.DUMMYFUNCTION("""COMPUTED_VALUE"""),39869.666666666664)</f>
        <v>39869.66667</v>
      </c>
      <c r="C4241" s="9">
        <f>IFERROR(__xludf.DUMMYFUNCTION("""COMPUTED_VALUE"""),17.18)</f>
        <v>17.18</v>
      </c>
      <c r="K4241" s="16"/>
      <c r="T4241" s="17"/>
      <c r="AC4241" s="17"/>
    </row>
    <row r="4242">
      <c r="B4242" s="11">
        <f>IFERROR(__xludf.DUMMYFUNCTION("""COMPUTED_VALUE"""),39868.666666666664)</f>
        <v>39868.66667</v>
      </c>
      <c r="C4242" s="9">
        <f>IFERROR(__xludf.DUMMYFUNCTION("""COMPUTED_VALUE"""),17.82)</f>
        <v>17.82</v>
      </c>
      <c r="K4242" s="16"/>
      <c r="T4242" s="17"/>
      <c r="AC4242" s="17"/>
    </row>
    <row r="4243">
      <c r="B4243" s="11">
        <f>IFERROR(__xludf.DUMMYFUNCTION("""COMPUTED_VALUE"""),39867.666666666664)</f>
        <v>39867.66667</v>
      </c>
      <c r="C4243" s="9">
        <f>IFERROR(__xludf.DUMMYFUNCTION("""COMPUTED_VALUE"""),17.4)</f>
        <v>17.4</v>
      </c>
      <c r="K4243" s="16"/>
      <c r="T4243" s="17"/>
      <c r="AC4243" s="17"/>
    </row>
    <row r="4244">
      <c r="B4244" s="11">
        <f>IFERROR(__xludf.DUMMYFUNCTION("""COMPUTED_VALUE"""),39864.666666666664)</f>
        <v>39864.66667</v>
      </c>
      <c r="C4244" s="9">
        <f>IFERROR(__xludf.DUMMYFUNCTION("""COMPUTED_VALUE"""),18.23)</f>
        <v>18.23</v>
      </c>
      <c r="K4244" s="16"/>
      <c r="T4244" s="17"/>
      <c r="AC4244" s="17"/>
    </row>
    <row r="4245">
      <c r="B4245" s="11">
        <f>IFERROR(__xludf.DUMMYFUNCTION("""COMPUTED_VALUE"""),39863.666666666664)</f>
        <v>39863.66667</v>
      </c>
      <c r="C4245" s="9">
        <f>IFERROR(__xludf.DUMMYFUNCTION("""COMPUTED_VALUE"""),18.69)</f>
        <v>18.69</v>
      </c>
      <c r="K4245" s="16"/>
      <c r="T4245" s="17"/>
      <c r="AC4245" s="17"/>
    </row>
    <row r="4246">
      <c r="B4246" s="11">
        <f>IFERROR(__xludf.DUMMYFUNCTION("""COMPUTED_VALUE"""),39862.666666666664)</f>
        <v>39862.66667</v>
      </c>
      <c r="C4246" s="9">
        <f>IFERROR(__xludf.DUMMYFUNCTION("""COMPUTED_VALUE"""),18.79)</f>
        <v>18.79</v>
      </c>
      <c r="K4246" s="16"/>
      <c r="T4246" s="17"/>
      <c r="AC4246" s="17"/>
    </row>
    <row r="4247">
      <c r="B4247" s="11">
        <f>IFERROR(__xludf.DUMMYFUNCTION("""COMPUTED_VALUE"""),39861.666666666664)</f>
        <v>39861.66667</v>
      </c>
      <c r="C4247" s="9">
        <f>IFERROR(__xludf.DUMMYFUNCTION("""COMPUTED_VALUE"""),18.92)</f>
        <v>18.92</v>
      </c>
      <c r="K4247" s="16"/>
      <c r="T4247" s="17"/>
      <c r="AC4247" s="17"/>
    </row>
    <row r="4248">
      <c r="B4248" s="11">
        <f>IFERROR(__xludf.DUMMYFUNCTION("""COMPUTED_VALUE"""),39857.666666666664)</f>
        <v>39857.66667</v>
      </c>
      <c r="C4248" s="9">
        <f>IFERROR(__xludf.DUMMYFUNCTION("""COMPUTED_VALUE"""),19.7)</f>
        <v>19.7</v>
      </c>
      <c r="K4248" s="16"/>
      <c r="T4248" s="17"/>
      <c r="AC4248" s="17"/>
    </row>
    <row r="4249">
      <c r="B4249" s="11">
        <f>IFERROR(__xludf.DUMMYFUNCTION("""COMPUTED_VALUE"""),39856.666666666664)</f>
        <v>39856.66667</v>
      </c>
      <c r="C4249" s="9">
        <f>IFERROR(__xludf.DUMMYFUNCTION("""COMPUTED_VALUE"""),19.5)</f>
        <v>19.5</v>
      </c>
      <c r="K4249" s="16"/>
      <c r="T4249" s="17"/>
      <c r="AC4249" s="17"/>
    </row>
    <row r="4250">
      <c r="B4250" s="11">
        <f>IFERROR(__xludf.DUMMYFUNCTION("""COMPUTED_VALUE"""),39855.666666666664)</f>
        <v>39855.66667</v>
      </c>
      <c r="C4250" s="9">
        <f>IFERROR(__xludf.DUMMYFUNCTION("""COMPUTED_VALUE"""),19.47)</f>
        <v>19.47</v>
      </c>
      <c r="K4250" s="16"/>
      <c r="T4250" s="17"/>
      <c r="AC4250" s="17"/>
    </row>
    <row r="4251">
      <c r="B4251" s="11">
        <f>IFERROR(__xludf.DUMMYFUNCTION("""COMPUTED_VALUE"""),39854.666666666664)</f>
        <v>39854.66667</v>
      </c>
      <c r="C4251" s="9">
        <f>IFERROR(__xludf.DUMMYFUNCTION("""COMPUTED_VALUE"""),19.51)</f>
        <v>19.51</v>
      </c>
      <c r="K4251" s="16"/>
      <c r="T4251" s="17"/>
      <c r="AC4251" s="17"/>
    </row>
    <row r="4252">
      <c r="B4252" s="11">
        <f>IFERROR(__xludf.DUMMYFUNCTION("""COMPUTED_VALUE"""),39853.666666666664)</f>
        <v>39853.66667</v>
      </c>
      <c r="C4252" s="9">
        <f>IFERROR(__xludf.DUMMYFUNCTION("""COMPUTED_VALUE"""),20.41)</f>
        <v>20.41</v>
      </c>
      <c r="K4252" s="16"/>
      <c r="T4252" s="17"/>
      <c r="AC4252" s="17"/>
    </row>
    <row r="4253">
      <c r="B4253" s="11">
        <f>IFERROR(__xludf.DUMMYFUNCTION("""COMPUTED_VALUE"""),39850.666666666664)</f>
        <v>39850.66667</v>
      </c>
      <c r="C4253" s="9">
        <f>IFERROR(__xludf.DUMMYFUNCTION("""COMPUTED_VALUE"""),20.18)</f>
        <v>20.18</v>
      </c>
      <c r="K4253" s="16"/>
      <c r="T4253" s="17"/>
      <c r="AC4253" s="17"/>
    </row>
    <row r="4254">
      <c r="B4254" s="11">
        <f>IFERROR(__xludf.DUMMYFUNCTION("""COMPUTED_VALUE"""),39849.666666666664)</f>
        <v>39849.66667</v>
      </c>
      <c r="C4254" s="9">
        <f>IFERROR(__xludf.DUMMYFUNCTION("""COMPUTED_VALUE"""),20.12)</f>
        <v>20.12</v>
      </c>
      <c r="K4254" s="16"/>
      <c r="T4254" s="17"/>
      <c r="AC4254" s="17"/>
    </row>
    <row r="4255">
      <c r="B4255" s="11">
        <f>IFERROR(__xludf.DUMMYFUNCTION("""COMPUTED_VALUE"""),39848.666666666664)</f>
        <v>39848.66667</v>
      </c>
      <c r="C4255" s="9">
        <f>IFERROR(__xludf.DUMMYFUNCTION("""COMPUTED_VALUE"""),19.92)</f>
        <v>19.92</v>
      </c>
      <c r="K4255" s="16"/>
      <c r="T4255" s="17"/>
      <c r="AC4255" s="17"/>
    </row>
    <row r="4256">
      <c r="B4256" s="11">
        <f>IFERROR(__xludf.DUMMYFUNCTION("""COMPUTED_VALUE"""),39847.666666666664)</f>
        <v>39847.66667</v>
      </c>
      <c r="C4256" s="9">
        <f>IFERROR(__xludf.DUMMYFUNCTION("""COMPUTED_VALUE"""),19.95)</f>
        <v>19.95</v>
      </c>
      <c r="K4256" s="16"/>
      <c r="T4256" s="17"/>
      <c r="AC4256" s="17"/>
    </row>
    <row r="4257">
      <c r="B4257" s="11">
        <f>IFERROR(__xludf.DUMMYFUNCTION("""COMPUTED_VALUE"""),39846.666666666664)</f>
        <v>39846.66667</v>
      </c>
      <c r="C4257" s="9">
        <f>IFERROR(__xludf.DUMMYFUNCTION("""COMPUTED_VALUE"""),19.69)</f>
        <v>19.69</v>
      </c>
      <c r="K4257" s="16"/>
      <c r="T4257" s="17"/>
      <c r="AC4257" s="17"/>
    </row>
    <row r="4258">
      <c r="B4258" s="11">
        <f>IFERROR(__xludf.DUMMYFUNCTION("""COMPUTED_VALUE"""),39843.666666666664)</f>
        <v>39843.66667</v>
      </c>
      <c r="C4258" s="9">
        <f>IFERROR(__xludf.DUMMYFUNCTION("""COMPUTED_VALUE"""),20.07)</f>
        <v>20.07</v>
      </c>
      <c r="K4258" s="16"/>
      <c r="T4258" s="17"/>
      <c r="AC4258" s="17"/>
    </row>
    <row r="4259">
      <c r="B4259" s="11">
        <f>IFERROR(__xludf.DUMMYFUNCTION("""COMPUTED_VALUE"""),39842.666666666664)</f>
        <v>39842.66667</v>
      </c>
      <c r="C4259" s="9">
        <f>IFERROR(__xludf.DUMMYFUNCTION("""COMPUTED_VALUE"""),20.18)</f>
        <v>20.18</v>
      </c>
      <c r="K4259" s="16"/>
      <c r="T4259" s="17"/>
      <c r="AC4259" s="17"/>
    </row>
    <row r="4260">
      <c r="B4260" s="11">
        <f>IFERROR(__xludf.DUMMYFUNCTION("""COMPUTED_VALUE"""),39841.666666666664)</f>
        <v>39841.66667</v>
      </c>
      <c r="C4260" s="9">
        <f>IFERROR(__xludf.DUMMYFUNCTION("""COMPUTED_VALUE"""),20.93)</f>
        <v>20.93</v>
      </c>
      <c r="K4260" s="16"/>
      <c r="T4260" s="17"/>
      <c r="AC4260" s="17"/>
    </row>
    <row r="4261">
      <c r="B4261" s="11">
        <f>IFERROR(__xludf.DUMMYFUNCTION("""COMPUTED_VALUE"""),39840.666666666664)</f>
        <v>39840.66667</v>
      </c>
      <c r="C4261" s="9">
        <f>IFERROR(__xludf.DUMMYFUNCTION("""COMPUTED_VALUE"""),20.43)</f>
        <v>20.43</v>
      </c>
      <c r="K4261" s="16"/>
      <c r="T4261" s="17"/>
      <c r="AC4261" s="17"/>
    </row>
    <row r="4262">
      <c r="B4262" s="11">
        <f>IFERROR(__xludf.DUMMYFUNCTION("""COMPUTED_VALUE"""),39839.666666666664)</f>
        <v>39839.66667</v>
      </c>
      <c r="C4262" s="9">
        <f>IFERROR(__xludf.DUMMYFUNCTION("""COMPUTED_VALUE"""),20.31)</f>
        <v>20.31</v>
      </c>
      <c r="K4262" s="16"/>
      <c r="T4262" s="17"/>
      <c r="AC4262" s="17"/>
    </row>
    <row r="4263">
      <c r="B4263" s="11">
        <f>IFERROR(__xludf.DUMMYFUNCTION("""COMPUTED_VALUE"""),39836.666666666664)</f>
        <v>39836.66667</v>
      </c>
      <c r="C4263" s="9">
        <f>IFERROR(__xludf.DUMMYFUNCTION("""COMPUTED_VALUE"""),19.99)</f>
        <v>19.99</v>
      </c>
      <c r="K4263" s="16"/>
      <c r="T4263" s="17"/>
      <c r="AC4263" s="17"/>
    </row>
    <row r="4264">
      <c r="B4264" s="11">
        <f>IFERROR(__xludf.DUMMYFUNCTION("""COMPUTED_VALUE"""),39835.666666666664)</f>
        <v>39835.66667</v>
      </c>
      <c r="C4264" s="9">
        <f>IFERROR(__xludf.DUMMYFUNCTION("""COMPUTED_VALUE"""),20.16)</f>
        <v>20.16</v>
      </c>
      <c r="K4264" s="16"/>
      <c r="T4264" s="17"/>
      <c r="AC4264" s="17"/>
    </row>
    <row r="4265">
      <c r="B4265" s="11">
        <f>IFERROR(__xludf.DUMMYFUNCTION("""COMPUTED_VALUE"""),39834.666666666664)</f>
        <v>39834.66667</v>
      </c>
      <c r="C4265" s="9">
        <f>IFERROR(__xludf.DUMMYFUNCTION("""COMPUTED_VALUE"""),20.3)</f>
        <v>20.3</v>
      </c>
      <c r="K4265" s="16"/>
      <c r="T4265" s="17"/>
      <c r="AC4265" s="17"/>
    </row>
    <row r="4266">
      <c r="B4266" s="11">
        <f>IFERROR(__xludf.DUMMYFUNCTION("""COMPUTED_VALUE"""),39833.666666666664)</f>
        <v>39833.66667</v>
      </c>
      <c r="C4266" s="9">
        <f>IFERROR(__xludf.DUMMYFUNCTION("""COMPUTED_VALUE"""),19.62)</f>
        <v>19.62</v>
      </c>
      <c r="K4266" s="16"/>
      <c r="T4266" s="17"/>
      <c r="AC4266" s="17"/>
    </row>
    <row r="4267">
      <c r="B4267" s="11">
        <f>IFERROR(__xludf.DUMMYFUNCTION("""COMPUTED_VALUE"""),39829.666666666664)</f>
        <v>39829.66667</v>
      </c>
      <c r="C4267" s="9">
        <f>IFERROR(__xludf.DUMMYFUNCTION("""COMPUTED_VALUE"""),20.46)</f>
        <v>20.46</v>
      </c>
      <c r="K4267" s="16"/>
      <c r="T4267" s="17"/>
      <c r="AC4267" s="17"/>
    </row>
    <row r="4268">
      <c r="B4268" s="11">
        <f>IFERROR(__xludf.DUMMYFUNCTION("""COMPUTED_VALUE"""),39828.666666666664)</f>
        <v>39828.66667</v>
      </c>
      <c r="C4268" s="9">
        <f>IFERROR(__xludf.DUMMYFUNCTION("""COMPUTED_VALUE"""),19.95)</f>
        <v>19.95</v>
      </c>
      <c r="K4268" s="16"/>
      <c r="T4268" s="17"/>
      <c r="AC4268" s="17"/>
    </row>
    <row r="4269">
      <c r="B4269" s="11">
        <f>IFERROR(__xludf.DUMMYFUNCTION("""COMPUTED_VALUE"""),39827.666666666664)</f>
        <v>39827.66667</v>
      </c>
      <c r="C4269" s="9">
        <f>IFERROR(__xludf.DUMMYFUNCTION("""COMPUTED_VALUE"""),19.89)</f>
        <v>19.89</v>
      </c>
      <c r="K4269" s="16"/>
      <c r="T4269" s="17"/>
      <c r="AC4269" s="17"/>
    </row>
    <row r="4270">
      <c r="B4270" s="11">
        <f>IFERROR(__xludf.DUMMYFUNCTION("""COMPUTED_VALUE"""),39826.666666666664)</f>
        <v>39826.66667</v>
      </c>
      <c r="C4270" s="9">
        <f>IFERROR(__xludf.DUMMYFUNCTION("""COMPUTED_VALUE"""),20.32)</f>
        <v>20.32</v>
      </c>
      <c r="K4270" s="16"/>
      <c r="T4270" s="17"/>
      <c r="AC4270" s="17"/>
    </row>
    <row r="4271">
      <c r="B4271" s="11">
        <f>IFERROR(__xludf.DUMMYFUNCTION("""COMPUTED_VALUE"""),39825.666666666664)</f>
        <v>39825.66667</v>
      </c>
      <c r="C4271" s="9">
        <f>IFERROR(__xludf.DUMMYFUNCTION("""COMPUTED_VALUE"""),20.64)</f>
        <v>20.64</v>
      </c>
      <c r="K4271" s="16"/>
      <c r="T4271" s="17"/>
      <c r="AC4271" s="17"/>
    </row>
    <row r="4272">
      <c r="B4272" s="11">
        <f>IFERROR(__xludf.DUMMYFUNCTION("""COMPUTED_VALUE"""),39822.666666666664)</f>
        <v>39822.66667</v>
      </c>
      <c r="C4272" s="9">
        <f>IFERROR(__xludf.DUMMYFUNCTION("""COMPUTED_VALUE"""),20.95)</f>
        <v>20.95</v>
      </c>
      <c r="K4272" s="16"/>
      <c r="T4272" s="17"/>
      <c r="AC4272" s="17"/>
    </row>
    <row r="4273">
      <c r="B4273" s="11">
        <f>IFERROR(__xludf.DUMMYFUNCTION("""COMPUTED_VALUE"""),39821.666666666664)</f>
        <v>39821.66667</v>
      </c>
      <c r="C4273" s="9">
        <f>IFERROR(__xludf.DUMMYFUNCTION("""COMPUTED_VALUE"""),21.34)</f>
        <v>21.34</v>
      </c>
      <c r="K4273" s="16"/>
      <c r="T4273" s="17"/>
      <c r="AC4273" s="17"/>
    </row>
    <row r="4274">
      <c r="B4274" s="11">
        <f>IFERROR(__xludf.DUMMYFUNCTION("""COMPUTED_VALUE"""),39820.666666666664)</f>
        <v>39820.66667</v>
      </c>
      <c r="C4274" s="9">
        <f>IFERROR(__xludf.DUMMYFUNCTION("""COMPUTED_VALUE"""),21.31)</f>
        <v>21.31</v>
      </c>
      <c r="K4274" s="16"/>
      <c r="T4274" s="17"/>
      <c r="AC4274" s="17"/>
    </row>
    <row r="4275">
      <c r="B4275" s="11">
        <f>IFERROR(__xludf.DUMMYFUNCTION("""COMPUTED_VALUE"""),39819.666666666664)</f>
        <v>39819.66667</v>
      </c>
      <c r="C4275" s="9">
        <f>IFERROR(__xludf.DUMMYFUNCTION("""COMPUTED_VALUE"""),21.82)</f>
        <v>21.82</v>
      </c>
      <c r="K4275" s="16"/>
      <c r="T4275" s="17"/>
      <c r="AC4275" s="17"/>
    </row>
    <row r="4276">
      <c r="B4276" s="11">
        <f>IFERROR(__xludf.DUMMYFUNCTION("""COMPUTED_VALUE"""),39818.666666666664)</f>
        <v>39818.66667</v>
      </c>
      <c r="C4276" s="9">
        <f>IFERROR(__xludf.DUMMYFUNCTION("""COMPUTED_VALUE"""),21.47)</f>
        <v>21.47</v>
      </c>
      <c r="K4276" s="16"/>
      <c r="T4276" s="17"/>
      <c r="AC4276" s="17"/>
    </row>
    <row r="4277">
      <c r="B4277" s="11">
        <f>IFERROR(__xludf.DUMMYFUNCTION("""COMPUTED_VALUE"""),39815.666666666664)</f>
        <v>39815.66667</v>
      </c>
      <c r="C4277" s="9">
        <f>IFERROR(__xludf.DUMMYFUNCTION("""COMPUTED_VALUE"""),21.4)</f>
        <v>21.4</v>
      </c>
      <c r="K4277" s="16"/>
      <c r="T4277" s="17"/>
      <c r="AC4277" s="17"/>
    </row>
    <row r="4278">
      <c r="B4278" s="11">
        <f>IFERROR(__xludf.DUMMYFUNCTION("""COMPUTED_VALUE"""),39813.666666666664)</f>
        <v>39813.66667</v>
      </c>
      <c r="C4278" s="9">
        <f>IFERROR(__xludf.DUMMYFUNCTION("""COMPUTED_VALUE"""),20.64)</f>
        <v>20.64</v>
      </c>
      <c r="K4278" s="16"/>
      <c r="T4278" s="17"/>
      <c r="AC4278" s="17"/>
    </row>
    <row r="4279">
      <c r="B4279" s="11">
        <f>IFERROR(__xludf.DUMMYFUNCTION("""COMPUTED_VALUE"""),39812.666666666664)</f>
        <v>39812.66667</v>
      </c>
      <c r="C4279" s="9">
        <f>IFERROR(__xludf.DUMMYFUNCTION("""COMPUTED_VALUE"""),20.01)</f>
        <v>20.01</v>
      </c>
      <c r="K4279" s="16"/>
      <c r="T4279" s="17"/>
      <c r="AC4279" s="17"/>
    </row>
    <row r="4280">
      <c r="B4280" s="11">
        <f>IFERROR(__xludf.DUMMYFUNCTION("""COMPUTED_VALUE"""),39811.666666666664)</f>
        <v>39811.66667</v>
      </c>
      <c r="C4280" s="9">
        <f>IFERROR(__xludf.DUMMYFUNCTION("""COMPUTED_VALUE"""),19.39)</f>
        <v>19.39</v>
      </c>
      <c r="K4280" s="16"/>
      <c r="T4280" s="17"/>
      <c r="AC4280" s="17"/>
    </row>
    <row r="4281">
      <c r="B4281" s="11">
        <f>IFERROR(__xludf.DUMMYFUNCTION("""COMPUTED_VALUE"""),39808.666666666664)</f>
        <v>39808.66667</v>
      </c>
      <c r="C4281" s="9">
        <f>IFERROR(__xludf.DUMMYFUNCTION("""COMPUTED_VALUE"""),19.66)</f>
        <v>19.66</v>
      </c>
      <c r="K4281" s="16"/>
      <c r="T4281" s="17"/>
      <c r="AC4281" s="17"/>
    </row>
    <row r="4282">
      <c r="B4282" s="11">
        <f>IFERROR(__xludf.DUMMYFUNCTION("""COMPUTED_VALUE"""),39806.666666666664)</f>
        <v>39806.66667</v>
      </c>
      <c r="C4282" s="9">
        <f>IFERROR(__xludf.DUMMYFUNCTION("""COMPUTED_VALUE"""),19.42)</f>
        <v>19.42</v>
      </c>
      <c r="K4282" s="16"/>
      <c r="T4282" s="17"/>
      <c r="AC4282" s="17"/>
    </row>
    <row r="4283">
      <c r="B4283" s="11">
        <f>IFERROR(__xludf.DUMMYFUNCTION("""COMPUTED_VALUE"""),39805.666666666664)</f>
        <v>39805.66667</v>
      </c>
      <c r="C4283" s="9">
        <f>IFERROR(__xludf.DUMMYFUNCTION("""COMPUTED_VALUE"""),19.3)</f>
        <v>19.3</v>
      </c>
      <c r="K4283" s="16"/>
      <c r="T4283" s="17"/>
      <c r="AC4283" s="17"/>
    </row>
    <row r="4284">
      <c r="B4284" s="11">
        <f>IFERROR(__xludf.DUMMYFUNCTION("""COMPUTED_VALUE"""),39804.666666666664)</f>
        <v>39804.66667</v>
      </c>
      <c r="C4284" s="9">
        <f>IFERROR(__xludf.DUMMYFUNCTION("""COMPUTED_VALUE"""),19.79)</f>
        <v>19.79</v>
      </c>
      <c r="K4284" s="16"/>
      <c r="T4284" s="17"/>
      <c r="AC4284" s="17"/>
    </row>
    <row r="4285">
      <c r="B4285" s="11">
        <f>IFERROR(__xludf.DUMMYFUNCTION("""COMPUTED_VALUE"""),39801.666666666664)</f>
        <v>39801.66667</v>
      </c>
      <c r="C4285" s="9">
        <f>IFERROR(__xludf.DUMMYFUNCTION("""COMPUTED_VALUE"""),19.98)</f>
        <v>19.98</v>
      </c>
      <c r="K4285" s="16"/>
      <c r="T4285" s="17"/>
      <c r="AC4285" s="17"/>
    </row>
    <row r="4286">
      <c r="B4286" s="11">
        <f>IFERROR(__xludf.DUMMYFUNCTION("""COMPUTED_VALUE"""),39800.666666666664)</f>
        <v>39800.66667</v>
      </c>
      <c r="C4286" s="9">
        <f>IFERROR(__xludf.DUMMYFUNCTION("""COMPUTED_VALUE"""),19.85)</f>
        <v>19.85</v>
      </c>
      <c r="K4286" s="16"/>
      <c r="T4286" s="17"/>
      <c r="AC4286" s="17"/>
    </row>
    <row r="4287">
      <c r="B4287" s="11">
        <f>IFERROR(__xludf.DUMMYFUNCTION("""COMPUTED_VALUE"""),39799.666666666664)</f>
        <v>39799.66667</v>
      </c>
      <c r="C4287" s="9">
        <f>IFERROR(__xludf.DUMMYFUNCTION("""COMPUTED_VALUE"""),19.95)</f>
        <v>19.95</v>
      </c>
      <c r="K4287" s="16"/>
      <c r="T4287" s="17"/>
      <c r="AC4287" s="17"/>
    </row>
    <row r="4288">
      <c r="B4288" s="11">
        <f>IFERROR(__xludf.DUMMYFUNCTION("""COMPUTED_VALUE"""),39798.666666666664)</f>
        <v>39798.66667</v>
      </c>
      <c r="C4288" s="9">
        <f>IFERROR(__xludf.DUMMYFUNCTION("""COMPUTED_VALUE"""),19.93)</f>
        <v>19.93</v>
      </c>
      <c r="K4288" s="16"/>
      <c r="T4288" s="17"/>
      <c r="AC4288" s="17"/>
    </row>
    <row r="4289">
      <c r="B4289" s="11">
        <f>IFERROR(__xludf.DUMMYFUNCTION("""COMPUTED_VALUE"""),39797.666666666664)</f>
        <v>39797.66667</v>
      </c>
      <c r="C4289" s="9">
        <f>IFERROR(__xludf.DUMMYFUNCTION("""COMPUTED_VALUE"""),18.93)</f>
        <v>18.93</v>
      </c>
      <c r="K4289" s="16"/>
      <c r="T4289" s="17"/>
      <c r="AC4289" s="17"/>
    </row>
    <row r="4290">
      <c r="B4290" s="11">
        <f>IFERROR(__xludf.DUMMYFUNCTION("""COMPUTED_VALUE"""),39794.666666666664)</f>
        <v>39794.66667</v>
      </c>
      <c r="C4290" s="9">
        <f>IFERROR(__xludf.DUMMYFUNCTION("""COMPUTED_VALUE"""),19.32)</f>
        <v>19.32</v>
      </c>
      <c r="K4290" s="16"/>
      <c r="T4290" s="17"/>
      <c r="AC4290" s="17"/>
    </row>
    <row r="4291">
      <c r="B4291" s="11">
        <f>IFERROR(__xludf.DUMMYFUNCTION("""COMPUTED_VALUE"""),39793.666666666664)</f>
        <v>39793.66667</v>
      </c>
      <c r="C4291" s="9">
        <f>IFERROR(__xludf.DUMMYFUNCTION("""COMPUTED_VALUE"""),18.99)</f>
        <v>18.99</v>
      </c>
      <c r="K4291" s="16"/>
      <c r="T4291" s="17"/>
      <c r="AC4291" s="17"/>
    </row>
    <row r="4292">
      <c r="B4292" s="11">
        <f>IFERROR(__xludf.DUMMYFUNCTION("""COMPUTED_VALUE"""),39792.666666666664)</f>
        <v>39792.66667</v>
      </c>
      <c r="C4292" s="9">
        <f>IFERROR(__xludf.DUMMYFUNCTION("""COMPUTED_VALUE"""),19.68)</f>
        <v>19.68</v>
      </c>
      <c r="K4292" s="16"/>
      <c r="T4292" s="17"/>
      <c r="AC4292" s="17"/>
    </row>
    <row r="4293">
      <c r="B4293" s="11">
        <f>IFERROR(__xludf.DUMMYFUNCTION("""COMPUTED_VALUE"""),39791.666666666664)</f>
        <v>39791.66667</v>
      </c>
      <c r="C4293" s="9">
        <f>IFERROR(__xludf.DUMMYFUNCTION("""COMPUTED_VALUE"""),19.56)</f>
        <v>19.56</v>
      </c>
      <c r="K4293" s="16"/>
      <c r="T4293" s="17"/>
      <c r="AC4293" s="17"/>
    </row>
    <row r="4294">
      <c r="B4294" s="11">
        <f>IFERROR(__xludf.DUMMYFUNCTION("""COMPUTED_VALUE"""),39790.666666666664)</f>
        <v>39790.66667</v>
      </c>
      <c r="C4294" s="9">
        <f>IFERROR(__xludf.DUMMYFUNCTION("""COMPUTED_VALUE"""),19.83)</f>
        <v>19.83</v>
      </c>
      <c r="K4294" s="16"/>
      <c r="T4294" s="17"/>
      <c r="AC4294" s="17"/>
    </row>
    <row r="4295">
      <c r="B4295" s="11">
        <f>IFERROR(__xludf.DUMMYFUNCTION("""COMPUTED_VALUE"""),39787.666666666664)</f>
        <v>39787.66667</v>
      </c>
      <c r="C4295" s="9">
        <f>IFERROR(__xludf.DUMMYFUNCTION("""COMPUTED_VALUE"""),19.08)</f>
        <v>19.08</v>
      </c>
      <c r="K4295" s="16"/>
      <c r="T4295" s="17"/>
      <c r="AC4295" s="17"/>
    </row>
    <row r="4296">
      <c r="B4296" s="11">
        <f>IFERROR(__xludf.DUMMYFUNCTION("""COMPUTED_VALUE"""),39786.666666666664)</f>
        <v>39786.66667</v>
      </c>
      <c r="C4296" s="9">
        <f>IFERROR(__xludf.DUMMYFUNCTION("""COMPUTED_VALUE"""),18.54)</f>
        <v>18.54</v>
      </c>
      <c r="K4296" s="16"/>
      <c r="T4296" s="17"/>
      <c r="AC4296" s="17"/>
    </row>
    <row r="4297">
      <c r="B4297" s="11">
        <f>IFERROR(__xludf.DUMMYFUNCTION("""COMPUTED_VALUE"""),39785.666666666664)</f>
        <v>39785.66667</v>
      </c>
      <c r="C4297" s="9">
        <f>IFERROR(__xludf.DUMMYFUNCTION("""COMPUTED_VALUE"""),19.13)</f>
        <v>19.13</v>
      </c>
      <c r="K4297" s="16"/>
      <c r="T4297" s="17"/>
      <c r="AC4297" s="17"/>
    </row>
    <row r="4298">
      <c r="B4298" s="11">
        <f>IFERROR(__xludf.DUMMYFUNCTION("""COMPUTED_VALUE"""),39784.666666666664)</f>
        <v>39784.66667</v>
      </c>
      <c r="C4298" s="9">
        <f>IFERROR(__xludf.DUMMYFUNCTION("""COMPUTED_VALUE"""),18.89)</f>
        <v>18.89</v>
      </c>
      <c r="K4298" s="16"/>
      <c r="T4298" s="17"/>
      <c r="AC4298" s="17"/>
    </row>
    <row r="4299">
      <c r="B4299" s="11">
        <f>IFERROR(__xludf.DUMMYFUNCTION("""COMPUTED_VALUE"""),39783.666666666664)</f>
        <v>39783.66667</v>
      </c>
      <c r="C4299" s="9">
        <f>IFERROR(__xludf.DUMMYFUNCTION("""COMPUTED_VALUE"""),18.18)</f>
        <v>18.18</v>
      </c>
      <c r="K4299" s="16"/>
      <c r="T4299" s="17"/>
      <c r="AC4299" s="17"/>
    </row>
    <row r="4300">
      <c r="B4300" s="11">
        <f>IFERROR(__xludf.DUMMYFUNCTION("""COMPUTED_VALUE"""),39778.666666666664)</f>
        <v>39778.66667</v>
      </c>
      <c r="C4300" s="9">
        <f>IFERROR(__xludf.DUMMYFUNCTION("""COMPUTED_VALUE"""),19.11)</f>
        <v>19.11</v>
      </c>
      <c r="K4300" s="16"/>
      <c r="T4300" s="17"/>
      <c r="AC4300" s="17"/>
    </row>
    <row r="4301">
      <c r="B4301" s="11">
        <f>IFERROR(__xludf.DUMMYFUNCTION("""COMPUTED_VALUE"""),39777.666666666664)</f>
        <v>39777.66667</v>
      </c>
      <c r="C4301" s="9">
        <f>IFERROR(__xludf.DUMMYFUNCTION("""COMPUTED_VALUE"""),18.36)</f>
        <v>18.36</v>
      </c>
      <c r="K4301" s="16"/>
      <c r="T4301" s="17"/>
      <c r="AC4301" s="17"/>
    </row>
    <row r="4302">
      <c r="B4302" s="11">
        <f>IFERROR(__xludf.DUMMYFUNCTION("""COMPUTED_VALUE"""),39776.666666666664)</f>
        <v>39776.66667</v>
      </c>
      <c r="C4302" s="9">
        <f>IFERROR(__xludf.DUMMYFUNCTION("""COMPUTED_VALUE"""),18.43)</f>
        <v>18.43</v>
      </c>
      <c r="K4302" s="16"/>
      <c r="T4302" s="17"/>
      <c r="AC4302" s="17"/>
    </row>
    <row r="4303">
      <c r="B4303" s="11">
        <f>IFERROR(__xludf.DUMMYFUNCTION("""COMPUTED_VALUE"""),39773.666666666664)</f>
        <v>39773.66667</v>
      </c>
      <c r="C4303" s="9">
        <f>IFERROR(__xludf.DUMMYFUNCTION("""COMPUTED_VALUE"""),17.75)</f>
        <v>17.75</v>
      </c>
      <c r="K4303" s="16"/>
      <c r="T4303" s="17"/>
      <c r="AC4303" s="17"/>
    </row>
    <row r="4304">
      <c r="B4304" s="11">
        <f>IFERROR(__xludf.DUMMYFUNCTION("""COMPUTED_VALUE"""),39772.666666666664)</f>
        <v>39772.66667</v>
      </c>
      <c r="C4304" s="9">
        <f>IFERROR(__xludf.DUMMYFUNCTION("""COMPUTED_VALUE"""),16.59)</f>
        <v>16.59</v>
      </c>
      <c r="K4304" s="16"/>
      <c r="T4304" s="17"/>
      <c r="AC4304" s="17"/>
    </row>
    <row r="4305">
      <c r="B4305" s="11">
        <f>IFERROR(__xludf.DUMMYFUNCTION("""COMPUTED_VALUE"""),39771.666666666664)</f>
        <v>39771.66667</v>
      </c>
      <c r="C4305" s="9">
        <f>IFERROR(__xludf.DUMMYFUNCTION("""COMPUTED_VALUE"""),17.3)</f>
        <v>17.3</v>
      </c>
      <c r="K4305" s="16"/>
      <c r="T4305" s="17"/>
      <c r="AC4305" s="17"/>
    </row>
    <row r="4306">
      <c r="B4306" s="11">
        <f>IFERROR(__xludf.DUMMYFUNCTION("""COMPUTED_VALUE"""),39770.666666666664)</f>
        <v>39770.66667</v>
      </c>
      <c r="C4306" s="9">
        <f>IFERROR(__xludf.DUMMYFUNCTION("""COMPUTED_VALUE"""),18.42)</f>
        <v>18.42</v>
      </c>
      <c r="K4306" s="16"/>
      <c r="T4306" s="17"/>
      <c r="AC4306" s="17"/>
    </row>
    <row r="4307">
      <c r="B4307" s="11">
        <f>IFERROR(__xludf.DUMMYFUNCTION("""COMPUTED_VALUE"""),39769.666666666664)</f>
        <v>39769.66667</v>
      </c>
      <c r="C4307" s="9">
        <f>IFERROR(__xludf.DUMMYFUNCTION("""COMPUTED_VALUE"""),18.48)</f>
        <v>18.48</v>
      </c>
      <c r="K4307" s="16"/>
      <c r="T4307" s="17"/>
      <c r="AC4307" s="17"/>
    </row>
    <row r="4308">
      <c r="B4308" s="11">
        <f>IFERROR(__xludf.DUMMYFUNCTION("""COMPUTED_VALUE"""),39766.666666666664)</f>
        <v>39766.66667</v>
      </c>
      <c r="C4308" s="9">
        <f>IFERROR(__xludf.DUMMYFUNCTION("""COMPUTED_VALUE"""),18.85)</f>
        <v>18.85</v>
      </c>
      <c r="K4308" s="16"/>
      <c r="T4308" s="17"/>
      <c r="AC4308" s="17"/>
    </row>
    <row r="4309">
      <c r="B4309" s="11">
        <f>IFERROR(__xludf.DUMMYFUNCTION("""COMPUTED_VALUE"""),39765.666666666664)</f>
        <v>39765.66667</v>
      </c>
      <c r="C4309" s="9">
        <f>IFERROR(__xludf.DUMMYFUNCTION("""COMPUTED_VALUE"""),19.78)</f>
        <v>19.78</v>
      </c>
      <c r="K4309" s="16"/>
      <c r="T4309" s="17"/>
      <c r="AC4309" s="17"/>
    </row>
    <row r="4310">
      <c r="B4310" s="11">
        <f>IFERROR(__xludf.DUMMYFUNCTION("""COMPUTED_VALUE"""),39764.666666666664)</f>
        <v>39764.66667</v>
      </c>
      <c r="C4310" s="9">
        <f>IFERROR(__xludf.DUMMYFUNCTION("""COMPUTED_VALUE"""),18.87)</f>
        <v>18.87</v>
      </c>
      <c r="K4310" s="16"/>
      <c r="T4310" s="17"/>
      <c r="AC4310" s="17"/>
    </row>
    <row r="4311">
      <c r="B4311" s="11">
        <f>IFERROR(__xludf.DUMMYFUNCTION("""COMPUTED_VALUE"""),39763.666666666664)</f>
        <v>39763.66667</v>
      </c>
      <c r="C4311" s="9">
        <f>IFERROR(__xludf.DUMMYFUNCTION("""COMPUTED_VALUE"""),19.76)</f>
        <v>19.76</v>
      </c>
      <c r="K4311" s="16"/>
      <c r="T4311" s="17"/>
      <c r="AC4311" s="17"/>
    </row>
    <row r="4312">
      <c r="B4312" s="11">
        <f>IFERROR(__xludf.DUMMYFUNCTION("""COMPUTED_VALUE"""),39762.666666666664)</f>
        <v>39762.66667</v>
      </c>
      <c r="C4312" s="9">
        <f>IFERROR(__xludf.DUMMYFUNCTION("""COMPUTED_VALUE"""),20.27)</f>
        <v>20.27</v>
      </c>
      <c r="K4312" s="16"/>
      <c r="T4312" s="17"/>
      <c r="AC4312" s="17"/>
    </row>
    <row r="4313">
      <c r="B4313" s="11">
        <f>IFERROR(__xludf.DUMMYFUNCTION("""COMPUTED_VALUE"""),39759.666666666664)</f>
        <v>39759.66667</v>
      </c>
      <c r="C4313" s="9">
        <f>IFERROR(__xludf.DUMMYFUNCTION("""COMPUTED_VALUE"""),20.32)</f>
        <v>20.32</v>
      </c>
      <c r="K4313" s="16"/>
      <c r="T4313" s="17"/>
      <c r="AC4313" s="17"/>
    </row>
    <row r="4314">
      <c r="B4314" s="11">
        <f>IFERROR(__xludf.DUMMYFUNCTION("""COMPUTED_VALUE"""),39758.666666666664)</f>
        <v>39758.66667</v>
      </c>
      <c r="C4314" s="9">
        <f>IFERROR(__xludf.DUMMYFUNCTION("""COMPUTED_VALUE"""),20.1)</f>
        <v>20.1</v>
      </c>
      <c r="K4314" s="16"/>
      <c r="T4314" s="17"/>
      <c r="AC4314" s="17"/>
    </row>
    <row r="4315">
      <c r="B4315" s="11">
        <f>IFERROR(__xludf.DUMMYFUNCTION("""COMPUTED_VALUE"""),39757.666666666664)</f>
        <v>39757.66667</v>
      </c>
      <c r="C4315" s="9">
        <f>IFERROR(__xludf.DUMMYFUNCTION("""COMPUTED_VALUE"""),21.27)</f>
        <v>21.27</v>
      </c>
      <c r="K4315" s="16"/>
      <c r="T4315" s="17"/>
      <c r="AC4315" s="17"/>
    </row>
    <row r="4316">
      <c r="B4316" s="11">
        <f>IFERROR(__xludf.DUMMYFUNCTION("""COMPUTED_VALUE"""),39756.666666666664)</f>
        <v>39756.66667</v>
      </c>
      <c r="C4316" s="9">
        <f>IFERROR(__xludf.DUMMYFUNCTION("""COMPUTED_VALUE"""),22.57)</f>
        <v>22.57</v>
      </c>
      <c r="K4316" s="16"/>
      <c r="T4316" s="17"/>
      <c r="AC4316" s="17"/>
    </row>
    <row r="4317">
      <c r="B4317" s="11">
        <f>IFERROR(__xludf.DUMMYFUNCTION("""COMPUTED_VALUE"""),39755.666666666664)</f>
        <v>39755.66667</v>
      </c>
      <c r="C4317" s="9">
        <f>IFERROR(__xludf.DUMMYFUNCTION("""COMPUTED_VALUE"""),21.85)</f>
        <v>21.85</v>
      </c>
      <c r="K4317" s="16"/>
      <c r="T4317" s="17"/>
      <c r="AC4317" s="17"/>
    </row>
    <row r="4318">
      <c r="B4318" s="11">
        <f>IFERROR(__xludf.DUMMYFUNCTION("""COMPUTED_VALUE"""),39752.666666666664)</f>
        <v>39752.66667</v>
      </c>
      <c r="C4318" s="9">
        <f>IFERROR(__xludf.DUMMYFUNCTION("""COMPUTED_VALUE"""),21.8)</f>
        <v>21.8</v>
      </c>
      <c r="K4318" s="16"/>
      <c r="T4318" s="17"/>
      <c r="AC4318" s="17"/>
    </row>
    <row r="4319">
      <c r="B4319" s="11">
        <f>IFERROR(__xludf.DUMMYFUNCTION("""COMPUTED_VALUE"""),39751.666666666664)</f>
        <v>39751.66667</v>
      </c>
      <c r="C4319" s="9">
        <f>IFERROR(__xludf.DUMMYFUNCTION("""COMPUTED_VALUE"""),21.32)</f>
        <v>21.32</v>
      </c>
      <c r="K4319" s="16"/>
      <c r="T4319" s="17"/>
      <c r="AC4319" s="17"/>
    </row>
    <row r="4320">
      <c r="B4320" s="11">
        <f>IFERROR(__xludf.DUMMYFUNCTION("""COMPUTED_VALUE"""),39750.666666666664)</f>
        <v>39750.66667</v>
      </c>
      <c r="C4320" s="9">
        <f>IFERROR(__xludf.DUMMYFUNCTION("""COMPUTED_VALUE"""),20.45)</f>
        <v>20.45</v>
      </c>
      <c r="K4320" s="16"/>
      <c r="T4320" s="17"/>
      <c r="AC4320" s="17"/>
    </row>
    <row r="4321">
      <c r="B4321" s="11">
        <f>IFERROR(__xludf.DUMMYFUNCTION("""COMPUTED_VALUE"""),39749.666666666664)</f>
        <v>39749.66667</v>
      </c>
      <c r="C4321" s="9">
        <f>IFERROR(__xludf.DUMMYFUNCTION("""COMPUTED_VALUE"""),20.0)</f>
        <v>20</v>
      </c>
      <c r="K4321" s="16"/>
      <c r="T4321" s="17"/>
      <c r="AC4321" s="17"/>
    </row>
    <row r="4322">
      <c r="B4322" s="11">
        <f>IFERROR(__xludf.DUMMYFUNCTION("""COMPUTED_VALUE"""),39748.666666666664)</f>
        <v>39748.66667</v>
      </c>
      <c r="C4322" s="9">
        <f>IFERROR(__xludf.DUMMYFUNCTION("""COMPUTED_VALUE"""),18.08)</f>
        <v>18.08</v>
      </c>
      <c r="K4322" s="16"/>
      <c r="T4322" s="17"/>
      <c r="AC4322" s="17"/>
    </row>
    <row r="4323">
      <c r="B4323" s="11">
        <f>IFERROR(__xludf.DUMMYFUNCTION("""COMPUTED_VALUE"""),39745.666666666664)</f>
        <v>39745.66667</v>
      </c>
      <c r="C4323" s="9">
        <f>IFERROR(__xludf.DUMMYFUNCTION("""COMPUTED_VALUE"""),19.02)</f>
        <v>19.02</v>
      </c>
      <c r="K4323" s="16"/>
      <c r="T4323" s="17"/>
      <c r="AC4323" s="17"/>
    </row>
    <row r="4324">
      <c r="B4324" s="11">
        <f>IFERROR(__xludf.DUMMYFUNCTION("""COMPUTED_VALUE"""),39744.666666666664)</f>
        <v>39744.66667</v>
      </c>
      <c r="C4324" s="9">
        <f>IFERROR(__xludf.DUMMYFUNCTION("""COMPUTED_VALUE"""),19.66)</f>
        <v>19.66</v>
      </c>
      <c r="K4324" s="16"/>
      <c r="T4324" s="17"/>
      <c r="AC4324" s="17"/>
    </row>
    <row r="4325">
      <c r="B4325" s="11">
        <f>IFERROR(__xludf.DUMMYFUNCTION("""COMPUTED_VALUE"""),39743.666666666664)</f>
        <v>39743.66667</v>
      </c>
      <c r="C4325" s="9">
        <f>IFERROR(__xludf.DUMMYFUNCTION("""COMPUTED_VALUE"""),19.42)</f>
        <v>19.42</v>
      </c>
      <c r="K4325" s="16"/>
      <c r="T4325" s="17"/>
      <c r="AC4325" s="17"/>
    </row>
    <row r="4326">
      <c r="B4326" s="11">
        <f>IFERROR(__xludf.DUMMYFUNCTION("""COMPUTED_VALUE"""),39742.666666666664)</f>
        <v>39742.66667</v>
      </c>
      <c r="C4326" s="9">
        <f>IFERROR(__xludf.DUMMYFUNCTION("""COMPUTED_VALUE"""),20.3)</f>
        <v>20.3</v>
      </c>
      <c r="K4326" s="16"/>
      <c r="T4326" s="17"/>
      <c r="AC4326" s="17"/>
    </row>
    <row r="4327">
      <c r="B4327" s="11">
        <f>IFERROR(__xludf.DUMMYFUNCTION("""COMPUTED_VALUE"""),39741.666666666664)</f>
        <v>39741.66667</v>
      </c>
      <c r="C4327" s="9">
        <f>IFERROR(__xludf.DUMMYFUNCTION("""COMPUTED_VALUE"""),21.03)</f>
        <v>21.03</v>
      </c>
      <c r="K4327" s="16"/>
      <c r="T4327" s="17"/>
      <c r="AC4327" s="17"/>
    </row>
    <row r="4328">
      <c r="B4328" s="11">
        <f>IFERROR(__xludf.DUMMYFUNCTION("""COMPUTED_VALUE"""),39738.666666666664)</f>
        <v>39738.66667</v>
      </c>
      <c r="C4328" s="9">
        <f>IFERROR(__xludf.DUMMYFUNCTION("""COMPUTED_VALUE"""),20.54)</f>
        <v>20.54</v>
      </c>
      <c r="K4328" s="16"/>
      <c r="T4328" s="17"/>
      <c r="AC4328" s="17"/>
    </row>
    <row r="4329">
      <c r="B4329" s="11">
        <f>IFERROR(__xludf.DUMMYFUNCTION("""COMPUTED_VALUE"""),39737.666666666664)</f>
        <v>39737.66667</v>
      </c>
      <c r="C4329" s="9">
        <f>IFERROR(__xludf.DUMMYFUNCTION("""COMPUTED_VALUE"""),20.75)</f>
        <v>20.75</v>
      </c>
      <c r="K4329" s="16"/>
      <c r="T4329" s="17"/>
      <c r="AC4329" s="17"/>
    </row>
    <row r="4330">
      <c r="B4330" s="11">
        <f>IFERROR(__xludf.DUMMYFUNCTION("""COMPUTED_VALUE"""),39736.666666666664)</f>
        <v>39736.66667</v>
      </c>
      <c r="C4330" s="9">
        <f>IFERROR(__xludf.DUMMYFUNCTION("""COMPUTED_VALUE"""),19.6)</f>
        <v>19.6</v>
      </c>
      <c r="K4330" s="16"/>
      <c r="T4330" s="17"/>
      <c r="AC4330" s="17"/>
    </row>
    <row r="4331">
      <c r="B4331" s="11">
        <f>IFERROR(__xludf.DUMMYFUNCTION("""COMPUTED_VALUE"""),39735.666666666664)</f>
        <v>39735.66667</v>
      </c>
      <c r="C4331" s="9">
        <f>IFERROR(__xludf.DUMMYFUNCTION("""COMPUTED_VALUE"""),21.48)</f>
        <v>21.48</v>
      </c>
      <c r="K4331" s="16"/>
      <c r="T4331" s="17"/>
      <c r="AC4331" s="17"/>
    </row>
    <row r="4332">
      <c r="B4332" s="11">
        <f>IFERROR(__xludf.DUMMYFUNCTION("""COMPUTED_VALUE"""),39734.666666666664)</f>
        <v>39734.66667</v>
      </c>
      <c r="C4332" s="9">
        <f>IFERROR(__xludf.DUMMYFUNCTION("""COMPUTED_VALUE"""),21.45)</f>
        <v>21.45</v>
      </c>
      <c r="K4332" s="16"/>
      <c r="T4332" s="17"/>
      <c r="AC4332" s="17"/>
    </row>
    <row r="4333">
      <c r="B4333" s="11">
        <f>IFERROR(__xludf.DUMMYFUNCTION("""COMPUTED_VALUE"""),39731.666666666664)</f>
        <v>39731.66667</v>
      </c>
      <c r="C4333" s="9">
        <f>IFERROR(__xludf.DUMMYFUNCTION("""COMPUTED_VALUE"""),19.5)</f>
        <v>19.5</v>
      </c>
      <c r="K4333" s="16"/>
      <c r="T4333" s="17"/>
      <c r="AC4333" s="17"/>
    </row>
    <row r="4334">
      <c r="B4334" s="11">
        <f>IFERROR(__xludf.DUMMYFUNCTION("""COMPUTED_VALUE"""),39730.666666666664)</f>
        <v>39730.66667</v>
      </c>
      <c r="C4334" s="9">
        <f>IFERROR(__xludf.DUMMYFUNCTION("""COMPUTED_VALUE"""),20.11)</f>
        <v>20.11</v>
      </c>
      <c r="K4334" s="16"/>
      <c r="T4334" s="17"/>
      <c r="AC4334" s="17"/>
    </row>
    <row r="4335">
      <c r="B4335" s="11">
        <f>IFERROR(__xludf.DUMMYFUNCTION("""COMPUTED_VALUE"""),39729.666666666664)</f>
        <v>39729.66667</v>
      </c>
      <c r="C4335" s="9">
        <f>IFERROR(__xludf.DUMMYFUNCTION("""COMPUTED_VALUE"""),21.38)</f>
        <v>21.38</v>
      </c>
      <c r="K4335" s="16"/>
      <c r="T4335" s="17"/>
      <c r="AC4335" s="17"/>
    </row>
    <row r="4336">
      <c r="B4336" s="11">
        <f>IFERROR(__xludf.DUMMYFUNCTION("""COMPUTED_VALUE"""),39728.666666666664)</f>
        <v>39728.66667</v>
      </c>
      <c r="C4336" s="9">
        <f>IFERROR(__xludf.DUMMYFUNCTION("""COMPUTED_VALUE"""),21.87)</f>
        <v>21.87</v>
      </c>
      <c r="K4336" s="16"/>
      <c r="T4336" s="17"/>
      <c r="AC4336" s="17"/>
    </row>
    <row r="4337">
      <c r="B4337" s="11">
        <f>IFERROR(__xludf.DUMMYFUNCTION("""COMPUTED_VALUE"""),39727.666666666664)</f>
        <v>39727.66667</v>
      </c>
      <c r="C4337" s="9">
        <f>IFERROR(__xludf.DUMMYFUNCTION("""COMPUTED_VALUE"""),22.69)</f>
        <v>22.69</v>
      </c>
      <c r="K4337" s="16"/>
      <c r="T4337" s="17"/>
      <c r="AC4337" s="17"/>
    </row>
    <row r="4338">
      <c r="B4338" s="11">
        <f>IFERROR(__xludf.DUMMYFUNCTION("""COMPUTED_VALUE"""),39724.666666666664)</f>
        <v>39724.66667</v>
      </c>
      <c r="C4338" s="9">
        <f>IFERROR(__xludf.DUMMYFUNCTION("""COMPUTED_VALUE"""),23.57)</f>
        <v>23.57</v>
      </c>
      <c r="K4338" s="16"/>
      <c r="T4338" s="17"/>
      <c r="AC4338" s="17"/>
    </row>
    <row r="4339">
      <c r="B4339" s="11">
        <f>IFERROR(__xludf.DUMMYFUNCTION("""COMPUTED_VALUE"""),39723.666666666664)</f>
        <v>39723.66667</v>
      </c>
      <c r="C4339" s="9">
        <f>IFERROR(__xludf.DUMMYFUNCTION("""COMPUTED_VALUE"""),23.86)</f>
        <v>23.86</v>
      </c>
      <c r="K4339" s="16"/>
      <c r="T4339" s="17"/>
      <c r="AC4339" s="17"/>
    </row>
    <row r="4340">
      <c r="B4340" s="11">
        <f>IFERROR(__xludf.DUMMYFUNCTION("""COMPUTED_VALUE"""),39722.666666666664)</f>
        <v>39722.66667</v>
      </c>
      <c r="C4340" s="9">
        <f>IFERROR(__xludf.DUMMYFUNCTION("""COMPUTED_VALUE"""),25.1)</f>
        <v>25.1</v>
      </c>
      <c r="K4340" s="16"/>
      <c r="T4340" s="17"/>
      <c r="AC4340" s="17"/>
    </row>
    <row r="4341">
      <c r="B4341" s="11">
        <f>IFERROR(__xludf.DUMMYFUNCTION("""COMPUTED_VALUE"""),39721.666666666664)</f>
        <v>39721.66667</v>
      </c>
      <c r="C4341" s="9">
        <f>IFERROR(__xludf.DUMMYFUNCTION("""COMPUTED_VALUE"""),25.47)</f>
        <v>25.47</v>
      </c>
      <c r="K4341" s="16"/>
      <c r="T4341" s="17"/>
      <c r="AC4341" s="17"/>
    </row>
    <row r="4342">
      <c r="B4342" s="11">
        <f>IFERROR(__xludf.DUMMYFUNCTION("""COMPUTED_VALUE"""),39720.666666666664)</f>
        <v>39720.66667</v>
      </c>
      <c r="C4342" s="9">
        <f>IFERROR(__xludf.DUMMYFUNCTION("""COMPUTED_VALUE"""),25.01)</f>
        <v>25.01</v>
      </c>
      <c r="K4342" s="16"/>
      <c r="T4342" s="17"/>
      <c r="AC4342" s="17"/>
    </row>
    <row r="4343">
      <c r="B4343" s="11">
        <f>IFERROR(__xludf.DUMMYFUNCTION("""COMPUTED_VALUE"""),39717.666666666664)</f>
        <v>39717.66667</v>
      </c>
      <c r="C4343" s="9">
        <f>IFERROR(__xludf.DUMMYFUNCTION("""COMPUTED_VALUE"""),26.32)</f>
        <v>26.32</v>
      </c>
      <c r="K4343" s="16"/>
      <c r="T4343" s="17"/>
      <c r="AC4343" s="17"/>
    </row>
    <row r="4344">
      <c r="B4344" s="11">
        <f>IFERROR(__xludf.DUMMYFUNCTION("""COMPUTED_VALUE"""),39716.666666666664)</f>
        <v>39716.66667</v>
      </c>
      <c r="C4344" s="9">
        <f>IFERROR(__xludf.DUMMYFUNCTION("""COMPUTED_VALUE"""),26.36)</f>
        <v>26.36</v>
      </c>
      <c r="K4344" s="16"/>
      <c r="T4344" s="17"/>
      <c r="AC4344" s="17"/>
    </row>
    <row r="4345">
      <c r="B4345" s="11">
        <f>IFERROR(__xludf.DUMMYFUNCTION("""COMPUTED_VALUE"""),39715.666666666664)</f>
        <v>39715.66667</v>
      </c>
      <c r="C4345" s="9">
        <f>IFERROR(__xludf.DUMMYFUNCTION("""COMPUTED_VALUE"""),26.24)</f>
        <v>26.24</v>
      </c>
      <c r="K4345" s="16"/>
      <c r="T4345" s="17"/>
      <c r="AC4345" s="17"/>
    </row>
    <row r="4346">
      <c r="B4346" s="11">
        <f>IFERROR(__xludf.DUMMYFUNCTION("""COMPUTED_VALUE"""),39714.666666666664)</f>
        <v>39714.66667</v>
      </c>
      <c r="C4346" s="9">
        <f>IFERROR(__xludf.DUMMYFUNCTION("""COMPUTED_VALUE"""),26.57)</f>
        <v>26.57</v>
      </c>
      <c r="K4346" s="16"/>
      <c r="T4346" s="17"/>
      <c r="AC4346" s="17"/>
    </row>
    <row r="4347">
      <c r="B4347" s="11">
        <f>IFERROR(__xludf.DUMMYFUNCTION("""COMPUTED_VALUE"""),39713.666666666664)</f>
        <v>39713.66667</v>
      </c>
      <c r="C4347" s="9">
        <f>IFERROR(__xludf.DUMMYFUNCTION("""COMPUTED_VALUE"""),27.04)</f>
        <v>27.04</v>
      </c>
      <c r="K4347" s="16"/>
      <c r="T4347" s="17"/>
      <c r="AC4347" s="17"/>
    </row>
    <row r="4348">
      <c r="B4348" s="11">
        <f>IFERROR(__xludf.DUMMYFUNCTION("""COMPUTED_VALUE"""),39710.666666666664)</f>
        <v>39710.66667</v>
      </c>
      <c r="C4348" s="9">
        <f>IFERROR(__xludf.DUMMYFUNCTION("""COMPUTED_VALUE"""),27.8)</f>
        <v>27.8</v>
      </c>
      <c r="K4348" s="16"/>
      <c r="T4348" s="17"/>
      <c r="AC4348" s="17"/>
    </row>
    <row r="4349">
      <c r="B4349" s="11">
        <f>IFERROR(__xludf.DUMMYFUNCTION("""COMPUTED_VALUE"""),39709.666666666664)</f>
        <v>39709.66667</v>
      </c>
      <c r="C4349" s="9">
        <f>IFERROR(__xludf.DUMMYFUNCTION("""COMPUTED_VALUE"""),27.36)</f>
        <v>27.36</v>
      </c>
      <c r="K4349" s="16"/>
      <c r="T4349" s="17"/>
      <c r="AC4349" s="17"/>
    </row>
    <row r="4350">
      <c r="B4350" s="11">
        <f>IFERROR(__xludf.DUMMYFUNCTION("""COMPUTED_VALUE"""),39708.666666666664)</f>
        <v>39708.66667</v>
      </c>
      <c r="C4350" s="9">
        <f>IFERROR(__xludf.DUMMYFUNCTION("""COMPUTED_VALUE"""),26.37)</f>
        <v>26.37</v>
      </c>
      <c r="K4350" s="16"/>
      <c r="T4350" s="17"/>
      <c r="AC4350" s="17"/>
    </row>
    <row r="4351">
      <c r="B4351" s="11">
        <f>IFERROR(__xludf.DUMMYFUNCTION("""COMPUTED_VALUE"""),39707.666666666664)</f>
        <v>39707.66667</v>
      </c>
      <c r="C4351" s="9">
        <f>IFERROR(__xludf.DUMMYFUNCTION("""COMPUTED_VALUE"""),27.74)</f>
        <v>27.74</v>
      </c>
      <c r="K4351" s="16"/>
      <c r="T4351" s="17"/>
      <c r="AC4351" s="17"/>
    </row>
    <row r="4352">
      <c r="B4352" s="11">
        <f>IFERROR(__xludf.DUMMYFUNCTION("""COMPUTED_VALUE"""),39706.666666666664)</f>
        <v>39706.66667</v>
      </c>
      <c r="C4352" s="9">
        <f>IFERROR(__xludf.DUMMYFUNCTION("""COMPUTED_VALUE"""),27.83)</f>
        <v>27.83</v>
      </c>
      <c r="K4352" s="16"/>
      <c r="T4352" s="17"/>
      <c r="AC4352" s="17"/>
    </row>
    <row r="4353">
      <c r="B4353" s="11">
        <f>IFERROR(__xludf.DUMMYFUNCTION("""COMPUTED_VALUE"""),39703.666666666664)</f>
        <v>39703.66667</v>
      </c>
      <c r="C4353" s="9">
        <f>IFERROR(__xludf.DUMMYFUNCTION("""COMPUTED_VALUE"""),28.69)</f>
        <v>28.69</v>
      </c>
      <c r="K4353" s="16"/>
      <c r="T4353" s="17"/>
      <c r="AC4353" s="17"/>
    </row>
    <row r="4354">
      <c r="B4354" s="11">
        <f>IFERROR(__xludf.DUMMYFUNCTION("""COMPUTED_VALUE"""),39702.666666666664)</f>
        <v>39702.66667</v>
      </c>
      <c r="C4354" s="9">
        <f>IFERROR(__xludf.DUMMYFUNCTION("""COMPUTED_VALUE"""),28.4)</f>
        <v>28.4</v>
      </c>
      <c r="K4354" s="16"/>
      <c r="T4354" s="17"/>
      <c r="AC4354" s="17"/>
    </row>
    <row r="4355">
      <c r="B4355" s="11">
        <f>IFERROR(__xludf.DUMMYFUNCTION("""COMPUTED_VALUE"""),39701.666666666664)</f>
        <v>39701.66667</v>
      </c>
      <c r="C4355" s="9">
        <f>IFERROR(__xludf.DUMMYFUNCTION("""COMPUTED_VALUE"""),28.07)</f>
        <v>28.07</v>
      </c>
      <c r="K4355" s="16"/>
      <c r="T4355" s="17"/>
      <c r="AC4355" s="17"/>
    </row>
    <row r="4356">
      <c r="B4356" s="11">
        <f>IFERROR(__xludf.DUMMYFUNCTION("""COMPUTED_VALUE"""),39700.666666666664)</f>
        <v>39700.66667</v>
      </c>
      <c r="C4356" s="9">
        <f>IFERROR(__xludf.DUMMYFUNCTION("""COMPUTED_VALUE"""),28.43)</f>
        <v>28.43</v>
      </c>
      <c r="K4356" s="16"/>
      <c r="T4356" s="17"/>
      <c r="AC4356" s="17"/>
    </row>
    <row r="4357">
      <c r="B4357" s="11">
        <f>IFERROR(__xludf.DUMMYFUNCTION("""COMPUTED_VALUE"""),39699.666666666664)</f>
        <v>39699.66667</v>
      </c>
      <c r="C4357" s="9">
        <f>IFERROR(__xludf.DUMMYFUNCTION("""COMPUTED_VALUE"""),28.89)</f>
        <v>28.89</v>
      </c>
      <c r="K4357" s="16"/>
      <c r="T4357" s="17"/>
      <c r="AC4357" s="17"/>
    </row>
    <row r="4358">
      <c r="B4358" s="11">
        <f>IFERROR(__xludf.DUMMYFUNCTION("""COMPUTED_VALUE"""),39696.666666666664)</f>
        <v>39696.66667</v>
      </c>
      <c r="C4358" s="9">
        <f>IFERROR(__xludf.DUMMYFUNCTION("""COMPUTED_VALUE"""),28.59)</f>
        <v>28.59</v>
      </c>
      <c r="K4358" s="16"/>
      <c r="T4358" s="17"/>
      <c r="AC4358" s="17"/>
    </row>
    <row r="4359">
      <c r="B4359" s="11">
        <f>IFERROR(__xludf.DUMMYFUNCTION("""COMPUTED_VALUE"""),39695.666666666664)</f>
        <v>39695.66667</v>
      </c>
      <c r="C4359" s="9">
        <f>IFERROR(__xludf.DUMMYFUNCTION("""COMPUTED_VALUE"""),28.52)</f>
        <v>28.52</v>
      </c>
      <c r="K4359" s="16"/>
      <c r="T4359" s="17"/>
      <c r="AC4359" s="17"/>
    </row>
    <row r="4360">
      <c r="B4360" s="11">
        <f>IFERROR(__xludf.DUMMYFUNCTION("""COMPUTED_VALUE"""),39694.666666666664)</f>
        <v>39694.66667</v>
      </c>
      <c r="C4360" s="9">
        <f>IFERROR(__xludf.DUMMYFUNCTION("""COMPUTED_VALUE"""),29.51)</f>
        <v>29.51</v>
      </c>
      <c r="K4360" s="16"/>
      <c r="T4360" s="17"/>
      <c r="AC4360" s="17"/>
    </row>
    <row r="4361">
      <c r="B4361" s="11">
        <f>IFERROR(__xludf.DUMMYFUNCTION("""COMPUTED_VALUE"""),39693.666666666664)</f>
        <v>39693.66667</v>
      </c>
      <c r="C4361" s="9">
        <f>IFERROR(__xludf.DUMMYFUNCTION("""COMPUTED_VALUE"""),29.57)</f>
        <v>29.57</v>
      </c>
      <c r="K4361" s="16"/>
      <c r="T4361" s="17"/>
      <c r="AC4361" s="17"/>
    </row>
    <row r="4362">
      <c r="B4362" s="11">
        <f>IFERROR(__xludf.DUMMYFUNCTION("""COMPUTED_VALUE"""),39689.666666666664)</f>
        <v>39689.66667</v>
      </c>
      <c r="C4362" s="9">
        <f>IFERROR(__xludf.DUMMYFUNCTION("""COMPUTED_VALUE"""),29.46)</f>
        <v>29.46</v>
      </c>
      <c r="K4362" s="16"/>
      <c r="T4362" s="17"/>
      <c r="AC4362" s="17"/>
    </row>
    <row r="4363">
      <c r="B4363" s="11">
        <f>IFERROR(__xludf.DUMMYFUNCTION("""COMPUTED_VALUE"""),39688.666666666664)</f>
        <v>39688.66667</v>
      </c>
      <c r="C4363" s="9">
        <f>IFERROR(__xludf.DUMMYFUNCTION("""COMPUTED_VALUE"""),29.87)</f>
        <v>29.87</v>
      </c>
      <c r="K4363" s="16"/>
      <c r="T4363" s="17"/>
      <c r="AC4363" s="17"/>
    </row>
    <row r="4364">
      <c r="B4364" s="11">
        <f>IFERROR(__xludf.DUMMYFUNCTION("""COMPUTED_VALUE"""),39687.666666666664)</f>
        <v>39687.66667</v>
      </c>
      <c r="C4364" s="9">
        <f>IFERROR(__xludf.DUMMYFUNCTION("""COMPUTED_VALUE"""),29.08)</f>
        <v>29.08</v>
      </c>
      <c r="K4364" s="16"/>
      <c r="T4364" s="17"/>
      <c r="AC4364" s="17"/>
    </row>
    <row r="4365">
      <c r="B4365" s="11">
        <f>IFERROR(__xludf.DUMMYFUNCTION("""COMPUTED_VALUE"""),39686.666666666664)</f>
        <v>39686.66667</v>
      </c>
      <c r="C4365" s="9">
        <f>IFERROR(__xludf.DUMMYFUNCTION("""COMPUTED_VALUE"""),28.91)</f>
        <v>28.91</v>
      </c>
      <c r="K4365" s="16"/>
      <c r="T4365" s="17"/>
      <c r="AC4365" s="17"/>
    </row>
    <row r="4366">
      <c r="B4366" s="11">
        <f>IFERROR(__xludf.DUMMYFUNCTION("""COMPUTED_VALUE"""),39685.666666666664)</f>
        <v>39685.66667</v>
      </c>
      <c r="C4366" s="9">
        <f>IFERROR(__xludf.DUMMYFUNCTION("""COMPUTED_VALUE"""),28.81)</f>
        <v>28.81</v>
      </c>
      <c r="K4366" s="16"/>
      <c r="T4366" s="17"/>
      <c r="AC4366" s="17"/>
    </row>
    <row r="4367">
      <c r="B4367" s="11">
        <f>IFERROR(__xludf.DUMMYFUNCTION("""COMPUTED_VALUE"""),39682.666666666664)</f>
        <v>39682.66667</v>
      </c>
      <c r="C4367" s="9">
        <f>IFERROR(__xludf.DUMMYFUNCTION("""COMPUTED_VALUE"""),29.26)</f>
        <v>29.26</v>
      </c>
      <c r="K4367" s="16"/>
      <c r="T4367" s="17"/>
      <c r="AC4367" s="17"/>
    </row>
    <row r="4368">
      <c r="B4368" s="11">
        <f>IFERROR(__xludf.DUMMYFUNCTION("""COMPUTED_VALUE"""),39681.666666666664)</f>
        <v>39681.66667</v>
      </c>
      <c r="C4368" s="9">
        <f>IFERROR(__xludf.DUMMYFUNCTION("""COMPUTED_VALUE"""),28.82)</f>
        <v>28.82</v>
      </c>
      <c r="K4368" s="16"/>
      <c r="T4368" s="17"/>
      <c r="AC4368" s="17"/>
    </row>
    <row r="4369">
      <c r="B4369" s="11">
        <f>IFERROR(__xludf.DUMMYFUNCTION("""COMPUTED_VALUE"""),39680.666666666664)</f>
        <v>39680.66667</v>
      </c>
      <c r="C4369" s="9">
        <f>IFERROR(__xludf.DUMMYFUNCTION("""COMPUTED_VALUE"""),29.04)</f>
        <v>29.04</v>
      </c>
      <c r="K4369" s="16"/>
      <c r="T4369" s="17"/>
      <c r="AC4369" s="17"/>
    </row>
    <row r="4370">
      <c r="B4370" s="11">
        <f>IFERROR(__xludf.DUMMYFUNCTION("""COMPUTED_VALUE"""),39679.666666666664)</f>
        <v>39679.66667</v>
      </c>
      <c r="C4370" s="9">
        <f>IFERROR(__xludf.DUMMYFUNCTION("""COMPUTED_VALUE"""),29.16)</f>
        <v>29.16</v>
      </c>
      <c r="K4370" s="16"/>
      <c r="T4370" s="17"/>
      <c r="AC4370" s="17"/>
    </row>
    <row r="4371">
      <c r="B4371" s="11">
        <f>IFERROR(__xludf.DUMMYFUNCTION("""COMPUTED_VALUE"""),39678.666666666664)</f>
        <v>39678.66667</v>
      </c>
      <c r="C4371" s="9">
        <f>IFERROR(__xludf.DUMMYFUNCTION("""COMPUTED_VALUE"""),29.62)</f>
        <v>29.62</v>
      </c>
      <c r="K4371" s="16"/>
      <c r="T4371" s="17"/>
      <c r="AC4371" s="17"/>
    </row>
    <row r="4372">
      <c r="B4372" s="11">
        <f>IFERROR(__xludf.DUMMYFUNCTION("""COMPUTED_VALUE"""),39675.666666666664)</f>
        <v>39675.66667</v>
      </c>
      <c r="C4372" s="9">
        <f>IFERROR(__xludf.DUMMYFUNCTION("""COMPUTED_VALUE"""),29.92)</f>
        <v>29.92</v>
      </c>
      <c r="K4372" s="16"/>
      <c r="T4372" s="17"/>
      <c r="AC4372" s="17"/>
    </row>
    <row r="4373">
      <c r="B4373" s="11">
        <f>IFERROR(__xludf.DUMMYFUNCTION("""COMPUTED_VALUE"""),39674.666666666664)</f>
        <v>39674.66667</v>
      </c>
      <c r="C4373" s="9">
        <f>IFERROR(__xludf.DUMMYFUNCTION("""COMPUTED_VALUE"""),29.68)</f>
        <v>29.68</v>
      </c>
      <c r="K4373" s="16"/>
      <c r="T4373" s="17"/>
      <c r="AC4373" s="17"/>
    </row>
    <row r="4374">
      <c r="B4374" s="11">
        <f>IFERROR(__xludf.DUMMYFUNCTION("""COMPUTED_VALUE"""),39673.666666666664)</f>
        <v>39673.66667</v>
      </c>
      <c r="C4374" s="9">
        <f>IFERROR(__xludf.DUMMYFUNCTION("""COMPUTED_VALUE"""),29.57)</f>
        <v>29.57</v>
      </c>
      <c r="K4374" s="16"/>
      <c r="T4374" s="17"/>
      <c r="AC4374" s="17"/>
    </row>
    <row r="4375">
      <c r="B4375" s="11">
        <f>IFERROR(__xludf.DUMMYFUNCTION("""COMPUTED_VALUE"""),39672.666666666664)</f>
        <v>39672.66667</v>
      </c>
      <c r="C4375" s="9">
        <f>IFERROR(__xludf.DUMMYFUNCTION("""COMPUTED_VALUE"""),29.67)</f>
        <v>29.67</v>
      </c>
      <c r="K4375" s="16"/>
      <c r="T4375" s="17"/>
      <c r="AC4375" s="17"/>
    </row>
    <row r="4376">
      <c r="B4376" s="11">
        <f>IFERROR(__xludf.DUMMYFUNCTION("""COMPUTED_VALUE"""),39671.666666666664)</f>
        <v>39671.66667</v>
      </c>
      <c r="C4376" s="9">
        <f>IFERROR(__xludf.DUMMYFUNCTION("""COMPUTED_VALUE"""),29.69)</f>
        <v>29.69</v>
      </c>
      <c r="K4376" s="16"/>
      <c r="T4376" s="17"/>
      <c r="AC4376" s="17"/>
    </row>
    <row r="4377">
      <c r="B4377" s="11">
        <f>IFERROR(__xludf.DUMMYFUNCTION("""COMPUTED_VALUE"""),39668.666666666664)</f>
        <v>39668.66667</v>
      </c>
      <c r="C4377" s="9">
        <f>IFERROR(__xludf.DUMMYFUNCTION("""COMPUTED_VALUE"""),29.64)</f>
        <v>29.64</v>
      </c>
      <c r="K4377" s="16"/>
      <c r="T4377" s="17"/>
      <c r="AC4377" s="17"/>
    </row>
    <row r="4378">
      <c r="B4378" s="11">
        <f>IFERROR(__xludf.DUMMYFUNCTION("""COMPUTED_VALUE"""),39667.666666666664)</f>
        <v>39667.66667</v>
      </c>
      <c r="C4378" s="9">
        <f>IFERROR(__xludf.DUMMYFUNCTION("""COMPUTED_VALUE"""),28.63)</f>
        <v>28.63</v>
      </c>
      <c r="K4378" s="16"/>
      <c r="T4378" s="17"/>
      <c r="AC4378" s="17"/>
    </row>
    <row r="4379">
      <c r="B4379" s="11">
        <f>IFERROR(__xludf.DUMMYFUNCTION("""COMPUTED_VALUE"""),39666.666666666664)</f>
        <v>39666.66667</v>
      </c>
      <c r="C4379" s="9">
        <f>IFERROR(__xludf.DUMMYFUNCTION("""COMPUTED_VALUE"""),28.92)</f>
        <v>28.92</v>
      </c>
      <c r="K4379" s="16"/>
      <c r="T4379" s="17"/>
      <c r="AC4379" s="17"/>
    </row>
    <row r="4380">
      <c r="B4380" s="11">
        <f>IFERROR(__xludf.DUMMYFUNCTION("""COMPUTED_VALUE"""),39665.666666666664)</f>
        <v>39665.66667</v>
      </c>
      <c r="C4380" s="9">
        <f>IFERROR(__xludf.DUMMYFUNCTION("""COMPUTED_VALUE"""),28.79)</f>
        <v>28.79</v>
      </c>
      <c r="K4380" s="16"/>
      <c r="T4380" s="17"/>
      <c r="AC4380" s="17"/>
    </row>
    <row r="4381">
      <c r="B4381" s="11">
        <f>IFERROR(__xludf.DUMMYFUNCTION("""COMPUTED_VALUE"""),39664.666666666664)</f>
        <v>39664.66667</v>
      </c>
      <c r="C4381" s="9">
        <f>IFERROR(__xludf.DUMMYFUNCTION("""COMPUTED_VALUE"""),28.06)</f>
        <v>28.06</v>
      </c>
      <c r="K4381" s="16"/>
      <c r="T4381" s="17"/>
      <c r="AC4381" s="17"/>
    </row>
    <row r="4382">
      <c r="B4382" s="11">
        <f>IFERROR(__xludf.DUMMYFUNCTION("""COMPUTED_VALUE"""),39661.666666666664)</f>
        <v>39661.66667</v>
      </c>
      <c r="C4382" s="9">
        <f>IFERROR(__xludf.DUMMYFUNCTION("""COMPUTED_VALUE"""),28.18)</f>
        <v>28.18</v>
      </c>
      <c r="K4382" s="16"/>
      <c r="T4382" s="17"/>
      <c r="AC4382" s="17"/>
    </row>
    <row r="4383">
      <c r="B4383" s="11">
        <f>IFERROR(__xludf.DUMMYFUNCTION("""COMPUTED_VALUE"""),39660.666666666664)</f>
        <v>39660.66667</v>
      </c>
      <c r="C4383" s="9">
        <f>IFERROR(__xludf.DUMMYFUNCTION("""COMPUTED_VALUE"""),28.16)</f>
        <v>28.16</v>
      </c>
      <c r="K4383" s="16"/>
      <c r="T4383" s="17"/>
      <c r="AC4383" s="17"/>
    </row>
    <row r="4384">
      <c r="B4384" s="11">
        <f>IFERROR(__xludf.DUMMYFUNCTION("""COMPUTED_VALUE"""),39659.666666666664)</f>
        <v>39659.66667</v>
      </c>
      <c r="C4384" s="9">
        <f>IFERROR(__xludf.DUMMYFUNCTION("""COMPUTED_VALUE"""),28.58)</f>
        <v>28.58</v>
      </c>
      <c r="K4384" s="16"/>
      <c r="T4384" s="17"/>
      <c r="AC4384" s="17"/>
    </row>
    <row r="4385">
      <c r="B4385" s="11">
        <f>IFERROR(__xludf.DUMMYFUNCTION("""COMPUTED_VALUE"""),39658.666666666664)</f>
        <v>39658.66667</v>
      </c>
      <c r="C4385" s="9">
        <f>IFERROR(__xludf.DUMMYFUNCTION("""COMPUTED_VALUE"""),28.42)</f>
        <v>28.42</v>
      </c>
      <c r="K4385" s="16"/>
      <c r="T4385" s="17"/>
      <c r="AC4385" s="17"/>
    </row>
    <row r="4386">
      <c r="B4386" s="11">
        <f>IFERROR(__xludf.DUMMYFUNCTION("""COMPUTED_VALUE"""),39657.666666666664)</f>
        <v>39657.66667</v>
      </c>
      <c r="C4386" s="9">
        <f>IFERROR(__xludf.DUMMYFUNCTION("""COMPUTED_VALUE"""),27.76)</f>
        <v>27.76</v>
      </c>
      <c r="K4386" s="16"/>
      <c r="T4386" s="17"/>
      <c r="AC4386" s="17"/>
    </row>
    <row r="4387">
      <c r="B4387" s="11">
        <f>IFERROR(__xludf.DUMMYFUNCTION("""COMPUTED_VALUE"""),39654.666666666664)</f>
        <v>39654.66667</v>
      </c>
      <c r="C4387" s="9">
        <f>IFERROR(__xludf.DUMMYFUNCTION("""COMPUTED_VALUE"""),28.3)</f>
        <v>28.3</v>
      </c>
      <c r="K4387" s="16"/>
      <c r="T4387" s="17"/>
      <c r="AC4387" s="17"/>
    </row>
    <row r="4388">
      <c r="B4388" s="11">
        <f>IFERROR(__xludf.DUMMYFUNCTION("""COMPUTED_VALUE"""),39653.666666666664)</f>
        <v>39653.66667</v>
      </c>
      <c r="C4388" s="9">
        <f>IFERROR(__xludf.DUMMYFUNCTION("""COMPUTED_VALUE"""),27.77)</f>
        <v>27.77</v>
      </c>
      <c r="K4388" s="16"/>
      <c r="T4388" s="17"/>
      <c r="AC4388" s="17"/>
    </row>
    <row r="4389">
      <c r="B4389" s="11">
        <f>IFERROR(__xludf.DUMMYFUNCTION("""COMPUTED_VALUE"""),39652.666666666664)</f>
        <v>39652.66667</v>
      </c>
      <c r="C4389" s="9">
        <f>IFERROR(__xludf.DUMMYFUNCTION("""COMPUTED_VALUE"""),28.53)</f>
        <v>28.53</v>
      </c>
      <c r="K4389" s="16"/>
      <c r="T4389" s="17"/>
      <c r="AC4389" s="17"/>
    </row>
    <row r="4390">
      <c r="B4390" s="11">
        <f>IFERROR(__xludf.DUMMYFUNCTION("""COMPUTED_VALUE"""),39651.666666666664)</f>
        <v>39651.66667</v>
      </c>
      <c r="C4390" s="9">
        <f>IFERROR(__xludf.DUMMYFUNCTION("""COMPUTED_VALUE"""),28.24)</f>
        <v>28.24</v>
      </c>
      <c r="K4390" s="16"/>
      <c r="T4390" s="17"/>
      <c r="AC4390" s="17"/>
    </row>
    <row r="4391">
      <c r="B4391" s="11">
        <f>IFERROR(__xludf.DUMMYFUNCTION("""COMPUTED_VALUE"""),39650.666666666664)</f>
        <v>39650.66667</v>
      </c>
      <c r="C4391" s="9">
        <f>IFERROR(__xludf.DUMMYFUNCTION("""COMPUTED_VALUE"""),27.55)</f>
        <v>27.55</v>
      </c>
      <c r="K4391" s="16"/>
      <c r="T4391" s="17"/>
      <c r="AC4391" s="17"/>
    </row>
    <row r="4392">
      <c r="B4392" s="11">
        <f>IFERROR(__xludf.DUMMYFUNCTION("""COMPUTED_VALUE"""),39647.666666666664)</f>
        <v>39647.66667</v>
      </c>
      <c r="C4392" s="9">
        <f>IFERROR(__xludf.DUMMYFUNCTION("""COMPUTED_VALUE"""),27.54)</f>
        <v>27.54</v>
      </c>
      <c r="K4392" s="16"/>
      <c r="T4392" s="17"/>
      <c r="AC4392" s="17"/>
    </row>
    <row r="4393">
      <c r="B4393" s="11">
        <f>IFERROR(__xludf.DUMMYFUNCTION("""COMPUTED_VALUE"""),39646.666666666664)</f>
        <v>39646.66667</v>
      </c>
      <c r="C4393" s="9">
        <f>IFERROR(__xludf.DUMMYFUNCTION("""COMPUTED_VALUE"""),27.39)</f>
        <v>27.39</v>
      </c>
      <c r="K4393" s="16"/>
      <c r="T4393" s="17"/>
      <c r="AC4393" s="17"/>
    </row>
    <row r="4394">
      <c r="B4394" s="11">
        <f>IFERROR(__xludf.DUMMYFUNCTION("""COMPUTED_VALUE"""),39645.666666666664)</f>
        <v>39645.66667</v>
      </c>
      <c r="C4394" s="9">
        <f>IFERROR(__xludf.DUMMYFUNCTION("""COMPUTED_VALUE"""),27.27)</f>
        <v>27.27</v>
      </c>
      <c r="K4394" s="16"/>
      <c r="T4394" s="17"/>
      <c r="AC4394" s="17"/>
    </row>
    <row r="4395">
      <c r="B4395" s="11">
        <f>IFERROR(__xludf.DUMMYFUNCTION("""COMPUTED_VALUE"""),39644.666666666664)</f>
        <v>39644.66667</v>
      </c>
      <c r="C4395" s="9">
        <f>IFERROR(__xludf.DUMMYFUNCTION("""COMPUTED_VALUE"""),26.51)</f>
        <v>26.51</v>
      </c>
      <c r="K4395" s="16"/>
      <c r="T4395" s="17"/>
      <c r="AC4395" s="17"/>
    </row>
    <row r="4396">
      <c r="B4396" s="11">
        <f>IFERROR(__xludf.DUMMYFUNCTION("""COMPUTED_VALUE"""),39643.666666666664)</f>
        <v>39643.66667</v>
      </c>
      <c r="C4396" s="9">
        <f>IFERROR(__xludf.DUMMYFUNCTION("""COMPUTED_VALUE"""),26.77)</f>
        <v>26.77</v>
      </c>
      <c r="K4396" s="16"/>
      <c r="T4396" s="17"/>
      <c r="AC4396" s="17"/>
    </row>
    <row r="4397">
      <c r="B4397" s="11">
        <f>IFERROR(__xludf.DUMMYFUNCTION("""COMPUTED_VALUE"""),39640.666666666664)</f>
        <v>39640.66667</v>
      </c>
      <c r="C4397" s="9">
        <f>IFERROR(__xludf.DUMMYFUNCTION("""COMPUTED_VALUE"""),26.84)</f>
        <v>26.84</v>
      </c>
      <c r="K4397" s="16"/>
      <c r="T4397" s="17"/>
      <c r="AC4397" s="17"/>
    </row>
    <row r="4398">
      <c r="B4398" s="11">
        <f>IFERROR(__xludf.DUMMYFUNCTION("""COMPUTED_VALUE"""),39639.666666666664)</f>
        <v>39639.66667</v>
      </c>
      <c r="C4398" s="9">
        <f>IFERROR(__xludf.DUMMYFUNCTION("""COMPUTED_VALUE"""),27.38)</f>
        <v>27.38</v>
      </c>
      <c r="K4398" s="16"/>
      <c r="T4398" s="17"/>
      <c r="AC4398" s="17"/>
    </row>
    <row r="4399">
      <c r="B4399" s="11">
        <f>IFERROR(__xludf.DUMMYFUNCTION("""COMPUTED_VALUE"""),39638.666666666664)</f>
        <v>39638.66667</v>
      </c>
      <c r="C4399" s="9">
        <f>IFERROR(__xludf.DUMMYFUNCTION("""COMPUTED_VALUE"""),27.12)</f>
        <v>27.12</v>
      </c>
      <c r="K4399" s="16"/>
      <c r="T4399" s="17"/>
      <c r="AC4399" s="17"/>
    </row>
    <row r="4400">
      <c r="B4400" s="11">
        <f>IFERROR(__xludf.DUMMYFUNCTION("""COMPUTED_VALUE"""),39637.666666666664)</f>
        <v>39637.66667</v>
      </c>
      <c r="C4400" s="9">
        <f>IFERROR(__xludf.DUMMYFUNCTION("""COMPUTED_VALUE"""),27.58)</f>
        <v>27.58</v>
      </c>
      <c r="K4400" s="16"/>
      <c r="T4400" s="17"/>
      <c r="AC4400" s="17"/>
    </row>
    <row r="4401">
      <c r="B4401" s="11">
        <f>IFERROR(__xludf.DUMMYFUNCTION("""COMPUTED_VALUE"""),39636.666666666664)</f>
        <v>39636.66667</v>
      </c>
      <c r="C4401" s="9">
        <f>IFERROR(__xludf.DUMMYFUNCTION("""COMPUTED_VALUE"""),26.8)</f>
        <v>26.8</v>
      </c>
      <c r="K4401" s="16"/>
      <c r="T4401" s="17"/>
      <c r="AC4401" s="17"/>
    </row>
    <row r="4402">
      <c r="B4402" s="11">
        <f>IFERROR(__xludf.DUMMYFUNCTION("""COMPUTED_VALUE"""),39631.666666666664)</f>
        <v>39631.66667</v>
      </c>
      <c r="C4402" s="9">
        <f>IFERROR(__xludf.DUMMYFUNCTION("""COMPUTED_VALUE"""),26.59)</f>
        <v>26.59</v>
      </c>
      <c r="K4402" s="16"/>
      <c r="T4402" s="17"/>
      <c r="AC4402" s="17"/>
    </row>
    <row r="4403">
      <c r="B4403" s="11">
        <f>IFERROR(__xludf.DUMMYFUNCTION("""COMPUTED_VALUE"""),39630.666666666664)</f>
        <v>39630.66667</v>
      </c>
      <c r="C4403" s="9">
        <f>IFERROR(__xludf.DUMMYFUNCTION("""COMPUTED_VALUE"""),27.25)</f>
        <v>27.25</v>
      </c>
      <c r="K4403" s="16"/>
      <c r="T4403" s="17"/>
      <c r="AC4403" s="17"/>
    </row>
    <row r="4404">
      <c r="B4404" s="11">
        <f>IFERROR(__xludf.DUMMYFUNCTION("""COMPUTED_VALUE"""),39629.666666666664)</f>
        <v>39629.66667</v>
      </c>
      <c r="C4404" s="9">
        <f>IFERROR(__xludf.DUMMYFUNCTION("""COMPUTED_VALUE"""),27.12)</f>
        <v>27.12</v>
      </c>
      <c r="K4404" s="16"/>
      <c r="T4404" s="17"/>
      <c r="AC4404" s="17"/>
    </row>
    <row r="4405">
      <c r="B4405" s="11">
        <f>IFERROR(__xludf.DUMMYFUNCTION("""COMPUTED_VALUE"""),39626.666666666664)</f>
        <v>39626.66667</v>
      </c>
      <c r="C4405" s="9">
        <f>IFERROR(__xludf.DUMMYFUNCTION("""COMPUTED_VALUE"""),27.25)</f>
        <v>27.25</v>
      </c>
      <c r="K4405" s="16"/>
      <c r="T4405" s="17"/>
      <c r="AC4405" s="17"/>
    </row>
    <row r="4406">
      <c r="B4406" s="11">
        <f>IFERROR(__xludf.DUMMYFUNCTION("""COMPUTED_VALUE"""),39625.666666666664)</f>
        <v>39625.66667</v>
      </c>
      <c r="C4406" s="9">
        <f>IFERROR(__xludf.DUMMYFUNCTION("""COMPUTED_VALUE"""),27.49)</f>
        <v>27.49</v>
      </c>
      <c r="K4406" s="16"/>
      <c r="T4406" s="17"/>
      <c r="AC4406" s="17"/>
    </row>
    <row r="4407">
      <c r="B4407" s="11">
        <f>IFERROR(__xludf.DUMMYFUNCTION("""COMPUTED_VALUE"""),39624.666666666664)</f>
        <v>39624.66667</v>
      </c>
      <c r="C4407" s="9">
        <f>IFERROR(__xludf.DUMMYFUNCTION("""COMPUTED_VALUE"""),28.33)</f>
        <v>28.33</v>
      </c>
      <c r="K4407" s="16"/>
      <c r="T4407" s="17"/>
      <c r="AC4407" s="17"/>
    </row>
    <row r="4408">
      <c r="B4408" s="11">
        <f>IFERROR(__xludf.DUMMYFUNCTION("""COMPUTED_VALUE"""),39623.666666666664)</f>
        <v>39623.66667</v>
      </c>
      <c r="C4408" s="9">
        <f>IFERROR(__xludf.DUMMYFUNCTION("""COMPUTED_VALUE"""),29.17)</f>
        <v>29.17</v>
      </c>
      <c r="K4408" s="16"/>
      <c r="T4408" s="17"/>
      <c r="AC4408" s="17"/>
    </row>
    <row r="4409">
      <c r="B4409" s="11">
        <f>IFERROR(__xludf.DUMMYFUNCTION("""COMPUTED_VALUE"""),39622.666666666664)</f>
        <v>39622.66667</v>
      </c>
      <c r="C4409" s="9">
        <f>IFERROR(__xludf.DUMMYFUNCTION("""COMPUTED_VALUE"""),29.32)</f>
        <v>29.32</v>
      </c>
      <c r="K4409" s="16"/>
      <c r="T4409" s="17"/>
      <c r="AC4409" s="17"/>
    </row>
    <row r="4410">
      <c r="B4410" s="11">
        <f>IFERROR(__xludf.DUMMYFUNCTION("""COMPUTED_VALUE"""),39619.666666666664)</f>
        <v>39619.66667</v>
      </c>
      <c r="C4410" s="9">
        <f>IFERROR(__xludf.DUMMYFUNCTION("""COMPUTED_VALUE"""),29.26)</f>
        <v>29.26</v>
      </c>
      <c r="K4410" s="16"/>
      <c r="T4410" s="17"/>
      <c r="AC4410" s="17"/>
    </row>
    <row r="4411">
      <c r="B4411" s="11">
        <f>IFERROR(__xludf.DUMMYFUNCTION("""COMPUTED_VALUE"""),39618.666666666664)</f>
        <v>39618.66667</v>
      </c>
      <c r="C4411" s="9">
        <f>IFERROR(__xludf.DUMMYFUNCTION("""COMPUTED_VALUE"""),29.71)</f>
        <v>29.71</v>
      </c>
      <c r="K4411" s="16"/>
      <c r="T4411" s="17"/>
      <c r="AC4411" s="17"/>
    </row>
    <row r="4412">
      <c r="B4412" s="11">
        <f>IFERROR(__xludf.DUMMYFUNCTION("""COMPUTED_VALUE"""),39617.666666666664)</f>
        <v>39617.66667</v>
      </c>
      <c r="C4412" s="9">
        <f>IFERROR(__xludf.DUMMYFUNCTION("""COMPUTED_VALUE"""),29.15)</f>
        <v>29.15</v>
      </c>
      <c r="K4412" s="16"/>
      <c r="T4412" s="17"/>
      <c r="AC4412" s="17"/>
    </row>
    <row r="4413">
      <c r="B4413" s="11">
        <f>IFERROR(__xludf.DUMMYFUNCTION("""COMPUTED_VALUE"""),39616.666666666664)</f>
        <v>39616.66667</v>
      </c>
      <c r="C4413" s="9">
        <f>IFERROR(__xludf.DUMMYFUNCTION("""COMPUTED_VALUE"""),29.3)</f>
        <v>29.3</v>
      </c>
      <c r="K4413" s="16"/>
      <c r="T4413" s="17"/>
      <c r="AC4413" s="17"/>
    </row>
    <row r="4414">
      <c r="B4414" s="11">
        <f>IFERROR(__xludf.DUMMYFUNCTION("""COMPUTED_VALUE"""),39615.666666666664)</f>
        <v>39615.66667</v>
      </c>
      <c r="C4414" s="9">
        <f>IFERROR(__xludf.DUMMYFUNCTION("""COMPUTED_VALUE"""),29.61)</f>
        <v>29.61</v>
      </c>
      <c r="K4414" s="16"/>
      <c r="T4414" s="17"/>
      <c r="AC4414" s="17"/>
    </row>
    <row r="4415">
      <c r="B4415" s="11">
        <f>IFERROR(__xludf.DUMMYFUNCTION("""COMPUTED_VALUE"""),39612.666666666664)</f>
        <v>39612.66667</v>
      </c>
      <c r="C4415" s="9">
        <f>IFERROR(__xludf.DUMMYFUNCTION("""COMPUTED_VALUE"""),29.62)</f>
        <v>29.62</v>
      </c>
      <c r="K4415" s="16"/>
      <c r="T4415" s="17"/>
      <c r="AC4415" s="17"/>
    </row>
    <row r="4416">
      <c r="B4416" s="11">
        <f>IFERROR(__xludf.DUMMYFUNCTION("""COMPUTED_VALUE"""),39611.666666666664)</f>
        <v>39611.66667</v>
      </c>
      <c r="C4416" s="9">
        <f>IFERROR(__xludf.DUMMYFUNCTION("""COMPUTED_VALUE"""),29.21)</f>
        <v>29.21</v>
      </c>
      <c r="K4416" s="16"/>
      <c r="T4416" s="17"/>
      <c r="AC4416" s="17"/>
    </row>
    <row r="4417">
      <c r="B4417" s="11">
        <f>IFERROR(__xludf.DUMMYFUNCTION("""COMPUTED_VALUE"""),39610.666666666664)</f>
        <v>39610.66667</v>
      </c>
      <c r="C4417" s="9">
        <f>IFERROR(__xludf.DUMMYFUNCTION("""COMPUTED_VALUE"""),29.02)</f>
        <v>29.02</v>
      </c>
      <c r="K4417" s="16"/>
      <c r="T4417" s="17"/>
      <c r="AC4417" s="17"/>
    </row>
    <row r="4418">
      <c r="B4418" s="11">
        <f>IFERROR(__xludf.DUMMYFUNCTION("""COMPUTED_VALUE"""),39609.666666666664)</f>
        <v>39609.66667</v>
      </c>
      <c r="C4418" s="9">
        <f>IFERROR(__xludf.DUMMYFUNCTION("""COMPUTED_VALUE"""),29.47)</f>
        <v>29.47</v>
      </c>
      <c r="K4418" s="16"/>
      <c r="T4418" s="17"/>
      <c r="AC4418" s="17"/>
    </row>
    <row r="4419">
      <c r="B4419" s="11">
        <f>IFERROR(__xludf.DUMMYFUNCTION("""COMPUTED_VALUE"""),39608.666666666664)</f>
        <v>39608.66667</v>
      </c>
      <c r="C4419" s="9">
        <f>IFERROR(__xludf.DUMMYFUNCTION("""COMPUTED_VALUE"""),29.73)</f>
        <v>29.73</v>
      </c>
      <c r="K4419" s="16"/>
      <c r="T4419" s="17"/>
      <c r="AC4419" s="17"/>
    </row>
    <row r="4420">
      <c r="B4420" s="11">
        <f>IFERROR(__xludf.DUMMYFUNCTION("""COMPUTED_VALUE"""),39605.666666666664)</f>
        <v>39605.66667</v>
      </c>
      <c r="C4420" s="9">
        <f>IFERROR(__xludf.DUMMYFUNCTION("""COMPUTED_VALUE"""),29.85)</f>
        <v>29.85</v>
      </c>
      <c r="K4420" s="16"/>
      <c r="T4420" s="17"/>
      <c r="AC4420" s="17"/>
    </row>
    <row r="4421">
      <c r="B4421" s="11">
        <f>IFERROR(__xludf.DUMMYFUNCTION("""COMPUTED_VALUE"""),39604.666666666664)</f>
        <v>39604.66667</v>
      </c>
      <c r="C4421" s="9">
        <f>IFERROR(__xludf.DUMMYFUNCTION("""COMPUTED_VALUE"""),31.25)</f>
        <v>31.25</v>
      </c>
      <c r="K4421" s="16"/>
      <c r="T4421" s="17"/>
      <c r="AC4421" s="17"/>
    </row>
    <row r="4422">
      <c r="B4422" s="11">
        <f>IFERROR(__xludf.DUMMYFUNCTION("""COMPUTED_VALUE"""),39603.666666666664)</f>
        <v>39603.66667</v>
      </c>
      <c r="C4422" s="9">
        <f>IFERROR(__xludf.DUMMYFUNCTION("""COMPUTED_VALUE"""),31.08)</f>
        <v>31.08</v>
      </c>
      <c r="K4422" s="16"/>
      <c r="T4422" s="17"/>
      <c r="AC4422" s="17"/>
    </row>
    <row r="4423">
      <c r="B4423" s="11">
        <f>IFERROR(__xludf.DUMMYFUNCTION("""COMPUTED_VALUE"""),39602.666666666664)</f>
        <v>39602.66667</v>
      </c>
      <c r="C4423" s="9">
        <f>IFERROR(__xludf.DUMMYFUNCTION("""COMPUTED_VALUE"""),31.37)</f>
        <v>31.37</v>
      </c>
      <c r="K4423" s="16"/>
      <c r="T4423" s="17"/>
      <c r="AC4423" s="17"/>
    </row>
    <row r="4424">
      <c r="B4424" s="11">
        <f>IFERROR(__xludf.DUMMYFUNCTION("""COMPUTED_VALUE"""),39601.666666666664)</f>
        <v>39601.66667</v>
      </c>
      <c r="C4424" s="9">
        <f>IFERROR(__xludf.DUMMYFUNCTION("""COMPUTED_VALUE"""),32.03)</f>
        <v>32.03</v>
      </c>
      <c r="K4424" s="16"/>
      <c r="T4424" s="17"/>
      <c r="AC4424" s="17"/>
    </row>
    <row r="4425">
      <c r="B4425" s="11">
        <f>IFERROR(__xludf.DUMMYFUNCTION("""COMPUTED_VALUE"""),39598.666666666664)</f>
        <v>39598.66667</v>
      </c>
      <c r="C4425" s="9">
        <f>IFERROR(__xludf.DUMMYFUNCTION("""COMPUTED_VALUE"""),32.39)</f>
        <v>32.39</v>
      </c>
      <c r="K4425" s="16"/>
      <c r="T4425" s="17"/>
      <c r="AC4425" s="17"/>
    </row>
    <row r="4426">
      <c r="B4426" s="11">
        <f>IFERROR(__xludf.DUMMYFUNCTION("""COMPUTED_VALUE"""),39597.666666666664)</f>
        <v>39597.66667</v>
      </c>
      <c r="C4426" s="9">
        <f>IFERROR(__xludf.DUMMYFUNCTION("""COMPUTED_VALUE"""),31.87)</f>
        <v>31.87</v>
      </c>
      <c r="K4426" s="16"/>
      <c r="T4426" s="17"/>
      <c r="AC4426" s="17"/>
    </row>
    <row r="4427">
      <c r="B4427" s="11">
        <f>IFERROR(__xludf.DUMMYFUNCTION("""COMPUTED_VALUE"""),39596.666666666664)</f>
        <v>39596.66667</v>
      </c>
      <c r="C4427" s="9">
        <f>IFERROR(__xludf.DUMMYFUNCTION("""COMPUTED_VALUE"""),31.82)</f>
        <v>31.82</v>
      </c>
      <c r="K4427" s="16"/>
      <c r="T4427" s="17"/>
      <c r="AC4427" s="17"/>
    </row>
    <row r="4428">
      <c r="B4428" s="11">
        <f>IFERROR(__xludf.DUMMYFUNCTION("""COMPUTED_VALUE"""),39595.666666666664)</f>
        <v>39595.66667</v>
      </c>
      <c r="C4428" s="9">
        <f>IFERROR(__xludf.DUMMYFUNCTION("""COMPUTED_VALUE"""),31.77)</f>
        <v>31.77</v>
      </c>
      <c r="K4428" s="16"/>
      <c r="T4428" s="17"/>
      <c r="AC4428" s="17"/>
    </row>
    <row r="4429">
      <c r="B4429" s="11">
        <f>IFERROR(__xludf.DUMMYFUNCTION("""COMPUTED_VALUE"""),39591.666666666664)</f>
        <v>39591.66667</v>
      </c>
      <c r="C4429" s="9">
        <f>IFERROR(__xludf.DUMMYFUNCTION("""COMPUTED_VALUE"""),31.52)</f>
        <v>31.52</v>
      </c>
      <c r="K4429" s="16"/>
      <c r="T4429" s="17"/>
      <c r="AC4429" s="17"/>
    </row>
    <row r="4430">
      <c r="B4430" s="11">
        <f>IFERROR(__xludf.DUMMYFUNCTION("""COMPUTED_VALUE"""),39590.666666666664)</f>
        <v>39590.66667</v>
      </c>
      <c r="C4430" s="9">
        <f>IFERROR(__xludf.DUMMYFUNCTION("""COMPUTED_VALUE"""),31.76)</f>
        <v>31.76</v>
      </c>
      <c r="K4430" s="16"/>
      <c r="T4430" s="17"/>
      <c r="AC4430" s="17"/>
    </row>
    <row r="4431">
      <c r="B4431" s="11">
        <f>IFERROR(__xludf.DUMMYFUNCTION("""COMPUTED_VALUE"""),39589.666666666664)</f>
        <v>39589.66667</v>
      </c>
      <c r="C4431" s="9">
        <f>IFERROR(__xludf.DUMMYFUNCTION("""COMPUTED_VALUE"""),31.84)</f>
        <v>31.84</v>
      </c>
      <c r="K4431" s="16"/>
      <c r="T4431" s="17"/>
      <c r="AC4431" s="17"/>
    </row>
    <row r="4432">
      <c r="B4432" s="11">
        <f>IFERROR(__xludf.DUMMYFUNCTION("""COMPUTED_VALUE"""),39588.666666666664)</f>
        <v>39588.66667</v>
      </c>
      <c r="C4432" s="9">
        <f>IFERROR(__xludf.DUMMYFUNCTION("""COMPUTED_VALUE"""),32.72)</f>
        <v>32.72</v>
      </c>
      <c r="K4432" s="16"/>
      <c r="T4432" s="17"/>
      <c r="AC4432" s="17"/>
    </row>
    <row r="4433">
      <c r="B4433" s="11">
        <f>IFERROR(__xludf.DUMMYFUNCTION("""COMPUTED_VALUE"""),39587.666666666664)</f>
        <v>39587.66667</v>
      </c>
      <c r="C4433" s="9">
        <f>IFERROR(__xludf.DUMMYFUNCTION("""COMPUTED_VALUE"""),33.14)</f>
        <v>33.14</v>
      </c>
      <c r="K4433" s="16"/>
      <c r="T4433" s="17"/>
      <c r="AC4433" s="17"/>
    </row>
    <row r="4434">
      <c r="B4434" s="11">
        <f>IFERROR(__xludf.DUMMYFUNCTION("""COMPUTED_VALUE"""),39584.666666666664)</f>
        <v>39584.66667</v>
      </c>
      <c r="C4434" s="9">
        <f>IFERROR(__xludf.DUMMYFUNCTION("""COMPUTED_VALUE"""),32.8)</f>
        <v>32.8</v>
      </c>
      <c r="K4434" s="16"/>
      <c r="T4434" s="17"/>
      <c r="AC4434" s="17"/>
    </row>
    <row r="4435">
      <c r="B4435" s="11">
        <f>IFERROR(__xludf.DUMMYFUNCTION("""COMPUTED_VALUE"""),39583.666666666664)</f>
        <v>39583.66667</v>
      </c>
      <c r="C4435" s="9">
        <f>IFERROR(__xludf.DUMMYFUNCTION("""COMPUTED_VALUE"""),33.06)</f>
        <v>33.06</v>
      </c>
      <c r="K4435" s="16"/>
      <c r="T4435" s="17"/>
      <c r="AC4435" s="17"/>
    </row>
    <row r="4436">
      <c r="B4436" s="11">
        <f>IFERROR(__xludf.DUMMYFUNCTION("""COMPUTED_VALUE"""),39582.666666666664)</f>
        <v>39582.66667</v>
      </c>
      <c r="C4436" s="9">
        <f>IFERROR(__xludf.DUMMYFUNCTION("""COMPUTED_VALUE"""),32.91)</f>
        <v>32.91</v>
      </c>
      <c r="K4436" s="16"/>
      <c r="T4436" s="17"/>
      <c r="AC4436" s="17"/>
    </row>
    <row r="4437">
      <c r="B4437" s="11">
        <f>IFERROR(__xludf.DUMMYFUNCTION("""COMPUTED_VALUE"""),39581.666666666664)</f>
        <v>39581.66667</v>
      </c>
      <c r="C4437" s="9">
        <f>IFERROR(__xludf.DUMMYFUNCTION("""COMPUTED_VALUE"""),32.77)</f>
        <v>32.77</v>
      </c>
      <c r="K4437" s="16"/>
      <c r="T4437" s="17"/>
      <c r="AC4437" s="17"/>
    </row>
    <row r="4438">
      <c r="B4438" s="11">
        <f>IFERROR(__xludf.DUMMYFUNCTION("""COMPUTED_VALUE"""),39580.666666666664)</f>
        <v>39580.66667</v>
      </c>
      <c r="C4438" s="9">
        <f>IFERROR(__xludf.DUMMYFUNCTION("""COMPUTED_VALUE"""),32.53)</f>
        <v>32.53</v>
      </c>
      <c r="K4438" s="16"/>
      <c r="T4438" s="17"/>
      <c r="AC4438" s="17"/>
    </row>
    <row r="4439">
      <c r="B4439" s="11">
        <f>IFERROR(__xludf.DUMMYFUNCTION("""COMPUTED_VALUE"""),39577.666666666664)</f>
        <v>39577.66667</v>
      </c>
      <c r="C4439" s="9">
        <f>IFERROR(__xludf.DUMMYFUNCTION("""COMPUTED_VALUE"""),32.11)</f>
        <v>32.11</v>
      </c>
      <c r="K4439" s="16"/>
      <c r="T4439" s="17"/>
      <c r="AC4439" s="17"/>
    </row>
    <row r="4440">
      <c r="B4440" s="11">
        <f>IFERROR(__xludf.DUMMYFUNCTION("""COMPUTED_VALUE"""),39575.666666666664)</f>
        <v>39575.66667</v>
      </c>
      <c r="C4440" s="9">
        <f>IFERROR(__xludf.DUMMYFUNCTION("""COMPUTED_VALUE"""),32.08)</f>
        <v>32.08</v>
      </c>
      <c r="K4440" s="16"/>
      <c r="T4440" s="17"/>
      <c r="AC4440" s="17"/>
    </row>
    <row r="4441">
      <c r="B4441" s="11">
        <f>IFERROR(__xludf.DUMMYFUNCTION("""COMPUTED_VALUE"""),39574.666666666664)</f>
        <v>39574.66667</v>
      </c>
      <c r="C4441" s="9">
        <f>IFERROR(__xludf.DUMMYFUNCTION("""COMPUTED_VALUE"""),32.57)</f>
        <v>32.57</v>
      </c>
      <c r="K4441" s="16"/>
      <c r="T4441" s="17"/>
      <c r="AC4441" s="17"/>
    </row>
    <row r="4442">
      <c r="B4442" s="11">
        <f>IFERROR(__xludf.DUMMYFUNCTION("""COMPUTED_VALUE"""),39573.666666666664)</f>
        <v>39573.66667</v>
      </c>
      <c r="C4442" s="9">
        <f>IFERROR(__xludf.DUMMYFUNCTION("""COMPUTED_VALUE"""),32.35)</f>
        <v>32.35</v>
      </c>
      <c r="K4442" s="16"/>
      <c r="T4442" s="17"/>
      <c r="AC4442" s="17"/>
    </row>
    <row r="4443">
      <c r="B4443" s="11">
        <f>IFERROR(__xludf.DUMMYFUNCTION("""COMPUTED_VALUE"""),39569.666666666664)</f>
        <v>39569.66667</v>
      </c>
      <c r="C4443" s="9">
        <f>IFERROR(__xludf.DUMMYFUNCTION("""COMPUTED_VALUE"""),32.37)</f>
        <v>32.37</v>
      </c>
      <c r="K4443" s="16"/>
      <c r="T4443" s="17"/>
      <c r="AC4443" s="17"/>
    </row>
    <row r="4444">
      <c r="B4444" s="11">
        <f>IFERROR(__xludf.DUMMYFUNCTION("""COMPUTED_VALUE"""),39568.666666666664)</f>
        <v>39568.66667</v>
      </c>
      <c r="C4444" s="9">
        <f>IFERROR(__xludf.DUMMYFUNCTION("""COMPUTED_VALUE"""),31.87)</f>
        <v>31.87</v>
      </c>
      <c r="K4444" s="16"/>
      <c r="T4444" s="17"/>
      <c r="AC4444" s="17"/>
    </row>
    <row r="4445">
      <c r="B4445" s="11">
        <f>IFERROR(__xludf.DUMMYFUNCTION("""COMPUTED_VALUE"""),39567.666666666664)</f>
        <v>39567.66667</v>
      </c>
      <c r="C4445" s="9">
        <f>IFERROR(__xludf.DUMMYFUNCTION("""COMPUTED_VALUE"""),31.93)</f>
        <v>31.93</v>
      </c>
      <c r="K4445" s="16"/>
      <c r="T4445" s="17"/>
      <c r="AC4445" s="17"/>
    </row>
    <row r="4446">
      <c r="B4446" s="11">
        <f>IFERROR(__xludf.DUMMYFUNCTION("""COMPUTED_VALUE"""),39566.666666666664)</f>
        <v>39566.66667</v>
      </c>
      <c r="C4446" s="9">
        <f>IFERROR(__xludf.DUMMYFUNCTION("""COMPUTED_VALUE"""),31.99)</f>
        <v>31.99</v>
      </c>
      <c r="K4446" s="16"/>
      <c r="T4446" s="17"/>
      <c r="AC4446" s="17"/>
    </row>
    <row r="4447">
      <c r="B4447" s="11">
        <f>IFERROR(__xludf.DUMMYFUNCTION("""COMPUTED_VALUE"""),39563.666666666664)</f>
        <v>39563.66667</v>
      </c>
      <c r="C4447" s="9">
        <f>IFERROR(__xludf.DUMMYFUNCTION("""COMPUTED_VALUE"""),32.02)</f>
        <v>32.02</v>
      </c>
      <c r="K4447" s="16"/>
      <c r="T4447" s="17"/>
      <c r="AC4447" s="17"/>
    </row>
    <row r="4448">
      <c r="B4448" s="11">
        <f>IFERROR(__xludf.DUMMYFUNCTION("""COMPUTED_VALUE"""),39562.666666666664)</f>
        <v>39562.66667</v>
      </c>
      <c r="C4448" s="9">
        <f>IFERROR(__xludf.DUMMYFUNCTION("""COMPUTED_VALUE"""),31.59)</f>
        <v>31.59</v>
      </c>
      <c r="K4448" s="16"/>
      <c r="T4448" s="17"/>
      <c r="AC4448" s="17"/>
    </row>
    <row r="4449">
      <c r="B4449" s="11">
        <f>IFERROR(__xludf.DUMMYFUNCTION("""COMPUTED_VALUE"""),39561.666666666664)</f>
        <v>39561.66667</v>
      </c>
      <c r="C4449" s="9">
        <f>IFERROR(__xludf.DUMMYFUNCTION("""COMPUTED_VALUE"""),31.09)</f>
        <v>31.09</v>
      </c>
      <c r="K4449" s="16"/>
      <c r="T4449" s="17"/>
      <c r="AC4449" s="17"/>
    </row>
    <row r="4450">
      <c r="B4450" s="11">
        <f>IFERROR(__xludf.DUMMYFUNCTION("""COMPUTED_VALUE"""),39560.666666666664)</f>
        <v>39560.66667</v>
      </c>
      <c r="C4450" s="9">
        <f>IFERROR(__xludf.DUMMYFUNCTION("""COMPUTED_VALUE"""),30.6)</f>
        <v>30.6</v>
      </c>
      <c r="K4450" s="16"/>
      <c r="T4450" s="17"/>
      <c r="AC4450" s="17"/>
    </row>
    <row r="4451">
      <c r="B4451" s="11">
        <f>IFERROR(__xludf.DUMMYFUNCTION("""COMPUTED_VALUE"""),39559.666666666664)</f>
        <v>39559.66667</v>
      </c>
      <c r="C4451" s="9">
        <f>IFERROR(__xludf.DUMMYFUNCTION("""COMPUTED_VALUE"""),31.01)</f>
        <v>31.01</v>
      </c>
      <c r="K4451" s="16"/>
      <c r="T4451" s="17"/>
      <c r="AC4451" s="17"/>
    </row>
    <row r="4452">
      <c r="B4452" s="11">
        <f>IFERROR(__xludf.DUMMYFUNCTION("""COMPUTED_VALUE"""),39556.666666666664)</f>
        <v>39556.66667</v>
      </c>
      <c r="C4452" s="9">
        <f>IFERROR(__xludf.DUMMYFUNCTION("""COMPUTED_VALUE"""),31.05)</f>
        <v>31.05</v>
      </c>
      <c r="K4452" s="16"/>
      <c r="T4452" s="17"/>
      <c r="AC4452" s="17"/>
    </row>
    <row r="4453">
      <c r="B4453" s="11">
        <f>IFERROR(__xludf.DUMMYFUNCTION("""COMPUTED_VALUE"""),39555.666666666664)</f>
        <v>39555.66667</v>
      </c>
      <c r="C4453" s="9">
        <f>IFERROR(__xludf.DUMMYFUNCTION("""COMPUTED_VALUE"""),30.34)</f>
        <v>30.34</v>
      </c>
      <c r="K4453" s="16"/>
      <c r="T4453" s="17"/>
      <c r="AC4453" s="17"/>
    </row>
    <row r="4454">
      <c r="B4454" s="11">
        <f>IFERROR(__xludf.DUMMYFUNCTION("""COMPUTED_VALUE"""),39554.666666666664)</f>
        <v>39554.66667</v>
      </c>
      <c r="C4454" s="9">
        <f>IFERROR(__xludf.DUMMYFUNCTION("""COMPUTED_VALUE"""),30.62)</f>
        <v>30.62</v>
      </c>
      <c r="K4454" s="16"/>
      <c r="T4454" s="17"/>
      <c r="AC4454" s="17"/>
    </row>
    <row r="4455">
      <c r="B4455" s="11">
        <f>IFERROR(__xludf.DUMMYFUNCTION("""COMPUTED_VALUE"""),39553.666666666664)</f>
        <v>39553.66667</v>
      </c>
      <c r="C4455" s="9">
        <f>IFERROR(__xludf.DUMMYFUNCTION("""COMPUTED_VALUE"""),29.89)</f>
        <v>29.89</v>
      </c>
      <c r="K4455" s="16"/>
      <c r="T4455" s="17"/>
      <c r="AC4455" s="17"/>
    </row>
    <row r="4456">
      <c r="B4456" s="11">
        <f>IFERROR(__xludf.DUMMYFUNCTION("""COMPUTED_VALUE"""),39552.666666666664)</f>
        <v>39552.66667</v>
      </c>
      <c r="C4456" s="9">
        <f>IFERROR(__xludf.DUMMYFUNCTION("""COMPUTED_VALUE"""),30.18)</f>
        <v>30.18</v>
      </c>
      <c r="K4456" s="16"/>
      <c r="T4456" s="17"/>
      <c r="AC4456" s="17"/>
    </row>
    <row r="4457">
      <c r="B4457" s="11">
        <f>IFERROR(__xludf.DUMMYFUNCTION("""COMPUTED_VALUE"""),39549.666666666664)</f>
        <v>39549.66667</v>
      </c>
      <c r="C4457" s="9">
        <f>IFERROR(__xludf.DUMMYFUNCTION("""COMPUTED_VALUE"""),30.2)</f>
        <v>30.2</v>
      </c>
      <c r="K4457" s="16"/>
      <c r="T4457" s="17"/>
      <c r="AC4457" s="17"/>
    </row>
    <row r="4458">
      <c r="B4458" s="11">
        <f>IFERROR(__xludf.DUMMYFUNCTION("""COMPUTED_VALUE"""),39548.666666666664)</f>
        <v>39548.66667</v>
      </c>
      <c r="C4458" s="9">
        <f>IFERROR(__xludf.DUMMYFUNCTION("""COMPUTED_VALUE"""),30.91)</f>
        <v>30.91</v>
      </c>
      <c r="K4458" s="16"/>
      <c r="T4458" s="17"/>
      <c r="AC4458" s="17"/>
    </row>
    <row r="4459">
      <c r="B4459" s="11">
        <f>IFERROR(__xludf.DUMMYFUNCTION("""COMPUTED_VALUE"""),39547.666666666664)</f>
        <v>39547.66667</v>
      </c>
      <c r="C4459" s="9">
        <f>IFERROR(__xludf.DUMMYFUNCTION("""COMPUTED_VALUE"""),30.73)</f>
        <v>30.73</v>
      </c>
      <c r="K4459" s="16"/>
      <c r="T4459" s="17"/>
      <c r="AC4459" s="17"/>
    </row>
    <row r="4460">
      <c r="B4460" s="11">
        <f>IFERROR(__xludf.DUMMYFUNCTION("""COMPUTED_VALUE"""),39546.666666666664)</f>
        <v>39546.66667</v>
      </c>
      <c r="C4460" s="9">
        <f>IFERROR(__xludf.DUMMYFUNCTION("""COMPUTED_VALUE"""),30.48)</f>
        <v>30.48</v>
      </c>
      <c r="K4460" s="16"/>
      <c r="T4460" s="17"/>
      <c r="AC4460" s="17"/>
    </row>
    <row r="4461">
      <c r="B4461" s="11">
        <f>IFERROR(__xludf.DUMMYFUNCTION("""COMPUTED_VALUE"""),39545.666666666664)</f>
        <v>39545.66667</v>
      </c>
      <c r="C4461" s="9">
        <f>IFERROR(__xludf.DUMMYFUNCTION("""COMPUTED_VALUE"""),30.55)</f>
        <v>30.55</v>
      </c>
      <c r="K4461" s="16"/>
      <c r="T4461" s="17"/>
      <c r="AC4461" s="17"/>
    </row>
    <row r="4462">
      <c r="B4462" s="11">
        <f>IFERROR(__xludf.DUMMYFUNCTION("""COMPUTED_VALUE"""),39542.666666666664)</f>
        <v>39542.66667</v>
      </c>
      <c r="C4462" s="9">
        <f>IFERROR(__xludf.DUMMYFUNCTION("""COMPUTED_VALUE"""),30.64)</f>
        <v>30.64</v>
      </c>
      <c r="K4462" s="16"/>
      <c r="T4462" s="17"/>
      <c r="AC4462" s="17"/>
    </row>
    <row r="4463">
      <c r="B4463" s="11">
        <f>IFERROR(__xludf.DUMMYFUNCTION("""COMPUTED_VALUE"""),39541.666666666664)</f>
        <v>39541.66667</v>
      </c>
      <c r="C4463" s="9">
        <f>IFERROR(__xludf.DUMMYFUNCTION("""COMPUTED_VALUE"""),30.44)</f>
        <v>30.44</v>
      </c>
      <c r="K4463" s="16"/>
      <c r="T4463" s="17"/>
      <c r="AC4463" s="17"/>
    </row>
    <row r="4464">
      <c r="B4464" s="11">
        <f>IFERROR(__xludf.DUMMYFUNCTION("""COMPUTED_VALUE"""),39540.666666666664)</f>
        <v>39540.66667</v>
      </c>
      <c r="C4464" s="9">
        <f>IFERROR(__xludf.DUMMYFUNCTION("""COMPUTED_VALUE"""),30.53)</f>
        <v>30.53</v>
      </c>
      <c r="K4464" s="16"/>
      <c r="T4464" s="17"/>
      <c r="AC4464" s="17"/>
    </row>
    <row r="4465">
      <c r="B4465" s="11">
        <f>IFERROR(__xludf.DUMMYFUNCTION("""COMPUTED_VALUE"""),39539.666666666664)</f>
        <v>39539.66667</v>
      </c>
      <c r="C4465" s="9">
        <f>IFERROR(__xludf.DUMMYFUNCTION("""COMPUTED_VALUE"""),30.48)</f>
        <v>30.48</v>
      </c>
      <c r="K4465" s="16"/>
      <c r="T4465" s="17"/>
      <c r="AC4465" s="17"/>
    </row>
    <row r="4466">
      <c r="B4466" s="11">
        <f>IFERROR(__xludf.DUMMYFUNCTION("""COMPUTED_VALUE"""),39538.666666666664)</f>
        <v>39538.66667</v>
      </c>
      <c r="C4466" s="9">
        <f>IFERROR(__xludf.DUMMYFUNCTION("""COMPUTED_VALUE"""),29.54)</f>
        <v>29.54</v>
      </c>
      <c r="K4466" s="16"/>
      <c r="T4466" s="17"/>
      <c r="AC4466" s="17"/>
    </row>
    <row r="4467">
      <c r="B4467" s="11">
        <f>IFERROR(__xludf.DUMMYFUNCTION("""COMPUTED_VALUE"""),39535.666666666664)</f>
        <v>39535.66667</v>
      </c>
      <c r="C4467" s="9">
        <f>IFERROR(__xludf.DUMMYFUNCTION("""COMPUTED_VALUE"""),29.49)</f>
        <v>29.49</v>
      </c>
      <c r="K4467" s="16"/>
      <c r="T4467" s="17"/>
      <c r="AC4467" s="17"/>
    </row>
    <row r="4468">
      <c r="B4468" s="11">
        <f>IFERROR(__xludf.DUMMYFUNCTION("""COMPUTED_VALUE"""),39534.666666666664)</f>
        <v>39534.66667</v>
      </c>
      <c r="C4468" s="9">
        <f>IFERROR(__xludf.DUMMYFUNCTION("""COMPUTED_VALUE"""),29.53)</f>
        <v>29.53</v>
      </c>
      <c r="K4468" s="16"/>
      <c r="T4468" s="17"/>
      <c r="AC4468" s="17"/>
    </row>
    <row r="4469">
      <c r="B4469" s="11">
        <f>IFERROR(__xludf.DUMMYFUNCTION("""COMPUTED_VALUE"""),39533.666666666664)</f>
        <v>39533.66667</v>
      </c>
      <c r="C4469" s="9">
        <f>IFERROR(__xludf.DUMMYFUNCTION("""COMPUTED_VALUE"""),29.84)</f>
        <v>29.84</v>
      </c>
      <c r="K4469" s="16"/>
      <c r="T4469" s="17"/>
      <c r="AC4469" s="17"/>
    </row>
    <row r="4470">
      <c r="B4470" s="11">
        <f>IFERROR(__xludf.DUMMYFUNCTION("""COMPUTED_VALUE"""),39532.666666666664)</f>
        <v>39532.66667</v>
      </c>
      <c r="C4470" s="9">
        <f>IFERROR(__xludf.DUMMYFUNCTION("""COMPUTED_VALUE"""),29.9)</f>
        <v>29.9</v>
      </c>
      <c r="K4470" s="16"/>
      <c r="T4470" s="17"/>
      <c r="AC4470" s="17"/>
    </row>
    <row r="4471">
      <c r="B4471" s="11">
        <f>IFERROR(__xludf.DUMMYFUNCTION("""COMPUTED_VALUE"""),39531.666666666664)</f>
        <v>39531.66667</v>
      </c>
      <c r="C4471" s="9">
        <f>IFERROR(__xludf.DUMMYFUNCTION("""COMPUTED_VALUE"""),29.69)</f>
        <v>29.69</v>
      </c>
      <c r="K4471" s="16"/>
      <c r="T4471" s="17"/>
      <c r="AC4471" s="17"/>
    </row>
    <row r="4472">
      <c r="B4472" s="11">
        <f>IFERROR(__xludf.DUMMYFUNCTION("""COMPUTED_VALUE"""),39527.666666666664)</f>
        <v>39527.66667</v>
      </c>
      <c r="C4472" s="9">
        <f>IFERROR(__xludf.DUMMYFUNCTION("""COMPUTED_VALUE"""),29.17)</f>
        <v>29.17</v>
      </c>
      <c r="K4472" s="16"/>
      <c r="T4472" s="17"/>
      <c r="AC4472" s="17"/>
    </row>
    <row r="4473">
      <c r="B4473" s="11">
        <f>IFERROR(__xludf.DUMMYFUNCTION("""COMPUTED_VALUE"""),39526.666666666664)</f>
        <v>39526.66667</v>
      </c>
      <c r="C4473" s="9">
        <f>IFERROR(__xludf.DUMMYFUNCTION("""COMPUTED_VALUE"""),29.1)</f>
        <v>29.1</v>
      </c>
      <c r="K4473" s="16"/>
      <c r="T4473" s="17"/>
      <c r="AC4473" s="17"/>
    </row>
    <row r="4474">
      <c r="B4474" s="11">
        <f>IFERROR(__xludf.DUMMYFUNCTION("""COMPUTED_VALUE"""),39525.666666666664)</f>
        <v>39525.66667</v>
      </c>
      <c r="C4474" s="9">
        <f>IFERROR(__xludf.DUMMYFUNCTION("""COMPUTED_VALUE"""),29.68)</f>
        <v>29.68</v>
      </c>
      <c r="K4474" s="16"/>
      <c r="T4474" s="17"/>
      <c r="AC4474" s="17"/>
    </row>
    <row r="4475">
      <c r="B4475" s="11">
        <f>IFERROR(__xludf.DUMMYFUNCTION("""COMPUTED_VALUE"""),39524.666666666664)</f>
        <v>39524.66667</v>
      </c>
      <c r="C4475" s="9">
        <f>IFERROR(__xludf.DUMMYFUNCTION("""COMPUTED_VALUE"""),28.86)</f>
        <v>28.86</v>
      </c>
      <c r="K4475" s="16"/>
      <c r="T4475" s="17"/>
      <c r="AC4475" s="17"/>
    </row>
    <row r="4476">
      <c r="B4476" s="11">
        <f>IFERROR(__xludf.DUMMYFUNCTION("""COMPUTED_VALUE"""),39521.666666666664)</f>
        <v>39521.66667</v>
      </c>
      <c r="C4476" s="9">
        <f>IFERROR(__xludf.DUMMYFUNCTION("""COMPUTED_VALUE"""),29.12)</f>
        <v>29.12</v>
      </c>
      <c r="K4476" s="16"/>
      <c r="T4476" s="17"/>
      <c r="AC4476" s="17"/>
    </row>
    <row r="4477">
      <c r="B4477" s="11">
        <f>IFERROR(__xludf.DUMMYFUNCTION("""COMPUTED_VALUE"""),39520.666666666664)</f>
        <v>39520.66667</v>
      </c>
      <c r="C4477" s="9">
        <f>IFERROR(__xludf.DUMMYFUNCTION("""COMPUTED_VALUE"""),29.47)</f>
        <v>29.47</v>
      </c>
      <c r="K4477" s="16"/>
      <c r="T4477" s="17"/>
      <c r="AC4477" s="17"/>
    </row>
    <row r="4478">
      <c r="B4478" s="11">
        <f>IFERROR(__xludf.DUMMYFUNCTION("""COMPUTED_VALUE"""),39519.666666666664)</f>
        <v>39519.66667</v>
      </c>
      <c r="C4478" s="9">
        <f>IFERROR(__xludf.DUMMYFUNCTION("""COMPUTED_VALUE"""),29.18)</f>
        <v>29.18</v>
      </c>
      <c r="K4478" s="16"/>
      <c r="T4478" s="17"/>
      <c r="AC4478" s="17"/>
    </row>
    <row r="4479">
      <c r="B4479" s="11">
        <f>IFERROR(__xludf.DUMMYFUNCTION("""COMPUTED_VALUE"""),39518.666666666664)</f>
        <v>39518.66667</v>
      </c>
      <c r="C4479" s="9">
        <f>IFERROR(__xludf.DUMMYFUNCTION("""COMPUTED_VALUE"""),29.31)</f>
        <v>29.31</v>
      </c>
      <c r="K4479" s="16"/>
      <c r="T4479" s="17"/>
      <c r="AC4479" s="17"/>
    </row>
    <row r="4480">
      <c r="B4480" s="11">
        <f>IFERROR(__xludf.DUMMYFUNCTION("""COMPUTED_VALUE"""),39517.666666666664)</f>
        <v>39517.66667</v>
      </c>
      <c r="C4480" s="9">
        <f>IFERROR(__xludf.DUMMYFUNCTION("""COMPUTED_VALUE"""),28.72)</f>
        <v>28.72</v>
      </c>
      <c r="K4480" s="16"/>
      <c r="T4480" s="17"/>
      <c r="AC4480" s="17"/>
    </row>
    <row r="4481">
      <c r="B4481" s="11">
        <f>IFERROR(__xludf.DUMMYFUNCTION("""COMPUTED_VALUE"""),39514.666666666664)</f>
        <v>39514.66667</v>
      </c>
      <c r="C4481" s="9">
        <f>IFERROR(__xludf.DUMMYFUNCTION("""COMPUTED_VALUE"""),29.44)</f>
        <v>29.44</v>
      </c>
      <c r="K4481" s="16"/>
      <c r="T4481" s="17"/>
      <c r="AC4481" s="17"/>
    </row>
    <row r="4482">
      <c r="B4482" s="11">
        <f>IFERROR(__xludf.DUMMYFUNCTION("""COMPUTED_VALUE"""),39513.666666666664)</f>
        <v>39513.66667</v>
      </c>
      <c r="C4482" s="9">
        <f>IFERROR(__xludf.DUMMYFUNCTION("""COMPUTED_VALUE"""),29.85)</f>
        <v>29.85</v>
      </c>
      <c r="K4482" s="16"/>
      <c r="T4482" s="17"/>
      <c r="AC4482" s="17"/>
    </row>
    <row r="4483">
      <c r="B4483" s="11">
        <f>IFERROR(__xludf.DUMMYFUNCTION("""COMPUTED_VALUE"""),39512.666666666664)</f>
        <v>39512.66667</v>
      </c>
      <c r="C4483" s="9">
        <f>IFERROR(__xludf.DUMMYFUNCTION("""COMPUTED_VALUE"""),30.27)</f>
        <v>30.27</v>
      </c>
      <c r="K4483" s="16"/>
      <c r="T4483" s="17"/>
      <c r="AC4483" s="17"/>
    </row>
    <row r="4484">
      <c r="B4484" s="11">
        <f>IFERROR(__xludf.DUMMYFUNCTION("""COMPUTED_VALUE"""),39511.666666666664)</f>
        <v>39511.66667</v>
      </c>
      <c r="C4484" s="9">
        <f>IFERROR(__xludf.DUMMYFUNCTION("""COMPUTED_VALUE"""),29.97)</f>
        <v>29.97</v>
      </c>
      <c r="K4484" s="16"/>
      <c r="T4484" s="17"/>
      <c r="AC4484" s="17"/>
    </row>
    <row r="4485">
      <c r="B4485" s="11">
        <f>IFERROR(__xludf.DUMMYFUNCTION("""COMPUTED_VALUE"""),39510.666666666664)</f>
        <v>39510.66667</v>
      </c>
      <c r="C4485" s="9">
        <f>IFERROR(__xludf.DUMMYFUNCTION("""COMPUTED_VALUE"""),30.23)</f>
        <v>30.23</v>
      </c>
      <c r="K4485" s="16"/>
      <c r="T4485" s="17"/>
      <c r="AC4485" s="17"/>
    </row>
    <row r="4486">
      <c r="B4486" s="11">
        <f>IFERROR(__xludf.DUMMYFUNCTION("""COMPUTED_VALUE"""),39507.666666666664)</f>
        <v>39507.66667</v>
      </c>
      <c r="C4486" s="9">
        <f>IFERROR(__xludf.DUMMYFUNCTION("""COMPUTED_VALUE"""),30.15)</f>
        <v>30.15</v>
      </c>
      <c r="K4486" s="16"/>
      <c r="T4486" s="17"/>
      <c r="AC4486" s="17"/>
    </row>
    <row r="4487">
      <c r="B4487" s="11">
        <f>IFERROR(__xludf.DUMMYFUNCTION("""COMPUTED_VALUE"""),39506.666666666664)</f>
        <v>39506.66667</v>
      </c>
      <c r="C4487" s="9">
        <f>IFERROR(__xludf.DUMMYFUNCTION("""COMPUTED_VALUE"""),30.9)</f>
        <v>30.9</v>
      </c>
      <c r="K4487" s="16"/>
      <c r="T4487" s="17"/>
      <c r="AC4487" s="17"/>
    </row>
    <row r="4488">
      <c r="B4488" s="11">
        <f>IFERROR(__xludf.DUMMYFUNCTION("""COMPUTED_VALUE"""),39505.666666666664)</f>
        <v>39505.66667</v>
      </c>
      <c r="C4488" s="9">
        <f>IFERROR(__xludf.DUMMYFUNCTION("""COMPUTED_VALUE"""),31.15)</f>
        <v>31.15</v>
      </c>
      <c r="K4488" s="16"/>
      <c r="T4488" s="17"/>
      <c r="AC4488" s="17"/>
    </row>
    <row r="4489">
      <c r="B4489" s="11">
        <f>IFERROR(__xludf.DUMMYFUNCTION("""COMPUTED_VALUE"""),39504.666666666664)</f>
        <v>39504.66667</v>
      </c>
      <c r="C4489" s="9">
        <f>IFERROR(__xludf.DUMMYFUNCTION("""COMPUTED_VALUE"""),31.24)</f>
        <v>31.24</v>
      </c>
      <c r="K4489" s="16"/>
      <c r="T4489" s="17"/>
      <c r="AC4489" s="17"/>
    </row>
    <row r="4490">
      <c r="B4490" s="11">
        <f>IFERROR(__xludf.DUMMYFUNCTION("""COMPUTED_VALUE"""),39503.666666666664)</f>
        <v>39503.66667</v>
      </c>
      <c r="C4490" s="9">
        <f>IFERROR(__xludf.DUMMYFUNCTION("""COMPUTED_VALUE"""),31.23)</f>
        <v>31.23</v>
      </c>
      <c r="K4490" s="16"/>
      <c r="T4490" s="17"/>
      <c r="AC4490" s="17"/>
    </row>
    <row r="4491">
      <c r="B4491" s="11">
        <f>IFERROR(__xludf.DUMMYFUNCTION("""COMPUTED_VALUE"""),39500.666666666664)</f>
        <v>39500.66667</v>
      </c>
      <c r="C4491" s="9">
        <f>IFERROR(__xludf.DUMMYFUNCTION("""COMPUTED_VALUE"""),30.75)</f>
        <v>30.75</v>
      </c>
      <c r="K4491" s="16"/>
      <c r="T4491" s="17"/>
      <c r="AC4491" s="17"/>
    </row>
    <row r="4492">
      <c r="B4492" s="11">
        <f>IFERROR(__xludf.DUMMYFUNCTION("""COMPUTED_VALUE"""),39499.666666666664)</f>
        <v>39499.66667</v>
      </c>
      <c r="C4492" s="9">
        <f>IFERROR(__xludf.DUMMYFUNCTION("""COMPUTED_VALUE"""),30.56)</f>
        <v>30.56</v>
      </c>
      <c r="K4492" s="16"/>
      <c r="T4492" s="17"/>
      <c r="AC4492" s="17"/>
    </row>
    <row r="4493">
      <c r="B4493" s="11">
        <f>IFERROR(__xludf.DUMMYFUNCTION("""COMPUTED_VALUE"""),39498.666666666664)</f>
        <v>39498.66667</v>
      </c>
      <c r="C4493" s="9">
        <f>IFERROR(__xludf.DUMMYFUNCTION("""COMPUTED_VALUE"""),31.11)</f>
        <v>31.11</v>
      </c>
      <c r="K4493" s="16"/>
      <c r="T4493" s="17"/>
      <c r="AC4493" s="17"/>
    </row>
    <row r="4494">
      <c r="B4494" s="11">
        <f>IFERROR(__xludf.DUMMYFUNCTION("""COMPUTED_VALUE"""),39497.666666666664)</f>
        <v>39497.66667</v>
      </c>
      <c r="C4494" s="9">
        <f>IFERROR(__xludf.DUMMYFUNCTION("""COMPUTED_VALUE"""),31.14)</f>
        <v>31.14</v>
      </c>
      <c r="K4494" s="16"/>
      <c r="T4494" s="17"/>
      <c r="AC4494" s="17"/>
    </row>
    <row r="4495">
      <c r="B4495" s="11">
        <f>IFERROR(__xludf.DUMMYFUNCTION("""COMPUTED_VALUE"""),39493.666666666664)</f>
        <v>39493.66667</v>
      </c>
      <c r="C4495" s="9">
        <f>IFERROR(__xludf.DUMMYFUNCTION("""COMPUTED_VALUE"""),30.94)</f>
        <v>30.94</v>
      </c>
      <c r="K4495" s="16"/>
      <c r="T4495" s="17"/>
      <c r="AC4495" s="17"/>
    </row>
    <row r="4496">
      <c r="B4496" s="11">
        <f>IFERROR(__xludf.DUMMYFUNCTION("""COMPUTED_VALUE"""),39492.666666666664)</f>
        <v>39492.66667</v>
      </c>
      <c r="C4496" s="9">
        <f>IFERROR(__xludf.DUMMYFUNCTION("""COMPUTED_VALUE"""),31.26)</f>
        <v>31.26</v>
      </c>
      <c r="K4496" s="16"/>
      <c r="T4496" s="17"/>
      <c r="AC4496" s="17"/>
    </row>
    <row r="4497">
      <c r="B4497" s="11">
        <f>IFERROR(__xludf.DUMMYFUNCTION("""COMPUTED_VALUE"""),39491.666666666664)</f>
        <v>39491.66667</v>
      </c>
      <c r="C4497" s="9">
        <f>IFERROR(__xludf.DUMMYFUNCTION("""COMPUTED_VALUE"""),31.73)</f>
        <v>31.73</v>
      </c>
      <c r="K4497" s="16"/>
      <c r="T4497" s="17"/>
      <c r="AC4497" s="17"/>
    </row>
    <row r="4498">
      <c r="B4498" s="11">
        <f>IFERROR(__xludf.DUMMYFUNCTION("""COMPUTED_VALUE"""),39490.666666666664)</f>
        <v>39490.66667</v>
      </c>
      <c r="C4498" s="9">
        <f>IFERROR(__xludf.DUMMYFUNCTION("""COMPUTED_VALUE"""),31.02)</f>
        <v>31.02</v>
      </c>
      <c r="K4498" s="16"/>
      <c r="T4498" s="17"/>
      <c r="AC4498" s="17"/>
    </row>
    <row r="4499">
      <c r="B4499" s="11">
        <f>IFERROR(__xludf.DUMMYFUNCTION("""COMPUTED_VALUE"""),39489.666666666664)</f>
        <v>39489.66667</v>
      </c>
      <c r="C4499" s="9">
        <f>IFERROR(__xludf.DUMMYFUNCTION("""COMPUTED_VALUE"""),30.81)</f>
        <v>30.81</v>
      </c>
      <c r="K4499" s="16"/>
      <c r="T4499" s="17"/>
      <c r="AC4499" s="17"/>
    </row>
    <row r="4500">
      <c r="B4500" s="11">
        <f>IFERROR(__xludf.DUMMYFUNCTION("""COMPUTED_VALUE"""),39486.666666666664)</f>
        <v>39486.66667</v>
      </c>
      <c r="C4500" s="9">
        <f>IFERROR(__xludf.DUMMYFUNCTION("""COMPUTED_VALUE"""),30.5)</f>
        <v>30.5</v>
      </c>
      <c r="K4500" s="16"/>
      <c r="T4500" s="17"/>
      <c r="AC4500" s="17"/>
    </row>
    <row r="4501">
      <c r="B4501" s="11">
        <f>IFERROR(__xludf.DUMMYFUNCTION("""COMPUTED_VALUE"""),39485.666666666664)</f>
        <v>39485.66667</v>
      </c>
      <c r="C4501" s="9">
        <f>IFERROR(__xludf.DUMMYFUNCTION("""COMPUTED_VALUE"""),30.6)</f>
        <v>30.6</v>
      </c>
      <c r="K4501" s="16"/>
      <c r="T4501" s="17"/>
      <c r="AC4501" s="17"/>
    </row>
    <row r="4502">
      <c r="B4502" s="11">
        <f>IFERROR(__xludf.DUMMYFUNCTION("""COMPUTED_VALUE"""),39484.666666666664)</f>
        <v>39484.66667</v>
      </c>
      <c r="C4502" s="9">
        <f>IFERROR(__xludf.DUMMYFUNCTION("""COMPUTED_VALUE"""),30.5)</f>
        <v>30.5</v>
      </c>
      <c r="K4502" s="16"/>
      <c r="T4502" s="17"/>
      <c r="AC4502" s="17"/>
    </row>
    <row r="4503">
      <c r="B4503" s="11">
        <f>IFERROR(__xludf.DUMMYFUNCTION("""COMPUTED_VALUE"""),39483.666666666664)</f>
        <v>39483.66667</v>
      </c>
      <c r="C4503" s="9">
        <f>IFERROR(__xludf.DUMMYFUNCTION("""COMPUTED_VALUE"""),30.91)</f>
        <v>30.91</v>
      </c>
      <c r="K4503" s="16"/>
      <c r="T4503" s="17"/>
      <c r="AC4503" s="17"/>
    </row>
    <row r="4504">
      <c r="B4504" s="11">
        <f>IFERROR(__xludf.DUMMYFUNCTION("""COMPUTED_VALUE"""),39482.666666666664)</f>
        <v>39482.66667</v>
      </c>
      <c r="C4504" s="9">
        <f>IFERROR(__xludf.DUMMYFUNCTION("""COMPUTED_VALUE"""),31.68)</f>
        <v>31.68</v>
      </c>
      <c r="K4504" s="16"/>
      <c r="T4504" s="17"/>
      <c r="AC4504" s="17"/>
    </row>
    <row r="4505">
      <c r="B4505" s="11">
        <f>IFERROR(__xludf.DUMMYFUNCTION("""COMPUTED_VALUE"""),39479.666666666664)</f>
        <v>39479.66667</v>
      </c>
      <c r="C4505" s="9">
        <f>IFERROR(__xludf.DUMMYFUNCTION("""COMPUTED_VALUE"""),31.71)</f>
        <v>31.71</v>
      </c>
      <c r="K4505" s="16"/>
      <c r="T4505" s="17"/>
      <c r="AC4505" s="17"/>
    </row>
    <row r="4506">
      <c r="B4506" s="11">
        <f>IFERROR(__xludf.DUMMYFUNCTION("""COMPUTED_VALUE"""),39478.666666666664)</f>
        <v>39478.66667</v>
      </c>
      <c r="C4506" s="9">
        <f>IFERROR(__xludf.DUMMYFUNCTION("""COMPUTED_VALUE"""),31.11)</f>
        <v>31.11</v>
      </c>
      <c r="K4506" s="16"/>
      <c r="T4506" s="17"/>
      <c r="AC4506" s="17"/>
    </row>
    <row r="4507">
      <c r="B4507" s="11">
        <f>IFERROR(__xludf.DUMMYFUNCTION("""COMPUTED_VALUE"""),39477.666666666664)</f>
        <v>39477.66667</v>
      </c>
      <c r="C4507" s="9">
        <f>IFERROR(__xludf.DUMMYFUNCTION("""COMPUTED_VALUE"""),30.67)</f>
        <v>30.67</v>
      </c>
      <c r="K4507" s="16"/>
      <c r="T4507" s="17"/>
      <c r="AC4507" s="17"/>
    </row>
    <row r="4508">
      <c r="B4508" s="11">
        <f>IFERROR(__xludf.DUMMYFUNCTION("""COMPUTED_VALUE"""),39476.666666666664)</f>
        <v>39476.66667</v>
      </c>
      <c r="C4508" s="9">
        <f>IFERROR(__xludf.DUMMYFUNCTION("""COMPUTED_VALUE"""),30.7)</f>
        <v>30.7</v>
      </c>
      <c r="K4508" s="16"/>
      <c r="T4508" s="17"/>
      <c r="AC4508" s="17"/>
    </row>
    <row r="4509">
      <c r="B4509" s="11">
        <f>IFERROR(__xludf.DUMMYFUNCTION("""COMPUTED_VALUE"""),39475.666666666664)</f>
        <v>39475.66667</v>
      </c>
      <c r="C4509" s="9">
        <f>IFERROR(__xludf.DUMMYFUNCTION("""COMPUTED_VALUE"""),30.27)</f>
        <v>30.27</v>
      </c>
      <c r="K4509" s="16"/>
      <c r="T4509" s="17"/>
      <c r="AC4509" s="17"/>
    </row>
    <row r="4510">
      <c r="B4510" s="11">
        <f>IFERROR(__xludf.DUMMYFUNCTION("""COMPUTED_VALUE"""),39472.666666666664)</f>
        <v>39472.66667</v>
      </c>
      <c r="C4510" s="9">
        <f>IFERROR(__xludf.DUMMYFUNCTION("""COMPUTED_VALUE"""),30.12)</f>
        <v>30.12</v>
      </c>
      <c r="K4510" s="16"/>
      <c r="T4510" s="17"/>
      <c r="AC4510" s="17"/>
    </row>
    <row r="4511">
      <c r="B4511" s="11">
        <f>IFERROR(__xludf.DUMMYFUNCTION("""COMPUTED_VALUE"""),39471.666666666664)</f>
        <v>39471.66667</v>
      </c>
      <c r="C4511" s="9">
        <f>IFERROR(__xludf.DUMMYFUNCTION("""COMPUTED_VALUE"""),30.22)</f>
        <v>30.22</v>
      </c>
      <c r="K4511" s="16"/>
      <c r="T4511" s="17"/>
      <c r="AC4511" s="17"/>
    </row>
    <row r="4512">
      <c r="B4512" s="11">
        <f>IFERROR(__xludf.DUMMYFUNCTION("""COMPUTED_VALUE"""),39470.666666666664)</f>
        <v>39470.66667</v>
      </c>
      <c r="C4512" s="9">
        <f>IFERROR(__xludf.DUMMYFUNCTION("""COMPUTED_VALUE"""),29.58)</f>
        <v>29.58</v>
      </c>
      <c r="K4512" s="16"/>
      <c r="T4512" s="17"/>
      <c r="AC4512" s="17"/>
    </row>
    <row r="4513">
      <c r="B4513" s="11">
        <f>IFERROR(__xludf.DUMMYFUNCTION("""COMPUTED_VALUE"""),39469.666666666664)</f>
        <v>39469.66667</v>
      </c>
      <c r="C4513" s="9">
        <f>IFERROR(__xludf.DUMMYFUNCTION("""COMPUTED_VALUE"""),29.4)</f>
        <v>29.4</v>
      </c>
      <c r="K4513" s="16"/>
      <c r="T4513" s="17"/>
      <c r="AC4513" s="17"/>
    </row>
    <row r="4514">
      <c r="B4514" s="11">
        <f>IFERROR(__xludf.DUMMYFUNCTION("""COMPUTED_VALUE"""),39465.666666666664)</f>
        <v>39465.66667</v>
      </c>
      <c r="C4514" s="9">
        <f>IFERROR(__xludf.DUMMYFUNCTION("""COMPUTED_VALUE"""),29.87)</f>
        <v>29.87</v>
      </c>
      <c r="K4514" s="16"/>
      <c r="T4514" s="17"/>
      <c r="AC4514" s="17"/>
    </row>
    <row r="4515">
      <c r="B4515" s="11">
        <f>IFERROR(__xludf.DUMMYFUNCTION("""COMPUTED_VALUE"""),39464.666666666664)</f>
        <v>39464.66667</v>
      </c>
      <c r="C4515" s="9">
        <f>IFERROR(__xludf.DUMMYFUNCTION("""COMPUTED_VALUE"""),29.93)</f>
        <v>29.93</v>
      </c>
      <c r="K4515" s="16"/>
      <c r="T4515" s="17"/>
      <c r="AC4515" s="17"/>
    </row>
    <row r="4516">
      <c r="B4516" s="11">
        <f>IFERROR(__xludf.DUMMYFUNCTION("""COMPUTED_VALUE"""),39463.666666666664)</f>
        <v>39463.66667</v>
      </c>
      <c r="C4516" s="9">
        <f>IFERROR(__xludf.DUMMYFUNCTION("""COMPUTED_VALUE"""),31.05)</f>
        <v>31.05</v>
      </c>
      <c r="K4516" s="16"/>
      <c r="T4516" s="17"/>
      <c r="AC4516" s="17"/>
    </row>
    <row r="4517">
      <c r="B4517" s="11">
        <f>IFERROR(__xludf.DUMMYFUNCTION("""COMPUTED_VALUE"""),39462.666666666664)</f>
        <v>39462.66667</v>
      </c>
      <c r="C4517" s="9">
        <f>IFERROR(__xludf.DUMMYFUNCTION("""COMPUTED_VALUE"""),31.16)</f>
        <v>31.16</v>
      </c>
      <c r="K4517" s="16"/>
      <c r="T4517" s="17"/>
      <c r="AC4517" s="17"/>
    </row>
    <row r="4518">
      <c r="B4518" s="11">
        <f>IFERROR(__xludf.DUMMYFUNCTION("""COMPUTED_VALUE"""),39461.666666666664)</f>
        <v>39461.66667</v>
      </c>
      <c r="C4518" s="9">
        <f>IFERROR(__xludf.DUMMYFUNCTION("""COMPUTED_VALUE"""),31.7)</f>
        <v>31.7</v>
      </c>
      <c r="K4518" s="16"/>
      <c r="T4518" s="17"/>
      <c r="AC4518" s="17"/>
    </row>
    <row r="4519">
      <c r="B4519" s="11">
        <f>IFERROR(__xludf.DUMMYFUNCTION("""COMPUTED_VALUE"""),39458.666666666664)</f>
        <v>39458.66667</v>
      </c>
      <c r="C4519" s="9">
        <f>IFERROR(__xludf.DUMMYFUNCTION("""COMPUTED_VALUE"""),31.55)</f>
        <v>31.55</v>
      </c>
      <c r="K4519" s="16"/>
      <c r="T4519" s="17"/>
      <c r="AC4519" s="17"/>
    </row>
    <row r="4520">
      <c r="B4520" s="11">
        <f>IFERROR(__xludf.DUMMYFUNCTION("""COMPUTED_VALUE"""),39457.666666666664)</f>
        <v>39457.66667</v>
      </c>
      <c r="C4520" s="9">
        <f>IFERROR(__xludf.DUMMYFUNCTION("""COMPUTED_VALUE"""),32.1)</f>
        <v>32.1</v>
      </c>
      <c r="K4520" s="16"/>
      <c r="T4520" s="17"/>
      <c r="AC4520" s="17"/>
    </row>
    <row r="4521">
      <c r="B4521" s="11">
        <f>IFERROR(__xludf.DUMMYFUNCTION("""COMPUTED_VALUE"""),39456.666666666664)</f>
        <v>39456.66667</v>
      </c>
      <c r="C4521" s="9">
        <f>IFERROR(__xludf.DUMMYFUNCTION("""COMPUTED_VALUE"""),31.77)</f>
        <v>31.77</v>
      </c>
      <c r="K4521" s="16"/>
      <c r="T4521" s="17"/>
      <c r="AC4521" s="17"/>
    </row>
    <row r="4522">
      <c r="B4522" s="11">
        <f>IFERROR(__xludf.DUMMYFUNCTION("""COMPUTED_VALUE"""),39455.666666666664)</f>
        <v>39455.66667</v>
      </c>
      <c r="C4522" s="9">
        <f>IFERROR(__xludf.DUMMYFUNCTION("""COMPUTED_VALUE"""),31.34)</f>
        <v>31.34</v>
      </c>
      <c r="K4522" s="16"/>
      <c r="T4522" s="17"/>
      <c r="AC4522" s="17"/>
    </row>
    <row r="4523">
      <c r="B4523" s="11">
        <f>IFERROR(__xludf.DUMMYFUNCTION("""COMPUTED_VALUE"""),39454.666666666664)</f>
        <v>39454.66667</v>
      </c>
      <c r="C4523" s="9">
        <f>IFERROR(__xludf.DUMMYFUNCTION("""COMPUTED_VALUE"""),32.41)</f>
        <v>32.41</v>
      </c>
      <c r="K4523" s="16"/>
      <c r="T4523" s="17"/>
      <c r="AC4523" s="17"/>
    </row>
    <row r="4524">
      <c r="B4524" s="11">
        <f>IFERROR(__xludf.DUMMYFUNCTION("""COMPUTED_VALUE"""),39451.666666666664)</f>
        <v>39451.66667</v>
      </c>
      <c r="C4524" s="9">
        <f>IFERROR(__xludf.DUMMYFUNCTION("""COMPUTED_VALUE"""),32.97)</f>
        <v>32.97</v>
      </c>
      <c r="K4524" s="16"/>
      <c r="T4524" s="17"/>
      <c r="AC4524" s="17"/>
    </row>
    <row r="4525">
      <c r="B4525" s="11">
        <f>IFERROR(__xludf.DUMMYFUNCTION("""COMPUTED_VALUE"""),39450.666666666664)</f>
        <v>39450.66667</v>
      </c>
      <c r="C4525" s="9">
        <f>IFERROR(__xludf.DUMMYFUNCTION("""COMPUTED_VALUE"""),33.72)</f>
        <v>33.72</v>
      </c>
      <c r="K4525" s="16"/>
      <c r="T4525" s="17"/>
      <c r="AC4525" s="17"/>
    </row>
    <row r="4526">
      <c r="B4526" s="11">
        <f>IFERROR(__xludf.DUMMYFUNCTION("""COMPUTED_VALUE"""),39449.666666666664)</f>
        <v>39449.66667</v>
      </c>
      <c r="C4526" s="9">
        <f>IFERROR(__xludf.DUMMYFUNCTION("""COMPUTED_VALUE"""),33.33)</f>
        <v>33.33</v>
      </c>
      <c r="K4526" s="16"/>
      <c r="T4526" s="17"/>
      <c r="AC4526" s="17"/>
    </row>
    <row r="4527">
      <c r="B4527" s="11">
        <f>IFERROR(__xludf.DUMMYFUNCTION("""COMPUTED_VALUE"""),39447.666666666664)</f>
        <v>39447.66667</v>
      </c>
      <c r="C4527" s="9">
        <f>IFERROR(__xludf.DUMMYFUNCTION("""COMPUTED_VALUE"""),33.97)</f>
        <v>33.97</v>
      </c>
      <c r="K4527" s="16"/>
      <c r="T4527" s="17"/>
      <c r="AC4527" s="17"/>
    </row>
    <row r="4528">
      <c r="B4528" s="11">
        <f>IFERROR(__xludf.DUMMYFUNCTION("""COMPUTED_VALUE"""),39444.666666666664)</f>
        <v>39444.66667</v>
      </c>
      <c r="C4528" s="9">
        <f>IFERROR(__xludf.DUMMYFUNCTION("""COMPUTED_VALUE"""),34.17)</f>
        <v>34.17</v>
      </c>
      <c r="K4528" s="16"/>
      <c r="T4528" s="17"/>
      <c r="AC4528" s="17"/>
    </row>
    <row r="4529">
      <c r="B4529" s="11">
        <f>IFERROR(__xludf.DUMMYFUNCTION("""COMPUTED_VALUE"""),39443.666666666664)</f>
        <v>39443.66667</v>
      </c>
      <c r="C4529" s="9">
        <f>IFERROR(__xludf.DUMMYFUNCTION("""COMPUTED_VALUE"""),34.26)</f>
        <v>34.26</v>
      </c>
      <c r="K4529" s="16"/>
      <c r="T4529" s="17"/>
      <c r="AC4529" s="17"/>
    </row>
    <row r="4530">
      <c r="B4530" s="11">
        <f>IFERROR(__xludf.DUMMYFUNCTION("""COMPUTED_VALUE"""),39442.666666666664)</f>
        <v>39442.66667</v>
      </c>
      <c r="C4530" s="9">
        <f>IFERROR(__xludf.DUMMYFUNCTION("""COMPUTED_VALUE"""),34.9)</f>
        <v>34.9</v>
      </c>
      <c r="K4530" s="16"/>
      <c r="T4530" s="17"/>
      <c r="AC4530" s="17"/>
    </row>
    <row r="4531">
      <c r="B4531" s="11">
        <f>IFERROR(__xludf.DUMMYFUNCTION("""COMPUTED_VALUE"""),39437.666666666664)</f>
        <v>39437.66667</v>
      </c>
      <c r="C4531" s="9">
        <f>IFERROR(__xludf.DUMMYFUNCTION("""COMPUTED_VALUE"""),34.5)</f>
        <v>34.5</v>
      </c>
      <c r="K4531" s="16"/>
      <c r="T4531" s="17"/>
      <c r="AC4531" s="17"/>
    </row>
    <row r="4532">
      <c r="B4532" s="11">
        <f>IFERROR(__xludf.DUMMYFUNCTION("""COMPUTED_VALUE"""),39436.666666666664)</f>
        <v>39436.66667</v>
      </c>
      <c r="C4532" s="9">
        <f>IFERROR(__xludf.DUMMYFUNCTION("""COMPUTED_VALUE"""),33.83)</f>
        <v>33.83</v>
      </c>
      <c r="K4532" s="16"/>
      <c r="T4532" s="17"/>
      <c r="AC4532" s="17"/>
    </row>
    <row r="4533">
      <c r="B4533" s="11">
        <f>IFERROR(__xludf.DUMMYFUNCTION("""COMPUTED_VALUE"""),39435.666666666664)</f>
        <v>39435.66667</v>
      </c>
      <c r="C4533" s="9">
        <f>IFERROR(__xludf.DUMMYFUNCTION("""COMPUTED_VALUE"""),33.63)</f>
        <v>33.63</v>
      </c>
      <c r="K4533" s="16"/>
      <c r="T4533" s="17"/>
      <c r="AC4533" s="17"/>
    </row>
    <row r="4534">
      <c r="B4534" s="11">
        <f>IFERROR(__xludf.DUMMYFUNCTION("""COMPUTED_VALUE"""),39433.666666666664)</f>
        <v>39433.66667</v>
      </c>
      <c r="C4534" s="9">
        <f>IFERROR(__xludf.DUMMYFUNCTION("""COMPUTED_VALUE"""),33.53)</f>
        <v>33.53</v>
      </c>
      <c r="K4534" s="16"/>
      <c r="T4534" s="17"/>
      <c r="AC4534" s="17"/>
    </row>
    <row r="4535">
      <c r="B4535" s="11">
        <f>IFERROR(__xludf.DUMMYFUNCTION("""COMPUTED_VALUE"""),39430.666666666664)</f>
        <v>39430.66667</v>
      </c>
      <c r="C4535" s="9">
        <f>IFERROR(__xludf.DUMMYFUNCTION("""COMPUTED_VALUE"""),34.3)</f>
        <v>34.3</v>
      </c>
      <c r="K4535" s="16"/>
      <c r="T4535" s="17"/>
      <c r="AC4535" s="17"/>
    </row>
    <row r="4536">
      <c r="B4536" s="11">
        <f>IFERROR(__xludf.DUMMYFUNCTION("""COMPUTED_VALUE"""),39429.666666666664)</f>
        <v>39429.66667</v>
      </c>
      <c r="C4536" s="9">
        <f>IFERROR(__xludf.DUMMYFUNCTION("""COMPUTED_VALUE"""),34.52)</f>
        <v>34.52</v>
      </c>
      <c r="K4536" s="16"/>
      <c r="T4536" s="17"/>
      <c r="AC4536" s="17"/>
    </row>
    <row r="4537">
      <c r="B4537" s="11">
        <f>IFERROR(__xludf.DUMMYFUNCTION("""COMPUTED_VALUE"""),39428.666666666664)</f>
        <v>39428.66667</v>
      </c>
      <c r="C4537" s="9">
        <f>IFERROR(__xludf.DUMMYFUNCTION("""COMPUTED_VALUE"""),34.33)</f>
        <v>34.33</v>
      </c>
      <c r="K4537" s="16"/>
      <c r="T4537" s="17"/>
      <c r="AC4537" s="17"/>
    </row>
    <row r="4538">
      <c r="B4538" s="11">
        <f>IFERROR(__xludf.DUMMYFUNCTION("""COMPUTED_VALUE"""),39427.666666666664)</f>
        <v>39427.66667</v>
      </c>
      <c r="C4538" s="9">
        <f>IFERROR(__xludf.DUMMYFUNCTION("""COMPUTED_VALUE"""),34.16)</f>
        <v>34.16</v>
      </c>
      <c r="K4538" s="16"/>
      <c r="T4538" s="17"/>
      <c r="AC4538" s="17"/>
    </row>
    <row r="4539">
      <c r="B4539" s="11">
        <f>IFERROR(__xludf.DUMMYFUNCTION("""COMPUTED_VALUE"""),39426.666666666664)</f>
        <v>39426.66667</v>
      </c>
      <c r="C4539" s="9">
        <f>IFERROR(__xludf.DUMMYFUNCTION("""COMPUTED_VALUE"""),35.34)</f>
        <v>35.34</v>
      </c>
      <c r="K4539" s="16"/>
      <c r="T4539" s="17"/>
      <c r="AC4539" s="17"/>
    </row>
    <row r="4540">
      <c r="B4540" s="11">
        <f>IFERROR(__xludf.DUMMYFUNCTION("""COMPUTED_VALUE"""),39423.666666666664)</f>
        <v>39423.66667</v>
      </c>
      <c r="C4540" s="9">
        <f>IFERROR(__xludf.DUMMYFUNCTION("""COMPUTED_VALUE"""),35.36)</f>
        <v>35.36</v>
      </c>
      <c r="K4540" s="16"/>
      <c r="T4540" s="17"/>
      <c r="AC4540" s="17"/>
    </row>
    <row r="4541">
      <c r="B4541" s="11">
        <f>IFERROR(__xludf.DUMMYFUNCTION("""COMPUTED_VALUE"""),39422.666666666664)</f>
        <v>39422.66667</v>
      </c>
      <c r="C4541" s="9">
        <f>IFERROR(__xludf.DUMMYFUNCTION("""COMPUTED_VALUE"""),35.17)</f>
        <v>35.17</v>
      </c>
      <c r="K4541" s="16"/>
      <c r="T4541" s="17"/>
      <c r="AC4541" s="17"/>
    </row>
    <row r="4542">
      <c r="B4542" s="11">
        <f>IFERROR(__xludf.DUMMYFUNCTION("""COMPUTED_VALUE"""),39421.666666666664)</f>
        <v>39421.66667</v>
      </c>
      <c r="C4542" s="9">
        <f>IFERROR(__xludf.DUMMYFUNCTION("""COMPUTED_VALUE"""),34.89)</f>
        <v>34.89</v>
      </c>
      <c r="K4542" s="16"/>
      <c r="T4542" s="17"/>
      <c r="AC4542" s="17"/>
    </row>
    <row r="4543">
      <c r="B4543" s="11">
        <f>IFERROR(__xludf.DUMMYFUNCTION("""COMPUTED_VALUE"""),39420.666666666664)</f>
        <v>39420.66667</v>
      </c>
      <c r="C4543" s="9">
        <f>IFERROR(__xludf.DUMMYFUNCTION("""COMPUTED_VALUE"""),34.44)</f>
        <v>34.44</v>
      </c>
      <c r="K4543" s="16"/>
      <c r="T4543" s="17"/>
      <c r="AC4543" s="17"/>
    </row>
    <row r="4544">
      <c r="B4544" s="11">
        <f>IFERROR(__xludf.DUMMYFUNCTION("""COMPUTED_VALUE"""),39419.666666666664)</f>
        <v>39419.66667</v>
      </c>
      <c r="C4544" s="9">
        <f>IFERROR(__xludf.DUMMYFUNCTION("""COMPUTED_VALUE"""),34.6)</f>
        <v>34.6</v>
      </c>
      <c r="K4544" s="16"/>
      <c r="T4544" s="17"/>
      <c r="AC4544" s="17"/>
    </row>
    <row r="4545">
      <c r="B4545" s="11">
        <f>IFERROR(__xludf.DUMMYFUNCTION("""COMPUTED_VALUE"""),39416.666666666664)</f>
        <v>39416.66667</v>
      </c>
      <c r="C4545" s="9">
        <f>IFERROR(__xludf.DUMMYFUNCTION("""COMPUTED_VALUE"""),34.4)</f>
        <v>34.4</v>
      </c>
      <c r="K4545" s="16"/>
      <c r="T4545" s="17"/>
      <c r="AC4545" s="17"/>
    </row>
    <row r="4546">
      <c r="B4546" s="11">
        <f>IFERROR(__xludf.DUMMYFUNCTION("""COMPUTED_VALUE"""),39415.666666666664)</f>
        <v>39415.66667</v>
      </c>
      <c r="C4546" s="9">
        <f>IFERROR(__xludf.DUMMYFUNCTION("""COMPUTED_VALUE"""),34.64)</f>
        <v>34.64</v>
      </c>
      <c r="K4546" s="16"/>
      <c r="T4546" s="17"/>
      <c r="AC4546" s="17"/>
    </row>
    <row r="4547">
      <c r="B4547" s="11">
        <f>IFERROR(__xludf.DUMMYFUNCTION("""COMPUTED_VALUE"""),39414.666666666664)</f>
        <v>39414.66667</v>
      </c>
      <c r="C4547" s="9">
        <f>IFERROR(__xludf.DUMMYFUNCTION("""COMPUTED_VALUE"""),34.8)</f>
        <v>34.8</v>
      </c>
      <c r="K4547" s="16"/>
      <c r="T4547" s="17"/>
      <c r="AC4547" s="17"/>
    </row>
    <row r="4548">
      <c r="B4548" s="11">
        <f>IFERROR(__xludf.DUMMYFUNCTION("""COMPUTED_VALUE"""),39413.666666666664)</f>
        <v>39413.66667</v>
      </c>
      <c r="C4548" s="9">
        <f>IFERROR(__xludf.DUMMYFUNCTION("""COMPUTED_VALUE"""),33.77)</f>
        <v>33.77</v>
      </c>
      <c r="K4548" s="16"/>
      <c r="T4548" s="17"/>
      <c r="AC4548" s="17"/>
    </row>
    <row r="4549">
      <c r="B4549" s="11">
        <f>IFERROR(__xludf.DUMMYFUNCTION("""COMPUTED_VALUE"""),39407.666666666664)</f>
        <v>39407.66667</v>
      </c>
      <c r="C4549" s="9">
        <f>IFERROR(__xludf.DUMMYFUNCTION("""COMPUTED_VALUE"""),33.05)</f>
        <v>33.05</v>
      </c>
      <c r="K4549" s="16"/>
      <c r="T4549" s="17"/>
      <c r="AC4549" s="17"/>
    </row>
    <row r="4550">
      <c r="B4550" s="11">
        <f>IFERROR(__xludf.DUMMYFUNCTION("""COMPUTED_VALUE"""),39406.666666666664)</f>
        <v>39406.66667</v>
      </c>
      <c r="C4550" s="9">
        <f>IFERROR(__xludf.DUMMYFUNCTION("""COMPUTED_VALUE"""),33.44)</f>
        <v>33.44</v>
      </c>
      <c r="K4550" s="16"/>
      <c r="T4550" s="17"/>
      <c r="AC4550" s="17"/>
    </row>
    <row r="4551">
      <c r="B4551" s="11">
        <f>IFERROR(__xludf.DUMMYFUNCTION("""COMPUTED_VALUE"""),39405.666666666664)</f>
        <v>39405.66667</v>
      </c>
      <c r="C4551" s="9">
        <f>IFERROR(__xludf.DUMMYFUNCTION("""COMPUTED_VALUE"""),33.48)</f>
        <v>33.48</v>
      </c>
      <c r="K4551" s="16"/>
      <c r="T4551" s="17"/>
      <c r="AC4551" s="17"/>
    </row>
    <row r="4552">
      <c r="B4552" s="11">
        <f>IFERROR(__xludf.DUMMYFUNCTION("""COMPUTED_VALUE"""),39402.666666666664)</f>
        <v>39402.66667</v>
      </c>
      <c r="C4552" s="9">
        <f>IFERROR(__xludf.DUMMYFUNCTION("""COMPUTED_VALUE"""),33.96)</f>
        <v>33.96</v>
      </c>
      <c r="K4552" s="16"/>
      <c r="T4552" s="17"/>
      <c r="AC4552" s="17"/>
    </row>
    <row r="4553">
      <c r="B4553" s="11">
        <f>IFERROR(__xludf.DUMMYFUNCTION("""COMPUTED_VALUE"""),39401.666666666664)</f>
        <v>39401.66667</v>
      </c>
      <c r="C4553" s="9">
        <f>IFERROR(__xludf.DUMMYFUNCTION("""COMPUTED_VALUE"""),33.96)</f>
        <v>33.96</v>
      </c>
      <c r="K4553" s="16"/>
      <c r="T4553" s="17"/>
      <c r="AC4553" s="17"/>
    </row>
    <row r="4554">
      <c r="B4554" s="11">
        <f>IFERROR(__xludf.DUMMYFUNCTION("""COMPUTED_VALUE"""),39400.666666666664)</f>
        <v>39400.66667</v>
      </c>
      <c r="C4554" s="9">
        <f>IFERROR(__xludf.DUMMYFUNCTION("""COMPUTED_VALUE"""),34.45)</f>
        <v>34.45</v>
      </c>
      <c r="K4554" s="16"/>
      <c r="T4554" s="17"/>
      <c r="AC4554" s="17"/>
    </row>
    <row r="4555">
      <c r="B4555" s="11">
        <f>IFERROR(__xludf.DUMMYFUNCTION("""COMPUTED_VALUE"""),39399.666666666664)</f>
        <v>39399.66667</v>
      </c>
      <c r="C4555" s="9">
        <f>IFERROR(__xludf.DUMMYFUNCTION("""COMPUTED_VALUE"""),34.69)</f>
        <v>34.69</v>
      </c>
      <c r="K4555" s="16"/>
      <c r="T4555" s="17"/>
      <c r="AC4555" s="17"/>
    </row>
    <row r="4556">
      <c r="B4556" s="11">
        <f>IFERROR(__xludf.DUMMYFUNCTION("""COMPUTED_VALUE"""),39398.666666666664)</f>
        <v>39398.66667</v>
      </c>
      <c r="C4556" s="9">
        <f>IFERROR(__xludf.DUMMYFUNCTION("""COMPUTED_VALUE"""),33.95)</f>
        <v>33.95</v>
      </c>
      <c r="K4556" s="16"/>
      <c r="T4556" s="17"/>
      <c r="AC4556" s="17"/>
    </row>
    <row r="4557">
      <c r="B4557" s="11">
        <f>IFERROR(__xludf.DUMMYFUNCTION("""COMPUTED_VALUE"""),39395.666666666664)</f>
        <v>39395.66667</v>
      </c>
      <c r="C4557" s="9">
        <f>IFERROR(__xludf.DUMMYFUNCTION("""COMPUTED_VALUE"""),34.45)</f>
        <v>34.45</v>
      </c>
      <c r="K4557" s="16"/>
      <c r="T4557" s="17"/>
      <c r="AC4557" s="17"/>
    </row>
    <row r="4558">
      <c r="B4558" s="11">
        <f>IFERROR(__xludf.DUMMYFUNCTION("""COMPUTED_VALUE"""),39394.666666666664)</f>
        <v>39394.66667</v>
      </c>
      <c r="C4558" s="9">
        <f>IFERROR(__xludf.DUMMYFUNCTION("""COMPUTED_VALUE"""),34.96)</f>
        <v>34.96</v>
      </c>
      <c r="K4558" s="16"/>
      <c r="T4558" s="17"/>
      <c r="AC4558" s="17"/>
    </row>
    <row r="4559">
      <c r="B4559" s="11">
        <f>IFERROR(__xludf.DUMMYFUNCTION("""COMPUTED_VALUE"""),39393.666666666664)</f>
        <v>39393.66667</v>
      </c>
      <c r="C4559" s="9">
        <f>IFERROR(__xludf.DUMMYFUNCTION("""COMPUTED_VALUE"""),35.03)</f>
        <v>35.03</v>
      </c>
      <c r="K4559" s="16"/>
      <c r="T4559" s="17"/>
      <c r="AC4559" s="17"/>
    </row>
    <row r="4560">
      <c r="B4560" s="11">
        <f>IFERROR(__xludf.DUMMYFUNCTION("""COMPUTED_VALUE"""),39392.666666666664)</f>
        <v>39392.66667</v>
      </c>
      <c r="C4560" s="9">
        <f>IFERROR(__xludf.DUMMYFUNCTION("""COMPUTED_VALUE"""),35.83)</f>
        <v>35.83</v>
      </c>
      <c r="K4560" s="16"/>
      <c r="T4560" s="17"/>
      <c r="AC4560" s="17"/>
    </row>
    <row r="4561">
      <c r="B4561" s="11">
        <f>IFERROR(__xludf.DUMMYFUNCTION("""COMPUTED_VALUE"""),39391.666666666664)</f>
        <v>39391.66667</v>
      </c>
      <c r="C4561" s="9">
        <f>IFERROR(__xludf.DUMMYFUNCTION("""COMPUTED_VALUE"""),35.28)</f>
        <v>35.28</v>
      </c>
      <c r="K4561" s="16"/>
      <c r="T4561" s="17"/>
      <c r="AC4561" s="17"/>
    </row>
    <row r="4562">
      <c r="B4562" s="11">
        <f>IFERROR(__xludf.DUMMYFUNCTION("""COMPUTED_VALUE"""),39388.666666666664)</f>
        <v>39388.66667</v>
      </c>
      <c r="C4562" s="9">
        <f>IFERROR(__xludf.DUMMYFUNCTION("""COMPUTED_VALUE"""),35.29)</f>
        <v>35.29</v>
      </c>
      <c r="K4562" s="16"/>
      <c r="T4562" s="17"/>
      <c r="AC4562" s="17"/>
    </row>
    <row r="4563">
      <c r="B4563" s="11">
        <f>IFERROR(__xludf.DUMMYFUNCTION("""COMPUTED_VALUE"""),39387.666666666664)</f>
        <v>39387.66667</v>
      </c>
      <c r="C4563" s="9">
        <f>IFERROR(__xludf.DUMMYFUNCTION("""COMPUTED_VALUE"""),34.9)</f>
        <v>34.9</v>
      </c>
      <c r="K4563" s="16"/>
      <c r="T4563" s="17"/>
      <c r="AC4563" s="17"/>
    </row>
    <row r="4564">
      <c r="B4564" s="11">
        <f>IFERROR(__xludf.DUMMYFUNCTION("""COMPUTED_VALUE"""),39386.666666666664)</f>
        <v>39386.66667</v>
      </c>
      <c r="C4564" s="9">
        <f>IFERROR(__xludf.DUMMYFUNCTION("""COMPUTED_VALUE"""),35.48)</f>
        <v>35.48</v>
      </c>
      <c r="K4564" s="16"/>
      <c r="T4564" s="17"/>
      <c r="AC4564" s="17"/>
    </row>
    <row r="4565">
      <c r="B4565" s="11">
        <f>IFERROR(__xludf.DUMMYFUNCTION("""COMPUTED_VALUE"""),39385.666666666664)</f>
        <v>39385.66667</v>
      </c>
      <c r="C4565" s="9">
        <f>IFERROR(__xludf.DUMMYFUNCTION("""COMPUTED_VALUE"""),34.99)</f>
        <v>34.99</v>
      </c>
      <c r="K4565" s="16"/>
      <c r="T4565" s="17"/>
      <c r="AC4565" s="17"/>
    </row>
    <row r="4566">
      <c r="B4566" s="11">
        <f>IFERROR(__xludf.DUMMYFUNCTION("""COMPUTED_VALUE"""),39384.666666666664)</f>
        <v>39384.66667</v>
      </c>
      <c r="C4566" s="9">
        <f>IFERROR(__xludf.DUMMYFUNCTION("""COMPUTED_VALUE"""),35.25)</f>
        <v>35.25</v>
      </c>
      <c r="K4566" s="16"/>
      <c r="T4566" s="17"/>
      <c r="AC4566" s="17"/>
    </row>
    <row r="4567">
      <c r="B4567" s="11">
        <f>IFERROR(__xludf.DUMMYFUNCTION("""COMPUTED_VALUE"""),39381.666666666664)</f>
        <v>39381.66667</v>
      </c>
      <c r="C4567" s="9">
        <f>IFERROR(__xludf.DUMMYFUNCTION("""COMPUTED_VALUE"""),35.12)</f>
        <v>35.12</v>
      </c>
      <c r="K4567" s="16"/>
      <c r="T4567" s="17"/>
      <c r="AC4567" s="17"/>
    </row>
    <row r="4568">
      <c r="B4568" s="11">
        <f>IFERROR(__xludf.DUMMYFUNCTION("""COMPUTED_VALUE"""),39380.666666666664)</f>
        <v>39380.66667</v>
      </c>
      <c r="C4568" s="9">
        <f>IFERROR(__xludf.DUMMYFUNCTION("""COMPUTED_VALUE"""),35.24)</f>
        <v>35.24</v>
      </c>
      <c r="K4568" s="16"/>
      <c r="T4568" s="17"/>
      <c r="AC4568" s="17"/>
    </row>
    <row r="4569">
      <c r="B4569" s="11">
        <f>IFERROR(__xludf.DUMMYFUNCTION("""COMPUTED_VALUE"""),39379.666666666664)</f>
        <v>39379.66667</v>
      </c>
      <c r="C4569" s="9">
        <f>IFERROR(__xludf.DUMMYFUNCTION("""COMPUTED_VALUE"""),34.89)</f>
        <v>34.89</v>
      </c>
      <c r="K4569" s="16"/>
      <c r="T4569" s="17"/>
      <c r="AC4569" s="17"/>
    </row>
    <row r="4570">
      <c r="B4570" s="11">
        <f>IFERROR(__xludf.DUMMYFUNCTION("""COMPUTED_VALUE"""),39378.666666666664)</f>
        <v>39378.66667</v>
      </c>
      <c r="C4570" s="9">
        <f>IFERROR(__xludf.DUMMYFUNCTION("""COMPUTED_VALUE"""),34.8)</f>
        <v>34.8</v>
      </c>
      <c r="K4570" s="16"/>
      <c r="T4570" s="17"/>
      <c r="AC4570" s="17"/>
    </row>
    <row r="4571">
      <c r="B4571" s="11">
        <f>IFERROR(__xludf.DUMMYFUNCTION("""COMPUTED_VALUE"""),39377.666666666664)</f>
        <v>39377.66667</v>
      </c>
      <c r="C4571" s="9">
        <f>IFERROR(__xludf.DUMMYFUNCTION("""COMPUTED_VALUE"""),34.38)</f>
        <v>34.38</v>
      </c>
      <c r="K4571" s="16"/>
      <c r="T4571" s="17"/>
      <c r="AC4571" s="17"/>
    </row>
    <row r="4572">
      <c r="B4572" s="11">
        <f>IFERROR(__xludf.DUMMYFUNCTION("""COMPUTED_VALUE"""),39374.666666666664)</f>
        <v>39374.66667</v>
      </c>
      <c r="C4572" s="9">
        <f>IFERROR(__xludf.DUMMYFUNCTION("""COMPUTED_VALUE"""),34.06)</f>
        <v>34.06</v>
      </c>
      <c r="K4572" s="16"/>
      <c r="T4572" s="17"/>
      <c r="AC4572" s="17"/>
    </row>
    <row r="4573">
      <c r="B4573" s="11">
        <f>IFERROR(__xludf.DUMMYFUNCTION("""COMPUTED_VALUE"""),39373.666666666664)</f>
        <v>39373.66667</v>
      </c>
      <c r="C4573" s="9">
        <f>IFERROR(__xludf.DUMMYFUNCTION("""COMPUTED_VALUE"""),35.09)</f>
        <v>35.09</v>
      </c>
      <c r="K4573" s="16"/>
      <c r="T4573" s="17"/>
      <c r="AC4573" s="17"/>
    </row>
    <row r="4574">
      <c r="B4574" s="11">
        <f>IFERROR(__xludf.DUMMYFUNCTION("""COMPUTED_VALUE"""),39372.666666666664)</f>
        <v>39372.66667</v>
      </c>
      <c r="C4574" s="9">
        <f>IFERROR(__xludf.DUMMYFUNCTION("""COMPUTED_VALUE"""),34.97)</f>
        <v>34.97</v>
      </c>
      <c r="K4574" s="16"/>
      <c r="T4574" s="17"/>
      <c r="AC4574" s="17"/>
    </row>
    <row r="4575">
      <c r="B4575" s="11">
        <f>IFERROR(__xludf.DUMMYFUNCTION("""COMPUTED_VALUE"""),39371.666666666664)</f>
        <v>39371.66667</v>
      </c>
      <c r="C4575" s="9">
        <f>IFERROR(__xludf.DUMMYFUNCTION("""COMPUTED_VALUE"""),35.06)</f>
        <v>35.06</v>
      </c>
      <c r="K4575" s="16"/>
      <c r="T4575" s="17"/>
      <c r="AC4575" s="17"/>
    </row>
    <row r="4576">
      <c r="B4576" s="11">
        <f>IFERROR(__xludf.DUMMYFUNCTION("""COMPUTED_VALUE"""),39370.666666666664)</f>
        <v>39370.66667</v>
      </c>
      <c r="C4576" s="9">
        <f>IFERROR(__xludf.DUMMYFUNCTION("""COMPUTED_VALUE"""),34.99)</f>
        <v>34.99</v>
      </c>
      <c r="K4576" s="16"/>
      <c r="T4576" s="17"/>
      <c r="AC4576" s="17"/>
    </row>
    <row r="4577">
      <c r="B4577" s="11">
        <f>IFERROR(__xludf.DUMMYFUNCTION("""COMPUTED_VALUE"""),39367.666666666664)</f>
        <v>39367.66667</v>
      </c>
      <c r="C4577" s="9">
        <f>IFERROR(__xludf.DUMMYFUNCTION("""COMPUTED_VALUE"""),35.48)</f>
        <v>35.48</v>
      </c>
      <c r="K4577" s="16"/>
      <c r="T4577" s="17"/>
      <c r="AC4577" s="17"/>
    </row>
    <row r="4578">
      <c r="B4578" s="11">
        <f>IFERROR(__xludf.DUMMYFUNCTION("""COMPUTED_VALUE"""),39366.666666666664)</f>
        <v>39366.66667</v>
      </c>
      <c r="C4578" s="9">
        <f>IFERROR(__xludf.DUMMYFUNCTION("""COMPUTED_VALUE"""),35.13)</f>
        <v>35.13</v>
      </c>
      <c r="K4578" s="16"/>
      <c r="T4578" s="17"/>
      <c r="AC4578" s="17"/>
    </row>
    <row r="4579">
      <c r="B4579" s="11">
        <f>IFERROR(__xludf.DUMMYFUNCTION("""COMPUTED_VALUE"""),39365.666666666664)</f>
        <v>39365.66667</v>
      </c>
      <c r="C4579" s="9">
        <f>IFERROR(__xludf.DUMMYFUNCTION("""COMPUTED_VALUE"""),35.41)</f>
        <v>35.41</v>
      </c>
      <c r="K4579" s="16"/>
      <c r="T4579" s="17"/>
      <c r="AC4579" s="17"/>
    </row>
    <row r="4580">
      <c r="B4580" s="11">
        <f>IFERROR(__xludf.DUMMYFUNCTION("""COMPUTED_VALUE"""),39364.666666666664)</f>
        <v>39364.66667</v>
      </c>
      <c r="C4580" s="9">
        <f>IFERROR(__xludf.DUMMYFUNCTION("""COMPUTED_VALUE"""),35.86)</f>
        <v>35.86</v>
      </c>
      <c r="K4580" s="16"/>
      <c r="T4580" s="17"/>
      <c r="AC4580" s="17"/>
    </row>
    <row r="4581">
      <c r="B4581" s="11">
        <f>IFERROR(__xludf.DUMMYFUNCTION("""COMPUTED_VALUE"""),39363.666666666664)</f>
        <v>39363.66667</v>
      </c>
      <c r="C4581" s="9">
        <f>IFERROR(__xludf.DUMMYFUNCTION("""COMPUTED_VALUE"""),35.45)</f>
        <v>35.45</v>
      </c>
      <c r="K4581" s="16"/>
      <c r="T4581" s="17"/>
      <c r="AC4581" s="17"/>
    </row>
    <row r="4582">
      <c r="B4582" s="11">
        <f>IFERROR(__xludf.DUMMYFUNCTION("""COMPUTED_VALUE"""),39360.666666666664)</f>
        <v>39360.66667</v>
      </c>
      <c r="C4582" s="9">
        <f>IFERROR(__xludf.DUMMYFUNCTION("""COMPUTED_VALUE"""),35.5)</f>
        <v>35.5</v>
      </c>
      <c r="K4582" s="16"/>
      <c r="T4582" s="17"/>
      <c r="AC4582" s="17"/>
    </row>
    <row r="4583">
      <c r="B4583" s="11">
        <f>IFERROR(__xludf.DUMMYFUNCTION("""COMPUTED_VALUE"""),39359.666666666664)</f>
        <v>39359.66667</v>
      </c>
      <c r="C4583" s="9">
        <f>IFERROR(__xludf.DUMMYFUNCTION("""COMPUTED_VALUE"""),35.29)</f>
        <v>35.29</v>
      </c>
      <c r="K4583" s="16"/>
      <c r="T4583" s="17"/>
      <c r="AC4583" s="17"/>
    </row>
    <row r="4584">
      <c r="B4584" s="11">
        <f>IFERROR(__xludf.DUMMYFUNCTION("""COMPUTED_VALUE"""),39358.666666666664)</f>
        <v>39358.66667</v>
      </c>
      <c r="C4584" s="9">
        <f>IFERROR(__xludf.DUMMYFUNCTION("""COMPUTED_VALUE"""),35.01)</f>
        <v>35.01</v>
      </c>
      <c r="K4584" s="16"/>
      <c r="T4584" s="17"/>
      <c r="AC4584" s="17"/>
    </row>
    <row r="4585">
      <c r="B4585" s="11">
        <f>IFERROR(__xludf.DUMMYFUNCTION("""COMPUTED_VALUE"""),39357.666666666664)</f>
        <v>39357.66667</v>
      </c>
      <c r="C4585" s="9">
        <f>IFERROR(__xludf.DUMMYFUNCTION("""COMPUTED_VALUE"""),35.28)</f>
        <v>35.28</v>
      </c>
      <c r="K4585" s="16"/>
      <c r="T4585" s="17"/>
      <c r="AC4585" s="17"/>
    </row>
    <row r="4586">
      <c r="B4586" s="11">
        <f>IFERROR(__xludf.DUMMYFUNCTION("""COMPUTED_VALUE"""),39356.666666666664)</f>
        <v>39356.66667</v>
      </c>
      <c r="C4586" s="9">
        <f>IFERROR(__xludf.DUMMYFUNCTION("""COMPUTED_VALUE"""),35.46)</f>
        <v>35.46</v>
      </c>
      <c r="K4586" s="16"/>
      <c r="T4586" s="17"/>
      <c r="AC4586" s="17"/>
    </row>
    <row r="4587">
      <c r="B4587" s="11">
        <f>IFERROR(__xludf.DUMMYFUNCTION("""COMPUTED_VALUE"""),39353.666666666664)</f>
        <v>39353.66667</v>
      </c>
      <c r="C4587" s="9">
        <f>IFERROR(__xludf.DUMMYFUNCTION("""COMPUTED_VALUE"""),34.82)</f>
        <v>34.82</v>
      </c>
      <c r="K4587" s="16"/>
      <c r="T4587" s="17"/>
      <c r="AC4587" s="17"/>
    </row>
    <row r="4588">
      <c r="B4588" s="11">
        <f>IFERROR(__xludf.DUMMYFUNCTION("""COMPUTED_VALUE"""),39352.666666666664)</f>
        <v>39352.66667</v>
      </c>
      <c r="C4588" s="9">
        <f>IFERROR(__xludf.DUMMYFUNCTION("""COMPUTED_VALUE"""),34.95)</f>
        <v>34.95</v>
      </c>
      <c r="K4588" s="16"/>
      <c r="T4588" s="17"/>
      <c r="AC4588" s="17"/>
    </row>
    <row r="4589">
      <c r="B4589" s="11">
        <f>IFERROR(__xludf.DUMMYFUNCTION("""COMPUTED_VALUE"""),39351.666666666664)</f>
        <v>39351.66667</v>
      </c>
      <c r="C4589" s="9">
        <f>IFERROR(__xludf.DUMMYFUNCTION("""COMPUTED_VALUE"""),34.81)</f>
        <v>34.81</v>
      </c>
      <c r="K4589" s="16"/>
      <c r="T4589" s="17"/>
      <c r="AC4589" s="17"/>
    </row>
    <row r="4590">
      <c r="B4590" s="11">
        <f>IFERROR(__xludf.DUMMYFUNCTION("""COMPUTED_VALUE"""),39350.666666666664)</f>
        <v>39350.66667</v>
      </c>
      <c r="C4590" s="9">
        <f>IFERROR(__xludf.DUMMYFUNCTION("""COMPUTED_VALUE"""),34.49)</f>
        <v>34.49</v>
      </c>
      <c r="K4590" s="16"/>
      <c r="T4590" s="17"/>
      <c r="AC4590" s="17"/>
    </row>
    <row r="4591">
      <c r="B4591" s="11">
        <f>IFERROR(__xludf.DUMMYFUNCTION("""COMPUTED_VALUE"""),39349.666666666664)</f>
        <v>39349.66667</v>
      </c>
      <c r="C4591" s="9">
        <f>IFERROR(__xludf.DUMMYFUNCTION("""COMPUTED_VALUE"""),34.05)</f>
        <v>34.05</v>
      </c>
      <c r="K4591" s="16"/>
      <c r="T4591" s="17"/>
      <c r="AC4591" s="17"/>
    </row>
    <row r="4592">
      <c r="B4592" s="11">
        <f>IFERROR(__xludf.DUMMYFUNCTION("""COMPUTED_VALUE"""),39346.666666666664)</f>
        <v>39346.66667</v>
      </c>
      <c r="C4592" s="9">
        <f>IFERROR(__xludf.DUMMYFUNCTION("""COMPUTED_VALUE"""),34.17)</f>
        <v>34.17</v>
      </c>
      <c r="K4592" s="16"/>
      <c r="T4592" s="17"/>
      <c r="AC4592" s="17"/>
    </row>
    <row r="4593">
      <c r="B4593" s="11">
        <f>IFERROR(__xludf.DUMMYFUNCTION("""COMPUTED_VALUE"""),39345.666666666664)</f>
        <v>39345.66667</v>
      </c>
      <c r="C4593" s="9">
        <f>IFERROR(__xludf.DUMMYFUNCTION("""COMPUTED_VALUE"""),33.94)</f>
        <v>33.94</v>
      </c>
      <c r="K4593" s="16"/>
      <c r="T4593" s="17"/>
      <c r="AC4593" s="17"/>
    </row>
    <row r="4594">
      <c r="B4594" s="11">
        <f>IFERROR(__xludf.DUMMYFUNCTION("""COMPUTED_VALUE"""),39344.666666666664)</f>
        <v>39344.66667</v>
      </c>
      <c r="C4594" s="9">
        <f>IFERROR(__xludf.DUMMYFUNCTION("""COMPUTED_VALUE"""),33.76)</f>
        <v>33.76</v>
      </c>
      <c r="K4594" s="16"/>
      <c r="T4594" s="17"/>
      <c r="AC4594" s="17"/>
    </row>
    <row r="4595">
      <c r="B4595" s="11">
        <f>IFERROR(__xludf.DUMMYFUNCTION("""COMPUTED_VALUE"""),39343.666666666664)</f>
        <v>39343.66667</v>
      </c>
      <c r="C4595" s="9">
        <f>IFERROR(__xludf.DUMMYFUNCTION("""COMPUTED_VALUE"""),33.55)</f>
        <v>33.55</v>
      </c>
      <c r="K4595" s="16"/>
      <c r="T4595" s="17"/>
      <c r="AC4595" s="17"/>
    </row>
    <row r="4596">
      <c r="B4596" s="11">
        <f>IFERROR(__xludf.DUMMYFUNCTION("""COMPUTED_VALUE"""),39342.666666666664)</f>
        <v>39342.66667</v>
      </c>
      <c r="C4596" s="9">
        <f>IFERROR(__xludf.DUMMYFUNCTION("""COMPUTED_VALUE"""),32.78)</f>
        <v>32.78</v>
      </c>
      <c r="K4596" s="16"/>
      <c r="T4596" s="17"/>
      <c r="AC4596" s="17"/>
    </row>
    <row r="4597">
      <c r="B4597" s="11">
        <f>IFERROR(__xludf.DUMMYFUNCTION("""COMPUTED_VALUE"""),39339.666666666664)</f>
        <v>39339.66667</v>
      </c>
      <c r="C4597" s="9">
        <f>IFERROR(__xludf.DUMMYFUNCTION("""COMPUTED_VALUE"""),33.01)</f>
        <v>33.01</v>
      </c>
      <c r="K4597" s="16"/>
      <c r="T4597" s="17"/>
      <c r="AC4597" s="17"/>
    </row>
    <row r="4598">
      <c r="B4598" s="11">
        <f>IFERROR(__xludf.DUMMYFUNCTION("""COMPUTED_VALUE"""),39338.666666666664)</f>
        <v>39338.66667</v>
      </c>
      <c r="C4598" s="9">
        <f>IFERROR(__xludf.DUMMYFUNCTION("""COMPUTED_VALUE"""),32.71)</f>
        <v>32.71</v>
      </c>
      <c r="K4598" s="16"/>
      <c r="T4598" s="17"/>
      <c r="AC4598" s="17"/>
    </row>
    <row r="4599">
      <c r="B4599" s="11">
        <f>IFERROR(__xludf.DUMMYFUNCTION("""COMPUTED_VALUE"""),39337.666666666664)</f>
        <v>39337.66667</v>
      </c>
      <c r="C4599" s="9">
        <f>IFERROR(__xludf.DUMMYFUNCTION("""COMPUTED_VALUE"""),32.62)</f>
        <v>32.62</v>
      </c>
      <c r="K4599" s="16"/>
      <c r="T4599" s="17"/>
      <c r="AC4599" s="17"/>
    </row>
    <row r="4600">
      <c r="B4600" s="11">
        <f>IFERROR(__xludf.DUMMYFUNCTION("""COMPUTED_VALUE"""),39336.666666666664)</f>
        <v>39336.66667</v>
      </c>
      <c r="C4600" s="9">
        <f>IFERROR(__xludf.DUMMYFUNCTION("""COMPUTED_VALUE"""),32.58)</f>
        <v>32.58</v>
      </c>
      <c r="K4600" s="16"/>
      <c r="T4600" s="17"/>
      <c r="AC4600" s="17"/>
    </row>
    <row r="4601">
      <c r="B4601" s="11">
        <f>IFERROR(__xludf.DUMMYFUNCTION("""COMPUTED_VALUE"""),39332.666666666664)</f>
        <v>39332.66667</v>
      </c>
      <c r="C4601" s="9">
        <f>IFERROR(__xludf.DUMMYFUNCTION("""COMPUTED_VALUE"""),32.07)</f>
        <v>32.07</v>
      </c>
      <c r="K4601" s="16"/>
      <c r="T4601" s="17"/>
      <c r="AC4601" s="17"/>
    </row>
    <row r="4602">
      <c r="B4602" s="11">
        <f>IFERROR(__xludf.DUMMYFUNCTION("""COMPUTED_VALUE"""),39331.666666666664)</f>
        <v>39331.66667</v>
      </c>
      <c r="C4602" s="9">
        <f>IFERROR(__xludf.DUMMYFUNCTION("""COMPUTED_VALUE"""),32.51)</f>
        <v>32.51</v>
      </c>
      <c r="K4602" s="16"/>
      <c r="T4602" s="17"/>
      <c r="AC4602" s="17"/>
    </row>
    <row r="4603">
      <c r="B4603" s="11">
        <f>IFERROR(__xludf.DUMMYFUNCTION("""COMPUTED_VALUE"""),39330.666666666664)</f>
        <v>39330.66667</v>
      </c>
      <c r="C4603" s="9">
        <f>IFERROR(__xludf.DUMMYFUNCTION("""COMPUTED_VALUE"""),32.33)</f>
        <v>32.33</v>
      </c>
      <c r="K4603" s="16"/>
      <c r="T4603" s="17"/>
      <c r="AC4603" s="17"/>
    </row>
    <row r="4604">
      <c r="B4604" s="11">
        <f>IFERROR(__xludf.DUMMYFUNCTION("""COMPUTED_VALUE"""),39329.666666666664)</f>
        <v>39329.66667</v>
      </c>
      <c r="C4604" s="9">
        <f>IFERROR(__xludf.DUMMYFUNCTION("""COMPUTED_VALUE"""),32.67)</f>
        <v>32.67</v>
      </c>
      <c r="K4604" s="16"/>
      <c r="T4604" s="17"/>
      <c r="AC4604" s="17"/>
    </row>
    <row r="4605">
      <c r="B4605" s="11">
        <f>IFERROR(__xludf.DUMMYFUNCTION("""COMPUTED_VALUE"""),39325.666666666664)</f>
        <v>39325.66667</v>
      </c>
      <c r="C4605" s="9">
        <f>IFERROR(__xludf.DUMMYFUNCTION("""COMPUTED_VALUE"""),32.55)</f>
        <v>32.55</v>
      </c>
      <c r="K4605" s="16"/>
      <c r="T4605" s="17"/>
      <c r="AC4605" s="17"/>
    </row>
    <row r="4606">
      <c r="B4606" s="11">
        <f>IFERROR(__xludf.DUMMYFUNCTION("""COMPUTED_VALUE"""),39324.666666666664)</f>
        <v>39324.66667</v>
      </c>
      <c r="C4606" s="9">
        <f>IFERROR(__xludf.DUMMYFUNCTION("""COMPUTED_VALUE"""),32.27)</f>
        <v>32.27</v>
      </c>
      <c r="K4606" s="16"/>
      <c r="T4606" s="17"/>
      <c r="AC4606" s="17"/>
    </row>
    <row r="4607">
      <c r="B4607" s="11">
        <f>IFERROR(__xludf.DUMMYFUNCTION("""COMPUTED_VALUE"""),39323.666666666664)</f>
        <v>39323.66667</v>
      </c>
      <c r="C4607" s="9">
        <f>IFERROR(__xludf.DUMMYFUNCTION("""COMPUTED_VALUE"""),32.28)</f>
        <v>32.28</v>
      </c>
      <c r="K4607" s="16"/>
      <c r="T4607" s="17"/>
      <c r="AC4607" s="17"/>
    </row>
    <row r="4608">
      <c r="B4608" s="11">
        <f>IFERROR(__xludf.DUMMYFUNCTION("""COMPUTED_VALUE"""),39322.666666666664)</f>
        <v>39322.66667</v>
      </c>
      <c r="C4608" s="9">
        <f>IFERROR(__xludf.DUMMYFUNCTION("""COMPUTED_VALUE"""),31.51)</f>
        <v>31.51</v>
      </c>
      <c r="K4608" s="16"/>
      <c r="T4608" s="17"/>
      <c r="AC4608" s="17"/>
    </row>
    <row r="4609">
      <c r="B4609" s="11">
        <f>IFERROR(__xludf.DUMMYFUNCTION("""COMPUTED_VALUE"""),39321.666666666664)</f>
        <v>39321.66667</v>
      </c>
      <c r="C4609" s="9">
        <f>IFERROR(__xludf.DUMMYFUNCTION("""COMPUTED_VALUE"""),32.58)</f>
        <v>32.58</v>
      </c>
      <c r="K4609" s="16"/>
      <c r="T4609" s="17"/>
      <c r="AC4609" s="17"/>
    </row>
    <row r="4610">
      <c r="B4610" s="11">
        <f>IFERROR(__xludf.DUMMYFUNCTION("""COMPUTED_VALUE"""),39318.666666666664)</f>
        <v>39318.66667</v>
      </c>
      <c r="C4610" s="9">
        <f>IFERROR(__xludf.DUMMYFUNCTION("""COMPUTED_VALUE"""),32.63)</f>
        <v>32.63</v>
      </c>
      <c r="K4610" s="16"/>
      <c r="T4610" s="17"/>
      <c r="AC4610" s="17"/>
    </row>
    <row r="4611">
      <c r="B4611" s="11">
        <f>IFERROR(__xludf.DUMMYFUNCTION("""COMPUTED_VALUE"""),39317.666666666664)</f>
        <v>39317.66667</v>
      </c>
      <c r="C4611" s="9">
        <f>IFERROR(__xludf.DUMMYFUNCTION("""COMPUTED_VALUE"""),31.99)</f>
        <v>31.99</v>
      </c>
      <c r="K4611" s="16"/>
      <c r="T4611" s="17"/>
      <c r="AC4611" s="17"/>
    </row>
    <row r="4612">
      <c r="B4612" s="11">
        <f>IFERROR(__xludf.DUMMYFUNCTION("""COMPUTED_VALUE"""),39316.666666666664)</f>
        <v>39316.66667</v>
      </c>
      <c r="C4612" s="9">
        <f>IFERROR(__xludf.DUMMYFUNCTION("""COMPUTED_VALUE"""),32.36)</f>
        <v>32.36</v>
      </c>
      <c r="K4612" s="16"/>
      <c r="T4612" s="17"/>
      <c r="AC4612" s="17"/>
    </row>
    <row r="4613">
      <c r="B4613" s="11">
        <f>IFERROR(__xludf.DUMMYFUNCTION("""COMPUTED_VALUE"""),39315.666666666664)</f>
        <v>39315.66667</v>
      </c>
      <c r="C4613" s="9">
        <f>IFERROR(__xludf.DUMMYFUNCTION("""COMPUTED_VALUE"""),31.85)</f>
        <v>31.85</v>
      </c>
      <c r="K4613" s="16"/>
      <c r="T4613" s="17"/>
      <c r="AC4613" s="17"/>
    </row>
    <row r="4614">
      <c r="B4614" s="11">
        <f>IFERROR(__xludf.DUMMYFUNCTION("""COMPUTED_VALUE"""),39314.666666666664)</f>
        <v>39314.66667</v>
      </c>
      <c r="C4614" s="9">
        <f>IFERROR(__xludf.DUMMYFUNCTION("""COMPUTED_VALUE"""),31.91)</f>
        <v>31.91</v>
      </c>
      <c r="K4614" s="16"/>
      <c r="T4614" s="17"/>
      <c r="AC4614" s="17"/>
    </row>
    <row r="4615">
      <c r="B4615" s="11">
        <f>IFERROR(__xludf.DUMMYFUNCTION("""COMPUTED_VALUE"""),39311.666666666664)</f>
        <v>39311.66667</v>
      </c>
      <c r="C4615" s="9">
        <f>IFERROR(__xludf.DUMMYFUNCTION("""COMPUTED_VALUE"""),31.72)</f>
        <v>31.72</v>
      </c>
      <c r="K4615" s="16"/>
      <c r="T4615" s="17"/>
      <c r="AC4615" s="17"/>
    </row>
    <row r="4616">
      <c r="B4616" s="11">
        <f>IFERROR(__xludf.DUMMYFUNCTION("""COMPUTED_VALUE"""),39310.666666666664)</f>
        <v>39310.66667</v>
      </c>
      <c r="C4616" s="9">
        <f>IFERROR(__xludf.DUMMYFUNCTION("""COMPUTED_VALUE"""),30.77)</f>
        <v>30.77</v>
      </c>
      <c r="K4616" s="16"/>
      <c r="T4616" s="17"/>
      <c r="AC4616" s="17"/>
    </row>
    <row r="4617">
      <c r="B4617" s="11">
        <f>IFERROR(__xludf.DUMMYFUNCTION("""COMPUTED_VALUE"""),39309.666666666664)</f>
        <v>39309.66667</v>
      </c>
      <c r="C4617" s="9">
        <f>IFERROR(__xludf.DUMMYFUNCTION("""COMPUTED_VALUE"""),30.8)</f>
        <v>30.8</v>
      </c>
      <c r="K4617" s="16"/>
      <c r="T4617" s="17"/>
      <c r="AC4617" s="17"/>
    </row>
    <row r="4618">
      <c r="B4618" s="11">
        <f>IFERROR(__xludf.DUMMYFUNCTION("""COMPUTED_VALUE"""),39308.666666666664)</f>
        <v>39308.66667</v>
      </c>
      <c r="C4618" s="9">
        <f>IFERROR(__xludf.DUMMYFUNCTION("""COMPUTED_VALUE"""),31.38)</f>
        <v>31.38</v>
      </c>
      <c r="K4618" s="16"/>
      <c r="T4618" s="17"/>
      <c r="AC4618" s="17"/>
    </row>
    <row r="4619">
      <c r="B4619" s="11">
        <f>IFERROR(__xludf.DUMMYFUNCTION("""COMPUTED_VALUE"""),39307.666666666664)</f>
        <v>39307.66667</v>
      </c>
      <c r="C4619" s="9">
        <f>IFERROR(__xludf.DUMMYFUNCTION("""COMPUTED_VALUE"""),32.31)</f>
        <v>32.31</v>
      </c>
      <c r="K4619" s="16"/>
      <c r="T4619" s="17"/>
      <c r="AC4619" s="17"/>
    </row>
    <row r="4620">
      <c r="B4620" s="11">
        <f>IFERROR(__xludf.DUMMYFUNCTION("""COMPUTED_VALUE"""),39304.666666666664)</f>
        <v>39304.66667</v>
      </c>
      <c r="C4620" s="9">
        <f>IFERROR(__xludf.DUMMYFUNCTION("""COMPUTED_VALUE"""),32.18)</f>
        <v>32.18</v>
      </c>
      <c r="K4620" s="16"/>
      <c r="T4620" s="17"/>
      <c r="AC4620" s="17"/>
    </row>
    <row r="4621">
      <c r="B4621" s="11">
        <f>IFERROR(__xludf.DUMMYFUNCTION("""COMPUTED_VALUE"""),39303.666666666664)</f>
        <v>39303.66667</v>
      </c>
      <c r="C4621" s="9">
        <f>IFERROR(__xludf.DUMMYFUNCTION("""COMPUTED_VALUE"""),31.67)</f>
        <v>31.67</v>
      </c>
      <c r="K4621" s="16"/>
      <c r="T4621" s="17"/>
      <c r="AC4621" s="17"/>
    </row>
    <row r="4622">
      <c r="B4622" s="11">
        <f>IFERROR(__xludf.DUMMYFUNCTION("""COMPUTED_VALUE"""),39302.666666666664)</f>
        <v>39302.66667</v>
      </c>
      <c r="C4622" s="9">
        <f>IFERROR(__xludf.DUMMYFUNCTION("""COMPUTED_VALUE"""),32.73)</f>
        <v>32.73</v>
      </c>
      <c r="K4622" s="16"/>
      <c r="T4622" s="17"/>
      <c r="AC4622" s="17"/>
    </row>
    <row r="4623">
      <c r="B4623" s="11">
        <f>IFERROR(__xludf.DUMMYFUNCTION("""COMPUTED_VALUE"""),39301.666666666664)</f>
        <v>39301.66667</v>
      </c>
      <c r="C4623" s="9">
        <f>IFERROR(__xludf.DUMMYFUNCTION("""COMPUTED_VALUE"""),32.67)</f>
        <v>32.67</v>
      </c>
      <c r="K4623" s="16"/>
      <c r="T4623" s="17"/>
      <c r="AC4623" s="17"/>
    </row>
    <row r="4624">
      <c r="B4624" s="11">
        <f>IFERROR(__xludf.DUMMYFUNCTION("""COMPUTED_VALUE"""),39300.666666666664)</f>
        <v>39300.66667</v>
      </c>
      <c r="C4624" s="9">
        <f>IFERROR(__xludf.DUMMYFUNCTION("""COMPUTED_VALUE"""),32.67)</f>
        <v>32.67</v>
      </c>
      <c r="K4624" s="16"/>
      <c r="T4624" s="17"/>
      <c r="AC4624" s="17"/>
    </row>
    <row r="4625">
      <c r="B4625" s="11">
        <f>IFERROR(__xludf.DUMMYFUNCTION("""COMPUTED_VALUE"""),39297.666666666664)</f>
        <v>39297.66667</v>
      </c>
      <c r="C4625" s="9">
        <f>IFERROR(__xludf.DUMMYFUNCTION("""COMPUTED_VALUE"""),32.3)</f>
        <v>32.3</v>
      </c>
      <c r="K4625" s="16"/>
      <c r="T4625" s="17"/>
      <c r="AC4625" s="17"/>
    </row>
    <row r="4626">
      <c r="B4626" s="11">
        <f>IFERROR(__xludf.DUMMYFUNCTION("""COMPUTED_VALUE"""),39296.666666666664)</f>
        <v>39296.66667</v>
      </c>
      <c r="C4626" s="9">
        <f>IFERROR(__xludf.DUMMYFUNCTION("""COMPUTED_VALUE"""),32.9)</f>
        <v>32.9</v>
      </c>
      <c r="K4626" s="16"/>
      <c r="T4626" s="17"/>
      <c r="AC4626" s="17"/>
    </row>
    <row r="4627">
      <c r="B4627" s="11">
        <f>IFERROR(__xludf.DUMMYFUNCTION("""COMPUTED_VALUE"""),39295.666666666664)</f>
        <v>39295.66667</v>
      </c>
      <c r="C4627" s="9">
        <f>IFERROR(__xludf.DUMMYFUNCTION("""COMPUTED_VALUE"""),32.27)</f>
        <v>32.27</v>
      </c>
      <c r="K4627" s="16"/>
      <c r="T4627" s="17"/>
      <c r="AC4627" s="17"/>
    </row>
    <row r="4628">
      <c r="B4628" s="11">
        <f>IFERROR(__xludf.DUMMYFUNCTION("""COMPUTED_VALUE"""),39294.666666666664)</f>
        <v>39294.66667</v>
      </c>
      <c r="C4628" s="9">
        <f>IFERROR(__xludf.DUMMYFUNCTION("""COMPUTED_VALUE"""),31.87)</f>
        <v>31.87</v>
      </c>
      <c r="K4628" s="16"/>
      <c r="T4628" s="17"/>
      <c r="AC4628" s="17"/>
    </row>
    <row r="4629">
      <c r="B4629" s="11">
        <f>IFERROR(__xludf.DUMMYFUNCTION("""COMPUTED_VALUE"""),39293.666666666664)</f>
        <v>39293.66667</v>
      </c>
      <c r="C4629" s="9">
        <f>IFERROR(__xludf.DUMMYFUNCTION("""COMPUTED_VALUE"""),32.37)</f>
        <v>32.37</v>
      </c>
      <c r="K4629" s="16"/>
      <c r="T4629" s="17"/>
      <c r="AC4629" s="17"/>
    </row>
    <row r="4630">
      <c r="B4630" s="11">
        <f>IFERROR(__xludf.DUMMYFUNCTION("""COMPUTED_VALUE"""),39290.666666666664)</f>
        <v>39290.66667</v>
      </c>
      <c r="C4630" s="9">
        <f>IFERROR(__xludf.DUMMYFUNCTION("""COMPUTED_VALUE"""),31.96)</f>
        <v>31.96</v>
      </c>
      <c r="K4630" s="16"/>
      <c r="T4630" s="17"/>
      <c r="AC4630" s="17"/>
    </row>
    <row r="4631">
      <c r="B4631" s="11">
        <f>IFERROR(__xludf.DUMMYFUNCTION("""COMPUTED_VALUE"""),39289.666666666664)</f>
        <v>39289.66667</v>
      </c>
      <c r="C4631" s="9">
        <f>IFERROR(__xludf.DUMMYFUNCTION("""COMPUTED_VALUE"""),32.26)</f>
        <v>32.26</v>
      </c>
      <c r="K4631" s="16"/>
      <c r="T4631" s="17"/>
      <c r="AC4631" s="17"/>
    </row>
    <row r="4632">
      <c r="B4632" s="11">
        <f>IFERROR(__xludf.DUMMYFUNCTION("""COMPUTED_VALUE"""),39288.666666666664)</f>
        <v>39288.66667</v>
      </c>
      <c r="C4632" s="9">
        <f>IFERROR(__xludf.DUMMYFUNCTION("""COMPUTED_VALUE"""),33.01)</f>
        <v>33.01</v>
      </c>
      <c r="K4632" s="16"/>
      <c r="T4632" s="17"/>
      <c r="AC4632" s="17"/>
    </row>
    <row r="4633">
      <c r="B4633" s="11">
        <f>IFERROR(__xludf.DUMMYFUNCTION("""COMPUTED_VALUE"""),39287.666666666664)</f>
        <v>39287.66667</v>
      </c>
      <c r="C4633" s="9">
        <f>IFERROR(__xludf.DUMMYFUNCTION("""COMPUTED_VALUE"""),32.67)</f>
        <v>32.67</v>
      </c>
      <c r="K4633" s="16"/>
      <c r="T4633" s="17"/>
      <c r="AC4633" s="17"/>
    </row>
    <row r="4634">
      <c r="B4634" s="11">
        <f>IFERROR(__xludf.DUMMYFUNCTION("""COMPUTED_VALUE"""),39286.666666666664)</f>
        <v>39286.66667</v>
      </c>
      <c r="C4634" s="9">
        <f>IFERROR(__xludf.DUMMYFUNCTION("""COMPUTED_VALUE"""),33.16)</f>
        <v>33.16</v>
      </c>
      <c r="K4634" s="16"/>
      <c r="T4634" s="17"/>
      <c r="AC4634" s="17"/>
    </row>
    <row r="4635">
      <c r="B4635" s="11">
        <f>IFERROR(__xludf.DUMMYFUNCTION("""COMPUTED_VALUE"""),39283.666666666664)</f>
        <v>39283.66667</v>
      </c>
      <c r="C4635" s="9">
        <f>IFERROR(__xludf.DUMMYFUNCTION("""COMPUTED_VALUE"""),32.96)</f>
        <v>32.96</v>
      </c>
      <c r="K4635" s="16"/>
      <c r="T4635" s="17"/>
      <c r="AC4635" s="17"/>
    </row>
    <row r="4636">
      <c r="B4636" s="11">
        <f>IFERROR(__xludf.DUMMYFUNCTION("""COMPUTED_VALUE"""),39282.666666666664)</f>
        <v>39282.66667</v>
      </c>
      <c r="C4636" s="9">
        <f>IFERROR(__xludf.DUMMYFUNCTION("""COMPUTED_VALUE"""),33.38)</f>
        <v>33.38</v>
      </c>
      <c r="K4636" s="16"/>
      <c r="T4636" s="17"/>
      <c r="AC4636" s="17"/>
    </row>
    <row r="4637">
      <c r="B4637" s="11">
        <f>IFERROR(__xludf.DUMMYFUNCTION("""COMPUTED_VALUE"""),39281.666666666664)</f>
        <v>39281.66667</v>
      </c>
      <c r="C4637" s="9">
        <f>IFERROR(__xludf.DUMMYFUNCTION("""COMPUTED_VALUE"""),32.92)</f>
        <v>32.92</v>
      </c>
      <c r="K4637" s="16"/>
      <c r="T4637" s="17"/>
      <c r="AC4637" s="17"/>
    </row>
    <row r="4638">
      <c r="B4638" s="11">
        <f>IFERROR(__xludf.DUMMYFUNCTION("""COMPUTED_VALUE"""),39280.666666666664)</f>
        <v>39280.66667</v>
      </c>
      <c r="C4638" s="9">
        <f>IFERROR(__xludf.DUMMYFUNCTION("""COMPUTED_VALUE"""),33.05)</f>
        <v>33.05</v>
      </c>
      <c r="K4638" s="16"/>
      <c r="T4638" s="17"/>
      <c r="AC4638" s="17"/>
    </row>
    <row r="4639">
      <c r="B4639" s="11">
        <f>IFERROR(__xludf.DUMMYFUNCTION("""COMPUTED_VALUE"""),39279.666666666664)</f>
        <v>39279.66667</v>
      </c>
      <c r="C4639" s="9">
        <f>IFERROR(__xludf.DUMMYFUNCTION("""COMPUTED_VALUE"""),32.77)</f>
        <v>32.77</v>
      </c>
      <c r="K4639" s="16"/>
      <c r="T4639" s="17"/>
      <c r="AC4639" s="17"/>
    </row>
    <row r="4640">
      <c r="B4640" s="11">
        <f>IFERROR(__xludf.DUMMYFUNCTION("""COMPUTED_VALUE"""),39276.666666666664)</f>
        <v>39276.66667</v>
      </c>
      <c r="C4640" s="9">
        <f>IFERROR(__xludf.DUMMYFUNCTION("""COMPUTED_VALUE"""),32.88)</f>
        <v>32.88</v>
      </c>
      <c r="K4640" s="16"/>
      <c r="T4640" s="17"/>
      <c r="AC4640" s="17"/>
    </row>
    <row r="4641">
      <c r="B4641" s="11">
        <f>IFERROR(__xludf.DUMMYFUNCTION("""COMPUTED_VALUE"""),39275.666666666664)</f>
        <v>39275.66667</v>
      </c>
      <c r="C4641" s="9">
        <f>IFERROR(__xludf.DUMMYFUNCTION("""COMPUTED_VALUE"""),32.65)</f>
        <v>32.65</v>
      </c>
      <c r="K4641" s="16"/>
      <c r="T4641" s="17"/>
      <c r="AC4641" s="17"/>
    </row>
    <row r="4642">
      <c r="B4642" s="11">
        <f>IFERROR(__xludf.DUMMYFUNCTION("""COMPUTED_VALUE"""),39274.666666666664)</f>
        <v>39274.66667</v>
      </c>
      <c r="C4642" s="9">
        <f>IFERROR(__xludf.DUMMYFUNCTION("""COMPUTED_VALUE"""),32.26)</f>
        <v>32.26</v>
      </c>
      <c r="K4642" s="16"/>
      <c r="T4642" s="17"/>
      <c r="AC4642" s="17"/>
    </row>
    <row r="4643">
      <c r="B4643" s="11">
        <f>IFERROR(__xludf.DUMMYFUNCTION("""COMPUTED_VALUE"""),39273.666666666664)</f>
        <v>39273.66667</v>
      </c>
      <c r="C4643" s="9">
        <f>IFERROR(__xludf.DUMMYFUNCTION("""COMPUTED_VALUE"""),32.1)</f>
        <v>32.1</v>
      </c>
      <c r="K4643" s="16"/>
      <c r="T4643" s="17"/>
      <c r="AC4643" s="17"/>
    </row>
    <row r="4644">
      <c r="B4644" s="11">
        <f>IFERROR(__xludf.DUMMYFUNCTION("""COMPUTED_VALUE"""),39272.666666666664)</f>
        <v>39272.66667</v>
      </c>
      <c r="C4644" s="9">
        <f>IFERROR(__xludf.DUMMYFUNCTION("""COMPUTED_VALUE"""),32.56)</f>
        <v>32.56</v>
      </c>
      <c r="K4644" s="16"/>
      <c r="T4644" s="17"/>
      <c r="AC4644" s="17"/>
    </row>
    <row r="4645">
      <c r="B4645" s="11">
        <f>IFERROR(__xludf.DUMMYFUNCTION("""COMPUTED_VALUE"""),39269.666666666664)</f>
        <v>39269.66667</v>
      </c>
      <c r="C4645" s="9">
        <f>IFERROR(__xludf.DUMMYFUNCTION("""COMPUTED_VALUE"""),32.24)</f>
        <v>32.24</v>
      </c>
      <c r="K4645" s="16"/>
      <c r="T4645" s="17"/>
      <c r="AC4645" s="17"/>
    </row>
    <row r="4646">
      <c r="B4646" s="11">
        <f>IFERROR(__xludf.DUMMYFUNCTION("""COMPUTED_VALUE"""),39268.666666666664)</f>
        <v>39268.66667</v>
      </c>
      <c r="C4646" s="9">
        <f>IFERROR(__xludf.DUMMYFUNCTION("""COMPUTED_VALUE"""),32.18)</f>
        <v>32.18</v>
      </c>
      <c r="K4646" s="16"/>
      <c r="T4646" s="17"/>
      <c r="AC4646" s="17"/>
    </row>
    <row r="4647">
      <c r="B4647" s="11">
        <f>IFERROR(__xludf.DUMMYFUNCTION("""COMPUTED_VALUE"""),39266.666666666664)</f>
        <v>39266.66667</v>
      </c>
      <c r="C4647" s="9">
        <f>IFERROR(__xludf.DUMMYFUNCTION("""COMPUTED_VALUE"""),31.99)</f>
        <v>31.99</v>
      </c>
      <c r="K4647" s="16"/>
      <c r="T4647" s="17"/>
      <c r="AC4647" s="17"/>
    </row>
    <row r="4648">
      <c r="B4648" s="11">
        <f>IFERROR(__xludf.DUMMYFUNCTION("""COMPUTED_VALUE"""),39265.666666666664)</f>
        <v>39265.66667</v>
      </c>
      <c r="C4648" s="9">
        <f>IFERROR(__xludf.DUMMYFUNCTION("""COMPUTED_VALUE"""),31.84)</f>
        <v>31.84</v>
      </c>
      <c r="K4648" s="16"/>
      <c r="T4648" s="17"/>
      <c r="AC4648" s="17"/>
    </row>
    <row r="4649">
      <c r="B4649" s="11">
        <f>IFERROR(__xludf.DUMMYFUNCTION("""COMPUTED_VALUE"""),39262.666666666664)</f>
        <v>39262.66667</v>
      </c>
      <c r="C4649" s="9">
        <f>IFERROR(__xludf.DUMMYFUNCTION("""COMPUTED_VALUE"""),31.42)</f>
        <v>31.42</v>
      </c>
      <c r="K4649" s="16"/>
      <c r="T4649" s="17"/>
      <c r="AC4649" s="17"/>
    </row>
    <row r="4650">
      <c r="B4650" s="11">
        <f>IFERROR(__xludf.DUMMYFUNCTION("""COMPUTED_VALUE"""),39261.666666666664)</f>
        <v>39261.66667</v>
      </c>
      <c r="C4650" s="9">
        <f>IFERROR(__xludf.DUMMYFUNCTION("""COMPUTED_VALUE"""),31.26)</f>
        <v>31.26</v>
      </c>
      <c r="K4650" s="16"/>
      <c r="T4650" s="17"/>
      <c r="AC4650" s="17"/>
    </row>
    <row r="4651">
      <c r="B4651" s="11">
        <f>IFERROR(__xludf.DUMMYFUNCTION("""COMPUTED_VALUE"""),39260.666666666664)</f>
        <v>39260.66667</v>
      </c>
      <c r="C4651" s="9">
        <f>IFERROR(__xludf.DUMMYFUNCTION("""COMPUTED_VALUE"""),31.24)</f>
        <v>31.24</v>
      </c>
      <c r="K4651" s="16"/>
      <c r="T4651" s="17"/>
      <c r="AC4651" s="17"/>
    </row>
    <row r="4652">
      <c r="B4652" s="11">
        <f>IFERROR(__xludf.DUMMYFUNCTION("""COMPUTED_VALUE"""),39259.666666666664)</f>
        <v>39259.66667</v>
      </c>
      <c r="C4652" s="9">
        <f>IFERROR(__xludf.DUMMYFUNCTION("""COMPUTED_VALUE"""),31.05)</f>
        <v>31.05</v>
      </c>
      <c r="K4652" s="16"/>
      <c r="T4652" s="17"/>
      <c r="AC4652" s="17"/>
    </row>
    <row r="4653">
      <c r="B4653" s="11">
        <f>IFERROR(__xludf.DUMMYFUNCTION("""COMPUTED_VALUE"""),39258.666666666664)</f>
        <v>39258.66667</v>
      </c>
      <c r="C4653" s="9">
        <f>IFERROR(__xludf.DUMMYFUNCTION("""COMPUTED_VALUE"""),31.1)</f>
        <v>31.1</v>
      </c>
      <c r="K4653" s="16"/>
      <c r="T4653" s="17"/>
      <c r="AC4653" s="17"/>
    </row>
    <row r="4654">
      <c r="B4654" s="11">
        <f>IFERROR(__xludf.DUMMYFUNCTION("""COMPUTED_VALUE"""),39255.666666666664)</f>
        <v>39255.66667</v>
      </c>
      <c r="C4654" s="9">
        <f>IFERROR(__xludf.DUMMYFUNCTION("""COMPUTED_VALUE"""),31.22)</f>
        <v>31.22</v>
      </c>
      <c r="K4654" s="16"/>
      <c r="T4654" s="17"/>
      <c r="AC4654" s="17"/>
    </row>
    <row r="4655">
      <c r="B4655" s="11">
        <f>IFERROR(__xludf.DUMMYFUNCTION("""COMPUTED_VALUE"""),39254.666666666664)</f>
        <v>39254.66667</v>
      </c>
      <c r="C4655" s="9">
        <f>IFERROR(__xludf.DUMMYFUNCTION("""COMPUTED_VALUE"""),31.44)</f>
        <v>31.44</v>
      </c>
      <c r="K4655" s="16"/>
      <c r="T4655" s="17"/>
      <c r="AC4655" s="17"/>
    </row>
    <row r="4656">
      <c r="B4656" s="11">
        <f>IFERROR(__xludf.DUMMYFUNCTION("""COMPUTED_VALUE"""),39253.666666666664)</f>
        <v>39253.66667</v>
      </c>
      <c r="C4656" s="9">
        <f>IFERROR(__xludf.DUMMYFUNCTION("""COMPUTED_VALUE"""),31.38)</f>
        <v>31.38</v>
      </c>
      <c r="K4656" s="16"/>
      <c r="T4656" s="17"/>
      <c r="AC4656" s="17"/>
    </row>
    <row r="4657">
      <c r="B4657" s="11">
        <f>IFERROR(__xludf.DUMMYFUNCTION("""COMPUTED_VALUE"""),39252.666666666664)</f>
        <v>39252.66667</v>
      </c>
      <c r="C4657" s="9">
        <f>IFERROR(__xludf.DUMMYFUNCTION("""COMPUTED_VALUE"""),31.71)</f>
        <v>31.71</v>
      </c>
      <c r="K4657" s="16"/>
      <c r="T4657" s="17"/>
      <c r="AC4657" s="17"/>
    </row>
    <row r="4658">
      <c r="B4658" s="11">
        <f>IFERROR(__xludf.DUMMYFUNCTION("""COMPUTED_VALUE"""),39251.666666666664)</f>
        <v>39251.66667</v>
      </c>
      <c r="C4658" s="9">
        <f>IFERROR(__xludf.DUMMYFUNCTION("""COMPUTED_VALUE"""),31.54)</f>
        <v>31.54</v>
      </c>
      <c r="K4658" s="16"/>
      <c r="T4658" s="17"/>
      <c r="AC4658" s="17"/>
    </row>
    <row r="4659">
      <c r="B4659" s="11">
        <f>IFERROR(__xludf.DUMMYFUNCTION("""COMPUTED_VALUE"""),39248.666666666664)</f>
        <v>39248.66667</v>
      </c>
      <c r="C4659" s="9">
        <f>IFERROR(__xludf.DUMMYFUNCTION("""COMPUTED_VALUE"""),31.68)</f>
        <v>31.68</v>
      </c>
      <c r="K4659" s="16"/>
      <c r="T4659" s="17"/>
      <c r="AC4659" s="17"/>
    </row>
    <row r="4660">
      <c r="B4660" s="11">
        <f>IFERROR(__xludf.DUMMYFUNCTION("""COMPUTED_VALUE"""),39247.666666666664)</f>
        <v>39247.66667</v>
      </c>
      <c r="C4660" s="9">
        <f>IFERROR(__xludf.DUMMYFUNCTION("""COMPUTED_VALUE"""),31.4)</f>
        <v>31.4</v>
      </c>
      <c r="K4660" s="16"/>
      <c r="T4660" s="17"/>
      <c r="AC4660" s="17"/>
    </row>
    <row r="4661">
      <c r="B4661" s="11">
        <f>IFERROR(__xludf.DUMMYFUNCTION("""COMPUTED_VALUE"""),39246.666666666664)</f>
        <v>39246.66667</v>
      </c>
      <c r="C4661" s="9">
        <f>IFERROR(__xludf.DUMMYFUNCTION("""COMPUTED_VALUE"""),31.05)</f>
        <v>31.05</v>
      </c>
      <c r="K4661" s="16"/>
      <c r="T4661" s="17"/>
      <c r="AC4661" s="17"/>
    </row>
    <row r="4662">
      <c r="B4662" s="11">
        <f>IFERROR(__xludf.DUMMYFUNCTION("""COMPUTED_VALUE"""),39245.666666666664)</f>
        <v>39245.66667</v>
      </c>
      <c r="C4662" s="9">
        <f>IFERROR(__xludf.DUMMYFUNCTION("""COMPUTED_VALUE"""),30.68)</f>
        <v>30.68</v>
      </c>
      <c r="K4662" s="16"/>
      <c r="T4662" s="17"/>
      <c r="AC4662" s="17"/>
    </row>
    <row r="4663">
      <c r="B4663" s="11">
        <f>IFERROR(__xludf.DUMMYFUNCTION("""COMPUTED_VALUE"""),39244.666666666664)</f>
        <v>39244.66667</v>
      </c>
      <c r="C4663" s="9">
        <f>IFERROR(__xludf.DUMMYFUNCTION("""COMPUTED_VALUE"""),31.04)</f>
        <v>31.04</v>
      </c>
      <c r="K4663" s="16"/>
      <c r="T4663" s="17"/>
      <c r="AC4663" s="17"/>
    </row>
    <row r="4664">
      <c r="B4664" s="11">
        <f>IFERROR(__xludf.DUMMYFUNCTION("""COMPUTED_VALUE"""),39241.666666666664)</f>
        <v>39241.66667</v>
      </c>
      <c r="C4664" s="9">
        <f>IFERROR(__xludf.DUMMYFUNCTION("""COMPUTED_VALUE"""),31.03)</f>
        <v>31.03</v>
      </c>
      <c r="K4664" s="16"/>
      <c r="T4664" s="17"/>
      <c r="AC4664" s="17"/>
    </row>
    <row r="4665">
      <c r="B4665" s="11">
        <f>IFERROR(__xludf.DUMMYFUNCTION("""COMPUTED_VALUE"""),39240.666666666664)</f>
        <v>39240.66667</v>
      </c>
      <c r="C4665" s="9">
        <f>IFERROR(__xludf.DUMMYFUNCTION("""COMPUTED_VALUE"""),30.63)</f>
        <v>30.63</v>
      </c>
      <c r="K4665" s="16"/>
      <c r="T4665" s="17"/>
      <c r="AC4665" s="17"/>
    </row>
    <row r="4666">
      <c r="B4666" s="11">
        <f>IFERROR(__xludf.DUMMYFUNCTION("""COMPUTED_VALUE"""),39239.666666666664)</f>
        <v>39239.66667</v>
      </c>
      <c r="C4666" s="9">
        <f>IFERROR(__xludf.DUMMYFUNCTION("""COMPUTED_VALUE"""),31.15)</f>
        <v>31.15</v>
      </c>
      <c r="K4666" s="16"/>
      <c r="T4666" s="17"/>
      <c r="AC4666" s="17"/>
    </row>
    <row r="4667">
      <c r="B4667" s="11">
        <f>IFERROR(__xludf.DUMMYFUNCTION("""COMPUTED_VALUE"""),39238.666666666664)</f>
        <v>39238.66667</v>
      </c>
      <c r="C4667" s="9">
        <f>IFERROR(__xludf.DUMMYFUNCTION("""COMPUTED_VALUE"""),31.26)</f>
        <v>31.26</v>
      </c>
      <c r="K4667" s="16"/>
      <c r="T4667" s="17"/>
      <c r="AC4667" s="17"/>
    </row>
    <row r="4668">
      <c r="B4668" s="11">
        <f>IFERROR(__xludf.DUMMYFUNCTION("""COMPUTED_VALUE"""),39237.666666666664)</f>
        <v>39237.66667</v>
      </c>
      <c r="C4668" s="9">
        <f>IFERROR(__xludf.DUMMYFUNCTION("""COMPUTED_VALUE"""),31.36)</f>
        <v>31.36</v>
      </c>
      <c r="K4668" s="16"/>
      <c r="T4668" s="17"/>
      <c r="AC4668" s="17"/>
    </row>
    <row r="4669">
      <c r="B4669" s="11">
        <f>IFERROR(__xludf.DUMMYFUNCTION("""COMPUTED_VALUE"""),39234.666666666664)</f>
        <v>39234.66667</v>
      </c>
      <c r="C4669" s="9">
        <f>IFERROR(__xludf.DUMMYFUNCTION("""COMPUTED_VALUE"""),31.28)</f>
        <v>31.28</v>
      </c>
      <c r="K4669" s="16"/>
      <c r="T4669" s="17"/>
      <c r="AC4669" s="17"/>
    </row>
    <row r="4670">
      <c r="B4670" s="11">
        <f>IFERROR(__xludf.DUMMYFUNCTION("""COMPUTED_VALUE"""),39233.666666666664)</f>
        <v>39233.66667</v>
      </c>
      <c r="C4670" s="9">
        <f>IFERROR(__xludf.DUMMYFUNCTION("""COMPUTED_VALUE"""),31.24)</f>
        <v>31.24</v>
      </c>
      <c r="K4670" s="16"/>
      <c r="T4670" s="17"/>
      <c r="AC4670" s="17"/>
    </row>
    <row r="4671">
      <c r="B4671" s="11">
        <f>IFERROR(__xludf.DUMMYFUNCTION("""COMPUTED_VALUE"""),39232.666666666664)</f>
        <v>39232.66667</v>
      </c>
      <c r="C4671" s="9">
        <f>IFERROR(__xludf.DUMMYFUNCTION("""COMPUTED_VALUE"""),31.01)</f>
        <v>31.01</v>
      </c>
      <c r="K4671" s="16"/>
      <c r="T4671" s="17"/>
      <c r="AC4671" s="17"/>
    </row>
    <row r="4672">
      <c r="B4672" s="11">
        <f>IFERROR(__xludf.DUMMYFUNCTION("""COMPUTED_VALUE"""),39231.666666666664)</f>
        <v>39231.66667</v>
      </c>
      <c r="C4672" s="9">
        <f>IFERROR(__xludf.DUMMYFUNCTION("""COMPUTED_VALUE"""),30.78)</f>
        <v>30.78</v>
      </c>
      <c r="K4672" s="16"/>
      <c r="T4672" s="17"/>
      <c r="AC4672" s="17"/>
    </row>
    <row r="4673">
      <c r="B4673" s="11">
        <f>IFERROR(__xludf.DUMMYFUNCTION("""COMPUTED_VALUE"""),39227.666666666664)</f>
        <v>39227.66667</v>
      </c>
      <c r="C4673" s="9">
        <f>IFERROR(__xludf.DUMMYFUNCTION("""COMPUTED_VALUE"""),30.51)</f>
        <v>30.51</v>
      </c>
      <c r="K4673" s="16"/>
      <c r="T4673" s="17"/>
      <c r="AC4673" s="17"/>
    </row>
    <row r="4674">
      <c r="B4674" s="11">
        <f>IFERROR(__xludf.DUMMYFUNCTION("""COMPUTED_VALUE"""),39226.666666666664)</f>
        <v>39226.66667</v>
      </c>
      <c r="C4674" s="9">
        <f>IFERROR(__xludf.DUMMYFUNCTION("""COMPUTED_VALUE"""),30.27)</f>
        <v>30.27</v>
      </c>
      <c r="K4674" s="16"/>
      <c r="T4674" s="17"/>
      <c r="AC4674" s="17"/>
    </row>
    <row r="4675">
      <c r="B4675" s="11">
        <f>IFERROR(__xludf.DUMMYFUNCTION("""COMPUTED_VALUE"""),39225.666666666664)</f>
        <v>39225.66667</v>
      </c>
      <c r="C4675" s="9">
        <f>IFERROR(__xludf.DUMMYFUNCTION("""COMPUTED_VALUE"""),30.38)</f>
        <v>30.38</v>
      </c>
      <c r="K4675" s="16"/>
      <c r="T4675" s="17"/>
      <c r="AC4675" s="17"/>
    </row>
    <row r="4676">
      <c r="B4676" s="11">
        <f>IFERROR(__xludf.DUMMYFUNCTION("""COMPUTED_VALUE"""),39224.666666666664)</f>
        <v>39224.66667</v>
      </c>
      <c r="C4676" s="9">
        <f>IFERROR(__xludf.DUMMYFUNCTION("""COMPUTED_VALUE"""),30.55)</f>
        <v>30.55</v>
      </c>
      <c r="K4676" s="16"/>
      <c r="T4676" s="17"/>
      <c r="AC4676" s="17"/>
    </row>
    <row r="4677">
      <c r="B4677" s="11">
        <f>IFERROR(__xludf.DUMMYFUNCTION("""COMPUTED_VALUE"""),39223.666666666664)</f>
        <v>39223.66667</v>
      </c>
      <c r="C4677" s="9">
        <f>IFERROR(__xludf.DUMMYFUNCTION("""COMPUTED_VALUE"""),30.73)</f>
        <v>30.73</v>
      </c>
      <c r="K4677" s="16"/>
      <c r="T4677" s="17"/>
      <c r="AC4677" s="17"/>
    </row>
    <row r="4678">
      <c r="B4678" s="11">
        <f>IFERROR(__xludf.DUMMYFUNCTION("""COMPUTED_VALUE"""),39220.666666666664)</f>
        <v>39220.66667</v>
      </c>
      <c r="C4678" s="9">
        <f>IFERROR(__xludf.DUMMYFUNCTION("""COMPUTED_VALUE"""),30.6)</f>
        <v>30.6</v>
      </c>
      <c r="K4678" s="16"/>
      <c r="T4678" s="17"/>
      <c r="AC4678" s="17"/>
    </row>
    <row r="4679">
      <c r="B4679" s="11">
        <f>IFERROR(__xludf.DUMMYFUNCTION("""COMPUTED_VALUE"""),39219.666666666664)</f>
        <v>39219.66667</v>
      </c>
      <c r="C4679" s="9">
        <f>IFERROR(__xludf.DUMMYFUNCTION("""COMPUTED_VALUE"""),30.57)</f>
        <v>30.57</v>
      </c>
      <c r="K4679" s="16"/>
      <c r="T4679" s="17"/>
      <c r="AC4679" s="17"/>
    </row>
    <row r="4680">
      <c r="B4680" s="11">
        <f>IFERROR(__xludf.DUMMYFUNCTION("""COMPUTED_VALUE"""),39218.666666666664)</f>
        <v>39218.66667</v>
      </c>
      <c r="C4680" s="9">
        <f>IFERROR(__xludf.DUMMYFUNCTION("""COMPUTED_VALUE"""),30.52)</f>
        <v>30.52</v>
      </c>
      <c r="K4680" s="16"/>
      <c r="T4680" s="17"/>
      <c r="AC4680" s="17"/>
    </row>
    <row r="4681">
      <c r="B4681" s="11">
        <f>IFERROR(__xludf.DUMMYFUNCTION("""COMPUTED_VALUE"""),39217.666666666664)</f>
        <v>39217.66667</v>
      </c>
      <c r="C4681" s="9">
        <f>IFERROR(__xludf.DUMMYFUNCTION("""COMPUTED_VALUE"""),30.26)</f>
        <v>30.26</v>
      </c>
      <c r="K4681" s="16"/>
      <c r="T4681" s="17"/>
      <c r="AC4681" s="17"/>
    </row>
    <row r="4682">
      <c r="B4682" s="11">
        <f>IFERROR(__xludf.DUMMYFUNCTION("""COMPUTED_VALUE"""),39216.666666666664)</f>
        <v>39216.66667</v>
      </c>
      <c r="C4682" s="9">
        <f>IFERROR(__xludf.DUMMYFUNCTION("""COMPUTED_VALUE"""),30.33)</f>
        <v>30.33</v>
      </c>
      <c r="K4682" s="16"/>
      <c r="T4682" s="17"/>
      <c r="AC4682" s="17"/>
    </row>
    <row r="4683">
      <c r="B4683" s="11">
        <f>IFERROR(__xludf.DUMMYFUNCTION("""COMPUTED_VALUE"""),39213.666666666664)</f>
        <v>39213.66667</v>
      </c>
      <c r="C4683" s="9">
        <f>IFERROR(__xludf.DUMMYFUNCTION("""COMPUTED_VALUE"""),30.39)</f>
        <v>30.39</v>
      </c>
      <c r="K4683" s="16"/>
      <c r="T4683" s="17"/>
      <c r="AC4683" s="17"/>
    </row>
    <row r="4684">
      <c r="B4684" s="11">
        <f>IFERROR(__xludf.DUMMYFUNCTION("""COMPUTED_VALUE"""),39212.666666666664)</f>
        <v>39212.66667</v>
      </c>
      <c r="C4684" s="9">
        <f>IFERROR(__xludf.DUMMYFUNCTION("""COMPUTED_VALUE"""),30.25)</f>
        <v>30.25</v>
      </c>
      <c r="K4684" s="16"/>
      <c r="T4684" s="17"/>
      <c r="AC4684" s="17"/>
    </row>
    <row r="4685">
      <c r="B4685" s="11">
        <f>IFERROR(__xludf.DUMMYFUNCTION("""COMPUTED_VALUE"""),39211.666666666664)</f>
        <v>39211.66667</v>
      </c>
      <c r="C4685" s="9">
        <f>IFERROR(__xludf.DUMMYFUNCTION("""COMPUTED_VALUE"""),30.54)</f>
        <v>30.54</v>
      </c>
      <c r="K4685" s="16"/>
      <c r="T4685" s="17"/>
      <c r="AC4685" s="17"/>
    </row>
    <row r="4686">
      <c r="B4686" s="11">
        <f>IFERROR(__xludf.DUMMYFUNCTION("""COMPUTED_VALUE"""),39210.666666666664)</f>
        <v>39210.66667</v>
      </c>
      <c r="C4686" s="9">
        <f>IFERROR(__xludf.DUMMYFUNCTION("""COMPUTED_VALUE"""),30.39)</f>
        <v>30.39</v>
      </c>
      <c r="K4686" s="16"/>
      <c r="T4686" s="17"/>
      <c r="AC4686" s="17"/>
    </row>
    <row r="4687">
      <c r="B4687" s="11">
        <f>IFERROR(__xludf.DUMMYFUNCTION("""COMPUTED_VALUE"""),39209.666666666664)</f>
        <v>39209.66667</v>
      </c>
      <c r="C4687" s="9">
        <f>IFERROR(__xludf.DUMMYFUNCTION("""COMPUTED_VALUE"""),30.48)</f>
        <v>30.48</v>
      </c>
      <c r="K4687" s="16"/>
      <c r="T4687" s="17"/>
      <c r="AC4687" s="17"/>
    </row>
    <row r="4688">
      <c r="B4688" s="11">
        <f>IFERROR(__xludf.DUMMYFUNCTION("""COMPUTED_VALUE"""),39206.666666666664)</f>
        <v>39206.66667</v>
      </c>
      <c r="C4688" s="9">
        <f>IFERROR(__xludf.DUMMYFUNCTION("""COMPUTED_VALUE"""),30.11)</f>
        <v>30.11</v>
      </c>
      <c r="K4688" s="16"/>
      <c r="T4688" s="17"/>
      <c r="AC4688" s="17"/>
    </row>
    <row r="4689">
      <c r="B4689" s="11">
        <f>IFERROR(__xludf.DUMMYFUNCTION("""COMPUTED_VALUE"""),39205.666666666664)</f>
        <v>39205.66667</v>
      </c>
      <c r="C4689" s="9">
        <f>IFERROR(__xludf.DUMMYFUNCTION("""COMPUTED_VALUE"""),29.99)</f>
        <v>29.99</v>
      </c>
      <c r="K4689" s="16"/>
      <c r="T4689" s="17"/>
      <c r="AC4689" s="17"/>
    </row>
    <row r="4690">
      <c r="B4690" s="11">
        <f>IFERROR(__xludf.DUMMYFUNCTION("""COMPUTED_VALUE"""),39204.666666666664)</f>
        <v>39204.66667</v>
      </c>
      <c r="C4690" s="9">
        <f>IFERROR(__xludf.DUMMYFUNCTION("""COMPUTED_VALUE"""),29.75)</f>
        <v>29.75</v>
      </c>
      <c r="K4690" s="16"/>
      <c r="T4690" s="17"/>
      <c r="AC4690" s="17"/>
    </row>
    <row r="4691">
      <c r="B4691" s="11">
        <f>IFERROR(__xludf.DUMMYFUNCTION("""COMPUTED_VALUE"""),39203.666666666664)</f>
        <v>39203.66667</v>
      </c>
      <c r="C4691" s="9">
        <f>IFERROR(__xludf.DUMMYFUNCTION("""COMPUTED_VALUE"""),29.37)</f>
        <v>29.37</v>
      </c>
      <c r="K4691" s="16"/>
      <c r="T4691" s="17"/>
      <c r="AC4691" s="17"/>
    </row>
    <row r="4692">
      <c r="B4692" s="11">
        <f>IFERROR(__xludf.DUMMYFUNCTION("""COMPUTED_VALUE"""),39202.666666666664)</f>
        <v>39202.66667</v>
      </c>
      <c r="C4692" s="9">
        <f>IFERROR(__xludf.DUMMYFUNCTION("""COMPUTED_VALUE"""),29.29)</f>
        <v>29.29</v>
      </c>
      <c r="K4692" s="16"/>
      <c r="T4692" s="17"/>
      <c r="AC4692" s="17"/>
    </row>
    <row r="4693">
      <c r="B4693" s="11">
        <f>IFERROR(__xludf.DUMMYFUNCTION("""COMPUTED_VALUE"""),39199.666666666664)</f>
        <v>39199.66667</v>
      </c>
      <c r="C4693" s="9">
        <f>IFERROR(__xludf.DUMMYFUNCTION("""COMPUTED_VALUE"""),29.49)</f>
        <v>29.49</v>
      </c>
      <c r="K4693" s="16"/>
      <c r="T4693" s="17"/>
      <c r="AC4693" s="17"/>
    </row>
    <row r="4694">
      <c r="B4694" s="11">
        <f>IFERROR(__xludf.DUMMYFUNCTION("""COMPUTED_VALUE"""),39198.666666666664)</f>
        <v>39198.66667</v>
      </c>
      <c r="C4694" s="9">
        <f>IFERROR(__xludf.DUMMYFUNCTION("""COMPUTED_VALUE"""),29.3)</f>
        <v>29.3</v>
      </c>
      <c r="K4694" s="16"/>
      <c r="T4694" s="17"/>
      <c r="AC4694" s="17"/>
    </row>
    <row r="4695">
      <c r="B4695" s="11">
        <f>IFERROR(__xludf.DUMMYFUNCTION("""COMPUTED_VALUE"""),39197.666666666664)</f>
        <v>39197.66667</v>
      </c>
      <c r="C4695" s="9">
        <f>IFERROR(__xludf.DUMMYFUNCTION("""COMPUTED_VALUE"""),29.42)</f>
        <v>29.42</v>
      </c>
      <c r="K4695" s="16"/>
      <c r="T4695" s="17"/>
      <c r="AC4695" s="17"/>
    </row>
    <row r="4696">
      <c r="B4696" s="11">
        <f>IFERROR(__xludf.DUMMYFUNCTION("""COMPUTED_VALUE"""),39196.666666666664)</f>
        <v>39196.66667</v>
      </c>
      <c r="C4696" s="9">
        <f>IFERROR(__xludf.DUMMYFUNCTION("""COMPUTED_VALUE"""),29.26)</f>
        <v>29.26</v>
      </c>
      <c r="K4696" s="16"/>
      <c r="T4696" s="17"/>
      <c r="AC4696" s="17"/>
    </row>
    <row r="4697">
      <c r="B4697" s="11">
        <f>IFERROR(__xludf.DUMMYFUNCTION("""COMPUTED_VALUE"""),39195.666666666664)</f>
        <v>39195.66667</v>
      </c>
      <c r="C4697" s="9">
        <f>IFERROR(__xludf.DUMMYFUNCTION("""COMPUTED_VALUE"""),29.4)</f>
        <v>29.4</v>
      </c>
      <c r="K4697" s="16"/>
      <c r="T4697" s="17"/>
      <c r="AC4697" s="17"/>
    </row>
    <row r="4698">
      <c r="B4698" s="11">
        <f>IFERROR(__xludf.DUMMYFUNCTION("""COMPUTED_VALUE"""),39192.666666666664)</f>
        <v>39192.66667</v>
      </c>
      <c r="C4698" s="9">
        <f>IFERROR(__xludf.DUMMYFUNCTION("""COMPUTED_VALUE"""),29.27)</f>
        <v>29.27</v>
      </c>
      <c r="K4698" s="16"/>
      <c r="T4698" s="17"/>
      <c r="AC4698" s="17"/>
    </row>
    <row r="4699">
      <c r="B4699" s="11">
        <f>IFERROR(__xludf.DUMMYFUNCTION("""COMPUTED_VALUE"""),39191.666666666664)</f>
        <v>39191.66667</v>
      </c>
      <c r="C4699" s="9">
        <f>IFERROR(__xludf.DUMMYFUNCTION("""COMPUTED_VALUE"""),28.97)</f>
        <v>28.97</v>
      </c>
      <c r="K4699" s="16"/>
      <c r="T4699" s="17"/>
      <c r="AC4699" s="17"/>
    </row>
    <row r="4700">
      <c r="B4700" s="11">
        <f>IFERROR(__xludf.DUMMYFUNCTION("""COMPUTED_VALUE"""),39190.666666666664)</f>
        <v>39190.66667</v>
      </c>
      <c r="C4700" s="9">
        <f>IFERROR(__xludf.DUMMYFUNCTION("""COMPUTED_VALUE"""),29.11)</f>
        <v>29.11</v>
      </c>
      <c r="K4700" s="16"/>
      <c r="T4700" s="17"/>
      <c r="AC4700" s="17"/>
    </row>
    <row r="4701">
      <c r="B4701" s="11">
        <f>IFERROR(__xludf.DUMMYFUNCTION("""COMPUTED_VALUE"""),39189.666666666664)</f>
        <v>39189.66667</v>
      </c>
      <c r="C4701" s="9">
        <f>IFERROR(__xludf.DUMMYFUNCTION("""COMPUTED_VALUE"""),28.88)</f>
        <v>28.88</v>
      </c>
      <c r="K4701" s="16"/>
      <c r="T4701" s="17"/>
      <c r="AC4701" s="17"/>
    </row>
    <row r="4702">
      <c r="B4702" s="11">
        <f>IFERROR(__xludf.DUMMYFUNCTION("""COMPUTED_VALUE"""),39188.666666666664)</f>
        <v>39188.66667</v>
      </c>
      <c r="C4702" s="9">
        <f>IFERROR(__xludf.DUMMYFUNCTION("""COMPUTED_VALUE"""),28.89)</f>
        <v>28.89</v>
      </c>
      <c r="K4702" s="16"/>
      <c r="T4702" s="17"/>
      <c r="AC4702" s="17"/>
    </row>
    <row r="4703">
      <c r="B4703" s="11">
        <f>IFERROR(__xludf.DUMMYFUNCTION("""COMPUTED_VALUE"""),39185.666666666664)</f>
        <v>39185.66667</v>
      </c>
      <c r="C4703" s="9">
        <f>IFERROR(__xludf.DUMMYFUNCTION("""COMPUTED_VALUE"""),28.63)</f>
        <v>28.63</v>
      </c>
      <c r="K4703" s="16"/>
      <c r="T4703" s="17"/>
      <c r="AC4703" s="17"/>
    </row>
    <row r="4704">
      <c r="B4704" s="11">
        <f>IFERROR(__xludf.DUMMYFUNCTION("""COMPUTED_VALUE"""),39184.666666666664)</f>
        <v>39184.66667</v>
      </c>
      <c r="C4704" s="9">
        <f>IFERROR(__xludf.DUMMYFUNCTION("""COMPUTED_VALUE"""),28.6)</f>
        <v>28.6</v>
      </c>
      <c r="K4704" s="16"/>
      <c r="T4704" s="17"/>
      <c r="AC4704" s="17"/>
    </row>
    <row r="4705">
      <c r="B4705" s="11">
        <f>IFERROR(__xludf.DUMMYFUNCTION("""COMPUTED_VALUE"""),39183.666666666664)</f>
        <v>39183.66667</v>
      </c>
      <c r="C4705" s="9">
        <f>IFERROR(__xludf.DUMMYFUNCTION("""COMPUTED_VALUE"""),28.39)</f>
        <v>28.39</v>
      </c>
      <c r="K4705" s="16"/>
      <c r="T4705" s="17"/>
      <c r="AC4705" s="17"/>
    </row>
    <row r="4706">
      <c r="B4706" s="11">
        <f>IFERROR(__xludf.DUMMYFUNCTION("""COMPUTED_VALUE"""),39182.666666666664)</f>
        <v>39182.66667</v>
      </c>
      <c r="C4706" s="9">
        <f>IFERROR(__xludf.DUMMYFUNCTION("""COMPUTED_VALUE"""),28.67)</f>
        <v>28.67</v>
      </c>
      <c r="K4706" s="16"/>
      <c r="T4706" s="17"/>
      <c r="AC4706" s="17"/>
    </row>
    <row r="4707">
      <c r="B4707" s="11">
        <f>IFERROR(__xludf.DUMMYFUNCTION("""COMPUTED_VALUE"""),39181.666666666664)</f>
        <v>39181.66667</v>
      </c>
      <c r="C4707" s="9">
        <f>IFERROR(__xludf.DUMMYFUNCTION("""COMPUTED_VALUE"""),28.62)</f>
        <v>28.62</v>
      </c>
      <c r="K4707" s="16"/>
      <c r="T4707" s="17"/>
      <c r="AC4707" s="17"/>
    </row>
    <row r="4708">
      <c r="B4708" s="11">
        <f>IFERROR(__xludf.DUMMYFUNCTION("""COMPUTED_VALUE"""),39177.666666666664)</f>
        <v>39177.66667</v>
      </c>
      <c r="C4708" s="9">
        <f>IFERROR(__xludf.DUMMYFUNCTION("""COMPUTED_VALUE"""),28.62)</f>
        <v>28.62</v>
      </c>
      <c r="K4708" s="16"/>
      <c r="T4708" s="17"/>
      <c r="AC4708" s="17"/>
    </row>
    <row r="4709">
      <c r="B4709" s="11">
        <f>IFERROR(__xludf.DUMMYFUNCTION("""COMPUTED_VALUE"""),39176.666666666664)</f>
        <v>39176.66667</v>
      </c>
      <c r="C4709" s="9">
        <f>IFERROR(__xludf.DUMMYFUNCTION("""COMPUTED_VALUE"""),28.63)</f>
        <v>28.63</v>
      </c>
      <c r="K4709" s="16"/>
      <c r="T4709" s="17"/>
      <c r="AC4709" s="17"/>
    </row>
    <row r="4710">
      <c r="B4710" s="11">
        <f>IFERROR(__xludf.DUMMYFUNCTION("""COMPUTED_VALUE"""),39175.666666666664)</f>
        <v>39175.66667</v>
      </c>
      <c r="C4710" s="9">
        <f>IFERROR(__xludf.DUMMYFUNCTION("""COMPUTED_VALUE"""),28.6)</f>
        <v>28.6</v>
      </c>
      <c r="K4710" s="16"/>
      <c r="T4710" s="17"/>
      <c r="AC4710" s="17"/>
    </row>
    <row r="4711">
      <c r="B4711" s="11">
        <f>IFERROR(__xludf.DUMMYFUNCTION("""COMPUTED_VALUE"""),39174.666666666664)</f>
        <v>39174.66667</v>
      </c>
      <c r="C4711" s="9">
        <f>IFERROR(__xludf.DUMMYFUNCTION("""COMPUTED_VALUE"""),28.26)</f>
        <v>28.26</v>
      </c>
      <c r="K4711" s="16"/>
      <c r="T4711" s="17"/>
      <c r="AC4711" s="17"/>
    </row>
    <row r="4712">
      <c r="B4712" s="11">
        <f>IFERROR(__xludf.DUMMYFUNCTION("""COMPUTED_VALUE"""),39171.666666666664)</f>
        <v>39171.66667</v>
      </c>
      <c r="C4712" s="9">
        <f>IFERROR(__xludf.DUMMYFUNCTION("""COMPUTED_VALUE"""),28.26)</f>
        <v>28.26</v>
      </c>
      <c r="K4712" s="16"/>
      <c r="T4712" s="17"/>
      <c r="AC4712" s="17"/>
    </row>
    <row r="4713">
      <c r="B4713" s="11">
        <f>IFERROR(__xludf.DUMMYFUNCTION("""COMPUTED_VALUE"""),39170.666666666664)</f>
        <v>39170.66667</v>
      </c>
      <c r="C4713" s="9">
        <f>IFERROR(__xludf.DUMMYFUNCTION("""COMPUTED_VALUE"""),28.36)</f>
        <v>28.36</v>
      </c>
      <c r="K4713" s="16"/>
      <c r="T4713" s="17"/>
      <c r="AC4713" s="17"/>
    </row>
    <row r="4714">
      <c r="B4714" s="11">
        <f>IFERROR(__xludf.DUMMYFUNCTION("""COMPUTED_VALUE"""),39169.666666666664)</f>
        <v>39169.66667</v>
      </c>
      <c r="C4714" s="9">
        <f>IFERROR(__xludf.DUMMYFUNCTION("""COMPUTED_VALUE"""),28.23)</f>
        <v>28.23</v>
      </c>
      <c r="K4714" s="16"/>
      <c r="T4714" s="17"/>
      <c r="AC4714" s="17"/>
    </row>
    <row r="4715">
      <c r="B4715" s="11">
        <f>IFERROR(__xludf.DUMMYFUNCTION("""COMPUTED_VALUE"""),39168.666666666664)</f>
        <v>39168.66667</v>
      </c>
      <c r="C4715" s="9">
        <f>IFERROR(__xludf.DUMMYFUNCTION("""COMPUTED_VALUE"""),28.53)</f>
        <v>28.53</v>
      </c>
      <c r="K4715" s="16"/>
      <c r="T4715" s="17"/>
      <c r="AC4715" s="17"/>
    </row>
    <row r="4716">
      <c r="B4716" s="11">
        <f>IFERROR(__xludf.DUMMYFUNCTION("""COMPUTED_VALUE"""),39167.666666666664)</f>
        <v>39167.66667</v>
      </c>
      <c r="C4716" s="9">
        <f>IFERROR(__xludf.DUMMYFUNCTION("""COMPUTED_VALUE"""),28.62)</f>
        <v>28.62</v>
      </c>
      <c r="K4716" s="16"/>
      <c r="T4716" s="17"/>
      <c r="AC4716" s="17"/>
    </row>
    <row r="4717">
      <c r="B4717" s="11">
        <f>IFERROR(__xludf.DUMMYFUNCTION("""COMPUTED_VALUE"""),39164.666666666664)</f>
        <v>39164.66667</v>
      </c>
      <c r="C4717" s="9">
        <f>IFERROR(__xludf.DUMMYFUNCTION("""COMPUTED_VALUE"""),28.7)</f>
        <v>28.7</v>
      </c>
      <c r="K4717" s="16"/>
      <c r="T4717" s="17"/>
      <c r="AC4717" s="17"/>
    </row>
    <row r="4718">
      <c r="B4718" s="11">
        <f>IFERROR(__xludf.DUMMYFUNCTION("""COMPUTED_VALUE"""),39163.666666666664)</f>
        <v>39163.66667</v>
      </c>
      <c r="C4718" s="9">
        <f>IFERROR(__xludf.DUMMYFUNCTION("""COMPUTED_VALUE"""),28.54)</f>
        <v>28.54</v>
      </c>
      <c r="K4718" s="16"/>
      <c r="T4718" s="17"/>
      <c r="AC4718" s="17"/>
    </row>
    <row r="4719">
      <c r="B4719" s="11">
        <f>IFERROR(__xludf.DUMMYFUNCTION("""COMPUTED_VALUE"""),39162.666666666664)</f>
        <v>39162.66667</v>
      </c>
      <c r="C4719" s="9">
        <f>IFERROR(__xludf.DUMMYFUNCTION("""COMPUTED_VALUE"""),28.7)</f>
        <v>28.7</v>
      </c>
      <c r="K4719" s="16"/>
      <c r="T4719" s="17"/>
      <c r="AC4719" s="17"/>
    </row>
    <row r="4720">
      <c r="B4720" s="11">
        <f>IFERROR(__xludf.DUMMYFUNCTION("""COMPUTED_VALUE"""),39161.666666666664)</f>
        <v>39161.66667</v>
      </c>
      <c r="C4720" s="9">
        <f>IFERROR(__xludf.DUMMYFUNCTION("""COMPUTED_VALUE"""),28.42)</f>
        <v>28.42</v>
      </c>
      <c r="K4720" s="16"/>
      <c r="T4720" s="17"/>
      <c r="AC4720" s="17"/>
    </row>
    <row r="4721">
      <c r="B4721" s="11">
        <f>IFERROR(__xludf.DUMMYFUNCTION("""COMPUTED_VALUE"""),39160.666666666664)</f>
        <v>39160.66667</v>
      </c>
      <c r="C4721" s="9">
        <f>IFERROR(__xludf.DUMMYFUNCTION("""COMPUTED_VALUE"""),28.29)</f>
        <v>28.29</v>
      </c>
      <c r="K4721" s="16"/>
      <c r="T4721" s="17"/>
      <c r="AC4721" s="17"/>
    </row>
    <row r="4722">
      <c r="B4722" s="11">
        <f>IFERROR(__xludf.DUMMYFUNCTION("""COMPUTED_VALUE"""),39157.666666666664)</f>
        <v>39157.66667</v>
      </c>
      <c r="C4722" s="9">
        <f>IFERROR(__xludf.DUMMYFUNCTION("""COMPUTED_VALUE"""),28.05)</f>
        <v>28.05</v>
      </c>
      <c r="K4722" s="16"/>
      <c r="T4722" s="17"/>
      <c r="AC4722" s="17"/>
    </row>
    <row r="4723">
      <c r="B4723" s="11">
        <f>IFERROR(__xludf.DUMMYFUNCTION("""COMPUTED_VALUE"""),39156.666666666664)</f>
        <v>39156.66667</v>
      </c>
      <c r="C4723" s="9">
        <f>IFERROR(__xludf.DUMMYFUNCTION("""COMPUTED_VALUE"""),28.03)</f>
        <v>28.03</v>
      </c>
      <c r="K4723" s="16"/>
      <c r="T4723" s="17"/>
      <c r="AC4723" s="17"/>
    </row>
    <row r="4724">
      <c r="B4724" s="11">
        <f>IFERROR(__xludf.DUMMYFUNCTION("""COMPUTED_VALUE"""),39155.666666666664)</f>
        <v>39155.66667</v>
      </c>
      <c r="C4724" s="9">
        <f>IFERROR(__xludf.DUMMYFUNCTION("""COMPUTED_VALUE"""),27.74)</f>
        <v>27.74</v>
      </c>
      <c r="K4724" s="16"/>
      <c r="T4724" s="17"/>
      <c r="AC4724" s="17"/>
    </row>
    <row r="4725">
      <c r="B4725" s="11">
        <f>IFERROR(__xludf.DUMMYFUNCTION("""COMPUTED_VALUE"""),39154.666666666664)</f>
        <v>39154.66667</v>
      </c>
      <c r="C4725" s="9">
        <f>IFERROR(__xludf.DUMMYFUNCTION("""COMPUTED_VALUE"""),27.64)</f>
        <v>27.64</v>
      </c>
      <c r="K4725" s="16"/>
      <c r="T4725" s="17"/>
      <c r="AC4725" s="17"/>
    </row>
    <row r="4726">
      <c r="B4726" s="11">
        <f>IFERROR(__xludf.DUMMYFUNCTION("""COMPUTED_VALUE"""),39153.666666666664)</f>
        <v>39153.66667</v>
      </c>
      <c r="C4726" s="9">
        <f>IFERROR(__xludf.DUMMYFUNCTION("""COMPUTED_VALUE"""),28.26)</f>
        <v>28.26</v>
      </c>
      <c r="K4726" s="16"/>
      <c r="T4726" s="17"/>
      <c r="AC4726" s="17"/>
    </row>
    <row r="4727">
      <c r="B4727" s="11">
        <f>IFERROR(__xludf.DUMMYFUNCTION("""COMPUTED_VALUE"""),39150.666666666664)</f>
        <v>39150.66667</v>
      </c>
      <c r="C4727" s="9">
        <f>IFERROR(__xludf.DUMMYFUNCTION("""COMPUTED_VALUE"""),27.9)</f>
        <v>27.9</v>
      </c>
      <c r="K4727" s="16"/>
      <c r="T4727" s="17"/>
      <c r="AC4727" s="17"/>
    </row>
    <row r="4728">
      <c r="B4728" s="11">
        <f>IFERROR(__xludf.DUMMYFUNCTION("""COMPUTED_VALUE"""),39149.666666666664)</f>
        <v>39149.66667</v>
      </c>
      <c r="C4728" s="9">
        <f>IFERROR(__xludf.DUMMYFUNCTION("""COMPUTED_VALUE"""),27.74)</f>
        <v>27.74</v>
      </c>
      <c r="K4728" s="16"/>
      <c r="T4728" s="17"/>
      <c r="AC4728" s="17"/>
    </row>
    <row r="4729">
      <c r="B4729" s="11">
        <f>IFERROR(__xludf.DUMMYFUNCTION("""COMPUTED_VALUE"""),39148.666666666664)</f>
        <v>39148.66667</v>
      </c>
      <c r="C4729" s="9">
        <f>IFERROR(__xludf.DUMMYFUNCTION("""COMPUTED_VALUE"""),27.55)</f>
        <v>27.55</v>
      </c>
      <c r="K4729" s="16"/>
      <c r="T4729" s="17"/>
      <c r="AC4729" s="17"/>
    </row>
    <row r="4730">
      <c r="B4730" s="11">
        <f>IFERROR(__xludf.DUMMYFUNCTION("""COMPUTED_VALUE"""),39147.666666666664)</f>
        <v>39147.66667</v>
      </c>
      <c r="C4730" s="9">
        <f>IFERROR(__xludf.DUMMYFUNCTION("""COMPUTED_VALUE"""),27.56)</f>
        <v>27.56</v>
      </c>
      <c r="K4730" s="16"/>
      <c r="T4730" s="17"/>
      <c r="AC4730" s="17"/>
    </row>
    <row r="4731">
      <c r="B4731" s="11">
        <f>IFERROR(__xludf.DUMMYFUNCTION("""COMPUTED_VALUE"""),39146.666666666664)</f>
        <v>39146.66667</v>
      </c>
      <c r="C4731" s="9">
        <f>IFERROR(__xludf.DUMMYFUNCTION("""COMPUTED_VALUE"""),27.08)</f>
        <v>27.08</v>
      </c>
      <c r="K4731" s="16"/>
      <c r="T4731" s="17"/>
      <c r="AC4731" s="17"/>
    </row>
    <row r="4732">
      <c r="B4732" s="11">
        <f>IFERROR(__xludf.DUMMYFUNCTION("""COMPUTED_VALUE"""),39143.666666666664)</f>
        <v>39143.66667</v>
      </c>
      <c r="C4732" s="9">
        <f>IFERROR(__xludf.DUMMYFUNCTION("""COMPUTED_VALUE"""),27.34)</f>
        <v>27.34</v>
      </c>
      <c r="K4732" s="16"/>
      <c r="T4732" s="17"/>
      <c r="AC4732" s="17"/>
    </row>
    <row r="4733">
      <c r="B4733" s="11">
        <f>IFERROR(__xludf.DUMMYFUNCTION("""COMPUTED_VALUE"""),39142.666666666664)</f>
        <v>39142.66667</v>
      </c>
      <c r="C4733" s="9">
        <f>IFERROR(__xludf.DUMMYFUNCTION("""COMPUTED_VALUE"""),27.74)</f>
        <v>27.74</v>
      </c>
      <c r="K4733" s="16"/>
      <c r="T4733" s="17"/>
      <c r="AC4733" s="17"/>
    </row>
    <row r="4734">
      <c r="B4734" s="11">
        <f>IFERROR(__xludf.DUMMYFUNCTION("""COMPUTED_VALUE"""),39141.666666666664)</f>
        <v>39141.66667</v>
      </c>
      <c r="C4734" s="9">
        <f>IFERROR(__xludf.DUMMYFUNCTION("""COMPUTED_VALUE"""),27.73)</f>
        <v>27.73</v>
      </c>
      <c r="K4734" s="16"/>
      <c r="T4734" s="17"/>
      <c r="AC4734" s="17"/>
    </row>
    <row r="4735">
      <c r="B4735" s="11">
        <f>IFERROR(__xludf.DUMMYFUNCTION("""COMPUTED_VALUE"""),39140.666666666664)</f>
        <v>39140.66667</v>
      </c>
      <c r="C4735" s="9">
        <f>IFERROR(__xludf.DUMMYFUNCTION("""COMPUTED_VALUE"""),27.58)</f>
        <v>27.58</v>
      </c>
      <c r="K4735" s="16"/>
      <c r="T4735" s="17"/>
      <c r="AC4735" s="17"/>
    </row>
    <row r="4736">
      <c r="B4736" s="11">
        <f>IFERROR(__xludf.DUMMYFUNCTION("""COMPUTED_VALUE"""),39139.666666666664)</f>
        <v>39139.66667</v>
      </c>
      <c r="C4736" s="9">
        <f>IFERROR(__xludf.DUMMYFUNCTION("""COMPUTED_VALUE"""),28.5)</f>
        <v>28.5</v>
      </c>
      <c r="K4736" s="16"/>
      <c r="T4736" s="17"/>
      <c r="AC4736" s="17"/>
    </row>
    <row r="4737">
      <c r="B4737" s="11">
        <f>IFERROR(__xludf.DUMMYFUNCTION("""COMPUTED_VALUE"""),39136.666666666664)</f>
        <v>39136.66667</v>
      </c>
      <c r="C4737" s="9">
        <f>IFERROR(__xludf.DUMMYFUNCTION("""COMPUTED_VALUE"""),28.81)</f>
        <v>28.81</v>
      </c>
      <c r="K4737" s="16"/>
      <c r="T4737" s="17"/>
      <c r="AC4737" s="17"/>
    </row>
    <row r="4738">
      <c r="B4738" s="11">
        <f>IFERROR(__xludf.DUMMYFUNCTION("""COMPUTED_VALUE"""),39135.666666666664)</f>
        <v>39135.66667</v>
      </c>
      <c r="C4738" s="9">
        <f>IFERROR(__xludf.DUMMYFUNCTION("""COMPUTED_VALUE"""),28.85)</f>
        <v>28.85</v>
      </c>
      <c r="K4738" s="16"/>
      <c r="T4738" s="17"/>
      <c r="AC4738" s="17"/>
    </row>
    <row r="4739">
      <c r="B4739" s="11">
        <f>IFERROR(__xludf.DUMMYFUNCTION("""COMPUTED_VALUE"""),39134.666666666664)</f>
        <v>39134.66667</v>
      </c>
      <c r="C4739" s="9">
        <f>IFERROR(__xludf.DUMMYFUNCTION("""COMPUTED_VALUE"""),28.95)</f>
        <v>28.95</v>
      </c>
      <c r="K4739" s="16"/>
      <c r="T4739" s="17"/>
      <c r="AC4739" s="17"/>
    </row>
    <row r="4740">
      <c r="B4740" s="11">
        <f>IFERROR(__xludf.DUMMYFUNCTION("""COMPUTED_VALUE"""),39133.666666666664)</f>
        <v>39133.66667</v>
      </c>
      <c r="C4740" s="9">
        <f>IFERROR(__xludf.DUMMYFUNCTION("""COMPUTED_VALUE"""),28.92)</f>
        <v>28.92</v>
      </c>
      <c r="K4740" s="16"/>
      <c r="T4740" s="17"/>
      <c r="AC4740" s="17"/>
    </row>
    <row r="4741">
      <c r="B4741" s="11">
        <f>IFERROR(__xludf.DUMMYFUNCTION("""COMPUTED_VALUE"""),39129.666666666664)</f>
        <v>39129.66667</v>
      </c>
      <c r="C4741" s="9">
        <f>IFERROR(__xludf.DUMMYFUNCTION("""COMPUTED_VALUE"""),28.7)</f>
        <v>28.7</v>
      </c>
      <c r="K4741" s="16"/>
      <c r="T4741" s="17"/>
      <c r="AC4741" s="17"/>
    </row>
    <row r="4742">
      <c r="B4742" s="11">
        <f>IFERROR(__xludf.DUMMYFUNCTION("""COMPUTED_VALUE"""),39128.666666666664)</f>
        <v>39128.66667</v>
      </c>
      <c r="C4742" s="9">
        <f>IFERROR(__xludf.DUMMYFUNCTION("""COMPUTED_VALUE"""),28.78)</f>
        <v>28.78</v>
      </c>
      <c r="K4742" s="16"/>
      <c r="T4742" s="17"/>
      <c r="AC4742" s="17"/>
    </row>
    <row r="4743">
      <c r="B4743" s="11">
        <f>IFERROR(__xludf.DUMMYFUNCTION("""COMPUTED_VALUE"""),39127.666666666664)</f>
        <v>39127.66667</v>
      </c>
      <c r="C4743" s="9">
        <f>IFERROR(__xludf.DUMMYFUNCTION("""COMPUTED_VALUE"""),28.61)</f>
        <v>28.61</v>
      </c>
      <c r="K4743" s="16"/>
      <c r="T4743" s="17"/>
      <c r="AC4743" s="17"/>
    </row>
    <row r="4744">
      <c r="B4744" s="11">
        <f>IFERROR(__xludf.DUMMYFUNCTION("""COMPUTED_VALUE"""),39126.666666666664)</f>
        <v>39126.66667</v>
      </c>
      <c r="C4744" s="9">
        <f>IFERROR(__xludf.DUMMYFUNCTION("""COMPUTED_VALUE"""),28.44)</f>
        <v>28.44</v>
      </c>
      <c r="K4744" s="16"/>
      <c r="T4744" s="17"/>
      <c r="AC4744" s="17"/>
    </row>
    <row r="4745">
      <c r="B4745" s="11">
        <f>IFERROR(__xludf.DUMMYFUNCTION("""COMPUTED_VALUE"""),39125.666666666664)</f>
        <v>39125.66667</v>
      </c>
      <c r="C4745" s="9">
        <f>IFERROR(__xludf.DUMMYFUNCTION("""COMPUTED_VALUE"""),28.2)</f>
        <v>28.2</v>
      </c>
      <c r="K4745" s="16"/>
      <c r="T4745" s="17"/>
      <c r="AC4745" s="17"/>
    </row>
    <row r="4746">
      <c r="B4746" s="11">
        <f>IFERROR(__xludf.DUMMYFUNCTION("""COMPUTED_VALUE"""),39122.666666666664)</f>
        <v>39122.66667</v>
      </c>
      <c r="C4746" s="9">
        <f>IFERROR(__xludf.DUMMYFUNCTION("""COMPUTED_VALUE"""),28.28)</f>
        <v>28.28</v>
      </c>
      <c r="K4746" s="16"/>
      <c r="T4746" s="17"/>
      <c r="AC4746" s="17"/>
    </row>
    <row r="4747">
      <c r="B4747" s="11">
        <f>IFERROR(__xludf.DUMMYFUNCTION("""COMPUTED_VALUE"""),39121.666666666664)</f>
        <v>39121.66667</v>
      </c>
      <c r="C4747" s="9">
        <f>IFERROR(__xludf.DUMMYFUNCTION("""COMPUTED_VALUE"""),28.47)</f>
        <v>28.47</v>
      </c>
      <c r="K4747" s="16"/>
      <c r="T4747" s="17"/>
      <c r="AC4747" s="17"/>
    </row>
    <row r="4748">
      <c r="B4748" s="11">
        <f>IFERROR(__xludf.DUMMYFUNCTION("""COMPUTED_VALUE"""),39120.666666666664)</f>
        <v>39120.66667</v>
      </c>
      <c r="C4748" s="9">
        <f>IFERROR(__xludf.DUMMYFUNCTION("""COMPUTED_VALUE"""),28.51)</f>
        <v>28.51</v>
      </c>
      <c r="K4748" s="16"/>
      <c r="T4748" s="17"/>
      <c r="AC4748" s="17"/>
    </row>
    <row r="4749">
      <c r="B4749" s="11">
        <f>IFERROR(__xludf.DUMMYFUNCTION("""COMPUTED_VALUE"""),39119.666666666664)</f>
        <v>39119.66667</v>
      </c>
      <c r="C4749" s="9">
        <f>IFERROR(__xludf.DUMMYFUNCTION("""COMPUTED_VALUE"""),28.38)</f>
        <v>28.38</v>
      </c>
      <c r="K4749" s="16"/>
      <c r="T4749" s="17"/>
      <c r="AC4749" s="17"/>
    </row>
    <row r="4750">
      <c r="B4750" s="11">
        <f>IFERROR(__xludf.DUMMYFUNCTION("""COMPUTED_VALUE"""),39118.666666666664)</f>
        <v>39118.66667</v>
      </c>
      <c r="C4750" s="9">
        <f>IFERROR(__xludf.DUMMYFUNCTION("""COMPUTED_VALUE"""),28.22)</f>
        <v>28.22</v>
      </c>
      <c r="K4750" s="16"/>
      <c r="T4750" s="17"/>
      <c r="AC4750" s="17"/>
    </row>
    <row r="4751">
      <c r="B4751" s="11">
        <f>IFERROR(__xludf.DUMMYFUNCTION("""COMPUTED_VALUE"""),39115.666666666664)</f>
        <v>39115.66667</v>
      </c>
      <c r="C4751" s="9">
        <f>IFERROR(__xludf.DUMMYFUNCTION("""COMPUTED_VALUE"""),28.11)</f>
        <v>28.11</v>
      </c>
      <c r="K4751" s="16"/>
      <c r="T4751" s="17"/>
      <c r="AC4751" s="17"/>
    </row>
    <row r="4752">
      <c r="B4752" s="11">
        <f>IFERROR(__xludf.DUMMYFUNCTION("""COMPUTED_VALUE"""),39114.666666666664)</f>
        <v>39114.66667</v>
      </c>
      <c r="C4752" s="9">
        <f>IFERROR(__xludf.DUMMYFUNCTION("""COMPUTED_VALUE"""),28.07)</f>
        <v>28.07</v>
      </c>
      <c r="K4752" s="16"/>
      <c r="T4752" s="17"/>
      <c r="AC4752" s="17"/>
    </row>
    <row r="4753">
      <c r="B4753" s="11">
        <f>IFERROR(__xludf.DUMMYFUNCTION("""COMPUTED_VALUE"""),39113.666666666664)</f>
        <v>39113.66667</v>
      </c>
      <c r="C4753" s="9">
        <f>IFERROR(__xludf.DUMMYFUNCTION("""COMPUTED_VALUE"""),27.72)</f>
        <v>27.72</v>
      </c>
      <c r="K4753" s="16"/>
      <c r="T4753" s="17"/>
      <c r="AC4753" s="17"/>
    </row>
    <row r="4754">
      <c r="B4754" s="11">
        <f>IFERROR(__xludf.DUMMYFUNCTION("""COMPUTED_VALUE"""),39112.666666666664)</f>
        <v>39112.66667</v>
      </c>
      <c r="C4754" s="9">
        <f>IFERROR(__xludf.DUMMYFUNCTION("""COMPUTED_VALUE"""),27.32)</f>
        <v>27.32</v>
      </c>
      <c r="K4754" s="16"/>
      <c r="T4754" s="17"/>
      <c r="AC4754" s="17"/>
    </row>
    <row r="4755">
      <c r="B4755" s="11">
        <f>IFERROR(__xludf.DUMMYFUNCTION("""COMPUTED_VALUE"""),39111.666666666664)</f>
        <v>39111.66667</v>
      </c>
      <c r="C4755" s="9">
        <f>IFERROR(__xludf.DUMMYFUNCTION("""COMPUTED_VALUE"""),27.17)</f>
        <v>27.17</v>
      </c>
      <c r="K4755" s="16"/>
      <c r="T4755" s="17"/>
      <c r="AC4755" s="17"/>
    </row>
    <row r="4756">
      <c r="B4756" s="11">
        <f>IFERROR(__xludf.DUMMYFUNCTION("""COMPUTED_VALUE"""),39108.666666666664)</f>
        <v>39108.66667</v>
      </c>
      <c r="C4756" s="9">
        <f>IFERROR(__xludf.DUMMYFUNCTION("""COMPUTED_VALUE"""),27.11)</f>
        <v>27.11</v>
      </c>
      <c r="K4756" s="16"/>
      <c r="T4756" s="17"/>
      <c r="AC4756" s="17"/>
    </row>
    <row r="4757">
      <c r="B4757" s="11">
        <f>IFERROR(__xludf.DUMMYFUNCTION("""COMPUTED_VALUE"""),39107.666666666664)</f>
        <v>39107.66667</v>
      </c>
      <c r="C4757" s="9">
        <f>IFERROR(__xludf.DUMMYFUNCTION("""COMPUTED_VALUE"""),27.22)</f>
        <v>27.22</v>
      </c>
      <c r="K4757" s="16"/>
      <c r="T4757" s="17"/>
      <c r="AC4757" s="17"/>
    </row>
    <row r="4758">
      <c r="B4758" s="11">
        <f>IFERROR(__xludf.DUMMYFUNCTION("""COMPUTED_VALUE"""),39106.666666666664)</f>
        <v>39106.66667</v>
      </c>
      <c r="C4758" s="9">
        <f>IFERROR(__xludf.DUMMYFUNCTION("""COMPUTED_VALUE"""),27.56)</f>
        <v>27.56</v>
      </c>
      <c r="K4758" s="16"/>
      <c r="T4758" s="17"/>
      <c r="AC4758" s="17"/>
    </row>
    <row r="4759">
      <c r="B4759" s="11">
        <f>IFERROR(__xludf.DUMMYFUNCTION("""COMPUTED_VALUE"""),39105.666666666664)</f>
        <v>39105.66667</v>
      </c>
      <c r="C4759" s="9">
        <f>IFERROR(__xludf.DUMMYFUNCTION("""COMPUTED_VALUE"""),27.46)</f>
        <v>27.46</v>
      </c>
      <c r="K4759" s="16"/>
      <c r="T4759" s="17"/>
      <c r="AC4759" s="17"/>
    </row>
    <row r="4760">
      <c r="B4760" s="11">
        <f>IFERROR(__xludf.DUMMYFUNCTION("""COMPUTED_VALUE"""),39104.666666666664)</f>
        <v>39104.66667</v>
      </c>
      <c r="C4760" s="9">
        <f>IFERROR(__xludf.DUMMYFUNCTION("""COMPUTED_VALUE"""),26.81)</f>
        <v>26.81</v>
      </c>
      <c r="K4760" s="16"/>
      <c r="T4760" s="17"/>
      <c r="AC4760" s="17"/>
    </row>
    <row r="4761">
      <c r="B4761" s="11">
        <f>IFERROR(__xludf.DUMMYFUNCTION("""COMPUTED_VALUE"""),39101.666666666664)</f>
        <v>39101.66667</v>
      </c>
      <c r="C4761" s="9">
        <f>IFERROR(__xludf.DUMMYFUNCTION("""COMPUTED_VALUE"""),27.22)</f>
        <v>27.22</v>
      </c>
      <c r="K4761" s="16"/>
      <c r="T4761" s="17"/>
      <c r="AC4761" s="17"/>
    </row>
    <row r="4762">
      <c r="B4762" s="11">
        <f>IFERROR(__xludf.DUMMYFUNCTION("""COMPUTED_VALUE"""),39100.666666666664)</f>
        <v>39100.66667</v>
      </c>
      <c r="C4762" s="9">
        <f>IFERROR(__xludf.DUMMYFUNCTION("""COMPUTED_VALUE"""),27.06)</f>
        <v>27.06</v>
      </c>
      <c r="K4762" s="16"/>
      <c r="T4762" s="17"/>
      <c r="AC4762" s="17"/>
    </row>
    <row r="4763">
      <c r="B4763" s="11">
        <f>IFERROR(__xludf.DUMMYFUNCTION("""COMPUTED_VALUE"""),39099.666666666664)</f>
        <v>39099.66667</v>
      </c>
      <c r="C4763" s="9">
        <f>IFERROR(__xludf.DUMMYFUNCTION("""COMPUTED_VALUE"""),27.34)</f>
        <v>27.34</v>
      </c>
      <c r="K4763" s="16"/>
      <c r="T4763" s="17"/>
      <c r="AC4763" s="17"/>
    </row>
    <row r="4764">
      <c r="B4764" s="11">
        <f>IFERROR(__xludf.DUMMYFUNCTION("""COMPUTED_VALUE"""),39098.666666666664)</f>
        <v>39098.66667</v>
      </c>
      <c r="C4764" s="9">
        <f>IFERROR(__xludf.DUMMYFUNCTION("""COMPUTED_VALUE"""),27.33)</f>
        <v>27.33</v>
      </c>
      <c r="K4764" s="16"/>
      <c r="T4764" s="17"/>
      <c r="AC4764" s="17"/>
    </row>
    <row r="4765">
      <c r="B4765" s="11">
        <f>IFERROR(__xludf.DUMMYFUNCTION("""COMPUTED_VALUE"""),39094.666666666664)</f>
        <v>39094.66667</v>
      </c>
      <c r="C4765" s="9">
        <f>IFERROR(__xludf.DUMMYFUNCTION("""COMPUTED_VALUE"""),27.25)</f>
        <v>27.25</v>
      </c>
      <c r="K4765" s="16"/>
      <c r="T4765" s="17"/>
      <c r="AC4765" s="17"/>
    </row>
    <row r="4766">
      <c r="B4766" s="11">
        <f>IFERROR(__xludf.DUMMYFUNCTION("""COMPUTED_VALUE"""),39093.666666666664)</f>
        <v>39093.66667</v>
      </c>
      <c r="C4766" s="9">
        <f>IFERROR(__xludf.DUMMYFUNCTION("""COMPUTED_VALUE"""),27.26)</f>
        <v>27.26</v>
      </c>
      <c r="K4766" s="16"/>
      <c r="T4766" s="17"/>
      <c r="AC4766" s="17"/>
    </row>
    <row r="4767">
      <c r="B4767" s="11">
        <f>IFERROR(__xludf.DUMMYFUNCTION("""COMPUTED_VALUE"""),39092.666666666664)</f>
        <v>39092.66667</v>
      </c>
      <c r="C4767" s="9">
        <f>IFERROR(__xludf.DUMMYFUNCTION("""COMPUTED_VALUE"""),27.06)</f>
        <v>27.06</v>
      </c>
      <c r="K4767" s="16"/>
      <c r="T4767" s="17"/>
      <c r="AC4767" s="17"/>
    </row>
    <row r="4768">
      <c r="B4768" s="11">
        <f>IFERROR(__xludf.DUMMYFUNCTION("""COMPUTED_VALUE"""),39091.666666666664)</f>
        <v>39091.66667</v>
      </c>
      <c r="C4768" s="9">
        <f>IFERROR(__xludf.DUMMYFUNCTION("""COMPUTED_VALUE"""),26.86)</f>
        <v>26.86</v>
      </c>
      <c r="K4768" s="16"/>
      <c r="T4768" s="17"/>
      <c r="AC4768" s="17"/>
    </row>
    <row r="4769">
      <c r="B4769" s="11">
        <f>IFERROR(__xludf.DUMMYFUNCTION("""COMPUTED_VALUE"""),39090.666666666664)</f>
        <v>39090.66667</v>
      </c>
      <c r="C4769" s="9">
        <f>IFERROR(__xludf.DUMMYFUNCTION("""COMPUTED_VALUE"""),26.88)</f>
        <v>26.88</v>
      </c>
      <c r="K4769" s="16"/>
      <c r="T4769" s="17"/>
      <c r="AC4769" s="17"/>
    </row>
    <row r="4770">
      <c r="B4770" s="11">
        <f>IFERROR(__xludf.DUMMYFUNCTION("""COMPUTED_VALUE"""),39087.666666666664)</f>
        <v>39087.66667</v>
      </c>
      <c r="C4770" s="9">
        <f>IFERROR(__xludf.DUMMYFUNCTION("""COMPUTED_VALUE"""),26.59)</f>
        <v>26.59</v>
      </c>
      <c r="K4770" s="16"/>
      <c r="T4770" s="17"/>
      <c r="AC4770" s="17"/>
    </row>
    <row r="4771">
      <c r="B4771" s="11">
        <f>IFERROR(__xludf.DUMMYFUNCTION("""COMPUTED_VALUE"""),39086.666666666664)</f>
        <v>39086.66667</v>
      </c>
      <c r="C4771" s="9">
        <f>IFERROR(__xludf.DUMMYFUNCTION("""COMPUTED_VALUE"""),26.71)</f>
        <v>26.71</v>
      </c>
      <c r="K4771" s="16"/>
      <c r="T4771" s="17"/>
      <c r="AC4771" s="17"/>
    </row>
    <row r="4772">
      <c r="B4772" s="11">
        <f>IFERROR(__xludf.DUMMYFUNCTION("""COMPUTED_VALUE"""),39085.666666666664)</f>
        <v>39085.66667</v>
      </c>
      <c r="C4772" s="9">
        <f>IFERROR(__xludf.DUMMYFUNCTION("""COMPUTED_VALUE"""),26.74)</f>
        <v>26.74</v>
      </c>
      <c r="K4772" s="16"/>
      <c r="T4772" s="17"/>
      <c r="AC4772" s="17"/>
    </row>
    <row r="4773">
      <c r="B4773" s="11">
        <f>IFERROR(__xludf.DUMMYFUNCTION("""COMPUTED_VALUE"""),39080.666666666664)</f>
        <v>39080.66667</v>
      </c>
      <c r="C4773" s="9">
        <f>IFERROR(__xludf.DUMMYFUNCTION("""COMPUTED_VALUE"""),26.72)</f>
        <v>26.72</v>
      </c>
      <c r="K4773" s="16"/>
      <c r="T4773" s="17"/>
      <c r="AC4773" s="17"/>
    </row>
    <row r="4774">
      <c r="B4774" s="11">
        <f>IFERROR(__xludf.DUMMYFUNCTION("""COMPUTED_VALUE"""),39079.666666666664)</f>
        <v>39079.66667</v>
      </c>
      <c r="C4774" s="9">
        <f>IFERROR(__xludf.DUMMYFUNCTION("""COMPUTED_VALUE"""),26.9)</f>
        <v>26.9</v>
      </c>
      <c r="K4774" s="16"/>
      <c r="T4774" s="17"/>
      <c r="AC4774" s="17"/>
    </row>
    <row r="4775">
      <c r="B4775" s="11">
        <f>IFERROR(__xludf.DUMMYFUNCTION("""COMPUTED_VALUE"""),39078.666666666664)</f>
        <v>39078.66667</v>
      </c>
      <c r="C4775" s="9">
        <f>IFERROR(__xludf.DUMMYFUNCTION("""COMPUTED_VALUE"""),26.96)</f>
        <v>26.96</v>
      </c>
      <c r="K4775" s="16"/>
      <c r="T4775" s="17"/>
      <c r="AC4775" s="17"/>
    </row>
    <row r="4776">
      <c r="B4776" s="11">
        <f>IFERROR(__xludf.DUMMYFUNCTION("""COMPUTED_VALUE"""),39077.666666666664)</f>
        <v>39077.66667</v>
      </c>
      <c r="C4776" s="9">
        <f>IFERROR(__xludf.DUMMYFUNCTION("""COMPUTED_VALUE"""),26.72)</f>
        <v>26.72</v>
      </c>
      <c r="K4776" s="16"/>
      <c r="T4776" s="17"/>
      <c r="AC4776" s="17"/>
    </row>
    <row r="4777">
      <c r="B4777" s="11">
        <f>IFERROR(__xludf.DUMMYFUNCTION("""COMPUTED_VALUE"""),39073.666666666664)</f>
        <v>39073.66667</v>
      </c>
      <c r="C4777" s="9">
        <f>IFERROR(__xludf.DUMMYFUNCTION("""COMPUTED_VALUE"""),26.49)</f>
        <v>26.49</v>
      </c>
      <c r="K4777" s="16"/>
      <c r="T4777" s="17"/>
      <c r="AC4777" s="17"/>
    </row>
    <row r="4778">
      <c r="B4778" s="11">
        <f>IFERROR(__xludf.DUMMYFUNCTION("""COMPUTED_VALUE"""),39072.666666666664)</f>
        <v>39072.66667</v>
      </c>
      <c r="C4778" s="9">
        <f>IFERROR(__xludf.DUMMYFUNCTION("""COMPUTED_VALUE"""),26.68)</f>
        <v>26.68</v>
      </c>
      <c r="K4778" s="16"/>
      <c r="T4778" s="17"/>
      <c r="AC4778" s="17"/>
    </row>
    <row r="4779">
      <c r="B4779" s="11">
        <f>IFERROR(__xludf.DUMMYFUNCTION("""COMPUTED_VALUE"""),39071.666666666664)</f>
        <v>39071.66667</v>
      </c>
      <c r="C4779" s="9">
        <f>IFERROR(__xludf.DUMMYFUNCTION("""COMPUTED_VALUE"""),26.78)</f>
        <v>26.78</v>
      </c>
      <c r="K4779" s="16"/>
      <c r="T4779" s="17"/>
      <c r="AC4779" s="17"/>
    </row>
    <row r="4780">
      <c r="B4780" s="11">
        <f>IFERROR(__xludf.DUMMYFUNCTION("""COMPUTED_VALUE"""),39070.666666666664)</f>
        <v>39070.66667</v>
      </c>
      <c r="C4780" s="9">
        <f>IFERROR(__xludf.DUMMYFUNCTION("""COMPUTED_VALUE"""),26.64)</f>
        <v>26.64</v>
      </c>
      <c r="K4780" s="16"/>
      <c r="T4780" s="17"/>
      <c r="AC4780" s="17"/>
    </row>
    <row r="4781">
      <c r="B4781" s="11">
        <f>IFERROR(__xludf.DUMMYFUNCTION("""COMPUTED_VALUE"""),39069.666666666664)</f>
        <v>39069.66667</v>
      </c>
      <c r="C4781" s="9">
        <f>IFERROR(__xludf.DUMMYFUNCTION("""COMPUTED_VALUE"""),26.35)</f>
        <v>26.35</v>
      </c>
      <c r="K4781" s="16"/>
      <c r="T4781" s="17"/>
      <c r="AC4781" s="17"/>
    </row>
    <row r="4782">
      <c r="B4782" s="11">
        <f>IFERROR(__xludf.DUMMYFUNCTION("""COMPUTED_VALUE"""),39066.666666666664)</f>
        <v>39066.66667</v>
      </c>
      <c r="C4782" s="9">
        <f>IFERROR(__xludf.DUMMYFUNCTION("""COMPUTED_VALUE"""),26.68)</f>
        <v>26.68</v>
      </c>
      <c r="K4782" s="16"/>
      <c r="T4782" s="17"/>
      <c r="AC4782" s="17"/>
    </row>
    <row r="4783">
      <c r="B4783" s="11">
        <f>IFERROR(__xludf.DUMMYFUNCTION("""COMPUTED_VALUE"""),39065.666666666664)</f>
        <v>39065.66667</v>
      </c>
      <c r="C4783" s="9">
        <f>IFERROR(__xludf.DUMMYFUNCTION("""COMPUTED_VALUE"""),26.57)</f>
        <v>26.57</v>
      </c>
      <c r="K4783" s="16"/>
      <c r="T4783" s="17"/>
      <c r="AC4783" s="17"/>
    </row>
    <row r="4784">
      <c r="B4784" s="11">
        <f>IFERROR(__xludf.DUMMYFUNCTION("""COMPUTED_VALUE"""),39064.666666666664)</f>
        <v>39064.66667</v>
      </c>
      <c r="C4784" s="9">
        <f>IFERROR(__xludf.DUMMYFUNCTION("""COMPUTED_VALUE"""),26.59)</f>
        <v>26.59</v>
      </c>
      <c r="K4784" s="16"/>
      <c r="T4784" s="17"/>
      <c r="AC4784" s="17"/>
    </row>
    <row r="4785">
      <c r="B4785" s="11">
        <f>IFERROR(__xludf.DUMMYFUNCTION("""COMPUTED_VALUE"""),39063.666666666664)</f>
        <v>39063.66667</v>
      </c>
      <c r="C4785" s="9">
        <f>IFERROR(__xludf.DUMMYFUNCTION("""COMPUTED_VALUE"""),26.6)</f>
        <v>26.6</v>
      </c>
      <c r="K4785" s="16"/>
      <c r="T4785" s="17"/>
      <c r="AC4785" s="17"/>
    </row>
    <row r="4786">
      <c r="B4786" s="11">
        <f>IFERROR(__xludf.DUMMYFUNCTION("""COMPUTED_VALUE"""),39062.666666666664)</f>
        <v>39062.66667</v>
      </c>
      <c r="C4786" s="9">
        <f>IFERROR(__xludf.DUMMYFUNCTION("""COMPUTED_VALUE"""),26.73)</f>
        <v>26.73</v>
      </c>
      <c r="K4786" s="16"/>
      <c r="T4786" s="17"/>
      <c r="AC4786" s="17"/>
    </row>
    <row r="4787">
      <c r="B4787" s="11">
        <f>IFERROR(__xludf.DUMMYFUNCTION("""COMPUTED_VALUE"""),39059.666666666664)</f>
        <v>39059.66667</v>
      </c>
      <c r="C4787" s="9">
        <f>IFERROR(__xludf.DUMMYFUNCTION("""COMPUTED_VALUE"""),26.76)</f>
        <v>26.76</v>
      </c>
      <c r="K4787" s="16"/>
      <c r="T4787" s="17"/>
      <c r="AC4787" s="17"/>
    </row>
    <row r="4788">
      <c r="B4788" s="11">
        <f>IFERROR(__xludf.DUMMYFUNCTION("""COMPUTED_VALUE"""),39058.666666666664)</f>
        <v>39058.66667</v>
      </c>
      <c r="C4788" s="9">
        <f>IFERROR(__xludf.DUMMYFUNCTION("""COMPUTED_VALUE"""),26.8)</f>
        <v>26.8</v>
      </c>
      <c r="K4788" s="16"/>
      <c r="T4788" s="17"/>
      <c r="AC4788" s="17"/>
    </row>
    <row r="4789">
      <c r="B4789" s="11">
        <f>IFERROR(__xludf.DUMMYFUNCTION("""COMPUTED_VALUE"""),39057.666666666664)</f>
        <v>39057.66667</v>
      </c>
      <c r="C4789" s="9">
        <f>IFERROR(__xludf.DUMMYFUNCTION("""COMPUTED_VALUE"""),26.92)</f>
        <v>26.92</v>
      </c>
      <c r="K4789" s="16"/>
      <c r="T4789" s="17"/>
      <c r="AC4789" s="17"/>
    </row>
    <row r="4790">
      <c r="B4790" s="11">
        <f>IFERROR(__xludf.DUMMYFUNCTION("""COMPUTED_VALUE"""),39056.666666666664)</f>
        <v>39056.66667</v>
      </c>
      <c r="C4790" s="9">
        <f>IFERROR(__xludf.DUMMYFUNCTION("""COMPUTED_VALUE"""),26.87)</f>
        <v>26.87</v>
      </c>
      <c r="K4790" s="16"/>
      <c r="T4790" s="17"/>
      <c r="AC4790" s="17"/>
    </row>
    <row r="4791">
      <c r="B4791" s="11">
        <f>IFERROR(__xludf.DUMMYFUNCTION("""COMPUTED_VALUE"""),39055.666666666664)</f>
        <v>39055.66667</v>
      </c>
      <c r="C4791" s="9">
        <f>IFERROR(__xludf.DUMMYFUNCTION("""COMPUTED_VALUE"""),26.74)</f>
        <v>26.74</v>
      </c>
      <c r="K4791" s="16"/>
      <c r="T4791" s="17"/>
      <c r="AC4791" s="17"/>
    </row>
    <row r="4792">
      <c r="B4792" s="11">
        <f>IFERROR(__xludf.DUMMYFUNCTION("""COMPUTED_VALUE"""),39052.666666666664)</f>
        <v>39052.66667</v>
      </c>
      <c r="C4792" s="9">
        <f>IFERROR(__xludf.DUMMYFUNCTION("""COMPUTED_VALUE"""),26.31)</f>
        <v>26.31</v>
      </c>
      <c r="K4792" s="16"/>
      <c r="T4792" s="17"/>
      <c r="AC4792" s="17"/>
    </row>
    <row r="4793">
      <c r="B4793" s="11">
        <f>IFERROR(__xludf.DUMMYFUNCTION("""COMPUTED_VALUE"""),39051.666666666664)</f>
        <v>39051.66667</v>
      </c>
      <c r="C4793" s="9">
        <f>IFERROR(__xludf.DUMMYFUNCTION("""COMPUTED_VALUE"""),26.4)</f>
        <v>26.4</v>
      </c>
      <c r="K4793" s="16"/>
      <c r="T4793" s="17"/>
      <c r="AC4793" s="17"/>
    </row>
    <row r="4794">
      <c r="B4794" s="11">
        <f>IFERROR(__xludf.DUMMYFUNCTION("""COMPUTED_VALUE"""),39050.666666666664)</f>
        <v>39050.66667</v>
      </c>
      <c r="C4794" s="9">
        <f>IFERROR(__xludf.DUMMYFUNCTION("""COMPUTED_VALUE"""),26.5)</f>
        <v>26.5</v>
      </c>
      <c r="K4794" s="16"/>
      <c r="T4794" s="17"/>
      <c r="AC4794" s="17"/>
    </row>
    <row r="4795">
      <c r="B4795" s="11">
        <f>IFERROR(__xludf.DUMMYFUNCTION("""COMPUTED_VALUE"""),39049.666666666664)</f>
        <v>39049.66667</v>
      </c>
      <c r="C4795" s="9">
        <f>IFERROR(__xludf.DUMMYFUNCTION("""COMPUTED_VALUE"""),26.1)</f>
        <v>26.1</v>
      </c>
      <c r="K4795" s="16"/>
      <c r="T4795" s="17"/>
      <c r="AC4795" s="17"/>
    </row>
    <row r="4796">
      <c r="B4796" s="11">
        <f>IFERROR(__xludf.DUMMYFUNCTION("""COMPUTED_VALUE"""),39048.666666666664)</f>
        <v>39048.66667</v>
      </c>
      <c r="C4796" s="9">
        <f>IFERROR(__xludf.DUMMYFUNCTION("""COMPUTED_VALUE"""),25.95)</f>
        <v>25.95</v>
      </c>
      <c r="K4796" s="16"/>
      <c r="T4796" s="17"/>
      <c r="AC4796" s="17"/>
    </row>
    <row r="4797">
      <c r="B4797" s="11">
        <f>IFERROR(__xludf.DUMMYFUNCTION("""COMPUTED_VALUE"""),39043.666666666664)</f>
        <v>39043.66667</v>
      </c>
      <c r="C4797" s="9">
        <f>IFERROR(__xludf.DUMMYFUNCTION("""COMPUTED_VALUE"""),26.58)</f>
        <v>26.58</v>
      </c>
      <c r="K4797" s="16"/>
      <c r="T4797" s="17"/>
      <c r="AC4797" s="17"/>
    </row>
    <row r="4798">
      <c r="B4798" s="11">
        <f>IFERROR(__xludf.DUMMYFUNCTION("""COMPUTED_VALUE"""),39042.666666666664)</f>
        <v>39042.66667</v>
      </c>
      <c r="C4798" s="9">
        <f>IFERROR(__xludf.DUMMYFUNCTION("""COMPUTED_VALUE"""),26.56)</f>
        <v>26.56</v>
      </c>
      <c r="K4798" s="16"/>
      <c r="T4798" s="17"/>
      <c r="AC4798" s="17"/>
    </row>
    <row r="4799">
      <c r="B4799" s="11">
        <f>IFERROR(__xludf.DUMMYFUNCTION("""COMPUTED_VALUE"""),39041.666666666664)</f>
        <v>39041.66667</v>
      </c>
      <c r="C4799" s="9">
        <f>IFERROR(__xludf.DUMMYFUNCTION("""COMPUTED_VALUE"""),26.4)</f>
        <v>26.4</v>
      </c>
      <c r="K4799" s="16"/>
      <c r="T4799" s="17"/>
      <c r="AC4799" s="17"/>
    </row>
    <row r="4800">
      <c r="B4800" s="11">
        <f>IFERROR(__xludf.DUMMYFUNCTION("""COMPUTED_VALUE"""),39038.666666666664)</f>
        <v>39038.66667</v>
      </c>
      <c r="C4800" s="9">
        <f>IFERROR(__xludf.DUMMYFUNCTION("""COMPUTED_VALUE"""),26.45)</f>
        <v>26.45</v>
      </c>
      <c r="K4800" s="16"/>
      <c r="T4800" s="17"/>
      <c r="AC4800" s="17"/>
    </row>
    <row r="4801">
      <c r="B4801" s="11">
        <f>IFERROR(__xludf.DUMMYFUNCTION("""COMPUTED_VALUE"""),39037.666666666664)</f>
        <v>39037.66667</v>
      </c>
      <c r="C4801" s="9">
        <f>IFERROR(__xludf.DUMMYFUNCTION("""COMPUTED_VALUE"""),26.56)</f>
        <v>26.56</v>
      </c>
      <c r="K4801" s="16"/>
      <c r="T4801" s="17"/>
      <c r="AC4801" s="17"/>
    </row>
    <row r="4802">
      <c r="B4802" s="11">
        <f>IFERROR(__xludf.DUMMYFUNCTION("""COMPUTED_VALUE"""),39036.666666666664)</f>
        <v>39036.66667</v>
      </c>
      <c r="C4802" s="9">
        <f>IFERROR(__xludf.DUMMYFUNCTION("""COMPUTED_VALUE"""),26.42)</f>
        <v>26.42</v>
      </c>
      <c r="K4802" s="16"/>
      <c r="T4802" s="17"/>
      <c r="AC4802" s="17"/>
    </row>
    <row r="4803">
      <c r="B4803" s="11">
        <f>IFERROR(__xludf.DUMMYFUNCTION("""COMPUTED_VALUE"""),39035.666666666664)</f>
        <v>39035.66667</v>
      </c>
      <c r="C4803" s="9">
        <f>IFERROR(__xludf.DUMMYFUNCTION("""COMPUTED_VALUE"""),26.02)</f>
        <v>26.02</v>
      </c>
      <c r="K4803" s="16"/>
      <c r="T4803" s="17"/>
      <c r="AC4803" s="17"/>
    </row>
    <row r="4804">
      <c r="B4804" s="11">
        <f>IFERROR(__xludf.DUMMYFUNCTION("""COMPUTED_VALUE"""),39034.666666666664)</f>
        <v>39034.66667</v>
      </c>
      <c r="C4804" s="9">
        <f>IFERROR(__xludf.DUMMYFUNCTION("""COMPUTED_VALUE"""),25.68)</f>
        <v>25.68</v>
      </c>
      <c r="K4804" s="16"/>
      <c r="T4804" s="17"/>
      <c r="AC4804" s="17"/>
    </row>
    <row r="4805">
      <c r="B4805" s="11">
        <f>IFERROR(__xludf.DUMMYFUNCTION("""COMPUTED_VALUE"""),39031.666666666664)</f>
        <v>39031.66667</v>
      </c>
      <c r="C4805" s="9">
        <f>IFERROR(__xludf.DUMMYFUNCTION("""COMPUTED_VALUE"""),25.48)</f>
        <v>25.48</v>
      </c>
      <c r="K4805" s="16"/>
      <c r="T4805" s="17"/>
      <c r="AC4805" s="17"/>
    </row>
    <row r="4806">
      <c r="B4806" s="11">
        <f>IFERROR(__xludf.DUMMYFUNCTION("""COMPUTED_VALUE"""),39030.666666666664)</f>
        <v>39030.66667</v>
      </c>
      <c r="C4806" s="9">
        <f>IFERROR(__xludf.DUMMYFUNCTION("""COMPUTED_VALUE"""),25.33)</f>
        <v>25.33</v>
      </c>
      <c r="K4806" s="16"/>
      <c r="T4806" s="17"/>
      <c r="AC4806" s="17"/>
    </row>
    <row r="4807">
      <c r="B4807" s="11">
        <f>IFERROR(__xludf.DUMMYFUNCTION("""COMPUTED_VALUE"""),39029.666666666664)</f>
        <v>39029.66667</v>
      </c>
      <c r="C4807" s="9">
        <f>IFERROR(__xludf.DUMMYFUNCTION("""COMPUTED_VALUE"""),25.52)</f>
        <v>25.52</v>
      </c>
      <c r="K4807" s="16"/>
      <c r="T4807" s="17"/>
      <c r="AC4807" s="17"/>
    </row>
    <row r="4808">
      <c r="B4808" s="11">
        <f>IFERROR(__xludf.DUMMYFUNCTION("""COMPUTED_VALUE"""),39028.666666666664)</f>
        <v>39028.66667</v>
      </c>
      <c r="C4808" s="9">
        <f>IFERROR(__xludf.DUMMYFUNCTION("""COMPUTED_VALUE"""),25.69)</f>
        <v>25.69</v>
      </c>
      <c r="K4808" s="16"/>
      <c r="T4808" s="17"/>
      <c r="AC4808" s="17"/>
    </row>
    <row r="4809">
      <c r="B4809" s="11">
        <f>IFERROR(__xludf.DUMMYFUNCTION("""COMPUTED_VALUE"""),39027.666666666664)</f>
        <v>39027.66667</v>
      </c>
      <c r="C4809" s="9">
        <f>IFERROR(__xludf.DUMMYFUNCTION("""COMPUTED_VALUE"""),25.47)</f>
        <v>25.47</v>
      </c>
      <c r="K4809" s="16"/>
      <c r="T4809" s="17"/>
      <c r="AC4809" s="17"/>
    </row>
    <row r="4810">
      <c r="B4810" s="11">
        <f>IFERROR(__xludf.DUMMYFUNCTION("""COMPUTED_VALUE"""),39024.666666666664)</f>
        <v>39024.66667</v>
      </c>
      <c r="C4810" s="9">
        <f>IFERROR(__xludf.DUMMYFUNCTION("""COMPUTED_VALUE"""),25.07)</f>
        <v>25.07</v>
      </c>
      <c r="K4810" s="16"/>
      <c r="T4810" s="17"/>
      <c r="AC4810" s="17"/>
    </row>
    <row r="4811">
      <c r="B4811" s="11">
        <f>IFERROR(__xludf.DUMMYFUNCTION("""COMPUTED_VALUE"""),39023.666666666664)</f>
        <v>39023.66667</v>
      </c>
      <c r="C4811" s="9">
        <f>IFERROR(__xludf.DUMMYFUNCTION("""COMPUTED_VALUE"""),25.01)</f>
        <v>25.01</v>
      </c>
      <c r="K4811" s="16"/>
      <c r="T4811" s="17"/>
      <c r="AC4811" s="17"/>
    </row>
    <row r="4812">
      <c r="B4812" s="11">
        <f>IFERROR(__xludf.DUMMYFUNCTION("""COMPUTED_VALUE"""),39022.666666666664)</f>
        <v>39022.66667</v>
      </c>
      <c r="C4812" s="9">
        <f>IFERROR(__xludf.DUMMYFUNCTION("""COMPUTED_VALUE"""),25.21)</f>
        <v>25.21</v>
      </c>
      <c r="K4812" s="16"/>
      <c r="T4812" s="17"/>
      <c r="AC4812" s="17"/>
    </row>
    <row r="4813">
      <c r="B4813" s="11">
        <f>IFERROR(__xludf.DUMMYFUNCTION("""COMPUTED_VALUE"""),39021.666666666664)</f>
        <v>39021.66667</v>
      </c>
      <c r="C4813" s="9">
        <f>IFERROR(__xludf.DUMMYFUNCTION("""COMPUTED_VALUE"""),25.35)</f>
        <v>25.35</v>
      </c>
      <c r="K4813" s="16"/>
      <c r="T4813" s="17"/>
      <c r="AC4813" s="17"/>
    </row>
    <row r="4814">
      <c r="B4814" s="11">
        <f>IFERROR(__xludf.DUMMYFUNCTION("""COMPUTED_VALUE"""),39020.666666666664)</f>
        <v>39020.66667</v>
      </c>
      <c r="C4814" s="9">
        <f>IFERROR(__xludf.DUMMYFUNCTION("""COMPUTED_VALUE"""),25.43)</f>
        <v>25.43</v>
      </c>
      <c r="K4814" s="16"/>
      <c r="T4814" s="17"/>
      <c r="AC4814" s="17"/>
    </row>
    <row r="4815">
      <c r="B4815" s="11">
        <f>IFERROR(__xludf.DUMMYFUNCTION("""COMPUTED_VALUE"""),39017.666666666664)</f>
        <v>39017.66667</v>
      </c>
      <c r="C4815" s="9">
        <f>IFERROR(__xludf.DUMMYFUNCTION("""COMPUTED_VALUE"""),25.1)</f>
        <v>25.1</v>
      </c>
      <c r="K4815" s="16"/>
      <c r="T4815" s="17"/>
      <c r="AC4815" s="17"/>
    </row>
    <row r="4816">
      <c r="B4816" s="11">
        <f>IFERROR(__xludf.DUMMYFUNCTION("""COMPUTED_VALUE"""),39016.666666666664)</f>
        <v>39016.66667</v>
      </c>
      <c r="C4816" s="9">
        <f>IFERROR(__xludf.DUMMYFUNCTION("""COMPUTED_VALUE"""),25.24)</f>
        <v>25.24</v>
      </c>
      <c r="K4816" s="16"/>
      <c r="T4816" s="17"/>
      <c r="AC4816" s="17"/>
    </row>
    <row r="4817">
      <c r="B4817" s="11">
        <f>IFERROR(__xludf.DUMMYFUNCTION("""COMPUTED_VALUE"""),39015.666666666664)</f>
        <v>39015.66667</v>
      </c>
      <c r="C4817" s="9">
        <f>IFERROR(__xludf.DUMMYFUNCTION("""COMPUTED_VALUE"""),25.16)</f>
        <v>25.16</v>
      </c>
      <c r="K4817" s="16"/>
      <c r="T4817" s="17"/>
      <c r="AC4817" s="17"/>
    </row>
    <row r="4818">
      <c r="B4818" s="11">
        <f>IFERROR(__xludf.DUMMYFUNCTION("""COMPUTED_VALUE"""),39014.666666666664)</f>
        <v>39014.66667</v>
      </c>
      <c r="C4818" s="9">
        <f>IFERROR(__xludf.DUMMYFUNCTION("""COMPUTED_VALUE"""),25.42)</f>
        <v>25.42</v>
      </c>
      <c r="K4818" s="16"/>
      <c r="T4818" s="17"/>
      <c r="AC4818" s="17"/>
    </row>
    <row r="4819">
      <c r="B4819" s="11">
        <f>IFERROR(__xludf.DUMMYFUNCTION("""COMPUTED_VALUE"""),39013.666666666664)</f>
        <v>39013.66667</v>
      </c>
      <c r="C4819" s="9">
        <f>IFERROR(__xludf.DUMMYFUNCTION("""COMPUTED_VALUE"""),25.3)</f>
        <v>25.3</v>
      </c>
      <c r="K4819" s="16"/>
      <c r="T4819" s="17"/>
      <c r="AC4819" s="17"/>
    </row>
    <row r="4820">
      <c r="B4820" s="11">
        <f>IFERROR(__xludf.DUMMYFUNCTION("""COMPUTED_VALUE"""),39010.666666666664)</f>
        <v>39010.66667</v>
      </c>
      <c r="C4820" s="9">
        <f>IFERROR(__xludf.DUMMYFUNCTION("""COMPUTED_VALUE"""),25.2)</f>
        <v>25.2</v>
      </c>
      <c r="K4820" s="16"/>
      <c r="T4820" s="17"/>
      <c r="AC4820" s="17"/>
    </row>
    <row r="4821">
      <c r="B4821" s="11">
        <f>IFERROR(__xludf.DUMMYFUNCTION("""COMPUTED_VALUE"""),39009.666666666664)</f>
        <v>39009.66667</v>
      </c>
      <c r="C4821" s="9">
        <f>IFERROR(__xludf.DUMMYFUNCTION("""COMPUTED_VALUE"""),25.37)</f>
        <v>25.37</v>
      </c>
      <c r="K4821" s="16"/>
      <c r="T4821" s="17"/>
      <c r="AC4821" s="17"/>
    </row>
    <row r="4822">
      <c r="B4822" s="11">
        <f>IFERROR(__xludf.DUMMYFUNCTION("""COMPUTED_VALUE"""),39008.666666666664)</f>
        <v>39008.66667</v>
      </c>
      <c r="C4822" s="9">
        <f>IFERROR(__xludf.DUMMYFUNCTION("""COMPUTED_VALUE"""),25.52)</f>
        <v>25.52</v>
      </c>
      <c r="K4822" s="16"/>
      <c r="T4822" s="17"/>
      <c r="AC4822" s="17"/>
    </row>
    <row r="4823">
      <c r="B4823" s="11">
        <f>IFERROR(__xludf.DUMMYFUNCTION("""COMPUTED_VALUE"""),39007.666666666664)</f>
        <v>39007.66667</v>
      </c>
      <c r="C4823" s="9">
        <f>IFERROR(__xludf.DUMMYFUNCTION("""COMPUTED_VALUE"""),25.52)</f>
        <v>25.52</v>
      </c>
      <c r="K4823" s="16"/>
      <c r="T4823" s="17"/>
      <c r="AC4823" s="17"/>
    </row>
    <row r="4824">
      <c r="B4824" s="11">
        <f>IFERROR(__xludf.DUMMYFUNCTION("""COMPUTED_VALUE"""),39006.666666666664)</f>
        <v>39006.66667</v>
      </c>
      <c r="C4824" s="9">
        <f>IFERROR(__xludf.DUMMYFUNCTION("""COMPUTED_VALUE"""),25.84)</f>
        <v>25.84</v>
      </c>
      <c r="K4824" s="16"/>
      <c r="T4824" s="17"/>
      <c r="AC4824" s="17"/>
    </row>
    <row r="4825">
      <c r="B4825" s="11">
        <f>IFERROR(__xludf.DUMMYFUNCTION("""COMPUTED_VALUE"""),39003.666666666664)</f>
        <v>39003.66667</v>
      </c>
      <c r="C4825" s="9">
        <f>IFERROR(__xludf.DUMMYFUNCTION("""COMPUTED_VALUE"""),25.64)</f>
        <v>25.64</v>
      </c>
      <c r="K4825" s="16"/>
      <c r="T4825" s="17"/>
      <c r="AC4825" s="17"/>
    </row>
    <row r="4826">
      <c r="B4826" s="11">
        <f>IFERROR(__xludf.DUMMYFUNCTION("""COMPUTED_VALUE"""),39002.666666666664)</f>
        <v>39002.66667</v>
      </c>
      <c r="C4826" s="9">
        <f>IFERROR(__xludf.DUMMYFUNCTION("""COMPUTED_VALUE"""),25.64)</f>
        <v>25.64</v>
      </c>
      <c r="K4826" s="16"/>
      <c r="T4826" s="17"/>
      <c r="AC4826" s="17"/>
    </row>
    <row r="4827">
      <c r="B4827" s="11">
        <f>IFERROR(__xludf.DUMMYFUNCTION("""COMPUTED_VALUE"""),39001.666666666664)</f>
        <v>39001.66667</v>
      </c>
      <c r="C4827" s="9">
        <f>IFERROR(__xludf.DUMMYFUNCTION("""COMPUTED_VALUE"""),25.15)</f>
        <v>25.15</v>
      </c>
      <c r="K4827" s="16"/>
      <c r="T4827" s="17"/>
      <c r="AC4827" s="17"/>
    </row>
    <row r="4828">
      <c r="B4828" s="11">
        <f>IFERROR(__xludf.DUMMYFUNCTION("""COMPUTED_VALUE"""),39000.666666666664)</f>
        <v>39000.66667</v>
      </c>
      <c r="C4828" s="9">
        <f>IFERROR(__xludf.DUMMYFUNCTION("""COMPUTED_VALUE"""),25.18)</f>
        <v>25.18</v>
      </c>
      <c r="K4828" s="16"/>
      <c r="T4828" s="17"/>
      <c r="AC4828" s="17"/>
    </row>
    <row r="4829">
      <c r="B4829" s="11">
        <f>IFERROR(__xludf.DUMMYFUNCTION("""COMPUTED_VALUE"""),38999.666666666664)</f>
        <v>38999.66667</v>
      </c>
      <c r="C4829" s="9">
        <f>IFERROR(__xludf.DUMMYFUNCTION("""COMPUTED_VALUE"""),25.14)</f>
        <v>25.14</v>
      </c>
      <c r="K4829" s="16"/>
      <c r="T4829" s="17"/>
      <c r="AC4829" s="17"/>
    </row>
    <row r="4830">
      <c r="B4830" s="11">
        <f>IFERROR(__xludf.DUMMYFUNCTION("""COMPUTED_VALUE"""),38996.666666666664)</f>
        <v>38996.66667</v>
      </c>
      <c r="C4830" s="9">
        <f>IFERROR(__xludf.DUMMYFUNCTION("""COMPUTED_VALUE"""),25.07)</f>
        <v>25.07</v>
      </c>
      <c r="K4830" s="16"/>
      <c r="T4830" s="17"/>
      <c r="AC4830" s="17"/>
    </row>
    <row r="4831">
      <c r="B4831" s="11">
        <f>IFERROR(__xludf.DUMMYFUNCTION("""COMPUTED_VALUE"""),38995.666666666664)</f>
        <v>38995.66667</v>
      </c>
      <c r="C4831" s="9">
        <f>IFERROR(__xludf.DUMMYFUNCTION("""COMPUTED_VALUE"""),25.07)</f>
        <v>25.07</v>
      </c>
      <c r="K4831" s="16"/>
      <c r="T4831" s="17"/>
      <c r="AC4831" s="17"/>
    </row>
    <row r="4832">
      <c r="B4832" s="11">
        <f>IFERROR(__xludf.DUMMYFUNCTION("""COMPUTED_VALUE"""),38994.666666666664)</f>
        <v>38994.66667</v>
      </c>
      <c r="C4832" s="9">
        <f>IFERROR(__xludf.DUMMYFUNCTION("""COMPUTED_VALUE"""),24.9)</f>
        <v>24.9</v>
      </c>
      <c r="K4832" s="16"/>
      <c r="T4832" s="17"/>
      <c r="AC4832" s="17"/>
    </row>
    <row r="4833">
      <c r="B4833" s="11">
        <f>IFERROR(__xludf.DUMMYFUNCTION("""COMPUTED_VALUE"""),38993.666666666664)</f>
        <v>38993.66667</v>
      </c>
      <c r="C4833" s="9">
        <f>IFERROR(__xludf.DUMMYFUNCTION("""COMPUTED_VALUE"""),24.64)</f>
        <v>24.64</v>
      </c>
      <c r="K4833" s="16"/>
      <c r="T4833" s="17"/>
      <c r="AC4833" s="17"/>
    </row>
    <row r="4834">
      <c r="B4834" s="11">
        <f>IFERROR(__xludf.DUMMYFUNCTION("""COMPUTED_VALUE"""),38992.666666666664)</f>
        <v>38992.66667</v>
      </c>
      <c r="C4834" s="9">
        <f>IFERROR(__xludf.DUMMYFUNCTION("""COMPUTED_VALUE"""),24.45)</f>
        <v>24.45</v>
      </c>
      <c r="K4834" s="16"/>
      <c r="T4834" s="17"/>
      <c r="AC4834" s="17"/>
    </row>
    <row r="4835">
      <c r="B4835" s="11">
        <f>IFERROR(__xludf.DUMMYFUNCTION("""COMPUTED_VALUE"""),38989.666666666664)</f>
        <v>38989.66667</v>
      </c>
      <c r="C4835" s="9">
        <f>IFERROR(__xludf.DUMMYFUNCTION("""COMPUTED_VALUE"""),24.41)</f>
        <v>24.41</v>
      </c>
      <c r="K4835" s="16"/>
      <c r="T4835" s="17"/>
      <c r="AC4835" s="17"/>
    </row>
    <row r="4836">
      <c r="B4836" s="11">
        <f>IFERROR(__xludf.DUMMYFUNCTION("""COMPUTED_VALUE"""),38988.666666666664)</f>
        <v>38988.66667</v>
      </c>
      <c r="C4836" s="9">
        <f>IFERROR(__xludf.DUMMYFUNCTION("""COMPUTED_VALUE"""),24.55)</f>
        <v>24.55</v>
      </c>
      <c r="K4836" s="16"/>
      <c r="T4836" s="17"/>
      <c r="AC4836" s="17"/>
    </row>
    <row r="4837">
      <c r="B4837" s="11">
        <f>IFERROR(__xludf.DUMMYFUNCTION("""COMPUTED_VALUE"""),38987.666666666664)</f>
        <v>38987.66667</v>
      </c>
      <c r="C4837" s="9">
        <f>IFERROR(__xludf.DUMMYFUNCTION("""COMPUTED_VALUE"""),24.53)</f>
        <v>24.53</v>
      </c>
      <c r="K4837" s="16"/>
      <c r="T4837" s="17"/>
      <c r="AC4837" s="17"/>
    </row>
    <row r="4838">
      <c r="B4838" s="11">
        <f>IFERROR(__xludf.DUMMYFUNCTION("""COMPUTED_VALUE"""),38986.666666666664)</f>
        <v>38986.66667</v>
      </c>
      <c r="C4838" s="9">
        <f>IFERROR(__xludf.DUMMYFUNCTION("""COMPUTED_VALUE"""),24.54)</f>
        <v>24.54</v>
      </c>
      <c r="K4838" s="16"/>
      <c r="T4838" s="17"/>
      <c r="AC4838" s="17"/>
    </row>
    <row r="4839">
      <c r="B4839" s="11">
        <f>IFERROR(__xludf.DUMMYFUNCTION("""COMPUTED_VALUE"""),38985.666666666664)</f>
        <v>38985.66667</v>
      </c>
      <c r="C4839" s="9">
        <f>IFERROR(__xludf.DUMMYFUNCTION("""COMPUTED_VALUE"""),24.43)</f>
        <v>24.43</v>
      </c>
      <c r="K4839" s="16"/>
      <c r="T4839" s="17"/>
      <c r="AC4839" s="17"/>
    </row>
    <row r="4840">
      <c r="B4840" s="11">
        <f>IFERROR(__xludf.DUMMYFUNCTION("""COMPUTED_VALUE"""),38982.666666666664)</f>
        <v>38982.66667</v>
      </c>
      <c r="C4840" s="9">
        <f>IFERROR(__xludf.DUMMYFUNCTION("""COMPUTED_VALUE"""),24.19)</f>
        <v>24.19</v>
      </c>
      <c r="K4840" s="16"/>
      <c r="T4840" s="17"/>
      <c r="AC4840" s="17"/>
    </row>
    <row r="4841">
      <c r="B4841" s="11">
        <f>IFERROR(__xludf.DUMMYFUNCTION("""COMPUTED_VALUE"""),38981.666666666664)</f>
        <v>38981.66667</v>
      </c>
      <c r="C4841" s="9">
        <f>IFERROR(__xludf.DUMMYFUNCTION("""COMPUTED_VALUE"""),24.27)</f>
        <v>24.27</v>
      </c>
      <c r="K4841" s="16"/>
      <c r="T4841" s="17"/>
      <c r="AC4841" s="17"/>
    </row>
    <row r="4842">
      <c r="B4842" s="11">
        <f>IFERROR(__xludf.DUMMYFUNCTION("""COMPUTED_VALUE"""),38980.666666666664)</f>
        <v>38980.66667</v>
      </c>
      <c r="C4842" s="9">
        <f>IFERROR(__xludf.DUMMYFUNCTION("""COMPUTED_VALUE"""),24.41)</f>
        <v>24.41</v>
      </c>
      <c r="K4842" s="16"/>
      <c r="T4842" s="17"/>
      <c r="AC4842" s="17"/>
    </row>
    <row r="4843">
      <c r="B4843" s="11">
        <f>IFERROR(__xludf.DUMMYFUNCTION("""COMPUTED_VALUE"""),38979.666666666664)</f>
        <v>38979.66667</v>
      </c>
      <c r="C4843" s="9">
        <f>IFERROR(__xludf.DUMMYFUNCTION("""COMPUTED_VALUE"""),24.06)</f>
        <v>24.06</v>
      </c>
      <c r="K4843" s="16"/>
      <c r="T4843" s="17"/>
      <c r="AC4843" s="17"/>
    </row>
    <row r="4844">
      <c r="B4844" s="11">
        <f>IFERROR(__xludf.DUMMYFUNCTION("""COMPUTED_VALUE"""),38978.666666666664)</f>
        <v>38978.66667</v>
      </c>
      <c r="C4844" s="9">
        <f>IFERROR(__xludf.DUMMYFUNCTION("""COMPUTED_VALUE"""),24.16)</f>
        <v>24.16</v>
      </c>
      <c r="K4844" s="16"/>
      <c r="T4844" s="17"/>
      <c r="AC4844" s="17"/>
    </row>
    <row r="4845">
      <c r="B4845" s="11">
        <f>IFERROR(__xludf.DUMMYFUNCTION("""COMPUTED_VALUE"""),38975.666666666664)</f>
        <v>38975.66667</v>
      </c>
      <c r="C4845" s="9">
        <f>IFERROR(__xludf.DUMMYFUNCTION("""COMPUTED_VALUE"""),24.13)</f>
        <v>24.13</v>
      </c>
      <c r="K4845" s="16"/>
      <c r="T4845" s="17"/>
      <c r="AC4845" s="17"/>
    </row>
    <row r="4846">
      <c r="B4846" s="11">
        <f>IFERROR(__xludf.DUMMYFUNCTION("""COMPUTED_VALUE"""),38974.666666666664)</f>
        <v>38974.66667</v>
      </c>
      <c r="C4846" s="9">
        <f>IFERROR(__xludf.DUMMYFUNCTION("""COMPUTED_VALUE"""),24.0)</f>
        <v>24</v>
      </c>
      <c r="K4846" s="16"/>
      <c r="T4846" s="17"/>
      <c r="AC4846" s="17"/>
    </row>
    <row r="4847">
      <c r="B4847" s="11">
        <f>IFERROR(__xludf.DUMMYFUNCTION("""COMPUTED_VALUE"""),38973.666666666664)</f>
        <v>38973.66667</v>
      </c>
      <c r="C4847" s="9">
        <f>IFERROR(__xludf.DUMMYFUNCTION("""COMPUTED_VALUE"""),24.04)</f>
        <v>24.04</v>
      </c>
      <c r="K4847" s="16"/>
      <c r="T4847" s="17"/>
      <c r="AC4847" s="17"/>
    </row>
    <row r="4848">
      <c r="B4848" s="11">
        <f>IFERROR(__xludf.DUMMYFUNCTION("""COMPUTED_VALUE"""),38972.666666666664)</f>
        <v>38972.66667</v>
      </c>
      <c r="C4848" s="9">
        <f>IFERROR(__xludf.DUMMYFUNCTION("""COMPUTED_VALUE"""),23.87)</f>
        <v>23.87</v>
      </c>
      <c r="K4848" s="16"/>
      <c r="T4848" s="17"/>
      <c r="AC4848" s="17"/>
    </row>
    <row r="4849">
      <c r="B4849" s="11">
        <f>IFERROR(__xludf.DUMMYFUNCTION("""COMPUTED_VALUE"""),38971.666666666664)</f>
        <v>38971.66667</v>
      </c>
      <c r="C4849" s="9">
        <f>IFERROR(__xludf.DUMMYFUNCTION("""COMPUTED_VALUE"""),23.89)</f>
        <v>23.89</v>
      </c>
      <c r="K4849" s="16"/>
      <c r="T4849" s="17"/>
      <c r="AC4849" s="17"/>
    </row>
    <row r="4850">
      <c r="B4850" s="11">
        <f>IFERROR(__xludf.DUMMYFUNCTION("""COMPUTED_VALUE"""),38968.666666666664)</f>
        <v>38968.66667</v>
      </c>
      <c r="C4850" s="9">
        <f>IFERROR(__xludf.DUMMYFUNCTION("""COMPUTED_VALUE"""),23.81)</f>
        <v>23.81</v>
      </c>
      <c r="K4850" s="16"/>
      <c r="T4850" s="17"/>
      <c r="AC4850" s="17"/>
    </row>
    <row r="4851">
      <c r="B4851" s="11">
        <f>IFERROR(__xludf.DUMMYFUNCTION("""COMPUTED_VALUE"""),38967.666666666664)</f>
        <v>38967.66667</v>
      </c>
      <c r="C4851" s="9">
        <f>IFERROR(__xludf.DUMMYFUNCTION("""COMPUTED_VALUE"""),23.76)</f>
        <v>23.76</v>
      </c>
      <c r="K4851" s="16"/>
      <c r="T4851" s="17"/>
      <c r="AC4851" s="17"/>
    </row>
    <row r="4852">
      <c r="B4852" s="11">
        <f>IFERROR(__xludf.DUMMYFUNCTION("""COMPUTED_VALUE"""),38966.666666666664)</f>
        <v>38966.66667</v>
      </c>
      <c r="C4852" s="9">
        <f>IFERROR(__xludf.DUMMYFUNCTION("""COMPUTED_VALUE"""),23.96)</f>
        <v>23.96</v>
      </c>
      <c r="K4852" s="16"/>
      <c r="T4852" s="17"/>
      <c r="AC4852" s="17"/>
    </row>
    <row r="4853">
      <c r="B4853" s="11">
        <f>IFERROR(__xludf.DUMMYFUNCTION("""COMPUTED_VALUE"""),38965.666666666664)</f>
        <v>38965.66667</v>
      </c>
      <c r="C4853" s="9">
        <f>IFERROR(__xludf.DUMMYFUNCTION("""COMPUTED_VALUE"""),24.23)</f>
        <v>24.23</v>
      </c>
      <c r="K4853" s="16"/>
      <c r="T4853" s="17"/>
      <c r="AC4853" s="17"/>
    </row>
    <row r="4854">
      <c r="B4854" s="11">
        <f>IFERROR(__xludf.DUMMYFUNCTION("""COMPUTED_VALUE"""),38961.666666666664)</f>
        <v>38961.66667</v>
      </c>
      <c r="C4854" s="9">
        <f>IFERROR(__xludf.DUMMYFUNCTION("""COMPUTED_VALUE"""),24.0)</f>
        <v>24</v>
      </c>
      <c r="K4854" s="16"/>
      <c r="T4854" s="17"/>
      <c r="AC4854" s="17"/>
    </row>
    <row r="4855">
      <c r="B4855" s="11">
        <f>IFERROR(__xludf.DUMMYFUNCTION("""COMPUTED_VALUE"""),38960.666666666664)</f>
        <v>38960.66667</v>
      </c>
      <c r="C4855" s="9">
        <f>IFERROR(__xludf.DUMMYFUNCTION("""COMPUTED_VALUE"""),23.83)</f>
        <v>23.83</v>
      </c>
      <c r="K4855" s="16"/>
      <c r="T4855" s="17"/>
      <c r="AC4855" s="17"/>
    </row>
    <row r="4856">
      <c r="B4856" s="11">
        <f>IFERROR(__xludf.DUMMYFUNCTION("""COMPUTED_VALUE"""),38959.666666666664)</f>
        <v>38959.66667</v>
      </c>
      <c r="C4856" s="9">
        <f>IFERROR(__xludf.DUMMYFUNCTION("""COMPUTED_VALUE"""),23.75)</f>
        <v>23.75</v>
      </c>
      <c r="K4856" s="16"/>
      <c r="T4856" s="17"/>
      <c r="AC4856" s="17"/>
    </row>
    <row r="4857">
      <c r="B4857" s="11">
        <f>IFERROR(__xludf.DUMMYFUNCTION("""COMPUTED_VALUE"""),38958.666666666664)</f>
        <v>38958.66667</v>
      </c>
      <c r="C4857" s="9">
        <f>IFERROR(__xludf.DUMMYFUNCTION("""COMPUTED_VALUE"""),23.65)</f>
        <v>23.65</v>
      </c>
      <c r="K4857" s="16"/>
      <c r="T4857" s="17"/>
      <c r="AC4857" s="17"/>
    </row>
    <row r="4858">
      <c r="B4858" s="11">
        <f>IFERROR(__xludf.DUMMYFUNCTION("""COMPUTED_VALUE"""),38957.666666666664)</f>
        <v>38957.66667</v>
      </c>
      <c r="C4858" s="9">
        <f>IFERROR(__xludf.DUMMYFUNCTION("""COMPUTED_VALUE"""),23.59)</f>
        <v>23.59</v>
      </c>
      <c r="K4858" s="16"/>
      <c r="T4858" s="17"/>
      <c r="AC4858" s="17"/>
    </row>
    <row r="4859">
      <c r="B4859" s="11">
        <f>IFERROR(__xludf.DUMMYFUNCTION("""COMPUTED_VALUE"""),38954.666666666664)</f>
        <v>38954.66667</v>
      </c>
      <c r="C4859" s="9">
        <f>IFERROR(__xludf.DUMMYFUNCTION("""COMPUTED_VALUE"""),23.31)</f>
        <v>23.31</v>
      </c>
      <c r="K4859" s="16"/>
      <c r="T4859" s="17"/>
      <c r="AC4859" s="17"/>
    </row>
    <row r="4860">
      <c r="B4860" s="11">
        <f>IFERROR(__xludf.DUMMYFUNCTION("""COMPUTED_VALUE"""),38953.666666666664)</f>
        <v>38953.66667</v>
      </c>
      <c r="C4860" s="9">
        <f>IFERROR(__xludf.DUMMYFUNCTION("""COMPUTED_VALUE"""),23.43)</f>
        <v>23.43</v>
      </c>
      <c r="K4860" s="16"/>
      <c r="T4860" s="17"/>
      <c r="AC4860" s="17"/>
    </row>
    <row r="4861">
      <c r="B4861" s="11">
        <f>IFERROR(__xludf.DUMMYFUNCTION("""COMPUTED_VALUE"""),38952.666666666664)</f>
        <v>38952.66667</v>
      </c>
      <c r="C4861" s="9">
        <f>IFERROR(__xludf.DUMMYFUNCTION("""COMPUTED_VALUE"""),23.49)</f>
        <v>23.49</v>
      </c>
      <c r="K4861" s="16"/>
      <c r="T4861" s="17"/>
      <c r="AC4861" s="17"/>
    </row>
    <row r="4862">
      <c r="B4862" s="11">
        <f>IFERROR(__xludf.DUMMYFUNCTION("""COMPUTED_VALUE"""),38951.666666666664)</f>
        <v>38951.66667</v>
      </c>
      <c r="C4862" s="9">
        <f>IFERROR(__xludf.DUMMYFUNCTION("""COMPUTED_VALUE"""),23.71)</f>
        <v>23.71</v>
      </c>
      <c r="K4862" s="16"/>
      <c r="T4862" s="17"/>
      <c r="AC4862" s="17"/>
    </row>
    <row r="4863">
      <c r="B4863" s="11">
        <f>IFERROR(__xludf.DUMMYFUNCTION("""COMPUTED_VALUE"""),38950.666666666664)</f>
        <v>38950.66667</v>
      </c>
      <c r="C4863" s="9">
        <f>IFERROR(__xludf.DUMMYFUNCTION("""COMPUTED_VALUE"""),23.73)</f>
        <v>23.73</v>
      </c>
      <c r="K4863" s="16"/>
      <c r="T4863" s="17"/>
      <c r="AC4863" s="17"/>
    </row>
    <row r="4864">
      <c r="B4864" s="11">
        <f>IFERROR(__xludf.DUMMYFUNCTION("""COMPUTED_VALUE"""),38947.666666666664)</f>
        <v>38947.66667</v>
      </c>
      <c r="C4864" s="9">
        <f>IFERROR(__xludf.DUMMYFUNCTION("""COMPUTED_VALUE"""),23.9)</f>
        <v>23.9</v>
      </c>
      <c r="K4864" s="16"/>
      <c r="T4864" s="17"/>
      <c r="AC4864" s="17"/>
    </row>
    <row r="4865">
      <c r="B4865" s="11">
        <f>IFERROR(__xludf.DUMMYFUNCTION("""COMPUTED_VALUE"""),38946.666666666664)</f>
        <v>38946.66667</v>
      </c>
      <c r="C4865" s="9">
        <f>IFERROR(__xludf.DUMMYFUNCTION("""COMPUTED_VALUE"""),23.91)</f>
        <v>23.91</v>
      </c>
      <c r="K4865" s="16"/>
      <c r="T4865" s="17"/>
      <c r="AC4865" s="17"/>
    </row>
    <row r="4866">
      <c r="B4866" s="11">
        <f>IFERROR(__xludf.DUMMYFUNCTION("""COMPUTED_VALUE"""),38945.666666666664)</f>
        <v>38945.66667</v>
      </c>
      <c r="C4866" s="9">
        <f>IFERROR(__xludf.DUMMYFUNCTION("""COMPUTED_VALUE"""),23.81)</f>
        <v>23.81</v>
      </c>
      <c r="K4866" s="16"/>
      <c r="T4866" s="17"/>
      <c r="AC4866" s="17"/>
    </row>
    <row r="4867">
      <c r="B4867" s="11">
        <f>IFERROR(__xludf.DUMMYFUNCTION("""COMPUTED_VALUE"""),38944.666666666664)</f>
        <v>38944.66667</v>
      </c>
      <c r="C4867" s="9">
        <f>IFERROR(__xludf.DUMMYFUNCTION("""COMPUTED_VALUE"""),23.37)</f>
        <v>23.37</v>
      </c>
      <c r="K4867" s="16"/>
      <c r="T4867" s="17"/>
      <c r="AC4867" s="17"/>
    </row>
    <row r="4868">
      <c r="B4868" s="11">
        <f>IFERROR(__xludf.DUMMYFUNCTION("""COMPUTED_VALUE"""),38943.666666666664)</f>
        <v>38943.66667</v>
      </c>
      <c r="C4868" s="9">
        <f>IFERROR(__xludf.DUMMYFUNCTION("""COMPUTED_VALUE"""),22.95)</f>
        <v>22.95</v>
      </c>
      <c r="K4868" s="16"/>
      <c r="T4868" s="17"/>
      <c r="AC4868" s="17"/>
    </row>
    <row r="4869">
      <c r="B4869" s="11">
        <f>IFERROR(__xludf.DUMMYFUNCTION("""COMPUTED_VALUE"""),38940.666666666664)</f>
        <v>38940.66667</v>
      </c>
      <c r="C4869" s="9">
        <f>IFERROR(__xludf.DUMMYFUNCTION("""COMPUTED_VALUE"""),22.89)</f>
        <v>22.89</v>
      </c>
      <c r="K4869" s="16"/>
      <c r="T4869" s="17"/>
      <c r="AC4869" s="17"/>
    </row>
    <row r="4870">
      <c r="B4870" s="11">
        <f>IFERROR(__xludf.DUMMYFUNCTION("""COMPUTED_VALUE"""),38939.666666666664)</f>
        <v>38939.66667</v>
      </c>
      <c r="C4870" s="9">
        <f>IFERROR(__xludf.DUMMYFUNCTION("""COMPUTED_VALUE"""),23.07)</f>
        <v>23.07</v>
      </c>
      <c r="K4870" s="16"/>
      <c r="T4870" s="17"/>
      <c r="AC4870" s="17"/>
    </row>
    <row r="4871">
      <c r="B4871" s="11">
        <f>IFERROR(__xludf.DUMMYFUNCTION("""COMPUTED_VALUE"""),38938.666666666664)</f>
        <v>38938.66667</v>
      </c>
      <c r="C4871" s="9">
        <f>IFERROR(__xludf.DUMMYFUNCTION("""COMPUTED_VALUE"""),22.86)</f>
        <v>22.86</v>
      </c>
      <c r="K4871" s="16"/>
      <c r="T4871" s="17"/>
      <c r="AC4871" s="17"/>
    </row>
    <row r="4872">
      <c r="B4872" s="11">
        <f>IFERROR(__xludf.DUMMYFUNCTION("""COMPUTED_VALUE"""),38937.666666666664)</f>
        <v>38937.66667</v>
      </c>
      <c r="C4872" s="9">
        <f>IFERROR(__xludf.DUMMYFUNCTION("""COMPUTED_VALUE"""),23.2)</f>
        <v>23.2</v>
      </c>
      <c r="K4872" s="16"/>
      <c r="T4872" s="17"/>
      <c r="AC4872" s="17"/>
    </row>
    <row r="4873">
      <c r="B4873" s="11">
        <f>IFERROR(__xludf.DUMMYFUNCTION("""COMPUTED_VALUE"""),38936.666666666664)</f>
        <v>38936.66667</v>
      </c>
      <c r="C4873" s="9">
        <f>IFERROR(__xludf.DUMMYFUNCTION("""COMPUTED_VALUE"""),23.49)</f>
        <v>23.49</v>
      </c>
      <c r="K4873" s="16"/>
      <c r="T4873" s="17"/>
      <c r="AC4873" s="17"/>
    </row>
    <row r="4874">
      <c r="B4874" s="11">
        <f>IFERROR(__xludf.DUMMYFUNCTION("""COMPUTED_VALUE"""),38933.666666666664)</f>
        <v>38933.66667</v>
      </c>
      <c r="C4874" s="9">
        <f>IFERROR(__xludf.DUMMYFUNCTION("""COMPUTED_VALUE"""),23.59)</f>
        <v>23.59</v>
      </c>
      <c r="K4874" s="16"/>
      <c r="T4874" s="17"/>
      <c r="AC4874" s="17"/>
    </row>
    <row r="4875">
      <c r="B4875" s="11">
        <f>IFERROR(__xludf.DUMMYFUNCTION("""COMPUTED_VALUE"""),38932.666666666664)</f>
        <v>38932.66667</v>
      </c>
      <c r="C4875" s="9">
        <f>IFERROR(__xludf.DUMMYFUNCTION("""COMPUTED_VALUE"""),23.69)</f>
        <v>23.69</v>
      </c>
      <c r="K4875" s="16"/>
      <c r="T4875" s="17"/>
      <c r="AC4875" s="17"/>
    </row>
    <row r="4876">
      <c r="B4876" s="11">
        <f>IFERROR(__xludf.DUMMYFUNCTION("""COMPUTED_VALUE"""),38931.666666666664)</f>
        <v>38931.66667</v>
      </c>
      <c r="C4876" s="9">
        <f>IFERROR(__xludf.DUMMYFUNCTION("""COMPUTED_VALUE"""),23.66)</f>
        <v>23.66</v>
      </c>
      <c r="K4876" s="16"/>
      <c r="T4876" s="17"/>
      <c r="AC4876" s="17"/>
    </row>
    <row r="4877">
      <c r="B4877" s="11">
        <f>IFERROR(__xludf.DUMMYFUNCTION("""COMPUTED_VALUE"""),38930.666666666664)</f>
        <v>38930.66667</v>
      </c>
      <c r="C4877" s="9">
        <f>IFERROR(__xludf.DUMMYFUNCTION("""COMPUTED_VALUE"""),23.62)</f>
        <v>23.62</v>
      </c>
      <c r="K4877" s="16"/>
      <c r="T4877" s="17"/>
      <c r="AC4877" s="17"/>
    </row>
    <row r="4878">
      <c r="B4878" s="11">
        <f>IFERROR(__xludf.DUMMYFUNCTION("""COMPUTED_VALUE"""),38929.666666666664)</f>
        <v>38929.66667</v>
      </c>
      <c r="C4878" s="9">
        <f>IFERROR(__xludf.DUMMYFUNCTION("""COMPUTED_VALUE"""),23.75)</f>
        <v>23.75</v>
      </c>
      <c r="K4878" s="16"/>
      <c r="T4878" s="17"/>
      <c r="AC4878" s="17"/>
    </row>
    <row r="4879">
      <c r="B4879" s="11">
        <f>IFERROR(__xludf.DUMMYFUNCTION("""COMPUTED_VALUE"""),38926.666666666664)</f>
        <v>38926.66667</v>
      </c>
      <c r="C4879" s="9">
        <f>IFERROR(__xludf.DUMMYFUNCTION("""COMPUTED_VALUE"""),23.81)</f>
        <v>23.81</v>
      </c>
      <c r="K4879" s="16"/>
      <c r="T4879" s="17"/>
      <c r="AC4879" s="17"/>
    </row>
    <row r="4880">
      <c r="B4880" s="11">
        <f>IFERROR(__xludf.DUMMYFUNCTION("""COMPUTED_VALUE"""),38925.666666666664)</f>
        <v>38925.66667</v>
      </c>
      <c r="C4880" s="9">
        <f>IFERROR(__xludf.DUMMYFUNCTION("""COMPUTED_VALUE"""),23.69)</f>
        <v>23.69</v>
      </c>
      <c r="K4880" s="16"/>
      <c r="T4880" s="17"/>
      <c r="AC4880" s="17"/>
    </row>
    <row r="4881">
      <c r="B4881" s="11">
        <f>IFERROR(__xludf.DUMMYFUNCTION("""COMPUTED_VALUE"""),38924.666666666664)</f>
        <v>38924.66667</v>
      </c>
      <c r="C4881" s="9">
        <f>IFERROR(__xludf.DUMMYFUNCTION("""COMPUTED_VALUE"""),23.85)</f>
        <v>23.85</v>
      </c>
      <c r="K4881" s="16"/>
      <c r="T4881" s="17"/>
      <c r="AC4881" s="17"/>
    </row>
    <row r="4882">
      <c r="B4882" s="11">
        <f>IFERROR(__xludf.DUMMYFUNCTION("""COMPUTED_VALUE"""),38923.666666666664)</f>
        <v>38923.66667</v>
      </c>
      <c r="C4882" s="9">
        <f>IFERROR(__xludf.DUMMYFUNCTION("""COMPUTED_VALUE"""),24.06)</f>
        <v>24.06</v>
      </c>
      <c r="K4882" s="16"/>
      <c r="T4882" s="17"/>
      <c r="AC4882" s="17"/>
    </row>
    <row r="4883">
      <c r="B4883" s="11">
        <f>IFERROR(__xludf.DUMMYFUNCTION("""COMPUTED_VALUE"""),38922.666666666664)</f>
        <v>38922.66667</v>
      </c>
      <c r="C4883" s="9">
        <f>IFERROR(__xludf.DUMMYFUNCTION("""COMPUTED_VALUE"""),23.55)</f>
        <v>23.55</v>
      </c>
      <c r="K4883" s="16"/>
      <c r="T4883" s="17"/>
      <c r="AC4883" s="17"/>
    </row>
    <row r="4884">
      <c r="B4884" s="11">
        <f>IFERROR(__xludf.DUMMYFUNCTION("""COMPUTED_VALUE"""),38919.666666666664)</f>
        <v>38919.66667</v>
      </c>
      <c r="C4884" s="9">
        <f>IFERROR(__xludf.DUMMYFUNCTION("""COMPUTED_VALUE"""),23.13)</f>
        <v>23.13</v>
      </c>
      <c r="K4884" s="16"/>
      <c r="T4884" s="17"/>
      <c r="AC4884" s="17"/>
    </row>
    <row r="4885">
      <c r="B4885" s="11">
        <f>IFERROR(__xludf.DUMMYFUNCTION("""COMPUTED_VALUE"""),38918.666666666664)</f>
        <v>38918.66667</v>
      </c>
      <c r="C4885" s="9">
        <f>IFERROR(__xludf.DUMMYFUNCTION("""COMPUTED_VALUE"""),23.25)</f>
        <v>23.25</v>
      </c>
      <c r="K4885" s="16"/>
      <c r="T4885" s="17"/>
      <c r="AC4885" s="17"/>
    </row>
    <row r="4886">
      <c r="B4886" s="11">
        <f>IFERROR(__xludf.DUMMYFUNCTION("""COMPUTED_VALUE"""),38917.666666666664)</f>
        <v>38917.66667</v>
      </c>
      <c r="C4886" s="9">
        <f>IFERROR(__xludf.DUMMYFUNCTION("""COMPUTED_VALUE"""),23.58)</f>
        <v>23.58</v>
      </c>
      <c r="K4886" s="16"/>
      <c r="T4886" s="17"/>
      <c r="AC4886" s="17"/>
    </row>
    <row r="4887">
      <c r="B4887" s="11">
        <f>IFERROR(__xludf.DUMMYFUNCTION("""COMPUTED_VALUE"""),38916.666666666664)</f>
        <v>38916.66667</v>
      </c>
      <c r="C4887" s="9">
        <f>IFERROR(__xludf.DUMMYFUNCTION("""COMPUTED_VALUE"""),22.92)</f>
        <v>22.92</v>
      </c>
      <c r="K4887" s="16"/>
      <c r="T4887" s="17"/>
      <c r="AC4887" s="17"/>
    </row>
    <row r="4888">
      <c r="B4888" s="11">
        <f>IFERROR(__xludf.DUMMYFUNCTION("""COMPUTED_VALUE"""),38915.666666666664)</f>
        <v>38915.66667</v>
      </c>
      <c r="C4888" s="9">
        <f>IFERROR(__xludf.DUMMYFUNCTION("""COMPUTED_VALUE"""),22.85)</f>
        <v>22.85</v>
      </c>
      <c r="K4888" s="16"/>
      <c r="T4888" s="17"/>
      <c r="AC4888" s="17"/>
    </row>
    <row r="4889">
      <c r="B4889" s="11">
        <f>IFERROR(__xludf.DUMMYFUNCTION("""COMPUTED_VALUE"""),38912.666666666664)</f>
        <v>38912.66667</v>
      </c>
      <c r="C4889" s="9">
        <f>IFERROR(__xludf.DUMMYFUNCTION("""COMPUTED_VALUE"""),23.01)</f>
        <v>23.01</v>
      </c>
      <c r="K4889" s="16"/>
      <c r="T4889" s="17"/>
      <c r="AC4889" s="17"/>
    </row>
    <row r="4890">
      <c r="B4890" s="11">
        <f>IFERROR(__xludf.DUMMYFUNCTION("""COMPUTED_VALUE"""),38911.666666666664)</f>
        <v>38911.66667</v>
      </c>
      <c r="C4890" s="9">
        <f>IFERROR(__xludf.DUMMYFUNCTION("""COMPUTED_VALUE"""),23.35)</f>
        <v>23.35</v>
      </c>
      <c r="K4890" s="16"/>
      <c r="T4890" s="17"/>
      <c r="AC4890" s="17"/>
    </row>
    <row r="4891">
      <c r="B4891" s="11">
        <f>IFERROR(__xludf.DUMMYFUNCTION("""COMPUTED_VALUE"""),38910.666666666664)</f>
        <v>38910.66667</v>
      </c>
      <c r="C4891" s="9">
        <f>IFERROR(__xludf.DUMMYFUNCTION("""COMPUTED_VALUE"""),23.73)</f>
        <v>23.73</v>
      </c>
      <c r="K4891" s="16"/>
      <c r="T4891" s="17"/>
      <c r="AC4891" s="17"/>
    </row>
    <row r="4892">
      <c r="B4892" s="11">
        <f>IFERROR(__xludf.DUMMYFUNCTION("""COMPUTED_VALUE"""),38909.666666666664)</f>
        <v>38909.66667</v>
      </c>
      <c r="C4892" s="9">
        <f>IFERROR(__xludf.DUMMYFUNCTION("""COMPUTED_VALUE"""),23.93)</f>
        <v>23.93</v>
      </c>
      <c r="K4892" s="16"/>
      <c r="T4892" s="17"/>
      <c r="AC4892" s="17"/>
    </row>
    <row r="4893">
      <c r="B4893" s="11">
        <f>IFERROR(__xludf.DUMMYFUNCTION("""COMPUTED_VALUE"""),38908.666666666664)</f>
        <v>38908.66667</v>
      </c>
      <c r="C4893" s="9">
        <f>IFERROR(__xludf.DUMMYFUNCTION("""COMPUTED_VALUE"""),23.5)</f>
        <v>23.5</v>
      </c>
      <c r="K4893" s="16"/>
      <c r="T4893" s="17"/>
      <c r="AC4893" s="17"/>
    </row>
    <row r="4894">
      <c r="B4894" s="11">
        <f>IFERROR(__xludf.DUMMYFUNCTION("""COMPUTED_VALUE"""),38905.666666666664)</f>
        <v>38905.66667</v>
      </c>
      <c r="C4894" s="9">
        <f>IFERROR(__xludf.DUMMYFUNCTION("""COMPUTED_VALUE"""),23.43)</f>
        <v>23.43</v>
      </c>
      <c r="K4894" s="16"/>
      <c r="T4894" s="17"/>
      <c r="AC4894" s="17"/>
    </row>
    <row r="4895">
      <c r="B4895" s="11">
        <f>IFERROR(__xludf.DUMMYFUNCTION("""COMPUTED_VALUE"""),38904.666666666664)</f>
        <v>38904.66667</v>
      </c>
      <c r="C4895" s="9">
        <f>IFERROR(__xludf.DUMMYFUNCTION("""COMPUTED_VALUE"""),23.66)</f>
        <v>23.66</v>
      </c>
      <c r="K4895" s="16"/>
      <c r="T4895" s="17"/>
      <c r="AC4895" s="17"/>
    </row>
    <row r="4896">
      <c r="B4896" s="11">
        <f>IFERROR(__xludf.DUMMYFUNCTION("""COMPUTED_VALUE"""),38903.666666666664)</f>
        <v>38903.66667</v>
      </c>
      <c r="C4896" s="9">
        <f>IFERROR(__xludf.DUMMYFUNCTION("""COMPUTED_VALUE"""),23.54)</f>
        <v>23.54</v>
      </c>
      <c r="K4896" s="16"/>
      <c r="T4896" s="17"/>
      <c r="AC4896" s="17"/>
    </row>
    <row r="4897">
      <c r="B4897" s="11">
        <f>IFERROR(__xludf.DUMMYFUNCTION("""COMPUTED_VALUE"""),38898.666666666664)</f>
        <v>38898.66667</v>
      </c>
      <c r="C4897" s="9">
        <f>IFERROR(__xludf.DUMMYFUNCTION("""COMPUTED_VALUE"""),23.59)</f>
        <v>23.59</v>
      </c>
      <c r="K4897" s="16"/>
      <c r="T4897" s="17"/>
      <c r="AC4897" s="17"/>
    </row>
    <row r="4898">
      <c r="B4898" s="11">
        <f>IFERROR(__xludf.DUMMYFUNCTION("""COMPUTED_VALUE"""),38897.666666666664)</f>
        <v>38897.66667</v>
      </c>
      <c r="C4898" s="9">
        <f>IFERROR(__xludf.DUMMYFUNCTION("""COMPUTED_VALUE"""),23.52)</f>
        <v>23.52</v>
      </c>
      <c r="K4898" s="16"/>
      <c r="T4898" s="17"/>
      <c r="AC4898" s="17"/>
    </row>
    <row r="4899">
      <c r="B4899" s="11">
        <f>IFERROR(__xludf.DUMMYFUNCTION("""COMPUTED_VALUE"""),38896.666666666664)</f>
        <v>38896.66667</v>
      </c>
      <c r="C4899" s="9">
        <f>IFERROR(__xludf.DUMMYFUNCTION("""COMPUTED_VALUE"""),22.91)</f>
        <v>22.91</v>
      </c>
      <c r="K4899" s="16"/>
      <c r="T4899" s="17"/>
      <c r="AC4899" s="17"/>
    </row>
    <row r="4900">
      <c r="B4900" s="11">
        <f>IFERROR(__xludf.DUMMYFUNCTION("""COMPUTED_VALUE"""),38895.666666666664)</f>
        <v>38895.66667</v>
      </c>
      <c r="C4900" s="9">
        <f>IFERROR(__xludf.DUMMYFUNCTION("""COMPUTED_VALUE"""),22.99)</f>
        <v>22.99</v>
      </c>
      <c r="K4900" s="16"/>
      <c r="T4900" s="17"/>
      <c r="AC4900" s="17"/>
    </row>
    <row r="4901">
      <c r="B4901" s="11">
        <f>IFERROR(__xludf.DUMMYFUNCTION("""COMPUTED_VALUE"""),38894.666666666664)</f>
        <v>38894.66667</v>
      </c>
      <c r="C4901" s="9">
        <f>IFERROR(__xludf.DUMMYFUNCTION("""COMPUTED_VALUE"""),23.26)</f>
        <v>23.26</v>
      </c>
      <c r="K4901" s="16"/>
      <c r="T4901" s="17"/>
      <c r="AC4901" s="17"/>
    </row>
    <row r="4902">
      <c r="B4902" s="11">
        <f>IFERROR(__xludf.DUMMYFUNCTION("""COMPUTED_VALUE"""),38891.666666666664)</f>
        <v>38891.66667</v>
      </c>
      <c r="C4902" s="9">
        <f>IFERROR(__xludf.DUMMYFUNCTION("""COMPUTED_VALUE"""),23.33)</f>
        <v>23.33</v>
      </c>
      <c r="K4902" s="16"/>
      <c r="T4902" s="17"/>
      <c r="AC4902" s="17"/>
    </row>
    <row r="4903">
      <c r="B4903" s="11">
        <f>IFERROR(__xludf.DUMMYFUNCTION("""COMPUTED_VALUE"""),38889.666666666664)</f>
        <v>38889.66667</v>
      </c>
      <c r="C4903" s="9">
        <f>IFERROR(__xludf.DUMMYFUNCTION("""COMPUTED_VALUE"""),23.5)</f>
        <v>23.5</v>
      </c>
      <c r="K4903" s="16"/>
      <c r="T4903" s="17"/>
      <c r="AC4903" s="17"/>
    </row>
    <row r="4904">
      <c r="B4904" s="11">
        <f>IFERROR(__xludf.DUMMYFUNCTION("""COMPUTED_VALUE"""),38888.666666666664)</f>
        <v>38888.66667</v>
      </c>
      <c r="C4904" s="9">
        <f>IFERROR(__xludf.DUMMYFUNCTION("""COMPUTED_VALUE"""),23.13)</f>
        <v>23.13</v>
      </c>
      <c r="K4904" s="16"/>
      <c r="T4904" s="17"/>
      <c r="AC4904" s="17"/>
    </row>
    <row r="4905">
      <c r="B4905" s="11">
        <f>IFERROR(__xludf.DUMMYFUNCTION("""COMPUTED_VALUE"""),38887.666666666664)</f>
        <v>38887.66667</v>
      </c>
      <c r="C4905" s="9">
        <f>IFERROR(__xludf.DUMMYFUNCTION("""COMPUTED_VALUE"""),23.21)</f>
        <v>23.21</v>
      </c>
      <c r="K4905" s="16"/>
      <c r="T4905" s="17"/>
      <c r="AC4905" s="17"/>
    </row>
    <row r="4906">
      <c r="B4906" s="11">
        <f>IFERROR(__xludf.DUMMYFUNCTION("""COMPUTED_VALUE"""),38884.666666666664)</f>
        <v>38884.66667</v>
      </c>
      <c r="C4906" s="9">
        <f>IFERROR(__xludf.DUMMYFUNCTION("""COMPUTED_VALUE"""),23.56)</f>
        <v>23.56</v>
      </c>
      <c r="K4906" s="16"/>
      <c r="T4906" s="17"/>
      <c r="AC4906" s="17"/>
    </row>
    <row r="4907">
      <c r="B4907" s="11">
        <f>IFERROR(__xludf.DUMMYFUNCTION("""COMPUTED_VALUE"""),38883.666666666664)</f>
        <v>38883.66667</v>
      </c>
      <c r="C4907" s="9">
        <f>IFERROR(__xludf.DUMMYFUNCTION("""COMPUTED_VALUE"""),23.6)</f>
        <v>23.6</v>
      </c>
      <c r="K4907" s="16"/>
      <c r="T4907" s="17"/>
      <c r="AC4907" s="17"/>
    </row>
    <row r="4908">
      <c r="B4908" s="11">
        <f>IFERROR(__xludf.DUMMYFUNCTION("""COMPUTED_VALUE"""),38882.666666666664)</f>
        <v>38882.66667</v>
      </c>
      <c r="C4908" s="9">
        <f>IFERROR(__xludf.DUMMYFUNCTION("""COMPUTED_VALUE"""),22.85)</f>
        <v>22.85</v>
      </c>
      <c r="K4908" s="16"/>
      <c r="T4908" s="17"/>
      <c r="AC4908" s="17"/>
    </row>
    <row r="4909">
      <c r="B4909" s="11">
        <f>IFERROR(__xludf.DUMMYFUNCTION("""COMPUTED_VALUE"""),38881.666666666664)</f>
        <v>38881.66667</v>
      </c>
      <c r="C4909" s="9">
        <f>IFERROR(__xludf.DUMMYFUNCTION("""COMPUTED_VALUE"""),22.55)</f>
        <v>22.55</v>
      </c>
      <c r="K4909" s="16"/>
      <c r="T4909" s="17"/>
      <c r="AC4909" s="17"/>
    </row>
    <row r="4910">
      <c r="B4910" s="11">
        <f>IFERROR(__xludf.DUMMYFUNCTION("""COMPUTED_VALUE"""),38880.666666666664)</f>
        <v>38880.66667</v>
      </c>
      <c r="C4910" s="9">
        <f>IFERROR(__xludf.DUMMYFUNCTION("""COMPUTED_VALUE"""),22.88)</f>
        <v>22.88</v>
      </c>
      <c r="K4910" s="16"/>
      <c r="T4910" s="17"/>
      <c r="AC4910" s="17"/>
    </row>
    <row r="4911">
      <c r="B4911" s="11">
        <f>IFERROR(__xludf.DUMMYFUNCTION("""COMPUTED_VALUE"""),38877.666666666664)</f>
        <v>38877.66667</v>
      </c>
      <c r="C4911" s="9">
        <f>IFERROR(__xludf.DUMMYFUNCTION("""COMPUTED_VALUE"""),23.5)</f>
        <v>23.5</v>
      </c>
      <c r="K4911" s="16"/>
      <c r="T4911" s="17"/>
      <c r="AC4911" s="17"/>
    </row>
    <row r="4912">
      <c r="B4912" s="11">
        <f>IFERROR(__xludf.DUMMYFUNCTION("""COMPUTED_VALUE"""),38876.666666666664)</f>
        <v>38876.66667</v>
      </c>
      <c r="C4912" s="9">
        <f>IFERROR(__xludf.DUMMYFUNCTION("""COMPUTED_VALUE"""),23.59)</f>
        <v>23.59</v>
      </c>
      <c r="K4912" s="16"/>
      <c r="T4912" s="17"/>
      <c r="AC4912" s="17"/>
    </row>
    <row r="4913">
      <c r="B4913" s="11">
        <f>IFERROR(__xludf.DUMMYFUNCTION("""COMPUTED_VALUE"""),38875.666666666664)</f>
        <v>38875.66667</v>
      </c>
      <c r="C4913" s="9">
        <f>IFERROR(__xludf.DUMMYFUNCTION("""COMPUTED_VALUE"""),23.65)</f>
        <v>23.65</v>
      </c>
      <c r="K4913" s="16"/>
      <c r="T4913" s="17"/>
      <c r="AC4913" s="17"/>
    </row>
    <row r="4914">
      <c r="B4914" s="11">
        <f>IFERROR(__xludf.DUMMYFUNCTION("""COMPUTED_VALUE"""),38874.666666666664)</f>
        <v>38874.66667</v>
      </c>
      <c r="C4914" s="9">
        <f>IFERROR(__xludf.DUMMYFUNCTION("""COMPUTED_VALUE"""),23.57)</f>
        <v>23.57</v>
      </c>
      <c r="K4914" s="16"/>
      <c r="T4914" s="17"/>
      <c r="AC4914" s="17"/>
    </row>
    <row r="4915">
      <c r="B4915" s="11">
        <f>IFERROR(__xludf.DUMMYFUNCTION("""COMPUTED_VALUE"""),38873.666666666664)</f>
        <v>38873.66667</v>
      </c>
      <c r="C4915" s="9">
        <f>IFERROR(__xludf.DUMMYFUNCTION("""COMPUTED_VALUE"""),24.07)</f>
        <v>24.07</v>
      </c>
      <c r="K4915" s="16"/>
      <c r="T4915" s="17"/>
      <c r="AC4915" s="17"/>
    </row>
    <row r="4916">
      <c r="B4916" s="11">
        <f>IFERROR(__xludf.DUMMYFUNCTION("""COMPUTED_VALUE"""),38870.666666666664)</f>
        <v>38870.66667</v>
      </c>
      <c r="C4916" s="9">
        <f>IFERROR(__xludf.DUMMYFUNCTION("""COMPUTED_VALUE"""),24.4)</f>
        <v>24.4</v>
      </c>
      <c r="K4916" s="16"/>
      <c r="T4916" s="17"/>
      <c r="AC4916" s="17"/>
    </row>
    <row r="4917">
      <c r="B4917" s="11">
        <f>IFERROR(__xludf.DUMMYFUNCTION("""COMPUTED_VALUE"""),38869.666666666664)</f>
        <v>38869.66667</v>
      </c>
      <c r="C4917" s="9">
        <f>IFERROR(__xludf.DUMMYFUNCTION("""COMPUTED_VALUE"""),24.42)</f>
        <v>24.42</v>
      </c>
      <c r="K4917" s="16"/>
      <c r="T4917" s="17"/>
      <c r="AC4917" s="17"/>
    </row>
    <row r="4918">
      <c r="B4918" s="11">
        <f>IFERROR(__xludf.DUMMYFUNCTION("""COMPUTED_VALUE"""),38868.666666666664)</f>
        <v>38868.66667</v>
      </c>
      <c r="C4918" s="9">
        <f>IFERROR(__xludf.DUMMYFUNCTION("""COMPUTED_VALUE"""),24.07)</f>
        <v>24.07</v>
      </c>
      <c r="K4918" s="16"/>
      <c r="T4918" s="17"/>
      <c r="AC4918" s="17"/>
    </row>
    <row r="4919">
      <c r="B4919" s="11">
        <f>IFERROR(__xludf.DUMMYFUNCTION("""COMPUTED_VALUE"""),38867.666666666664)</f>
        <v>38867.66667</v>
      </c>
      <c r="C4919" s="9">
        <f>IFERROR(__xludf.DUMMYFUNCTION("""COMPUTED_VALUE"""),23.95)</f>
        <v>23.95</v>
      </c>
      <c r="K4919" s="16"/>
      <c r="T4919" s="17"/>
      <c r="AC4919" s="17"/>
    </row>
    <row r="4920">
      <c r="B4920" s="11">
        <f>IFERROR(__xludf.DUMMYFUNCTION("""COMPUTED_VALUE"""),38863.666666666664)</f>
        <v>38863.66667</v>
      </c>
      <c r="C4920" s="9">
        <f>IFERROR(__xludf.DUMMYFUNCTION("""COMPUTED_VALUE"""),24.26)</f>
        <v>24.26</v>
      </c>
      <c r="K4920" s="16"/>
      <c r="T4920" s="17"/>
      <c r="AC4920" s="17"/>
    </row>
    <row r="4921">
      <c r="B4921" s="11">
        <f>IFERROR(__xludf.DUMMYFUNCTION("""COMPUTED_VALUE"""),38862.666666666664)</f>
        <v>38862.66667</v>
      </c>
      <c r="C4921" s="9">
        <f>IFERROR(__xludf.DUMMYFUNCTION("""COMPUTED_VALUE"""),24.12)</f>
        <v>24.12</v>
      </c>
      <c r="K4921" s="16"/>
      <c r="T4921" s="17"/>
      <c r="AC4921" s="17"/>
    </row>
    <row r="4922">
      <c r="B4922" s="11">
        <f>IFERROR(__xludf.DUMMYFUNCTION("""COMPUTED_VALUE"""),38861.666666666664)</f>
        <v>38861.66667</v>
      </c>
      <c r="C4922" s="9">
        <f>IFERROR(__xludf.DUMMYFUNCTION("""COMPUTED_VALUE"""),24.01)</f>
        <v>24.01</v>
      </c>
      <c r="K4922" s="16"/>
      <c r="T4922" s="17"/>
      <c r="AC4922" s="17"/>
    </row>
    <row r="4923">
      <c r="B4923" s="11">
        <f>IFERROR(__xludf.DUMMYFUNCTION("""COMPUTED_VALUE"""),38860.666666666664)</f>
        <v>38860.66667</v>
      </c>
      <c r="C4923" s="9">
        <f>IFERROR(__xludf.DUMMYFUNCTION("""COMPUTED_VALUE"""),24.2)</f>
        <v>24.2</v>
      </c>
      <c r="K4923" s="16"/>
      <c r="T4923" s="17"/>
      <c r="AC4923" s="17"/>
    </row>
    <row r="4924">
      <c r="B4924" s="11">
        <f>IFERROR(__xludf.DUMMYFUNCTION("""COMPUTED_VALUE"""),38859.666666666664)</f>
        <v>38859.66667</v>
      </c>
      <c r="C4924" s="9">
        <f>IFERROR(__xludf.DUMMYFUNCTION("""COMPUTED_VALUE"""),24.39)</f>
        <v>24.39</v>
      </c>
      <c r="K4924" s="16"/>
      <c r="T4924" s="17"/>
      <c r="AC4924" s="17"/>
    </row>
    <row r="4925">
      <c r="B4925" s="11">
        <f>IFERROR(__xludf.DUMMYFUNCTION("""COMPUTED_VALUE"""),38856.666666666664)</f>
        <v>38856.66667</v>
      </c>
      <c r="C4925" s="9">
        <f>IFERROR(__xludf.DUMMYFUNCTION("""COMPUTED_VALUE"""),24.33)</f>
        <v>24.33</v>
      </c>
      <c r="K4925" s="16"/>
      <c r="T4925" s="17"/>
      <c r="AC4925" s="17"/>
    </row>
    <row r="4926">
      <c r="B4926" s="11">
        <f>IFERROR(__xludf.DUMMYFUNCTION("""COMPUTED_VALUE"""),38855.666666666664)</f>
        <v>38855.66667</v>
      </c>
      <c r="C4926" s="9">
        <f>IFERROR(__xludf.DUMMYFUNCTION("""COMPUTED_VALUE"""),24.21)</f>
        <v>24.21</v>
      </c>
      <c r="K4926" s="16"/>
      <c r="T4926" s="17"/>
      <c r="AC4926" s="17"/>
    </row>
    <row r="4927">
      <c r="B4927" s="11">
        <f>IFERROR(__xludf.DUMMYFUNCTION("""COMPUTED_VALUE"""),38854.666666666664)</f>
        <v>38854.66667</v>
      </c>
      <c r="C4927" s="9">
        <f>IFERROR(__xludf.DUMMYFUNCTION("""COMPUTED_VALUE"""),24.45)</f>
        <v>24.45</v>
      </c>
      <c r="K4927" s="16"/>
      <c r="T4927" s="17"/>
      <c r="AC4927" s="17"/>
    </row>
    <row r="4928">
      <c r="B4928" s="11">
        <f>IFERROR(__xludf.DUMMYFUNCTION("""COMPUTED_VALUE"""),38853.666666666664)</f>
        <v>38853.66667</v>
      </c>
      <c r="C4928" s="9">
        <f>IFERROR(__xludf.DUMMYFUNCTION("""COMPUTED_VALUE"""),25.04)</f>
        <v>25.04</v>
      </c>
      <c r="K4928" s="16"/>
      <c r="T4928" s="17"/>
      <c r="AC4928" s="17"/>
    </row>
    <row r="4929">
      <c r="B4929" s="11">
        <f>IFERROR(__xludf.DUMMYFUNCTION("""COMPUTED_VALUE"""),38852.666666666664)</f>
        <v>38852.66667</v>
      </c>
      <c r="C4929" s="9">
        <f>IFERROR(__xludf.DUMMYFUNCTION("""COMPUTED_VALUE"""),25.08)</f>
        <v>25.08</v>
      </c>
      <c r="K4929" s="16"/>
      <c r="T4929" s="17"/>
      <c r="AC4929" s="17"/>
    </row>
    <row r="4930">
      <c r="B4930" s="11">
        <f>IFERROR(__xludf.DUMMYFUNCTION("""COMPUTED_VALUE"""),38849.666666666664)</f>
        <v>38849.66667</v>
      </c>
      <c r="C4930" s="9">
        <f>IFERROR(__xludf.DUMMYFUNCTION("""COMPUTED_VALUE"""),25.15)</f>
        <v>25.15</v>
      </c>
      <c r="K4930" s="16"/>
      <c r="T4930" s="17"/>
      <c r="AC4930" s="17"/>
    </row>
    <row r="4931">
      <c r="B4931" s="11">
        <f>IFERROR(__xludf.DUMMYFUNCTION("""COMPUTED_VALUE"""),38848.666666666664)</f>
        <v>38848.66667</v>
      </c>
      <c r="C4931" s="9">
        <f>IFERROR(__xludf.DUMMYFUNCTION("""COMPUTED_VALUE"""),25.7)</f>
        <v>25.7</v>
      </c>
      <c r="K4931" s="16"/>
      <c r="T4931" s="17"/>
      <c r="AC4931" s="17"/>
    </row>
    <row r="4932">
      <c r="B4932" s="11">
        <f>IFERROR(__xludf.DUMMYFUNCTION("""COMPUTED_VALUE"""),38847.666666666664)</f>
        <v>38847.66667</v>
      </c>
      <c r="C4932" s="9">
        <f>IFERROR(__xludf.DUMMYFUNCTION("""COMPUTED_VALUE"""),25.99)</f>
        <v>25.99</v>
      </c>
      <c r="K4932" s="16"/>
      <c r="T4932" s="17"/>
      <c r="AC4932" s="17"/>
    </row>
    <row r="4933">
      <c r="B4933" s="11">
        <f>IFERROR(__xludf.DUMMYFUNCTION("""COMPUTED_VALUE"""),38846.666666666664)</f>
        <v>38846.66667</v>
      </c>
      <c r="C4933" s="9">
        <f>IFERROR(__xludf.DUMMYFUNCTION("""COMPUTED_VALUE"""),25.87)</f>
        <v>25.87</v>
      </c>
      <c r="K4933" s="16"/>
      <c r="T4933" s="17"/>
      <c r="AC4933" s="17"/>
    </row>
    <row r="4934">
      <c r="B4934" s="11">
        <f>IFERROR(__xludf.DUMMYFUNCTION("""COMPUTED_VALUE"""),38845.666666666664)</f>
        <v>38845.66667</v>
      </c>
      <c r="C4934" s="9">
        <f>IFERROR(__xludf.DUMMYFUNCTION("""COMPUTED_VALUE"""),25.89)</f>
        <v>25.89</v>
      </c>
      <c r="K4934" s="16"/>
      <c r="T4934" s="17"/>
      <c r="AC4934" s="17"/>
    </row>
    <row r="4935">
      <c r="B4935" s="11">
        <f>IFERROR(__xludf.DUMMYFUNCTION("""COMPUTED_VALUE"""),38842.666666666664)</f>
        <v>38842.66667</v>
      </c>
      <c r="C4935" s="9">
        <f>IFERROR(__xludf.DUMMYFUNCTION("""COMPUTED_VALUE"""),25.99)</f>
        <v>25.99</v>
      </c>
      <c r="K4935" s="16"/>
      <c r="T4935" s="17"/>
      <c r="AC4935" s="17"/>
    </row>
    <row r="4936">
      <c r="B4936" s="11"/>
      <c r="K4936" s="16"/>
      <c r="T4936" s="17"/>
      <c r="AC4936" s="17"/>
    </row>
    <row r="4937">
      <c r="B4937" s="11"/>
      <c r="K4937" s="16"/>
      <c r="T4937" s="17"/>
      <c r="AC4937" s="17"/>
    </row>
    <row r="4938">
      <c r="B4938" s="11"/>
      <c r="K4938" s="16"/>
      <c r="T4938" s="17"/>
      <c r="AC4938" s="17"/>
    </row>
    <row r="4939">
      <c r="B4939" s="11"/>
      <c r="K4939" s="16"/>
      <c r="T4939" s="17"/>
      <c r="AC4939" s="17"/>
    </row>
    <row r="4940">
      <c r="B4940" s="11"/>
      <c r="K4940" s="16"/>
      <c r="T4940" s="17"/>
      <c r="AC4940" s="17"/>
    </row>
    <row r="4941">
      <c r="B4941" s="11"/>
      <c r="K4941" s="16"/>
      <c r="T4941" s="17"/>
      <c r="AC4941" s="17"/>
    </row>
    <row r="4942">
      <c r="B4942" s="11"/>
      <c r="K4942" s="16"/>
      <c r="T4942" s="17"/>
      <c r="AC4942" s="17"/>
    </row>
    <row r="4943">
      <c r="B4943" s="11"/>
      <c r="K4943" s="16"/>
      <c r="T4943" s="17"/>
      <c r="AC4943" s="17"/>
    </row>
    <row r="4944">
      <c r="B4944" s="11"/>
      <c r="K4944" s="16"/>
      <c r="T4944" s="17"/>
      <c r="AC4944" s="17"/>
    </row>
    <row r="4945">
      <c r="B4945" s="11"/>
      <c r="K4945" s="16"/>
      <c r="T4945" s="17"/>
      <c r="AC4945" s="17"/>
    </row>
    <row r="4946">
      <c r="B4946" s="11"/>
      <c r="K4946" s="16"/>
      <c r="T4946" s="17"/>
      <c r="AC4946" s="17"/>
    </row>
    <row r="4947">
      <c r="B4947" s="11"/>
      <c r="K4947" s="16"/>
      <c r="T4947" s="17"/>
      <c r="AC4947" s="17"/>
    </row>
    <row r="4948">
      <c r="B4948" s="11"/>
      <c r="K4948" s="16"/>
      <c r="T4948" s="17"/>
      <c r="AC4948" s="17"/>
    </row>
    <row r="4949">
      <c r="B4949" s="11"/>
      <c r="K4949" s="16"/>
      <c r="T4949" s="17"/>
      <c r="AC4949" s="17"/>
    </row>
    <row r="4950">
      <c r="B4950" s="11"/>
      <c r="K4950" s="16"/>
      <c r="T4950" s="17"/>
      <c r="AC4950" s="17"/>
    </row>
    <row r="4951">
      <c r="B4951" s="11"/>
      <c r="K4951" s="16"/>
      <c r="T4951" s="17"/>
      <c r="AC4951" s="17"/>
    </row>
    <row r="4952">
      <c r="B4952" s="11"/>
      <c r="K4952" s="16"/>
      <c r="T4952" s="17"/>
      <c r="AC4952" s="17"/>
    </row>
    <row r="4953">
      <c r="B4953" s="11"/>
      <c r="K4953" s="16"/>
      <c r="T4953" s="17"/>
      <c r="AC4953" s="17"/>
    </row>
    <row r="4954">
      <c r="B4954" s="11"/>
      <c r="K4954" s="16"/>
      <c r="T4954" s="17"/>
      <c r="AC4954" s="17"/>
    </row>
    <row r="4955">
      <c r="B4955" s="11"/>
      <c r="K4955" s="16"/>
      <c r="T4955" s="17"/>
      <c r="AC4955" s="17"/>
    </row>
    <row r="4956">
      <c r="B4956" s="11"/>
      <c r="K4956" s="16"/>
      <c r="T4956" s="17"/>
      <c r="AC4956" s="17"/>
    </row>
    <row r="4957">
      <c r="B4957" s="11"/>
      <c r="K4957" s="16"/>
      <c r="T4957" s="17"/>
      <c r="AC4957" s="17"/>
    </row>
    <row r="4958">
      <c r="B4958" s="11"/>
      <c r="K4958" s="16"/>
      <c r="T4958" s="17"/>
      <c r="AC4958" s="17"/>
    </row>
    <row r="4959">
      <c r="B4959" s="11"/>
      <c r="K4959" s="16"/>
      <c r="T4959" s="17"/>
      <c r="AC4959" s="17"/>
    </row>
    <row r="4960">
      <c r="B4960" s="11"/>
      <c r="K4960" s="16"/>
      <c r="T4960" s="17"/>
      <c r="AC4960" s="17"/>
    </row>
    <row r="4961">
      <c r="B4961" s="11"/>
      <c r="K4961" s="16"/>
      <c r="T4961" s="17"/>
      <c r="AC4961" s="17"/>
    </row>
    <row r="4962">
      <c r="B4962" s="11"/>
      <c r="K4962" s="16"/>
      <c r="T4962" s="17"/>
      <c r="AC4962" s="17"/>
    </row>
    <row r="4963">
      <c r="B4963" s="11"/>
      <c r="K4963" s="16"/>
      <c r="T4963" s="17"/>
      <c r="AC4963" s="17"/>
    </row>
    <row r="4964">
      <c r="B4964" s="11"/>
      <c r="K4964" s="16"/>
      <c r="T4964" s="17"/>
      <c r="AC4964" s="17"/>
    </row>
    <row r="4965">
      <c r="B4965" s="11"/>
      <c r="K4965" s="16"/>
      <c r="T4965" s="17"/>
      <c r="AC4965" s="17"/>
    </row>
    <row r="4966">
      <c r="B4966" s="11"/>
      <c r="K4966" s="16"/>
      <c r="T4966" s="17"/>
      <c r="AC4966" s="17"/>
    </row>
    <row r="4967">
      <c r="B4967" s="11"/>
      <c r="K4967" s="16"/>
      <c r="T4967" s="17"/>
      <c r="AC4967" s="17"/>
    </row>
    <row r="4968">
      <c r="B4968" s="11"/>
      <c r="K4968" s="16"/>
      <c r="T4968" s="17"/>
      <c r="AC4968" s="17"/>
    </row>
    <row r="4969">
      <c r="B4969" s="11"/>
      <c r="K4969" s="16"/>
      <c r="T4969" s="17"/>
      <c r="AC4969" s="17"/>
    </row>
    <row r="4970">
      <c r="B4970" s="11"/>
      <c r="K4970" s="16"/>
      <c r="T4970" s="17"/>
      <c r="AC4970" s="17"/>
    </row>
    <row r="4971">
      <c r="B4971" s="11"/>
      <c r="K4971" s="16"/>
      <c r="T4971" s="17"/>
      <c r="AC4971" s="17"/>
    </row>
    <row r="4972">
      <c r="B4972" s="11"/>
      <c r="K4972" s="16"/>
      <c r="T4972" s="17"/>
      <c r="AC4972" s="17"/>
    </row>
    <row r="4973">
      <c r="B4973" s="11"/>
      <c r="K4973" s="16"/>
      <c r="T4973" s="17"/>
      <c r="AC4973" s="17"/>
    </row>
    <row r="4974">
      <c r="B4974" s="11"/>
      <c r="K4974" s="16"/>
      <c r="T4974" s="17"/>
      <c r="AC4974" s="17"/>
    </row>
    <row r="4975">
      <c r="B4975" s="11"/>
      <c r="K4975" s="16"/>
      <c r="T4975" s="17"/>
      <c r="AC4975" s="17"/>
    </row>
    <row r="4976">
      <c r="B4976" s="11"/>
      <c r="K4976" s="16"/>
      <c r="T4976" s="17"/>
      <c r="AC4976" s="17"/>
    </row>
    <row r="4977">
      <c r="B4977" s="11"/>
      <c r="K4977" s="16"/>
      <c r="T4977" s="17"/>
      <c r="AC4977" s="17"/>
    </row>
    <row r="4978">
      <c r="B4978" s="11"/>
      <c r="K4978" s="16"/>
      <c r="T4978" s="17"/>
      <c r="AC4978" s="17"/>
    </row>
    <row r="4979">
      <c r="B4979" s="11"/>
      <c r="K4979" s="16"/>
      <c r="T4979" s="17"/>
      <c r="AC4979" s="17"/>
    </row>
    <row r="4980">
      <c r="B4980" s="11"/>
      <c r="K4980" s="16"/>
      <c r="T4980" s="17"/>
      <c r="AC4980" s="17"/>
    </row>
    <row r="4981">
      <c r="B4981" s="11"/>
      <c r="K4981" s="16"/>
      <c r="T4981" s="17"/>
      <c r="AC4981" s="17"/>
    </row>
    <row r="4982">
      <c r="B4982" s="11"/>
      <c r="K4982" s="16"/>
      <c r="T4982" s="17"/>
      <c r="AC4982" s="17"/>
    </row>
    <row r="4983">
      <c r="B4983" s="11"/>
      <c r="K4983" s="16"/>
      <c r="T4983" s="17"/>
      <c r="AC4983" s="17"/>
    </row>
    <row r="4984">
      <c r="B4984" s="11"/>
      <c r="K4984" s="16"/>
      <c r="T4984" s="17"/>
      <c r="AC4984" s="17"/>
    </row>
    <row r="4985">
      <c r="B4985" s="11"/>
      <c r="K4985" s="16"/>
      <c r="T4985" s="17"/>
      <c r="AC4985" s="17"/>
    </row>
    <row r="4986">
      <c r="B4986" s="11"/>
      <c r="K4986" s="16"/>
      <c r="T4986" s="17"/>
      <c r="AC4986" s="17"/>
    </row>
    <row r="4987">
      <c r="B4987" s="11"/>
      <c r="K4987" s="16"/>
      <c r="T4987" s="17"/>
      <c r="AC4987" s="17"/>
    </row>
    <row r="4988">
      <c r="B4988" s="11"/>
      <c r="K4988" s="16"/>
      <c r="T4988" s="17"/>
      <c r="AC4988" s="17"/>
    </row>
    <row r="4989">
      <c r="B4989" s="11"/>
      <c r="K4989" s="16"/>
      <c r="T4989" s="17"/>
      <c r="AC4989" s="17"/>
    </row>
    <row r="4990">
      <c r="B4990" s="11"/>
      <c r="K4990" s="16"/>
      <c r="T4990" s="17"/>
      <c r="AC4990" s="17"/>
    </row>
    <row r="4991">
      <c r="B4991" s="11"/>
      <c r="K4991" s="16"/>
      <c r="T4991" s="17"/>
      <c r="AC4991" s="17"/>
    </row>
    <row r="4992">
      <c r="B4992" s="11"/>
      <c r="K4992" s="16"/>
      <c r="T4992" s="17"/>
      <c r="AC4992" s="17"/>
    </row>
    <row r="4993">
      <c r="B4993" s="11"/>
      <c r="K4993" s="16"/>
      <c r="T4993" s="17"/>
      <c r="AC4993" s="17"/>
    </row>
    <row r="4994">
      <c r="B4994" s="11"/>
      <c r="K4994" s="16"/>
      <c r="T4994" s="17"/>
      <c r="AC4994" s="17"/>
    </row>
    <row r="4995">
      <c r="B4995" s="11"/>
      <c r="K4995" s="16"/>
      <c r="T4995" s="17"/>
      <c r="AC4995" s="17"/>
    </row>
    <row r="4996">
      <c r="B4996" s="11"/>
      <c r="K4996" s="16"/>
      <c r="T4996" s="17"/>
      <c r="AC4996" s="17"/>
    </row>
    <row r="4997">
      <c r="B4997" s="11"/>
      <c r="K4997" s="16"/>
      <c r="T4997" s="17"/>
      <c r="AC4997" s="17"/>
    </row>
    <row r="4998">
      <c r="B4998" s="11"/>
      <c r="K4998" s="16"/>
      <c r="T4998" s="17"/>
      <c r="AC4998" s="17"/>
    </row>
    <row r="4999">
      <c r="B4999" s="11"/>
      <c r="K4999" s="16"/>
      <c r="T4999" s="17"/>
      <c r="AC4999" s="17"/>
    </row>
    <row r="5000">
      <c r="B5000" s="11"/>
      <c r="K5000" s="16"/>
      <c r="T5000" s="17"/>
      <c r="AC5000" s="17"/>
    </row>
    <row r="5001">
      <c r="B5001" s="11"/>
      <c r="K5001" s="16"/>
      <c r="T5001" s="17"/>
      <c r="AC5001" s="17"/>
    </row>
    <row r="5002">
      <c r="B5002" s="11"/>
      <c r="K5002" s="16"/>
      <c r="T5002" s="17"/>
      <c r="AC5002" s="17"/>
    </row>
    <row r="5003">
      <c r="B5003" s="11"/>
      <c r="K5003" s="16"/>
      <c r="T5003" s="17"/>
      <c r="AC5003" s="17"/>
    </row>
    <row r="5004">
      <c r="B5004" s="11"/>
      <c r="K5004" s="16"/>
      <c r="T5004" s="17"/>
      <c r="AC5004" s="17"/>
    </row>
    <row r="5005">
      <c r="B5005" s="11"/>
      <c r="K5005" s="16"/>
      <c r="T5005" s="17"/>
      <c r="AC5005" s="17"/>
    </row>
    <row r="5006">
      <c r="B5006" s="11"/>
      <c r="K5006" s="16"/>
      <c r="T5006" s="17"/>
      <c r="AC5006" s="17"/>
    </row>
    <row r="5007">
      <c r="B5007" s="11"/>
      <c r="K5007" s="16"/>
      <c r="T5007" s="17"/>
      <c r="AC5007" s="17"/>
    </row>
    <row r="5008">
      <c r="B5008" s="11"/>
      <c r="K5008" s="16"/>
      <c r="T5008" s="17"/>
      <c r="AC5008" s="17"/>
    </row>
    <row r="5009">
      <c r="B5009" s="11"/>
      <c r="K5009" s="16"/>
      <c r="T5009" s="17"/>
      <c r="AC5009" s="17"/>
    </row>
    <row r="5010">
      <c r="B5010" s="11"/>
      <c r="K5010" s="16"/>
      <c r="T5010" s="17"/>
      <c r="AC5010" s="17"/>
    </row>
    <row r="5011">
      <c r="B5011" s="11"/>
      <c r="K5011" s="16"/>
      <c r="T5011" s="17"/>
      <c r="AC5011" s="17"/>
    </row>
    <row r="5012">
      <c r="B5012" s="11"/>
      <c r="K5012" s="16"/>
      <c r="T5012" s="17"/>
      <c r="AC5012" s="17"/>
    </row>
    <row r="5013">
      <c r="B5013" s="11"/>
      <c r="K5013" s="16"/>
      <c r="T5013" s="17"/>
      <c r="AC5013" s="17"/>
    </row>
    <row r="5014">
      <c r="B5014" s="11"/>
      <c r="K5014" s="16"/>
      <c r="T5014" s="17"/>
      <c r="AC5014" s="17"/>
    </row>
    <row r="5015">
      <c r="B5015" s="11"/>
      <c r="K5015" s="16"/>
      <c r="T5015" s="17"/>
      <c r="AC5015" s="17"/>
    </row>
    <row r="5016">
      <c r="B5016" s="11"/>
      <c r="K5016" s="16"/>
      <c r="T5016" s="17"/>
      <c r="AC5016" s="17"/>
    </row>
    <row r="5017">
      <c r="B5017" s="11"/>
      <c r="K5017" s="16"/>
      <c r="T5017" s="17"/>
      <c r="AC5017" s="17"/>
    </row>
    <row r="5018">
      <c r="B5018" s="11"/>
      <c r="K5018" s="16"/>
      <c r="T5018" s="17"/>
      <c r="AC5018" s="17"/>
    </row>
    <row r="5019">
      <c r="B5019" s="11"/>
      <c r="K5019" s="16"/>
      <c r="T5019" s="17"/>
      <c r="AC5019" s="17"/>
    </row>
    <row r="5020">
      <c r="B5020" s="11"/>
      <c r="K5020" s="16"/>
      <c r="T5020" s="17"/>
      <c r="AC5020" s="17"/>
    </row>
    <row r="5021">
      <c r="B5021" s="11"/>
      <c r="K5021" s="16"/>
      <c r="T5021" s="17"/>
      <c r="AC5021" s="17"/>
    </row>
    <row r="5022">
      <c r="B5022" s="11"/>
      <c r="K5022" s="16"/>
      <c r="T5022" s="17"/>
      <c r="AC5022" s="17"/>
    </row>
    <row r="5023">
      <c r="B5023" s="11"/>
      <c r="K5023" s="16"/>
      <c r="T5023" s="17"/>
      <c r="AC5023" s="17"/>
    </row>
    <row r="5024">
      <c r="B5024" s="11"/>
      <c r="K5024" s="16"/>
      <c r="T5024" s="17"/>
      <c r="AC5024" s="17"/>
    </row>
    <row r="5025">
      <c r="B5025" s="11"/>
      <c r="K5025" s="16"/>
      <c r="T5025" s="17"/>
      <c r="AC5025" s="17"/>
    </row>
    <row r="5026">
      <c r="B5026" s="11"/>
      <c r="K5026" s="16"/>
      <c r="T5026" s="17"/>
      <c r="AC5026" s="17"/>
    </row>
    <row r="5027">
      <c r="B5027" s="11"/>
      <c r="K5027" s="16"/>
      <c r="T5027" s="17"/>
      <c r="AC5027" s="17"/>
    </row>
    <row r="5028">
      <c r="B5028" s="11"/>
      <c r="K5028" s="16"/>
      <c r="T5028" s="17"/>
      <c r="AC5028" s="17"/>
    </row>
    <row r="5029">
      <c r="B5029" s="11"/>
      <c r="K5029" s="16"/>
      <c r="T5029" s="17"/>
      <c r="AC5029" s="17"/>
    </row>
    <row r="5030">
      <c r="B5030" s="11"/>
      <c r="K5030" s="16"/>
      <c r="T5030" s="17"/>
      <c r="AC5030" s="17"/>
    </row>
    <row r="5031">
      <c r="B5031" s="11"/>
      <c r="K5031" s="16"/>
      <c r="T5031" s="17"/>
      <c r="AC5031" s="17"/>
    </row>
    <row r="5032">
      <c r="B5032" s="11"/>
      <c r="K5032" s="16"/>
      <c r="T5032" s="17"/>
      <c r="AC5032" s="17"/>
    </row>
    <row r="5033">
      <c r="B5033" s="11"/>
      <c r="K5033" s="16"/>
      <c r="T5033" s="17"/>
      <c r="AC5033" s="17"/>
    </row>
    <row r="5034">
      <c r="B5034" s="11"/>
      <c r="K5034" s="16"/>
      <c r="T5034" s="17"/>
      <c r="AC5034" s="17"/>
    </row>
    <row r="5035">
      <c r="B5035" s="11"/>
      <c r="K5035" s="16"/>
      <c r="T5035" s="17"/>
      <c r="AC5035" s="17"/>
    </row>
    <row r="5036">
      <c r="B5036" s="11"/>
      <c r="K5036" s="16"/>
      <c r="T5036" s="17"/>
      <c r="AC5036" s="17"/>
    </row>
    <row r="5037">
      <c r="B5037" s="11"/>
      <c r="K5037" s="16"/>
      <c r="T5037" s="17"/>
      <c r="AC5037" s="17"/>
    </row>
    <row r="5038">
      <c r="B5038" s="11"/>
      <c r="K5038" s="16"/>
      <c r="T5038" s="17"/>
      <c r="AC5038" s="17"/>
    </row>
    <row r="5039">
      <c r="B5039" s="11"/>
      <c r="K5039" s="16"/>
      <c r="T5039" s="17"/>
      <c r="AC5039" s="17"/>
    </row>
    <row r="5040">
      <c r="B5040" s="11"/>
      <c r="K5040" s="16"/>
      <c r="T5040" s="17"/>
      <c r="AC5040" s="17"/>
    </row>
    <row r="5041">
      <c r="B5041" s="11"/>
      <c r="K5041" s="16"/>
      <c r="T5041" s="17"/>
      <c r="AC5041" s="17"/>
    </row>
    <row r="5042">
      <c r="B5042" s="11"/>
      <c r="K5042" s="16"/>
      <c r="T5042" s="17"/>
      <c r="AC5042" s="17"/>
    </row>
    <row r="5043">
      <c r="B5043" s="11"/>
      <c r="K5043" s="16"/>
      <c r="T5043" s="17"/>
      <c r="AC5043" s="17"/>
    </row>
    <row r="5044">
      <c r="B5044" s="11"/>
      <c r="K5044" s="16"/>
      <c r="T5044" s="17"/>
      <c r="AC5044" s="17"/>
    </row>
    <row r="5045">
      <c r="B5045" s="11"/>
      <c r="K5045" s="16"/>
      <c r="T5045" s="17"/>
      <c r="AC5045" s="17"/>
    </row>
    <row r="5046">
      <c r="B5046" s="11"/>
      <c r="K5046" s="16"/>
      <c r="T5046" s="17"/>
      <c r="AC5046" s="17"/>
    </row>
    <row r="5047">
      <c r="B5047" s="11"/>
      <c r="K5047" s="16"/>
      <c r="T5047" s="17"/>
      <c r="AC5047" s="17"/>
    </row>
    <row r="5048">
      <c r="B5048" s="11"/>
      <c r="K5048" s="16"/>
      <c r="T5048" s="17"/>
      <c r="AC5048" s="17"/>
    </row>
    <row r="5049">
      <c r="B5049" s="11"/>
      <c r="K5049" s="16"/>
      <c r="T5049" s="17"/>
      <c r="AC5049" s="17"/>
    </row>
    <row r="5050">
      <c r="B5050" s="11"/>
      <c r="K5050" s="16"/>
      <c r="T5050" s="17"/>
      <c r="AC5050" s="17"/>
    </row>
    <row r="5051">
      <c r="B5051" s="11"/>
      <c r="K5051" s="16"/>
      <c r="T5051" s="17"/>
      <c r="AC5051" s="17"/>
    </row>
    <row r="5052">
      <c r="B5052" s="11"/>
      <c r="K5052" s="16"/>
      <c r="T5052" s="17"/>
      <c r="AC5052" s="17"/>
    </row>
    <row r="5053">
      <c r="B5053" s="11"/>
      <c r="K5053" s="16"/>
      <c r="T5053" s="17"/>
      <c r="AC5053" s="17"/>
    </row>
    <row r="5054">
      <c r="B5054" s="11"/>
      <c r="K5054" s="16"/>
      <c r="T5054" s="17"/>
      <c r="AC5054" s="17"/>
    </row>
    <row r="5055">
      <c r="B5055" s="11"/>
      <c r="K5055" s="16"/>
      <c r="T5055" s="17"/>
      <c r="AC5055" s="17"/>
    </row>
    <row r="5056">
      <c r="B5056" s="11"/>
      <c r="K5056" s="16"/>
      <c r="T5056" s="17"/>
      <c r="AC5056" s="17"/>
    </row>
    <row r="5057">
      <c r="B5057" s="11"/>
      <c r="K5057" s="16"/>
      <c r="T5057" s="17"/>
      <c r="AC5057" s="17"/>
    </row>
    <row r="5058">
      <c r="B5058" s="11"/>
      <c r="K5058" s="16"/>
      <c r="T5058" s="17"/>
      <c r="AC5058" s="17"/>
    </row>
    <row r="5059">
      <c r="B5059" s="11"/>
      <c r="K5059" s="16"/>
      <c r="T5059" s="17"/>
      <c r="AC5059" s="17"/>
    </row>
    <row r="5060">
      <c r="B5060" s="11"/>
      <c r="K5060" s="16"/>
      <c r="T5060" s="17"/>
      <c r="AC5060" s="17"/>
    </row>
    <row r="5061">
      <c r="B5061" s="11"/>
      <c r="K5061" s="16"/>
      <c r="T5061" s="17"/>
      <c r="AC5061" s="17"/>
    </row>
    <row r="5062">
      <c r="B5062" s="11"/>
      <c r="K5062" s="16"/>
      <c r="T5062" s="17"/>
      <c r="AC5062" s="17"/>
    </row>
    <row r="5063">
      <c r="B5063" s="11"/>
      <c r="K5063" s="16"/>
      <c r="T5063" s="17"/>
      <c r="AC5063" s="17"/>
    </row>
    <row r="5064">
      <c r="B5064" s="11"/>
      <c r="K5064" s="16"/>
      <c r="T5064" s="17"/>
      <c r="AC5064" s="17"/>
    </row>
    <row r="5065">
      <c r="B5065" s="11"/>
      <c r="K5065" s="16"/>
      <c r="T5065" s="17"/>
      <c r="AC5065" s="17"/>
    </row>
    <row r="5066">
      <c r="B5066" s="11"/>
      <c r="K5066" s="16"/>
      <c r="T5066" s="17"/>
      <c r="AC5066" s="17"/>
    </row>
    <row r="5067">
      <c r="B5067" s="11"/>
      <c r="K5067" s="16"/>
      <c r="T5067" s="17"/>
      <c r="AC5067" s="17"/>
    </row>
    <row r="5068">
      <c r="B5068" s="11"/>
      <c r="K5068" s="16"/>
      <c r="T5068" s="17"/>
      <c r="AC5068" s="17"/>
    </row>
    <row r="5069">
      <c r="B5069" s="11"/>
      <c r="K5069" s="16"/>
      <c r="T5069" s="17"/>
      <c r="AC5069" s="17"/>
    </row>
    <row r="5070">
      <c r="B5070" s="11"/>
      <c r="K5070" s="16"/>
      <c r="T5070" s="17"/>
      <c r="AC5070" s="17"/>
    </row>
    <row r="5071">
      <c r="B5071" s="11"/>
      <c r="K5071" s="16"/>
      <c r="T5071" s="17"/>
      <c r="AC5071" s="17"/>
    </row>
    <row r="5072">
      <c r="B5072" s="11"/>
      <c r="K5072" s="16"/>
      <c r="T5072" s="17"/>
      <c r="AC5072" s="17"/>
    </row>
    <row r="5073">
      <c r="B5073" s="11"/>
      <c r="K5073" s="16"/>
      <c r="T5073" s="17"/>
      <c r="AC5073" s="17"/>
    </row>
    <row r="5074">
      <c r="B5074" s="11"/>
      <c r="K5074" s="16"/>
      <c r="T5074" s="17"/>
      <c r="AC5074" s="17"/>
    </row>
    <row r="5075">
      <c r="B5075" s="11"/>
      <c r="K5075" s="16"/>
      <c r="T5075" s="17"/>
      <c r="AC5075" s="17"/>
    </row>
    <row r="5076">
      <c r="B5076" s="11"/>
      <c r="K5076" s="16"/>
      <c r="T5076" s="17"/>
      <c r="AC5076" s="17"/>
    </row>
    <row r="5077">
      <c r="B5077" s="11"/>
      <c r="K5077" s="16"/>
      <c r="T5077" s="17"/>
      <c r="AC5077" s="17"/>
    </row>
    <row r="5078">
      <c r="B5078" s="11"/>
      <c r="K5078" s="16"/>
      <c r="T5078" s="17"/>
      <c r="AC5078" s="17"/>
    </row>
    <row r="5079">
      <c r="B5079" s="11"/>
      <c r="K5079" s="16"/>
      <c r="T5079" s="17"/>
      <c r="AC5079" s="17"/>
    </row>
    <row r="5080">
      <c r="B5080" s="11"/>
      <c r="K5080" s="16"/>
      <c r="T5080" s="17"/>
      <c r="AC5080" s="17"/>
    </row>
    <row r="5081">
      <c r="B5081" s="11"/>
      <c r="K5081" s="16"/>
      <c r="T5081" s="17"/>
      <c r="AC5081" s="17"/>
    </row>
    <row r="5082">
      <c r="B5082" s="11"/>
      <c r="K5082" s="16"/>
      <c r="T5082" s="17"/>
      <c r="AC5082" s="17"/>
    </row>
    <row r="5083">
      <c r="B5083" s="11"/>
      <c r="K5083" s="16"/>
      <c r="T5083" s="17"/>
      <c r="AC5083" s="17"/>
    </row>
    <row r="5084">
      <c r="B5084" s="11"/>
      <c r="K5084" s="16"/>
      <c r="T5084" s="17"/>
      <c r="AC5084" s="17"/>
    </row>
    <row r="5085">
      <c r="B5085" s="11"/>
      <c r="K5085" s="16"/>
      <c r="T5085" s="17"/>
      <c r="AC5085" s="17"/>
    </row>
    <row r="5086">
      <c r="B5086" s="11"/>
      <c r="K5086" s="16"/>
      <c r="T5086" s="17"/>
      <c r="AC5086" s="17"/>
    </row>
    <row r="5087">
      <c r="B5087" s="11"/>
      <c r="K5087" s="16"/>
      <c r="T5087" s="17"/>
      <c r="AC5087" s="17"/>
    </row>
    <row r="5088">
      <c r="B5088" s="11"/>
      <c r="K5088" s="16"/>
      <c r="T5088" s="17"/>
      <c r="AC5088" s="17"/>
    </row>
    <row r="5089">
      <c r="B5089" s="11"/>
      <c r="K5089" s="16"/>
      <c r="T5089" s="17"/>
      <c r="AC5089" s="17"/>
    </row>
    <row r="5090">
      <c r="B5090" s="11"/>
      <c r="K5090" s="16"/>
      <c r="T5090" s="17"/>
      <c r="AC5090" s="17"/>
    </row>
    <row r="5091">
      <c r="B5091" s="11"/>
      <c r="K5091" s="16"/>
      <c r="T5091" s="17"/>
      <c r="AC5091" s="17"/>
    </row>
    <row r="5092">
      <c r="B5092" s="11"/>
      <c r="K5092" s="16"/>
      <c r="T5092" s="17"/>
      <c r="AC5092" s="17"/>
    </row>
    <row r="5093">
      <c r="B5093" s="11"/>
      <c r="K5093" s="16"/>
      <c r="T5093" s="17"/>
      <c r="AC5093" s="17"/>
    </row>
    <row r="5094">
      <c r="B5094" s="11"/>
      <c r="K5094" s="16"/>
      <c r="T5094" s="17"/>
      <c r="AC5094" s="17"/>
    </row>
    <row r="5095">
      <c r="B5095" s="11"/>
      <c r="K5095" s="16"/>
      <c r="T5095" s="17"/>
      <c r="AC5095" s="17"/>
    </row>
    <row r="5096">
      <c r="B5096" s="11"/>
      <c r="K5096" s="16"/>
      <c r="T5096" s="17"/>
      <c r="AC5096" s="17"/>
    </row>
    <row r="5097">
      <c r="B5097" s="11"/>
      <c r="K5097" s="16"/>
      <c r="T5097" s="17"/>
      <c r="AC5097" s="17"/>
    </row>
    <row r="5098">
      <c r="B5098" s="11"/>
      <c r="K5098" s="16"/>
      <c r="T5098" s="17"/>
      <c r="AC5098" s="17"/>
    </row>
    <row r="5099">
      <c r="B5099" s="11"/>
      <c r="K5099" s="16"/>
      <c r="T5099" s="17"/>
      <c r="AC5099" s="17"/>
    </row>
    <row r="5100">
      <c r="B5100" s="11"/>
      <c r="K5100" s="16"/>
      <c r="T5100" s="17"/>
      <c r="AC5100" s="17"/>
    </row>
    <row r="5101">
      <c r="B5101" s="11"/>
      <c r="K5101" s="16"/>
      <c r="T5101" s="17"/>
      <c r="AC5101" s="17"/>
    </row>
    <row r="5102">
      <c r="B5102" s="11"/>
      <c r="K5102" s="16"/>
      <c r="T5102" s="17"/>
      <c r="AC5102" s="17"/>
    </row>
    <row r="5103">
      <c r="B5103" s="11"/>
      <c r="K5103" s="16"/>
      <c r="T5103" s="17"/>
      <c r="AC5103" s="17"/>
    </row>
    <row r="5104">
      <c r="B5104" s="11"/>
      <c r="K5104" s="16"/>
      <c r="T5104" s="17"/>
      <c r="AC5104" s="17"/>
    </row>
    <row r="5105">
      <c r="B5105" s="11"/>
      <c r="K5105" s="16"/>
      <c r="T5105" s="17"/>
      <c r="AC5105" s="17"/>
    </row>
    <row r="5106">
      <c r="B5106" s="11"/>
      <c r="K5106" s="16"/>
      <c r="T5106" s="17"/>
      <c r="AC5106" s="17"/>
    </row>
    <row r="5107">
      <c r="B5107" s="11"/>
      <c r="K5107" s="16"/>
      <c r="T5107" s="17"/>
      <c r="AC5107" s="17"/>
    </row>
    <row r="5108">
      <c r="B5108" s="11"/>
      <c r="K5108" s="16"/>
      <c r="T5108" s="17"/>
      <c r="AC5108" s="17"/>
    </row>
    <row r="5109">
      <c r="B5109" s="11"/>
      <c r="K5109" s="16"/>
      <c r="T5109" s="17"/>
      <c r="AC5109" s="17"/>
    </row>
    <row r="5110">
      <c r="B5110" s="11"/>
      <c r="K5110" s="16"/>
      <c r="T5110" s="17"/>
      <c r="AC5110" s="17"/>
    </row>
    <row r="5111">
      <c r="B5111" s="11"/>
      <c r="K5111" s="16"/>
      <c r="T5111" s="17"/>
      <c r="AC5111" s="17"/>
    </row>
    <row r="5112">
      <c r="B5112" s="11"/>
      <c r="K5112" s="16"/>
      <c r="T5112" s="17"/>
      <c r="AC5112" s="17"/>
    </row>
    <row r="5113">
      <c r="B5113" s="11"/>
      <c r="K5113" s="16"/>
      <c r="T5113" s="17"/>
      <c r="AC5113" s="17"/>
    </row>
    <row r="5114">
      <c r="B5114" s="11"/>
      <c r="K5114" s="16"/>
      <c r="T5114" s="17"/>
      <c r="AC5114" s="17"/>
    </row>
    <row r="5115">
      <c r="B5115" s="11"/>
      <c r="K5115" s="16"/>
      <c r="T5115" s="17"/>
      <c r="AC5115" s="17"/>
    </row>
    <row r="5116">
      <c r="B5116" s="11"/>
      <c r="K5116" s="16"/>
      <c r="T5116" s="17"/>
      <c r="AC5116" s="17"/>
    </row>
    <row r="5117">
      <c r="B5117" s="11"/>
      <c r="K5117" s="16"/>
      <c r="T5117" s="17"/>
      <c r="AC5117" s="17"/>
    </row>
    <row r="5118">
      <c r="B5118" s="11"/>
      <c r="K5118" s="16"/>
      <c r="T5118" s="17"/>
      <c r="AC5118" s="17"/>
    </row>
    <row r="5119">
      <c r="B5119" s="11"/>
      <c r="K5119" s="16"/>
      <c r="T5119" s="17"/>
      <c r="AC5119" s="17"/>
    </row>
    <row r="5120">
      <c r="B5120" s="11"/>
      <c r="K5120" s="16"/>
      <c r="T5120" s="17"/>
      <c r="AC5120" s="17"/>
    </row>
    <row r="5121">
      <c r="B5121" s="11"/>
      <c r="K5121" s="16"/>
      <c r="T5121" s="17"/>
      <c r="AC5121" s="17"/>
    </row>
    <row r="5122">
      <c r="B5122" s="11"/>
      <c r="K5122" s="16"/>
      <c r="T5122" s="17"/>
      <c r="AC5122" s="17"/>
    </row>
    <row r="5123">
      <c r="B5123" s="11"/>
      <c r="K5123" s="16"/>
      <c r="T5123" s="17"/>
      <c r="AC5123" s="17"/>
    </row>
    <row r="5124">
      <c r="B5124" s="11"/>
      <c r="K5124" s="16"/>
      <c r="T5124" s="17"/>
      <c r="AC5124" s="17"/>
    </row>
    <row r="5125">
      <c r="B5125" s="11"/>
      <c r="K5125" s="16"/>
      <c r="T5125" s="17"/>
      <c r="AC5125" s="17"/>
    </row>
    <row r="5126">
      <c r="B5126" s="11"/>
      <c r="K5126" s="16"/>
      <c r="T5126" s="17"/>
      <c r="AC5126" s="17"/>
    </row>
    <row r="5127">
      <c r="B5127" s="11"/>
      <c r="K5127" s="16"/>
      <c r="T5127" s="17"/>
      <c r="AC5127" s="17"/>
    </row>
    <row r="5128">
      <c r="B5128" s="11"/>
      <c r="K5128" s="16"/>
      <c r="T5128" s="17"/>
      <c r="AC5128" s="17"/>
    </row>
    <row r="5129">
      <c r="B5129" s="11"/>
      <c r="K5129" s="16"/>
      <c r="T5129" s="17"/>
      <c r="AC5129" s="17"/>
    </row>
    <row r="5130">
      <c r="B5130" s="11"/>
      <c r="K5130" s="16"/>
      <c r="T5130" s="17"/>
      <c r="AC5130" s="17"/>
    </row>
    <row r="5131">
      <c r="B5131" s="11"/>
      <c r="K5131" s="16"/>
      <c r="T5131" s="17"/>
      <c r="AC5131" s="17"/>
    </row>
    <row r="5132">
      <c r="B5132" s="11"/>
      <c r="K5132" s="16"/>
      <c r="T5132" s="17"/>
      <c r="AC5132" s="17"/>
    </row>
    <row r="5133">
      <c r="B5133" s="11"/>
      <c r="K5133" s="16"/>
      <c r="T5133" s="17"/>
      <c r="AC5133" s="17"/>
    </row>
    <row r="5134">
      <c r="B5134" s="11"/>
      <c r="K5134" s="16"/>
      <c r="T5134" s="17"/>
      <c r="AC5134" s="17"/>
    </row>
    <row r="5135">
      <c r="B5135" s="11"/>
      <c r="K5135" s="16"/>
      <c r="T5135" s="17"/>
      <c r="AC5135" s="17"/>
    </row>
    <row r="5136">
      <c r="B5136" s="11"/>
      <c r="K5136" s="16"/>
      <c r="T5136" s="17"/>
      <c r="AC5136" s="17"/>
    </row>
    <row r="5137">
      <c r="B5137" s="11"/>
      <c r="K5137" s="16"/>
      <c r="T5137" s="17"/>
      <c r="AC5137" s="17"/>
    </row>
    <row r="5138">
      <c r="B5138" s="11"/>
      <c r="K5138" s="16"/>
      <c r="T5138" s="17"/>
      <c r="AC5138" s="17"/>
    </row>
    <row r="5139">
      <c r="B5139" s="11"/>
      <c r="K5139" s="16"/>
      <c r="T5139" s="17"/>
      <c r="AC5139" s="17"/>
    </row>
    <row r="5140">
      <c r="B5140" s="11"/>
      <c r="K5140" s="16"/>
      <c r="T5140" s="17"/>
      <c r="AC5140" s="17"/>
    </row>
    <row r="5141">
      <c r="B5141" s="11"/>
      <c r="K5141" s="16"/>
      <c r="T5141" s="17"/>
      <c r="AC5141" s="17"/>
    </row>
    <row r="5142">
      <c r="B5142" s="11"/>
      <c r="K5142" s="16"/>
      <c r="T5142" s="17"/>
      <c r="AC5142" s="17"/>
    </row>
    <row r="5143">
      <c r="B5143" s="11"/>
      <c r="K5143" s="16"/>
      <c r="T5143" s="17"/>
      <c r="AC5143" s="17"/>
    </row>
    <row r="5144">
      <c r="B5144" s="11"/>
      <c r="K5144" s="16"/>
      <c r="T5144" s="17"/>
      <c r="AC5144" s="17"/>
    </row>
    <row r="5145">
      <c r="B5145" s="11"/>
      <c r="K5145" s="16"/>
      <c r="T5145" s="17"/>
      <c r="AC5145" s="17"/>
    </row>
    <row r="5146">
      <c r="B5146" s="11"/>
      <c r="K5146" s="16"/>
      <c r="T5146" s="17"/>
      <c r="AC5146" s="17"/>
    </row>
    <row r="5147">
      <c r="B5147" s="11"/>
      <c r="K5147" s="16"/>
      <c r="T5147" s="17"/>
      <c r="AC5147" s="17"/>
    </row>
    <row r="5148">
      <c r="B5148" s="11"/>
      <c r="K5148" s="16"/>
      <c r="T5148" s="17"/>
      <c r="AC5148" s="17"/>
    </row>
    <row r="5149">
      <c r="B5149" s="11"/>
      <c r="K5149" s="16"/>
      <c r="T5149" s="17"/>
      <c r="AC5149" s="17"/>
    </row>
    <row r="5150">
      <c r="B5150" s="11"/>
      <c r="K5150" s="16"/>
      <c r="T5150" s="17"/>
      <c r="AC5150" s="17"/>
    </row>
    <row r="5151">
      <c r="B5151" s="11"/>
      <c r="K5151" s="16"/>
      <c r="T5151" s="17"/>
      <c r="AC5151" s="17"/>
    </row>
    <row r="5152">
      <c r="B5152" s="11"/>
      <c r="K5152" s="16"/>
      <c r="T5152" s="17"/>
      <c r="AC5152" s="17"/>
    </row>
    <row r="5153">
      <c r="B5153" s="11"/>
      <c r="K5153" s="16"/>
      <c r="T5153" s="17"/>
      <c r="AC5153" s="17"/>
    </row>
    <row r="5154">
      <c r="B5154" s="11"/>
      <c r="K5154" s="16"/>
      <c r="T5154" s="17"/>
      <c r="AC5154" s="17"/>
    </row>
    <row r="5155">
      <c r="B5155" s="11"/>
      <c r="K5155" s="16"/>
      <c r="T5155" s="17"/>
      <c r="AC5155" s="17"/>
    </row>
    <row r="5156">
      <c r="B5156" s="11"/>
      <c r="K5156" s="16"/>
      <c r="T5156" s="17"/>
      <c r="AC5156" s="17"/>
    </row>
    <row r="5157">
      <c r="B5157" s="11"/>
      <c r="K5157" s="16"/>
      <c r="T5157" s="17"/>
      <c r="AC5157" s="17"/>
    </row>
    <row r="5158">
      <c r="B5158" s="11"/>
      <c r="K5158" s="16"/>
      <c r="T5158" s="17"/>
      <c r="AC5158" s="17"/>
    </row>
    <row r="5159">
      <c r="B5159" s="11"/>
      <c r="K5159" s="16"/>
      <c r="T5159" s="17"/>
      <c r="AC5159" s="17"/>
    </row>
    <row r="5160">
      <c r="B5160" s="11"/>
      <c r="K5160" s="16"/>
      <c r="T5160" s="17"/>
      <c r="AC5160" s="17"/>
    </row>
    <row r="5161">
      <c r="B5161" s="11"/>
      <c r="K5161" s="16"/>
      <c r="T5161" s="17"/>
      <c r="AC5161" s="17"/>
    </row>
    <row r="5162">
      <c r="B5162" s="11"/>
      <c r="K5162" s="16"/>
      <c r="T5162" s="17"/>
      <c r="AC5162" s="17"/>
    </row>
    <row r="5163">
      <c r="B5163" s="11"/>
      <c r="K5163" s="16"/>
      <c r="T5163" s="17"/>
      <c r="AC5163" s="17"/>
    </row>
    <row r="5164">
      <c r="B5164" s="11"/>
      <c r="K5164" s="16"/>
      <c r="T5164" s="17"/>
      <c r="AC5164" s="17"/>
    </row>
    <row r="5165">
      <c r="B5165" s="11"/>
      <c r="K5165" s="16"/>
      <c r="T5165" s="17"/>
      <c r="AC5165" s="17"/>
    </row>
    <row r="5166">
      <c r="B5166" s="11"/>
      <c r="K5166" s="16"/>
      <c r="T5166" s="17"/>
      <c r="AC5166" s="17"/>
    </row>
    <row r="5167">
      <c r="B5167" s="11"/>
      <c r="K5167" s="16"/>
      <c r="T5167" s="17"/>
      <c r="AC5167" s="17"/>
    </row>
    <row r="5168">
      <c r="B5168" s="11"/>
      <c r="K5168" s="16"/>
      <c r="T5168" s="17"/>
      <c r="AC5168" s="17"/>
    </row>
    <row r="5169">
      <c r="B5169" s="11"/>
      <c r="K5169" s="16"/>
      <c r="T5169" s="17"/>
      <c r="AC5169" s="17"/>
    </row>
    <row r="5170">
      <c r="B5170" s="11"/>
      <c r="K5170" s="16"/>
      <c r="T5170" s="17"/>
      <c r="AC5170" s="17"/>
    </row>
    <row r="5171">
      <c r="B5171" s="11"/>
      <c r="K5171" s="16"/>
      <c r="T5171" s="17"/>
      <c r="AC5171" s="17"/>
    </row>
    <row r="5172">
      <c r="B5172" s="11"/>
      <c r="K5172" s="16"/>
      <c r="T5172" s="17"/>
      <c r="AC5172" s="17"/>
    </row>
    <row r="5173">
      <c r="B5173" s="11"/>
      <c r="K5173" s="16"/>
      <c r="T5173" s="17"/>
      <c r="AC5173" s="17"/>
    </row>
    <row r="5174">
      <c r="B5174" s="11"/>
      <c r="K5174" s="16"/>
      <c r="T5174" s="17"/>
      <c r="AC5174" s="17"/>
    </row>
    <row r="5175">
      <c r="B5175" s="11"/>
      <c r="K5175" s="16"/>
      <c r="T5175" s="17"/>
      <c r="AC5175" s="17"/>
    </row>
    <row r="5176">
      <c r="B5176" s="11"/>
      <c r="K5176" s="16"/>
      <c r="T5176" s="17"/>
      <c r="AC5176" s="17"/>
    </row>
    <row r="5177">
      <c r="B5177" s="11"/>
      <c r="K5177" s="16"/>
      <c r="T5177" s="17"/>
      <c r="AC5177" s="17"/>
    </row>
    <row r="5178">
      <c r="B5178" s="11"/>
      <c r="K5178" s="16"/>
      <c r="T5178" s="17"/>
      <c r="AC5178" s="17"/>
    </row>
    <row r="5179">
      <c r="B5179" s="11"/>
      <c r="K5179" s="16"/>
      <c r="T5179" s="17"/>
      <c r="AC5179" s="17"/>
    </row>
    <row r="5180">
      <c r="B5180" s="11"/>
      <c r="K5180" s="16"/>
      <c r="T5180" s="17"/>
      <c r="AC5180" s="17"/>
    </row>
    <row r="5181">
      <c r="B5181" s="11"/>
      <c r="K5181" s="16"/>
      <c r="T5181" s="17"/>
      <c r="AC5181" s="17"/>
    </row>
    <row r="5182">
      <c r="B5182" s="11"/>
      <c r="K5182" s="16"/>
      <c r="T5182" s="17"/>
      <c r="AC5182" s="17"/>
    </row>
    <row r="5183">
      <c r="B5183" s="11"/>
      <c r="K5183" s="16"/>
      <c r="T5183" s="17"/>
      <c r="AC5183" s="17"/>
    </row>
    <row r="5184">
      <c r="B5184" s="11"/>
      <c r="K5184" s="16"/>
      <c r="T5184" s="17"/>
      <c r="AC5184" s="17"/>
    </row>
    <row r="5185">
      <c r="B5185" s="11"/>
      <c r="K5185" s="16"/>
      <c r="T5185" s="17"/>
      <c r="AC5185" s="17"/>
    </row>
    <row r="5186">
      <c r="B5186" s="11"/>
      <c r="K5186" s="16"/>
      <c r="T5186" s="17"/>
      <c r="AC5186" s="17"/>
    </row>
    <row r="5187">
      <c r="B5187" s="11"/>
      <c r="K5187" s="16"/>
      <c r="T5187" s="17"/>
      <c r="AC5187" s="17"/>
    </row>
    <row r="5188">
      <c r="B5188" s="11"/>
      <c r="K5188" s="16"/>
      <c r="T5188" s="17"/>
      <c r="AC5188" s="17"/>
    </row>
    <row r="5189">
      <c r="B5189" s="11"/>
      <c r="K5189" s="16"/>
      <c r="T5189" s="17"/>
      <c r="AC5189" s="17"/>
    </row>
    <row r="5190">
      <c r="B5190" s="11"/>
      <c r="K5190" s="16"/>
      <c r="T5190" s="17"/>
      <c r="AC5190" s="17"/>
    </row>
    <row r="5191">
      <c r="B5191" s="11"/>
      <c r="K5191" s="16"/>
      <c r="T5191" s="17"/>
      <c r="AC5191" s="17"/>
    </row>
    <row r="5192">
      <c r="B5192" s="11"/>
      <c r="K5192" s="16"/>
      <c r="T5192" s="17"/>
      <c r="AC5192" s="17"/>
    </row>
    <row r="5193">
      <c r="B5193" s="11"/>
      <c r="K5193" s="16"/>
      <c r="T5193" s="17"/>
      <c r="AC5193" s="17"/>
    </row>
    <row r="5194">
      <c r="B5194" s="11"/>
      <c r="K5194" s="16"/>
      <c r="T5194" s="17"/>
      <c r="AC5194" s="17"/>
    </row>
    <row r="5195">
      <c r="B5195" s="11"/>
      <c r="K5195" s="16"/>
      <c r="T5195" s="17"/>
      <c r="AC5195" s="17"/>
    </row>
    <row r="5196">
      <c r="B5196" s="11"/>
      <c r="K5196" s="16"/>
      <c r="T5196" s="17"/>
      <c r="AC5196" s="17"/>
    </row>
    <row r="5197">
      <c r="B5197" s="11"/>
      <c r="K5197" s="16"/>
      <c r="T5197" s="17"/>
      <c r="AC5197" s="17"/>
    </row>
    <row r="5198">
      <c r="B5198" s="11"/>
      <c r="K5198" s="16"/>
      <c r="T5198" s="17"/>
      <c r="AC5198" s="17"/>
    </row>
    <row r="5199">
      <c r="B5199" s="11"/>
      <c r="K5199" s="16"/>
      <c r="T5199" s="17"/>
      <c r="AC5199" s="17"/>
    </row>
    <row r="5200">
      <c r="B5200" s="11"/>
      <c r="K5200" s="16"/>
      <c r="T5200" s="17"/>
      <c r="AC5200" s="17"/>
    </row>
    <row r="5201">
      <c r="B5201" s="11"/>
      <c r="K5201" s="16"/>
      <c r="T5201" s="17"/>
      <c r="AC5201" s="17"/>
    </row>
    <row r="5202">
      <c r="B5202" s="11"/>
      <c r="K5202" s="16"/>
      <c r="T5202" s="17"/>
      <c r="AC5202" s="17"/>
    </row>
    <row r="5203">
      <c r="B5203" s="11"/>
      <c r="K5203" s="16"/>
      <c r="T5203" s="17"/>
      <c r="AC5203" s="17"/>
    </row>
    <row r="5204">
      <c r="B5204" s="11"/>
      <c r="K5204" s="16"/>
      <c r="T5204" s="17"/>
      <c r="AC5204" s="17"/>
    </row>
    <row r="5205">
      <c r="B5205" s="11"/>
      <c r="K5205" s="16"/>
      <c r="T5205" s="17"/>
      <c r="AC5205" s="17"/>
    </row>
    <row r="5206">
      <c r="B5206" s="11"/>
      <c r="K5206" s="16"/>
      <c r="T5206" s="17"/>
      <c r="AC5206" s="17"/>
    </row>
    <row r="5207">
      <c r="B5207" s="11"/>
      <c r="K5207" s="16"/>
      <c r="T5207" s="17"/>
      <c r="AC5207" s="17"/>
    </row>
    <row r="5208">
      <c r="B5208" s="11"/>
      <c r="K5208" s="16"/>
      <c r="T5208" s="17"/>
      <c r="AC5208" s="17"/>
    </row>
    <row r="5209">
      <c r="B5209" s="11"/>
      <c r="K5209" s="16"/>
      <c r="T5209" s="17"/>
      <c r="AC5209" s="17"/>
    </row>
    <row r="5210">
      <c r="B5210" s="11"/>
      <c r="K5210" s="16"/>
      <c r="T5210" s="17"/>
      <c r="AC5210" s="17"/>
    </row>
    <row r="5211">
      <c r="B5211" s="11"/>
      <c r="K5211" s="16"/>
      <c r="T5211" s="17"/>
      <c r="AC5211" s="17"/>
    </row>
    <row r="5212">
      <c r="B5212" s="11"/>
      <c r="K5212" s="16"/>
      <c r="T5212" s="17"/>
      <c r="AC5212" s="17"/>
    </row>
    <row r="5213">
      <c r="B5213" s="11"/>
      <c r="K5213" s="16"/>
      <c r="T5213" s="17"/>
      <c r="AC5213" s="17"/>
    </row>
    <row r="5214">
      <c r="B5214" s="11"/>
      <c r="K5214" s="16"/>
      <c r="T5214" s="17"/>
      <c r="AC5214" s="17"/>
    </row>
    <row r="5215">
      <c r="B5215" s="11"/>
      <c r="K5215" s="16"/>
      <c r="T5215" s="17"/>
      <c r="AC5215" s="17"/>
    </row>
    <row r="5216">
      <c r="B5216" s="11"/>
      <c r="K5216" s="16"/>
      <c r="T5216" s="17"/>
      <c r="AC5216" s="17"/>
    </row>
    <row r="5217">
      <c r="B5217" s="11"/>
      <c r="K5217" s="16"/>
      <c r="T5217" s="17"/>
      <c r="AC5217" s="17"/>
    </row>
    <row r="5218">
      <c r="B5218" s="11"/>
      <c r="K5218" s="16"/>
      <c r="T5218" s="17"/>
      <c r="AC5218" s="17"/>
    </row>
    <row r="5219">
      <c r="B5219" s="11"/>
      <c r="K5219" s="16"/>
      <c r="T5219" s="17"/>
      <c r="AC5219" s="17"/>
    </row>
    <row r="5220">
      <c r="B5220" s="11"/>
      <c r="K5220" s="16"/>
      <c r="T5220" s="17"/>
      <c r="AC5220" s="17"/>
    </row>
    <row r="5221">
      <c r="B5221" s="11"/>
      <c r="K5221" s="16"/>
      <c r="T5221" s="17"/>
      <c r="AC5221" s="17"/>
    </row>
    <row r="5222">
      <c r="B5222" s="11"/>
      <c r="K5222" s="16"/>
      <c r="T5222" s="17"/>
      <c r="AC5222" s="17"/>
    </row>
    <row r="5223">
      <c r="B5223" s="11"/>
      <c r="K5223" s="16"/>
      <c r="T5223" s="17"/>
      <c r="AC5223" s="17"/>
    </row>
    <row r="5224">
      <c r="B5224" s="11"/>
      <c r="K5224" s="16"/>
      <c r="T5224" s="17"/>
      <c r="AC5224" s="17"/>
    </row>
    <row r="5225">
      <c r="B5225" s="11"/>
      <c r="K5225" s="16"/>
      <c r="T5225" s="17"/>
      <c r="AC5225" s="17"/>
    </row>
    <row r="5226">
      <c r="B5226" s="11"/>
      <c r="K5226" s="16"/>
      <c r="T5226" s="17"/>
      <c r="AC5226" s="17"/>
    </row>
    <row r="5227">
      <c r="B5227" s="11"/>
      <c r="K5227" s="16"/>
      <c r="T5227" s="17"/>
      <c r="AC5227" s="17"/>
    </row>
    <row r="5228">
      <c r="B5228" s="11"/>
      <c r="K5228" s="16"/>
      <c r="T5228" s="17"/>
      <c r="AC5228" s="17"/>
    </row>
    <row r="5229">
      <c r="B5229" s="11"/>
      <c r="K5229" s="16"/>
      <c r="T5229" s="17"/>
      <c r="AC5229" s="17"/>
    </row>
    <row r="5230">
      <c r="B5230" s="11"/>
      <c r="K5230" s="16"/>
      <c r="T5230" s="17"/>
      <c r="AC5230" s="17"/>
    </row>
    <row r="5231">
      <c r="B5231" s="11"/>
      <c r="K5231" s="16"/>
      <c r="T5231" s="17"/>
      <c r="AC5231" s="17"/>
    </row>
    <row r="5232">
      <c r="B5232" s="11"/>
      <c r="K5232" s="16"/>
      <c r="T5232" s="17"/>
      <c r="AC5232" s="17"/>
    </row>
    <row r="5233">
      <c r="B5233" s="11"/>
      <c r="K5233" s="16"/>
      <c r="T5233" s="17"/>
      <c r="AC5233" s="17"/>
    </row>
    <row r="5234">
      <c r="B5234" s="11"/>
      <c r="K5234" s="16"/>
      <c r="T5234" s="17"/>
      <c r="AC5234" s="17"/>
    </row>
    <row r="5235">
      <c r="B5235" s="11"/>
      <c r="K5235" s="16"/>
      <c r="T5235" s="17"/>
      <c r="AC5235" s="17"/>
    </row>
    <row r="5236">
      <c r="B5236" s="11"/>
      <c r="K5236" s="16"/>
      <c r="T5236" s="17"/>
      <c r="AC5236" s="17"/>
    </row>
    <row r="5237">
      <c r="B5237" s="11"/>
      <c r="K5237" s="16"/>
      <c r="T5237" s="17"/>
      <c r="AC5237" s="17"/>
    </row>
    <row r="5238">
      <c r="B5238" s="11"/>
      <c r="K5238" s="16"/>
      <c r="T5238" s="17"/>
      <c r="AC5238" s="17"/>
    </row>
    <row r="5239">
      <c r="B5239" s="11"/>
      <c r="K5239" s="16"/>
      <c r="T5239" s="17"/>
      <c r="AC5239" s="17"/>
    </row>
    <row r="5240">
      <c r="B5240" s="11"/>
      <c r="K5240" s="16"/>
      <c r="T5240" s="17"/>
      <c r="AC5240" s="17"/>
    </row>
    <row r="5241">
      <c r="B5241" s="11"/>
      <c r="K5241" s="16"/>
      <c r="T5241" s="17"/>
      <c r="AC5241" s="17"/>
    </row>
    <row r="5242">
      <c r="B5242" s="11"/>
      <c r="K5242" s="16"/>
      <c r="T5242" s="17"/>
      <c r="AC5242" s="17"/>
    </row>
    <row r="5243">
      <c r="B5243" s="11"/>
      <c r="K5243" s="16"/>
      <c r="T5243" s="17"/>
      <c r="AC5243" s="17"/>
    </row>
    <row r="5244">
      <c r="B5244" s="11"/>
      <c r="K5244" s="16"/>
      <c r="T5244" s="17"/>
      <c r="AC5244" s="17"/>
    </row>
    <row r="5245">
      <c r="B5245" s="11"/>
      <c r="K5245" s="16"/>
      <c r="T5245" s="17"/>
      <c r="AC5245" s="17"/>
    </row>
    <row r="5246">
      <c r="B5246" s="11"/>
      <c r="K5246" s="16"/>
      <c r="T5246" s="17"/>
      <c r="AC5246" s="17"/>
    </row>
    <row r="5247">
      <c r="B5247" s="11"/>
      <c r="K5247" s="16"/>
      <c r="T5247" s="17"/>
      <c r="AC5247" s="17"/>
    </row>
    <row r="5248">
      <c r="B5248" s="11"/>
      <c r="K5248" s="16"/>
      <c r="T5248" s="17"/>
      <c r="AC5248" s="17"/>
    </row>
    <row r="5249">
      <c r="B5249" s="11"/>
      <c r="K5249" s="16"/>
      <c r="T5249" s="17"/>
      <c r="AC5249" s="17"/>
    </row>
    <row r="5250">
      <c r="B5250" s="11"/>
      <c r="K5250" s="16"/>
      <c r="T5250" s="17"/>
      <c r="AC5250" s="17"/>
    </row>
    <row r="5251">
      <c r="B5251" s="11"/>
      <c r="K5251" s="16"/>
      <c r="T5251" s="17"/>
      <c r="AC5251" s="17"/>
    </row>
    <row r="5252">
      <c r="B5252" s="11"/>
      <c r="K5252" s="16"/>
      <c r="T5252" s="17"/>
      <c r="AC5252" s="17"/>
    </row>
    <row r="5253">
      <c r="B5253" s="11"/>
      <c r="K5253" s="16"/>
      <c r="T5253" s="17"/>
      <c r="AC5253" s="17"/>
    </row>
    <row r="5254">
      <c r="B5254" s="11"/>
      <c r="K5254" s="16"/>
      <c r="T5254" s="17"/>
      <c r="AC5254" s="17"/>
    </row>
    <row r="5255">
      <c r="B5255" s="11"/>
      <c r="K5255" s="16"/>
      <c r="T5255" s="17"/>
      <c r="AC5255" s="17"/>
    </row>
    <row r="5256">
      <c r="B5256" s="11"/>
      <c r="K5256" s="16"/>
      <c r="T5256" s="17"/>
      <c r="AC5256" s="17"/>
    </row>
    <row r="5257">
      <c r="B5257" s="11"/>
      <c r="K5257" s="16"/>
      <c r="T5257" s="17"/>
      <c r="AC5257" s="17"/>
    </row>
    <row r="5258">
      <c r="B5258" s="11"/>
      <c r="K5258" s="16"/>
      <c r="T5258" s="17"/>
      <c r="AC5258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61</v>
      </c>
      <c r="B1" s="22"/>
      <c r="C1" s="23"/>
      <c r="D1" s="24" t="s">
        <v>62</v>
      </c>
      <c r="E1" s="25"/>
    </row>
    <row r="2">
      <c r="A2" s="26" t="str">
        <f>IFERROR(__xludf.DUMMYFUNCTION("SORT(IMPORTDATA(""https://fred.stlouisfed.org/graph/fredgraph.csv?id=PNFI""),1,FALSE)"),"observation_date")</f>
        <v>observation_date</v>
      </c>
      <c r="B2" s="22" t="str">
        <f>IFERROR(__xludf.DUMMYFUNCTION("""COMPUTED_VALUE"""),"PNFI")</f>
        <v>PNFI</v>
      </c>
      <c r="C2" s="23"/>
      <c r="D2" s="26" t="str">
        <f>IFERROR(__xludf.DUMMYFUNCTION("QUERY(A:B, ""SELECT A, B WHERE A &gt;= DATE '"" &amp; TEXT(TODAY()-365*5, ""yyyy-MM-dd"") &amp; ""' ORDER BY A DESC"", 1)"),"NFI represents the Pritvate Nonresidential Fixed Investment, in billions. ")</f>
        <v>NFI represents the Pritvate Nonresidential Fixed Investment, in billions. </v>
      </c>
      <c r="E2" s="27" t="str">
        <f>IFERROR(__xludf.DUMMYFUNCTION("""COMPUTED_VALUE"""),"")</f>
        <v/>
      </c>
      <c r="N2" s="6" t="s">
        <v>63</v>
      </c>
      <c r="W2" s="6" t="s">
        <v>64</v>
      </c>
      <c r="X2" s="24"/>
      <c r="Y2" s="25"/>
    </row>
    <row r="3">
      <c r="A3" s="28">
        <f>IFERROR(__xludf.DUMMYFUNCTION("""COMPUTED_VALUE"""),45839.0)</f>
        <v>45839</v>
      </c>
      <c r="B3" s="29">
        <f>IFERROR(__xludf.DUMMYFUNCTION("""COMPUTED_VALUE"""),4291.558)</f>
        <v>4291.558</v>
      </c>
      <c r="C3" s="23"/>
      <c r="D3" s="28">
        <f>IFERROR(__xludf.DUMMYFUNCTION("""COMPUTED_VALUE"""),45839.0)</f>
        <v>45839</v>
      </c>
      <c r="E3" s="29">
        <f>IFERROR(__xludf.DUMMYFUNCTION("""COMPUTED_VALUE"""),4291.558)</f>
        <v>4291.558</v>
      </c>
      <c r="N3" s="11">
        <f t="shared" ref="N3:N1001" si="1">A3</f>
        <v>45839</v>
      </c>
      <c r="O3" s="9">
        <f t="shared" ref="O3:O314" si="2">LOG10(B3)</f>
        <v>3.632614986</v>
      </c>
      <c r="W3" s="11">
        <f t="shared" ref="W3:W22" si="3">D3</f>
        <v>45839</v>
      </c>
      <c r="X3" s="9">
        <f t="shared" ref="X3:X20" si="4">LOG10(E3)</f>
        <v>3.632614986</v>
      </c>
      <c r="Y3" s="27"/>
    </row>
    <row r="4">
      <c r="A4" s="28">
        <f>IFERROR(__xludf.DUMMYFUNCTION("""COMPUTED_VALUE"""),45748.0)</f>
        <v>45748</v>
      </c>
      <c r="B4" s="29">
        <f>IFERROR(__xludf.DUMMYFUNCTION("""COMPUTED_VALUE"""),4207.512)</f>
        <v>4207.512</v>
      </c>
      <c r="C4" s="23"/>
      <c r="D4" s="28">
        <f>IFERROR(__xludf.DUMMYFUNCTION("""COMPUTED_VALUE"""),45748.0)</f>
        <v>45748</v>
      </c>
      <c r="E4" s="29">
        <f>IFERROR(__xludf.DUMMYFUNCTION("""COMPUTED_VALUE"""),4207.512)</f>
        <v>4207.512</v>
      </c>
      <c r="N4" s="11">
        <f t="shared" si="1"/>
        <v>45748</v>
      </c>
      <c r="O4" s="9">
        <f t="shared" si="2"/>
        <v>3.624025363</v>
      </c>
      <c r="W4" s="11">
        <f t="shared" si="3"/>
        <v>45748</v>
      </c>
      <c r="X4" s="9">
        <f t="shared" si="4"/>
        <v>3.624025363</v>
      </c>
      <c r="Y4" s="30"/>
    </row>
    <row r="5">
      <c r="A5" s="28">
        <f>IFERROR(__xludf.DUMMYFUNCTION("""COMPUTED_VALUE"""),45658.0)</f>
        <v>45658</v>
      </c>
      <c r="B5" s="29">
        <f>IFERROR(__xludf.DUMMYFUNCTION("""COMPUTED_VALUE"""),4137.819)</f>
        <v>4137.819</v>
      </c>
      <c r="C5" s="23"/>
      <c r="D5" s="28">
        <f>IFERROR(__xludf.DUMMYFUNCTION("""COMPUTED_VALUE"""),45658.0)</f>
        <v>45658</v>
      </c>
      <c r="E5" s="29">
        <f>IFERROR(__xludf.DUMMYFUNCTION("""COMPUTED_VALUE"""),4137.819)</f>
        <v>4137.819</v>
      </c>
      <c r="N5" s="11">
        <f t="shared" si="1"/>
        <v>45658</v>
      </c>
      <c r="O5" s="9">
        <f t="shared" si="2"/>
        <v>3.616771489</v>
      </c>
      <c r="W5" s="11">
        <f t="shared" si="3"/>
        <v>45658</v>
      </c>
      <c r="X5" s="9">
        <f t="shared" si="4"/>
        <v>3.616771489</v>
      </c>
      <c r="Y5" s="30"/>
    </row>
    <row r="6">
      <c r="A6" s="28">
        <f>IFERROR(__xludf.DUMMYFUNCTION("""COMPUTED_VALUE"""),45566.0)</f>
        <v>45566</v>
      </c>
      <c r="B6" s="29">
        <f>IFERROR(__xludf.DUMMYFUNCTION("""COMPUTED_VALUE"""),4046.39)</f>
        <v>4046.39</v>
      </c>
      <c r="C6" s="23"/>
      <c r="D6" s="28">
        <f>IFERROR(__xludf.DUMMYFUNCTION("""COMPUTED_VALUE"""),45566.0)</f>
        <v>45566</v>
      </c>
      <c r="E6" s="29">
        <f>IFERROR(__xludf.DUMMYFUNCTION("""COMPUTED_VALUE"""),4046.39)</f>
        <v>4046.39</v>
      </c>
      <c r="N6" s="11">
        <f t="shared" si="1"/>
        <v>45566</v>
      </c>
      <c r="O6" s="9">
        <f t="shared" si="2"/>
        <v>3.607067739</v>
      </c>
      <c r="W6" s="11">
        <f t="shared" si="3"/>
        <v>45566</v>
      </c>
      <c r="X6" s="9">
        <f t="shared" si="4"/>
        <v>3.607067739</v>
      </c>
      <c r="Y6" s="30"/>
    </row>
    <row r="7">
      <c r="A7" s="28">
        <f>IFERROR(__xludf.DUMMYFUNCTION("""COMPUTED_VALUE"""),45474.0)</f>
        <v>45474</v>
      </c>
      <c r="B7" s="29">
        <f>IFERROR(__xludf.DUMMYFUNCTION("""COMPUTED_VALUE"""),4069.186)</f>
        <v>4069.186</v>
      </c>
      <c r="C7" s="23"/>
      <c r="D7" s="28">
        <f>IFERROR(__xludf.DUMMYFUNCTION("""COMPUTED_VALUE"""),45474.0)</f>
        <v>45474</v>
      </c>
      <c r="E7" s="29">
        <f>IFERROR(__xludf.DUMMYFUNCTION("""COMPUTED_VALUE"""),4069.186)</f>
        <v>4069.186</v>
      </c>
      <c r="N7" s="11">
        <f t="shared" si="1"/>
        <v>45474</v>
      </c>
      <c r="O7" s="9">
        <f t="shared" si="2"/>
        <v>3.609507542</v>
      </c>
      <c r="W7" s="11">
        <f t="shared" si="3"/>
        <v>45474</v>
      </c>
      <c r="X7" s="9">
        <f t="shared" si="4"/>
        <v>3.609507542</v>
      </c>
      <c r="Y7" s="30"/>
    </row>
    <row r="8">
      <c r="A8" s="28">
        <f>IFERROR(__xludf.DUMMYFUNCTION("""COMPUTED_VALUE"""),45383.0)</f>
        <v>45383</v>
      </c>
      <c r="B8" s="29">
        <f>IFERROR(__xludf.DUMMYFUNCTION("""COMPUTED_VALUE"""),4012.411)</f>
        <v>4012.411</v>
      </c>
      <c r="C8" s="23"/>
      <c r="D8" s="28">
        <f>IFERROR(__xludf.DUMMYFUNCTION("""COMPUTED_VALUE"""),45383.0)</f>
        <v>45383</v>
      </c>
      <c r="E8" s="29">
        <f>IFERROR(__xludf.DUMMYFUNCTION("""COMPUTED_VALUE"""),4012.411)</f>
        <v>4012.411</v>
      </c>
      <c r="N8" s="11">
        <f t="shared" si="1"/>
        <v>45383</v>
      </c>
      <c r="O8" s="9">
        <f t="shared" si="2"/>
        <v>3.603405412</v>
      </c>
      <c r="W8" s="11">
        <f t="shared" si="3"/>
        <v>45383</v>
      </c>
      <c r="X8" s="9">
        <f t="shared" si="4"/>
        <v>3.603405412</v>
      </c>
      <c r="Y8" s="30"/>
    </row>
    <row r="9">
      <c r="A9" s="28">
        <f>IFERROR(__xludf.DUMMYFUNCTION("""COMPUTED_VALUE"""),45292.0)</f>
        <v>45292</v>
      </c>
      <c r="B9" s="29">
        <f>IFERROR(__xludf.DUMMYFUNCTION("""COMPUTED_VALUE"""),3963.752)</f>
        <v>3963.752</v>
      </c>
      <c r="C9" s="23"/>
      <c r="D9" s="28">
        <f>IFERROR(__xludf.DUMMYFUNCTION("""COMPUTED_VALUE"""),45292.0)</f>
        <v>45292</v>
      </c>
      <c r="E9" s="29">
        <f>IFERROR(__xludf.DUMMYFUNCTION("""COMPUTED_VALUE"""),3963.752)</f>
        <v>3963.752</v>
      </c>
      <c r="N9" s="11">
        <f t="shared" si="1"/>
        <v>45292</v>
      </c>
      <c r="O9" s="9">
        <f t="shared" si="2"/>
        <v>3.598106474</v>
      </c>
      <c r="W9" s="11">
        <f t="shared" si="3"/>
        <v>45292</v>
      </c>
      <c r="X9" s="9">
        <f t="shared" si="4"/>
        <v>3.598106474</v>
      </c>
      <c r="Y9" s="30"/>
    </row>
    <row r="10">
      <c r="A10" s="28">
        <f>IFERROR(__xludf.DUMMYFUNCTION("""COMPUTED_VALUE"""),45200.0)</f>
        <v>45200</v>
      </c>
      <c r="B10" s="29">
        <f>IFERROR(__xludf.DUMMYFUNCTION("""COMPUTED_VALUE"""),3941.343)</f>
        <v>3941.343</v>
      </c>
      <c r="C10" s="23"/>
      <c r="D10" s="28">
        <f>IFERROR(__xludf.DUMMYFUNCTION("""COMPUTED_VALUE"""),45200.0)</f>
        <v>45200</v>
      </c>
      <c r="E10" s="29">
        <f>IFERROR(__xludf.DUMMYFUNCTION("""COMPUTED_VALUE"""),3941.343)</f>
        <v>3941.343</v>
      </c>
      <c r="N10" s="11">
        <f t="shared" si="1"/>
        <v>45200</v>
      </c>
      <c r="O10" s="9">
        <f t="shared" si="2"/>
        <v>3.595644231</v>
      </c>
      <c r="W10" s="11">
        <f t="shared" si="3"/>
        <v>45200</v>
      </c>
      <c r="X10" s="9">
        <f t="shared" si="4"/>
        <v>3.595644231</v>
      </c>
      <c r="Y10" s="30"/>
    </row>
    <row r="11">
      <c r="A11" s="28">
        <f>IFERROR(__xludf.DUMMYFUNCTION("""COMPUTED_VALUE"""),45108.0)</f>
        <v>45108</v>
      </c>
      <c r="B11" s="29">
        <f>IFERROR(__xludf.DUMMYFUNCTION("""COMPUTED_VALUE"""),3871.644)</f>
        <v>3871.644</v>
      </c>
      <c r="C11" s="23"/>
      <c r="D11" s="28">
        <f>IFERROR(__xludf.DUMMYFUNCTION("""COMPUTED_VALUE"""),45108.0)</f>
        <v>45108</v>
      </c>
      <c r="E11" s="29">
        <f>IFERROR(__xludf.DUMMYFUNCTION("""COMPUTED_VALUE"""),3871.644)</f>
        <v>3871.644</v>
      </c>
      <c r="N11" s="11">
        <f t="shared" si="1"/>
        <v>45108</v>
      </c>
      <c r="O11" s="9">
        <f t="shared" si="2"/>
        <v>3.587895417</v>
      </c>
      <c r="W11" s="11">
        <f t="shared" si="3"/>
        <v>45108</v>
      </c>
      <c r="X11" s="9">
        <f t="shared" si="4"/>
        <v>3.587895417</v>
      </c>
      <c r="Y11" s="30"/>
    </row>
    <row r="12">
      <c r="A12" s="28">
        <f>IFERROR(__xludf.DUMMYFUNCTION("""COMPUTED_VALUE"""),45017.0)</f>
        <v>45017</v>
      </c>
      <c r="B12" s="29">
        <f>IFERROR(__xludf.DUMMYFUNCTION("""COMPUTED_VALUE"""),3854.267)</f>
        <v>3854.267</v>
      </c>
      <c r="C12" s="23"/>
      <c r="D12" s="28">
        <f>IFERROR(__xludf.DUMMYFUNCTION("""COMPUTED_VALUE"""),45017.0)</f>
        <v>45017</v>
      </c>
      <c r="E12" s="29">
        <f>IFERROR(__xludf.DUMMYFUNCTION("""COMPUTED_VALUE"""),3854.267)</f>
        <v>3854.267</v>
      </c>
      <c r="N12" s="11">
        <f t="shared" si="1"/>
        <v>45017</v>
      </c>
      <c r="O12" s="9">
        <f t="shared" si="2"/>
        <v>3.585941797</v>
      </c>
      <c r="W12" s="11">
        <f t="shared" si="3"/>
        <v>45017</v>
      </c>
      <c r="X12" s="9">
        <f t="shared" si="4"/>
        <v>3.585941797</v>
      </c>
      <c r="Y12" s="30"/>
    </row>
    <row r="13">
      <c r="A13" s="28">
        <f>IFERROR(__xludf.DUMMYFUNCTION("""COMPUTED_VALUE"""),44927.0)</f>
        <v>44927</v>
      </c>
      <c r="B13" s="29">
        <f>IFERROR(__xludf.DUMMYFUNCTION("""COMPUTED_VALUE"""),3756.575)</f>
        <v>3756.575</v>
      </c>
      <c r="C13" s="23"/>
      <c r="D13" s="28">
        <f>IFERROR(__xludf.DUMMYFUNCTION("""COMPUTED_VALUE"""),44927.0)</f>
        <v>44927</v>
      </c>
      <c r="E13" s="29">
        <f>IFERROR(__xludf.DUMMYFUNCTION("""COMPUTED_VALUE"""),3756.575)</f>
        <v>3756.575</v>
      </c>
      <c r="N13" s="11">
        <f t="shared" si="1"/>
        <v>44927</v>
      </c>
      <c r="O13" s="9">
        <f t="shared" si="2"/>
        <v>3.574792064</v>
      </c>
      <c r="W13" s="11">
        <f t="shared" si="3"/>
        <v>44927</v>
      </c>
      <c r="X13" s="9">
        <f t="shared" si="4"/>
        <v>3.574792064</v>
      </c>
      <c r="Y13" s="30"/>
    </row>
    <row r="14">
      <c r="A14" s="28">
        <f>IFERROR(__xludf.DUMMYFUNCTION("""COMPUTED_VALUE"""),44835.0)</f>
        <v>44835</v>
      </c>
      <c r="B14" s="29">
        <f>IFERROR(__xludf.DUMMYFUNCTION("""COMPUTED_VALUE"""),3636.96)</f>
        <v>3636.96</v>
      </c>
      <c r="C14" s="23"/>
      <c r="D14" s="28">
        <f>IFERROR(__xludf.DUMMYFUNCTION("""COMPUTED_VALUE"""),44835.0)</f>
        <v>44835</v>
      </c>
      <c r="E14" s="29">
        <f>IFERROR(__xludf.DUMMYFUNCTION("""COMPUTED_VALUE"""),3636.96)</f>
        <v>3636.96</v>
      </c>
      <c r="N14" s="11">
        <f t="shared" si="1"/>
        <v>44835</v>
      </c>
      <c r="O14" s="9">
        <f t="shared" si="2"/>
        <v>3.560738525</v>
      </c>
      <c r="W14" s="11">
        <f t="shared" si="3"/>
        <v>44835</v>
      </c>
      <c r="X14" s="9">
        <f t="shared" si="4"/>
        <v>3.560738525</v>
      </c>
      <c r="Y14" s="30"/>
    </row>
    <row r="15">
      <c r="A15" s="28">
        <f>IFERROR(__xludf.DUMMYFUNCTION("""COMPUTED_VALUE"""),44743.0)</f>
        <v>44743</v>
      </c>
      <c r="B15" s="29">
        <f>IFERROR(__xludf.DUMMYFUNCTION("""COMPUTED_VALUE"""),3547.608)</f>
        <v>3547.608</v>
      </c>
      <c r="C15" s="23"/>
      <c r="D15" s="28">
        <f>IFERROR(__xludf.DUMMYFUNCTION("""COMPUTED_VALUE"""),44743.0)</f>
        <v>44743</v>
      </c>
      <c r="E15" s="29">
        <f>IFERROR(__xludf.DUMMYFUNCTION("""COMPUTED_VALUE"""),3547.608)</f>
        <v>3547.608</v>
      </c>
      <c r="N15" s="11">
        <f t="shared" si="1"/>
        <v>44743</v>
      </c>
      <c r="O15" s="9">
        <f t="shared" si="2"/>
        <v>3.549935626</v>
      </c>
      <c r="W15" s="11">
        <f t="shared" si="3"/>
        <v>44743</v>
      </c>
      <c r="X15" s="9">
        <f t="shared" si="4"/>
        <v>3.549935626</v>
      </c>
      <c r="Y15" s="30"/>
    </row>
    <row r="16">
      <c r="A16" s="28">
        <f>IFERROR(__xludf.DUMMYFUNCTION("""COMPUTED_VALUE"""),44652.0)</f>
        <v>44652</v>
      </c>
      <c r="B16" s="29">
        <f>IFERROR(__xludf.DUMMYFUNCTION("""COMPUTED_VALUE"""),3438.72)</f>
        <v>3438.72</v>
      </c>
      <c r="C16" s="23"/>
      <c r="D16" s="28">
        <f>IFERROR(__xludf.DUMMYFUNCTION("""COMPUTED_VALUE"""),44652.0)</f>
        <v>44652</v>
      </c>
      <c r="E16" s="29">
        <f>IFERROR(__xludf.DUMMYFUNCTION("""COMPUTED_VALUE"""),3438.72)</f>
        <v>3438.72</v>
      </c>
      <c r="N16" s="11">
        <f t="shared" si="1"/>
        <v>44652</v>
      </c>
      <c r="O16" s="9">
        <f t="shared" si="2"/>
        <v>3.536396815</v>
      </c>
      <c r="W16" s="11">
        <f t="shared" si="3"/>
        <v>44652</v>
      </c>
      <c r="X16" s="9">
        <f t="shared" si="4"/>
        <v>3.536396815</v>
      </c>
      <c r="Y16" s="30"/>
    </row>
    <row r="17">
      <c r="A17" s="28">
        <f>IFERROR(__xludf.DUMMYFUNCTION("""COMPUTED_VALUE"""),44562.0)</f>
        <v>44562</v>
      </c>
      <c r="B17" s="29">
        <f>IFERROR(__xludf.DUMMYFUNCTION("""COMPUTED_VALUE"""),3314.956)</f>
        <v>3314.956</v>
      </c>
      <c r="C17" s="23"/>
      <c r="D17" s="28">
        <f>IFERROR(__xludf.DUMMYFUNCTION("""COMPUTED_VALUE"""),44562.0)</f>
        <v>44562</v>
      </c>
      <c r="E17" s="29">
        <f>IFERROR(__xludf.DUMMYFUNCTION("""COMPUTED_VALUE"""),3314.956)</f>
        <v>3314.956</v>
      </c>
      <c r="N17" s="11">
        <f t="shared" si="1"/>
        <v>44562</v>
      </c>
      <c r="O17" s="9">
        <f t="shared" si="2"/>
        <v>3.520477768</v>
      </c>
      <c r="W17" s="11">
        <f t="shared" si="3"/>
        <v>44562</v>
      </c>
      <c r="X17" s="9">
        <f t="shared" si="4"/>
        <v>3.520477768</v>
      </c>
      <c r="Y17" s="30"/>
    </row>
    <row r="18">
      <c r="A18" s="28">
        <f>IFERROR(__xludf.DUMMYFUNCTION("""COMPUTED_VALUE"""),44470.0)</f>
        <v>44470</v>
      </c>
      <c r="B18" s="29">
        <f>IFERROR(__xludf.DUMMYFUNCTION("""COMPUTED_VALUE"""),3171.559)</f>
        <v>3171.559</v>
      </c>
      <c r="C18" s="23"/>
      <c r="D18" s="28">
        <f>IFERROR(__xludf.DUMMYFUNCTION("""COMPUTED_VALUE"""),44470.0)</f>
        <v>44470</v>
      </c>
      <c r="E18" s="29">
        <f>IFERROR(__xludf.DUMMYFUNCTION("""COMPUTED_VALUE"""),3171.559)</f>
        <v>3171.559</v>
      </c>
      <c r="N18" s="11">
        <f t="shared" si="1"/>
        <v>44470</v>
      </c>
      <c r="O18" s="9">
        <f t="shared" si="2"/>
        <v>3.501272795</v>
      </c>
      <c r="W18" s="11">
        <f t="shared" si="3"/>
        <v>44470</v>
      </c>
      <c r="X18" s="9">
        <f t="shared" si="4"/>
        <v>3.501272795</v>
      </c>
      <c r="Y18" s="30"/>
    </row>
    <row r="19">
      <c r="A19" s="28">
        <f>IFERROR(__xludf.DUMMYFUNCTION("""COMPUTED_VALUE"""),44378.0)</f>
        <v>44378</v>
      </c>
      <c r="B19" s="29">
        <f>IFERROR(__xludf.DUMMYFUNCTION("""COMPUTED_VALUE"""),3096.193)</f>
        <v>3096.193</v>
      </c>
      <c r="C19" s="23"/>
      <c r="D19" s="28">
        <f>IFERROR(__xludf.DUMMYFUNCTION("""COMPUTED_VALUE"""),44378.0)</f>
        <v>44378</v>
      </c>
      <c r="E19" s="29">
        <f>IFERROR(__xludf.DUMMYFUNCTION("""COMPUTED_VALUE"""),3096.193)</f>
        <v>3096.193</v>
      </c>
      <c r="N19" s="11">
        <f t="shared" si="1"/>
        <v>44378</v>
      </c>
      <c r="O19" s="9">
        <f t="shared" si="2"/>
        <v>3.490828024</v>
      </c>
      <c r="W19" s="11">
        <f t="shared" si="3"/>
        <v>44378</v>
      </c>
      <c r="X19" s="9">
        <f t="shared" si="4"/>
        <v>3.490828024</v>
      </c>
      <c r="Y19" s="30"/>
    </row>
    <row r="20">
      <c r="A20" s="28">
        <f>IFERROR(__xludf.DUMMYFUNCTION("""COMPUTED_VALUE"""),44287.0)</f>
        <v>44287</v>
      </c>
      <c r="B20" s="29">
        <f>IFERROR(__xludf.DUMMYFUNCTION("""COMPUTED_VALUE"""),3078.401)</f>
        <v>3078.401</v>
      </c>
      <c r="C20" s="23"/>
      <c r="D20" s="28">
        <f>IFERROR(__xludf.DUMMYFUNCTION("""COMPUTED_VALUE"""),44287.0)</f>
        <v>44287</v>
      </c>
      <c r="E20" s="29">
        <f>IFERROR(__xludf.DUMMYFUNCTION("""COMPUTED_VALUE"""),3078.401)</f>
        <v>3078.401</v>
      </c>
      <c r="N20" s="11">
        <f t="shared" si="1"/>
        <v>44287</v>
      </c>
      <c r="O20" s="9">
        <f t="shared" si="2"/>
        <v>3.488325191</v>
      </c>
      <c r="W20" s="11">
        <f t="shared" si="3"/>
        <v>44287</v>
      </c>
      <c r="X20" s="9">
        <f t="shared" si="4"/>
        <v>3.488325191</v>
      </c>
      <c r="Y20" s="30"/>
    </row>
    <row r="21">
      <c r="A21" s="28">
        <f>IFERROR(__xludf.DUMMYFUNCTION("""COMPUTED_VALUE"""),44197.0)</f>
        <v>44197</v>
      </c>
      <c r="B21" s="29">
        <f>IFERROR(__xludf.DUMMYFUNCTION("""COMPUTED_VALUE"""),3002.811)</f>
        <v>3002.811</v>
      </c>
      <c r="C21" s="23"/>
      <c r="D21" s="26"/>
      <c r="E21" s="25"/>
      <c r="N21" s="11">
        <f t="shared" si="1"/>
        <v>44197</v>
      </c>
      <c r="O21" s="9">
        <f t="shared" si="2"/>
        <v>3.477527998</v>
      </c>
      <c r="W21" s="11" t="str">
        <f t="shared" si="3"/>
        <v/>
      </c>
      <c r="Y21" s="30"/>
    </row>
    <row r="22">
      <c r="A22" s="28">
        <f>IFERROR(__xludf.DUMMYFUNCTION("""COMPUTED_VALUE"""),44105.0)</f>
        <v>44105</v>
      </c>
      <c r="B22" s="29">
        <f>IFERROR(__xludf.DUMMYFUNCTION("""COMPUTED_VALUE"""),2938.775)</f>
        <v>2938.775</v>
      </c>
      <c r="C22" s="23"/>
      <c r="D22" s="26"/>
      <c r="E22" s="25"/>
      <c r="N22" s="11">
        <f t="shared" si="1"/>
        <v>44105</v>
      </c>
      <c r="O22" s="9">
        <f t="shared" si="2"/>
        <v>3.468166337</v>
      </c>
      <c r="W22" s="11" t="str">
        <f t="shared" si="3"/>
        <v/>
      </c>
    </row>
    <row r="23">
      <c r="A23" s="28">
        <f>IFERROR(__xludf.DUMMYFUNCTION("""COMPUTED_VALUE"""),44013.0)</f>
        <v>44013</v>
      </c>
      <c r="B23" s="29">
        <f>IFERROR(__xludf.DUMMYFUNCTION("""COMPUTED_VALUE"""),2852.508)</f>
        <v>2852.508</v>
      </c>
      <c r="C23" s="23"/>
      <c r="D23" s="26"/>
      <c r="E23" s="25"/>
      <c r="N23" s="11">
        <f t="shared" si="1"/>
        <v>44013</v>
      </c>
      <c r="O23" s="9">
        <f t="shared" si="2"/>
        <v>3.455226871</v>
      </c>
    </row>
    <row r="24">
      <c r="A24" s="28">
        <f>IFERROR(__xludf.DUMMYFUNCTION("""COMPUTED_VALUE"""),43922.0)</f>
        <v>43922</v>
      </c>
      <c r="B24" s="29">
        <f>IFERROR(__xludf.DUMMYFUNCTION("""COMPUTED_VALUE"""),2736.487)</f>
        <v>2736.487</v>
      </c>
      <c r="C24" s="23"/>
      <c r="D24" s="26"/>
      <c r="E24" s="25"/>
      <c r="N24" s="11">
        <f t="shared" si="1"/>
        <v>43922</v>
      </c>
      <c r="O24" s="9">
        <f t="shared" si="2"/>
        <v>3.437193389</v>
      </c>
    </row>
    <row r="25">
      <c r="A25" s="28">
        <f>IFERROR(__xludf.DUMMYFUNCTION("""COMPUTED_VALUE"""),43831.0)</f>
        <v>43831</v>
      </c>
      <c r="B25" s="29">
        <f>IFERROR(__xludf.DUMMYFUNCTION("""COMPUTED_VALUE"""),2965.479)</f>
        <v>2965.479</v>
      </c>
      <c r="C25" s="23"/>
      <c r="D25" s="26"/>
      <c r="E25" s="25"/>
      <c r="N25" s="11">
        <f t="shared" si="1"/>
        <v>43831</v>
      </c>
      <c r="O25" s="9">
        <f t="shared" si="2"/>
        <v>3.472094853</v>
      </c>
    </row>
    <row r="26">
      <c r="A26" s="28">
        <f>IFERROR(__xludf.DUMMYFUNCTION("""COMPUTED_VALUE"""),43739.0)</f>
        <v>43739</v>
      </c>
      <c r="B26" s="29">
        <f>IFERROR(__xludf.DUMMYFUNCTION("""COMPUTED_VALUE"""),3010.301)</f>
        <v>3010.301</v>
      </c>
      <c r="C26" s="23"/>
      <c r="D26" s="26"/>
      <c r="E26" s="25"/>
      <c r="N26" s="11">
        <f t="shared" si="1"/>
        <v>43739</v>
      </c>
      <c r="O26" s="9">
        <f t="shared" si="2"/>
        <v>3.478609923</v>
      </c>
    </row>
    <row r="27">
      <c r="A27" s="28">
        <f>IFERROR(__xludf.DUMMYFUNCTION("""COMPUTED_VALUE"""),43647.0)</f>
        <v>43647</v>
      </c>
      <c r="B27" s="29">
        <f>IFERROR(__xludf.DUMMYFUNCTION("""COMPUTED_VALUE"""),3031.12)</f>
        <v>3031.12</v>
      </c>
      <c r="C27" s="23"/>
      <c r="D27" s="26"/>
      <c r="E27" s="25"/>
      <c r="N27" s="11">
        <f t="shared" si="1"/>
        <v>43647</v>
      </c>
      <c r="O27" s="9">
        <f t="shared" si="2"/>
        <v>3.48160313</v>
      </c>
    </row>
    <row r="28">
      <c r="A28" s="28">
        <f>IFERROR(__xludf.DUMMYFUNCTION("""COMPUTED_VALUE"""),43556.0)</f>
        <v>43556</v>
      </c>
      <c r="B28" s="29">
        <f>IFERROR(__xludf.DUMMYFUNCTION("""COMPUTED_VALUE"""),3000.782)</f>
        <v>3000.782</v>
      </c>
      <c r="C28" s="23"/>
      <c r="D28" s="26"/>
      <c r="E28" s="25"/>
      <c r="N28" s="11">
        <f t="shared" si="1"/>
        <v>43556</v>
      </c>
      <c r="O28" s="9">
        <f t="shared" si="2"/>
        <v>3.477234446</v>
      </c>
    </row>
    <row r="29">
      <c r="A29" s="28">
        <f>IFERROR(__xludf.DUMMYFUNCTION("""COMPUTED_VALUE"""),43466.0)</f>
        <v>43466</v>
      </c>
      <c r="B29" s="29">
        <f>IFERROR(__xludf.DUMMYFUNCTION("""COMPUTED_VALUE"""),2932.41)</f>
        <v>2932.41</v>
      </c>
      <c r="C29" s="23"/>
      <c r="D29" s="26"/>
      <c r="E29" s="25"/>
      <c r="N29" s="11">
        <f t="shared" si="1"/>
        <v>43466</v>
      </c>
      <c r="O29" s="9">
        <f t="shared" si="2"/>
        <v>3.467224692</v>
      </c>
    </row>
    <row r="30">
      <c r="A30" s="28">
        <f>IFERROR(__xludf.DUMMYFUNCTION("""COMPUTED_VALUE"""),43374.0)</f>
        <v>43374</v>
      </c>
      <c r="B30" s="29">
        <f>IFERROR(__xludf.DUMMYFUNCTION("""COMPUTED_VALUE"""),2898.677)</f>
        <v>2898.677</v>
      </c>
      <c r="C30" s="23"/>
      <c r="D30" s="26"/>
      <c r="E30" s="25"/>
      <c r="N30" s="11">
        <f t="shared" si="1"/>
        <v>43374</v>
      </c>
      <c r="O30" s="9">
        <f t="shared" si="2"/>
        <v>3.462199825</v>
      </c>
    </row>
    <row r="31">
      <c r="A31" s="28">
        <f>IFERROR(__xludf.DUMMYFUNCTION("""COMPUTED_VALUE"""),43282.0)</f>
        <v>43282</v>
      </c>
      <c r="B31" s="29">
        <f>IFERROR(__xludf.DUMMYFUNCTION("""COMPUTED_VALUE"""),2870.365)</f>
        <v>2870.365</v>
      </c>
      <c r="C31" s="23"/>
      <c r="D31" s="26"/>
      <c r="E31" s="25"/>
      <c r="N31" s="11">
        <f t="shared" si="1"/>
        <v>43282</v>
      </c>
      <c r="O31" s="9">
        <f t="shared" si="2"/>
        <v>3.457937126</v>
      </c>
    </row>
    <row r="32">
      <c r="A32" s="28">
        <f>IFERROR(__xludf.DUMMYFUNCTION("""COMPUTED_VALUE"""),43191.0)</f>
        <v>43191</v>
      </c>
      <c r="B32" s="29">
        <f>IFERROR(__xludf.DUMMYFUNCTION("""COMPUTED_VALUE"""),2846.516)</f>
        <v>2846.516</v>
      </c>
      <c r="C32" s="23"/>
      <c r="D32" s="26"/>
      <c r="E32" s="25"/>
      <c r="N32" s="11">
        <f t="shared" si="1"/>
        <v>43191</v>
      </c>
      <c r="O32" s="9">
        <f t="shared" si="2"/>
        <v>3.454313629</v>
      </c>
    </row>
    <row r="33">
      <c r="A33" s="28">
        <f>IFERROR(__xludf.DUMMYFUNCTION("""COMPUTED_VALUE"""),43101.0)</f>
        <v>43101</v>
      </c>
      <c r="B33" s="29">
        <f>IFERROR(__xludf.DUMMYFUNCTION("""COMPUTED_VALUE"""),2810.324)</f>
        <v>2810.324</v>
      </c>
      <c r="C33" s="23"/>
      <c r="D33" s="26"/>
      <c r="E33" s="25"/>
      <c r="N33" s="11">
        <f t="shared" si="1"/>
        <v>43101</v>
      </c>
      <c r="O33" s="9">
        <f t="shared" si="2"/>
        <v>3.448756392</v>
      </c>
    </row>
    <row r="34">
      <c r="A34" s="28">
        <f>IFERROR(__xludf.DUMMYFUNCTION("""COMPUTED_VALUE"""),43009.0)</f>
        <v>43009</v>
      </c>
      <c r="B34" s="29">
        <f>IFERROR(__xludf.DUMMYFUNCTION("""COMPUTED_VALUE"""),2732.168)</f>
        <v>2732.168</v>
      </c>
      <c r="C34" s="23"/>
      <c r="D34" s="26"/>
      <c r="E34" s="25"/>
      <c r="N34" s="11">
        <f t="shared" si="1"/>
        <v>43009</v>
      </c>
      <c r="O34" s="9">
        <f t="shared" si="2"/>
        <v>3.4365074</v>
      </c>
    </row>
    <row r="35">
      <c r="A35" s="28">
        <f>IFERROR(__xludf.DUMMYFUNCTION("""COMPUTED_VALUE"""),42917.0)</f>
        <v>42917</v>
      </c>
      <c r="B35" s="29">
        <f>IFERROR(__xludf.DUMMYFUNCTION("""COMPUTED_VALUE"""),2668.855)</f>
        <v>2668.855</v>
      </c>
      <c r="C35" s="23"/>
      <c r="D35" s="26"/>
      <c r="E35" s="25"/>
      <c r="N35" s="11">
        <f t="shared" si="1"/>
        <v>42917</v>
      </c>
      <c r="O35" s="9">
        <f t="shared" si="2"/>
        <v>3.426324979</v>
      </c>
    </row>
    <row r="36">
      <c r="A36" s="28">
        <f>IFERROR(__xludf.DUMMYFUNCTION("""COMPUTED_VALUE"""),42826.0)</f>
        <v>42826</v>
      </c>
      <c r="B36" s="29">
        <f>IFERROR(__xludf.DUMMYFUNCTION("""COMPUTED_VALUE"""),2640.229)</f>
        <v>2640.229</v>
      </c>
      <c r="C36" s="23"/>
      <c r="D36" s="26"/>
      <c r="E36" s="25"/>
      <c r="N36" s="11">
        <f t="shared" si="1"/>
        <v>42826</v>
      </c>
      <c r="O36" s="9">
        <f t="shared" si="2"/>
        <v>3.421641597</v>
      </c>
    </row>
    <row r="37">
      <c r="A37" s="28">
        <f>IFERROR(__xludf.DUMMYFUNCTION("""COMPUTED_VALUE"""),42736.0)</f>
        <v>42736</v>
      </c>
      <c r="B37" s="29">
        <f>IFERROR(__xludf.DUMMYFUNCTION("""COMPUTED_VALUE"""),2603.148)</f>
        <v>2603.148</v>
      </c>
      <c r="C37" s="23"/>
      <c r="D37" s="26"/>
      <c r="E37" s="25"/>
      <c r="N37" s="11">
        <f t="shared" si="1"/>
        <v>42736</v>
      </c>
      <c r="O37" s="9">
        <f t="shared" si="2"/>
        <v>3.41549886</v>
      </c>
    </row>
    <row r="38">
      <c r="A38" s="28">
        <f>IFERROR(__xludf.DUMMYFUNCTION("""COMPUTED_VALUE"""),42644.0)</f>
        <v>42644</v>
      </c>
      <c r="B38" s="29">
        <f>IFERROR(__xludf.DUMMYFUNCTION("""COMPUTED_VALUE"""),2571.821)</f>
        <v>2571.821</v>
      </c>
      <c r="C38" s="23"/>
      <c r="D38" s="26"/>
      <c r="E38" s="25"/>
      <c r="N38" s="11">
        <f t="shared" si="1"/>
        <v>42644</v>
      </c>
      <c r="O38" s="9">
        <f t="shared" si="2"/>
        <v>3.410240738</v>
      </c>
    </row>
    <row r="39">
      <c r="A39" s="28">
        <f>IFERROR(__xludf.DUMMYFUNCTION("""COMPUTED_VALUE"""),42552.0)</f>
        <v>42552</v>
      </c>
      <c r="B39" s="29">
        <f>IFERROR(__xludf.DUMMYFUNCTION("""COMPUTED_VALUE"""),2543.679)</f>
        <v>2543.679</v>
      </c>
      <c r="C39" s="23"/>
      <c r="D39" s="26"/>
      <c r="E39" s="25"/>
      <c r="N39" s="11">
        <f t="shared" si="1"/>
        <v>42552</v>
      </c>
      <c r="O39" s="9">
        <f t="shared" si="2"/>
        <v>3.405462305</v>
      </c>
    </row>
    <row r="40">
      <c r="A40" s="28">
        <f>IFERROR(__xludf.DUMMYFUNCTION("""COMPUTED_VALUE"""),42461.0)</f>
        <v>42461</v>
      </c>
      <c r="B40" s="29">
        <f>IFERROR(__xludf.DUMMYFUNCTION("""COMPUTED_VALUE"""),2511.643)</f>
        <v>2511.643</v>
      </c>
      <c r="C40" s="23"/>
      <c r="D40" s="26"/>
      <c r="E40" s="25"/>
      <c r="N40" s="11">
        <f t="shared" si="1"/>
        <v>42461</v>
      </c>
      <c r="O40" s="9">
        <f t="shared" si="2"/>
        <v>3.39995791</v>
      </c>
    </row>
    <row r="41">
      <c r="A41" s="28">
        <f>IFERROR(__xludf.DUMMYFUNCTION("""COMPUTED_VALUE"""),42370.0)</f>
        <v>42370</v>
      </c>
      <c r="B41" s="29">
        <f>IFERROR(__xludf.DUMMYFUNCTION("""COMPUTED_VALUE"""),2488.836)</f>
        <v>2488.836</v>
      </c>
      <c r="C41" s="23"/>
      <c r="D41" s="26"/>
      <c r="E41" s="25"/>
      <c r="N41" s="11">
        <f t="shared" si="1"/>
        <v>42370</v>
      </c>
      <c r="O41" s="9">
        <f t="shared" si="2"/>
        <v>3.39599628</v>
      </c>
    </row>
    <row r="42">
      <c r="A42" s="28">
        <f>IFERROR(__xludf.DUMMYFUNCTION("""COMPUTED_VALUE"""),42278.0)</f>
        <v>42278</v>
      </c>
      <c r="B42" s="29">
        <f>IFERROR(__xludf.DUMMYFUNCTION("""COMPUTED_VALUE"""),2500.42)</f>
        <v>2500.42</v>
      </c>
      <c r="C42" s="23"/>
      <c r="D42" s="26"/>
      <c r="E42" s="25"/>
      <c r="N42" s="11">
        <f t="shared" si="1"/>
        <v>42278</v>
      </c>
      <c r="O42" s="9">
        <f t="shared" si="2"/>
        <v>3.398012964</v>
      </c>
    </row>
    <row r="43">
      <c r="A43" s="28">
        <f>IFERROR(__xludf.DUMMYFUNCTION("""COMPUTED_VALUE"""),42186.0)</f>
        <v>42186</v>
      </c>
      <c r="B43" s="29">
        <f>IFERROR(__xludf.DUMMYFUNCTION("""COMPUTED_VALUE"""),2521.879)</f>
        <v>2521.879</v>
      </c>
      <c r="C43" s="23"/>
      <c r="D43" s="26"/>
      <c r="E43" s="25"/>
      <c r="N43" s="11">
        <f t="shared" si="1"/>
        <v>42186</v>
      </c>
      <c r="O43" s="9">
        <f t="shared" si="2"/>
        <v>3.401724245</v>
      </c>
    </row>
    <row r="44">
      <c r="A44" s="28">
        <f>IFERROR(__xludf.DUMMYFUNCTION("""COMPUTED_VALUE"""),42095.0)</f>
        <v>42095</v>
      </c>
      <c r="B44" s="29">
        <f>IFERROR(__xludf.DUMMYFUNCTION("""COMPUTED_VALUE"""),2510.545)</f>
        <v>2510.545</v>
      </c>
      <c r="C44" s="23"/>
      <c r="D44" s="26"/>
      <c r="E44" s="25"/>
      <c r="N44" s="11">
        <f t="shared" si="1"/>
        <v>42095</v>
      </c>
      <c r="O44" s="9">
        <f t="shared" si="2"/>
        <v>3.39976801</v>
      </c>
    </row>
    <row r="45">
      <c r="A45" s="28">
        <f>IFERROR(__xludf.DUMMYFUNCTION("""COMPUTED_VALUE"""),42005.0)</f>
        <v>42005</v>
      </c>
      <c r="B45" s="29">
        <f>IFERROR(__xludf.DUMMYFUNCTION("""COMPUTED_VALUE"""),2497.171)</f>
        <v>2497.171</v>
      </c>
      <c r="C45" s="23"/>
      <c r="D45" s="26"/>
      <c r="E45" s="25"/>
      <c r="N45" s="11">
        <f t="shared" si="1"/>
        <v>42005</v>
      </c>
      <c r="O45" s="9">
        <f t="shared" si="2"/>
        <v>3.397448283</v>
      </c>
    </row>
    <row r="46">
      <c r="A46" s="28">
        <f>IFERROR(__xludf.DUMMYFUNCTION("""COMPUTED_VALUE"""),41913.0)</f>
        <v>41913</v>
      </c>
      <c r="B46" s="29">
        <f>IFERROR(__xludf.DUMMYFUNCTION("""COMPUTED_VALUE"""),2492.333)</f>
        <v>2492.333</v>
      </c>
      <c r="C46" s="23"/>
      <c r="D46" s="26"/>
      <c r="E46" s="25"/>
      <c r="N46" s="11">
        <f t="shared" si="1"/>
        <v>41913</v>
      </c>
      <c r="O46" s="9">
        <f t="shared" si="2"/>
        <v>3.396606068</v>
      </c>
    </row>
    <row r="47">
      <c r="A47" s="28">
        <f>IFERROR(__xludf.DUMMYFUNCTION("""COMPUTED_VALUE"""),41821.0)</f>
        <v>41821</v>
      </c>
      <c r="B47" s="29">
        <f>IFERROR(__xludf.DUMMYFUNCTION("""COMPUTED_VALUE"""),2465.578)</f>
        <v>2465.578</v>
      </c>
      <c r="C47" s="23"/>
      <c r="D47" s="26"/>
      <c r="E47" s="25"/>
      <c r="N47" s="11">
        <f t="shared" si="1"/>
        <v>41821</v>
      </c>
      <c r="O47" s="9">
        <f t="shared" si="2"/>
        <v>3.391918746</v>
      </c>
    </row>
    <row r="48">
      <c r="A48" s="28">
        <f>IFERROR(__xludf.DUMMYFUNCTION("""COMPUTED_VALUE"""),41730.0)</f>
        <v>41730</v>
      </c>
      <c r="B48" s="29">
        <f>IFERROR(__xludf.DUMMYFUNCTION("""COMPUTED_VALUE"""),2407.208)</f>
        <v>2407.208</v>
      </c>
      <c r="C48" s="23"/>
      <c r="D48" s="26"/>
      <c r="E48" s="25"/>
      <c r="N48" s="11">
        <f t="shared" si="1"/>
        <v>41730</v>
      </c>
      <c r="O48" s="9">
        <f t="shared" si="2"/>
        <v>3.381513618</v>
      </c>
    </row>
    <row r="49">
      <c r="A49" s="28">
        <f>IFERROR(__xludf.DUMMYFUNCTION("""COMPUTED_VALUE"""),41640.0)</f>
        <v>41640</v>
      </c>
      <c r="B49" s="29">
        <f>IFERROR(__xludf.DUMMYFUNCTION("""COMPUTED_VALUE"""),2335.499)</f>
        <v>2335.499</v>
      </c>
      <c r="C49" s="23"/>
      <c r="D49" s="26"/>
      <c r="E49" s="25"/>
      <c r="N49" s="11">
        <f t="shared" si="1"/>
        <v>41640</v>
      </c>
      <c r="O49" s="9">
        <f t="shared" si="2"/>
        <v>3.368379686</v>
      </c>
    </row>
    <row r="50">
      <c r="A50" s="28">
        <f>IFERROR(__xludf.DUMMYFUNCTION("""COMPUTED_VALUE"""),41548.0)</f>
        <v>41548</v>
      </c>
      <c r="B50" s="29">
        <f>IFERROR(__xludf.DUMMYFUNCTION("""COMPUTED_VALUE"""),2290.541)</f>
        <v>2290.541</v>
      </c>
      <c r="C50" s="23"/>
      <c r="D50" s="26"/>
      <c r="E50" s="25"/>
      <c r="N50" s="11">
        <f t="shared" si="1"/>
        <v>41548</v>
      </c>
      <c r="O50" s="9">
        <f t="shared" si="2"/>
        <v>3.35993807</v>
      </c>
    </row>
    <row r="51">
      <c r="A51" s="28">
        <f>IFERROR(__xludf.DUMMYFUNCTION("""COMPUTED_VALUE"""),41456.0)</f>
        <v>41456</v>
      </c>
      <c r="B51" s="29">
        <f>IFERROR(__xludf.DUMMYFUNCTION("""COMPUTED_VALUE"""),2230.759)</f>
        <v>2230.759</v>
      </c>
      <c r="C51" s="23"/>
      <c r="D51" s="26"/>
      <c r="E51" s="25"/>
      <c r="N51" s="11">
        <f t="shared" si="1"/>
        <v>41456</v>
      </c>
      <c r="O51" s="9">
        <f t="shared" si="2"/>
        <v>3.348452654</v>
      </c>
    </row>
    <row r="52">
      <c r="A52" s="28">
        <f>IFERROR(__xludf.DUMMYFUNCTION("""COMPUTED_VALUE"""),41365.0)</f>
        <v>41365</v>
      </c>
      <c r="B52" s="29">
        <f>IFERROR(__xludf.DUMMYFUNCTION("""COMPUTED_VALUE"""),2188.629)</f>
        <v>2188.629</v>
      </c>
      <c r="C52" s="23"/>
      <c r="D52" s="26"/>
      <c r="E52" s="25"/>
      <c r="N52" s="11">
        <f t="shared" si="1"/>
        <v>41365</v>
      </c>
      <c r="O52" s="9">
        <f t="shared" si="2"/>
        <v>3.340172149</v>
      </c>
    </row>
    <row r="53">
      <c r="A53" s="28">
        <f>IFERROR(__xludf.DUMMYFUNCTION("""COMPUTED_VALUE"""),41275.0)</f>
        <v>41275</v>
      </c>
      <c r="B53" s="29">
        <f>IFERROR(__xludf.DUMMYFUNCTION("""COMPUTED_VALUE"""),2175.318)</f>
        <v>2175.318</v>
      </c>
      <c r="C53" s="23"/>
      <c r="D53" s="26"/>
      <c r="E53" s="25"/>
      <c r="N53" s="11">
        <f t="shared" si="1"/>
        <v>41275</v>
      </c>
      <c r="O53" s="9">
        <f t="shared" si="2"/>
        <v>3.337522753</v>
      </c>
    </row>
    <row r="54">
      <c r="A54" s="28">
        <f>IFERROR(__xludf.DUMMYFUNCTION("""COMPUTED_VALUE"""),41183.0)</f>
        <v>41183</v>
      </c>
      <c r="B54" s="29">
        <f>IFERROR(__xludf.DUMMYFUNCTION("""COMPUTED_VALUE"""),2148.622)</f>
        <v>2148.622</v>
      </c>
      <c r="C54" s="23"/>
      <c r="D54" s="26"/>
      <c r="E54" s="25"/>
      <c r="N54" s="11">
        <f t="shared" si="1"/>
        <v>41183</v>
      </c>
      <c r="O54" s="9">
        <f t="shared" si="2"/>
        <v>3.332160018</v>
      </c>
    </row>
    <row r="55">
      <c r="A55" s="28">
        <f>IFERROR(__xludf.DUMMYFUNCTION("""COMPUTED_VALUE"""),41091.0)</f>
        <v>41091</v>
      </c>
      <c r="B55" s="29">
        <f>IFERROR(__xludf.DUMMYFUNCTION("""COMPUTED_VALUE"""),2125.95)</f>
        <v>2125.95</v>
      </c>
      <c r="C55" s="23"/>
      <c r="D55" s="26"/>
      <c r="E55" s="25"/>
      <c r="N55" s="11">
        <f t="shared" si="1"/>
        <v>41091</v>
      </c>
      <c r="O55" s="9">
        <f t="shared" si="2"/>
        <v>3.327553046</v>
      </c>
    </row>
    <row r="56">
      <c r="A56" s="28">
        <f>IFERROR(__xludf.DUMMYFUNCTION("""COMPUTED_VALUE"""),41000.0)</f>
        <v>41000</v>
      </c>
      <c r="B56" s="29">
        <f>IFERROR(__xludf.DUMMYFUNCTION("""COMPUTED_VALUE"""),2126.171)</f>
        <v>2126.171</v>
      </c>
      <c r="C56" s="23"/>
      <c r="D56" s="26"/>
      <c r="E56" s="25"/>
      <c r="N56" s="11">
        <f t="shared" si="1"/>
        <v>41000</v>
      </c>
      <c r="O56" s="9">
        <f t="shared" si="2"/>
        <v>3.32759819</v>
      </c>
    </row>
    <row r="57">
      <c r="A57" s="28">
        <f>IFERROR(__xludf.DUMMYFUNCTION("""COMPUTED_VALUE"""),40909.0)</f>
        <v>40909</v>
      </c>
      <c r="B57" s="29">
        <f>IFERROR(__xludf.DUMMYFUNCTION("""COMPUTED_VALUE"""),2073.366)</f>
        <v>2073.366</v>
      </c>
      <c r="C57" s="23"/>
      <c r="D57" s="26"/>
      <c r="E57" s="25"/>
      <c r="N57" s="11">
        <f t="shared" si="1"/>
        <v>40909</v>
      </c>
      <c r="O57" s="9">
        <f t="shared" si="2"/>
        <v>3.316675972</v>
      </c>
    </row>
    <row r="58">
      <c r="A58" s="28">
        <f>IFERROR(__xludf.DUMMYFUNCTION("""COMPUTED_VALUE"""),40817.0)</f>
        <v>40817</v>
      </c>
      <c r="B58" s="29">
        <f>IFERROR(__xludf.DUMMYFUNCTION("""COMPUTED_VALUE"""),2008.976)</f>
        <v>2008.976</v>
      </c>
      <c r="C58" s="23"/>
      <c r="D58" s="26"/>
      <c r="E58" s="25"/>
      <c r="N58" s="11">
        <f t="shared" si="1"/>
        <v>40817</v>
      </c>
      <c r="O58" s="9">
        <f t="shared" si="2"/>
        <v>3.302974749</v>
      </c>
    </row>
    <row r="59">
      <c r="A59" s="28">
        <f>IFERROR(__xludf.DUMMYFUNCTION("""COMPUTED_VALUE"""),40725.0)</f>
        <v>40725</v>
      </c>
      <c r="B59" s="29">
        <f>IFERROR(__xludf.DUMMYFUNCTION("""COMPUTED_VALUE"""),1953.756)</f>
        <v>1953.756</v>
      </c>
      <c r="C59" s="23"/>
      <c r="D59" s="26"/>
      <c r="E59" s="25"/>
      <c r="N59" s="11">
        <f t="shared" si="1"/>
        <v>40725</v>
      </c>
      <c r="O59" s="9">
        <f t="shared" si="2"/>
        <v>3.290870325</v>
      </c>
    </row>
    <row r="60">
      <c r="A60" s="28">
        <f>IFERROR(__xludf.DUMMYFUNCTION("""COMPUTED_VALUE"""),40634.0)</f>
        <v>40634</v>
      </c>
      <c r="B60" s="29">
        <f>IFERROR(__xludf.DUMMYFUNCTION("""COMPUTED_VALUE"""),1862.009)</f>
        <v>1862.009</v>
      </c>
      <c r="C60" s="23"/>
      <c r="D60" s="26"/>
      <c r="E60" s="25"/>
      <c r="N60" s="11">
        <f t="shared" si="1"/>
        <v>40634</v>
      </c>
      <c r="O60" s="9">
        <f t="shared" si="2"/>
        <v>3.269981776</v>
      </c>
    </row>
    <row r="61">
      <c r="A61" s="28">
        <f>IFERROR(__xludf.DUMMYFUNCTION("""COMPUTED_VALUE"""),40544.0)</f>
        <v>40544</v>
      </c>
      <c r="B61" s="29">
        <f>IFERROR(__xludf.DUMMYFUNCTION("""COMPUTED_VALUE"""),1805.118)</f>
        <v>1805.118</v>
      </c>
      <c r="C61" s="23"/>
      <c r="D61" s="26"/>
      <c r="E61" s="25"/>
      <c r="N61" s="11">
        <f t="shared" si="1"/>
        <v>40544</v>
      </c>
      <c r="O61" s="9">
        <f t="shared" si="2"/>
        <v>3.256505597</v>
      </c>
    </row>
    <row r="62">
      <c r="A62" s="28">
        <f>IFERROR(__xludf.DUMMYFUNCTION("""COMPUTED_VALUE"""),40452.0)</f>
        <v>40452</v>
      </c>
      <c r="B62" s="29">
        <f>IFERROR(__xludf.DUMMYFUNCTION("""COMPUTED_VALUE"""),1801.85)</f>
        <v>1801.85</v>
      </c>
      <c r="C62" s="23"/>
      <c r="D62" s="26"/>
      <c r="E62" s="25"/>
      <c r="N62" s="11">
        <f t="shared" si="1"/>
        <v>40452</v>
      </c>
      <c r="O62" s="9">
        <f t="shared" si="2"/>
        <v>3.255718634</v>
      </c>
    </row>
    <row r="63">
      <c r="A63" s="28">
        <f>IFERROR(__xludf.DUMMYFUNCTION("""COMPUTED_VALUE"""),40360.0)</f>
        <v>40360</v>
      </c>
      <c r="B63" s="29">
        <f>IFERROR(__xludf.DUMMYFUNCTION("""COMPUTED_VALUE"""),1762.364)</f>
        <v>1762.364</v>
      </c>
      <c r="C63" s="23"/>
      <c r="D63" s="26"/>
      <c r="E63" s="25"/>
      <c r="N63" s="11">
        <f t="shared" si="1"/>
        <v>40360</v>
      </c>
      <c r="O63" s="9">
        <f t="shared" si="2"/>
        <v>3.246095613</v>
      </c>
    </row>
    <row r="64">
      <c r="A64" s="28">
        <f>IFERROR(__xludf.DUMMYFUNCTION("""COMPUTED_VALUE"""),40269.0)</f>
        <v>40269</v>
      </c>
      <c r="B64" s="29">
        <f>IFERROR(__xludf.DUMMYFUNCTION("""COMPUTED_VALUE"""),1715.746)</f>
        <v>1715.746</v>
      </c>
      <c r="C64" s="23"/>
      <c r="D64" s="26"/>
      <c r="E64" s="25"/>
      <c r="N64" s="11">
        <f t="shared" si="1"/>
        <v>40269</v>
      </c>
      <c r="O64" s="9">
        <f t="shared" si="2"/>
        <v>3.234452995</v>
      </c>
    </row>
    <row r="65">
      <c r="A65" s="28">
        <f>IFERROR(__xludf.DUMMYFUNCTION("""COMPUTED_VALUE"""),40179.0)</f>
        <v>40179</v>
      </c>
      <c r="B65" s="29">
        <f>IFERROR(__xludf.DUMMYFUNCTION("""COMPUTED_VALUE"""),1659.963)</f>
        <v>1659.963</v>
      </c>
      <c r="C65" s="23"/>
      <c r="D65" s="26"/>
      <c r="E65" s="25"/>
      <c r="N65" s="11">
        <f t="shared" si="1"/>
        <v>40179</v>
      </c>
      <c r="O65" s="9">
        <f t="shared" si="2"/>
        <v>3.220098408</v>
      </c>
    </row>
    <row r="66">
      <c r="A66" s="28">
        <f>IFERROR(__xludf.DUMMYFUNCTION("""COMPUTED_VALUE"""),40087.0)</f>
        <v>40087</v>
      </c>
      <c r="B66" s="29">
        <f>IFERROR(__xludf.DUMMYFUNCTION("""COMPUTED_VALUE"""),1659.323)</f>
        <v>1659.323</v>
      </c>
      <c r="C66" s="23"/>
      <c r="D66" s="26"/>
      <c r="E66" s="25"/>
      <c r="N66" s="11">
        <f t="shared" si="1"/>
        <v>40087</v>
      </c>
      <c r="O66" s="9">
        <f t="shared" si="2"/>
        <v>3.219930933</v>
      </c>
    </row>
    <row r="67">
      <c r="A67" s="28">
        <f>IFERROR(__xludf.DUMMYFUNCTION("""COMPUTED_VALUE"""),39995.0)</f>
        <v>39995</v>
      </c>
      <c r="B67" s="29">
        <f>IFERROR(__xludf.DUMMYFUNCTION("""COMPUTED_VALUE"""),1656.037)</f>
        <v>1656.037</v>
      </c>
      <c r="C67" s="23"/>
      <c r="D67" s="26"/>
      <c r="E67" s="25"/>
      <c r="N67" s="11">
        <f t="shared" si="1"/>
        <v>39995</v>
      </c>
      <c r="O67" s="9">
        <f t="shared" si="2"/>
        <v>3.219070036</v>
      </c>
    </row>
    <row r="68">
      <c r="A68" s="28">
        <f>IFERROR(__xludf.DUMMYFUNCTION("""COMPUTED_VALUE"""),39904.0)</f>
        <v>39904</v>
      </c>
      <c r="B68" s="29">
        <f>IFERROR(__xludf.DUMMYFUNCTION("""COMPUTED_VALUE"""),1684.966)</f>
        <v>1684.966</v>
      </c>
      <c r="C68" s="23"/>
      <c r="D68" s="26"/>
      <c r="E68" s="25"/>
      <c r="N68" s="11">
        <f t="shared" si="1"/>
        <v>39904</v>
      </c>
      <c r="O68" s="9">
        <f t="shared" si="2"/>
        <v>3.226591142</v>
      </c>
    </row>
    <row r="69">
      <c r="A69" s="28">
        <f>IFERROR(__xludf.DUMMYFUNCTION("""COMPUTED_VALUE"""),39814.0)</f>
        <v>39814</v>
      </c>
      <c r="B69" s="29">
        <f>IFERROR(__xludf.DUMMYFUNCTION("""COMPUTED_VALUE"""),1761.401)</f>
        <v>1761.401</v>
      </c>
      <c r="C69" s="23"/>
      <c r="D69" s="26"/>
      <c r="E69" s="25"/>
      <c r="N69" s="11">
        <f t="shared" si="1"/>
        <v>39814</v>
      </c>
      <c r="O69" s="9">
        <f t="shared" si="2"/>
        <v>3.245858239</v>
      </c>
    </row>
    <row r="70">
      <c r="A70" s="28">
        <f>IFERROR(__xludf.DUMMYFUNCTION("""COMPUTED_VALUE"""),39722.0)</f>
        <v>39722</v>
      </c>
      <c r="B70" s="29">
        <f>IFERROR(__xludf.DUMMYFUNCTION("""COMPUTED_VALUE"""),1918.738)</f>
        <v>1918.738</v>
      </c>
      <c r="C70" s="23"/>
      <c r="D70" s="26"/>
      <c r="E70" s="25"/>
      <c r="N70" s="11">
        <f t="shared" si="1"/>
        <v>39722</v>
      </c>
      <c r="O70" s="9">
        <f t="shared" si="2"/>
        <v>3.283015677</v>
      </c>
    </row>
    <row r="71">
      <c r="A71" s="28">
        <f>IFERROR(__xludf.DUMMYFUNCTION("""COMPUTED_VALUE"""),39630.0)</f>
        <v>39630</v>
      </c>
      <c r="B71" s="29">
        <f>IFERROR(__xludf.DUMMYFUNCTION("""COMPUTED_VALUE"""),2007.007)</f>
        <v>2007.007</v>
      </c>
      <c r="C71" s="23"/>
      <c r="D71" s="26"/>
      <c r="E71" s="25"/>
      <c r="N71" s="11">
        <f t="shared" si="1"/>
        <v>39630</v>
      </c>
      <c r="O71" s="9">
        <f t="shared" si="2"/>
        <v>3.302548887</v>
      </c>
    </row>
    <row r="72">
      <c r="A72" s="28">
        <f>IFERROR(__xludf.DUMMYFUNCTION("""COMPUTED_VALUE"""),39539.0)</f>
        <v>39539</v>
      </c>
      <c r="B72" s="29">
        <f>IFERROR(__xludf.DUMMYFUNCTION("""COMPUTED_VALUE"""),2024.039)</f>
        <v>2024.039</v>
      </c>
      <c r="C72" s="23"/>
      <c r="D72" s="26"/>
      <c r="E72" s="25"/>
      <c r="N72" s="11">
        <f t="shared" si="1"/>
        <v>39539</v>
      </c>
      <c r="O72" s="9">
        <f t="shared" si="2"/>
        <v>3.306218876</v>
      </c>
    </row>
    <row r="73">
      <c r="A73" s="28">
        <f>IFERROR(__xludf.DUMMYFUNCTION("""COMPUTED_VALUE"""),39448.0)</f>
        <v>39448</v>
      </c>
      <c r="B73" s="29">
        <f>IFERROR(__xludf.DUMMYFUNCTION("""COMPUTED_VALUE"""),2013.699)</f>
        <v>2013.699</v>
      </c>
      <c r="C73" s="23"/>
      <c r="D73" s="26"/>
      <c r="E73" s="25"/>
      <c r="N73" s="11">
        <f t="shared" si="1"/>
        <v>39448</v>
      </c>
      <c r="O73" s="9">
        <f t="shared" si="2"/>
        <v>3.303994554</v>
      </c>
    </row>
    <row r="74">
      <c r="A74" s="28">
        <f>IFERROR(__xludf.DUMMYFUNCTION("""COMPUTED_VALUE"""),39356.0)</f>
        <v>39356</v>
      </c>
      <c r="B74" s="29">
        <f>IFERROR(__xludf.DUMMYFUNCTION("""COMPUTED_VALUE"""),1997.123)</f>
        <v>1997.123</v>
      </c>
      <c r="C74" s="23"/>
      <c r="D74" s="26"/>
      <c r="E74" s="25"/>
      <c r="N74" s="11">
        <f t="shared" si="1"/>
        <v>39356</v>
      </c>
      <c r="O74" s="9">
        <f t="shared" si="2"/>
        <v>3.300404813</v>
      </c>
    </row>
    <row r="75">
      <c r="A75" s="28">
        <f>IFERROR(__xludf.DUMMYFUNCTION("""COMPUTED_VALUE"""),39264.0)</f>
        <v>39264</v>
      </c>
      <c r="B75" s="29">
        <f>IFERROR(__xludf.DUMMYFUNCTION("""COMPUTED_VALUE"""),1967.377)</f>
        <v>1967.377</v>
      </c>
      <c r="C75" s="23"/>
      <c r="D75" s="26"/>
      <c r="E75" s="25"/>
      <c r="N75" s="11">
        <f t="shared" si="1"/>
        <v>39264</v>
      </c>
      <c r="O75" s="9">
        <f t="shared" si="2"/>
        <v>3.29388759</v>
      </c>
    </row>
    <row r="76">
      <c r="A76" s="28">
        <f>IFERROR(__xludf.DUMMYFUNCTION("""COMPUTED_VALUE"""),39173.0)</f>
        <v>39173</v>
      </c>
      <c r="B76" s="29">
        <f>IFERROR(__xludf.DUMMYFUNCTION("""COMPUTED_VALUE"""),1937.718)</f>
        <v>1937.718</v>
      </c>
      <c r="C76" s="23"/>
      <c r="D76" s="26"/>
      <c r="E76" s="25"/>
      <c r="N76" s="11">
        <f t="shared" si="1"/>
        <v>39173</v>
      </c>
      <c r="O76" s="9">
        <f t="shared" si="2"/>
        <v>3.287290574</v>
      </c>
    </row>
    <row r="77">
      <c r="A77" s="28">
        <f>IFERROR(__xludf.DUMMYFUNCTION("""COMPUTED_VALUE"""),39083.0)</f>
        <v>39083</v>
      </c>
      <c r="B77" s="29">
        <f>IFERROR(__xludf.DUMMYFUNCTION("""COMPUTED_VALUE"""),1892.034)</f>
        <v>1892.034</v>
      </c>
      <c r="C77" s="23"/>
      <c r="D77" s="26"/>
      <c r="E77" s="25"/>
      <c r="N77" s="11">
        <f t="shared" si="1"/>
        <v>39083</v>
      </c>
      <c r="O77" s="9">
        <f t="shared" si="2"/>
        <v>3.276928936</v>
      </c>
    </row>
    <row r="78">
      <c r="A78" s="28">
        <f>IFERROR(__xludf.DUMMYFUNCTION("""COMPUTED_VALUE"""),38991.0)</f>
        <v>38991</v>
      </c>
      <c r="B78" s="29">
        <f>IFERROR(__xludf.DUMMYFUNCTION("""COMPUTED_VALUE"""),1849.549)</f>
        <v>1849.549</v>
      </c>
      <c r="C78" s="23"/>
      <c r="D78" s="26"/>
      <c r="E78" s="25"/>
      <c r="N78" s="11">
        <f t="shared" si="1"/>
        <v>38991</v>
      </c>
      <c r="O78" s="9">
        <f t="shared" si="2"/>
        <v>3.267065842</v>
      </c>
    </row>
    <row r="79">
      <c r="A79" s="28">
        <f>IFERROR(__xludf.DUMMYFUNCTION("""COMPUTED_VALUE"""),38899.0)</f>
        <v>38899</v>
      </c>
      <c r="B79" s="29">
        <f>IFERROR(__xludf.DUMMYFUNCTION("""COMPUTED_VALUE"""),1815.947)</f>
        <v>1815.947</v>
      </c>
      <c r="C79" s="23"/>
      <c r="D79" s="26"/>
      <c r="E79" s="25"/>
      <c r="N79" s="11">
        <f t="shared" si="1"/>
        <v>38899</v>
      </c>
      <c r="O79" s="9">
        <f t="shared" si="2"/>
        <v>3.259103169</v>
      </c>
    </row>
    <row r="80">
      <c r="A80" s="28">
        <f>IFERROR(__xludf.DUMMYFUNCTION("""COMPUTED_VALUE"""),38808.0)</f>
        <v>38808</v>
      </c>
      <c r="B80" s="29">
        <f>IFERROR(__xludf.DUMMYFUNCTION("""COMPUTED_VALUE"""),1774.4)</f>
        <v>1774.4</v>
      </c>
      <c r="C80" s="23"/>
      <c r="D80" s="26"/>
      <c r="E80" s="25"/>
      <c r="N80" s="11">
        <f t="shared" si="1"/>
        <v>38808</v>
      </c>
      <c r="O80" s="9">
        <f t="shared" si="2"/>
        <v>3.249051529</v>
      </c>
    </row>
    <row r="81">
      <c r="A81" s="28">
        <f>IFERROR(__xludf.DUMMYFUNCTION("""COMPUTED_VALUE"""),38718.0)</f>
        <v>38718</v>
      </c>
      <c r="B81" s="29">
        <f>IFERROR(__xludf.DUMMYFUNCTION("""COMPUTED_VALUE"""),1735.308)</f>
        <v>1735.308</v>
      </c>
      <c r="C81" s="23"/>
      <c r="D81" s="26"/>
      <c r="E81" s="25"/>
      <c r="N81" s="11">
        <f t="shared" si="1"/>
        <v>38718</v>
      </c>
      <c r="O81" s="9">
        <f t="shared" si="2"/>
        <v>3.239376569</v>
      </c>
    </row>
    <row r="82">
      <c r="A82" s="28">
        <f>IFERROR(__xludf.DUMMYFUNCTION("""COMPUTED_VALUE"""),38626.0)</f>
        <v>38626</v>
      </c>
      <c r="B82" s="29">
        <f>IFERROR(__xludf.DUMMYFUNCTION("""COMPUTED_VALUE"""),1668.669)</f>
        <v>1668.669</v>
      </c>
      <c r="C82" s="23"/>
      <c r="D82" s="26"/>
      <c r="E82" s="25"/>
      <c r="N82" s="11">
        <f t="shared" si="1"/>
        <v>38626</v>
      </c>
      <c r="O82" s="9">
        <f t="shared" si="2"/>
        <v>3.222370198</v>
      </c>
    </row>
    <row r="83">
      <c r="A83" s="28">
        <f>IFERROR(__xludf.DUMMYFUNCTION("""COMPUTED_VALUE"""),38534.0)</f>
        <v>38534</v>
      </c>
      <c r="B83" s="29">
        <f>IFERROR(__xludf.DUMMYFUNCTION("""COMPUTED_VALUE"""),1643.13)</f>
        <v>1643.13</v>
      </c>
      <c r="C83" s="23"/>
      <c r="D83" s="26"/>
      <c r="E83" s="25"/>
      <c r="N83" s="11">
        <f t="shared" si="1"/>
        <v>38534</v>
      </c>
      <c r="O83" s="9">
        <f t="shared" si="2"/>
        <v>3.215671925</v>
      </c>
    </row>
    <row r="84">
      <c r="A84" s="28">
        <f>IFERROR(__xludf.DUMMYFUNCTION("""COMPUTED_VALUE"""),38443.0)</f>
        <v>38443</v>
      </c>
      <c r="B84" s="29">
        <f>IFERROR(__xludf.DUMMYFUNCTION("""COMPUTED_VALUE"""),1603.838)</f>
        <v>1603.838</v>
      </c>
      <c r="C84" s="23"/>
      <c r="D84" s="26"/>
      <c r="E84" s="25"/>
      <c r="N84" s="11">
        <f t="shared" si="1"/>
        <v>38443</v>
      </c>
      <c r="O84" s="9">
        <f t="shared" si="2"/>
        <v>3.205160499</v>
      </c>
    </row>
    <row r="85">
      <c r="A85" s="28">
        <f>IFERROR(__xludf.DUMMYFUNCTION("""COMPUTED_VALUE"""),38353.0)</f>
        <v>38353</v>
      </c>
      <c r="B85" s="29">
        <f>IFERROR(__xludf.DUMMYFUNCTION("""COMPUTED_VALUE"""),1568.306)</f>
        <v>1568.306</v>
      </c>
      <c r="C85" s="23"/>
      <c r="D85" s="26"/>
      <c r="E85" s="25"/>
      <c r="N85" s="11">
        <f t="shared" si="1"/>
        <v>38353</v>
      </c>
      <c r="O85" s="9">
        <f t="shared" si="2"/>
        <v>3.195430804</v>
      </c>
    </row>
    <row r="86">
      <c r="A86" s="28">
        <f>IFERROR(__xludf.DUMMYFUNCTION("""COMPUTED_VALUE"""),38261.0)</f>
        <v>38261</v>
      </c>
      <c r="B86" s="29">
        <f>IFERROR(__xludf.DUMMYFUNCTION("""COMPUTED_VALUE"""),1531.693)</f>
        <v>1531.693</v>
      </c>
      <c r="C86" s="23"/>
      <c r="D86" s="26"/>
      <c r="E86" s="25"/>
      <c r="N86" s="11">
        <f t="shared" si="1"/>
        <v>38261</v>
      </c>
      <c r="O86" s="9">
        <f t="shared" si="2"/>
        <v>3.185171728</v>
      </c>
    </row>
    <row r="87">
      <c r="A87" s="28">
        <f>IFERROR(__xludf.DUMMYFUNCTION("""COMPUTED_VALUE"""),38169.0)</f>
        <v>38169</v>
      </c>
      <c r="B87" s="29">
        <f>IFERROR(__xludf.DUMMYFUNCTION("""COMPUTED_VALUE"""),1490.495)</f>
        <v>1490.495</v>
      </c>
      <c r="C87" s="23"/>
      <c r="D87" s="26"/>
      <c r="E87" s="25"/>
      <c r="N87" s="11">
        <f t="shared" si="1"/>
        <v>38169</v>
      </c>
      <c r="O87" s="9">
        <f t="shared" si="2"/>
        <v>3.173330523</v>
      </c>
    </row>
    <row r="88">
      <c r="A88" s="28">
        <f>IFERROR(__xludf.DUMMYFUNCTION("""COMPUTED_VALUE"""),38078.0)</f>
        <v>38078</v>
      </c>
      <c r="B88" s="29">
        <f>IFERROR(__xludf.DUMMYFUNCTION("""COMPUTED_VALUE"""),1445.457)</f>
        <v>1445.457</v>
      </c>
      <c r="C88" s="23"/>
      <c r="D88" s="26"/>
      <c r="E88" s="25"/>
      <c r="N88" s="11">
        <f t="shared" si="1"/>
        <v>38078</v>
      </c>
      <c r="O88" s="9">
        <f t="shared" si="2"/>
        <v>3.160005177</v>
      </c>
    </row>
    <row r="89">
      <c r="A89" s="28">
        <f>IFERROR(__xludf.DUMMYFUNCTION("""COMPUTED_VALUE"""),37987.0)</f>
        <v>37987</v>
      </c>
      <c r="B89" s="29">
        <f>IFERROR(__xludf.DUMMYFUNCTION("""COMPUTED_VALUE"""),1401.83)</f>
        <v>1401.83</v>
      </c>
      <c r="C89" s="23"/>
      <c r="D89" s="26"/>
      <c r="E89" s="25"/>
      <c r="N89" s="11">
        <f t="shared" si="1"/>
        <v>37987</v>
      </c>
      <c r="O89" s="9">
        <f t="shared" si="2"/>
        <v>3.14669535</v>
      </c>
    </row>
    <row r="90">
      <c r="A90" s="28">
        <f>IFERROR(__xludf.DUMMYFUNCTION("""COMPUTED_VALUE"""),37895.0)</f>
        <v>37895</v>
      </c>
      <c r="B90" s="29">
        <f>IFERROR(__xludf.DUMMYFUNCTION("""COMPUTED_VALUE"""),1411.859)</f>
        <v>1411.859</v>
      </c>
      <c r="C90" s="23"/>
      <c r="D90" s="26"/>
      <c r="E90" s="25"/>
      <c r="N90" s="11">
        <f t="shared" si="1"/>
        <v>37895</v>
      </c>
      <c r="O90" s="9">
        <f t="shared" si="2"/>
        <v>3.149791327</v>
      </c>
    </row>
    <row r="91">
      <c r="A91" s="28">
        <f>IFERROR(__xludf.DUMMYFUNCTION("""COMPUTED_VALUE"""),37803.0)</f>
        <v>37803</v>
      </c>
      <c r="B91" s="29">
        <f>IFERROR(__xludf.DUMMYFUNCTION("""COMPUTED_VALUE"""),1392.121)</f>
        <v>1392.121</v>
      </c>
      <c r="C91" s="23"/>
      <c r="D91" s="26"/>
      <c r="E91" s="25"/>
      <c r="N91" s="11">
        <f t="shared" si="1"/>
        <v>37803</v>
      </c>
      <c r="O91" s="9">
        <f t="shared" si="2"/>
        <v>3.143676985</v>
      </c>
    </row>
    <row r="92">
      <c r="A92" s="28">
        <f>IFERROR(__xludf.DUMMYFUNCTION("""COMPUTED_VALUE"""),37712.0)</f>
        <v>37712</v>
      </c>
      <c r="B92" s="29">
        <f>IFERROR(__xludf.DUMMYFUNCTION("""COMPUTED_VALUE"""),1366.842)</f>
        <v>1366.842</v>
      </c>
      <c r="C92" s="23"/>
      <c r="D92" s="26"/>
      <c r="E92" s="25"/>
      <c r="N92" s="11">
        <f t="shared" si="1"/>
        <v>37712</v>
      </c>
      <c r="O92" s="9">
        <f t="shared" si="2"/>
        <v>3.135718315</v>
      </c>
    </row>
    <row r="93">
      <c r="A93" s="28">
        <f>IFERROR(__xludf.DUMMYFUNCTION("""COMPUTED_VALUE"""),37622.0)</f>
        <v>37622</v>
      </c>
      <c r="B93" s="29">
        <f>IFERROR(__xludf.DUMMYFUNCTION("""COMPUTED_VALUE"""),1332.696)</f>
        <v>1332.696</v>
      </c>
      <c r="C93" s="23"/>
      <c r="D93" s="26"/>
      <c r="E93" s="25"/>
      <c r="N93" s="11">
        <f t="shared" si="1"/>
        <v>37622</v>
      </c>
      <c r="O93" s="9">
        <f t="shared" si="2"/>
        <v>3.124731094</v>
      </c>
    </row>
    <row r="94">
      <c r="A94" s="28">
        <f>IFERROR(__xludf.DUMMYFUNCTION("""COMPUTED_VALUE"""),37530.0)</f>
        <v>37530</v>
      </c>
      <c r="B94" s="29">
        <f>IFERROR(__xludf.DUMMYFUNCTION("""COMPUTED_VALUE"""),1331.215)</f>
        <v>1331.215</v>
      </c>
      <c r="C94" s="23"/>
      <c r="D94" s="26"/>
      <c r="E94" s="25"/>
      <c r="N94" s="11">
        <f t="shared" si="1"/>
        <v>37530</v>
      </c>
      <c r="O94" s="9">
        <f t="shared" si="2"/>
        <v>3.124248203</v>
      </c>
    </row>
    <row r="95">
      <c r="A95" s="28">
        <f>IFERROR(__xludf.DUMMYFUNCTION("""COMPUTED_VALUE"""),37438.0)</f>
        <v>37438</v>
      </c>
      <c r="B95" s="29">
        <f>IFERROR(__xludf.DUMMYFUNCTION("""COMPUTED_VALUE"""),1348.884)</f>
        <v>1348.884</v>
      </c>
      <c r="C95" s="23"/>
      <c r="D95" s="26"/>
      <c r="E95" s="25"/>
      <c r="N95" s="11">
        <f t="shared" si="1"/>
        <v>37438</v>
      </c>
      <c r="O95" s="9">
        <f t="shared" si="2"/>
        <v>3.129974603</v>
      </c>
    </row>
    <row r="96">
      <c r="A96" s="28">
        <f>IFERROR(__xludf.DUMMYFUNCTION("""COMPUTED_VALUE"""),37347.0)</f>
        <v>37347</v>
      </c>
      <c r="B96" s="29">
        <f>IFERROR(__xludf.DUMMYFUNCTION("""COMPUTED_VALUE"""),1357.267)</f>
        <v>1357.267</v>
      </c>
      <c r="C96" s="23"/>
      <c r="D96" s="26"/>
      <c r="E96" s="25"/>
      <c r="N96" s="11">
        <f t="shared" si="1"/>
        <v>37347</v>
      </c>
      <c r="O96" s="9">
        <f t="shared" si="2"/>
        <v>3.13266529</v>
      </c>
    </row>
    <row r="97">
      <c r="A97" s="28">
        <f>IFERROR(__xludf.DUMMYFUNCTION("""COMPUTED_VALUE"""),37257.0)</f>
        <v>37257</v>
      </c>
      <c r="B97" s="29">
        <f>IFERROR(__xludf.DUMMYFUNCTION("""COMPUTED_VALUE"""),1374.027)</f>
        <v>1374.027</v>
      </c>
      <c r="C97" s="23"/>
      <c r="D97" s="26"/>
      <c r="E97" s="25"/>
      <c r="N97" s="11">
        <f t="shared" si="1"/>
        <v>37257</v>
      </c>
      <c r="O97" s="9">
        <f t="shared" si="2"/>
        <v>3.137995267</v>
      </c>
    </row>
    <row r="98">
      <c r="A98" s="28">
        <f>IFERROR(__xludf.DUMMYFUNCTION("""COMPUTED_VALUE"""),37165.0)</f>
        <v>37165</v>
      </c>
      <c r="B98" s="29">
        <f>IFERROR(__xludf.DUMMYFUNCTION("""COMPUTED_VALUE"""),1408.856)</f>
        <v>1408.856</v>
      </c>
      <c r="C98" s="23"/>
      <c r="D98" s="26"/>
      <c r="E98" s="25"/>
      <c r="N98" s="11">
        <f t="shared" si="1"/>
        <v>37165</v>
      </c>
      <c r="O98" s="9">
        <f t="shared" si="2"/>
        <v>3.148866606</v>
      </c>
    </row>
    <row r="99">
      <c r="A99" s="28">
        <f>IFERROR(__xludf.DUMMYFUNCTION("""COMPUTED_VALUE"""),37073.0)</f>
        <v>37073</v>
      </c>
      <c r="B99" s="29">
        <f>IFERROR(__xludf.DUMMYFUNCTION("""COMPUTED_VALUE"""),1452.58)</f>
        <v>1452.58</v>
      </c>
      <c r="C99" s="23"/>
      <c r="D99" s="26"/>
      <c r="E99" s="25"/>
      <c r="N99" s="11">
        <f t="shared" si="1"/>
        <v>37073</v>
      </c>
      <c r="O99" s="9">
        <f t="shared" si="2"/>
        <v>3.16214006</v>
      </c>
    </row>
    <row r="100">
      <c r="A100" s="28">
        <f>IFERROR(__xludf.DUMMYFUNCTION("""COMPUTED_VALUE"""),36982.0)</f>
        <v>36982</v>
      </c>
      <c r="B100" s="29">
        <f>IFERROR(__xludf.DUMMYFUNCTION("""COMPUTED_VALUE"""),1473.585)</f>
        <v>1473.585</v>
      </c>
      <c r="C100" s="23"/>
      <c r="D100" s="26"/>
      <c r="E100" s="25"/>
      <c r="N100" s="11">
        <f t="shared" si="1"/>
        <v>36982</v>
      </c>
      <c r="O100" s="9">
        <f t="shared" si="2"/>
        <v>3.168375192</v>
      </c>
    </row>
    <row r="101">
      <c r="A101" s="28">
        <f>IFERROR(__xludf.DUMMYFUNCTION("""COMPUTED_VALUE"""),36892.0)</f>
        <v>36892</v>
      </c>
      <c r="B101" s="29">
        <f>IFERROR(__xludf.DUMMYFUNCTION("""COMPUTED_VALUE"""),1505.248)</f>
        <v>1505.248</v>
      </c>
      <c r="C101" s="23"/>
      <c r="D101" s="26"/>
      <c r="E101" s="25"/>
      <c r="N101" s="11">
        <f t="shared" si="1"/>
        <v>36892</v>
      </c>
      <c r="O101" s="9">
        <f t="shared" si="2"/>
        <v>3.177608059</v>
      </c>
    </row>
    <row r="102">
      <c r="A102" s="28">
        <f>IFERROR(__xludf.DUMMYFUNCTION("""COMPUTED_VALUE"""),36800.0)</f>
        <v>36800</v>
      </c>
      <c r="B102" s="29">
        <f>IFERROR(__xludf.DUMMYFUNCTION("""COMPUTED_VALUE"""),1525.091)</f>
        <v>1525.091</v>
      </c>
      <c r="C102" s="23"/>
      <c r="D102" s="26"/>
      <c r="E102" s="25"/>
      <c r="N102" s="11">
        <f t="shared" si="1"/>
        <v>36800</v>
      </c>
      <c r="O102" s="9">
        <f t="shared" si="2"/>
        <v>3.183295758</v>
      </c>
    </row>
    <row r="103">
      <c r="A103" s="28">
        <f>IFERROR(__xludf.DUMMYFUNCTION("""COMPUTED_VALUE"""),36708.0)</f>
        <v>36708</v>
      </c>
      <c r="B103" s="29">
        <f>IFERROR(__xludf.DUMMYFUNCTION("""COMPUTED_VALUE"""),1519.657)</f>
        <v>1519.657</v>
      </c>
      <c r="C103" s="23"/>
      <c r="D103" s="26"/>
      <c r="E103" s="25"/>
      <c r="N103" s="11">
        <f t="shared" si="1"/>
        <v>36708</v>
      </c>
      <c r="O103" s="9">
        <f t="shared" si="2"/>
        <v>3.181745575</v>
      </c>
    </row>
    <row r="104">
      <c r="A104" s="28">
        <f>IFERROR(__xludf.DUMMYFUNCTION("""COMPUTED_VALUE"""),36617.0)</f>
        <v>36617</v>
      </c>
      <c r="B104" s="29">
        <f>IFERROR(__xludf.DUMMYFUNCTION("""COMPUTED_VALUE"""),1498.729)</f>
        <v>1498.729</v>
      </c>
      <c r="C104" s="23"/>
      <c r="D104" s="26"/>
      <c r="E104" s="25"/>
      <c r="N104" s="11">
        <f t="shared" si="1"/>
        <v>36617</v>
      </c>
      <c r="O104" s="9">
        <f t="shared" si="2"/>
        <v>3.175723111</v>
      </c>
    </row>
    <row r="105">
      <c r="A105" s="28">
        <f>IFERROR(__xludf.DUMMYFUNCTION("""COMPUTED_VALUE"""),36526.0)</f>
        <v>36526</v>
      </c>
      <c r="B105" s="29">
        <f>IFERROR(__xludf.DUMMYFUNCTION("""COMPUTED_VALUE"""),1450.25)</f>
        <v>1450.25</v>
      </c>
      <c r="C105" s="23"/>
      <c r="D105" s="26"/>
      <c r="E105" s="25"/>
      <c r="N105" s="11">
        <f t="shared" si="1"/>
        <v>36526</v>
      </c>
      <c r="O105" s="9">
        <f t="shared" si="2"/>
        <v>3.161442874</v>
      </c>
    </row>
    <row r="106">
      <c r="A106" s="28">
        <f>IFERROR(__xludf.DUMMYFUNCTION("""COMPUTED_VALUE"""),36434.0)</f>
        <v>36434</v>
      </c>
      <c r="B106" s="29">
        <f>IFERROR(__xludf.DUMMYFUNCTION("""COMPUTED_VALUE"""),1395.049)</f>
        <v>1395.049</v>
      </c>
      <c r="C106" s="23"/>
      <c r="D106" s="26"/>
      <c r="E106" s="25"/>
      <c r="N106" s="11">
        <f t="shared" si="1"/>
        <v>36434</v>
      </c>
      <c r="O106" s="9">
        <f t="shared" si="2"/>
        <v>3.144589462</v>
      </c>
    </row>
    <row r="107">
      <c r="A107" s="28">
        <f>IFERROR(__xludf.DUMMYFUNCTION("""COMPUTED_VALUE"""),36342.0)</f>
        <v>36342</v>
      </c>
      <c r="B107" s="29">
        <f>IFERROR(__xludf.DUMMYFUNCTION("""COMPUTED_VALUE"""),1386.594)</f>
        <v>1386.594</v>
      </c>
      <c r="C107" s="23"/>
      <c r="D107" s="26"/>
      <c r="E107" s="25"/>
      <c r="N107" s="11">
        <f t="shared" si="1"/>
        <v>36342</v>
      </c>
      <c r="O107" s="9">
        <f t="shared" si="2"/>
        <v>3.141949317</v>
      </c>
    </row>
    <row r="108">
      <c r="A108" s="28">
        <f>IFERROR(__xludf.DUMMYFUNCTION("""COMPUTED_VALUE"""),36251.0)</f>
        <v>36251</v>
      </c>
      <c r="B108" s="29">
        <f>IFERROR(__xludf.DUMMYFUNCTION("""COMPUTED_VALUE"""),1353.96)</f>
        <v>1353.96</v>
      </c>
      <c r="C108" s="23"/>
      <c r="D108" s="26"/>
      <c r="E108" s="25"/>
      <c r="N108" s="11">
        <f t="shared" si="1"/>
        <v>36251</v>
      </c>
      <c r="O108" s="9">
        <f t="shared" si="2"/>
        <v>3.131605834</v>
      </c>
    </row>
    <row r="109">
      <c r="A109" s="28">
        <f>IFERROR(__xludf.DUMMYFUNCTION("""COMPUTED_VALUE"""),36161.0)</f>
        <v>36161</v>
      </c>
      <c r="B109" s="29">
        <f>IFERROR(__xludf.DUMMYFUNCTION("""COMPUTED_VALUE"""),1322.305)</f>
        <v>1322.305</v>
      </c>
      <c r="C109" s="23"/>
      <c r="D109" s="26"/>
      <c r="E109" s="25"/>
      <c r="N109" s="11">
        <f t="shared" si="1"/>
        <v>36161</v>
      </c>
      <c r="O109" s="9">
        <f t="shared" si="2"/>
        <v>3.12133164</v>
      </c>
    </row>
    <row r="110">
      <c r="A110" s="28">
        <f>IFERROR(__xludf.DUMMYFUNCTION("""COMPUTED_VALUE"""),36069.0)</f>
        <v>36069</v>
      </c>
      <c r="B110" s="29">
        <f>IFERROR(__xludf.DUMMYFUNCTION("""COMPUTED_VALUE"""),1295.444)</f>
        <v>1295.444</v>
      </c>
      <c r="C110" s="23"/>
      <c r="D110" s="26"/>
      <c r="E110" s="25"/>
      <c r="N110" s="11">
        <f t="shared" si="1"/>
        <v>36069</v>
      </c>
      <c r="O110" s="9">
        <f t="shared" si="2"/>
        <v>3.112418644</v>
      </c>
    </row>
    <row r="111">
      <c r="A111" s="28">
        <f>IFERROR(__xludf.DUMMYFUNCTION("""COMPUTED_VALUE"""),35977.0)</f>
        <v>35977</v>
      </c>
      <c r="B111" s="29">
        <f>IFERROR(__xludf.DUMMYFUNCTION("""COMPUTED_VALUE"""),1261.652)</f>
        <v>1261.652</v>
      </c>
      <c r="C111" s="23"/>
      <c r="D111" s="26"/>
      <c r="E111" s="25"/>
      <c r="N111" s="11">
        <f t="shared" si="1"/>
        <v>35977</v>
      </c>
      <c r="O111" s="9">
        <f t="shared" si="2"/>
        <v>3.10093958</v>
      </c>
    </row>
    <row r="112">
      <c r="A112" s="28">
        <f>IFERROR(__xludf.DUMMYFUNCTION("""COMPUTED_VALUE"""),35886.0)</f>
        <v>35886</v>
      </c>
      <c r="B112" s="29">
        <f>IFERROR(__xludf.DUMMYFUNCTION("""COMPUTED_VALUE"""),1247.103)</f>
        <v>1247.103</v>
      </c>
      <c r="C112" s="23"/>
      <c r="D112" s="26"/>
      <c r="E112" s="25"/>
      <c r="N112" s="11">
        <f t="shared" si="1"/>
        <v>35886</v>
      </c>
      <c r="O112" s="9">
        <f t="shared" si="2"/>
        <v>3.095902324</v>
      </c>
    </row>
    <row r="113">
      <c r="A113" s="28">
        <f>IFERROR(__xludf.DUMMYFUNCTION("""COMPUTED_VALUE"""),35796.0)</f>
        <v>35796</v>
      </c>
      <c r="B113" s="29">
        <f>IFERROR(__xludf.DUMMYFUNCTION("""COMPUTED_VALUE"""),1212.378)</f>
        <v>1212.378</v>
      </c>
      <c r="C113" s="23"/>
      <c r="D113" s="26"/>
      <c r="E113" s="25"/>
      <c r="N113" s="11">
        <f t="shared" si="1"/>
        <v>35796</v>
      </c>
      <c r="O113" s="9">
        <f t="shared" si="2"/>
        <v>3.083638047</v>
      </c>
    </row>
    <row r="114">
      <c r="A114" s="28">
        <f>IFERROR(__xludf.DUMMYFUNCTION("""COMPUTED_VALUE"""),35704.0)</f>
        <v>35704</v>
      </c>
      <c r="B114" s="29">
        <f>IFERROR(__xludf.DUMMYFUNCTION("""COMPUTED_VALUE"""),1181.123)</f>
        <v>1181.123</v>
      </c>
      <c r="C114" s="23"/>
      <c r="D114" s="26"/>
      <c r="E114" s="25"/>
      <c r="N114" s="11">
        <f t="shared" si="1"/>
        <v>35704</v>
      </c>
      <c r="O114" s="9">
        <f t="shared" si="2"/>
        <v>3.072295127</v>
      </c>
    </row>
    <row r="115">
      <c r="A115" s="28">
        <f>IFERROR(__xludf.DUMMYFUNCTION("""COMPUTED_VALUE"""),35612.0)</f>
        <v>35612</v>
      </c>
      <c r="B115" s="29">
        <f>IFERROR(__xludf.DUMMYFUNCTION("""COMPUTED_VALUE"""),1178.364)</f>
        <v>1178.364</v>
      </c>
      <c r="C115" s="23"/>
      <c r="D115" s="26"/>
      <c r="E115" s="25"/>
      <c r="N115" s="11">
        <f t="shared" si="1"/>
        <v>35612</v>
      </c>
      <c r="O115" s="9">
        <f t="shared" si="2"/>
        <v>3.071279466</v>
      </c>
    </row>
    <row r="116">
      <c r="A116" s="28">
        <f>IFERROR(__xludf.DUMMYFUNCTION("""COMPUTED_VALUE"""),35521.0)</f>
        <v>35521</v>
      </c>
      <c r="B116" s="29">
        <f>IFERROR(__xludf.DUMMYFUNCTION("""COMPUTED_VALUE"""),1129.567)</f>
        <v>1129.567</v>
      </c>
      <c r="C116" s="23"/>
      <c r="D116" s="26"/>
      <c r="E116" s="25"/>
      <c r="N116" s="11">
        <f t="shared" si="1"/>
        <v>35521</v>
      </c>
      <c r="O116" s="9">
        <f t="shared" si="2"/>
        <v>3.052911996</v>
      </c>
    </row>
    <row r="117">
      <c r="A117" s="28">
        <f>IFERROR(__xludf.DUMMYFUNCTION("""COMPUTED_VALUE"""),35431.0)</f>
        <v>35431</v>
      </c>
      <c r="B117" s="29">
        <f>IFERROR(__xludf.DUMMYFUNCTION("""COMPUTED_VALUE"""),1107.299)</f>
        <v>1107.299</v>
      </c>
      <c r="C117" s="23"/>
      <c r="D117" s="26"/>
      <c r="E117" s="25"/>
      <c r="N117" s="11">
        <f t="shared" si="1"/>
        <v>35431</v>
      </c>
      <c r="O117" s="9">
        <f t="shared" si="2"/>
        <v>3.044264908</v>
      </c>
    </row>
    <row r="118">
      <c r="A118" s="28">
        <f>IFERROR(__xludf.DUMMYFUNCTION("""COMPUTED_VALUE"""),35339.0)</f>
        <v>35339</v>
      </c>
      <c r="B118" s="29">
        <f>IFERROR(__xludf.DUMMYFUNCTION("""COMPUTED_VALUE"""),1083.597)</f>
        <v>1083.597</v>
      </c>
      <c r="C118" s="23"/>
      <c r="D118" s="26"/>
      <c r="E118" s="25"/>
      <c r="N118" s="11">
        <f t="shared" si="1"/>
        <v>35339</v>
      </c>
      <c r="O118" s="9">
        <f t="shared" si="2"/>
        <v>3.034867794</v>
      </c>
    </row>
    <row r="119">
      <c r="A119" s="28">
        <f>IFERROR(__xludf.DUMMYFUNCTION("""COMPUTED_VALUE"""),35247.0)</f>
        <v>35247</v>
      </c>
      <c r="B119" s="29">
        <f>IFERROR(__xludf.DUMMYFUNCTION("""COMPUTED_VALUE"""),1058.965)</f>
        <v>1058.965</v>
      </c>
      <c r="C119" s="23"/>
      <c r="D119" s="26"/>
      <c r="E119" s="25"/>
      <c r="N119" s="11">
        <f t="shared" si="1"/>
        <v>35247</v>
      </c>
      <c r="O119" s="9">
        <f t="shared" si="2"/>
        <v>3.024881606</v>
      </c>
    </row>
    <row r="120">
      <c r="A120" s="28">
        <f>IFERROR(__xludf.DUMMYFUNCTION("""COMPUTED_VALUE"""),35156.0)</f>
        <v>35156</v>
      </c>
      <c r="B120" s="29">
        <f>IFERROR(__xludf.DUMMYFUNCTION("""COMPUTED_VALUE"""),1026.468)</f>
        <v>1026.468</v>
      </c>
      <c r="C120" s="23"/>
      <c r="D120" s="26"/>
      <c r="E120" s="25"/>
      <c r="N120" s="11">
        <f t="shared" si="1"/>
        <v>35156</v>
      </c>
      <c r="O120" s="9">
        <f t="shared" si="2"/>
        <v>3.011345415</v>
      </c>
    </row>
    <row r="121">
      <c r="A121" s="28">
        <f>IFERROR(__xludf.DUMMYFUNCTION("""COMPUTED_VALUE"""),35065.0)</f>
        <v>35065</v>
      </c>
      <c r="B121" s="29">
        <f>IFERROR(__xludf.DUMMYFUNCTION("""COMPUTED_VALUE"""),1003.747)</f>
        <v>1003.747</v>
      </c>
      <c r="C121" s="23"/>
      <c r="D121" s="26"/>
      <c r="E121" s="25"/>
      <c r="N121" s="11">
        <f t="shared" si="1"/>
        <v>35065</v>
      </c>
      <c r="O121" s="9">
        <f t="shared" si="2"/>
        <v>3.00162426</v>
      </c>
    </row>
    <row r="122">
      <c r="A122" s="28">
        <f>IFERROR(__xludf.DUMMYFUNCTION("""COMPUTED_VALUE"""),34973.0)</f>
        <v>34973</v>
      </c>
      <c r="B122" s="29">
        <f>IFERROR(__xludf.DUMMYFUNCTION("""COMPUTED_VALUE"""),982.059)</f>
        <v>982.059</v>
      </c>
      <c r="C122" s="23"/>
      <c r="D122" s="26"/>
      <c r="E122" s="25"/>
      <c r="N122" s="11">
        <f t="shared" si="1"/>
        <v>34973</v>
      </c>
      <c r="O122" s="9">
        <f t="shared" si="2"/>
        <v>2.99213758</v>
      </c>
    </row>
    <row r="123">
      <c r="A123" s="28">
        <f>IFERROR(__xludf.DUMMYFUNCTION("""COMPUTED_VALUE"""),34881.0)</f>
        <v>34881</v>
      </c>
      <c r="B123" s="29">
        <f>IFERROR(__xludf.DUMMYFUNCTION("""COMPUTED_VALUE"""),965.53)</f>
        <v>965.53</v>
      </c>
      <c r="C123" s="23"/>
      <c r="D123" s="26"/>
      <c r="E123" s="25"/>
      <c r="N123" s="11">
        <f t="shared" si="1"/>
        <v>34881</v>
      </c>
      <c r="O123" s="9">
        <f t="shared" si="2"/>
        <v>2.984765772</v>
      </c>
    </row>
    <row r="124">
      <c r="A124" s="28">
        <f>IFERROR(__xludf.DUMMYFUNCTION("""COMPUTED_VALUE"""),34790.0)</f>
        <v>34790</v>
      </c>
      <c r="B124" s="29">
        <f>IFERROR(__xludf.DUMMYFUNCTION("""COMPUTED_VALUE"""),956.779)</f>
        <v>956.779</v>
      </c>
      <c r="C124" s="23"/>
      <c r="D124" s="26"/>
      <c r="E124" s="25"/>
      <c r="N124" s="11">
        <f t="shared" si="1"/>
        <v>34790</v>
      </c>
      <c r="O124" s="9">
        <f t="shared" si="2"/>
        <v>2.980811635</v>
      </c>
    </row>
    <row r="125">
      <c r="A125" s="28">
        <f>IFERROR(__xludf.DUMMYFUNCTION("""COMPUTED_VALUE"""),34700.0)</f>
        <v>34700</v>
      </c>
      <c r="B125" s="29">
        <f>IFERROR(__xludf.DUMMYFUNCTION("""COMPUTED_VALUE"""),944.62)</f>
        <v>944.62</v>
      </c>
      <c r="C125" s="23"/>
      <c r="D125" s="26"/>
      <c r="E125" s="25"/>
      <c r="N125" s="11">
        <f t="shared" si="1"/>
        <v>34700</v>
      </c>
      <c r="O125" s="9">
        <f t="shared" si="2"/>
        <v>2.975257136</v>
      </c>
    </row>
    <row r="126">
      <c r="A126" s="28">
        <f>IFERROR(__xludf.DUMMYFUNCTION("""COMPUTED_VALUE"""),34608.0)</f>
        <v>34608</v>
      </c>
      <c r="B126" s="29">
        <f>IFERROR(__xludf.DUMMYFUNCTION("""COMPUTED_VALUE"""),906.989)</f>
        <v>906.989</v>
      </c>
      <c r="C126" s="23"/>
      <c r="D126" s="26"/>
      <c r="E126" s="25"/>
      <c r="N126" s="11">
        <f t="shared" si="1"/>
        <v>34608</v>
      </c>
      <c r="O126" s="9">
        <f t="shared" si="2"/>
        <v>2.95760202</v>
      </c>
    </row>
    <row r="127">
      <c r="A127" s="28">
        <f>IFERROR(__xludf.DUMMYFUNCTION("""COMPUTED_VALUE"""),34516.0)</f>
        <v>34516</v>
      </c>
      <c r="B127" s="29">
        <f>IFERROR(__xludf.DUMMYFUNCTION("""COMPUTED_VALUE"""),872.098)</f>
        <v>872.098</v>
      </c>
      <c r="C127" s="23"/>
      <c r="D127" s="26"/>
      <c r="E127" s="25"/>
      <c r="N127" s="11">
        <f t="shared" si="1"/>
        <v>34516</v>
      </c>
      <c r="O127" s="9">
        <f t="shared" si="2"/>
        <v>2.940565291</v>
      </c>
    </row>
    <row r="128">
      <c r="A128" s="28">
        <f>IFERROR(__xludf.DUMMYFUNCTION("""COMPUTED_VALUE"""),34425.0)</f>
        <v>34425</v>
      </c>
      <c r="B128" s="29">
        <f>IFERROR(__xludf.DUMMYFUNCTION("""COMPUTED_VALUE"""),855.609)</f>
        <v>855.609</v>
      </c>
      <c r="C128" s="23"/>
      <c r="D128" s="26"/>
      <c r="E128" s="25"/>
      <c r="N128" s="11">
        <f t="shared" si="1"/>
        <v>34425</v>
      </c>
      <c r="O128" s="9">
        <f t="shared" si="2"/>
        <v>2.932275344</v>
      </c>
    </row>
    <row r="129">
      <c r="A129" s="28">
        <f>IFERROR(__xludf.DUMMYFUNCTION("""COMPUTED_VALUE"""),34335.0)</f>
        <v>34335</v>
      </c>
      <c r="B129" s="29">
        <f>IFERROR(__xludf.DUMMYFUNCTION("""COMPUTED_VALUE"""),840.715)</f>
        <v>840.715</v>
      </c>
      <c r="C129" s="23"/>
      <c r="D129" s="26"/>
      <c r="E129" s="25"/>
      <c r="N129" s="11">
        <f t="shared" si="1"/>
        <v>34335</v>
      </c>
      <c r="O129" s="9">
        <f t="shared" si="2"/>
        <v>2.924648796</v>
      </c>
    </row>
    <row r="130">
      <c r="A130" s="28">
        <f>IFERROR(__xludf.DUMMYFUNCTION("""COMPUTED_VALUE"""),34243.0)</f>
        <v>34243</v>
      </c>
      <c r="B130" s="29">
        <f>IFERROR(__xludf.DUMMYFUNCTION("""COMPUTED_VALUE"""),829.642)</f>
        <v>829.642</v>
      </c>
      <c r="C130" s="23"/>
      <c r="D130" s="26"/>
      <c r="E130" s="25"/>
      <c r="N130" s="11">
        <f t="shared" si="1"/>
        <v>34243</v>
      </c>
      <c r="O130" s="9">
        <f t="shared" si="2"/>
        <v>2.91889073</v>
      </c>
    </row>
    <row r="131">
      <c r="A131" s="28">
        <f>IFERROR(__xludf.DUMMYFUNCTION("""COMPUTED_VALUE"""),34151.0)</f>
        <v>34151</v>
      </c>
      <c r="B131" s="29">
        <f>IFERROR(__xludf.DUMMYFUNCTION("""COMPUTED_VALUE"""),798.315)</f>
        <v>798.315</v>
      </c>
      <c r="C131" s="23"/>
      <c r="D131" s="26"/>
      <c r="E131" s="25"/>
      <c r="N131" s="11">
        <f t="shared" si="1"/>
        <v>34151</v>
      </c>
      <c r="O131" s="9">
        <f t="shared" si="2"/>
        <v>2.90217429</v>
      </c>
    </row>
    <row r="132">
      <c r="A132" s="28">
        <f>IFERROR(__xludf.DUMMYFUNCTION("""COMPUTED_VALUE"""),34060.0)</f>
        <v>34060</v>
      </c>
      <c r="B132" s="29">
        <f>IFERROR(__xludf.DUMMYFUNCTION("""COMPUTED_VALUE"""),792.371)</f>
        <v>792.371</v>
      </c>
      <c r="C132" s="23"/>
      <c r="D132" s="26"/>
      <c r="E132" s="25"/>
      <c r="N132" s="11">
        <f t="shared" si="1"/>
        <v>34060</v>
      </c>
      <c r="O132" s="9">
        <f t="shared" si="2"/>
        <v>2.898928572</v>
      </c>
    </row>
    <row r="133">
      <c r="A133" s="28">
        <f>IFERROR(__xludf.DUMMYFUNCTION("""COMPUTED_VALUE"""),33970.0)</f>
        <v>33970</v>
      </c>
      <c r="B133" s="29">
        <f>IFERROR(__xludf.DUMMYFUNCTION("""COMPUTED_VALUE"""),776.488)</f>
        <v>776.488</v>
      </c>
      <c r="C133" s="23"/>
      <c r="D133" s="26"/>
      <c r="E133" s="25"/>
      <c r="N133" s="11">
        <f t="shared" si="1"/>
        <v>33970</v>
      </c>
      <c r="O133" s="9">
        <f t="shared" si="2"/>
        <v>2.890134748</v>
      </c>
    </row>
    <row r="134">
      <c r="A134" s="28">
        <f>IFERROR(__xludf.DUMMYFUNCTION("""COMPUTED_VALUE"""),33878.0)</f>
        <v>33878</v>
      </c>
      <c r="B134" s="29">
        <f>IFERROR(__xludf.DUMMYFUNCTION("""COMPUTED_VALUE"""),768.287)</f>
        <v>768.287</v>
      </c>
      <c r="C134" s="23"/>
      <c r="D134" s="26"/>
      <c r="E134" s="25"/>
      <c r="N134" s="11">
        <f t="shared" si="1"/>
        <v>33878</v>
      </c>
      <c r="O134" s="9">
        <f t="shared" si="2"/>
        <v>2.885523485</v>
      </c>
    </row>
    <row r="135">
      <c r="A135" s="28">
        <f>IFERROR(__xludf.DUMMYFUNCTION("""COMPUTED_VALUE"""),33786.0)</f>
        <v>33786</v>
      </c>
      <c r="B135" s="29">
        <f>IFERROR(__xludf.DUMMYFUNCTION("""COMPUTED_VALUE"""),748.536)</f>
        <v>748.536</v>
      </c>
      <c r="C135" s="23"/>
      <c r="D135" s="26"/>
      <c r="E135" s="25"/>
      <c r="N135" s="11">
        <f t="shared" si="1"/>
        <v>33786</v>
      </c>
      <c r="O135" s="9">
        <f t="shared" si="2"/>
        <v>2.874212692</v>
      </c>
    </row>
    <row r="136">
      <c r="A136" s="28">
        <f>IFERROR(__xludf.DUMMYFUNCTION("""COMPUTED_VALUE"""),33695.0)</f>
        <v>33695</v>
      </c>
      <c r="B136" s="29">
        <f>IFERROR(__xludf.DUMMYFUNCTION("""COMPUTED_VALUE"""),736.717)</f>
        <v>736.717</v>
      </c>
      <c r="C136" s="23"/>
      <c r="D136" s="26"/>
      <c r="E136" s="25"/>
      <c r="N136" s="11">
        <f t="shared" si="1"/>
        <v>33695</v>
      </c>
      <c r="O136" s="9">
        <f t="shared" si="2"/>
        <v>2.867300691</v>
      </c>
    </row>
    <row r="137">
      <c r="A137" s="28">
        <f>IFERROR(__xludf.DUMMYFUNCTION("""COMPUTED_VALUE"""),33604.0)</f>
        <v>33604</v>
      </c>
      <c r="B137" s="29">
        <f>IFERROR(__xludf.DUMMYFUNCTION("""COMPUTED_VALUE"""),714.208)</f>
        <v>714.208</v>
      </c>
      <c r="C137" s="23"/>
      <c r="D137" s="26"/>
      <c r="E137" s="25"/>
      <c r="N137" s="11">
        <f t="shared" si="1"/>
        <v>33604</v>
      </c>
      <c r="O137" s="9">
        <f t="shared" si="2"/>
        <v>2.853824711</v>
      </c>
    </row>
    <row r="138">
      <c r="A138" s="28">
        <f>IFERROR(__xludf.DUMMYFUNCTION("""COMPUTED_VALUE"""),33512.0)</f>
        <v>33512</v>
      </c>
      <c r="B138" s="29">
        <f>IFERROR(__xludf.DUMMYFUNCTION("""COMPUTED_VALUE"""),717.6)</f>
        <v>717.6</v>
      </c>
      <c r="C138" s="23"/>
      <c r="D138" s="26"/>
      <c r="E138" s="25"/>
      <c r="N138" s="11">
        <f t="shared" si="1"/>
        <v>33512</v>
      </c>
      <c r="O138" s="9">
        <f t="shared" si="2"/>
        <v>2.85588243</v>
      </c>
    </row>
    <row r="139">
      <c r="A139" s="28">
        <f>IFERROR(__xludf.DUMMYFUNCTION("""COMPUTED_VALUE"""),33420.0)</f>
        <v>33420</v>
      </c>
      <c r="B139" s="29">
        <f>IFERROR(__xludf.DUMMYFUNCTION("""COMPUTED_VALUE"""),720.15)</f>
        <v>720.15</v>
      </c>
      <c r="C139" s="23"/>
      <c r="D139" s="26"/>
      <c r="E139" s="25"/>
      <c r="N139" s="11">
        <f t="shared" si="1"/>
        <v>33420</v>
      </c>
      <c r="O139" s="9">
        <f t="shared" si="2"/>
        <v>2.857422965</v>
      </c>
    </row>
    <row r="140">
      <c r="A140" s="28">
        <f>IFERROR(__xludf.DUMMYFUNCTION("""COMPUTED_VALUE"""),33329.0)</f>
        <v>33329</v>
      </c>
      <c r="B140" s="29">
        <f>IFERROR(__xludf.DUMMYFUNCTION("""COMPUTED_VALUE"""),726.787)</f>
        <v>726.787</v>
      </c>
      <c r="C140" s="23"/>
      <c r="D140" s="26"/>
      <c r="E140" s="25"/>
      <c r="N140" s="11">
        <f t="shared" si="1"/>
        <v>33329</v>
      </c>
      <c r="O140" s="9">
        <f t="shared" si="2"/>
        <v>2.861407151</v>
      </c>
    </row>
    <row r="141">
      <c r="A141" s="28">
        <f>IFERROR(__xludf.DUMMYFUNCTION("""COMPUTED_VALUE"""),33239.0)</f>
        <v>33239</v>
      </c>
      <c r="B141" s="29">
        <f>IFERROR(__xludf.DUMMYFUNCTION("""COMPUTED_VALUE"""),729.8)</f>
        <v>729.8</v>
      </c>
      <c r="C141" s="23"/>
      <c r="D141" s="26"/>
      <c r="E141" s="25"/>
      <c r="N141" s="11">
        <f t="shared" si="1"/>
        <v>33239</v>
      </c>
      <c r="O141" s="9">
        <f t="shared" si="2"/>
        <v>2.863203859</v>
      </c>
    </row>
    <row r="142">
      <c r="A142" s="28">
        <f>IFERROR(__xludf.DUMMYFUNCTION("""COMPUTED_VALUE"""),33147.0)</f>
        <v>33147</v>
      </c>
      <c r="B142" s="29">
        <f>IFERROR(__xludf.DUMMYFUNCTION("""COMPUTED_VALUE"""),737.519)</f>
        <v>737.519</v>
      </c>
      <c r="C142" s="23"/>
      <c r="D142" s="26"/>
      <c r="E142" s="25"/>
      <c r="N142" s="11">
        <f t="shared" si="1"/>
        <v>33147</v>
      </c>
      <c r="O142" s="9">
        <f t="shared" si="2"/>
        <v>2.867773213</v>
      </c>
    </row>
    <row r="143">
      <c r="A143" s="28">
        <f>IFERROR(__xludf.DUMMYFUNCTION("""COMPUTED_VALUE"""),33055.0)</f>
        <v>33055</v>
      </c>
      <c r="B143" s="29">
        <f>IFERROR(__xludf.DUMMYFUNCTION("""COMPUTED_VALUE"""),744.412)</f>
        <v>744.412</v>
      </c>
      <c r="C143" s="23"/>
      <c r="D143" s="26"/>
      <c r="E143" s="25"/>
      <c r="N143" s="11">
        <f t="shared" si="1"/>
        <v>33055</v>
      </c>
      <c r="O143" s="9">
        <f t="shared" si="2"/>
        <v>2.871813365</v>
      </c>
    </row>
    <row r="144">
      <c r="A144" s="28">
        <f>IFERROR(__xludf.DUMMYFUNCTION("""COMPUTED_VALUE"""),32964.0)</f>
        <v>32964</v>
      </c>
      <c r="B144" s="29">
        <f>IFERROR(__xludf.DUMMYFUNCTION("""COMPUTED_VALUE"""),734.124)</f>
        <v>734.124</v>
      </c>
      <c r="C144" s="23"/>
      <c r="D144" s="26"/>
      <c r="E144" s="25"/>
      <c r="N144" s="11">
        <f t="shared" si="1"/>
        <v>32964</v>
      </c>
      <c r="O144" s="9">
        <f t="shared" si="2"/>
        <v>2.865769422</v>
      </c>
    </row>
    <row r="145">
      <c r="A145" s="28">
        <f>IFERROR(__xludf.DUMMYFUNCTION("""COMPUTED_VALUE"""),32874.0)</f>
        <v>32874</v>
      </c>
      <c r="B145" s="29">
        <f>IFERROR(__xludf.DUMMYFUNCTION("""COMPUTED_VALUE"""),740.88)</f>
        <v>740.88</v>
      </c>
      <c r="C145" s="23"/>
      <c r="D145" s="26"/>
      <c r="E145" s="25"/>
      <c r="N145" s="11">
        <f t="shared" si="1"/>
        <v>32874</v>
      </c>
      <c r="O145" s="9">
        <f t="shared" si="2"/>
        <v>2.869747871</v>
      </c>
    </row>
    <row r="146">
      <c r="A146" s="28">
        <f>IFERROR(__xludf.DUMMYFUNCTION("""COMPUTED_VALUE"""),32782.0)</f>
        <v>32782</v>
      </c>
      <c r="B146" s="29">
        <f>IFERROR(__xludf.DUMMYFUNCTION("""COMPUTED_VALUE"""),727.373)</f>
        <v>727.373</v>
      </c>
      <c r="C146" s="23"/>
      <c r="D146" s="26"/>
      <c r="E146" s="25"/>
      <c r="N146" s="11">
        <f t="shared" si="1"/>
        <v>32782</v>
      </c>
      <c r="O146" s="9">
        <f t="shared" si="2"/>
        <v>2.861757176</v>
      </c>
    </row>
    <row r="147">
      <c r="A147" s="28">
        <f>IFERROR(__xludf.DUMMYFUNCTION("""COMPUTED_VALUE"""),32690.0)</f>
        <v>32690</v>
      </c>
      <c r="B147" s="29">
        <f>IFERROR(__xludf.DUMMYFUNCTION("""COMPUTED_VALUE"""),731.137)</f>
        <v>731.137</v>
      </c>
      <c r="C147" s="23"/>
      <c r="D147" s="26"/>
      <c r="E147" s="25"/>
      <c r="N147" s="11">
        <f t="shared" si="1"/>
        <v>32690</v>
      </c>
      <c r="O147" s="9">
        <f t="shared" si="2"/>
        <v>2.863998762</v>
      </c>
    </row>
    <row r="148">
      <c r="A148" s="28">
        <f>IFERROR(__xludf.DUMMYFUNCTION("""COMPUTED_VALUE"""),32599.0)</f>
        <v>32599</v>
      </c>
      <c r="B148" s="29">
        <f>IFERROR(__xludf.DUMMYFUNCTION("""COMPUTED_VALUE"""),708.998)</f>
        <v>708.998</v>
      </c>
      <c r="C148" s="23"/>
      <c r="D148" s="26"/>
      <c r="E148" s="25"/>
      <c r="N148" s="11">
        <f t="shared" si="1"/>
        <v>32599</v>
      </c>
      <c r="O148" s="9">
        <f t="shared" si="2"/>
        <v>2.85064501</v>
      </c>
    </row>
    <row r="149">
      <c r="A149" s="28">
        <f>IFERROR(__xludf.DUMMYFUNCTION("""COMPUTED_VALUE"""),32509.0)</f>
        <v>32509</v>
      </c>
      <c r="B149" s="29">
        <f>IFERROR(__xludf.DUMMYFUNCTION("""COMPUTED_VALUE"""),696.466)</f>
        <v>696.466</v>
      </c>
      <c r="C149" s="23"/>
      <c r="D149" s="26"/>
      <c r="E149" s="25"/>
      <c r="N149" s="11">
        <f t="shared" si="1"/>
        <v>32509</v>
      </c>
      <c r="O149" s="9">
        <f t="shared" si="2"/>
        <v>2.84289992</v>
      </c>
    </row>
    <row r="150">
      <c r="A150" s="28">
        <f>IFERROR(__xludf.DUMMYFUNCTION("""COMPUTED_VALUE"""),32417.0)</f>
        <v>32417</v>
      </c>
      <c r="B150" s="29">
        <f>IFERROR(__xludf.DUMMYFUNCTION("""COMPUTED_VALUE"""),681.924)</f>
        <v>681.924</v>
      </c>
      <c r="C150" s="23"/>
      <c r="D150" s="26"/>
      <c r="E150" s="25"/>
      <c r="N150" s="11">
        <f t="shared" si="1"/>
        <v>32417</v>
      </c>
      <c r="O150" s="9">
        <f t="shared" si="2"/>
        <v>2.833735976</v>
      </c>
    </row>
    <row r="151">
      <c r="A151" s="28">
        <f>IFERROR(__xludf.DUMMYFUNCTION("""COMPUTED_VALUE"""),32325.0)</f>
        <v>32325</v>
      </c>
      <c r="B151" s="29">
        <f>IFERROR(__xludf.DUMMYFUNCTION("""COMPUTED_VALUE"""),666.332)</f>
        <v>666.332</v>
      </c>
      <c r="C151" s="23"/>
      <c r="D151" s="26"/>
      <c r="E151" s="25"/>
      <c r="N151" s="11">
        <f t="shared" si="1"/>
        <v>32325</v>
      </c>
      <c r="O151" s="9">
        <f t="shared" si="2"/>
        <v>2.82369067</v>
      </c>
    </row>
    <row r="152">
      <c r="A152" s="28">
        <f>IFERROR(__xludf.DUMMYFUNCTION("""COMPUTED_VALUE"""),32234.0)</f>
        <v>32234</v>
      </c>
      <c r="B152" s="29">
        <f>IFERROR(__xludf.DUMMYFUNCTION("""COMPUTED_VALUE"""),659.366)</f>
        <v>659.366</v>
      </c>
      <c r="C152" s="23"/>
      <c r="D152" s="26"/>
      <c r="E152" s="25"/>
      <c r="N152" s="11">
        <f t="shared" si="1"/>
        <v>32234</v>
      </c>
      <c r="O152" s="9">
        <f t="shared" si="2"/>
        <v>2.819126549</v>
      </c>
    </row>
    <row r="153">
      <c r="A153" s="28">
        <f>IFERROR(__xludf.DUMMYFUNCTION("""COMPUTED_VALUE"""),32143.0)</f>
        <v>32143</v>
      </c>
      <c r="B153" s="29">
        <f>IFERROR(__xludf.DUMMYFUNCTION("""COMPUTED_VALUE"""),641.498)</f>
        <v>641.498</v>
      </c>
      <c r="C153" s="23"/>
      <c r="D153" s="26"/>
      <c r="E153" s="25"/>
      <c r="N153" s="11">
        <f t="shared" si="1"/>
        <v>32143</v>
      </c>
      <c r="O153" s="9">
        <f t="shared" si="2"/>
        <v>2.807195307</v>
      </c>
    </row>
    <row r="154">
      <c r="A154" s="28">
        <f>IFERROR(__xludf.DUMMYFUNCTION("""COMPUTED_VALUE"""),32051.0)</f>
        <v>32051</v>
      </c>
      <c r="B154" s="29">
        <f>IFERROR(__xludf.DUMMYFUNCTION("""COMPUTED_VALUE"""),630.552)</f>
        <v>630.552</v>
      </c>
      <c r="C154" s="23"/>
      <c r="D154" s="26"/>
      <c r="E154" s="25"/>
      <c r="N154" s="11">
        <f t="shared" si="1"/>
        <v>32051</v>
      </c>
      <c r="O154" s="9">
        <f t="shared" si="2"/>
        <v>2.799720908</v>
      </c>
    </row>
    <row r="155">
      <c r="A155" s="28">
        <f>IFERROR(__xludf.DUMMYFUNCTION("""COMPUTED_VALUE"""),31959.0)</f>
        <v>31959</v>
      </c>
      <c r="B155" s="29">
        <f>IFERROR(__xludf.DUMMYFUNCTION("""COMPUTED_VALUE"""),625.48)</f>
        <v>625.48</v>
      </c>
      <c r="C155" s="23"/>
      <c r="D155" s="26"/>
      <c r="E155" s="25"/>
      <c r="N155" s="11">
        <f t="shared" si="1"/>
        <v>31959</v>
      </c>
      <c r="O155" s="9">
        <f t="shared" si="2"/>
        <v>2.796213427</v>
      </c>
    </row>
    <row r="156">
      <c r="A156" s="28">
        <f>IFERROR(__xludf.DUMMYFUNCTION("""COMPUTED_VALUE"""),31868.0)</f>
        <v>31868</v>
      </c>
      <c r="B156" s="29">
        <f>IFERROR(__xludf.DUMMYFUNCTION("""COMPUTED_VALUE"""),608.371)</f>
        <v>608.371</v>
      </c>
      <c r="C156" s="23"/>
      <c r="D156" s="26"/>
      <c r="E156" s="25"/>
      <c r="N156" s="11">
        <f t="shared" si="1"/>
        <v>31868</v>
      </c>
      <c r="O156" s="9">
        <f t="shared" si="2"/>
        <v>2.784168504</v>
      </c>
    </row>
    <row r="157">
      <c r="A157" s="28">
        <f>IFERROR(__xludf.DUMMYFUNCTION("""COMPUTED_VALUE"""),31778.0)</f>
        <v>31778</v>
      </c>
      <c r="B157" s="29">
        <f>IFERROR(__xludf.DUMMYFUNCTION("""COMPUTED_VALUE"""),596.551)</f>
        <v>596.551</v>
      </c>
      <c r="C157" s="23"/>
      <c r="D157" s="26"/>
      <c r="E157" s="25"/>
      <c r="N157" s="11">
        <f t="shared" si="1"/>
        <v>31778</v>
      </c>
      <c r="O157" s="9">
        <f t="shared" si="2"/>
        <v>2.775647578</v>
      </c>
    </row>
    <row r="158">
      <c r="A158" s="28">
        <f>IFERROR(__xludf.DUMMYFUNCTION("""COMPUTED_VALUE"""),31686.0)</f>
        <v>31686</v>
      </c>
      <c r="B158" s="29">
        <f>IFERROR(__xludf.DUMMYFUNCTION("""COMPUTED_VALUE"""),610.553)</f>
        <v>610.553</v>
      </c>
      <c r="C158" s="23"/>
      <c r="D158" s="26"/>
      <c r="E158" s="25"/>
      <c r="N158" s="11">
        <f t="shared" si="1"/>
        <v>31686</v>
      </c>
      <c r="O158" s="9">
        <f t="shared" si="2"/>
        <v>2.78572337</v>
      </c>
    </row>
    <row r="159">
      <c r="A159" s="28">
        <f>IFERROR(__xludf.DUMMYFUNCTION("""COMPUTED_VALUE"""),31594.0)</f>
        <v>31594</v>
      </c>
      <c r="B159" s="29">
        <f>IFERROR(__xludf.DUMMYFUNCTION("""COMPUTED_VALUE"""),601.964)</f>
        <v>601.964</v>
      </c>
      <c r="C159" s="23"/>
      <c r="D159" s="26"/>
      <c r="E159" s="25"/>
      <c r="N159" s="11">
        <f t="shared" si="1"/>
        <v>31594</v>
      </c>
      <c r="O159" s="9">
        <f t="shared" si="2"/>
        <v>2.779570519</v>
      </c>
    </row>
    <row r="160">
      <c r="A160" s="28">
        <f>IFERROR(__xludf.DUMMYFUNCTION("""COMPUTED_VALUE"""),31503.0)</f>
        <v>31503</v>
      </c>
      <c r="B160" s="29">
        <f>IFERROR(__xludf.DUMMYFUNCTION("""COMPUTED_VALUE"""),605.016)</f>
        <v>605.016</v>
      </c>
      <c r="C160" s="23"/>
      <c r="D160" s="26"/>
      <c r="E160" s="25"/>
      <c r="N160" s="11">
        <f t="shared" si="1"/>
        <v>31503</v>
      </c>
      <c r="O160" s="9">
        <f t="shared" si="2"/>
        <v>2.78176686</v>
      </c>
    </row>
    <row r="161">
      <c r="A161" s="28">
        <f>IFERROR(__xludf.DUMMYFUNCTION("""COMPUTED_VALUE"""),31413.0)</f>
        <v>31413</v>
      </c>
      <c r="B161" s="29">
        <f>IFERROR(__xludf.DUMMYFUNCTION("""COMPUTED_VALUE"""),613.525)</f>
        <v>613.525</v>
      </c>
      <c r="C161" s="23"/>
      <c r="D161" s="26"/>
      <c r="E161" s="25"/>
      <c r="N161" s="11">
        <f t="shared" si="1"/>
        <v>31413</v>
      </c>
      <c r="O161" s="9">
        <f t="shared" si="2"/>
        <v>2.787832264</v>
      </c>
    </row>
    <row r="162">
      <c r="A162" s="28">
        <f>IFERROR(__xludf.DUMMYFUNCTION("""COMPUTED_VALUE"""),31321.0)</f>
        <v>31321</v>
      </c>
      <c r="B162" s="29">
        <f>IFERROR(__xludf.DUMMYFUNCTION("""COMPUTED_VALUE"""),618.067)</f>
        <v>618.067</v>
      </c>
      <c r="C162" s="23"/>
      <c r="D162" s="26"/>
      <c r="E162" s="25"/>
      <c r="N162" s="11">
        <f t="shared" si="1"/>
        <v>31321</v>
      </c>
      <c r="O162" s="9">
        <f t="shared" si="2"/>
        <v>2.791035556</v>
      </c>
    </row>
    <row r="163">
      <c r="A163" s="28">
        <f>IFERROR(__xludf.DUMMYFUNCTION("""COMPUTED_VALUE"""),31229.0)</f>
        <v>31229</v>
      </c>
      <c r="B163" s="29">
        <f>IFERROR(__xludf.DUMMYFUNCTION("""COMPUTED_VALUE"""),604.432)</f>
        <v>604.432</v>
      </c>
      <c r="C163" s="23"/>
      <c r="D163" s="26"/>
      <c r="E163" s="25"/>
      <c r="N163" s="11">
        <f t="shared" si="1"/>
        <v>31229</v>
      </c>
      <c r="O163" s="9">
        <f t="shared" si="2"/>
        <v>2.781347449</v>
      </c>
    </row>
    <row r="164">
      <c r="A164" s="28">
        <f>IFERROR(__xludf.DUMMYFUNCTION("""COMPUTED_VALUE"""),31138.0)</f>
        <v>31138</v>
      </c>
      <c r="B164" s="29">
        <f>IFERROR(__xludf.DUMMYFUNCTION("""COMPUTED_VALUE"""),609.088)</f>
        <v>609.088</v>
      </c>
      <c r="C164" s="23"/>
      <c r="D164" s="26"/>
      <c r="E164" s="25"/>
      <c r="N164" s="11">
        <f t="shared" si="1"/>
        <v>31138</v>
      </c>
      <c r="O164" s="9">
        <f t="shared" si="2"/>
        <v>2.784680043</v>
      </c>
    </row>
    <row r="165">
      <c r="A165" s="28">
        <f>IFERROR(__xludf.DUMMYFUNCTION("""COMPUTED_VALUE"""),31048.0)</f>
        <v>31048</v>
      </c>
      <c r="B165" s="29">
        <f>IFERROR(__xludf.DUMMYFUNCTION("""COMPUTED_VALUE"""),599.417)</f>
        <v>599.417</v>
      </c>
      <c r="C165" s="23"/>
      <c r="D165" s="26"/>
      <c r="E165" s="25"/>
      <c r="N165" s="11">
        <f t="shared" si="1"/>
        <v>31048</v>
      </c>
      <c r="O165" s="9">
        <f t="shared" si="2"/>
        <v>2.777729056</v>
      </c>
    </row>
    <row r="166">
      <c r="A166" s="28">
        <f>IFERROR(__xludf.DUMMYFUNCTION("""COMPUTED_VALUE"""),30956.0)</f>
        <v>30956</v>
      </c>
      <c r="B166" s="29">
        <f>IFERROR(__xludf.DUMMYFUNCTION("""COMPUTED_VALUE"""),590.903)</f>
        <v>590.903</v>
      </c>
      <c r="C166" s="23"/>
      <c r="D166" s="26"/>
      <c r="E166" s="25"/>
      <c r="N166" s="11">
        <f t="shared" si="1"/>
        <v>30956</v>
      </c>
      <c r="O166" s="9">
        <f t="shared" si="2"/>
        <v>2.771516195</v>
      </c>
    </row>
    <row r="167">
      <c r="A167" s="28">
        <f>IFERROR(__xludf.DUMMYFUNCTION("""COMPUTED_VALUE"""),30864.0)</f>
        <v>30864</v>
      </c>
      <c r="B167" s="29">
        <f>IFERROR(__xludf.DUMMYFUNCTION("""COMPUTED_VALUE"""),576.642)</f>
        <v>576.642</v>
      </c>
      <c r="C167" s="23"/>
      <c r="D167" s="26"/>
      <c r="E167" s="25"/>
      <c r="N167" s="11">
        <f t="shared" si="1"/>
        <v>30864</v>
      </c>
      <c r="O167" s="9">
        <f t="shared" si="2"/>
        <v>2.760906271</v>
      </c>
    </row>
    <row r="168">
      <c r="A168" s="28">
        <f>IFERROR(__xludf.DUMMYFUNCTION("""COMPUTED_VALUE"""),30773.0)</f>
        <v>30773</v>
      </c>
      <c r="B168" s="29">
        <f>IFERROR(__xludf.DUMMYFUNCTION("""COMPUTED_VALUE"""),558.274)</f>
        <v>558.274</v>
      </c>
      <c r="C168" s="23"/>
      <c r="D168" s="26"/>
      <c r="E168" s="25"/>
      <c r="N168" s="11">
        <f t="shared" si="1"/>
        <v>30773</v>
      </c>
      <c r="O168" s="9">
        <f t="shared" si="2"/>
        <v>2.746847402</v>
      </c>
    </row>
    <row r="169">
      <c r="A169" s="28">
        <f>IFERROR(__xludf.DUMMYFUNCTION("""COMPUTED_VALUE"""),30682.0)</f>
        <v>30682</v>
      </c>
      <c r="B169" s="29">
        <f>IFERROR(__xludf.DUMMYFUNCTION("""COMPUTED_VALUE"""),531.465)</f>
        <v>531.465</v>
      </c>
      <c r="C169" s="23"/>
      <c r="D169" s="26"/>
      <c r="E169" s="25"/>
      <c r="N169" s="11">
        <f t="shared" si="1"/>
        <v>30682</v>
      </c>
      <c r="O169" s="9">
        <f t="shared" si="2"/>
        <v>2.725474669</v>
      </c>
    </row>
    <row r="170">
      <c r="A170" s="28">
        <f>IFERROR(__xludf.DUMMYFUNCTION("""COMPUTED_VALUE"""),30590.0)</f>
        <v>30590</v>
      </c>
      <c r="B170" s="29">
        <f>IFERROR(__xludf.DUMMYFUNCTION("""COMPUTED_VALUE"""),514.687)</f>
        <v>514.687</v>
      </c>
      <c r="C170" s="23"/>
      <c r="D170" s="26"/>
      <c r="E170" s="25"/>
      <c r="N170" s="11">
        <f t="shared" si="1"/>
        <v>30590</v>
      </c>
      <c r="O170" s="9">
        <f t="shared" si="2"/>
        <v>2.711543199</v>
      </c>
    </row>
    <row r="171">
      <c r="A171" s="28">
        <f>IFERROR(__xludf.DUMMYFUNCTION("""COMPUTED_VALUE"""),30498.0)</f>
        <v>30498</v>
      </c>
      <c r="B171" s="29">
        <f>IFERROR(__xludf.DUMMYFUNCTION("""COMPUTED_VALUE"""),485.371)</f>
        <v>485.371</v>
      </c>
      <c r="C171" s="23"/>
      <c r="D171" s="26"/>
      <c r="E171" s="25"/>
      <c r="N171" s="11">
        <f t="shared" si="1"/>
        <v>30498</v>
      </c>
      <c r="O171" s="9">
        <f t="shared" si="2"/>
        <v>2.686073824</v>
      </c>
    </row>
    <row r="172">
      <c r="A172" s="28">
        <f>IFERROR(__xludf.DUMMYFUNCTION("""COMPUTED_VALUE"""),30407.0)</f>
        <v>30407</v>
      </c>
      <c r="B172" s="29">
        <f>IFERROR(__xludf.DUMMYFUNCTION("""COMPUTED_VALUE"""),466.455)</f>
        <v>466.455</v>
      </c>
      <c r="C172" s="23"/>
      <c r="D172" s="26"/>
      <c r="E172" s="25"/>
      <c r="N172" s="11">
        <f t="shared" si="1"/>
        <v>30407</v>
      </c>
      <c r="O172" s="9">
        <f t="shared" si="2"/>
        <v>2.668809753</v>
      </c>
    </row>
    <row r="173">
      <c r="A173" s="28">
        <f>IFERROR(__xludf.DUMMYFUNCTION("""COMPUTED_VALUE"""),30317.0)</f>
        <v>30317</v>
      </c>
      <c r="B173" s="29">
        <f>IFERROR(__xludf.DUMMYFUNCTION("""COMPUTED_VALUE"""),462.106)</f>
        <v>462.106</v>
      </c>
      <c r="C173" s="23"/>
      <c r="D173" s="26"/>
      <c r="E173" s="25"/>
      <c r="N173" s="11">
        <f t="shared" si="1"/>
        <v>30317</v>
      </c>
      <c r="O173" s="9">
        <f t="shared" si="2"/>
        <v>2.664741607</v>
      </c>
    </row>
    <row r="174">
      <c r="A174" s="28">
        <f>IFERROR(__xludf.DUMMYFUNCTION("""COMPUTED_VALUE"""),30225.0)</f>
        <v>30225</v>
      </c>
      <c r="B174" s="29">
        <f>IFERROR(__xludf.DUMMYFUNCTION("""COMPUTED_VALUE"""),471.521)</f>
        <v>471.521</v>
      </c>
      <c r="C174" s="23"/>
      <c r="D174" s="26"/>
      <c r="E174" s="25"/>
      <c r="N174" s="11">
        <f t="shared" si="1"/>
        <v>30225</v>
      </c>
      <c r="O174" s="9">
        <f t="shared" si="2"/>
        <v>2.67350104</v>
      </c>
    </row>
    <row r="175">
      <c r="A175" s="28">
        <f>IFERROR(__xludf.DUMMYFUNCTION("""COMPUTED_VALUE"""),30133.0)</f>
        <v>30133</v>
      </c>
      <c r="B175" s="29">
        <f>IFERROR(__xludf.DUMMYFUNCTION("""COMPUTED_VALUE"""),478.723)</f>
        <v>478.723</v>
      </c>
      <c r="C175" s="23"/>
      <c r="D175" s="26"/>
      <c r="E175" s="25"/>
      <c r="N175" s="11">
        <f t="shared" si="1"/>
        <v>30133</v>
      </c>
      <c r="O175" s="9">
        <f t="shared" si="2"/>
        <v>2.680084293</v>
      </c>
    </row>
    <row r="176">
      <c r="A176" s="28">
        <f>IFERROR(__xludf.DUMMYFUNCTION("""COMPUTED_VALUE"""),30042.0)</f>
        <v>30042</v>
      </c>
      <c r="B176" s="29">
        <f>IFERROR(__xludf.DUMMYFUNCTION("""COMPUTED_VALUE"""),490.069)</f>
        <v>490.069</v>
      </c>
      <c r="C176" s="23"/>
      <c r="D176" s="26"/>
      <c r="E176" s="25"/>
      <c r="N176" s="11">
        <f t="shared" si="1"/>
        <v>30042</v>
      </c>
      <c r="O176" s="9">
        <f t="shared" si="2"/>
        <v>2.690257231</v>
      </c>
    </row>
    <row r="177">
      <c r="A177" s="28">
        <f>IFERROR(__xludf.DUMMYFUNCTION("""COMPUTED_VALUE"""),29952.0)</f>
        <v>29952</v>
      </c>
      <c r="B177" s="29">
        <f>IFERROR(__xludf.DUMMYFUNCTION("""COMPUTED_VALUE"""),500.083)</f>
        <v>500.083</v>
      </c>
      <c r="C177" s="23"/>
      <c r="D177" s="26"/>
      <c r="E177" s="25"/>
      <c r="N177" s="11">
        <f t="shared" si="1"/>
        <v>29952</v>
      </c>
      <c r="O177" s="9">
        <f t="shared" si="2"/>
        <v>2.699042091</v>
      </c>
    </row>
    <row r="178">
      <c r="A178" s="28">
        <f>IFERROR(__xludf.DUMMYFUNCTION("""COMPUTED_VALUE"""),29860.0)</f>
        <v>29860</v>
      </c>
      <c r="B178" s="29">
        <f>IFERROR(__xludf.DUMMYFUNCTION("""COMPUTED_VALUE"""),503.755)</f>
        <v>503.755</v>
      </c>
      <c r="C178" s="23"/>
      <c r="D178" s="26"/>
      <c r="E178" s="25"/>
      <c r="N178" s="11">
        <f t="shared" si="1"/>
        <v>29860</v>
      </c>
      <c r="O178" s="9">
        <f t="shared" si="2"/>
        <v>2.70221937</v>
      </c>
    </row>
    <row r="179">
      <c r="A179" s="28">
        <f>IFERROR(__xludf.DUMMYFUNCTION("""COMPUTED_VALUE"""),29768.0)</f>
        <v>29768</v>
      </c>
      <c r="B179" s="29">
        <f>IFERROR(__xludf.DUMMYFUNCTION("""COMPUTED_VALUE"""),482.109)</f>
        <v>482.109</v>
      </c>
      <c r="C179" s="23"/>
      <c r="D179" s="26"/>
      <c r="E179" s="25"/>
      <c r="N179" s="11">
        <f t="shared" si="1"/>
        <v>29768</v>
      </c>
      <c r="O179" s="9">
        <f t="shared" si="2"/>
        <v>2.683145239</v>
      </c>
    </row>
    <row r="180">
      <c r="A180" s="28">
        <f>IFERROR(__xludf.DUMMYFUNCTION("""COMPUTED_VALUE"""),29677.0)</f>
        <v>29677</v>
      </c>
      <c r="B180" s="29">
        <f>IFERROR(__xludf.DUMMYFUNCTION("""COMPUTED_VALUE"""),462.864)</f>
        <v>462.864</v>
      </c>
      <c r="C180" s="23"/>
      <c r="D180" s="26"/>
      <c r="E180" s="25"/>
      <c r="N180" s="11">
        <f t="shared" si="1"/>
        <v>29677</v>
      </c>
      <c r="O180" s="9">
        <f t="shared" si="2"/>
        <v>2.665453404</v>
      </c>
    </row>
    <row r="181">
      <c r="A181" s="28">
        <f>IFERROR(__xludf.DUMMYFUNCTION("""COMPUTED_VALUE"""),29587.0)</f>
        <v>29587</v>
      </c>
      <c r="B181" s="29">
        <f>IFERROR(__xludf.DUMMYFUNCTION("""COMPUTED_VALUE"""),443.025)</f>
        <v>443.025</v>
      </c>
      <c r="C181" s="23"/>
      <c r="D181" s="26"/>
      <c r="E181" s="25"/>
      <c r="N181" s="11">
        <f t="shared" si="1"/>
        <v>29587</v>
      </c>
      <c r="O181" s="9">
        <f t="shared" si="2"/>
        <v>2.646428234</v>
      </c>
    </row>
    <row r="182">
      <c r="A182" s="28">
        <f>IFERROR(__xludf.DUMMYFUNCTION("""COMPUTED_VALUE"""),29495.0)</f>
        <v>29495</v>
      </c>
      <c r="B182" s="29">
        <f>IFERROR(__xludf.DUMMYFUNCTION("""COMPUTED_VALUE"""),422.755)</f>
        <v>422.755</v>
      </c>
      <c r="C182" s="23"/>
      <c r="D182" s="26"/>
      <c r="E182" s="25"/>
      <c r="N182" s="11">
        <f t="shared" si="1"/>
        <v>29495</v>
      </c>
      <c r="O182" s="9">
        <f t="shared" si="2"/>
        <v>2.626088753</v>
      </c>
    </row>
    <row r="183">
      <c r="A183" s="28">
        <f>IFERROR(__xludf.DUMMYFUNCTION("""COMPUTED_VALUE"""),29403.0)</f>
        <v>29403</v>
      </c>
      <c r="B183" s="29">
        <f>IFERROR(__xludf.DUMMYFUNCTION("""COMPUTED_VALUE"""),405.717)</f>
        <v>405.717</v>
      </c>
      <c r="C183" s="23"/>
      <c r="D183" s="26"/>
      <c r="E183" s="25"/>
      <c r="N183" s="11">
        <f t="shared" si="1"/>
        <v>29403</v>
      </c>
      <c r="O183" s="9">
        <f t="shared" si="2"/>
        <v>2.608223206</v>
      </c>
    </row>
    <row r="184">
      <c r="A184" s="28">
        <f>IFERROR(__xludf.DUMMYFUNCTION("""COMPUTED_VALUE"""),29312.0)</f>
        <v>29312</v>
      </c>
      <c r="B184" s="29">
        <f>IFERROR(__xludf.DUMMYFUNCTION("""COMPUTED_VALUE"""),394.68)</f>
        <v>394.68</v>
      </c>
      <c r="C184" s="23"/>
      <c r="D184" s="26"/>
      <c r="E184" s="25"/>
      <c r="N184" s="11">
        <f t="shared" si="1"/>
        <v>29312</v>
      </c>
      <c r="O184" s="9">
        <f t="shared" si="2"/>
        <v>2.59624512</v>
      </c>
    </row>
    <row r="185">
      <c r="A185" s="28">
        <f>IFERROR(__xludf.DUMMYFUNCTION("""COMPUTED_VALUE"""),29221.0)</f>
        <v>29221</v>
      </c>
      <c r="B185" s="29">
        <f>IFERROR(__xludf.DUMMYFUNCTION("""COMPUTED_VALUE"""),404.492)</f>
        <v>404.492</v>
      </c>
      <c r="C185" s="23"/>
      <c r="D185" s="26"/>
      <c r="E185" s="25"/>
      <c r="N185" s="11">
        <f t="shared" si="1"/>
        <v>29221</v>
      </c>
      <c r="O185" s="9">
        <f t="shared" si="2"/>
        <v>2.606909937</v>
      </c>
    </row>
    <row r="186">
      <c r="A186" s="28">
        <f>IFERROR(__xludf.DUMMYFUNCTION("""COMPUTED_VALUE"""),29129.0)</f>
        <v>29129</v>
      </c>
      <c r="B186" s="29">
        <f>IFERROR(__xludf.DUMMYFUNCTION("""COMPUTED_VALUE"""),391.332)</f>
        <v>391.332</v>
      </c>
      <c r="C186" s="23"/>
      <c r="D186" s="26"/>
      <c r="E186" s="25"/>
      <c r="N186" s="11">
        <f t="shared" si="1"/>
        <v>29129</v>
      </c>
      <c r="O186" s="9">
        <f t="shared" si="2"/>
        <v>2.592545362</v>
      </c>
    </row>
    <row r="187">
      <c r="A187" s="28">
        <f>IFERROR(__xludf.DUMMYFUNCTION("""COMPUTED_VALUE"""),29037.0)</f>
        <v>29037</v>
      </c>
      <c r="B187" s="29">
        <f>IFERROR(__xludf.DUMMYFUNCTION("""COMPUTED_VALUE"""),383.003)</f>
        <v>383.003</v>
      </c>
      <c r="C187" s="23"/>
      <c r="D187" s="26"/>
      <c r="E187" s="25"/>
      <c r="N187" s="11">
        <f t="shared" si="1"/>
        <v>29037</v>
      </c>
      <c r="O187" s="9">
        <f t="shared" si="2"/>
        <v>2.583202176</v>
      </c>
    </row>
    <row r="188">
      <c r="A188" s="28">
        <f>IFERROR(__xludf.DUMMYFUNCTION("""COMPUTED_VALUE"""),28946.0)</f>
        <v>28946</v>
      </c>
      <c r="B188" s="29">
        <f>IFERROR(__xludf.DUMMYFUNCTION("""COMPUTED_VALUE"""),364.268)</f>
        <v>364.268</v>
      </c>
      <c r="C188" s="23"/>
      <c r="D188" s="26"/>
      <c r="E188" s="25"/>
      <c r="N188" s="11">
        <f t="shared" si="1"/>
        <v>28946</v>
      </c>
      <c r="O188" s="9">
        <f t="shared" si="2"/>
        <v>2.561421021</v>
      </c>
    </row>
    <row r="189">
      <c r="A189" s="28">
        <f>IFERROR(__xludf.DUMMYFUNCTION("""COMPUTED_VALUE"""),28856.0)</f>
        <v>28856</v>
      </c>
      <c r="B189" s="29">
        <f>IFERROR(__xludf.DUMMYFUNCTION("""COMPUTED_VALUE"""),356.695)</f>
        <v>356.695</v>
      </c>
      <c r="C189" s="23"/>
      <c r="D189" s="26"/>
      <c r="E189" s="25"/>
      <c r="N189" s="11">
        <f t="shared" si="1"/>
        <v>28856</v>
      </c>
      <c r="O189" s="9">
        <f t="shared" si="2"/>
        <v>2.552297022</v>
      </c>
    </row>
    <row r="190">
      <c r="A190" s="28">
        <f>IFERROR(__xludf.DUMMYFUNCTION("""COMPUTED_VALUE"""),28764.0)</f>
        <v>28764</v>
      </c>
      <c r="B190" s="29">
        <f>IFERROR(__xludf.DUMMYFUNCTION("""COMPUTED_VALUE"""),341.428)</f>
        <v>341.428</v>
      </c>
      <c r="C190" s="23"/>
      <c r="D190" s="26"/>
      <c r="E190" s="25"/>
      <c r="N190" s="11">
        <f t="shared" si="1"/>
        <v>28764</v>
      </c>
      <c r="O190" s="9">
        <f t="shared" si="2"/>
        <v>2.533299134</v>
      </c>
    </row>
    <row r="191">
      <c r="A191" s="28">
        <f>IFERROR(__xludf.DUMMYFUNCTION("""COMPUTED_VALUE"""),28672.0)</f>
        <v>28672</v>
      </c>
      <c r="B191" s="29">
        <f>IFERROR(__xludf.DUMMYFUNCTION("""COMPUTED_VALUE"""),325.1)</f>
        <v>325.1</v>
      </c>
      <c r="C191" s="23"/>
      <c r="D191" s="26"/>
      <c r="E191" s="25"/>
      <c r="N191" s="11">
        <f t="shared" si="1"/>
        <v>28672</v>
      </c>
      <c r="O191" s="9">
        <f t="shared" si="2"/>
        <v>2.512016969</v>
      </c>
    </row>
    <row r="192">
      <c r="A192" s="28">
        <f>IFERROR(__xludf.DUMMYFUNCTION("""COMPUTED_VALUE"""),28581.0)</f>
        <v>28581</v>
      </c>
      <c r="B192" s="29">
        <f>IFERROR(__xludf.DUMMYFUNCTION("""COMPUTED_VALUE"""),309.351)</f>
        <v>309.351</v>
      </c>
      <c r="C192" s="23"/>
      <c r="D192" s="26"/>
      <c r="E192" s="25"/>
      <c r="N192" s="11">
        <f t="shared" si="1"/>
        <v>28581</v>
      </c>
      <c r="O192" s="9">
        <f t="shared" si="2"/>
        <v>2.490451524</v>
      </c>
    </row>
    <row r="193">
      <c r="A193" s="28">
        <f>IFERROR(__xludf.DUMMYFUNCTION("""COMPUTED_VALUE"""),28491.0)</f>
        <v>28491</v>
      </c>
      <c r="B193" s="29">
        <f>IFERROR(__xludf.DUMMYFUNCTION("""COMPUTED_VALUE"""),282.424)</f>
        <v>282.424</v>
      </c>
      <c r="C193" s="23"/>
      <c r="D193" s="26"/>
      <c r="E193" s="25"/>
      <c r="N193" s="11">
        <f t="shared" si="1"/>
        <v>28491</v>
      </c>
      <c r="O193" s="9">
        <f t="shared" si="2"/>
        <v>2.4509016</v>
      </c>
    </row>
    <row r="194">
      <c r="A194" s="28">
        <f>IFERROR(__xludf.DUMMYFUNCTION("""COMPUTED_VALUE"""),28399.0)</f>
        <v>28399</v>
      </c>
      <c r="B194" s="29">
        <f>IFERROR(__xludf.DUMMYFUNCTION("""COMPUTED_VALUE"""),275.943)</f>
        <v>275.943</v>
      </c>
      <c r="C194" s="23"/>
      <c r="D194" s="26"/>
      <c r="E194" s="25"/>
      <c r="N194" s="11">
        <f t="shared" si="1"/>
        <v>28399</v>
      </c>
      <c r="O194" s="9">
        <f t="shared" si="2"/>
        <v>2.440819382</v>
      </c>
    </row>
    <row r="195">
      <c r="A195" s="28">
        <f>IFERROR(__xludf.DUMMYFUNCTION("""COMPUTED_VALUE"""),28307.0)</f>
        <v>28307</v>
      </c>
      <c r="B195" s="29">
        <f>IFERROR(__xludf.DUMMYFUNCTION("""COMPUTED_VALUE"""),263.268)</f>
        <v>263.268</v>
      </c>
      <c r="C195" s="23"/>
      <c r="D195" s="26"/>
      <c r="E195" s="25"/>
      <c r="N195" s="11">
        <f t="shared" si="1"/>
        <v>28307</v>
      </c>
      <c r="O195" s="9">
        <f t="shared" si="2"/>
        <v>2.420398074</v>
      </c>
    </row>
    <row r="196">
      <c r="A196" s="28">
        <f>IFERROR(__xludf.DUMMYFUNCTION("""COMPUTED_VALUE"""),28216.0)</f>
        <v>28216</v>
      </c>
      <c r="B196" s="29">
        <f>IFERROR(__xludf.DUMMYFUNCTION("""COMPUTED_VALUE"""),253.749)</f>
        <v>253.749</v>
      </c>
      <c r="C196" s="23"/>
      <c r="D196" s="26"/>
      <c r="E196" s="25"/>
      <c r="N196" s="11">
        <f t="shared" si="1"/>
        <v>28216</v>
      </c>
      <c r="O196" s="9">
        <f t="shared" si="2"/>
        <v>2.404404339</v>
      </c>
    </row>
    <row r="197">
      <c r="A197" s="28">
        <f>IFERROR(__xludf.DUMMYFUNCTION("""COMPUTED_VALUE"""),28126.0)</f>
        <v>28126</v>
      </c>
      <c r="B197" s="29">
        <f>IFERROR(__xludf.DUMMYFUNCTION("""COMPUTED_VALUE"""),243.278)</f>
        <v>243.278</v>
      </c>
      <c r="C197" s="23"/>
      <c r="D197" s="26"/>
      <c r="E197" s="25"/>
      <c r="N197" s="11">
        <f t="shared" si="1"/>
        <v>28126</v>
      </c>
      <c r="O197" s="9">
        <f t="shared" si="2"/>
        <v>2.386102837</v>
      </c>
    </row>
    <row r="198">
      <c r="A198" s="28">
        <f>IFERROR(__xludf.DUMMYFUNCTION("""COMPUTED_VALUE"""),28034.0)</f>
        <v>28034</v>
      </c>
      <c r="B198" s="29">
        <f>IFERROR(__xludf.DUMMYFUNCTION("""COMPUTED_VALUE"""),230.244)</f>
        <v>230.244</v>
      </c>
      <c r="C198" s="23"/>
      <c r="D198" s="26"/>
      <c r="E198" s="25"/>
      <c r="N198" s="11">
        <f t="shared" si="1"/>
        <v>28034</v>
      </c>
      <c r="O198" s="9">
        <f t="shared" si="2"/>
        <v>2.362188322</v>
      </c>
    </row>
    <row r="199">
      <c r="A199" s="28">
        <f>IFERROR(__xludf.DUMMYFUNCTION("""COMPUTED_VALUE"""),27942.0)</f>
        <v>27942</v>
      </c>
      <c r="B199" s="29">
        <f>IFERROR(__xludf.DUMMYFUNCTION("""COMPUTED_VALUE"""),222.627)</f>
        <v>222.627</v>
      </c>
      <c r="C199" s="23"/>
      <c r="D199" s="26"/>
      <c r="E199" s="25"/>
      <c r="N199" s="11">
        <f t="shared" si="1"/>
        <v>27942</v>
      </c>
      <c r="O199" s="9">
        <f t="shared" si="2"/>
        <v>2.347577834</v>
      </c>
    </row>
    <row r="200">
      <c r="A200" s="28">
        <f>IFERROR(__xludf.DUMMYFUNCTION("""COMPUTED_VALUE"""),27851.0)</f>
        <v>27851</v>
      </c>
      <c r="B200" s="29">
        <f>IFERROR(__xludf.DUMMYFUNCTION("""COMPUTED_VALUE"""),215.008)</f>
        <v>215.008</v>
      </c>
      <c r="C200" s="23"/>
      <c r="D200" s="26"/>
      <c r="E200" s="25"/>
      <c r="N200" s="11">
        <f t="shared" si="1"/>
        <v>27851</v>
      </c>
      <c r="O200" s="9">
        <f t="shared" si="2"/>
        <v>2.332454619</v>
      </c>
    </row>
    <row r="201">
      <c r="A201" s="28">
        <f>IFERROR(__xludf.DUMMYFUNCTION("""COMPUTED_VALUE"""),27760.0)</f>
        <v>27760</v>
      </c>
      <c r="B201" s="29">
        <f>IFERROR(__xludf.DUMMYFUNCTION("""COMPUTED_VALUE"""),209.504)</f>
        <v>209.504</v>
      </c>
      <c r="C201" s="23"/>
      <c r="D201" s="26"/>
      <c r="E201" s="25"/>
      <c r="N201" s="11">
        <f t="shared" si="1"/>
        <v>27760</v>
      </c>
      <c r="O201" s="9">
        <f t="shared" si="2"/>
        <v>2.321192319</v>
      </c>
    </row>
    <row r="202">
      <c r="A202" s="28">
        <f>IFERROR(__xludf.DUMMYFUNCTION("""COMPUTED_VALUE"""),27668.0)</f>
        <v>27668</v>
      </c>
      <c r="B202" s="29">
        <f>IFERROR(__xludf.DUMMYFUNCTION("""COMPUTED_VALUE"""),202.883)</f>
        <v>202.883</v>
      </c>
      <c r="C202" s="23"/>
      <c r="D202" s="26"/>
      <c r="E202" s="25"/>
      <c r="N202" s="11">
        <f t="shared" si="1"/>
        <v>27668</v>
      </c>
      <c r="O202" s="9">
        <f t="shared" si="2"/>
        <v>2.307245658</v>
      </c>
    </row>
    <row r="203">
      <c r="A203" s="28">
        <f>IFERROR(__xludf.DUMMYFUNCTION("""COMPUTED_VALUE"""),27576.0)</f>
        <v>27576</v>
      </c>
      <c r="B203" s="29">
        <f>IFERROR(__xludf.DUMMYFUNCTION("""COMPUTED_VALUE"""),197.807)</f>
        <v>197.807</v>
      </c>
      <c r="C203" s="23"/>
      <c r="D203" s="26"/>
      <c r="E203" s="25"/>
      <c r="N203" s="11">
        <f t="shared" si="1"/>
        <v>27576</v>
      </c>
      <c r="O203" s="9">
        <f t="shared" si="2"/>
        <v>2.296241656</v>
      </c>
    </row>
    <row r="204">
      <c r="A204" s="28">
        <f>IFERROR(__xludf.DUMMYFUNCTION("""COMPUTED_VALUE"""),27485.0)</f>
        <v>27485</v>
      </c>
      <c r="B204" s="29">
        <f>IFERROR(__xludf.DUMMYFUNCTION("""COMPUTED_VALUE"""),193.276)</f>
        <v>193.276</v>
      </c>
      <c r="C204" s="23"/>
      <c r="D204" s="26"/>
      <c r="E204" s="25"/>
      <c r="N204" s="11">
        <f t="shared" si="1"/>
        <v>27485</v>
      </c>
      <c r="O204" s="9">
        <f t="shared" si="2"/>
        <v>2.286177929</v>
      </c>
    </row>
    <row r="205">
      <c r="A205" s="28">
        <f>IFERROR(__xludf.DUMMYFUNCTION("""COMPUTED_VALUE"""),27395.0)</f>
        <v>27395</v>
      </c>
      <c r="B205" s="29">
        <f>IFERROR(__xludf.DUMMYFUNCTION("""COMPUTED_VALUE"""),193.137)</f>
        <v>193.137</v>
      </c>
      <c r="C205" s="23"/>
      <c r="D205" s="26"/>
      <c r="E205" s="25"/>
      <c r="N205" s="11">
        <f t="shared" si="1"/>
        <v>27395</v>
      </c>
      <c r="O205" s="9">
        <f t="shared" si="2"/>
        <v>2.285865481</v>
      </c>
    </row>
    <row r="206">
      <c r="A206" s="28">
        <f>IFERROR(__xludf.DUMMYFUNCTION("""COMPUTED_VALUE"""),27303.0)</f>
        <v>27303</v>
      </c>
      <c r="B206" s="29">
        <f>IFERROR(__xludf.DUMMYFUNCTION("""COMPUTED_VALUE"""),197.569)</f>
        <v>197.569</v>
      </c>
      <c r="C206" s="23"/>
      <c r="D206" s="26"/>
      <c r="E206" s="25"/>
      <c r="N206" s="11">
        <f t="shared" si="1"/>
        <v>27303</v>
      </c>
      <c r="O206" s="9">
        <f t="shared" si="2"/>
        <v>2.295718802</v>
      </c>
    </row>
    <row r="207">
      <c r="A207" s="28">
        <f>IFERROR(__xludf.DUMMYFUNCTION("""COMPUTED_VALUE"""),27211.0)</f>
        <v>27211</v>
      </c>
      <c r="B207" s="29">
        <f>IFERROR(__xludf.DUMMYFUNCTION("""COMPUTED_VALUE"""),194.485)</f>
        <v>194.485</v>
      </c>
      <c r="C207" s="23"/>
      <c r="D207" s="26"/>
      <c r="E207" s="25"/>
      <c r="N207" s="11">
        <f t="shared" si="1"/>
        <v>27211</v>
      </c>
      <c r="O207" s="9">
        <f t="shared" si="2"/>
        <v>2.288886111</v>
      </c>
    </row>
    <row r="208">
      <c r="A208" s="28">
        <f>IFERROR(__xludf.DUMMYFUNCTION("""COMPUTED_VALUE"""),27120.0)</f>
        <v>27120</v>
      </c>
      <c r="B208" s="29">
        <f>IFERROR(__xludf.DUMMYFUNCTION("""COMPUTED_VALUE"""),188.818)</f>
        <v>188.818</v>
      </c>
      <c r="C208" s="23"/>
      <c r="D208" s="26"/>
      <c r="E208" s="25"/>
      <c r="N208" s="11">
        <f t="shared" si="1"/>
        <v>27120</v>
      </c>
      <c r="O208" s="9">
        <f t="shared" si="2"/>
        <v>2.276043393</v>
      </c>
    </row>
    <row r="209">
      <c r="A209" s="28">
        <f>IFERROR(__xludf.DUMMYFUNCTION("""COMPUTED_VALUE"""),27030.0)</f>
        <v>27030</v>
      </c>
      <c r="B209" s="29">
        <f>IFERROR(__xludf.DUMMYFUNCTION("""COMPUTED_VALUE"""),183.404)</f>
        <v>183.404</v>
      </c>
      <c r="C209" s="23"/>
      <c r="D209" s="26"/>
      <c r="E209" s="25"/>
      <c r="N209" s="11">
        <f t="shared" si="1"/>
        <v>27030</v>
      </c>
      <c r="O209" s="9">
        <f t="shared" si="2"/>
        <v>2.263408803</v>
      </c>
    </row>
    <row r="210">
      <c r="A210" s="28">
        <f>IFERROR(__xludf.DUMMYFUNCTION("""COMPUTED_VALUE"""),26938.0)</f>
        <v>26938</v>
      </c>
      <c r="B210" s="29">
        <f>IFERROR(__xludf.DUMMYFUNCTION("""COMPUTED_VALUE"""),180.142)</f>
        <v>180.142</v>
      </c>
      <c r="C210" s="23"/>
      <c r="D210" s="26"/>
      <c r="E210" s="25"/>
      <c r="N210" s="11">
        <f t="shared" si="1"/>
        <v>26938</v>
      </c>
      <c r="O210" s="9">
        <f t="shared" si="2"/>
        <v>2.25561498</v>
      </c>
    </row>
    <row r="211">
      <c r="A211" s="28">
        <f>IFERROR(__xludf.DUMMYFUNCTION("""COMPUTED_VALUE"""),26846.0)</f>
        <v>26846</v>
      </c>
      <c r="B211" s="29">
        <f>IFERROR(__xludf.DUMMYFUNCTION("""COMPUTED_VALUE"""),176.642)</f>
        <v>176.642</v>
      </c>
      <c r="C211" s="23"/>
      <c r="D211" s="26"/>
      <c r="E211" s="25"/>
      <c r="N211" s="11">
        <f t="shared" si="1"/>
        <v>26846</v>
      </c>
      <c r="O211" s="9">
        <f t="shared" si="2"/>
        <v>2.247093973</v>
      </c>
    </row>
    <row r="212">
      <c r="A212" s="28">
        <f>IFERROR(__xludf.DUMMYFUNCTION("""COMPUTED_VALUE"""),26755.0)</f>
        <v>26755</v>
      </c>
      <c r="B212" s="29">
        <f>IFERROR(__xludf.DUMMYFUNCTION("""COMPUTED_VALUE"""),171.283)</f>
        <v>171.283</v>
      </c>
      <c r="C212" s="23"/>
      <c r="D212" s="26"/>
      <c r="E212" s="25"/>
      <c r="N212" s="11">
        <f t="shared" si="1"/>
        <v>26755</v>
      </c>
      <c r="O212" s="9">
        <f t="shared" si="2"/>
        <v>2.233714261</v>
      </c>
    </row>
    <row r="213">
      <c r="A213" s="28">
        <f>IFERROR(__xludf.DUMMYFUNCTION("""COMPUTED_VALUE"""),26665.0)</f>
        <v>26665</v>
      </c>
      <c r="B213" s="29">
        <f>IFERROR(__xludf.DUMMYFUNCTION("""COMPUTED_VALUE"""),162.839)</f>
        <v>162.839</v>
      </c>
      <c r="C213" s="23"/>
      <c r="D213" s="26"/>
      <c r="E213" s="25"/>
      <c r="N213" s="11">
        <f t="shared" si="1"/>
        <v>26665</v>
      </c>
      <c r="O213" s="9">
        <f t="shared" si="2"/>
        <v>2.211758427</v>
      </c>
    </row>
    <row r="214">
      <c r="A214" s="28">
        <f>IFERROR(__xludf.DUMMYFUNCTION("""COMPUTED_VALUE"""),26573.0)</f>
        <v>26573</v>
      </c>
      <c r="B214" s="29">
        <f>IFERROR(__xludf.DUMMYFUNCTION("""COMPUTED_VALUE"""),154.967)</f>
        <v>154.967</v>
      </c>
      <c r="C214" s="23"/>
      <c r="D214" s="26"/>
      <c r="E214" s="25"/>
      <c r="N214" s="11">
        <f t="shared" si="1"/>
        <v>26573</v>
      </c>
      <c r="O214" s="9">
        <f t="shared" si="2"/>
        <v>2.190239226</v>
      </c>
    </row>
    <row r="215">
      <c r="A215" s="28">
        <f>IFERROR(__xludf.DUMMYFUNCTION("""COMPUTED_VALUE"""),26481.0)</f>
        <v>26481</v>
      </c>
      <c r="B215" s="29">
        <f>IFERROR(__xludf.DUMMYFUNCTION("""COMPUTED_VALUE"""),147.015)</f>
        <v>147.015</v>
      </c>
      <c r="C215" s="23"/>
      <c r="D215" s="26"/>
      <c r="E215" s="25"/>
      <c r="N215" s="11">
        <f t="shared" si="1"/>
        <v>26481</v>
      </c>
      <c r="O215" s="9">
        <f t="shared" si="2"/>
        <v>2.167361648</v>
      </c>
    </row>
    <row r="216">
      <c r="A216" s="28">
        <f>IFERROR(__xludf.DUMMYFUNCTION("""COMPUTED_VALUE"""),26390.0)</f>
        <v>26390</v>
      </c>
      <c r="B216" s="29">
        <f>IFERROR(__xludf.DUMMYFUNCTION("""COMPUTED_VALUE"""),143.976)</f>
        <v>143.976</v>
      </c>
      <c r="C216" s="23"/>
      <c r="D216" s="26"/>
      <c r="E216" s="25"/>
      <c r="N216" s="11">
        <f t="shared" si="1"/>
        <v>26390</v>
      </c>
      <c r="O216" s="9">
        <f t="shared" si="2"/>
        <v>2.158290104</v>
      </c>
    </row>
    <row r="217">
      <c r="A217" s="28">
        <f>IFERROR(__xludf.DUMMYFUNCTION("""COMPUTED_VALUE"""),26299.0)</f>
        <v>26299</v>
      </c>
      <c r="B217" s="29">
        <f>IFERROR(__xludf.DUMMYFUNCTION("""COMPUTED_VALUE"""),140.585)</f>
        <v>140.585</v>
      </c>
      <c r="C217" s="23"/>
      <c r="D217" s="26"/>
      <c r="E217" s="25"/>
      <c r="N217" s="11">
        <f t="shared" si="1"/>
        <v>26299</v>
      </c>
      <c r="O217" s="9">
        <f t="shared" si="2"/>
        <v>2.147938985</v>
      </c>
    </row>
    <row r="218">
      <c r="A218" s="28">
        <f>IFERROR(__xludf.DUMMYFUNCTION("""COMPUTED_VALUE"""),26207.0)</f>
        <v>26207</v>
      </c>
      <c r="B218" s="29">
        <f>IFERROR(__xludf.DUMMYFUNCTION("""COMPUTED_VALUE"""),134.711)</f>
        <v>134.711</v>
      </c>
      <c r="C218" s="23"/>
      <c r="D218" s="26"/>
      <c r="E218" s="25"/>
      <c r="N218" s="11">
        <f t="shared" si="1"/>
        <v>26207</v>
      </c>
      <c r="O218" s="9">
        <f t="shared" si="2"/>
        <v>2.12940306</v>
      </c>
    </row>
    <row r="219">
      <c r="A219" s="28">
        <f>IFERROR(__xludf.DUMMYFUNCTION("""COMPUTED_VALUE"""),26115.0)</f>
        <v>26115</v>
      </c>
      <c r="B219" s="29">
        <f>IFERROR(__xludf.DUMMYFUNCTION("""COMPUTED_VALUE"""),131.19)</f>
        <v>131.19</v>
      </c>
      <c r="C219" s="23"/>
      <c r="D219" s="26"/>
      <c r="E219" s="25"/>
      <c r="N219" s="11">
        <f t="shared" si="1"/>
        <v>26115</v>
      </c>
      <c r="O219" s="9">
        <f t="shared" si="2"/>
        <v>2.117900732</v>
      </c>
    </row>
    <row r="220">
      <c r="A220" s="28">
        <f>IFERROR(__xludf.DUMMYFUNCTION("""COMPUTED_VALUE"""),26024.0)</f>
        <v>26024</v>
      </c>
      <c r="B220" s="29">
        <f>IFERROR(__xludf.DUMMYFUNCTION("""COMPUTED_VALUE"""),129.481)</f>
        <v>129.481</v>
      </c>
      <c r="C220" s="23"/>
      <c r="D220" s="26"/>
      <c r="E220" s="25"/>
      <c r="N220" s="11">
        <f t="shared" si="1"/>
        <v>26024</v>
      </c>
      <c r="O220" s="9">
        <f t="shared" si="2"/>
        <v>2.112206045</v>
      </c>
    </row>
    <row r="221">
      <c r="A221" s="28">
        <f>IFERROR(__xludf.DUMMYFUNCTION("""COMPUTED_VALUE"""),25934.0)</f>
        <v>25934</v>
      </c>
      <c r="B221" s="29">
        <f>IFERROR(__xludf.DUMMYFUNCTION("""COMPUTED_VALUE"""),126.281)</f>
        <v>126.281</v>
      </c>
      <c r="C221" s="23"/>
      <c r="D221" s="26"/>
      <c r="E221" s="25"/>
      <c r="N221" s="11">
        <f t="shared" si="1"/>
        <v>25934</v>
      </c>
      <c r="O221" s="9">
        <f t="shared" si="2"/>
        <v>2.101338012</v>
      </c>
    </row>
    <row r="222">
      <c r="A222" s="28">
        <f>IFERROR(__xludf.DUMMYFUNCTION("""COMPUTED_VALUE"""),25842.0)</f>
        <v>25842</v>
      </c>
      <c r="B222" s="29">
        <f>IFERROR(__xludf.DUMMYFUNCTION("""COMPUTED_VALUE"""),123.52)</f>
        <v>123.52</v>
      </c>
      <c r="C222" s="23"/>
      <c r="D222" s="26"/>
      <c r="E222" s="25"/>
      <c r="N222" s="11">
        <f t="shared" si="1"/>
        <v>25842</v>
      </c>
      <c r="O222" s="9">
        <f t="shared" si="2"/>
        <v>2.091737283</v>
      </c>
    </row>
    <row r="223">
      <c r="A223" s="28">
        <f>IFERROR(__xludf.DUMMYFUNCTION("""COMPUTED_VALUE"""),25750.0)</f>
        <v>25750</v>
      </c>
      <c r="B223" s="29">
        <f>IFERROR(__xludf.DUMMYFUNCTION("""COMPUTED_VALUE"""),126.255)</f>
        <v>126.255</v>
      </c>
      <c r="C223" s="23"/>
      <c r="D223" s="26"/>
      <c r="E223" s="25"/>
      <c r="N223" s="11">
        <f t="shared" si="1"/>
        <v>25750</v>
      </c>
      <c r="O223" s="9">
        <f t="shared" si="2"/>
        <v>2.101248586</v>
      </c>
    </row>
    <row r="224">
      <c r="A224" s="28">
        <f>IFERROR(__xludf.DUMMYFUNCTION("""COMPUTED_VALUE"""),25659.0)</f>
        <v>25659</v>
      </c>
      <c r="B224" s="29">
        <f>IFERROR(__xludf.DUMMYFUNCTION("""COMPUTED_VALUE"""),125.008)</f>
        <v>125.008</v>
      </c>
      <c r="C224" s="23"/>
      <c r="D224" s="26"/>
      <c r="E224" s="25"/>
      <c r="N224" s="11">
        <f t="shared" si="1"/>
        <v>25659</v>
      </c>
      <c r="O224" s="9">
        <f t="shared" si="2"/>
        <v>2.096937807</v>
      </c>
    </row>
    <row r="225">
      <c r="A225" s="28">
        <f>IFERROR(__xludf.DUMMYFUNCTION("""COMPUTED_VALUE"""),25569.0)</f>
        <v>25569</v>
      </c>
      <c r="B225" s="29">
        <f>IFERROR(__xludf.DUMMYFUNCTION("""COMPUTED_VALUE"""),123.796)</f>
        <v>123.796</v>
      </c>
      <c r="C225" s="23"/>
      <c r="D225" s="26"/>
      <c r="E225" s="25"/>
      <c r="N225" s="11">
        <f t="shared" si="1"/>
        <v>25569</v>
      </c>
      <c r="O225" s="9">
        <f t="shared" si="2"/>
        <v>2.092706612</v>
      </c>
    </row>
    <row r="226">
      <c r="A226" s="28">
        <f>IFERROR(__xludf.DUMMYFUNCTION("""COMPUTED_VALUE"""),25477.0)</f>
        <v>25477</v>
      </c>
      <c r="B226" s="29">
        <f>IFERROR(__xludf.DUMMYFUNCTION("""COMPUTED_VALUE"""),123.284)</f>
        <v>123.284</v>
      </c>
      <c r="C226" s="23"/>
      <c r="D226" s="26"/>
      <c r="E226" s="25"/>
      <c r="N226" s="11">
        <f t="shared" si="1"/>
        <v>25477</v>
      </c>
      <c r="O226" s="9">
        <f t="shared" si="2"/>
        <v>2.090906717</v>
      </c>
    </row>
    <row r="227">
      <c r="A227" s="28">
        <f>IFERROR(__xludf.DUMMYFUNCTION("""COMPUTED_VALUE"""),25385.0)</f>
        <v>25385</v>
      </c>
      <c r="B227" s="29">
        <f>IFERROR(__xludf.DUMMYFUNCTION("""COMPUTED_VALUE"""),122.408)</f>
        <v>122.408</v>
      </c>
      <c r="C227" s="23"/>
      <c r="D227" s="26"/>
      <c r="E227" s="25"/>
      <c r="N227" s="11">
        <f t="shared" si="1"/>
        <v>25385</v>
      </c>
      <c r="O227" s="9">
        <f t="shared" si="2"/>
        <v>2.087809802</v>
      </c>
    </row>
    <row r="228">
      <c r="A228" s="28">
        <f>IFERROR(__xludf.DUMMYFUNCTION("""COMPUTED_VALUE"""),25294.0)</f>
        <v>25294</v>
      </c>
      <c r="B228" s="29">
        <f>IFERROR(__xludf.DUMMYFUNCTION("""COMPUTED_VALUE"""),118.368)</f>
        <v>118.368</v>
      </c>
      <c r="C228" s="23"/>
      <c r="D228" s="26"/>
      <c r="E228" s="25"/>
      <c r="N228" s="11">
        <f t="shared" si="1"/>
        <v>25294</v>
      </c>
      <c r="O228" s="9">
        <f t="shared" si="2"/>
        <v>2.07323431</v>
      </c>
    </row>
    <row r="229">
      <c r="A229" s="28">
        <f>IFERROR(__xludf.DUMMYFUNCTION("""COMPUTED_VALUE"""),25204.0)</f>
        <v>25204</v>
      </c>
      <c r="B229" s="29">
        <f>IFERROR(__xludf.DUMMYFUNCTION("""COMPUTED_VALUE"""),115.993)</f>
        <v>115.993</v>
      </c>
      <c r="C229" s="23"/>
      <c r="D229" s="26"/>
      <c r="E229" s="25"/>
      <c r="N229" s="11">
        <f t="shared" si="1"/>
        <v>25204</v>
      </c>
      <c r="O229" s="9">
        <f t="shared" si="2"/>
        <v>2.064431781</v>
      </c>
    </row>
    <row r="230">
      <c r="A230" s="28">
        <f>IFERROR(__xludf.DUMMYFUNCTION("""COMPUTED_VALUE"""),25112.0)</f>
        <v>25112</v>
      </c>
      <c r="B230" s="29">
        <f>IFERROR(__xludf.DUMMYFUNCTION("""COMPUTED_VALUE"""),112.182)</f>
        <v>112.182</v>
      </c>
      <c r="C230" s="23"/>
      <c r="D230" s="26"/>
      <c r="E230" s="25"/>
      <c r="N230" s="11">
        <f t="shared" si="1"/>
        <v>25112</v>
      </c>
      <c r="O230" s="9">
        <f t="shared" si="2"/>
        <v>2.049923178</v>
      </c>
    </row>
    <row r="231">
      <c r="A231" s="28">
        <f>IFERROR(__xludf.DUMMYFUNCTION("""COMPUTED_VALUE"""),25020.0)</f>
        <v>25020</v>
      </c>
      <c r="B231" s="29">
        <f>IFERROR(__xludf.DUMMYFUNCTION("""COMPUTED_VALUE"""),107.609)</f>
        <v>107.609</v>
      </c>
      <c r="C231" s="23"/>
      <c r="D231" s="26"/>
      <c r="E231" s="25"/>
      <c r="N231" s="11">
        <f t="shared" si="1"/>
        <v>25020</v>
      </c>
      <c r="O231" s="9">
        <f t="shared" si="2"/>
        <v>2.031848596</v>
      </c>
    </row>
    <row r="232">
      <c r="A232" s="28">
        <f>IFERROR(__xludf.DUMMYFUNCTION("""COMPUTED_VALUE"""),24929.0)</f>
        <v>24929</v>
      </c>
      <c r="B232" s="29">
        <f>IFERROR(__xludf.DUMMYFUNCTION("""COMPUTED_VALUE"""),105.299)</f>
        <v>105.299</v>
      </c>
      <c r="C232" s="23"/>
      <c r="D232" s="26"/>
      <c r="E232" s="25"/>
      <c r="N232" s="11">
        <f t="shared" si="1"/>
        <v>24929</v>
      </c>
      <c r="O232" s="9">
        <f t="shared" si="2"/>
        <v>2.022424247</v>
      </c>
    </row>
    <row r="233">
      <c r="A233" s="28">
        <f>IFERROR(__xludf.DUMMYFUNCTION("""COMPUTED_VALUE"""),24838.0)</f>
        <v>24838</v>
      </c>
      <c r="B233" s="29">
        <f>IFERROR(__xludf.DUMMYFUNCTION("""COMPUTED_VALUE"""),105.582)</f>
        <v>105.582</v>
      </c>
      <c r="C233" s="23"/>
      <c r="D233" s="26"/>
      <c r="E233" s="25"/>
      <c r="N233" s="11">
        <f t="shared" si="1"/>
        <v>24838</v>
      </c>
      <c r="O233" s="9">
        <f t="shared" si="2"/>
        <v>2.023589884</v>
      </c>
    </row>
    <row r="234">
      <c r="A234" s="28">
        <f>IFERROR(__xludf.DUMMYFUNCTION("""COMPUTED_VALUE"""),24746.0)</f>
        <v>24746</v>
      </c>
      <c r="B234" s="29">
        <f>IFERROR(__xludf.DUMMYFUNCTION("""COMPUTED_VALUE"""),101.744)</f>
        <v>101.744</v>
      </c>
      <c r="C234" s="23"/>
      <c r="D234" s="26"/>
      <c r="E234" s="25"/>
      <c r="N234" s="11">
        <f t="shared" si="1"/>
        <v>24746</v>
      </c>
      <c r="O234" s="9">
        <f t="shared" si="2"/>
        <v>2.007508808</v>
      </c>
    </row>
    <row r="235">
      <c r="A235" s="28">
        <f>IFERROR(__xludf.DUMMYFUNCTION("""COMPUTED_VALUE"""),24654.0)</f>
        <v>24654</v>
      </c>
      <c r="B235" s="29">
        <f>IFERROR(__xludf.DUMMYFUNCTION("""COMPUTED_VALUE"""),98.785)</f>
        <v>98.785</v>
      </c>
      <c r="C235" s="23"/>
      <c r="D235" s="26"/>
      <c r="E235" s="25"/>
      <c r="N235" s="11">
        <f t="shared" si="1"/>
        <v>24654</v>
      </c>
      <c r="O235" s="9">
        <f t="shared" si="2"/>
        <v>1.994691004</v>
      </c>
    </row>
    <row r="236">
      <c r="A236" s="28">
        <f>IFERROR(__xludf.DUMMYFUNCTION("""COMPUTED_VALUE"""),24563.0)</f>
        <v>24563</v>
      </c>
      <c r="B236" s="29">
        <f>IFERROR(__xludf.DUMMYFUNCTION("""COMPUTED_VALUE"""),98.297)</f>
        <v>98.297</v>
      </c>
      <c r="C236" s="23"/>
      <c r="D236" s="26"/>
      <c r="E236" s="25"/>
      <c r="N236" s="11">
        <f t="shared" si="1"/>
        <v>24563</v>
      </c>
      <c r="O236" s="9">
        <f t="shared" si="2"/>
        <v>1.992540263</v>
      </c>
    </row>
    <row r="237">
      <c r="A237" s="28">
        <f>IFERROR(__xludf.DUMMYFUNCTION("""COMPUTED_VALUE"""),24473.0)</f>
        <v>24473</v>
      </c>
      <c r="B237" s="29">
        <f>IFERROR(__xludf.DUMMYFUNCTION("""COMPUTED_VALUE"""),97.999)</f>
        <v>97.999</v>
      </c>
      <c r="C237" s="23"/>
      <c r="D237" s="26"/>
      <c r="E237" s="25"/>
      <c r="N237" s="11">
        <f t="shared" si="1"/>
        <v>24473</v>
      </c>
      <c r="O237" s="9">
        <f t="shared" si="2"/>
        <v>1.991221644</v>
      </c>
    </row>
    <row r="238">
      <c r="A238" s="28">
        <f>IFERROR(__xludf.DUMMYFUNCTION("""COMPUTED_VALUE"""),24381.0)</f>
        <v>24381</v>
      </c>
      <c r="B238" s="29">
        <f>IFERROR(__xludf.DUMMYFUNCTION("""COMPUTED_VALUE"""),99.163)</f>
        <v>99.163</v>
      </c>
      <c r="C238" s="23"/>
      <c r="D238" s="26"/>
      <c r="E238" s="25"/>
      <c r="N238" s="11">
        <f t="shared" si="1"/>
        <v>24381</v>
      </c>
      <c r="O238" s="9">
        <f t="shared" si="2"/>
        <v>1.996349657</v>
      </c>
    </row>
    <row r="239">
      <c r="A239" s="28">
        <f>IFERROR(__xludf.DUMMYFUNCTION("""COMPUTED_VALUE"""),24289.0)</f>
        <v>24289</v>
      </c>
      <c r="B239" s="29">
        <f>IFERROR(__xludf.DUMMYFUNCTION("""COMPUTED_VALUE"""),98.325)</f>
        <v>98.325</v>
      </c>
      <c r="C239" s="23"/>
      <c r="D239" s="26"/>
      <c r="E239" s="25"/>
      <c r="N239" s="11">
        <f t="shared" si="1"/>
        <v>24289</v>
      </c>
      <c r="O239" s="9">
        <f t="shared" si="2"/>
        <v>1.992663955</v>
      </c>
    </row>
    <row r="240">
      <c r="A240" s="28">
        <f>IFERROR(__xludf.DUMMYFUNCTION("""COMPUTED_VALUE"""),24198.0)</f>
        <v>24198</v>
      </c>
      <c r="B240" s="29">
        <f>IFERROR(__xludf.DUMMYFUNCTION("""COMPUTED_VALUE"""),96.823)</f>
        <v>96.823</v>
      </c>
      <c r="C240" s="23"/>
      <c r="D240" s="26"/>
      <c r="E240" s="25"/>
      <c r="N240" s="11">
        <f t="shared" si="1"/>
        <v>24198</v>
      </c>
      <c r="O240" s="9">
        <f t="shared" si="2"/>
        <v>1.985978535</v>
      </c>
    </row>
    <row r="241">
      <c r="A241" s="28">
        <f>IFERROR(__xludf.DUMMYFUNCTION("""COMPUTED_VALUE"""),24108.0)</f>
        <v>24108</v>
      </c>
      <c r="B241" s="29">
        <f>IFERROR(__xludf.DUMMYFUNCTION("""COMPUTED_VALUE"""),94.382)</f>
        <v>94.382</v>
      </c>
      <c r="C241" s="23"/>
      <c r="D241" s="26"/>
      <c r="E241" s="25"/>
      <c r="N241" s="11">
        <f t="shared" si="1"/>
        <v>24108</v>
      </c>
      <c r="O241" s="9">
        <f t="shared" si="2"/>
        <v>1.974889176</v>
      </c>
    </row>
    <row r="242">
      <c r="A242" s="28">
        <f>IFERROR(__xludf.DUMMYFUNCTION("""COMPUTED_VALUE"""),24016.0)</f>
        <v>24016</v>
      </c>
      <c r="B242" s="29">
        <f>IFERROR(__xludf.DUMMYFUNCTION("""COMPUTED_VALUE"""),90.645)</f>
        <v>90.645</v>
      </c>
      <c r="C242" s="23"/>
      <c r="D242" s="26"/>
      <c r="E242" s="25"/>
      <c r="N242" s="11">
        <f t="shared" si="1"/>
        <v>24016</v>
      </c>
      <c r="O242" s="9">
        <f t="shared" si="2"/>
        <v>1.957343853</v>
      </c>
    </row>
    <row r="243">
      <c r="A243" s="28">
        <f>IFERROR(__xludf.DUMMYFUNCTION("""COMPUTED_VALUE"""),23924.0)</f>
        <v>23924</v>
      </c>
      <c r="B243" s="29">
        <f>IFERROR(__xludf.DUMMYFUNCTION("""COMPUTED_VALUE"""),86.686)</f>
        <v>86.686</v>
      </c>
      <c r="C243" s="23"/>
      <c r="D243" s="26"/>
      <c r="E243" s="25"/>
      <c r="N243" s="11">
        <f t="shared" si="1"/>
        <v>23924</v>
      </c>
      <c r="O243" s="9">
        <f t="shared" si="2"/>
        <v>1.937948964</v>
      </c>
    </row>
    <row r="244">
      <c r="A244" s="28">
        <f>IFERROR(__xludf.DUMMYFUNCTION("""COMPUTED_VALUE"""),23833.0)</f>
        <v>23833</v>
      </c>
      <c r="B244" s="29">
        <f>IFERROR(__xludf.DUMMYFUNCTION("""COMPUTED_VALUE"""),83.382)</f>
        <v>83.382</v>
      </c>
      <c r="C244" s="23"/>
      <c r="D244" s="26"/>
      <c r="E244" s="25"/>
      <c r="N244" s="11">
        <f t="shared" si="1"/>
        <v>23833</v>
      </c>
      <c r="O244" s="9">
        <f t="shared" si="2"/>
        <v>1.921072308</v>
      </c>
    </row>
    <row r="245">
      <c r="A245" s="28">
        <f>IFERROR(__xludf.DUMMYFUNCTION("""COMPUTED_VALUE"""),23743.0)</f>
        <v>23743</v>
      </c>
      <c r="B245" s="29">
        <f>IFERROR(__xludf.DUMMYFUNCTION("""COMPUTED_VALUE"""),80.23)</f>
        <v>80.23</v>
      </c>
      <c r="C245" s="23"/>
      <c r="D245" s="26"/>
      <c r="E245" s="25"/>
      <c r="N245" s="11">
        <f t="shared" si="1"/>
        <v>23743</v>
      </c>
      <c r="O245" s="9">
        <f t="shared" si="2"/>
        <v>1.904336792</v>
      </c>
    </row>
    <row r="246">
      <c r="A246" s="28">
        <f>IFERROR(__xludf.DUMMYFUNCTION("""COMPUTED_VALUE"""),23651.0)</f>
        <v>23651</v>
      </c>
      <c r="B246" s="29">
        <f>IFERROR(__xludf.DUMMYFUNCTION("""COMPUTED_VALUE"""),75.324)</f>
        <v>75.324</v>
      </c>
      <c r="C246" s="23"/>
      <c r="D246" s="26"/>
      <c r="E246" s="25"/>
      <c r="N246" s="11">
        <f t="shared" si="1"/>
        <v>23651</v>
      </c>
      <c r="O246" s="9">
        <f t="shared" si="2"/>
        <v>1.876933375</v>
      </c>
    </row>
    <row r="247">
      <c r="A247" s="28">
        <f>IFERROR(__xludf.DUMMYFUNCTION("""COMPUTED_VALUE"""),23559.0)</f>
        <v>23559</v>
      </c>
      <c r="B247" s="29">
        <f>IFERROR(__xludf.DUMMYFUNCTION("""COMPUTED_VALUE"""),73.406)</f>
        <v>73.406</v>
      </c>
      <c r="C247" s="23"/>
      <c r="D247" s="26"/>
      <c r="E247" s="25"/>
      <c r="N247" s="11">
        <f t="shared" si="1"/>
        <v>23559</v>
      </c>
      <c r="O247" s="9">
        <f t="shared" si="2"/>
        <v>1.865731559</v>
      </c>
    </row>
    <row r="248">
      <c r="A248" s="28">
        <f>IFERROR(__xludf.DUMMYFUNCTION("""COMPUTED_VALUE"""),23468.0)</f>
        <v>23468</v>
      </c>
      <c r="B248" s="29">
        <f>IFERROR(__xludf.DUMMYFUNCTION("""COMPUTED_VALUE"""),71.075)</f>
        <v>71.075</v>
      </c>
      <c r="C248" s="23"/>
      <c r="D248" s="26"/>
      <c r="E248" s="25"/>
      <c r="N248" s="11">
        <f t="shared" si="1"/>
        <v>23468</v>
      </c>
      <c r="O248" s="9">
        <f t="shared" si="2"/>
        <v>1.851716868</v>
      </c>
    </row>
    <row r="249">
      <c r="A249" s="28">
        <f>IFERROR(__xludf.DUMMYFUNCTION("""COMPUTED_VALUE"""),23377.0)</f>
        <v>23377</v>
      </c>
      <c r="B249" s="29">
        <f>IFERROR(__xludf.DUMMYFUNCTION("""COMPUTED_VALUE"""),69.113)</f>
        <v>69.113</v>
      </c>
      <c r="C249" s="23"/>
      <c r="D249" s="26"/>
      <c r="E249" s="25"/>
      <c r="N249" s="11">
        <f t="shared" si="1"/>
        <v>23377</v>
      </c>
      <c r="O249" s="9">
        <f t="shared" si="2"/>
        <v>1.839559745</v>
      </c>
    </row>
    <row r="250">
      <c r="A250" s="28">
        <f>IFERROR(__xludf.DUMMYFUNCTION("""COMPUTED_VALUE"""),23285.0)</f>
        <v>23285</v>
      </c>
      <c r="B250" s="29">
        <f>IFERROR(__xludf.DUMMYFUNCTION("""COMPUTED_VALUE"""),67.669)</f>
        <v>67.669</v>
      </c>
      <c r="C250" s="23"/>
      <c r="D250" s="26"/>
      <c r="E250" s="25"/>
      <c r="N250" s="11">
        <f t="shared" si="1"/>
        <v>23285</v>
      </c>
      <c r="O250" s="9">
        <f t="shared" si="2"/>
        <v>1.830389759</v>
      </c>
    </row>
    <row r="251">
      <c r="A251" s="28">
        <f>IFERROR(__xludf.DUMMYFUNCTION("""COMPUTED_VALUE"""),23193.0)</f>
        <v>23193</v>
      </c>
      <c r="B251" s="29">
        <f>IFERROR(__xludf.DUMMYFUNCTION("""COMPUTED_VALUE"""),65.712)</f>
        <v>65.712</v>
      </c>
      <c r="C251" s="23"/>
      <c r="D251" s="26"/>
      <c r="E251" s="25"/>
      <c r="N251" s="11">
        <f t="shared" si="1"/>
        <v>23193</v>
      </c>
      <c r="O251" s="9">
        <f t="shared" si="2"/>
        <v>1.817644686</v>
      </c>
    </row>
    <row r="252">
      <c r="A252" s="28">
        <f>IFERROR(__xludf.DUMMYFUNCTION("""COMPUTED_VALUE"""),23102.0)</f>
        <v>23102</v>
      </c>
      <c r="B252" s="29">
        <f>IFERROR(__xludf.DUMMYFUNCTION("""COMPUTED_VALUE"""),63.883)</f>
        <v>63.883</v>
      </c>
      <c r="C252" s="23"/>
      <c r="D252" s="26"/>
      <c r="E252" s="25"/>
      <c r="N252" s="11">
        <f t="shared" si="1"/>
        <v>23102</v>
      </c>
      <c r="O252" s="9">
        <f t="shared" si="2"/>
        <v>1.805385303</v>
      </c>
    </row>
    <row r="253">
      <c r="A253" s="28">
        <f>IFERROR(__xludf.DUMMYFUNCTION("""COMPUTED_VALUE"""),23012.0)</f>
        <v>23012</v>
      </c>
      <c r="B253" s="29">
        <f>IFERROR(__xludf.DUMMYFUNCTION("""COMPUTED_VALUE"""),61.973)</f>
        <v>61.973</v>
      </c>
      <c r="C253" s="23"/>
      <c r="D253" s="26"/>
      <c r="E253" s="25"/>
      <c r="N253" s="11">
        <f t="shared" si="1"/>
        <v>23012</v>
      </c>
      <c r="O253" s="9">
        <f t="shared" si="2"/>
        <v>1.79220252</v>
      </c>
    </row>
    <row r="254">
      <c r="A254" s="28">
        <f>IFERROR(__xludf.DUMMYFUNCTION("""COMPUTED_VALUE"""),22920.0)</f>
        <v>22920</v>
      </c>
      <c r="B254" s="29">
        <f>IFERROR(__xludf.DUMMYFUNCTION("""COMPUTED_VALUE"""),61.819)</f>
        <v>61.819</v>
      </c>
      <c r="C254" s="23"/>
      <c r="D254" s="26"/>
      <c r="E254" s="25"/>
      <c r="N254" s="11">
        <f t="shared" si="1"/>
        <v>22920</v>
      </c>
      <c r="O254" s="9">
        <f t="shared" si="2"/>
        <v>1.791121976</v>
      </c>
    </row>
    <row r="255">
      <c r="A255" s="28">
        <f>IFERROR(__xludf.DUMMYFUNCTION("""COMPUTED_VALUE"""),22828.0)</f>
        <v>22828</v>
      </c>
      <c r="B255" s="29">
        <f>IFERROR(__xludf.DUMMYFUNCTION("""COMPUTED_VALUE"""),62.101)</f>
        <v>62.101</v>
      </c>
      <c r="C255" s="23"/>
      <c r="D255" s="26"/>
      <c r="E255" s="25"/>
      <c r="N255" s="11">
        <f t="shared" si="1"/>
        <v>22828</v>
      </c>
      <c r="O255" s="9">
        <f t="shared" si="2"/>
        <v>1.793098594</v>
      </c>
    </row>
    <row r="256">
      <c r="A256" s="28">
        <f>IFERROR(__xludf.DUMMYFUNCTION("""COMPUTED_VALUE"""),22737.0)</f>
        <v>22737</v>
      </c>
      <c r="B256" s="29">
        <f>IFERROR(__xludf.DUMMYFUNCTION("""COMPUTED_VALUE"""),61.356)</f>
        <v>61.356</v>
      </c>
      <c r="C256" s="23"/>
      <c r="D256" s="26"/>
      <c r="E256" s="25"/>
      <c r="N256" s="11">
        <f t="shared" si="1"/>
        <v>22737</v>
      </c>
      <c r="O256" s="9">
        <f t="shared" si="2"/>
        <v>1.787857039</v>
      </c>
    </row>
    <row r="257">
      <c r="A257" s="28">
        <f>IFERROR(__xludf.DUMMYFUNCTION("""COMPUTED_VALUE"""),22647.0)</f>
        <v>22647</v>
      </c>
      <c r="B257" s="29">
        <f>IFERROR(__xludf.DUMMYFUNCTION("""COMPUTED_VALUE"""),59.656)</f>
        <v>59.656</v>
      </c>
      <c r="C257" s="23"/>
      <c r="D257" s="26"/>
      <c r="E257" s="25"/>
      <c r="N257" s="11">
        <f t="shared" si="1"/>
        <v>22647</v>
      </c>
      <c r="O257" s="9">
        <f t="shared" si="2"/>
        <v>1.77565413</v>
      </c>
    </row>
    <row r="258">
      <c r="A258" s="28">
        <f>IFERROR(__xludf.DUMMYFUNCTION("""COMPUTED_VALUE"""),22555.0)</f>
        <v>22555</v>
      </c>
      <c r="B258" s="29">
        <f>IFERROR(__xludf.DUMMYFUNCTION("""COMPUTED_VALUE"""),58.473)</f>
        <v>58.473</v>
      </c>
      <c r="C258" s="23"/>
      <c r="D258" s="26"/>
      <c r="E258" s="25"/>
      <c r="N258" s="11">
        <f t="shared" si="1"/>
        <v>22555</v>
      </c>
      <c r="O258" s="9">
        <f t="shared" si="2"/>
        <v>1.766955376</v>
      </c>
    </row>
    <row r="259">
      <c r="A259" s="28">
        <f>IFERROR(__xludf.DUMMYFUNCTION("""COMPUTED_VALUE"""),22463.0)</f>
        <v>22463</v>
      </c>
      <c r="B259" s="29">
        <f>IFERROR(__xludf.DUMMYFUNCTION("""COMPUTED_VALUE"""),56.712)</f>
        <v>56.712</v>
      </c>
      <c r="C259" s="23"/>
      <c r="D259" s="26"/>
      <c r="E259" s="25"/>
      <c r="N259" s="11">
        <f t="shared" si="1"/>
        <v>22463</v>
      </c>
      <c r="O259" s="9">
        <f t="shared" si="2"/>
        <v>1.753674963</v>
      </c>
    </row>
    <row r="260">
      <c r="A260" s="28">
        <f>IFERROR(__xludf.DUMMYFUNCTION("""COMPUTED_VALUE"""),22372.0)</f>
        <v>22372</v>
      </c>
      <c r="B260" s="29">
        <f>IFERROR(__xludf.DUMMYFUNCTION("""COMPUTED_VALUE"""),56.198)</f>
        <v>56.198</v>
      </c>
      <c r="C260" s="23"/>
      <c r="D260" s="26"/>
      <c r="E260" s="25"/>
      <c r="N260" s="11">
        <f t="shared" si="1"/>
        <v>22372</v>
      </c>
      <c r="O260" s="9">
        <f t="shared" si="2"/>
        <v>1.74972086</v>
      </c>
    </row>
    <row r="261">
      <c r="A261" s="28">
        <f>IFERROR(__xludf.DUMMYFUNCTION("""COMPUTED_VALUE"""),22282.0)</f>
        <v>22282</v>
      </c>
      <c r="B261" s="29">
        <f>IFERROR(__xludf.DUMMYFUNCTION("""COMPUTED_VALUE"""),55.012)</f>
        <v>55.012</v>
      </c>
      <c r="C261" s="23"/>
      <c r="D261" s="26"/>
      <c r="E261" s="25"/>
      <c r="N261" s="11">
        <f t="shared" si="1"/>
        <v>22282</v>
      </c>
      <c r="O261" s="9">
        <f t="shared" si="2"/>
        <v>1.740457434</v>
      </c>
    </row>
    <row r="262">
      <c r="A262" s="28">
        <f>IFERROR(__xludf.DUMMYFUNCTION("""COMPUTED_VALUE"""),22190.0)</f>
        <v>22190</v>
      </c>
      <c r="B262" s="29">
        <f>IFERROR(__xludf.DUMMYFUNCTION("""COMPUTED_VALUE"""),55.882)</f>
        <v>55.882</v>
      </c>
      <c r="C262" s="23"/>
      <c r="D262" s="26"/>
      <c r="E262" s="25"/>
      <c r="N262" s="11">
        <f t="shared" si="1"/>
        <v>22190</v>
      </c>
      <c r="O262" s="9">
        <f t="shared" si="2"/>
        <v>1.747271941</v>
      </c>
    </row>
    <row r="263">
      <c r="A263" s="28">
        <f>IFERROR(__xludf.DUMMYFUNCTION("""COMPUTED_VALUE"""),22098.0)</f>
        <v>22098</v>
      </c>
      <c r="B263" s="29">
        <f>IFERROR(__xludf.DUMMYFUNCTION("""COMPUTED_VALUE"""),56.165)</f>
        <v>56.165</v>
      </c>
      <c r="C263" s="23"/>
      <c r="D263" s="26"/>
      <c r="E263" s="25"/>
      <c r="N263" s="11">
        <f t="shared" si="1"/>
        <v>22098</v>
      </c>
      <c r="O263" s="9">
        <f t="shared" si="2"/>
        <v>1.749465763</v>
      </c>
    </row>
    <row r="264">
      <c r="A264" s="28">
        <f>IFERROR(__xludf.DUMMYFUNCTION("""COMPUTED_VALUE"""),22007.0)</f>
        <v>22007</v>
      </c>
      <c r="B264" s="29">
        <f>IFERROR(__xludf.DUMMYFUNCTION("""COMPUTED_VALUE"""),57.188)</f>
        <v>57.188</v>
      </c>
      <c r="C264" s="23"/>
      <c r="D264" s="26"/>
      <c r="E264" s="25"/>
      <c r="N264" s="11">
        <f t="shared" si="1"/>
        <v>22007</v>
      </c>
      <c r="O264" s="9">
        <f t="shared" si="2"/>
        <v>1.757304909</v>
      </c>
    </row>
    <row r="265">
      <c r="A265" s="28">
        <f>IFERROR(__xludf.DUMMYFUNCTION("""COMPUTED_VALUE"""),21916.0)</f>
        <v>21916</v>
      </c>
      <c r="B265" s="29">
        <f>IFERROR(__xludf.DUMMYFUNCTION("""COMPUTED_VALUE"""),56.322)</f>
        <v>56.322</v>
      </c>
      <c r="C265" s="23"/>
      <c r="D265" s="26"/>
      <c r="E265" s="25"/>
      <c r="N265" s="11">
        <f t="shared" si="1"/>
        <v>21916</v>
      </c>
      <c r="O265" s="9">
        <f t="shared" si="2"/>
        <v>1.750678068</v>
      </c>
    </row>
    <row r="266">
      <c r="A266" s="28">
        <f>IFERROR(__xludf.DUMMYFUNCTION("""COMPUTED_VALUE"""),21824.0)</f>
        <v>21824</v>
      </c>
      <c r="B266" s="29">
        <f>IFERROR(__xludf.DUMMYFUNCTION("""COMPUTED_VALUE"""),54.398)</f>
        <v>54.398</v>
      </c>
      <c r="C266" s="23"/>
      <c r="D266" s="26"/>
      <c r="E266" s="25"/>
      <c r="N266" s="11">
        <f t="shared" si="1"/>
        <v>21824</v>
      </c>
      <c r="O266" s="9">
        <f t="shared" si="2"/>
        <v>1.735582933</v>
      </c>
    </row>
    <row r="267">
      <c r="A267" s="28">
        <f>IFERROR(__xludf.DUMMYFUNCTION("""COMPUTED_VALUE"""),21732.0)</f>
        <v>21732</v>
      </c>
      <c r="B267" s="29">
        <f>IFERROR(__xludf.DUMMYFUNCTION("""COMPUTED_VALUE"""),54.421)</f>
        <v>54.421</v>
      </c>
      <c r="C267" s="23"/>
      <c r="D267" s="26"/>
      <c r="E267" s="25"/>
      <c r="N267" s="11">
        <f t="shared" si="1"/>
        <v>21732</v>
      </c>
      <c r="O267" s="9">
        <f t="shared" si="2"/>
        <v>1.735766518</v>
      </c>
    </row>
    <row r="268">
      <c r="A268" s="28">
        <f>IFERROR(__xludf.DUMMYFUNCTION("""COMPUTED_VALUE"""),21641.0)</f>
        <v>21641</v>
      </c>
      <c r="B268" s="29">
        <f>IFERROR(__xludf.DUMMYFUNCTION("""COMPUTED_VALUE"""),52.735)</f>
        <v>52.735</v>
      </c>
      <c r="C268" s="23"/>
      <c r="D268" s="26"/>
      <c r="E268" s="25"/>
      <c r="N268" s="11">
        <f t="shared" si="1"/>
        <v>21641</v>
      </c>
      <c r="O268" s="9">
        <f t="shared" si="2"/>
        <v>1.72209895</v>
      </c>
    </row>
    <row r="269">
      <c r="A269" s="28">
        <f>IFERROR(__xludf.DUMMYFUNCTION("""COMPUTED_VALUE"""),21551.0)</f>
        <v>21551</v>
      </c>
      <c r="B269" s="29">
        <f>IFERROR(__xludf.DUMMYFUNCTION("""COMPUTED_VALUE"""),50.942)</f>
        <v>50.942</v>
      </c>
      <c r="C269" s="23"/>
      <c r="D269" s="26"/>
      <c r="E269" s="25"/>
      <c r="N269" s="11">
        <f t="shared" si="1"/>
        <v>21551</v>
      </c>
      <c r="O269" s="9">
        <f t="shared" si="2"/>
        <v>1.707075992</v>
      </c>
    </row>
    <row r="270">
      <c r="A270" s="28">
        <f>IFERROR(__xludf.DUMMYFUNCTION("""COMPUTED_VALUE"""),21459.0)</f>
        <v>21459</v>
      </c>
      <c r="B270" s="29">
        <f>IFERROR(__xludf.DUMMYFUNCTION("""COMPUTED_VALUE"""),49.332)</f>
        <v>49.332</v>
      </c>
      <c r="C270" s="23"/>
      <c r="D270" s="26"/>
      <c r="E270" s="25"/>
      <c r="N270" s="11">
        <f t="shared" si="1"/>
        <v>21459</v>
      </c>
      <c r="O270" s="9">
        <f t="shared" si="2"/>
        <v>1.693128723</v>
      </c>
    </row>
    <row r="271">
      <c r="A271" s="28">
        <f>IFERROR(__xludf.DUMMYFUNCTION("""COMPUTED_VALUE"""),21367.0)</f>
        <v>21367</v>
      </c>
      <c r="B271" s="29">
        <f>IFERROR(__xludf.DUMMYFUNCTION("""COMPUTED_VALUE"""),47.435)</f>
        <v>47.435</v>
      </c>
      <c r="C271" s="23"/>
      <c r="D271" s="26"/>
      <c r="E271" s="25"/>
      <c r="N271" s="11">
        <f t="shared" si="1"/>
        <v>21367</v>
      </c>
      <c r="O271" s="9">
        <f t="shared" si="2"/>
        <v>1.676098905</v>
      </c>
    </row>
    <row r="272">
      <c r="A272" s="28">
        <f>IFERROR(__xludf.DUMMYFUNCTION("""COMPUTED_VALUE"""),21276.0)</f>
        <v>21276</v>
      </c>
      <c r="B272" s="29">
        <f>IFERROR(__xludf.DUMMYFUNCTION("""COMPUTED_VALUE"""),47.83)</f>
        <v>47.83</v>
      </c>
      <c r="C272" s="23"/>
      <c r="D272" s="26"/>
      <c r="E272" s="25"/>
      <c r="N272" s="11">
        <f t="shared" si="1"/>
        <v>21276</v>
      </c>
      <c r="O272" s="9">
        <f t="shared" si="2"/>
        <v>1.679700381</v>
      </c>
    </row>
    <row r="273">
      <c r="A273" s="28">
        <f>IFERROR(__xludf.DUMMYFUNCTION("""COMPUTED_VALUE"""),21186.0)</f>
        <v>21186</v>
      </c>
      <c r="B273" s="29">
        <f>IFERROR(__xludf.DUMMYFUNCTION("""COMPUTED_VALUE"""),49.369)</f>
        <v>49.369</v>
      </c>
      <c r="C273" s="23"/>
      <c r="D273" s="26"/>
      <c r="E273" s="25"/>
      <c r="N273" s="11">
        <f t="shared" si="1"/>
        <v>21186</v>
      </c>
      <c r="O273" s="9">
        <f t="shared" si="2"/>
        <v>1.69345433</v>
      </c>
    </row>
    <row r="274">
      <c r="A274" s="28">
        <f>IFERROR(__xludf.DUMMYFUNCTION("""COMPUTED_VALUE"""),21094.0)</f>
        <v>21094</v>
      </c>
      <c r="B274" s="29">
        <f>IFERROR(__xludf.DUMMYFUNCTION("""COMPUTED_VALUE"""),53.215)</f>
        <v>53.215</v>
      </c>
      <c r="C274" s="23"/>
      <c r="D274" s="26"/>
      <c r="E274" s="25"/>
      <c r="N274" s="11">
        <f t="shared" si="1"/>
        <v>21094</v>
      </c>
      <c r="O274" s="9">
        <f t="shared" si="2"/>
        <v>1.726034066</v>
      </c>
    </row>
    <row r="275">
      <c r="A275" s="28">
        <f>IFERROR(__xludf.DUMMYFUNCTION("""COMPUTED_VALUE"""),21002.0)</f>
        <v>21002</v>
      </c>
      <c r="B275" s="29">
        <f>IFERROR(__xludf.DUMMYFUNCTION("""COMPUTED_VALUE"""),54.066)</f>
        <v>54.066</v>
      </c>
      <c r="C275" s="23"/>
      <c r="D275" s="26"/>
      <c r="E275" s="25"/>
      <c r="N275" s="11">
        <f t="shared" si="1"/>
        <v>21002</v>
      </c>
      <c r="O275" s="9">
        <f t="shared" si="2"/>
        <v>1.73292424</v>
      </c>
    </row>
    <row r="276">
      <c r="A276" s="28">
        <f>IFERROR(__xludf.DUMMYFUNCTION("""COMPUTED_VALUE"""),20911.0)</f>
        <v>20911</v>
      </c>
      <c r="B276" s="29">
        <f>IFERROR(__xludf.DUMMYFUNCTION("""COMPUTED_VALUE"""),52.64)</f>
        <v>52.64</v>
      </c>
      <c r="C276" s="23"/>
      <c r="D276" s="26"/>
      <c r="E276" s="25"/>
      <c r="N276" s="11">
        <f t="shared" si="1"/>
        <v>20911</v>
      </c>
      <c r="O276" s="9">
        <f t="shared" si="2"/>
        <v>1.721315881</v>
      </c>
    </row>
    <row r="277">
      <c r="A277" s="28">
        <f>IFERROR(__xludf.DUMMYFUNCTION("""COMPUTED_VALUE"""),20821.0)</f>
        <v>20821</v>
      </c>
      <c r="B277" s="29">
        <f>IFERROR(__xludf.DUMMYFUNCTION("""COMPUTED_VALUE"""),52.465)</f>
        <v>52.465</v>
      </c>
      <c r="C277" s="23"/>
      <c r="D277" s="26"/>
      <c r="E277" s="25"/>
      <c r="N277" s="11">
        <f t="shared" si="1"/>
        <v>20821</v>
      </c>
      <c r="O277" s="9">
        <f t="shared" si="2"/>
        <v>1.719869677</v>
      </c>
    </row>
    <row r="278">
      <c r="A278" s="28">
        <f>IFERROR(__xludf.DUMMYFUNCTION("""COMPUTED_VALUE"""),20729.0)</f>
        <v>20729</v>
      </c>
      <c r="B278" s="29">
        <f>IFERROR(__xludf.DUMMYFUNCTION("""COMPUTED_VALUE"""),51.41)</f>
        <v>51.41</v>
      </c>
      <c r="C278" s="23"/>
      <c r="D278" s="26"/>
      <c r="E278" s="25"/>
      <c r="N278" s="11">
        <f t="shared" si="1"/>
        <v>20729</v>
      </c>
      <c r="O278" s="9">
        <f t="shared" si="2"/>
        <v>1.711047604</v>
      </c>
    </row>
    <row r="279">
      <c r="A279" s="28">
        <f>IFERROR(__xludf.DUMMYFUNCTION("""COMPUTED_VALUE"""),20637.0)</f>
        <v>20637</v>
      </c>
      <c r="B279" s="29">
        <f>IFERROR(__xludf.DUMMYFUNCTION("""COMPUTED_VALUE"""),50.746)</f>
        <v>50.746</v>
      </c>
      <c r="C279" s="23"/>
      <c r="D279" s="26"/>
      <c r="E279" s="25"/>
      <c r="N279" s="11">
        <f t="shared" si="1"/>
        <v>20637</v>
      </c>
      <c r="O279" s="9">
        <f t="shared" si="2"/>
        <v>1.705401815</v>
      </c>
    </row>
    <row r="280">
      <c r="A280" s="28">
        <f>IFERROR(__xludf.DUMMYFUNCTION("""COMPUTED_VALUE"""),20546.0)</f>
        <v>20546</v>
      </c>
      <c r="B280" s="29">
        <f>IFERROR(__xludf.DUMMYFUNCTION("""COMPUTED_VALUE"""),49.062)</f>
        <v>49.062</v>
      </c>
      <c r="C280" s="23"/>
      <c r="D280" s="26"/>
      <c r="E280" s="25"/>
      <c r="N280" s="11">
        <f t="shared" si="1"/>
        <v>20546</v>
      </c>
      <c r="O280" s="9">
        <f t="shared" si="2"/>
        <v>1.690745248</v>
      </c>
    </row>
    <row r="281">
      <c r="A281" s="28">
        <f>IFERROR(__xludf.DUMMYFUNCTION("""COMPUTED_VALUE"""),20455.0)</f>
        <v>20455</v>
      </c>
      <c r="B281" s="29">
        <f>IFERROR(__xludf.DUMMYFUNCTION("""COMPUTED_VALUE"""),47.772)</f>
        <v>47.772</v>
      </c>
      <c r="C281" s="23"/>
      <c r="D281" s="26"/>
      <c r="E281" s="25"/>
      <c r="N281" s="11">
        <f t="shared" si="1"/>
        <v>20455</v>
      </c>
      <c r="O281" s="9">
        <f t="shared" si="2"/>
        <v>1.679173424</v>
      </c>
    </row>
    <row r="282">
      <c r="A282" s="28">
        <f>IFERROR(__xludf.DUMMYFUNCTION("""COMPUTED_VALUE"""),20363.0)</f>
        <v>20363</v>
      </c>
      <c r="B282" s="29">
        <f>IFERROR(__xludf.DUMMYFUNCTION("""COMPUTED_VALUE"""),47.085)</f>
        <v>47.085</v>
      </c>
      <c r="C282" s="23"/>
      <c r="D282" s="26"/>
      <c r="E282" s="25"/>
      <c r="N282" s="11">
        <f t="shared" si="1"/>
        <v>20363</v>
      </c>
      <c r="O282" s="9">
        <f t="shared" si="2"/>
        <v>1.672882575</v>
      </c>
    </row>
    <row r="283">
      <c r="A283" s="28">
        <f>IFERROR(__xludf.DUMMYFUNCTION("""COMPUTED_VALUE"""),20271.0)</f>
        <v>20271</v>
      </c>
      <c r="B283" s="29">
        <f>IFERROR(__xludf.DUMMYFUNCTION("""COMPUTED_VALUE"""),44.826)</f>
        <v>44.826</v>
      </c>
      <c r="C283" s="23"/>
      <c r="D283" s="26"/>
      <c r="E283" s="25"/>
      <c r="N283" s="11">
        <f t="shared" si="1"/>
        <v>20271</v>
      </c>
      <c r="O283" s="9">
        <f t="shared" si="2"/>
        <v>1.651529987</v>
      </c>
    </row>
    <row r="284">
      <c r="A284" s="28">
        <f>IFERROR(__xludf.DUMMYFUNCTION("""COMPUTED_VALUE"""),20180.0)</f>
        <v>20180</v>
      </c>
      <c r="B284" s="29">
        <f>IFERROR(__xludf.DUMMYFUNCTION("""COMPUTED_VALUE"""),42.063)</f>
        <v>42.063</v>
      </c>
      <c r="C284" s="23"/>
      <c r="D284" s="26"/>
      <c r="E284" s="25"/>
      <c r="N284" s="11">
        <f t="shared" si="1"/>
        <v>20180</v>
      </c>
      <c r="O284" s="9">
        <f t="shared" si="2"/>
        <v>1.623900244</v>
      </c>
    </row>
    <row r="285">
      <c r="A285" s="28">
        <f>IFERROR(__xludf.DUMMYFUNCTION("""COMPUTED_VALUE"""),20090.0)</f>
        <v>20090</v>
      </c>
      <c r="B285" s="29">
        <f>IFERROR(__xludf.DUMMYFUNCTION("""COMPUTED_VALUE"""),39.48)</f>
        <v>39.48</v>
      </c>
      <c r="C285" s="23"/>
      <c r="D285" s="26"/>
      <c r="E285" s="25"/>
      <c r="N285" s="11">
        <f t="shared" si="1"/>
        <v>20090</v>
      </c>
      <c r="O285" s="9">
        <f t="shared" si="2"/>
        <v>1.596377144</v>
      </c>
    </row>
    <row r="286">
      <c r="A286" s="28">
        <f>IFERROR(__xludf.DUMMYFUNCTION("""COMPUTED_VALUE"""),19998.0)</f>
        <v>19998</v>
      </c>
      <c r="B286" s="29">
        <f>IFERROR(__xludf.DUMMYFUNCTION("""COMPUTED_VALUE"""),38.89)</f>
        <v>38.89</v>
      </c>
      <c r="C286" s="23"/>
      <c r="D286" s="26"/>
      <c r="E286" s="25"/>
      <c r="N286" s="11">
        <f t="shared" si="1"/>
        <v>19998</v>
      </c>
      <c r="O286" s="9">
        <f t="shared" si="2"/>
        <v>1.589837943</v>
      </c>
    </row>
    <row r="287">
      <c r="A287" s="28">
        <f>IFERROR(__xludf.DUMMYFUNCTION("""COMPUTED_VALUE"""),19906.0)</f>
        <v>19906</v>
      </c>
      <c r="B287" s="29">
        <f>IFERROR(__xludf.DUMMYFUNCTION("""COMPUTED_VALUE"""),38.879)</f>
        <v>38.879</v>
      </c>
      <c r="C287" s="23"/>
      <c r="D287" s="26"/>
      <c r="E287" s="25"/>
      <c r="N287" s="11">
        <f t="shared" si="1"/>
        <v>19906</v>
      </c>
      <c r="O287" s="9">
        <f t="shared" si="2"/>
        <v>1.589715086</v>
      </c>
    </row>
    <row r="288">
      <c r="A288" s="28">
        <f>IFERROR(__xludf.DUMMYFUNCTION("""COMPUTED_VALUE"""),19815.0)</f>
        <v>19815</v>
      </c>
      <c r="B288" s="29">
        <f>IFERROR(__xludf.DUMMYFUNCTION("""COMPUTED_VALUE"""),38.159)</f>
        <v>38.159</v>
      </c>
      <c r="C288" s="23"/>
      <c r="D288" s="26"/>
      <c r="E288" s="25"/>
      <c r="N288" s="11">
        <f t="shared" si="1"/>
        <v>19815</v>
      </c>
      <c r="O288" s="9">
        <f t="shared" si="2"/>
        <v>1.581596985</v>
      </c>
    </row>
    <row r="289">
      <c r="A289" s="28">
        <f>IFERROR(__xludf.DUMMYFUNCTION("""COMPUTED_VALUE"""),19725.0)</f>
        <v>19725</v>
      </c>
      <c r="B289" s="29">
        <f>IFERROR(__xludf.DUMMYFUNCTION("""COMPUTED_VALUE"""),38.332)</f>
        <v>38.332</v>
      </c>
      <c r="C289" s="23"/>
      <c r="D289" s="26"/>
      <c r="E289" s="25"/>
      <c r="N289" s="11">
        <f t="shared" si="1"/>
        <v>19725</v>
      </c>
      <c r="O289" s="9">
        <f t="shared" si="2"/>
        <v>1.583561479</v>
      </c>
    </row>
    <row r="290">
      <c r="A290" s="28">
        <f>IFERROR(__xludf.DUMMYFUNCTION("""COMPUTED_VALUE"""),19633.0)</f>
        <v>19633</v>
      </c>
      <c r="B290" s="29">
        <f>IFERROR(__xludf.DUMMYFUNCTION("""COMPUTED_VALUE"""),39.2)</f>
        <v>39.2</v>
      </c>
      <c r="C290" s="23"/>
      <c r="D290" s="26"/>
      <c r="E290" s="25"/>
      <c r="N290" s="11">
        <f t="shared" si="1"/>
        <v>19633</v>
      </c>
      <c r="O290" s="9">
        <f t="shared" si="2"/>
        <v>1.593286067</v>
      </c>
    </row>
    <row r="291">
      <c r="A291" s="28">
        <f>IFERROR(__xludf.DUMMYFUNCTION("""COMPUTED_VALUE"""),19541.0)</f>
        <v>19541</v>
      </c>
      <c r="B291" s="29">
        <f>IFERROR(__xludf.DUMMYFUNCTION("""COMPUTED_VALUE"""),39.614)</f>
        <v>39.614</v>
      </c>
      <c r="C291" s="23"/>
      <c r="D291" s="26"/>
      <c r="E291" s="25"/>
      <c r="N291" s="11">
        <f t="shared" si="1"/>
        <v>19541</v>
      </c>
      <c r="O291" s="9">
        <f t="shared" si="2"/>
        <v>1.597848697</v>
      </c>
    </row>
    <row r="292">
      <c r="A292" s="28">
        <f>IFERROR(__xludf.DUMMYFUNCTION("""COMPUTED_VALUE"""),19450.0)</f>
        <v>19450</v>
      </c>
      <c r="B292" s="29">
        <f>IFERROR(__xludf.DUMMYFUNCTION("""COMPUTED_VALUE"""),38.465)</f>
        <v>38.465</v>
      </c>
      <c r="C292" s="23"/>
      <c r="D292" s="26"/>
      <c r="E292" s="25"/>
      <c r="N292" s="11">
        <f t="shared" si="1"/>
        <v>19450</v>
      </c>
      <c r="O292" s="9">
        <f t="shared" si="2"/>
        <v>1.585065737</v>
      </c>
    </row>
    <row r="293">
      <c r="A293" s="28">
        <f>IFERROR(__xludf.DUMMYFUNCTION("""COMPUTED_VALUE"""),19360.0)</f>
        <v>19360</v>
      </c>
      <c r="B293" s="29">
        <f>IFERROR(__xludf.DUMMYFUNCTION("""COMPUTED_VALUE"""),37.791)</f>
        <v>37.791</v>
      </c>
      <c r="C293" s="23"/>
      <c r="D293" s="26"/>
      <c r="E293" s="25"/>
      <c r="N293" s="11">
        <f t="shared" si="1"/>
        <v>19360</v>
      </c>
      <c r="O293" s="9">
        <f t="shared" si="2"/>
        <v>1.577388384</v>
      </c>
    </row>
    <row r="294">
      <c r="A294" s="28">
        <f>IFERROR(__xludf.DUMMYFUNCTION("""COMPUTED_VALUE"""),19268.0)</f>
        <v>19268</v>
      </c>
      <c r="B294" s="29">
        <f>IFERROR(__xludf.DUMMYFUNCTION("""COMPUTED_VALUE"""),35.816)</f>
        <v>35.816</v>
      </c>
      <c r="C294" s="23"/>
      <c r="D294" s="26"/>
      <c r="E294" s="25"/>
      <c r="N294" s="11">
        <f t="shared" si="1"/>
        <v>19268</v>
      </c>
      <c r="O294" s="9">
        <f t="shared" si="2"/>
        <v>1.554077081</v>
      </c>
    </row>
    <row r="295">
      <c r="A295" s="28">
        <f>IFERROR(__xludf.DUMMYFUNCTION("""COMPUTED_VALUE"""),19176.0)</f>
        <v>19176</v>
      </c>
      <c r="B295" s="29">
        <f>IFERROR(__xludf.DUMMYFUNCTION("""COMPUTED_VALUE"""),32.892)</f>
        <v>32.892</v>
      </c>
      <c r="C295" s="23"/>
      <c r="D295" s="26"/>
      <c r="E295" s="25"/>
      <c r="N295" s="11">
        <f t="shared" si="1"/>
        <v>19176</v>
      </c>
      <c r="O295" s="9">
        <f t="shared" si="2"/>
        <v>1.517090282</v>
      </c>
    </row>
    <row r="296">
      <c r="A296" s="28">
        <f>IFERROR(__xludf.DUMMYFUNCTION("""COMPUTED_VALUE"""),19085.0)</f>
        <v>19085</v>
      </c>
      <c r="B296" s="29">
        <f>IFERROR(__xludf.DUMMYFUNCTION("""COMPUTED_VALUE"""),35.765)</f>
        <v>35.765</v>
      </c>
      <c r="C296" s="23"/>
      <c r="D296" s="26"/>
      <c r="E296" s="25"/>
      <c r="N296" s="11">
        <f t="shared" si="1"/>
        <v>19085</v>
      </c>
      <c r="O296" s="9">
        <f t="shared" si="2"/>
        <v>1.553458229</v>
      </c>
    </row>
    <row r="297">
      <c r="A297" s="28">
        <f>IFERROR(__xludf.DUMMYFUNCTION("""COMPUTED_VALUE"""),18994.0)</f>
        <v>18994</v>
      </c>
      <c r="B297" s="29">
        <f>IFERROR(__xludf.DUMMYFUNCTION("""COMPUTED_VALUE"""),35.131)</f>
        <v>35.131</v>
      </c>
      <c r="C297" s="23"/>
      <c r="D297" s="26"/>
      <c r="E297" s="25"/>
      <c r="N297" s="11">
        <f t="shared" si="1"/>
        <v>18994</v>
      </c>
      <c r="O297" s="9">
        <f t="shared" si="2"/>
        <v>1.545690512</v>
      </c>
    </row>
    <row r="298">
      <c r="A298" s="28">
        <f>IFERROR(__xludf.DUMMYFUNCTION("""COMPUTED_VALUE"""),18902.0)</f>
        <v>18902</v>
      </c>
      <c r="B298" s="29">
        <f>IFERROR(__xludf.DUMMYFUNCTION("""COMPUTED_VALUE"""),34.642)</f>
        <v>34.642</v>
      </c>
      <c r="C298" s="23"/>
      <c r="D298" s="26"/>
      <c r="E298" s="25"/>
      <c r="N298" s="11">
        <f t="shared" si="1"/>
        <v>18902</v>
      </c>
      <c r="O298" s="9">
        <f t="shared" si="2"/>
        <v>1.539602957</v>
      </c>
    </row>
    <row r="299">
      <c r="A299" s="28">
        <f>IFERROR(__xludf.DUMMYFUNCTION("""COMPUTED_VALUE"""),18810.0)</f>
        <v>18810</v>
      </c>
      <c r="B299" s="29">
        <f>IFERROR(__xludf.DUMMYFUNCTION("""COMPUTED_VALUE"""),34.843)</f>
        <v>34.843</v>
      </c>
      <c r="C299" s="23"/>
      <c r="D299" s="26"/>
      <c r="E299" s="25"/>
      <c r="N299" s="11">
        <f t="shared" si="1"/>
        <v>18810</v>
      </c>
      <c r="O299" s="9">
        <f t="shared" si="2"/>
        <v>1.542115541</v>
      </c>
    </row>
    <row r="300">
      <c r="A300" s="28">
        <f>IFERROR(__xludf.DUMMYFUNCTION("""COMPUTED_VALUE"""),18719.0)</f>
        <v>18719</v>
      </c>
      <c r="B300" s="29">
        <f>IFERROR(__xludf.DUMMYFUNCTION("""COMPUTED_VALUE"""),34.124)</f>
        <v>34.124</v>
      </c>
      <c r="C300" s="23"/>
      <c r="D300" s="26"/>
      <c r="E300" s="25"/>
      <c r="N300" s="11">
        <f t="shared" si="1"/>
        <v>18719</v>
      </c>
      <c r="O300" s="9">
        <f t="shared" si="2"/>
        <v>1.533059933</v>
      </c>
    </row>
    <row r="301">
      <c r="A301" s="28">
        <f>IFERROR(__xludf.DUMMYFUNCTION("""COMPUTED_VALUE"""),18629.0)</f>
        <v>18629</v>
      </c>
      <c r="B301" s="29">
        <f>IFERROR(__xludf.DUMMYFUNCTION("""COMPUTED_VALUE"""),33.139)</f>
        <v>33.139</v>
      </c>
      <c r="C301" s="23"/>
      <c r="D301" s="26"/>
      <c r="E301" s="25"/>
      <c r="N301" s="11">
        <f t="shared" si="1"/>
        <v>18629</v>
      </c>
      <c r="O301" s="9">
        <f t="shared" si="2"/>
        <v>1.520339399</v>
      </c>
    </row>
    <row r="302">
      <c r="A302" s="28">
        <f>IFERROR(__xludf.DUMMYFUNCTION("""COMPUTED_VALUE"""),18537.0)</f>
        <v>18537</v>
      </c>
      <c r="B302" s="29">
        <f>IFERROR(__xludf.DUMMYFUNCTION("""COMPUTED_VALUE"""),32.919)</f>
        <v>32.919</v>
      </c>
      <c r="C302" s="23"/>
      <c r="D302" s="26"/>
      <c r="E302" s="25"/>
      <c r="N302" s="11">
        <f t="shared" si="1"/>
        <v>18537</v>
      </c>
      <c r="O302" s="9">
        <f t="shared" si="2"/>
        <v>1.517446634</v>
      </c>
    </row>
    <row r="303">
      <c r="A303" s="28">
        <f>IFERROR(__xludf.DUMMYFUNCTION("""COMPUTED_VALUE"""),18445.0)</f>
        <v>18445</v>
      </c>
      <c r="B303" s="29">
        <f>IFERROR(__xludf.DUMMYFUNCTION("""COMPUTED_VALUE"""),31.91)</f>
        <v>31.91</v>
      </c>
      <c r="C303" s="23"/>
      <c r="D303" s="26"/>
      <c r="E303" s="25"/>
      <c r="N303" s="11">
        <f t="shared" si="1"/>
        <v>18445</v>
      </c>
      <c r="O303" s="9">
        <f t="shared" si="2"/>
        <v>1.503926804</v>
      </c>
    </row>
    <row r="304">
      <c r="A304" s="28">
        <f>IFERROR(__xludf.DUMMYFUNCTION("""COMPUTED_VALUE"""),18354.0)</f>
        <v>18354</v>
      </c>
      <c r="B304" s="29">
        <f>IFERROR(__xludf.DUMMYFUNCTION("""COMPUTED_VALUE"""),28.855)</f>
        <v>28.855</v>
      </c>
      <c r="C304" s="23"/>
      <c r="D304" s="26"/>
      <c r="E304" s="25"/>
      <c r="N304" s="11">
        <f t="shared" si="1"/>
        <v>18354</v>
      </c>
      <c r="O304" s="9">
        <f t="shared" si="2"/>
        <v>1.460221079</v>
      </c>
    </row>
    <row r="305">
      <c r="A305" s="28">
        <f>IFERROR(__xludf.DUMMYFUNCTION("""COMPUTED_VALUE"""),18264.0)</f>
        <v>18264</v>
      </c>
      <c r="B305" s="29">
        <f>IFERROR(__xludf.DUMMYFUNCTION("""COMPUTED_VALUE"""),26.386)</f>
        <v>26.386</v>
      </c>
      <c r="C305" s="23"/>
      <c r="D305" s="26"/>
      <c r="E305" s="25"/>
      <c r="N305" s="11">
        <f t="shared" si="1"/>
        <v>18264</v>
      </c>
      <c r="O305" s="9">
        <f t="shared" si="2"/>
        <v>1.421373558</v>
      </c>
    </row>
    <row r="306">
      <c r="A306" s="28">
        <f>IFERROR(__xludf.DUMMYFUNCTION("""COMPUTED_VALUE"""),18172.0)</f>
        <v>18172</v>
      </c>
      <c r="B306" s="29">
        <f>IFERROR(__xludf.DUMMYFUNCTION("""COMPUTED_VALUE"""),25.628)</f>
        <v>25.628</v>
      </c>
      <c r="C306" s="23"/>
      <c r="D306" s="26"/>
      <c r="E306" s="25"/>
      <c r="N306" s="11">
        <f t="shared" si="1"/>
        <v>18172</v>
      </c>
      <c r="O306" s="9">
        <f t="shared" si="2"/>
        <v>1.408714715</v>
      </c>
    </row>
    <row r="307">
      <c r="A307" s="28">
        <f>IFERROR(__xludf.DUMMYFUNCTION("""COMPUTED_VALUE"""),18080.0)</f>
        <v>18080</v>
      </c>
      <c r="B307" s="29">
        <f>IFERROR(__xludf.DUMMYFUNCTION("""COMPUTED_VALUE"""),26.112)</f>
        <v>26.112</v>
      </c>
      <c r="C307" s="23"/>
      <c r="D307" s="26"/>
      <c r="E307" s="25"/>
      <c r="N307" s="11">
        <f t="shared" si="1"/>
        <v>18080</v>
      </c>
      <c r="O307" s="9">
        <f t="shared" si="2"/>
        <v>1.416840137</v>
      </c>
    </row>
    <row r="308">
      <c r="A308" s="28">
        <f>IFERROR(__xludf.DUMMYFUNCTION("""COMPUTED_VALUE"""),17989.0)</f>
        <v>17989</v>
      </c>
      <c r="B308" s="29">
        <f>IFERROR(__xludf.DUMMYFUNCTION("""COMPUTED_VALUE"""),27.476)</f>
        <v>27.476</v>
      </c>
      <c r="C308" s="23"/>
      <c r="D308" s="26"/>
      <c r="E308" s="25"/>
      <c r="N308" s="11">
        <f t="shared" si="1"/>
        <v>17989</v>
      </c>
      <c r="O308" s="9">
        <f t="shared" si="2"/>
        <v>1.438953508</v>
      </c>
    </row>
    <row r="309">
      <c r="A309" s="28">
        <f>IFERROR(__xludf.DUMMYFUNCTION("""COMPUTED_VALUE"""),17899.0)</f>
        <v>17899</v>
      </c>
      <c r="B309" s="29">
        <f>IFERROR(__xludf.DUMMYFUNCTION("""COMPUTED_VALUE"""),28.583)</f>
        <v>28.583</v>
      </c>
      <c r="C309" s="23"/>
      <c r="D309" s="26"/>
      <c r="E309" s="25"/>
      <c r="N309" s="11">
        <f t="shared" si="1"/>
        <v>17899</v>
      </c>
      <c r="O309" s="9">
        <f t="shared" si="2"/>
        <v>1.456107809</v>
      </c>
    </row>
    <row r="310">
      <c r="A310" s="28">
        <f>IFERROR(__xludf.DUMMYFUNCTION("""COMPUTED_VALUE"""),17807.0)</f>
        <v>17807</v>
      </c>
      <c r="B310" s="29">
        <f>IFERROR(__xludf.DUMMYFUNCTION("""COMPUTED_VALUE"""),30.16)</f>
        <v>30.16</v>
      </c>
      <c r="C310" s="23"/>
      <c r="D310" s="26"/>
      <c r="E310" s="25"/>
      <c r="N310" s="11">
        <f t="shared" si="1"/>
        <v>17807</v>
      </c>
      <c r="O310" s="9">
        <f t="shared" si="2"/>
        <v>1.479431337</v>
      </c>
    </row>
    <row r="311">
      <c r="A311" s="28">
        <f>IFERROR(__xludf.DUMMYFUNCTION("""COMPUTED_VALUE"""),17715.0)</f>
        <v>17715</v>
      </c>
      <c r="B311" s="29">
        <f>IFERROR(__xludf.DUMMYFUNCTION("""COMPUTED_VALUE"""),29.081)</f>
        <v>29.081</v>
      </c>
      <c r="C311" s="23"/>
      <c r="D311" s="26"/>
      <c r="E311" s="25"/>
      <c r="N311" s="11">
        <f t="shared" si="1"/>
        <v>17715</v>
      </c>
      <c r="O311" s="9">
        <f t="shared" si="2"/>
        <v>1.463609336</v>
      </c>
    </row>
    <row r="312">
      <c r="A312" s="28">
        <f>IFERROR(__xludf.DUMMYFUNCTION("""COMPUTED_VALUE"""),17624.0)</f>
        <v>17624</v>
      </c>
      <c r="B312" s="29">
        <f>IFERROR(__xludf.DUMMYFUNCTION("""COMPUTED_VALUE"""),28.05)</f>
        <v>28.05</v>
      </c>
      <c r="C312" s="23"/>
      <c r="D312" s="26"/>
      <c r="E312" s="25"/>
      <c r="N312" s="11">
        <f t="shared" si="1"/>
        <v>17624</v>
      </c>
      <c r="O312" s="9">
        <f t="shared" si="2"/>
        <v>1.447932866</v>
      </c>
    </row>
    <row r="313">
      <c r="A313" s="28">
        <f>IFERROR(__xludf.DUMMYFUNCTION("""COMPUTED_VALUE"""),17533.0)</f>
        <v>17533</v>
      </c>
      <c r="B313" s="29">
        <f>IFERROR(__xludf.DUMMYFUNCTION("""COMPUTED_VALUE"""),28.231)</f>
        <v>28.231</v>
      </c>
      <c r="C313" s="23"/>
      <c r="D313" s="26"/>
      <c r="E313" s="25"/>
      <c r="N313" s="11">
        <f t="shared" si="1"/>
        <v>17533</v>
      </c>
      <c r="O313" s="9">
        <f t="shared" si="2"/>
        <v>1.450726262</v>
      </c>
    </row>
    <row r="314">
      <c r="A314" s="28">
        <f>IFERROR(__xludf.DUMMYFUNCTION("""COMPUTED_VALUE"""),17441.0)</f>
        <v>17441</v>
      </c>
      <c r="B314" s="29">
        <f>IFERROR(__xludf.DUMMYFUNCTION("""COMPUTED_VALUE"""),26.54)</f>
        <v>26.54</v>
      </c>
      <c r="C314" s="23"/>
      <c r="D314" s="26"/>
      <c r="E314" s="25"/>
      <c r="N314" s="11">
        <f t="shared" si="1"/>
        <v>17441</v>
      </c>
      <c r="O314" s="9">
        <f t="shared" si="2"/>
        <v>1.423900919</v>
      </c>
    </row>
    <row r="315">
      <c r="A315" s="26">
        <f>IFERROR(__xludf.DUMMYFUNCTION("""COMPUTED_VALUE"""),17349.0)</f>
        <v>17349</v>
      </c>
      <c r="B315" s="22">
        <f>IFERROR(__xludf.DUMMYFUNCTION("""COMPUTED_VALUE"""),25.361)</f>
        <v>25.361</v>
      </c>
      <c r="C315" s="23"/>
      <c r="D315" s="26"/>
      <c r="E315" s="25"/>
      <c r="N315" s="11">
        <f t="shared" si="1"/>
        <v>17349</v>
      </c>
    </row>
    <row r="316">
      <c r="A316" s="26">
        <f>IFERROR(__xludf.DUMMYFUNCTION("""COMPUTED_VALUE"""),17258.0)</f>
        <v>17258</v>
      </c>
      <c r="B316" s="22">
        <f>IFERROR(__xludf.DUMMYFUNCTION("""COMPUTED_VALUE"""),25.171)</f>
        <v>25.171</v>
      </c>
      <c r="C316" s="23"/>
      <c r="D316" s="26"/>
      <c r="E316" s="25"/>
      <c r="N316" s="11">
        <f t="shared" si="1"/>
        <v>17258</v>
      </c>
    </row>
    <row r="317">
      <c r="A317" s="26">
        <f>IFERROR(__xludf.DUMMYFUNCTION("""COMPUTED_VALUE"""),17168.0)</f>
        <v>17168</v>
      </c>
      <c r="B317" s="22">
        <f>IFERROR(__xludf.DUMMYFUNCTION("""COMPUTED_VALUE"""),24.818)</f>
        <v>24.818</v>
      </c>
      <c r="C317" s="23"/>
      <c r="D317" s="26"/>
      <c r="E317" s="25"/>
      <c r="N317" s="11">
        <f t="shared" si="1"/>
        <v>17168</v>
      </c>
    </row>
    <row r="318">
      <c r="A318" s="26"/>
      <c r="B318" s="22"/>
      <c r="C318" s="23"/>
      <c r="D318" s="26"/>
      <c r="E318" s="25"/>
      <c r="N318" s="11" t="str">
        <f t="shared" si="1"/>
        <v/>
      </c>
    </row>
    <row r="319">
      <c r="A319" s="26"/>
      <c r="B319" s="22"/>
      <c r="C319" s="23"/>
      <c r="D319" s="26"/>
      <c r="E319" s="25"/>
      <c r="N319" s="11" t="str">
        <f t="shared" si="1"/>
        <v/>
      </c>
    </row>
    <row r="320">
      <c r="A320" s="26"/>
      <c r="B320" s="22"/>
      <c r="C320" s="23"/>
      <c r="D320" s="26"/>
      <c r="E320" s="25"/>
      <c r="N320" s="11" t="str">
        <f t="shared" si="1"/>
        <v/>
      </c>
    </row>
    <row r="321">
      <c r="A321" s="26"/>
      <c r="B321" s="22"/>
      <c r="C321" s="23"/>
      <c r="D321" s="26"/>
      <c r="E321" s="25"/>
      <c r="N321" s="11" t="str">
        <f t="shared" si="1"/>
        <v/>
      </c>
    </row>
    <row r="322">
      <c r="A322" s="26"/>
      <c r="B322" s="22"/>
      <c r="C322" s="23"/>
      <c r="D322" s="26"/>
      <c r="E322" s="25"/>
      <c r="N322" s="11" t="str">
        <f t="shared" si="1"/>
        <v/>
      </c>
    </row>
    <row r="323">
      <c r="A323" s="26"/>
      <c r="B323" s="22"/>
      <c r="C323" s="23"/>
      <c r="D323" s="26"/>
      <c r="E323" s="25"/>
      <c r="N323" s="11" t="str">
        <f t="shared" si="1"/>
        <v/>
      </c>
    </row>
    <row r="324">
      <c r="A324" s="26"/>
      <c r="B324" s="22"/>
      <c r="C324" s="23"/>
      <c r="D324" s="26"/>
      <c r="E324" s="25"/>
      <c r="N324" s="11" t="str">
        <f t="shared" si="1"/>
        <v/>
      </c>
    </row>
    <row r="325">
      <c r="A325" s="26"/>
      <c r="B325" s="22"/>
      <c r="C325" s="23"/>
      <c r="D325" s="26"/>
      <c r="E325" s="25"/>
      <c r="N325" s="11" t="str">
        <f t="shared" si="1"/>
        <v/>
      </c>
    </row>
    <row r="326">
      <c r="A326" s="26"/>
      <c r="B326" s="22"/>
      <c r="C326" s="23"/>
      <c r="D326" s="26"/>
      <c r="E326" s="25"/>
      <c r="N326" s="11" t="str">
        <f t="shared" si="1"/>
        <v/>
      </c>
    </row>
    <row r="327">
      <c r="A327" s="26"/>
      <c r="B327" s="22"/>
      <c r="C327" s="23"/>
      <c r="D327" s="26"/>
      <c r="E327" s="25"/>
      <c r="N327" s="11" t="str">
        <f t="shared" si="1"/>
        <v/>
      </c>
    </row>
    <row r="328">
      <c r="A328" s="26"/>
      <c r="B328" s="22"/>
      <c r="C328" s="23"/>
      <c r="D328" s="26"/>
      <c r="E328" s="25"/>
      <c r="N328" s="11" t="str">
        <f t="shared" si="1"/>
        <v/>
      </c>
    </row>
    <row r="329">
      <c r="A329" s="26"/>
      <c r="B329" s="22"/>
      <c r="C329" s="23"/>
      <c r="D329" s="26"/>
      <c r="E329" s="25"/>
      <c r="N329" s="11" t="str">
        <f t="shared" si="1"/>
        <v/>
      </c>
    </row>
    <row r="330">
      <c r="A330" s="26"/>
      <c r="B330" s="22"/>
      <c r="C330" s="23"/>
      <c r="D330" s="26"/>
      <c r="E330" s="25"/>
      <c r="N330" s="11" t="str">
        <f t="shared" si="1"/>
        <v/>
      </c>
    </row>
    <row r="331">
      <c r="A331" s="26"/>
      <c r="B331" s="22"/>
      <c r="C331" s="23"/>
      <c r="D331" s="26"/>
      <c r="E331" s="25"/>
      <c r="N331" s="11" t="str">
        <f t="shared" si="1"/>
        <v/>
      </c>
    </row>
    <row r="332">
      <c r="A332" s="26"/>
      <c r="B332" s="22"/>
      <c r="C332" s="23"/>
      <c r="D332" s="26"/>
      <c r="E332" s="25"/>
      <c r="N332" s="11" t="str">
        <f t="shared" si="1"/>
        <v/>
      </c>
    </row>
    <row r="333">
      <c r="A333" s="26"/>
      <c r="B333" s="22"/>
      <c r="C333" s="23"/>
      <c r="D333" s="26"/>
      <c r="E333" s="25"/>
      <c r="N333" s="11" t="str">
        <f t="shared" si="1"/>
        <v/>
      </c>
    </row>
    <row r="334">
      <c r="A334" s="26"/>
      <c r="B334" s="22"/>
      <c r="C334" s="23"/>
      <c r="D334" s="26"/>
      <c r="E334" s="25"/>
      <c r="N334" s="11" t="str">
        <f t="shared" si="1"/>
        <v/>
      </c>
    </row>
    <row r="335">
      <c r="A335" s="26"/>
      <c r="B335" s="22"/>
      <c r="C335" s="23"/>
      <c r="D335" s="26"/>
      <c r="E335" s="25"/>
      <c r="N335" s="11" t="str">
        <f t="shared" si="1"/>
        <v/>
      </c>
    </row>
    <row r="336">
      <c r="A336" s="26"/>
      <c r="B336" s="22"/>
      <c r="C336" s="23"/>
      <c r="D336" s="26"/>
      <c r="E336" s="25"/>
      <c r="N336" s="11" t="str">
        <f t="shared" si="1"/>
        <v/>
      </c>
    </row>
    <row r="337">
      <c r="A337" s="26"/>
      <c r="B337" s="22"/>
      <c r="C337" s="23"/>
      <c r="D337" s="26"/>
      <c r="E337" s="25"/>
      <c r="N337" s="11" t="str">
        <f t="shared" si="1"/>
        <v/>
      </c>
    </row>
    <row r="338">
      <c r="A338" s="26"/>
      <c r="B338" s="22"/>
      <c r="C338" s="23"/>
      <c r="D338" s="26"/>
      <c r="E338" s="25"/>
      <c r="N338" s="11" t="str">
        <f t="shared" si="1"/>
        <v/>
      </c>
    </row>
    <row r="339">
      <c r="A339" s="26"/>
      <c r="B339" s="22"/>
      <c r="C339" s="23"/>
      <c r="D339" s="26"/>
      <c r="E339" s="25"/>
      <c r="N339" s="11" t="str">
        <f t="shared" si="1"/>
        <v/>
      </c>
    </row>
    <row r="340">
      <c r="A340" s="26"/>
      <c r="B340" s="22"/>
      <c r="C340" s="23"/>
      <c r="D340" s="26"/>
      <c r="E340" s="25"/>
      <c r="N340" s="11" t="str">
        <f t="shared" si="1"/>
        <v/>
      </c>
    </row>
    <row r="341">
      <c r="A341" s="26"/>
      <c r="B341" s="22"/>
      <c r="C341" s="23"/>
      <c r="D341" s="26"/>
      <c r="E341" s="25"/>
      <c r="N341" s="11" t="str">
        <f t="shared" si="1"/>
        <v/>
      </c>
    </row>
    <row r="342">
      <c r="A342" s="26"/>
      <c r="B342" s="22"/>
      <c r="C342" s="23"/>
      <c r="D342" s="26"/>
      <c r="E342" s="25"/>
      <c r="N342" s="11" t="str">
        <f t="shared" si="1"/>
        <v/>
      </c>
    </row>
    <row r="343">
      <c r="A343" s="26"/>
      <c r="B343" s="22"/>
      <c r="C343" s="23"/>
      <c r="D343" s="26"/>
      <c r="E343" s="25"/>
      <c r="N343" s="11" t="str">
        <f t="shared" si="1"/>
        <v/>
      </c>
    </row>
    <row r="344">
      <c r="A344" s="26"/>
      <c r="B344" s="22"/>
      <c r="C344" s="23"/>
      <c r="D344" s="26"/>
      <c r="E344" s="25"/>
      <c r="N344" s="11" t="str">
        <f t="shared" si="1"/>
        <v/>
      </c>
    </row>
    <row r="345">
      <c r="A345" s="26"/>
      <c r="B345" s="22"/>
      <c r="C345" s="23"/>
      <c r="D345" s="26"/>
      <c r="E345" s="25"/>
      <c r="N345" s="11" t="str">
        <f t="shared" si="1"/>
        <v/>
      </c>
    </row>
    <row r="346">
      <c r="A346" s="26"/>
      <c r="B346" s="22"/>
      <c r="C346" s="23"/>
      <c r="D346" s="26"/>
      <c r="E346" s="25"/>
      <c r="N346" s="11" t="str">
        <f t="shared" si="1"/>
        <v/>
      </c>
    </row>
    <row r="347">
      <c r="A347" s="26"/>
      <c r="B347" s="22"/>
      <c r="C347" s="23"/>
      <c r="D347" s="26"/>
      <c r="E347" s="25"/>
      <c r="N347" s="11" t="str">
        <f t="shared" si="1"/>
        <v/>
      </c>
    </row>
    <row r="348">
      <c r="A348" s="26"/>
      <c r="B348" s="22"/>
      <c r="C348" s="23"/>
      <c r="D348" s="26"/>
      <c r="E348" s="25"/>
      <c r="N348" s="11" t="str">
        <f t="shared" si="1"/>
        <v/>
      </c>
    </row>
    <row r="349">
      <c r="A349" s="26"/>
      <c r="B349" s="22"/>
      <c r="C349" s="23"/>
      <c r="D349" s="26"/>
      <c r="E349" s="25"/>
      <c r="N349" s="11" t="str">
        <f t="shared" si="1"/>
        <v/>
      </c>
    </row>
    <row r="350">
      <c r="A350" s="26"/>
      <c r="B350" s="22"/>
      <c r="C350" s="23"/>
      <c r="D350" s="26"/>
      <c r="E350" s="25"/>
      <c r="N350" s="11" t="str">
        <f t="shared" si="1"/>
        <v/>
      </c>
    </row>
    <row r="351">
      <c r="A351" s="26"/>
      <c r="B351" s="22"/>
      <c r="C351" s="23"/>
      <c r="D351" s="26"/>
      <c r="E351" s="25"/>
      <c r="N351" s="11" t="str">
        <f t="shared" si="1"/>
        <v/>
      </c>
    </row>
    <row r="352">
      <c r="A352" s="26"/>
      <c r="B352" s="22"/>
      <c r="C352" s="23"/>
      <c r="D352" s="26"/>
      <c r="E352" s="25"/>
      <c r="N352" s="11" t="str">
        <f t="shared" si="1"/>
        <v/>
      </c>
    </row>
    <row r="353">
      <c r="A353" s="26"/>
      <c r="B353" s="22"/>
      <c r="C353" s="23"/>
      <c r="D353" s="26"/>
      <c r="E353" s="25"/>
      <c r="N353" s="11" t="str">
        <f t="shared" si="1"/>
        <v/>
      </c>
    </row>
    <row r="354">
      <c r="A354" s="26"/>
      <c r="B354" s="22"/>
      <c r="C354" s="23"/>
      <c r="D354" s="26"/>
      <c r="E354" s="25"/>
      <c r="N354" s="11" t="str">
        <f t="shared" si="1"/>
        <v/>
      </c>
    </row>
    <row r="355">
      <c r="A355" s="26"/>
      <c r="B355" s="22"/>
      <c r="C355" s="23"/>
      <c r="D355" s="26"/>
      <c r="E355" s="25"/>
      <c r="N355" s="11" t="str">
        <f t="shared" si="1"/>
        <v/>
      </c>
    </row>
    <row r="356">
      <c r="A356" s="26"/>
      <c r="B356" s="22"/>
      <c r="C356" s="23"/>
      <c r="D356" s="26"/>
      <c r="E356" s="25"/>
      <c r="N356" s="11" t="str">
        <f t="shared" si="1"/>
        <v/>
      </c>
    </row>
    <row r="357">
      <c r="A357" s="26"/>
      <c r="B357" s="22"/>
      <c r="C357" s="23"/>
      <c r="D357" s="26"/>
      <c r="E357" s="25"/>
      <c r="N357" s="11" t="str">
        <f t="shared" si="1"/>
        <v/>
      </c>
    </row>
    <row r="358">
      <c r="A358" s="26"/>
      <c r="B358" s="22"/>
      <c r="C358" s="23"/>
      <c r="D358" s="26"/>
      <c r="E358" s="25"/>
      <c r="N358" s="11" t="str">
        <f t="shared" si="1"/>
        <v/>
      </c>
    </row>
    <row r="359">
      <c r="A359" s="26"/>
      <c r="B359" s="22"/>
      <c r="C359" s="23"/>
      <c r="D359" s="26"/>
      <c r="E359" s="25"/>
      <c r="N359" s="11" t="str">
        <f t="shared" si="1"/>
        <v/>
      </c>
    </row>
    <row r="360">
      <c r="A360" s="26"/>
      <c r="B360" s="22"/>
      <c r="C360" s="23"/>
      <c r="D360" s="26"/>
      <c r="E360" s="25"/>
      <c r="N360" s="11" t="str">
        <f t="shared" si="1"/>
        <v/>
      </c>
    </row>
    <row r="361">
      <c r="A361" s="26"/>
      <c r="B361" s="22"/>
      <c r="C361" s="23"/>
      <c r="D361" s="26"/>
      <c r="E361" s="25"/>
      <c r="N361" s="11" t="str">
        <f t="shared" si="1"/>
        <v/>
      </c>
    </row>
    <row r="362">
      <c r="A362" s="26"/>
      <c r="B362" s="22"/>
      <c r="C362" s="23"/>
      <c r="D362" s="26"/>
      <c r="E362" s="25"/>
      <c r="N362" s="11" t="str">
        <f t="shared" si="1"/>
        <v/>
      </c>
    </row>
    <row r="363">
      <c r="A363" s="26"/>
      <c r="B363" s="22"/>
      <c r="C363" s="23"/>
      <c r="D363" s="26"/>
      <c r="E363" s="25"/>
      <c r="N363" s="11" t="str">
        <f t="shared" si="1"/>
        <v/>
      </c>
    </row>
    <row r="364">
      <c r="A364" s="26"/>
      <c r="B364" s="22"/>
      <c r="C364" s="23"/>
      <c r="D364" s="26"/>
      <c r="E364" s="25"/>
      <c r="N364" s="11" t="str">
        <f t="shared" si="1"/>
        <v/>
      </c>
    </row>
    <row r="365">
      <c r="A365" s="26"/>
      <c r="B365" s="22"/>
      <c r="C365" s="23"/>
      <c r="D365" s="26"/>
      <c r="E365" s="25"/>
      <c r="N365" s="11" t="str">
        <f t="shared" si="1"/>
        <v/>
      </c>
    </row>
    <row r="366">
      <c r="A366" s="26"/>
      <c r="B366" s="22"/>
      <c r="C366" s="23"/>
      <c r="D366" s="26"/>
      <c r="E366" s="25"/>
      <c r="N366" s="11" t="str">
        <f t="shared" si="1"/>
        <v/>
      </c>
    </row>
    <row r="367">
      <c r="A367" s="26"/>
      <c r="B367" s="22"/>
      <c r="C367" s="23"/>
      <c r="D367" s="26"/>
      <c r="E367" s="25"/>
      <c r="N367" s="11" t="str">
        <f t="shared" si="1"/>
        <v/>
      </c>
    </row>
    <row r="368">
      <c r="A368" s="26"/>
      <c r="B368" s="22"/>
      <c r="C368" s="23"/>
      <c r="D368" s="26"/>
      <c r="E368" s="25"/>
      <c r="N368" s="11" t="str">
        <f t="shared" si="1"/>
        <v/>
      </c>
    </row>
    <row r="369">
      <c r="A369" s="26"/>
      <c r="B369" s="22"/>
      <c r="C369" s="23"/>
      <c r="D369" s="26"/>
      <c r="E369" s="25"/>
      <c r="N369" s="11" t="str">
        <f t="shared" si="1"/>
        <v/>
      </c>
    </row>
    <row r="370">
      <c r="A370" s="26"/>
      <c r="B370" s="22"/>
      <c r="C370" s="23"/>
      <c r="D370" s="26"/>
      <c r="E370" s="25"/>
      <c r="N370" s="11" t="str">
        <f t="shared" si="1"/>
        <v/>
      </c>
    </row>
    <row r="371">
      <c r="A371" s="26"/>
      <c r="B371" s="22"/>
      <c r="C371" s="23"/>
      <c r="D371" s="26"/>
      <c r="E371" s="25"/>
      <c r="N371" s="11" t="str">
        <f t="shared" si="1"/>
        <v/>
      </c>
    </row>
    <row r="372">
      <c r="A372" s="26"/>
      <c r="B372" s="22"/>
      <c r="C372" s="23"/>
      <c r="D372" s="26"/>
      <c r="E372" s="25"/>
      <c r="N372" s="11" t="str">
        <f t="shared" si="1"/>
        <v/>
      </c>
    </row>
    <row r="373">
      <c r="A373" s="26"/>
      <c r="B373" s="22"/>
      <c r="C373" s="23"/>
      <c r="D373" s="26"/>
      <c r="E373" s="25"/>
      <c r="N373" s="11" t="str">
        <f t="shared" si="1"/>
        <v/>
      </c>
    </row>
    <row r="374">
      <c r="A374" s="26"/>
      <c r="B374" s="22"/>
      <c r="C374" s="23"/>
      <c r="D374" s="26"/>
      <c r="E374" s="25"/>
      <c r="N374" s="11" t="str">
        <f t="shared" si="1"/>
        <v/>
      </c>
    </row>
    <row r="375">
      <c r="A375" s="26"/>
      <c r="B375" s="22"/>
      <c r="C375" s="23"/>
      <c r="D375" s="26"/>
      <c r="E375" s="25"/>
      <c r="N375" s="11" t="str">
        <f t="shared" si="1"/>
        <v/>
      </c>
    </row>
    <row r="376">
      <c r="A376" s="26"/>
      <c r="B376" s="22"/>
      <c r="C376" s="23"/>
      <c r="D376" s="26"/>
      <c r="E376" s="25"/>
      <c r="N376" s="11" t="str">
        <f t="shared" si="1"/>
        <v/>
      </c>
    </row>
    <row r="377">
      <c r="A377" s="26"/>
      <c r="B377" s="22"/>
      <c r="C377" s="23"/>
      <c r="D377" s="26"/>
      <c r="E377" s="25"/>
      <c r="N377" s="11" t="str">
        <f t="shared" si="1"/>
        <v/>
      </c>
    </row>
    <row r="378">
      <c r="A378" s="26"/>
      <c r="B378" s="22"/>
      <c r="C378" s="23"/>
      <c r="D378" s="26"/>
      <c r="E378" s="25"/>
      <c r="N378" s="11" t="str">
        <f t="shared" si="1"/>
        <v/>
      </c>
    </row>
    <row r="379">
      <c r="A379" s="26"/>
      <c r="B379" s="22"/>
      <c r="C379" s="23"/>
      <c r="D379" s="26"/>
      <c r="E379" s="25"/>
      <c r="N379" s="11" t="str">
        <f t="shared" si="1"/>
        <v/>
      </c>
    </row>
    <row r="380">
      <c r="A380" s="26"/>
      <c r="B380" s="22"/>
      <c r="C380" s="23"/>
      <c r="D380" s="26"/>
      <c r="E380" s="25"/>
      <c r="N380" s="11" t="str">
        <f t="shared" si="1"/>
        <v/>
      </c>
    </row>
    <row r="381">
      <c r="A381" s="26"/>
      <c r="B381" s="22"/>
      <c r="C381" s="23"/>
      <c r="D381" s="26"/>
      <c r="E381" s="25"/>
      <c r="N381" s="11" t="str">
        <f t="shared" si="1"/>
        <v/>
      </c>
    </row>
    <row r="382">
      <c r="A382" s="26"/>
      <c r="B382" s="22"/>
      <c r="C382" s="23"/>
      <c r="D382" s="26"/>
      <c r="E382" s="25"/>
      <c r="N382" s="11" t="str">
        <f t="shared" si="1"/>
        <v/>
      </c>
    </row>
    <row r="383">
      <c r="A383" s="26"/>
      <c r="B383" s="22"/>
      <c r="C383" s="23"/>
      <c r="D383" s="26"/>
      <c r="E383" s="25"/>
      <c r="N383" s="11" t="str">
        <f t="shared" si="1"/>
        <v/>
      </c>
    </row>
    <row r="384">
      <c r="A384" s="26"/>
      <c r="B384" s="22"/>
      <c r="C384" s="23"/>
      <c r="D384" s="26"/>
      <c r="E384" s="25"/>
      <c r="N384" s="11" t="str">
        <f t="shared" si="1"/>
        <v/>
      </c>
    </row>
    <row r="385">
      <c r="A385" s="26"/>
      <c r="B385" s="22"/>
      <c r="C385" s="23"/>
      <c r="D385" s="26"/>
      <c r="E385" s="25"/>
      <c r="N385" s="11" t="str">
        <f t="shared" si="1"/>
        <v/>
      </c>
    </row>
    <row r="386">
      <c r="A386" s="26"/>
      <c r="B386" s="22"/>
      <c r="C386" s="23"/>
      <c r="D386" s="26"/>
      <c r="E386" s="25"/>
      <c r="N386" s="11" t="str">
        <f t="shared" si="1"/>
        <v/>
      </c>
    </row>
    <row r="387">
      <c r="A387" s="26"/>
      <c r="B387" s="22"/>
      <c r="C387" s="23"/>
      <c r="D387" s="26"/>
      <c r="E387" s="25"/>
      <c r="N387" s="11" t="str">
        <f t="shared" si="1"/>
        <v/>
      </c>
    </row>
    <row r="388">
      <c r="A388" s="26"/>
      <c r="B388" s="22"/>
      <c r="C388" s="23"/>
      <c r="D388" s="26"/>
      <c r="E388" s="25"/>
      <c r="N388" s="11" t="str">
        <f t="shared" si="1"/>
        <v/>
      </c>
    </row>
    <row r="389">
      <c r="A389" s="26"/>
      <c r="B389" s="22"/>
      <c r="C389" s="23"/>
      <c r="D389" s="26"/>
      <c r="E389" s="25"/>
      <c r="N389" s="11" t="str">
        <f t="shared" si="1"/>
        <v/>
      </c>
    </row>
    <row r="390">
      <c r="A390" s="26"/>
      <c r="B390" s="22"/>
      <c r="C390" s="23"/>
      <c r="D390" s="26"/>
      <c r="E390" s="25"/>
      <c r="N390" s="11" t="str">
        <f t="shared" si="1"/>
        <v/>
      </c>
    </row>
    <row r="391">
      <c r="A391" s="26"/>
      <c r="B391" s="22"/>
      <c r="C391" s="23"/>
      <c r="D391" s="26"/>
      <c r="E391" s="25"/>
      <c r="N391" s="11" t="str">
        <f t="shared" si="1"/>
        <v/>
      </c>
    </row>
    <row r="392">
      <c r="A392" s="26"/>
      <c r="B392" s="22"/>
      <c r="C392" s="23"/>
      <c r="D392" s="26"/>
      <c r="E392" s="25"/>
      <c r="N392" s="11" t="str">
        <f t="shared" si="1"/>
        <v/>
      </c>
    </row>
    <row r="393">
      <c r="A393" s="26"/>
      <c r="B393" s="22"/>
      <c r="C393" s="23"/>
      <c r="D393" s="26"/>
      <c r="E393" s="25"/>
      <c r="N393" s="11" t="str">
        <f t="shared" si="1"/>
        <v/>
      </c>
    </row>
    <row r="394">
      <c r="A394" s="26"/>
      <c r="B394" s="22"/>
      <c r="C394" s="23"/>
      <c r="D394" s="26"/>
      <c r="E394" s="25"/>
      <c r="N394" s="11" t="str">
        <f t="shared" si="1"/>
        <v/>
      </c>
    </row>
    <row r="395">
      <c r="A395" s="26"/>
      <c r="B395" s="22"/>
      <c r="C395" s="23"/>
      <c r="D395" s="26"/>
      <c r="E395" s="25"/>
      <c r="N395" s="11" t="str">
        <f t="shared" si="1"/>
        <v/>
      </c>
    </row>
    <row r="396">
      <c r="A396" s="26"/>
      <c r="B396" s="22"/>
      <c r="C396" s="23"/>
      <c r="D396" s="26"/>
      <c r="E396" s="25"/>
      <c r="N396" s="11" t="str">
        <f t="shared" si="1"/>
        <v/>
      </c>
    </row>
    <row r="397">
      <c r="A397" s="26"/>
      <c r="B397" s="22"/>
      <c r="C397" s="23"/>
      <c r="D397" s="26"/>
      <c r="E397" s="25"/>
      <c r="N397" s="11" t="str">
        <f t="shared" si="1"/>
        <v/>
      </c>
    </row>
    <row r="398">
      <c r="A398" s="26"/>
      <c r="B398" s="22"/>
      <c r="C398" s="23"/>
      <c r="D398" s="26"/>
      <c r="E398" s="25"/>
      <c r="N398" s="11" t="str">
        <f t="shared" si="1"/>
        <v/>
      </c>
    </row>
    <row r="399">
      <c r="A399" s="26"/>
      <c r="B399" s="22"/>
      <c r="C399" s="23"/>
      <c r="D399" s="26"/>
      <c r="E399" s="25"/>
      <c r="N399" s="11" t="str">
        <f t="shared" si="1"/>
        <v/>
      </c>
    </row>
    <row r="400">
      <c r="A400" s="26"/>
      <c r="B400" s="22"/>
      <c r="C400" s="23"/>
      <c r="D400" s="26"/>
      <c r="E400" s="25"/>
      <c r="N400" s="11" t="str">
        <f t="shared" si="1"/>
        <v/>
      </c>
    </row>
    <row r="401">
      <c r="A401" s="26"/>
      <c r="B401" s="22"/>
      <c r="C401" s="23"/>
      <c r="D401" s="26"/>
      <c r="E401" s="25"/>
      <c r="N401" s="11" t="str">
        <f t="shared" si="1"/>
        <v/>
      </c>
    </row>
    <row r="402">
      <c r="A402" s="26"/>
      <c r="B402" s="22"/>
      <c r="C402" s="23"/>
      <c r="D402" s="26"/>
      <c r="E402" s="25"/>
      <c r="N402" s="11" t="str">
        <f t="shared" si="1"/>
        <v/>
      </c>
    </row>
    <row r="403">
      <c r="A403" s="26"/>
      <c r="B403" s="22"/>
      <c r="C403" s="23"/>
      <c r="D403" s="26"/>
      <c r="E403" s="25"/>
      <c r="N403" s="11" t="str">
        <f t="shared" si="1"/>
        <v/>
      </c>
    </row>
    <row r="404">
      <c r="A404" s="26"/>
      <c r="B404" s="22"/>
      <c r="C404" s="23"/>
      <c r="D404" s="26"/>
      <c r="E404" s="25"/>
      <c r="N404" s="11" t="str">
        <f t="shared" si="1"/>
        <v/>
      </c>
    </row>
    <row r="405">
      <c r="A405" s="26"/>
      <c r="B405" s="22"/>
      <c r="C405" s="23"/>
      <c r="D405" s="26"/>
      <c r="E405" s="25"/>
      <c r="N405" s="11" t="str">
        <f t="shared" si="1"/>
        <v/>
      </c>
    </row>
    <row r="406">
      <c r="A406" s="26"/>
      <c r="B406" s="22"/>
      <c r="C406" s="23"/>
      <c r="D406" s="26"/>
      <c r="E406" s="25"/>
      <c r="N406" s="11" t="str">
        <f t="shared" si="1"/>
        <v/>
      </c>
    </row>
    <row r="407">
      <c r="A407" s="26"/>
      <c r="B407" s="22"/>
      <c r="C407" s="23"/>
      <c r="D407" s="26"/>
      <c r="E407" s="25"/>
      <c r="N407" s="11" t="str">
        <f t="shared" si="1"/>
        <v/>
      </c>
    </row>
    <row r="408">
      <c r="A408" s="26"/>
      <c r="B408" s="22"/>
      <c r="C408" s="23"/>
      <c r="D408" s="26"/>
      <c r="E408" s="25"/>
      <c r="N408" s="11" t="str">
        <f t="shared" si="1"/>
        <v/>
      </c>
    </row>
    <row r="409">
      <c r="A409" s="26"/>
      <c r="B409" s="22"/>
      <c r="C409" s="23"/>
      <c r="D409" s="26"/>
      <c r="E409" s="25"/>
      <c r="N409" s="11" t="str">
        <f t="shared" si="1"/>
        <v/>
      </c>
    </row>
    <row r="410">
      <c r="A410" s="26"/>
      <c r="B410" s="22"/>
      <c r="C410" s="23"/>
      <c r="D410" s="26"/>
      <c r="E410" s="25"/>
      <c r="N410" s="11" t="str">
        <f t="shared" si="1"/>
        <v/>
      </c>
    </row>
    <row r="411">
      <c r="A411" s="26"/>
      <c r="B411" s="22"/>
      <c r="C411" s="23"/>
      <c r="D411" s="26"/>
      <c r="E411" s="25"/>
      <c r="N411" s="11" t="str">
        <f t="shared" si="1"/>
        <v/>
      </c>
    </row>
    <row r="412">
      <c r="A412" s="26"/>
      <c r="B412" s="22"/>
      <c r="C412" s="23"/>
      <c r="D412" s="26"/>
      <c r="E412" s="25"/>
      <c r="N412" s="11" t="str">
        <f t="shared" si="1"/>
        <v/>
      </c>
    </row>
    <row r="413">
      <c r="A413" s="26"/>
      <c r="B413" s="22"/>
      <c r="C413" s="23"/>
      <c r="D413" s="26"/>
      <c r="E413" s="25"/>
      <c r="N413" s="11" t="str">
        <f t="shared" si="1"/>
        <v/>
      </c>
    </row>
    <row r="414">
      <c r="A414" s="26"/>
      <c r="B414" s="22"/>
      <c r="C414" s="23"/>
      <c r="D414" s="26"/>
      <c r="E414" s="25"/>
      <c r="N414" s="11" t="str">
        <f t="shared" si="1"/>
        <v/>
      </c>
    </row>
    <row r="415">
      <c r="A415" s="26"/>
      <c r="B415" s="22"/>
      <c r="C415" s="23"/>
      <c r="D415" s="26"/>
      <c r="E415" s="25"/>
      <c r="N415" s="11" t="str">
        <f t="shared" si="1"/>
        <v/>
      </c>
    </row>
    <row r="416">
      <c r="A416" s="26"/>
      <c r="B416" s="22"/>
      <c r="C416" s="23"/>
      <c r="D416" s="26"/>
      <c r="E416" s="25"/>
      <c r="N416" s="11" t="str">
        <f t="shared" si="1"/>
        <v/>
      </c>
    </row>
    <row r="417">
      <c r="A417" s="26"/>
      <c r="B417" s="22"/>
      <c r="C417" s="23"/>
      <c r="D417" s="26"/>
      <c r="E417" s="25"/>
      <c r="N417" s="11" t="str">
        <f t="shared" si="1"/>
        <v/>
      </c>
    </row>
    <row r="418">
      <c r="A418" s="26"/>
      <c r="B418" s="22"/>
      <c r="C418" s="23"/>
      <c r="D418" s="26"/>
      <c r="E418" s="25"/>
      <c r="N418" s="11" t="str">
        <f t="shared" si="1"/>
        <v/>
      </c>
    </row>
    <row r="419">
      <c r="A419" s="26"/>
      <c r="B419" s="22"/>
      <c r="C419" s="23"/>
      <c r="D419" s="26"/>
      <c r="E419" s="25"/>
      <c r="N419" s="11" t="str">
        <f t="shared" si="1"/>
        <v/>
      </c>
    </row>
    <row r="420">
      <c r="A420" s="26"/>
      <c r="B420" s="22"/>
      <c r="C420" s="23"/>
      <c r="D420" s="26"/>
      <c r="E420" s="25"/>
      <c r="N420" s="11" t="str">
        <f t="shared" si="1"/>
        <v/>
      </c>
    </row>
    <row r="421">
      <c r="A421" s="26"/>
      <c r="B421" s="22"/>
      <c r="C421" s="23"/>
      <c r="D421" s="26"/>
      <c r="E421" s="25"/>
      <c r="N421" s="11" t="str">
        <f t="shared" si="1"/>
        <v/>
      </c>
    </row>
    <row r="422">
      <c r="A422" s="26"/>
      <c r="B422" s="22"/>
      <c r="C422" s="23"/>
      <c r="D422" s="26"/>
      <c r="E422" s="25"/>
      <c r="N422" s="11" t="str">
        <f t="shared" si="1"/>
        <v/>
      </c>
    </row>
    <row r="423">
      <c r="A423" s="26"/>
      <c r="B423" s="22"/>
      <c r="C423" s="23"/>
      <c r="D423" s="26"/>
      <c r="E423" s="25"/>
      <c r="N423" s="11" t="str">
        <f t="shared" si="1"/>
        <v/>
      </c>
    </row>
    <row r="424">
      <c r="A424" s="26"/>
      <c r="B424" s="22"/>
      <c r="C424" s="23"/>
      <c r="D424" s="26"/>
      <c r="E424" s="25"/>
      <c r="N424" s="11" t="str">
        <f t="shared" si="1"/>
        <v/>
      </c>
    </row>
    <row r="425">
      <c r="A425" s="26"/>
      <c r="B425" s="22"/>
      <c r="C425" s="23"/>
      <c r="D425" s="26"/>
      <c r="E425" s="25"/>
      <c r="N425" s="11" t="str">
        <f t="shared" si="1"/>
        <v/>
      </c>
    </row>
    <row r="426">
      <c r="A426" s="26"/>
      <c r="B426" s="22"/>
      <c r="C426" s="23"/>
      <c r="D426" s="26"/>
      <c r="E426" s="25"/>
      <c r="N426" s="11" t="str">
        <f t="shared" si="1"/>
        <v/>
      </c>
    </row>
    <row r="427">
      <c r="A427" s="26"/>
      <c r="B427" s="22"/>
      <c r="C427" s="23"/>
      <c r="D427" s="26"/>
      <c r="E427" s="25"/>
      <c r="N427" s="11" t="str">
        <f t="shared" si="1"/>
        <v/>
      </c>
    </row>
    <row r="428">
      <c r="A428" s="26"/>
      <c r="B428" s="22"/>
      <c r="C428" s="23"/>
      <c r="D428" s="26"/>
      <c r="E428" s="25"/>
      <c r="N428" s="11" t="str">
        <f t="shared" si="1"/>
        <v/>
      </c>
    </row>
    <row r="429">
      <c r="A429" s="26"/>
      <c r="B429" s="22"/>
      <c r="C429" s="23"/>
      <c r="D429" s="26"/>
      <c r="E429" s="25"/>
      <c r="N429" s="11" t="str">
        <f t="shared" si="1"/>
        <v/>
      </c>
    </row>
    <row r="430">
      <c r="A430" s="26"/>
      <c r="B430" s="22"/>
      <c r="C430" s="23"/>
      <c r="D430" s="26"/>
      <c r="E430" s="25"/>
      <c r="N430" s="11" t="str">
        <f t="shared" si="1"/>
        <v/>
      </c>
    </row>
    <row r="431">
      <c r="A431" s="26"/>
      <c r="B431" s="22"/>
      <c r="C431" s="23"/>
      <c r="D431" s="26"/>
      <c r="E431" s="25"/>
      <c r="N431" s="11" t="str">
        <f t="shared" si="1"/>
        <v/>
      </c>
    </row>
    <row r="432">
      <c r="A432" s="26"/>
      <c r="B432" s="22"/>
      <c r="C432" s="23"/>
      <c r="D432" s="26"/>
      <c r="E432" s="25"/>
      <c r="N432" s="11" t="str">
        <f t="shared" si="1"/>
        <v/>
      </c>
    </row>
    <row r="433">
      <c r="A433" s="26"/>
      <c r="B433" s="22"/>
      <c r="C433" s="23"/>
      <c r="D433" s="26"/>
      <c r="E433" s="25"/>
      <c r="N433" s="11" t="str">
        <f t="shared" si="1"/>
        <v/>
      </c>
    </row>
    <row r="434">
      <c r="A434" s="26"/>
      <c r="B434" s="22"/>
      <c r="C434" s="23"/>
      <c r="D434" s="26"/>
      <c r="E434" s="25"/>
      <c r="N434" s="11" t="str">
        <f t="shared" si="1"/>
        <v/>
      </c>
    </row>
    <row r="435">
      <c r="A435" s="26"/>
      <c r="B435" s="22"/>
      <c r="C435" s="23"/>
      <c r="D435" s="26"/>
      <c r="E435" s="25"/>
      <c r="N435" s="11" t="str">
        <f t="shared" si="1"/>
        <v/>
      </c>
    </row>
    <row r="436">
      <c r="A436" s="26"/>
      <c r="B436" s="22"/>
      <c r="C436" s="23"/>
      <c r="D436" s="26"/>
      <c r="E436" s="25"/>
      <c r="N436" s="11" t="str">
        <f t="shared" si="1"/>
        <v/>
      </c>
    </row>
    <row r="437">
      <c r="A437" s="26"/>
      <c r="B437" s="22"/>
      <c r="C437" s="23"/>
      <c r="D437" s="26"/>
      <c r="E437" s="25"/>
      <c r="N437" s="11" t="str">
        <f t="shared" si="1"/>
        <v/>
      </c>
    </row>
    <row r="438">
      <c r="A438" s="26"/>
      <c r="B438" s="22"/>
      <c r="C438" s="23"/>
      <c r="D438" s="26"/>
      <c r="E438" s="25"/>
      <c r="N438" s="11" t="str">
        <f t="shared" si="1"/>
        <v/>
      </c>
    </row>
    <row r="439">
      <c r="A439" s="26"/>
      <c r="B439" s="22"/>
      <c r="C439" s="23"/>
      <c r="D439" s="26"/>
      <c r="E439" s="25"/>
      <c r="N439" s="11" t="str">
        <f t="shared" si="1"/>
        <v/>
      </c>
    </row>
    <row r="440">
      <c r="A440" s="26"/>
      <c r="B440" s="22"/>
      <c r="C440" s="23"/>
      <c r="D440" s="26"/>
      <c r="E440" s="25"/>
      <c r="N440" s="11" t="str">
        <f t="shared" si="1"/>
        <v/>
      </c>
    </row>
    <row r="441">
      <c r="A441" s="26"/>
      <c r="B441" s="22"/>
      <c r="C441" s="23"/>
      <c r="D441" s="26"/>
      <c r="E441" s="25"/>
      <c r="N441" s="11" t="str">
        <f t="shared" si="1"/>
        <v/>
      </c>
    </row>
    <row r="442">
      <c r="A442" s="26"/>
      <c r="B442" s="22"/>
      <c r="C442" s="23"/>
      <c r="D442" s="26"/>
      <c r="E442" s="25"/>
      <c r="N442" s="11" t="str">
        <f t="shared" si="1"/>
        <v/>
      </c>
    </row>
    <row r="443">
      <c r="A443" s="26"/>
      <c r="B443" s="22"/>
      <c r="C443" s="23"/>
      <c r="D443" s="26"/>
      <c r="E443" s="25"/>
      <c r="N443" s="11" t="str">
        <f t="shared" si="1"/>
        <v/>
      </c>
    </row>
    <row r="444">
      <c r="A444" s="26"/>
      <c r="B444" s="22"/>
      <c r="C444" s="23"/>
      <c r="D444" s="26"/>
      <c r="E444" s="25"/>
      <c r="N444" s="11" t="str">
        <f t="shared" si="1"/>
        <v/>
      </c>
    </row>
    <row r="445">
      <c r="A445" s="26"/>
      <c r="B445" s="22"/>
      <c r="C445" s="23"/>
      <c r="D445" s="26"/>
      <c r="E445" s="25"/>
      <c r="N445" s="11" t="str">
        <f t="shared" si="1"/>
        <v/>
      </c>
    </row>
    <row r="446">
      <c r="A446" s="26"/>
      <c r="B446" s="22"/>
      <c r="C446" s="23"/>
      <c r="D446" s="26"/>
      <c r="E446" s="25"/>
      <c r="N446" s="11" t="str">
        <f t="shared" si="1"/>
        <v/>
      </c>
    </row>
    <row r="447">
      <c r="A447" s="26"/>
      <c r="B447" s="22"/>
      <c r="C447" s="23"/>
      <c r="D447" s="26"/>
      <c r="E447" s="25"/>
      <c r="N447" s="11" t="str">
        <f t="shared" si="1"/>
        <v/>
      </c>
    </row>
    <row r="448">
      <c r="A448" s="26"/>
      <c r="B448" s="22"/>
      <c r="C448" s="23"/>
      <c r="D448" s="26"/>
      <c r="E448" s="25"/>
      <c r="N448" s="11" t="str">
        <f t="shared" si="1"/>
        <v/>
      </c>
    </row>
    <row r="449">
      <c r="A449" s="26"/>
      <c r="B449" s="22"/>
      <c r="C449" s="23"/>
      <c r="D449" s="26"/>
      <c r="E449" s="25"/>
      <c r="N449" s="11" t="str">
        <f t="shared" si="1"/>
        <v/>
      </c>
    </row>
    <row r="450">
      <c r="A450" s="26"/>
      <c r="B450" s="22"/>
      <c r="C450" s="23"/>
      <c r="D450" s="26"/>
      <c r="E450" s="25"/>
      <c r="N450" s="11" t="str">
        <f t="shared" si="1"/>
        <v/>
      </c>
    </row>
    <row r="451">
      <c r="A451" s="26"/>
      <c r="B451" s="22"/>
      <c r="C451" s="23"/>
      <c r="D451" s="26"/>
      <c r="E451" s="25"/>
      <c r="N451" s="11" t="str">
        <f t="shared" si="1"/>
        <v/>
      </c>
    </row>
    <row r="452">
      <c r="A452" s="26"/>
      <c r="B452" s="22"/>
      <c r="C452" s="23"/>
      <c r="D452" s="26"/>
      <c r="E452" s="25"/>
      <c r="N452" s="11" t="str">
        <f t="shared" si="1"/>
        <v/>
      </c>
    </row>
    <row r="453">
      <c r="A453" s="26"/>
      <c r="B453" s="22"/>
      <c r="C453" s="23"/>
      <c r="D453" s="26"/>
      <c r="E453" s="25"/>
      <c r="N453" s="11" t="str">
        <f t="shared" si="1"/>
        <v/>
      </c>
    </row>
    <row r="454">
      <c r="A454" s="26"/>
      <c r="B454" s="22"/>
      <c r="C454" s="23"/>
      <c r="D454" s="26"/>
      <c r="E454" s="25"/>
      <c r="N454" s="11" t="str">
        <f t="shared" si="1"/>
        <v/>
      </c>
    </row>
    <row r="455">
      <c r="A455" s="26"/>
      <c r="B455" s="22"/>
      <c r="C455" s="23"/>
      <c r="D455" s="26"/>
      <c r="E455" s="25"/>
      <c r="N455" s="11" t="str">
        <f t="shared" si="1"/>
        <v/>
      </c>
    </row>
    <row r="456">
      <c r="A456" s="26"/>
      <c r="B456" s="22"/>
      <c r="C456" s="23"/>
      <c r="D456" s="26"/>
      <c r="E456" s="25"/>
      <c r="N456" s="11" t="str">
        <f t="shared" si="1"/>
        <v/>
      </c>
    </row>
    <row r="457">
      <c r="A457" s="26"/>
      <c r="B457" s="22"/>
      <c r="C457" s="23"/>
      <c r="D457" s="26"/>
      <c r="E457" s="25"/>
      <c r="N457" s="11" t="str">
        <f t="shared" si="1"/>
        <v/>
      </c>
    </row>
    <row r="458">
      <c r="A458" s="26"/>
      <c r="B458" s="22"/>
      <c r="C458" s="23"/>
      <c r="D458" s="26"/>
      <c r="E458" s="25"/>
      <c r="N458" s="11" t="str">
        <f t="shared" si="1"/>
        <v/>
      </c>
    </row>
    <row r="459">
      <c r="A459" s="26"/>
      <c r="B459" s="22"/>
      <c r="C459" s="23"/>
      <c r="D459" s="26"/>
      <c r="E459" s="25"/>
      <c r="N459" s="11" t="str">
        <f t="shared" si="1"/>
        <v/>
      </c>
    </row>
    <row r="460">
      <c r="A460" s="26"/>
      <c r="B460" s="22"/>
      <c r="C460" s="23"/>
      <c r="D460" s="26"/>
      <c r="E460" s="25"/>
      <c r="N460" s="11" t="str">
        <f t="shared" si="1"/>
        <v/>
      </c>
    </row>
    <row r="461">
      <c r="A461" s="26"/>
      <c r="B461" s="22"/>
      <c r="C461" s="23"/>
      <c r="D461" s="26"/>
      <c r="E461" s="25"/>
      <c r="N461" s="11" t="str">
        <f t="shared" si="1"/>
        <v/>
      </c>
    </row>
    <row r="462">
      <c r="A462" s="26"/>
      <c r="B462" s="22"/>
      <c r="C462" s="23"/>
      <c r="D462" s="26"/>
      <c r="E462" s="25"/>
      <c r="N462" s="11" t="str">
        <f t="shared" si="1"/>
        <v/>
      </c>
    </row>
    <row r="463">
      <c r="A463" s="26"/>
      <c r="B463" s="22"/>
      <c r="C463" s="23"/>
      <c r="D463" s="26"/>
      <c r="E463" s="25"/>
      <c r="N463" s="11" t="str">
        <f t="shared" si="1"/>
        <v/>
      </c>
    </row>
    <row r="464">
      <c r="A464" s="26"/>
      <c r="B464" s="22"/>
      <c r="C464" s="23"/>
      <c r="D464" s="26"/>
      <c r="E464" s="25"/>
      <c r="N464" s="11" t="str">
        <f t="shared" si="1"/>
        <v/>
      </c>
    </row>
    <row r="465">
      <c r="A465" s="26"/>
      <c r="B465" s="22"/>
      <c r="C465" s="23"/>
      <c r="D465" s="26"/>
      <c r="E465" s="25"/>
      <c r="N465" s="11" t="str">
        <f t="shared" si="1"/>
        <v/>
      </c>
    </row>
    <row r="466">
      <c r="A466" s="26"/>
      <c r="B466" s="22"/>
      <c r="C466" s="23"/>
      <c r="D466" s="26"/>
      <c r="E466" s="25"/>
      <c r="N466" s="11" t="str">
        <f t="shared" si="1"/>
        <v/>
      </c>
    </row>
    <row r="467">
      <c r="A467" s="26"/>
      <c r="B467" s="22"/>
      <c r="C467" s="23"/>
      <c r="D467" s="26"/>
      <c r="E467" s="25"/>
      <c r="N467" s="11" t="str">
        <f t="shared" si="1"/>
        <v/>
      </c>
    </row>
    <row r="468">
      <c r="A468" s="26"/>
      <c r="B468" s="22"/>
      <c r="C468" s="23"/>
      <c r="D468" s="26"/>
      <c r="E468" s="25"/>
      <c r="N468" s="11" t="str">
        <f t="shared" si="1"/>
        <v/>
      </c>
    </row>
    <row r="469">
      <c r="A469" s="26"/>
      <c r="B469" s="22"/>
      <c r="C469" s="23"/>
      <c r="D469" s="26"/>
      <c r="E469" s="25"/>
      <c r="N469" s="11" t="str">
        <f t="shared" si="1"/>
        <v/>
      </c>
    </row>
    <row r="470">
      <c r="A470" s="26"/>
      <c r="B470" s="22"/>
      <c r="C470" s="23"/>
      <c r="D470" s="26"/>
      <c r="E470" s="25"/>
      <c r="N470" s="11" t="str">
        <f t="shared" si="1"/>
        <v/>
      </c>
    </row>
    <row r="471">
      <c r="A471" s="26"/>
      <c r="B471" s="22"/>
      <c r="C471" s="23"/>
      <c r="D471" s="26"/>
      <c r="E471" s="25"/>
      <c r="N471" s="11" t="str">
        <f t="shared" si="1"/>
        <v/>
      </c>
    </row>
    <row r="472">
      <c r="A472" s="26"/>
      <c r="B472" s="22"/>
      <c r="C472" s="23"/>
      <c r="D472" s="26"/>
      <c r="E472" s="25"/>
      <c r="N472" s="11" t="str">
        <f t="shared" si="1"/>
        <v/>
      </c>
    </row>
    <row r="473">
      <c r="A473" s="26"/>
      <c r="B473" s="22"/>
      <c r="C473" s="23"/>
      <c r="D473" s="26"/>
      <c r="E473" s="25"/>
      <c r="N473" s="11" t="str">
        <f t="shared" si="1"/>
        <v/>
      </c>
    </row>
    <row r="474">
      <c r="A474" s="26"/>
      <c r="B474" s="22"/>
      <c r="C474" s="23"/>
      <c r="D474" s="26"/>
      <c r="E474" s="25"/>
      <c r="N474" s="11" t="str">
        <f t="shared" si="1"/>
        <v/>
      </c>
    </row>
    <row r="475">
      <c r="A475" s="26"/>
      <c r="B475" s="22"/>
      <c r="C475" s="23"/>
      <c r="D475" s="26"/>
      <c r="E475" s="25"/>
      <c r="N475" s="11" t="str">
        <f t="shared" si="1"/>
        <v/>
      </c>
    </row>
    <row r="476">
      <c r="A476" s="26"/>
      <c r="B476" s="22"/>
      <c r="C476" s="23"/>
      <c r="D476" s="26"/>
      <c r="E476" s="25"/>
      <c r="N476" s="11" t="str">
        <f t="shared" si="1"/>
        <v/>
      </c>
    </row>
    <row r="477">
      <c r="A477" s="26"/>
      <c r="B477" s="22"/>
      <c r="C477" s="23"/>
      <c r="D477" s="26"/>
      <c r="E477" s="25"/>
      <c r="N477" s="11" t="str">
        <f t="shared" si="1"/>
        <v/>
      </c>
    </row>
    <row r="478">
      <c r="A478" s="26"/>
      <c r="B478" s="22"/>
      <c r="C478" s="23"/>
      <c r="D478" s="26"/>
      <c r="E478" s="25"/>
      <c r="N478" s="11" t="str">
        <f t="shared" si="1"/>
        <v/>
      </c>
    </row>
    <row r="479">
      <c r="A479" s="26"/>
      <c r="B479" s="22"/>
      <c r="C479" s="23"/>
      <c r="D479" s="26"/>
      <c r="E479" s="25"/>
      <c r="N479" s="11" t="str">
        <f t="shared" si="1"/>
        <v/>
      </c>
    </row>
    <row r="480">
      <c r="A480" s="26"/>
      <c r="B480" s="22"/>
      <c r="C480" s="23"/>
      <c r="D480" s="26"/>
      <c r="E480" s="25"/>
      <c r="N480" s="11" t="str">
        <f t="shared" si="1"/>
        <v/>
      </c>
    </row>
    <row r="481">
      <c r="A481" s="26"/>
      <c r="B481" s="22"/>
      <c r="C481" s="23"/>
      <c r="D481" s="26"/>
      <c r="E481" s="25"/>
      <c r="N481" s="11" t="str">
        <f t="shared" si="1"/>
        <v/>
      </c>
    </row>
    <row r="482">
      <c r="A482" s="26"/>
      <c r="B482" s="22"/>
      <c r="C482" s="23"/>
      <c r="D482" s="26"/>
      <c r="E482" s="25"/>
      <c r="N482" s="11" t="str">
        <f t="shared" si="1"/>
        <v/>
      </c>
    </row>
    <row r="483">
      <c r="A483" s="26"/>
      <c r="B483" s="22"/>
      <c r="C483" s="23"/>
      <c r="D483" s="26"/>
      <c r="E483" s="25"/>
      <c r="N483" s="11" t="str">
        <f t="shared" si="1"/>
        <v/>
      </c>
    </row>
    <row r="484">
      <c r="A484" s="26"/>
      <c r="B484" s="22"/>
      <c r="C484" s="23"/>
      <c r="D484" s="26"/>
      <c r="E484" s="25"/>
      <c r="N484" s="11" t="str">
        <f t="shared" si="1"/>
        <v/>
      </c>
    </row>
    <row r="485">
      <c r="A485" s="26"/>
      <c r="B485" s="22"/>
      <c r="C485" s="23"/>
      <c r="D485" s="26"/>
      <c r="E485" s="25"/>
      <c r="N485" s="11" t="str">
        <f t="shared" si="1"/>
        <v/>
      </c>
    </row>
    <row r="486">
      <c r="A486" s="26"/>
      <c r="B486" s="22"/>
      <c r="C486" s="23"/>
      <c r="D486" s="26"/>
      <c r="E486" s="25"/>
      <c r="N486" s="11" t="str">
        <f t="shared" si="1"/>
        <v/>
      </c>
    </row>
    <row r="487">
      <c r="A487" s="26"/>
      <c r="B487" s="22"/>
      <c r="C487" s="23"/>
      <c r="D487" s="26"/>
      <c r="E487" s="25"/>
      <c r="N487" s="11" t="str">
        <f t="shared" si="1"/>
        <v/>
      </c>
    </row>
    <row r="488">
      <c r="A488" s="26"/>
      <c r="B488" s="22"/>
      <c r="C488" s="23"/>
      <c r="D488" s="26"/>
      <c r="E488" s="25"/>
      <c r="N488" s="11" t="str">
        <f t="shared" si="1"/>
        <v/>
      </c>
    </row>
    <row r="489">
      <c r="A489" s="26"/>
      <c r="B489" s="22"/>
      <c r="C489" s="23"/>
      <c r="D489" s="26"/>
      <c r="E489" s="25"/>
      <c r="N489" s="11" t="str">
        <f t="shared" si="1"/>
        <v/>
      </c>
    </row>
    <row r="490">
      <c r="A490" s="26"/>
      <c r="B490" s="22"/>
      <c r="C490" s="23"/>
      <c r="D490" s="26"/>
      <c r="E490" s="25"/>
      <c r="N490" s="11" t="str">
        <f t="shared" si="1"/>
        <v/>
      </c>
    </row>
    <row r="491">
      <c r="A491" s="26"/>
      <c r="B491" s="22"/>
      <c r="C491" s="23"/>
      <c r="D491" s="26"/>
      <c r="E491" s="25"/>
      <c r="N491" s="11" t="str">
        <f t="shared" si="1"/>
        <v/>
      </c>
    </row>
    <row r="492">
      <c r="A492" s="26"/>
      <c r="B492" s="22"/>
      <c r="C492" s="23"/>
      <c r="D492" s="26"/>
      <c r="E492" s="25"/>
      <c r="N492" s="11" t="str">
        <f t="shared" si="1"/>
        <v/>
      </c>
    </row>
    <row r="493">
      <c r="A493" s="26"/>
      <c r="B493" s="22"/>
      <c r="C493" s="23"/>
      <c r="D493" s="26"/>
      <c r="E493" s="25"/>
      <c r="N493" s="11" t="str">
        <f t="shared" si="1"/>
        <v/>
      </c>
    </row>
    <row r="494">
      <c r="A494" s="26"/>
      <c r="B494" s="22"/>
      <c r="C494" s="23"/>
      <c r="D494" s="26"/>
      <c r="E494" s="25"/>
      <c r="N494" s="11" t="str">
        <f t="shared" si="1"/>
        <v/>
      </c>
    </row>
    <row r="495">
      <c r="A495" s="26"/>
      <c r="B495" s="22"/>
      <c r="C495" s="23"/>
      <c r="D495" s="26"/>
      <c r="E495" s="25"/>
      <c r="N495" s="11" t="str">
        <f t="shared" si="1"/>
        <v/>
      </c>
    </row>
    <row r="496">
      <c r="A496" s="26"/>
      <c r="B496" s="22"/>
      <c r="C496" s="23"/>
      <c r="D496" s="26"/>
      <c r="E496" s="25"/>
      <c r="N496" s="11" t="str">
        <f t="shared" si="1"/>
        <v/>
      </c>
    </row>
    <row r="497">
      <c r="A497" s="26"/>
      <c r="B497" s="22"/>
      <c r="C497" s="23"/>
      <c r="D497" s="26"/>
      <c r="E497" s="25"/>
      <c r="N497" s="11" t="str">
        <f t="shared" si="1"/>
        <v/>
      </c>
    </row>
    <row r="498">
      <c r="A498" s="26"/>
      <c r="B498" s="22"/>
      <c r="C498" s="23"/>
      <c r="D498" s="26"/>
      <c r="E498" s="25"/>
      <c r="N498" s="11" t="str">
        <f t="shared" si="1"/>
        <v/>
      </c>
    </row>
    <row r="499">
      <c r="A499" s="26"/>
      <c r="B499" s="22"/>
      <c r="C499" s="23"/>
      <c r="D499" s="26"/>
      <c r="E499" s="25"/>
      <c r="N499" s="11" t="str">
        <f t="shared" si="1"/>
        <v/>
      </c>
    </row>
    <row r="500">
      <c r="A500" s="26"/>
      <c r="B500" s="22"/>
      <c r="C500" s="23"/>
      <c r="D500" s="26"/>
      <c r="E500" s="25"/>
      <c r="N500" s="11" t="str">
        <f t="shared" si="1"/>
        <v/>
      </c>
    </row>
    <row r="501">
      <c r="A501" s="26"/>
      <c r="B501" s="22"/>
      <c r="C501" s="23"/>
      <c r="D501" s="26"/>
      <c r="E501" s="25"/>
      <c r="N501" s="11" t="str">
        <f t="shared" si="1"/>
        <v/>
      </c>
    </row>
    <row r="502">
      <c r="A502" s="26"/>
      <c r="B502" s="22"/>
      <c r="C502" s="23"/>
      <c r="D502" s="26"/>
      <c r="E502" s="25"/>
      <c r="N502" s="11" t="str">
        <f t="shared" si="1"/>
        <v/>
      </c>
    </row>
    <row r="503">
      <c r="A503" s="26"/>
      <c r="B503" s="22"/>
      <c r="C503" s="23"/>
      <c r="D503" s="26"/>
      <c r="E503" s="25"/>
      <c r="N503" s="11" t="str">
        <f t="shared" si="1"/>
        <v/>
      </c>
    </row>
    <row r="504">
      <c r="A504" s="26"/>
      <c r="B504" s="22"/>
      <c r="C504" s="23"/>
      <c r="D504" s="26"/>
      <c r="E504" s="25"/>
      <c r="N504" s="11" t="str">
        <f t="shared" si="1"/>
        <v/>
      </c>
    </row>
    <row r="505">
      <c r="A505" s="26"/>
      <c r="B505" s="22"/>
      <c r="C505" s="23"/>
      <c r="D505" s="26"/>
      <c r="E505" s="25"/>
      <c r="N505" s="11" t="str">
        <f t="shared" si="1"/>
        <v/>
      </c>
    </row>
    <row r="506">
      <c r="A506" s="26"/>
      <c r="B506" s="22"/>
      <c r="C506" s="23"/>
      <c r="D506" s="26"/>
      <c r="E506" s="25"/>
      <c r="N506" s="11" t="str">
        <f t="shared" si="1"/>
        <v/>
      </c>
    </row>
    <row r="507">
      <c r="A507" s="26"/>
      <c r="B507" s="22"/>
      <c r="C507" s="23"/>
      <c r="D507" s="26"/>
      <c r="E507" s="25"/>
      <c r="N507" s="11" t="str">
        <f t="shared" si="1"/>
        <v/>
      </c>
    </row>
    <row r="508">
      <c r="A508" s="26"/>
      <c r="B508" s="22"/>
      <c r="C508" s="23"/>
      <c r="D508" s="26"/>
      <c r="E508" s="25"/>
      <c r="N508" s="11" t="str">
        <f t="shared" si="1"/>
        <v/>
      </c>
    </row>
    <row r="509">
      <c r="A509" s="26"/>
      <c r="B509" s="22"/>
      <c r="C509" s="23"/>
      <c r="D509" s="26"/>
      <c r="E509" s="25"/>
      <c r="N509" s="11" t="str">
        <f t="shared" si="1"/>
        <v/>
      </c>
    </row>
    <row r="510">
      <c r="A510" s="26"/>
      <c r="B510" s="22"/>
      <c r="C510" s="23"/>
      <c r="D510" s="26"/>
      <c r="E510" s="25"/>
      <c r="N510" s="11" t="str">
        <f t="shared" si="1"/>
        <v/>
      </c>
    </row>
    <row r="511">
      <c r="A511" s="26"/>
      <c r="B511" s="22"/>
      <c r="C511" s="23"/>
      <c r="D511" s="26"/>
      <c r="E511" s="25"/>
      <c r="N511" s="11" t="str">
        <f t="shared" si="1"/>
        <v/>
      </c>
    </row>
    <row r="512">
      <c r="A512" s="26"/>
      <c r="B512" s="22"/>
      <c r="C512" s="23"/>
      <c r="D512" s="26"/>
      <c r="E512" s="25"/>
      <c r="N512" s="11" t="str">
        <f t="shared" si="1"/>
        <v/>
      </c>
    </row>
    <row r="513">
      <c r="A513" s="26"/>
      <c r="B513" s="22"/>
      <c r="C513" s="23"/>
      <c r="D513" s="26"/>
      <c r="E513" s="25"/>
      <c r="N513" s="11" t="str">
        <f t="shared" si="1"/>
        <v/>
      </c>
    </row>
    <row r="514">
      <c r="A514" s="26"/>
      <c r="B514" s="22"/>
      <c r="C514" s="23"/>
      <c r="D514" s="26"/>
      <c r="E514" s="25"/>
      <c r="N514" s="11" t="str">
        <f t="shared" si="1"/>
        <v/>
      </c>
    </row>
    <row r="515">
      <c r="A515" s="26"/>
      <c r="B515" s="22"/>
      <c r="C515" s="23"/>
      <c r="D515" s="26"/>
      <c r="E515" s="25"/>
      <c r="N515" s="11" t="str">
        <f t="shared" si="1"/>
        <v/>
      </c>
    </row>
    <row r="516">
      <c r="A516" s="26"/>
      <c r="B516" s="22"/>
      <c r="C516" s="23"/>
      <c r="D516" s="26"/>
      <c r="E516" s="25"/>
      <c r="N516" s="11" t="str">
        <f t="shared" si="1"/>
        <v/>
      </c>
    </row>
    <row r="517">
      <c r="A517" s="26"/>
      <c r="B517" s="22"/>
      <c r="C517" s="23"/>
      <c r="D517" s="26"/>
      <c r="E517" s="25"/>
      <c r="N517" s="11" t="str">
        <f t="shared" si="1"/>
        <v/>
      </c>
    </row>
    <row r="518">
      <c r="A518" s="26"/>
      <c r="B518" s="22"/>
      <c r="C518" s="23"/>
      <c r="D518" s="26"/>
      <c r="E518" s="25"/>
      <c r="N518" s="11" t="str">
        <f t="shared" si="1"/>
        <v/>
      </c>
    </row>
    <row r="519">
      <c r="A519" s="26"/>
      <c r="B519" s="22"/>
      <c r="C519" s="23"/>
      <c r="D519" s="26"/>
      <c r="E519" s="25"/>
      <c r="N519" s="11" t="str">
        <f t="shared" si="1"/>
        <v/>
      </c>
    </row>
    <row r="520">
      <c r="A520" s="26"/>
      <c r="B520" s="22"/>
      <c r="C520" s="23"/>
      <c r="D520" s="26"/>
      <c r="E520" s="25"/>
      <c r="N520" s="11" t="str">
        <f t="shared" si="1"/>
        <v/>
      </c>
    </row>
    <row r="521">
      <c r="A521" s="26"/>
      <c r="B521" s="22"/>
      <c r="C521" s="23"/>
      <c r="D521" s="26"/>
      <c r="E521" s="25"/>
      <c r="N521" s="11" t="str">
        <f t="shared" si="1"/>
        <v/>
      </c>
    </row>
    <row r="522">
      <c r="A522" s="26"/>
      <c r="B522" s="22"/>
      <c r="C522" s="23"/>
      <c r="D522" s="26"/>
      <c r="E522" s="25"/>
      <c r="N522" s="11" t="str">
        <f t="shared" si="1"/>
        <v/>
      </c>
    </row>
    <row r="523">
      <c r="A523" s="26"/>
      <c r="B523" s="22"/>
      <c r="C523" s="23"/>
      <c r="D523" s="26"/>
      <c r="E523" s="25"/>
      <c r="N523" s="11" t="str">
        <f t="shared" si="1"/>
        <v/>
      </c>
    </row>
    <row r="524">
      <c r="A524" s="26"/>
      <c r="B524" s="22"/>
      <c r="C524" s="23"/>
      <c r="D524" s="26"/>
      <c r="E524" s="25"/>
      <c r="N524" s="11" t="str">
        <f t="shared" si="1"/>
        <v/>
      </c>
    </row>
    <row r="525">
      <c r="A525" s="26"/>
      <c r="B525" s="22"/>
      <c r="C525" s="23"/>
      <c r="D525" s="26"/>
      <c r="E525" s="25"/>
      <c r="N525" s="11" t="str">
        <f t="shared" si="1"/>
        <v/>
      </c>
    </row>
    <row r="526">
      <c r="A526" s="26"/>
      <c r="B526" s="22"/>
      <c r="C526" s="23"/>
      <c r="D526" s="26"/>
      <c r="E526" s="25"/>
      <c r="N526" s="11" t="str">
        <f t="shared" si="1"/>
        <v/>
      </c>
    </row>
    <row r="527">
      <c r="A527" s="26"/>
      <c r="B527" s="22"/>
      <c r="C527" s="23"/>
      <c r="D527" s="26"/>
      <c r="E527" s="25"/>
      <c r="N527" s="11" t="str">
        <f t="shared" si="1"/>
        <v/>
      </c>
    </row>
    <row r="528">
      <c r="A528" s="26"/>
      <c r="B528" s="22"/>
      <c r="C528" s="23"/>
      <c r="D528" s="26"/>
      <c r="E528" s="25"/>
      <c r="N528" s="11" t="str">
        <f t="shared" si="1"/>
        <v/>
      </c>
    </row>
    <row r="529">
      <c r="A529" s="26"/>
      <c r="B529" s="22"/>
      <c r="C529" s="23"/>
      <c r="D529" s="26"/>
      <c r="E529" s="25"/>
      <c r="N529" s="11" t="str">
        <f t="shared" si="1"/>
        <v/>
      </c>
    </row>
    <row r="530">
      <c r="A530" s="26"/>
      <c r="B530" s="22"/>
      <c r="C530" s="23"/>
      <c r="D530" s="26"/>
      <c r="E530" s="25"/>
      <c r="N530" s="11" t="str">
        <f t="shared" si="1"/>
        <v/>
      </c>
    </row>
    <row r="531">
      <c r="A531" s="26"/>
      <c r="B531" s="22"/>
      <c r="C531" s="23"/>
      <c r="D531" s="26"/>
      <c r="E531" s="25"/>
      <c r="N531" s="11" t="str">
        <f t="shared" si="1"/>
        <v/>
      </c>
    </row>
    <row r="532">
      <c r="A532" s="26"/>
      <c r="B532" s="22"/>
      <c r="C532" s="23"/>
      <c r="D532" s="26"/>
      <c r="E532" s="25"/>
      <c r="N532" s="11" t="str">
        <f t="shared" si="1"/>
        <v/>
      </c>
    </row>
    <row r="533">
      <c r="A533" s="26"/>
      <c r="B533" s="22"/>
      <c r="C533" s="23"/>
      <c r="D533" s="26"/>
      <c r="E533" s="25"/>
      <c r="N533" s="11" t="str">
        <f t="shared" si="1"/>
        <v/>
      </c>
    </row>
    <row r="534">
      <c r="A534" s="26"/>
      <c r="B534" s="22"/>
      <c r="C534" s="23"/>
      <c r="D534" s="26"/>
      <c r="E534" s="25"/>
      <c r="N534" s="11" t="str">
        <f t="shared" si="1"/>
        <v/>
      </c>
    </row>
    <row r="535">
      <c r="A535" s="26"/>
      <c r="B535" s="22"/>
      <c r="C535" s="23"/>
      <c r="D535" s="26"/>
      <c r="E535" s="25"/>
      <c r="N535" s="11" t="str">
        <f t="shared" si="1"/>
        <v/>
      </c>
    </row>
    <row r="536">
      <c r="A536" s="26"/>
      <c r="B536" s="22"/>
      <c r="C536" s="23"/>
      <c r="D536" s="26"/>
      <c r="E536" s="25"/>
      <c r="N536" s="11" t="str">
        <f t="shared" si="1"/>
        <v/>
      </c>
    </row>
    <row r="537">
      <c r="A537" s="26"/>
      <c r="B537" s="22"/>
      <c r="C537" s="23"/>
      <c r="D537" s="26"/>
      <c r="E537" s="25"/>
      <c r="N537" s="11" t="str">
        <f t="shared" si="1"/>
        <v/>
      </c>
    </row>
    <row r="538">
      <c r="A538" s="26"/>
      <c r="B538" s="22"/>
      <c r="C538" s="23"/>
      <c r="D538" s="26"/>
      <c r="E538" s="25"/>
      <c r="N538" s="11" t="str">
        <f t="shared" si="1"/>
        <v/>
      </c>
    </row>
    <row r="539">
      <c r="A539" s="26"/>
      <c r="B539" s="22"/>
      <c r="C539" s="23"/>
      <c r="D539" s="26"/>
      <c r="E539" s="25"/>
      <c r="N539" s="11" t="str">
        <f t="shared" si="1"/>
        <v/>
      </c>
    </row>
    <row r="540">
      <c r="A540" s="26"/>
      <c r="B540" s="22"/>
      <c r="C540" s="23"/>
      <c r="D540" s="26"/>
      <c r="E540" s="25"/>
      <c r="N540" s="11" t="str">
        <f t="shared" si="1"/>
        <v/>
      </c>
    </row>
    <row r="541">
      <c r="A541" s="26"/>
      <c r="B541" s="22"/>
      <c r="C541" s="23"/>
      <c r="D541" s="26"/>
      <c r="E541" s="25"/>
      <c r="N541" s="11" t="str">
        <f t="shared" si="1"/>
        <v/>
      </c>
    </row>
    <row r="542">
      <c r="A542" s="26"/>
      <c r="B542" s="22"/>
      <c r="C542" s="23"/>
      <c r="D542" s="26"/>
      <c r="E542" s="25"/>
      <c r="N542" s="11" t="str">
        <f t="shared" si="1"/>
        <v/>
      </c>
    </row>
    <row r="543">
      <c r="A543" s="26"/>
      <c r="B543" s="22"/>
      <c r="C543" s="23"/>
      <c r="D543" s="26"/>
      <c r="E543" s="25"/>
      <c r="N543" s="11" t="str">
        <f t="shared" si="1"/>
        <v/>
      </c>
    </row>
    <row r="544">
      <c r="A544" s="26"/>
      <c r="B544" s="22"/>
      <c r="C544" s="23"/>
      <c r="D544" s="26"/>
      <c r="E544" s="25"/>
      <c r="N544" s="11" t="str">
        <f t="shared" si="1"/>
        <v/>
      </c>
    </row>
    <row r="545">
      <c r="A545" s="26"/>
      <c r="B545" s="22"/>
      <c r="C545" s="23"/>
      <c r="D545" s="26"/>
      <c r="E545" s="25"/>
      <c r="N545" s="11" t="str">
        <f t="shared" si="1"/>
        <v/>
      </c>
    </row>
    <row r="546">
      <c r="A546" s="26"/>
      <c r="B546" s="22"/>
      <c r="C546" s="23"/>
      <c r="D546" s="26"/>
      <c r="E546" s="25"/>
      <c r="N546" s="11" t="str">
        <f t="shared" si="1"/>
        <v/>
      </c>
    </row>
    <row r="547">
      <c r="A547" s="26"/>
      <c r="B547" s="22"/>
      <c r="C547" s="23"/>
      <c r="D547" s="26"/>
      <c r="E547" s="25"/>
      <c r="N547" s="11" t="str">
        <f t="shared" si="1"/>
        <v/>
      </c>
    </row>
    <row r="548">
      <c r="A548" s="26"/>
      <c r="B548" s="22"/>
      <c r="C548" s="23"/>
      <c r="D548" s="26"/>
      <c r="E548" s="25"/>
      <c r="N548" s="11" t="str">
        <f t="shared" si="1"/>
        <v/>
      </c>
    </row>
    <row r="549">
      <c r="A549" s="26"/>
      <c r="B549" s="22"/>
      <c r="C549" s="23"/>
      <c r="D549" s="26"/>
      <c r="E549" s="25"/>
      <c r="N549" s="11" t="str">
        <f t="shared" si="1"/>
        <v/>
      </c>
    </row>
    <row r="550">
      <c r="A550" s="26"/>
      <c r="B550" s="22"/>
      <c r="C550" s="23"/>
      <c r="D550" s="26"/>
      <c r="E550" s="25"/>
      <c r="N550" s="11" t="str">
        <f t="shared" si="1"/>
        <v/>
      </c>
    </row>
    <row r="551">
      <c r="A551" s="26"/>
      <c r="B551" s="22"/>
      <c r="C551" s="23"/>
      <c r="D551" s="26"/>
      <c r="E551" s="25"/>
      <c r="N551" s="11" t="str">
        <f t="shared" si="1"/>
        <v/>
      </c>
    </row>
    <row r="552">
      <c r="A552" s="26"/>
      <c r="B552" s="22"/>
      <c r="C552" s="23"/>
      <c r="D552" s="26"/>
      <c r="E552" s="25"/>
      <c r="N552" s="11" t="str">
        <f t="shared" si="1"/>
        <v/>
      </c>
    </row>
    <row r="553">
      <c r="A553" s="26"/>
      <c r="B553" s="22"/>
      <c r="C553" s="23"/>
      <c r="D553" s="26"/>
      <c r="E553" s="25"/>
      <c r="N553" s="11" t="str">
        <f t="shared" si="1"/>
        <v/>
      </c>
    </row>
    <row r="554">
      <c r="A554" s="26"/>
      <c r="B554" s="22"/>
      <c r="C554" s="23"/>
      <c r="D554" s="26"/>
      <c r="E554" s="25"/>
      <c r="N554" s="11" t="str">
        <f t="shared" si="1"/>
        <v/>
      </c>
    </row>
    <row r="555">
      <c r="A555" s="26"/>
      <c r="B555" s="22"/>
      <c r="C555" s="23"/>
      <c r="D555" s="26"/>
      <c r="E555" s="25"/>
      <c r="N555" s="11" t="str">
        <f t="shared" si="1"/>
        <v/>
      </c>
    </row>
    <row r="556">
      <c r="A556" s="26"/>
      <c r="B556" s="22"/>
      <c r="C556" s="23"/>
      <c r="D556" s="26"/>
      <c r="E556" s="25"/>
      <c r="N556" s="11" t="str">
        <f t="shared" si="1"/>
        <v/>
      </c>
    </row>
    <row r="557">
      <c r="A557" s="26"/>
      <c r="B557" s="22"/>
      <c r="C557" s="23"/>
      <c r="D557" s="26"/>
      <c r="E557" s="25"/>
      <c r="N557" s="11" t="str">
        <f t="shared" si="1"/>
        <v/>
      </c>
    </row>
    <row r="558">
      <c r="A558" s="26"/>
      <c r="B558" s="22"/>
      <c r="C558" s="23"/>
      <c r="D558" s="26"/>
      <c r="E558" s="25"/>
      <c r="N558" s="11" t="str">
        <f t="shared" si="1"/>
        <v/>
      </c>
    </row>
    <row r="559">
      <c r="A559" s="26"/>
      <c r="B559" s="22"/>
      <c r="C559" s="23"/>
      <c r="D559" s="26"/>
      <c r="E559" s="25"/>
      <c r="N559" s="11" t="str">
        <f t="shared" si="1"/>
        <v/>
      </c>
    </row>
    <row r="560">
      <c r="A560" s="26"/>
      <c r="B560" s="22"/>
      <c r="C560" s="23"/>
      <c r="D560" s="26"/>
      <c r="E560" s="25"/>
      <c r="N560" s="11" t="str">
        <f t="shared" si="1"/>
        <v/>
      </c>
    </row>
    <row r="561">
      <c r="A561" s="26"/>
      <c r="B561" s="22"/>
      <c r="C561" s="23"/>
      <c r="D561" s="26"/>
      <c r="E561" s="25"/>
      <c r="N561" s="11" t="str">
        <f t="shared" si="1"/>
        <v/>
      </c>
    </row>
    <row r="562">
      <c r="A562" s="26"/>
      <c r="B562" s="22"/>
      <c r="C562" s="23"/>
      <c r="D562" s="26"/>
      <c r="E562" s="25"/>
      <c r="N562" s="11" t="str">
        <f t="shared" si="1"/>
        <v/>
      </c>
    </row>
    <row r="563">
      <c r="A563" s="26"/>
      <c r="B563" s="22"/>
      <c r="C563" s="23"/>
      <c r="D563" s="26"/>
      <c r="E563" s="25"/>
      <c r="N563" s="11" t="str">
        <f t="shared" si="1"/>
        <v/>
      </c>
    </row>
    <row r="564">
      <c r="A564" s="26"/>
      <c r="B564" s="22"/>
      <c r="C564" s="23"/>
      <c r="D564" s="26"/>
      <c r="E564" s="25"/>
      <c r="N564" s="11" t="str">
        <f t="shared" si="1"/>
        <v/>
      </c>
    </row>
    <row r="565">
      <c r="A565" s="26"/>
      <c r="B565" s="22"/>
      <c r="C565" s="23"/>
      <c r="D565" s="26"/>
      <c r="E565" s="25"/>
      <c r="N565" s="11" t="str">
        <f t="shared" si="1"/>
        <v/>
      </c>
    </row>
    <row r="566">
      <c r="A566" s="26"/>
      <c r="B566" s="22"/>
      <c r="C566" s="23"/>
      <c r="D566" s="26"/>
      <c r="E566" s="25"/>
      <c r="N566" s="11" t="str">
        <f t="shared" si="1"/>
        <v/>
      </c>
    </row>
    <row r="567">
      <c r="A567" s="26"/>
      <c r="B567" s="22"/>
      <c r="C567" s="23"/>
      <c r="D567" s="26"/>
      <c r="E567" s="25"/>
      <c r="N567" s="11" t="str">
        <f t="shared" si="1"/>
        <v/>
      </c>
    </row>
    <row r="568">
      <c r="A568" s="26"/>
      <c r="B568" s="22"/>
      <c r="C568" s="23"/>
      <c r="D568" s="26"/>
      <c r="E568" s="25"/>
      <c r="N568" s="11" t="str">
        <f t="shared" si="1"/>
        <v/>
      </c>
    </row>
    <row r="569">
      <c r="A569" s="26"/>
      <c r="B569" s="22"/>
      <c r="C569" s="23"/>
      <c r="D569" s="26"/>
      <c r="E569" s="25"/>
      <c r="N569" s="11" t="str">
        <f t="shared" si="1"/>
        <v/>
      </c>
    </row>
    <row r="570">
      <c r="A570" s="26"/>
      <c r="B570" s="22"/>
      <c r="C570" s="23"/>
      <c r="D570" s="26"/>
      <c r="E570" s="25"/>
      <c r="N570" s="11" t="str">
        <f t="shared" si="1"/>
        <v/>
      </c>
    </row>
    <row r="571">
      <c r="A571" s="26"/>
      <c r="B571" s="22"/>
      <c r="C571" s="23"/>
      <c r="D571" s="26"/>
      <c r="E571" s="25"/>
      <c r="N571" s="11" t="str">
        <f t="shared" si="1"/>
        <v/>
      </c>
    </row>
    <row r="572">
      <c r="A572" s="26"/>
      <c r="B572" s="22"/>
      <c r="C572" s="23"/>
      <c r="D572" s="26"/>
      <c r="E572" s="25"/>
      <c r="N572" s="11" t="str">
        <f t="shared" si="1"/>
        <v/>
      </c>
    </row>
    <row r="573">
      <c r="A573" s="26"/>
      <c r="B573" s="22"/>
      <c r="C573" s="23"/>
      <c r="D573" s="26"/>
      <c r="E573" s="25"/>
      <c r="N573" s="11" t="str">
        <f t="shared" si="1"/>
        <v/>
      </c>
    </row>
    <row r="574">
      <c r="A574" s="26"/>
      <c r="B574" s="22"/>
      <c r="C574" s="23"/>
      <c r="D574" s="26"/>
      <c r="E574" s="25"/>
      <c r="N574" s="11" t="str">
        <f t="shared" si="1"/>
        <v/>
      </c>
    </row>
    <row r="575">
      <c r="A575" s="26"/>
      <c r="B575" s="22"/>
      <c r="C575" s="23"/>
      <c r="D575" s="26"/>
      <c r="E575" s="25"/>
      <c r="N575" s="11" t="str">
        <f t="shared" si="1"/>
        <v/>
      </c>
    </row>
    <row r="576">
      <c r="A576" s="26"/>
      <c r="B576" s="22"/>
      <c r="C576" s="23"/>
      <c r="D576" s="26"/>
      <c r="E576" s="25"/>
      <c r="N576" s="11" t="str">
        <f t="shared" si="1"/>
        <v/>
      </c>
    </row>
    <row r="577">
      <c r="A577" s="26"/>
      <c r="B577" s="22"/>
      <c r="C577" s="23"/>
      <c r="D577" s="26"/>
      <c r="E577" s="25"/>
      <c r="N577" s="11" t="str">
        <f t="shared" si="1"/>
        <v/>
      </c>
    </row>
    <row r="578">
      <c r="A578" s="26"/>
      <c r="B578" s="22"/>
      <c r="C578" s="23"/>
      <c r="D578" s="26"/>
      <c r="E578" s="25"/>
      <c r="N578" s="11" t="str">
        <f t="shared" si="1"/>
        <v/>
      </c>
    </row>
    <row r="579">
      <c r="A579" s="26"/>
      <c r="B579" s="22"/>
      <c r="C579" s="23"/>
      <c r="D579" s="26"/>
      <c r="E579" s="25"/>
      <c r="N579" s="11" t="str">
        <f t="shared" si="1"/>
        <v/>
      </c>
    </row>
    <row r="580">
      <c r="A580" s="26"/>
      <c r="B580" s="22"/>
      <c r="C580" s="23"/>
      <c r="D580" s="26"/>
      <c r="E580" s="25"/>
      <c r="N580" s="11" t="str">
        <f t="shared" si="1"/>
        <v/>
      </c>
    </row>
    <row r="581">
      <c r="A581" s="26"/>
      <c r="B581" s="22"/>
      <c r="C581" s="23"/>
      <c r="D581" s="26"/>
      <c r="E581" s="25"/>
      <c r="N581" s="11" t="str">
        <f t="shared" si="1"/>
        <v/>
      </c>
    </row>
    <row r="582">
      <c r="A582" s="26"/>
      <c r="B582" s="22"/>
      <c r="C582" s="23"/>
      <c r="D582" s="26"/>
      <c r="E582" s="25"/>
      <c r="N582" s="11" t="str">
        <f t="shared" si="1"/>
        <v/>
      </c>
    </row>
    <row r="583">
      <c r="A583" s="26"/>
      <c r="B583" s="22"/>
      <c r="C583" s="23"/>
      <c r="D583" s="26"/>
      <c r="E583" s="25"/>
      <c r="N583" s="11" t="str">
        <f t="shared" si="1"/>
        <v/>
      </c>
    </row>
    <row r="584">
      <c r="A584" s="26"/>
      <c r="B584" s="22"/>
      <c r="C584" s="23"/>
      <c r="D584" s="26"/>
      <c r="E584" s="25"/>
      <c r="N584" s="11" t="str">
        <f t="shared" si="1"/>
        <v/>
      </c>
    </row>
    <row r="585">
      <c r="A585" s="26"/>
      <c r="B585" s="22"/>
      <c r="C585" s="23"/>
      <c r="D585" s="26"/>
      <c r="E585" s="25"/>
      <c r="N585" s="11" t="str">
        <f t="shared" si="1"/>
        <v/>
      </c>
    </row>
    <row r="586">
      <c r="A586" s="26"/>
      <c r="B586" s="22"/>
      <c r="C586" s="23"/>
      <c r="D586" s="26"/>
      <c r="E586" s="25"/>
      <c r="N586" s="11" t="str">
        <f t="shared" si="1"/>
        <v/>
      </c>
    </row>
    <row r="587">
      <c r="A587" s="26"/>
      <c r="B587" s="22"/>
      <c r="C587" s="23"/>
      <c r="D587" s="26"/>
      <c r="E587" s="25"/>
      <c r="N587" s="11" t="str">
        <f t="shared" si="1"/>
        <v/>
      </c>
    </row>
    <row r="588">
      <c r="A588" s="26"/>
      <c r="B588" s="22"/>
      <c r="C588" s="23"/>
      <c r="D588" s="26"/>
      <c r="E588" s="25"/>
      <c r="N588" s="11" t="str">
        <f t="shared" si="1"/>
        <v/>
      </c>
    </row>
    <row r="589">
      <c r="A589" s="26"/>
      <c r="B589" s="22"/>
      <c r="C589" s="23"/>
      <c r="D589" s="26"/>
      <c r="E589" s="25"/>
      <c r="N589" s="11" t="str">
        <f t="shared" si="1"/>
        <v/>
      </c>
    </row>
    <row r="590">
      <c r="A590" s="26"/>
      <c r="B590" s="22"/>
      <c r="C590" s="23"/>
      <c r="D590" s="26"/>
      <c r="E590" s="25"/>
      <c r="N590" s="11" t="str">
        <f t="shared" si="1"/>
        <v/>
      </c>
    </row>
    <row r="591">
      <c r="A591" s="26"/>
      <c r="B591" s="22"/>
      <c r="C591" s="23"/>
      <c r="D591" s="26"/>
      <c r="E591" s="25"/>
      <c r="N591" s="11" t="str">
        <f t="shared" si="1"/>
        <v/>
      </c>
    </row>
    <row r="592">
      <c r="A592" s="26"/>
      <c r="B592" s="22"/>
      <c r="C592" s="23"/>
      <c r="D592" s="26"/>
      <c r="E592" s="25"/>
      <c r="N592" s="11" t="str">
        <f t="shared" si="1"/>
        <v/>
      </c>
    </row>
    <row r="593">
      <c r="A593" s="26"/>
      <c r="B593" s="22"/>
      <c r="C593" s="23"/>
      <c r="D593" s="26"/>
      <c r="E593" s="25"/>
      <c r="N593" s="11" t="str">
        <f t="shared" si="1"/>
        <v/>
      </c>
    </row>
    <row r="594">
      <c r="A594" s="26"/>
      <c r="B594" s="22"/>
      <c r="C594" s="23"/>
      <c r="D594" s="26"/>
      <c r="E594" s="25"/>
      <c r="N594" s="11" t="str">
        <f t="shared" si="1"/>
        <v/>
      </c>
    </row>
    <row r="595">
      <c r="A595" s="26"/>
      <c r="B595" s="22"/>
      <c r="C595" s="23"/>
      <c r="D595" s="26"/>
      <c r="E595" s="25"/>
      <c r="N595" s="11" t="str">
        <f t="shared" si="1"/>
        <v/>
      </c>
    </row>
    <row r="596">
      <c r="A596" s="26"/>
      <c r="B596" s="22"/>
      <c r="C596" s="23"/>
      <c r="D596" s="26"/>
      <c r="E596" s="25"/>
      <c r="N596" s="11" t="str">
        <f t="shared" si="1"/>
        <v/>
      </c>
    </row>
    <row r="597">
      <c r="A597" s="26"/>
      <c r="B597" s="22"/>
      <c r="C597" s="23"/>
      <c r="D597" s="26"/>
      <c r="E597" s="25"/>
      <c r="N597" s="11" t="str">
        <f t="shared" si="1"/>
        <v/>
      </c>
    </row>
    <row r="598">
      <c r="A598" s="26"/>
      <c r="B598" s="22"/>
      <c r="C598" s="23"/>
      <c r="D598" s="26"/>
      <c r="E598" s="25"/>
      <c r="N598" s="11" t="str">
        <f t="shared" si="1"/>
        <v/>
      </c>
    </row>
    <row r="599">
      <c r="A599" s="26"/>
      <c r="B599" s="22"/>
      <c r="C599" s="23"/>
      <c r="D599" s="26"/>
      <c r="E599" s="25"/>
      <c r="N599" s="11" t="str">
        <f t="shared" si="1"/>
        <v/>
      </c>
    </row>
    <row r="600">
      <c r="A600" s="26"/>
      <c r="B600" s="22"/>
      <c r="C600" s="23"/>
      <c r="D600" s="26"/>
      <c r="E600" s="25"/>
      <c r="N600" s="11" t="str">
        <f t="shared" si="1"/>
        <v/>
      </c>
    </row>
    <row r="601">
      <c r="A601" s="26"/>
      <c r="B601" s="22"/>
      <c r="C601" s="23"/>
      <c r="D601" s="26"/>
      <c r="E601" s="25"/>
      <c r="N601" s="11" t="str">
        <f t="shared" si="1"/>
        <v/>
      </c>
    </row>
    <row r="602">
      <c r="A602" s="26"/>
      <c r="B602" s="22"/>
      <c r="C602" s="23"/>
      <c r="D602" s="26"/>
      <c r="E602" s="25"/>
      <c r="N602" s="11" t="str">
        <f t="shared" si="1"/>
        <v/>
      </c>
    </row>
    <row r="603">
      <c r="A603" s="26"/>
      <c r="B603" s="22"/>
      <c r="C603" s="23"/>
      <c r="D603" s="26"/>
      <c r="E603" s="25"/>
      <c r="N603" s="11" t="str">
        <f t="shared" si="1"/>
        <v/>
      </c>
    </row>
    <row r="604">
      <c r="A604" s="26"/>
      <c r="B604" s="22"/>
      <c r="C604" s="23"/>
      <c r="D604" s="26"/>
      <c r="E604" s="25"/>
      <c r="N604" s="11" t="str">
        <f t="shared" si="1"/>
        <v/>
      </c>
    </row>
    <row r="605">
      <c r="A605" s="26"/>
      <c r="B605" s="22"/>
      <c r="C605" s="23"/>
      <c r="D605" s="26"/>
      <c r="E605" s="25"/>
      <c r="N605" s="11" t="str">
        <f t="shared" si="1"/>
        <v/>
      </c>
    </row>
    <row r="606">
      <c r="A606" s="26"/>
      <c r="B606" s="22"/>
      <c r="C606" s="23"/>
      <c r="D606" s="26"/>
      <c r="E606" s="25"/>
      <c r="N606" s="11" t="str">
        <f t="shared" si="1"/>
        <v/>
      </c>
    </row>
    <row r="607">
      <c r="A607" s="26"/>
      <c r="B607" s="22"/>
      <c r="C607" s="23"/>
      <c r="D607" s="26"/>
      <c r="E607" s="25"/>
      <c r="N607" s="11" t="str">
        <f t="shared" si="1"/>
        <v/>
      </c>
    </row>
    <row r="608">
      <c r="A608" s="26"/>
      <c r="B608" s="22"/>
      <c r="C608" s="23"/>
      <c r="D608" s="26"/>
      <c r="E608" s="25"/>
      <c r="N608" s="11" t="str">
        <f t="shared" si="1"/>
        <v/>
      </c>
    </row>
    <row r="609">
      <c r="A609" s="26"/>
      <c r="B609" s="22"/>
      <c r="C609" s="23"/>
      <c r="D609" s="26"/>
      <c r="E609" s="25"/>
      <c r="N609" s="11" t="str">
        <f t="shared" si="1"/>
        <v/>
      </c>
    </row>
    <row r="610">
      <c r="A610" s="26"/>
      <c r="B610" s="22"/>
      <c r="C610" s="23"/>
      <c r="D610" s="26"/>
      <c r="E610" s="25"/>
      <c r="N610" s="11" t="str">
        <f t="shared" si="1"/>
        <v/>
      </c>
    </row>
    <row r="611">
      <c r="A611" s="26"/>
      <c r="B611" s="22"/>
      <c r="C611" s="23"/>
      <c r="D611" s="26"/>
      <c r="E611" s="25"/>
      <c r="N611" s="11" t="str">
        <f t="shared" si="1"/>
        <v/>
      </c>
    </row>
    <row r="612">
      <c r="A612" s="26"/>
      <c r="B612" s="22"/>
      <c r="C612" s="23"/>
      <c r="D612" s="26"/>
      <c r="E612" s="25"/>
      <c r="N612" s="11" t="str">
        <f t="shared" si="1"/>
        <v/>
      </c>
    </row>
    <row r="613">
      <c r="A613" s="26"/>
      <c r="B613" s="22"/>
      <c r="C613" s="23"/>
      <c r="D613" s="26"/>
      <c r="E613" s="25"/>
      <c r="N613" s="11" t="str">
        <f t="shared" si="1"/>
        <v/>
      </c>
    </row>
    <row r="614">
      <c r="A614" s="26"/>
      <c r="B614" s="22"/>
      <c r="C614" s="23"/>
      <c r="D614" s="26"/>
      <c r="E614" s="25"/>
      <c r="N614" s="11" t="str">
        <f t="shared" si="1"/>
        <v/>
      </c>
    </row>
    <row r="615">
      <c r="A615" s="26"/>
      <c r="B615" s="22"/>
      <c r="C615" s="23"/>
      <c r="D615" s="26"/>
      <c r="E615" s="25"/>
      <c r="N615" s="11" t="str">
        <f t="shared" si="1"/>
        <v/>
      </c>
    </row>
    <row r="616">
      <c r="A616" s="26"/>
      <c r="B616" s="22"/>
      <c r="C616" s="23"/>
      <c r="D616" s="26"/>
      <c r="E616" s="25"/>
      <c r="N616" s="11" t="str">
        <f t="shared" si="1"/>
        <v/>
      </c>
    </row>
    <row r="617">
      <c r="A617" s="26"/>
      <c r="B617" s="22"/>
      <c r="C617" s="23"/>
      <c r="D617" s="26"/>
      <c r="E617" s="25"/>
      <c r="N617" s="11" t="str">
        <f t="shared" si="1"/>
        <v/>
      </c>
    </row>
    <row r="618">
      <c r="A618" s="26"/>
      <c r="B618" s="22"/>
      <c r="C618" s="23"/>
      <c r="D618" s="26"/>
      <c r="E618" s="25"/>
      <c r="N618" s="11" t="str">
        <f t="shared" si="1"/>
        <v/>
      </c>
    </row>
    <row r="619">
      <c r="A619" s="26"/>
      <c r="B619" s="22"/>
      <c r="C619" s="23"/>
      <c r="D619" s="26"/>
      <c r="E619" s="25"/>
      <c r="N619" s="11" t="str">
        <f t="shared" si="1"/>
        <v/>
      </c>
    </row>
    <row r="620">
      <c r="A620" s="26"/>
      <c r="B620" s="22"/>
      <c r="C620" s="23"/>
      <c r="D620" s="26"/>
      <c r="E620" s="25"/>
      <c r="N620" s="11" t="str">
        <f t="shared" si="1"/>
        <v/>
      </c>
    </row>
    <row r="621">
      <c r="A621" s="26"/>
      <c r="B621" s="22"/>
      <c r="C621" s="23"/>
      <c r="D621" s="26"/>
      <c r="E621" s="25"/>
      <c r="N621" s="11" t="str">
        <f t="shared" si="1"/>
        <v/>
      </c>
    </row>
    <row r="622">
      <c r="A622" s="26"/>
      <c r="B622" s="22"/>
      <c r="C622" s="23"/>
      <c r="D622" s="26"/>
      <c r="E622" s="25"/>
      <c r="N622" s="11" t="str">
        <f t="shared" si="1"/>
        <v/>
      </c>
    </row>
    <row r="623">
      <c r="A623" s="26"/>
      <c r="B623" s="22"/>
      <c r="C623" s="23"/>
      <c r="D623" s="26"/>
      <c r="E623" s="25"/>
      <c r="N623" s="11" t="str">
        <f t="shared" si="1"/>
        <v/>
      </c>
    </row>
    <row r="624">
      <c r="A624" s="26"/>
      <c r="B624" s="22"/>
      <c r="C624" s="23"/>
      <c r="D624" s="26"/>
      <c r="E624" s="25"/>
      <c r="N624" s="11" t="str">
        <f t="shared" si="1"/>
        <v/>
      </c>
    </row>
    <row r="625">
      <c r="A625" s="26"/>
      <c r="B625" s="22"/>
      <c r="C625" s="23"/>
      <c r="D625" s="26"/>
      <c r="E625" s="25"/>
      <c r="N625" s="11" t="str">
        <f t="shared" si="1"/>
        <v/>
      </c>
    </row>
    <row r="626">
      <c r="A626" s="26"/>
      <c r="B626" s="22"/>
      <c r="C626" s="23"/>
      <c r="D626" s="26"/>
      <c r="E626" s="25"/>
      <c r="N626" s="11" t="str">
        <f t="shared" si="1"/>
        <v/>
      </c>
    </row>
    <row r="627">
      <c r="A627" s="26"/>
      <c r="B627" s="22"/>
      <c r="C627" s="23"/>
      <c r="D627" s="26"/>
      <c r="E627" s="25"/>
      <c r="N627" s="11" t="str">
        <f t="shared" si="1"/>
        <v/>
      </c>
    </row>
    <row r="628">
      <c r="A628" s="26"/>
      <c r="B628" s="22"/>
      <c r="C628" s="23"/>
      <c r="D628" s="26"/>
      <c r="E628" s="25"/>
      <c r="N628" s="11" t="str">
        <f t="shared" si="1"/>
        <v/>
      </c>
    </row>
    <row r="629">
      <c r="A629" s="26"/>
      <c r="B629" s="22"/>
      <c r="C629" s="23"/>
      <c r="D629" s="26"/>
      <c r="E629" s="25"/>
      <c r="N629" s="11" t="str">
        <f t="shared" si="1"/>
        <v/>
      </c>
    </row>
    <row r="630">
      <c r="A630" s="26"/>
      <c r="B630" s="22"/>
      <c r="C630" s="23"/>
      <c r="D630" s="26"/>
      <c r="E630" s="25"/>
      <c r="N630" s="11" t="str">
        <f t="shared" si="1"/>
        <v/>
      </c>
    </row>
    <row r="631">
      <c r="A631" s="26"/>
      <c r="B631" s="22"/>
      <c r="C631" s="23"/>
      <c r="D631" s="26"/>
      <c r="E631" s="25"/>
      <c r="N631" s="11" t="str">
        <f t="shared" si="1"/>
        <v/>
      </c>
    </row>
    <row r="632">
      <c r="A632" s="26"/>
      <c r="B632" s="22"/>
      <c r="C632" s="23"/>
      <c r="D632" s="26"/>
      <c r="E632" s="25"/>
      <c r="N632" s="11" t="str">
        <f t="shared" si="1"/>
        <v/>
      </c>
    </row>
    <row r="633">
      <c r="A633" s="26"/>
      <c r="B633" s="22"/>
      <c r="C633" s="23"/>
      <c r="D633" s="26"/>
      <c r="E633" s="25"/>
      <c r="N633" s="11" t="str">
        <f t="shared" si="1"/>
        <v/>
      </c>
    </row>
    <row r="634">
      <c r="A634" s="26"/>
      <c r="B634" s="22"/>
      <c r="C634" s="23"/>
      <c r="D634" s="26"/>
      <c r="E634" s="25"/>
      <c r="N634" s="11" t="str">
        <f t="shared" si="1"/>
        <v/>
      </c>
    </row>
    <row r="635">
      <c r="A635" s="26"/>
      <c r="B635" s="22"/>
      <c r="C635" s="23"/>
      <c r="D635" s="26"/>
      <c r="E635" s="25"/>
      <c r="N635" s="11" t="str">
        <f t="shared" si="1"/>
        <v/>
      </c>
    </row>
    <row r="636">
      <c r="A636" s="26"/>
      <c r="B636" s="22"/>
      <c r="C636" s="23"/>
      <c r="D636" s="26"/>
      <c r="E636" s="25"/>
      <c r="N636" s="11" t="str">
        <f t="shared" si="1"/>
        <v/>
      </c>
    </row>
    <row r="637">
      <c r="A637" s="26"/>
      <c r="B637" s="22"/>
      <c r="C637" s="23"/>
      <c r="D637" s="26"/>
      <c r="E637" s="25"/>
      <c r="N637" s="11" t="str">
        <f t="shared" si="1"/>
        <v/>
      </c>
    </row>
    <row r="638">
      <c r="A638" s="26"/>
      <c r="B638" s="22"/>
      <c r="C638" s="23"/>
      <c r="D638" s="26"/>
      <c r="E638" s="25"/>
      <c r="N638" s="11" t="str">
        <f t="shared" si="1"/>
        <v/>
      </c>
    </row>
    <row r="639">
      <c r="A639" s="26"/>
      <c r="B639" s="22"/>
      <c r="C639" s="23"/>
      <c r="D639" s="26"/>
      <c r="E639" s="25"/>
      <c r="N639" s="11" t="str">
        <f t="shared" si="1"/>
        <v/>
      </c>
    </row>
    <row r="640">
      <c r="A640" s="26"/>
      <c r="B640" s="22"/>
      <c r="C640" s="23"/>
      <c r="D640" s="26"/>
      <c r="E640" s="25"/>
      <c r="N640" s="11" t="str">
        <f t="shared" si="1"/>
        <v/>
      </c>
    </row>
    <row r="641">
      <c r="A641" s="26"/>
      <c r="B641" s="22"/>
      <c r="C641" s="23"/>
      <c r="D641" s="26"/>
      <c r="E641" s="25"/>
      <c r="N641" s="11" t="str">
        <f t="shared" si="1"/>
        <v/>
      </c>
    </row>
    <row r="642">
      <c r="A642" s="26"/>
      <c r="B642" s="22"/>
      <c r="C642" s="23"/>
      <c r="D642" s="26"/>
      <c r="E642" s="25"/>
      <c r="N642" s="11" t="str">
        <f t="shared" si="1"/>
        <v/>
      </c>
    </row>
    <row r="643">
      <c r="A643" s="26"/>
      <c r="B643" s="22"/>
      <c r="C643" s="23"/>
      <c r="D643" s="26"/>
      <c r="E643" s="25"/>
      <c r="N643" s="11" t="str">
        <f t="shared" si="1"/>
        <v/>
      </c>
    </row>
    <row r="644">
      <c r="A644" s="26"/>
      <c r="B644" s="22"/>
      <c r="C644" s="23"/>
      <c r="D644" s="26"/>
      <c r="E644" s="25"/>
      <c r="N644" s="11" t="str">
        <f t="shared" si="1"/>
        <v/>
      </c>
    </row>
    <row r="645">
      <c r="A645" s="26"/>
      <c r="B645" s="22"/>
      <c r="C645" s="23"/>
      <c r="D645" s="26"/>
      <c r="E645" s="25"/>
      <c r="N645" s="11" t="str">
        <f t="shared" si="1"/>
        <v/>
      </c>
    </row>
    <row r="646">
      <c r="A646" s="26"/>
      <c r="B646" s="22"/>
      <c r="C646" s="23"/>
      <c r="D646" s="26"/>
      <c r="E646" s="25"/>
      <c r="N646" s="11" t="str">
        <f t="shared" si="1"/>
        <v/>
      </c>
    </row>
    <row r="647">
      <c r="A647" s="26"/>
      <c r="B647" s="22"/>
      <c r="C647" s="23"/>
      <c r="D647" s="26"/>
      <c r="E647" s="25"/>
      <c r="N647" s="11" t="str">
        <f t="shared" si="1"/>
        <v/>
      </c>
    </row>
    <row r="648">
      <c r="A648" s="26"/>
      <c r="B648" s="22"/>
      <c r="C648" s="23"/>
      <c r="D648" s="26"/>
      <c r="E648" s="25"/>
      <c r="N648" s="11" t="str">
        <f t="shared" si="1"/>
        <v/>
      </c>
    </row>
    <row r="649">
      <c r="A649" s="26"/>
      <c r="B649" s="22"/>
      <c r="C649" s="23"/>
      <c r="D649" s="26"/>
      <c r="E649" s="25"/>
      <c r="N649" s="11" t="str">
        <f t="shared" si="1"/>
        <v/>
      </c>
    </row>
    <row r="650">
      <c r="A650" s="26"/>
      <c r="B650" s="22"/>
      <c r="C650" s="23"/>
      <c r="D650" s="26"/>
      <c r="E650" s="25"/>
      <c r="N650" s="11" t="str">
        <f t="shared" si="1"/>
        <v/>
      </c>
    </row>
    <row r="651">
      <c r="A651" s="26"/>
      <c r="B651" s="22"/>
      <c r="C651" s="23"/>
      <c r="D651" s="26"/>
      <c r="E651" s="25"/>
      <c r="N651" s="11" t="str">
        <f t="shared" si="1"/>
        <v/>
      </c>
    </row>
    <row r="652">
      <c r="A652" s="26"/>
      <c r="B652" s="22"/>
      <c r="C652" s="23"/>
      <c r="D652" s="26"/>
      <c r="E652" s="25"/>
      <c r="N652" s="11" t="str">
        <f t="shared" si="1"/>
        <v/>
      </c>
    </row>
    <row r="653">
      <c r="A653" s="26"/>
      <c r="B653" s="22"/>
      <c r="C653" s="23"/>
      <c r="D653" s="26"/>
      <c r="E653" s="25"/>
      <c r="N653" s="11" t="str">
        <f t="shared" si="1"/>
        <v/>
      </c>
    </row>
    <row r="654">
      <c r="A654" s="26"/>
      <c r="B654" s="22"/>
      <c r="C654" s="23"/>
      <c r="D654" s="26"/>
      <c r="E654" s="25"/>
      <c r="N654" s="11" t="str">
        <f t="shared" si="1"/>
        <v/>
      </c>
    </row>
    <row r="655">
      <c r="A655" s="26"/>
      <c r="B655" s="22"/>
      <c r="C655" s="23"/>
      <c r="D655" s="26"/>
      <c r="E655" s="25"/>
      <c r="N655" s="11" t="str">
        <f t="shared" si="1"/>
        <v/>
      </c>
    </row>
    <row r="656">
      <c r="A656" s="26"/>
      <c r="B656" s="22"/>
      <c r="C656" s="23"/>
      <c r="D656" s="26"/>
      <c r="E656" s="25"/>
      <c r="N656" s="11" t="str">
        <f t="shared" si="1"/>
        <v/>
      </c>
    </row>
    <row r="657">
      <c r="A657" s="26"/>
      <c r="B657" s="22"/>
      <c r="C657" s="23"/>
      <c r="D657" s="26"/>
      <c r="E657" s="25"/>
      <c r="N657" s="11" t="str">
        <f t="shared" si="1"/>
        <v/>
      </c>
    </row>
    <row r="658">
      <c r="A658" s="26"/>
      <c r="B658" s="22"/>
      <c r="C658" s="23"/>
      <c r="D658" s="26"/>
      <c r="E658" s="25"/>
      <c r="N658" s="11" t="str">
        <f t="shared" si="1"/>
        <v/>
      </c>
    </row>
    <row r="659">
      <c r="A659" s="26"/>
      <c r="B659" s="22"/>
      <c r="C659" s="23"/>
      <c r="D659" s="26"/>
      <c r="E659" s="25"/>
      <c r="N659" s="11" t="str">
        <f t="shared" si="1"/>
        <v/>
      </c>
    </row>
    <row r="660">
      <c r="A660" s="26"/>
      <c r="B660" s="22"/>
      <c r="C660" s="23"/>
      <c r="D660" s="26"/>
      <c r="E660" s="25"/>
      <c r="N660" s="11" t="str">
        <f t="shared" si="1"/>
        <v/>
      </c>
    </row>
    <row r="661">
      <c r="A661" s="26"/>
      <c r="B661" s="22"/>
      <c r="C661" s="23"/>
      <c r="D661" s="26"/>
      <c r="E661" s="25"/>
      <c r="N661" s="11" t="str">
        <f t="shared" si="1"/>
        <v/>
      </c>
    </row>
    <row r="662">
      <c r="A662" s="26"/>
      <c r="B662" s="22"/>
      <c r="C662" s="23"/>
      <c r="D662" s="26"/>
      <c r="E662" s="25"/>
      <c r="N662" s="11" t="str">
        <f t="shared" si="1"/>
        <v/>
      </c>
    </row>
    <row r="663">
      <c r="A663" s="26"/>
      <c r="B663" s="22"/>
      <c r="C663" s="23"/>
      <c r="D663" s="26"/>
      <c r="E663" s="25"/>
      <c r="N663" s="11" t="str">
        <f t="shared" si="1"/>
        <v/>
      </c>
    </row>
    <row r="664">
      <c r="A664" s="26"/>
      <c r="B664" s="22"/>
      <c r="C664" s="23"/>
      <c r="D664" s="26"/>
      <c r="E664" s="25"/>
      <c r="N664" s="11" t="str">
        <f t="shared" si="1"/>
        <v/>
      </c>
    </row>
    <row r="665">
      <c r="A665" s="26"/>
      <c r="B665" s="22"/>
      <c r="C665" s="23"/>
      <c r="D665" s="26"/>
      <c r="E665" s="25"/>
      <c r="N665" s="11" t="str">
        <f t="shared" si="1"/>
        <v/>
      </c>
    </row>
    <row r="666">
      <c r="A666" s="26"/>
      <c r="B666" s="22"/>
      <c r="C666" s="23"/>
      <c r="D666" s="26"/>
      <c r="E666" s="25"/>
      <c r="N666" s="11" t="str">
        <f t="shared" si="1"/>
        <v/>
      </c>
    </row>
    <row r="667">
      <c r="A667" s="26"/>
      <c r="B667" s="22"/>
      <c r="C667" s="23"/>
      <c r="D667" s="26"/>
      <c r="E667" s="25"/>
      <c r="N667" s="11" t="str">
        <f t="shared" si="1"/>
        <v/>
      </c>
    </row>
    <row r="668">
      <c r="A668" s="26"/>
      <c r="B668" s="22"/>
      <c r="C668" s="23"/>
      <c r="D668" s="26"/>
      <c r="E668" s="25"/>
      <c r="N668" s="11" t="str">
        <f t="shared" si="1"/>
        <v/>
      </c>
    </row>
    <row r="669">
      <c r="A669" s="26"/>
      <c r="B669" s="22"/>
      <c r="C669" s="23"/>
      <c r="D669" s="26"/>
      <c r="E669" s="25"/>
      <c r="N669" s="11" t="str">
        <f t="shared" si="1"/>
        <v/>
      </c>
    </row>
    <row r="670">
      <c r="A670" s="26"/>
      <c r="B670" s="22"/>
      <c r="C670" s="23"/>
      <c r="D670" s="26"/>
      <c r="E670" s="25"/>
      <c r="N670" s="11" t="str">
        <f t="shared" si="1"/>
        <v/>
      </c>
    </row>
    <row r="671">
      <c r="A671" s="26"/>
      <c r="B671" s="22"/>
      <c r="C671" s="23"/>
      <c r="D671" s="26"/>
      <c r="E671" s="25"/>
      <c r="N671" s="11" t="str">
        <f t="shared" si="1"/>
        <v/>
      </c>
    </row>
    <row r="672">
      <c r="A672" s="26"/>
      <c r="B672" s="22"/>
      <c r="C672" s="23"/>
      <c r="D672" s="26"/>
      <c r="E672" s="25"/>
      <c r="N672" s="11" t="str">
        <f t="shared" si="1"/>
        <v/>
      </c>
    </row>
    <row r="673">
      <c r="A673" s="26"/>
      <c r="B673" s="22"/>
      <c r="C673" s="23"/>
      <c r="D673" s="26"/>
      <c r="E673" s="25"/>
      <c r="N673" s="11" t="str">
        <f t="shared" si="1"/>
        <v/>
      </c>
    </row>
    <row r="674">
      <c r="A674" s="26"/>
      <c r="B674" s="22"/>
      <c r="C674" s="23"/>
      <c r="D674" s="26"/>
      <c r="E674" s="25"/>
      <c r="N674" s="11" t="str">
        <f t="shared" si="1"/>
        <v/>
      </c>
    </row>
    <row r="675">
      <c r="A675" s="26"/>
      <c r="B675" s="22"/>
      <c r="C675" s="23"/>
      <c r="D675" s="26"/>
      <c r="E675" s="25"/>
      <c r="N675" s="11" t="str">
        <f t="shared" si="1"/>
        <v/>
      </c>
    </row>
    <row r="676">
      <c r="A676" s="26"/>
      <c r="B676" s="22"/>
      <c r="C676" s="23"/>
      <c r="D676" s="26"/>
      <c r="E676" s="25"/>
      <c r="N676" s="11" t="str">
        <f t="shared" si="1"/>
        <v/>
      </c>
    </row>
    <row r="677">
      <c r="A677" s="26"/>
      <c r="B677" s="22"/>
      <c r="C677" s="23"/>
      <c r="D677" s="26"/>
      <c r="E677" s="25"/>
      <c r="N677" s="11" t="str">
        <f t="shared" si="1"/>
        <v/>
      </c>
    </row>
    <row r="678">
      <c r="A678" s="26"/>
      <c r="B678" s="22"/>
      <c r="C678" s="23"/>
      <c r="D678" s="26"/>
      <c r="E678" s="25"/>
      <c r="N678" s="11" t="str">
        <f t="shared" si="1"/>
        <v/>
      </c>
    </row>
    <row r="679">
      <c r="A679" s="26"/>
      <c r="B679" s="22"/>
      <c r="C679" s="23"/>
      <c r="D679" s="26"/>
      <c r="E679" s="25"/>
      <c r="N679" s="11" t="str">
        <f t="shared" si="1"/>
        <v/>
      </c>
    </row>
    <row r="680">
      <c r="A680" s="26"/>
      <c r="B680" s="22"/>
      <c r="C680" s="23"/>
      <c r="D680" s="26"/>
      <c r="E680" s="25"/>
      <c r="N680" s="11" t="str">
        <f t="shared" si="1"/>
        <v/>
      </c>
    </row>
    <row r="681">
      <c r="A681" s="26"/>
      <c r="B681" s="22"/>
      <c r="C681" s="23"/>
      <c r="D681" s="26"/>
      <c r="E681" s="25"/>
      <c r="N681" s="11" t="str">
        <f t="shared" si="1"/>
        <v/>
      </c>
    </row>
    <row r="682">
      <c r="A682" s="26"/>
      <c r="B682" s="22"/>
      <c r="C682" s="23"/>
      <c r="D682" s="26"/>
      <c r="E682" s="25"/>
      <c r="N682" s="11" t="str">
        <f t="shared" si="1"/>
        <v/>
      </c>
    </row>
    <row r="683">
      <c r="A683" s="26"/>
      <c r="B683" s="22"/>
      <c r="C683" s="23"/>
      <c r="D683" s="26"/>
      <c r="E683" s="25"/>
      <c r="N683" s="11" t="str">
        <f t="shared" si="1"/>
        <v/>
      </c>
    </row>
    <row r="684">
      <c r="A684" s="26"/>
      <c r="B684" s="22"/>
      <c r="C684" s="23"/>
      <c r="D684" s="26"/>
      <c r="E684" s="25"/>
      <c r="N684" s="11" t="str">
        <f t="shared" si="1"/>
        <v/>
      </c>
    </row>
    <row r="685">
      <c r="A685" s="26"/>
      <c r="B685" s="22"/>
      <c r="C685" s="23"/>
      <c r="D685" s="26"/>
      <c r="E685" s="25"/>
      <c r="N685" s="11" t="str">
        <f t="shared" si="1"/>
        <v/>
      </c>
    </row>
    <row r="686">
      <c r="A686" s="26"/>
      <c r="B686" s="22"/>
      <c r="C686" s="23"/>
      <c r="D686" s="26"/>
      <c r="E686" s="25"/>
      <c r="N686" s="11" t="str">
        <f t="shared" si="1"/>
        <v/>
      </c>
    </row>
    <row r="687">
      <c r="A687" s="26"/>
      <c r="B687" s="22"/>
      <c r="C687" s="23"/>
      <c r="D687" s="26"/>
      <c r="E687" s="25"/>
      <c r="N687" s="11" t="str">
        <f t="shared" si="1"/>
        <v/>
      </c>
    </row>
    <row r="688">
      <c r="A688" s="26"/>
      <c r="B688" s="22"/>
      <c r="C688" s="23"/>
      <c r="D688" s="26"/>
      <c r="E688" s="25"/>
      <c r="N688" s="11" t="str">
        <f t="shared" si="1"/>
        <v/>
      </c>
    </row>
    <row r="689">
      <c r="A689" s="26"/>
      <c r="B689" s="22"/>
      <c r="C689" s="23"/>
      <c r="D689" s="26"/>
      <c r="E689" s="25"/>
      <c r="N689" s="11" t="str">
        <f t="shared" si="1"/>
        <v/>
      </c>
    </row>
    <row r="690">
      <c r="A690" s="26"/>
      <c r="B690" s="22"/>
      <c r="C690" s="23"/>
      <c r="D690" s="26"/>
      <c r="E690" s="25"/>
      <c r="N690" s="11" t="str">
        <f t="shared" si="1"/>
        <v/>
      </c>
    </row>
    <row r="691">
      <c r="A691" s="26"/>
      <c r="B691" s="22"/>
      <c r="C691" s="23"/>
      <c r="D691" s="26"/>
      <c r="E691" s="25"/>
      <c r="N691" s="11" t="str">
        <f t="shared" si="1"/>
        <v/>
      </c>
    </row>
    <row r="692">
      <c r="A692" s="26"/>
      <c r="B692" s="22"/>
      <c r="C692" s="23"/>
      <c r="D692" s="26"/>
      <c r="E692" s="25"/>
      <c r="N692" s="11" t="str">
        <f t="shared" si="1"/>
        <v/>
      </c>
    </row>
    <row r="693">
      <c r="A693" s="26"/>
      <c r="B693" s="22"/>
      <c r="C693" s="23"/>
      <c r="D693" s="26"/>
      <c r="E693" s="25"/>
      <c r="N693" s="11" t="str">
        <f t="shared" si="1"/>
        <v/>
      </c>
    </row>
    <row r="694">
      <c r="A694" s="26"/>
      <c r="B694" s="22"/>
      <c r="C694" s="23"/>
      <c r="D694" s="26"/>
      <c r="E694" s="25"/>
      <c r="N694" s="11" t="str">
        <f t="shared" si="1"/>
        <v/>
      </c>
    </row>
    <row r="695">
      <c r="A695" s="26"/>
      <c r="B695" s="22"/>
      <c r="C695" s="23"/>
      <c r="D695" s="26"/>
      <c r="E695" s="25"/>
      <c r="N695" s="11" t="str">
        <f t="shared" si="1"/>
        <v/>
      </c>
    </row>
    <row r="696">
      <c r="A696" s="26"/>
      <c r="B696" s="22"/>
      <c r="C696" s="23"/>
      <c r="D696" s="26"/>
      <c r="E696" s="25"/>
      <c r="N696" s="11" t="str">
        <f t="shared" si="1"/>
        <v/>
      </c>
    </row>
    <row r="697">
      <c r="A697" s="26"/>
      <c r="B697" s="22"/>
      <c r="C697" s="23"/>
      <c r="D697" s="26"/>
      <c r="E697" s="25"/>
      <c r="N697" s="11" t="str">
        <f t="shared" si="1"/>
        <v/>
      </c>
    </row>
    <row r="698">
      <c r="A698" s="26"/>
      <c r="B698" s="22"/>
      <c r="C698" s="23"/>
      <c r="D698" s="26"/>
      <c r="E698" s="25"/>
      <c r="N698" s="11" t="str">
        <f t="shared" si="1"/>
        <v/>
      </c>
    </row>
    <row r="699">
      <c r="A699" s="26"/>
      <c r="B699" s="22"/>
      <c r="C699" s="23"/>
      <c r="D699" s="26"/>
      <c r="E699" s="25"/>
      <c r="N699" s="11" t="str">
        <f t="shared" si="1"/>
        <v/>
      </c>
    </row>
    <row r="700">
      <c r="A700" s="26"/>
      <c r="B700" s="22"/>
      <c r="C700" s="23"/>
      <c r="D700" s="26"/>
      <c r="E700" s="25"/>
      <c r="N700" s="11" t="str">
        <f t="shared" si="1"/>
        <v/>
      </c>
    </row>
    <row r="701">
      <c r="A701" s="26"/>
      <c r="B701" s="22"/>
      <c r="C701" s="23"/>
      <c r="D701" s="26"/>
      <c r="E701" s="25"/>
      <c r="N701" s="11" t="str">
        <f t="shared" si="1"/>
        <v/>
      </c>
    </row>
    <row r="702">
      <c r="A702" s="26"/>
      <c r="B702" s="22"/>
      <c r="C702" s="23"/>
      <c r="D702" s="26"/>
      <c r="E702" s="25"/>
      <c r="N702" s="11" t="str">
        <f t="shared" si="1"/>
        <v/>
      </c>
    </row>
    <row r="703">
      <c r="A703" s="26"/>
      <c r="B703" s="22"/>
      <c r="C703" s="23"/>
      <c r="D703" s="26"/>
      <c r="E703" s="25"/>
      <c r="N703" s="11" t="str">
        <f t="shared" si="1"/>
        <v/>
      </c>
    </row>
    <row r="704">
      <c r="A704" s="26"/>
      <c r="B704" s="22"/>
      <c r="C704" s="23"/>
      <c r="D704" s="26"/>
      <c r="E704" s="25"/>
      <c r="N704" s="11" t="str">
        <f t="shared" si="1"/>
        <v/>
      </c>
    </row>
    <row r="705">
      <c r="A705" s="26"/>
      <c r="B705" s="22"/>
      <c r="C705" s="23"/>
      <c r="D705" s="26"/>
      <c r="E705" s="25"/>
      <c r="N705" s="11" t="str">
        <f t="shared" si="1"/>
        <v/>
      </c>
    </row>
    <row r="706">
      <c r="A706" s="26"/>
      <c r="B706" s="22"/>
      <c r="C706" s="23"/>
      <c r="D706" s="26"/>
      <c r="E706" s="25"/>
      <c r="N706" s="11" t="str">
        <f t="shared" si="1"/>
        <v/>
      </c>
    </row>
    <row r="707">
      <c r="A707" s="26"/>
      <c r="B707" s="22"/>
      <c r="C707" s="23"/>
      <c r="D707" s="26"/>
      <c r="E707" s="25"/>
      <c r="N707" s="11" t="str">
        <f t="shared" si="1"/>
        <v/>
      </c>
    </row>
    <row r="708">
      <c r="A708" s="26"/>
      <c r="B708" s="22"/>
      <c r="C708" s="23"/>
      <c r="D708" s="26"/>
      <c r="E708" s="25"/>
      <c r="N708" s="11" t="str">
        <f t="shared" si="1"/>
        <v/>
      </c>
    </row>
    <row r="709">
      <c r="A709" s="26"/>
      <c r="B709" s="22"/>
      <c r="C709" s="23"/>
      <c r="D709" s="26"/>
      <c r="E709" s="25"/>
      <c r="N709" s="11" t="str">
        <f t="shared" si="1"/>
        <v/>
      </c>
    </row>
    <row r="710">
      <c r="A710" s="26"/>
      <c r="B710" s="22"/>
      <c r="C710" s="23"/>
      <c r="D710" s="26"/>
      <c r="E710" s="25"/>
      <c r="N710" s="11" t="str">
        <f t="shared" si="1"/>
        <v/>
      </c>
    </row>
    <row r="711">
      <c r="A711" s="26"/>
      <c r="B711" s="22"/>
      <c r="C711" s="23"/>
      <c r="D711" s="26"/>
      <c r="E711" s="25"/>
      <c r="N711" s="11" t="str">
        <f t="shared" si="1"/>
        <v/>
      </c>
    </row>
    <row r="712">
      <c r="A712" s="26"/>
      <c r="B712" s="22"/>
      <c r="C712" s="23"/>
      <c r="D712" s="26"/>
      <c r="E712" s="25"/>
      <c r="N712" s="11" t="str">
        <f t="shared" si="1"/>
        <v/>
      </c>
    </row>
    <row r="713">
      <c r="A713" s="26"/>
      <c r="B713" s="22"/>
      <c r="C713" s="23"/>
      <c r="D713" s="26"/>
      <c r="E713" s="25"/>
      <c r="N713" s="11" t="str">
        <f t="shared" si="1"/>
        <v/>
      </c>
    </row>
    <row r="714">
      <c r="A714" s="26"/>
      <c r="B714" s="22"/>
      <c r="C714" s="23"/>
      <c r="D714" s="26"/>
      <c r="E714" s="25"/>
      <c r="N714" s="11" t="str">
        <f t="shared" si="1"/>
        <v/>
      </c>
    </row>
    <row r="715">
      <c r="A715" s="26"/>
      <c r="B715" s="22"/>
      <c r="C715" s="23"/>
      <c r="D715" s="26"/>
      <c r="E715" s="25"/>
      <c r="N715" s="11" t="str">
        <f t="shared" si="1"/>
        <v/>
      </c>
    </row>
    <row r="716">
      <c r="A716" s="26"/>
      <c r="B716" s="22"/>
      <c r="C716" s="23"/>
      <c r="D716" s="26"/>
      <c r="E716" s="25"/>
      <c r="N716" s="11" t="str">
        <f t="shared" si="1"/>
        <v/>
      </c>
    </row>
    <row r="717">
      <c r="A717" s="26"/>
      <c r="B717" s="22"/>
      <c r="C717" s="23"/>
      <c r="D717" s="26"/>
      <c r="E717" s="25"/>
      <c r="N717" s="11" t="str">
        <f t="shared" si="1"/>
        <v/>
      </c>
    </row>
    <row r="718">
      <c r="A718" s="26"/>
      <c r="B718" s="22"/>
      <c r="C718" s="23"/>
      <c r="D718" s="26"/>
      <c r="E718" s="25"/>
      <c r="N718" s="11" t="str">
        <f t="shared" si="1"/>
        <v/>
      </c>
    </row>
    <row r="719">
      <c r="A719" s="26"/>
      <c r="B719" s="22"/>
      <c r="C719" s="23"/>
      <c r="D719" s="26"/>
      <c r="E719" s="25"/>
      <c r="N719" s="11" t="str">
        <f t="shared" si="1"/>
        <v/>
      </c>
    </row>
    <row r="720">
      <c r="A720" s="26"/>
      <c r="B720" s="22"/>
      <c r="C720" s="23"/>
      <c r="D720" s="26"/>
      <c r="E720" s="25"/>
      <c r="N720" s="11" t="str">
        <f t="shared" si="1"/>
        <v/>
      </c>
    </row>
    <row r="721">
      <c r="A721" s="26"/>
      <c r="B721" s="22"/>
      <c r="C721" s="23"/>
      <c r="D721" s="26"/>
      <c r="E721" s="25"/>
      <c r="N721" s="11" t="str">
        <f t="shared" si="1"/>
        <v/>
      </c>
    </row>
    <row r="722">
      <c r="A722" s="26"/>
      <c r="B722" s="22"/>
      <c r="C722" s="23"/>
      <c r="D722" s="26"/>
      <c r="E722" s="25"/>
      <c r="N722" s="11" t="str">
        <f t="shared" si="1"/>
        <v/>
      </c>
    </row>
    <row r="723">
      <c r="A723" s="26"/>
      <c r="B723" s="22"/>
      <c r="C723" s="23"/>
      <c r="D723" s="26"/>
      <c r="E723" s="25"/>
      <c r="N723" s="11" t="str">
        <f t="shared" si="1"/>
        <v/>
      </c>
    </row>
    <row r="724">
      <c r="A724" s="26"/>
      <c r="B724" s="22"/>
      <c r="C724" s="23"/>
      <c r="D724" s="26"/>
      <c r="E724" s="25"/>
      <c r="N724" s="11" t="str">
        <f t="shared" si="1"/>
        <v/>
      </c>
    </row>
    <row r="725">
      <c r="A725" s="26"/>
      <c r="B725" s="22"/>
      <c r="C725" s="23"/>
      <c r="D725" s="26"/>
      <c r="E725" s="25"/>
      <c r="N725" s="11" t="str">
        <f t="shared" si="1"/>
        <v/>
      </c>
    </row>
    <row r="726">
      <c r="A726" s="26"/>
      <c r="B726" s="22"/>
      <c r="C726" s="23"/>
      <c r="D726" s="26"/>
      <c r="E726" s="25"/>
      <c r="N726" s="11" t="str">
        <f t="shared" si="1"/>
        <v/>
      </c>
    </row>
    <row r="727">
      <c r="A727" s="26"/>
      <c r="B727" s="22"/>
      <c r="C727" s="23"/>
      <c r="D727" s="26"/>
      <c r="E727" s="25"/>
      <c r="N727" s="11" t="str">
        <f t="shared" si="1"/>
        <v/>
      </c>
    </row>
    <row r="728">
      <c r="A728" s="26"/>
      <c r="B728" s="22"/>
      <c r="C728" s="23"/>
      <c r="D728" s="26"/>
      <c r="E728" s="25"/>
      <c r="N728" s="11" t="str">
        <f t="shared" si="1"/>
        <v/>
      </c>
    </row>
    <row r="729">
      <c r="A729" s="26"/>
      <c r="B729" s="22"/>
      <c r="C729" s="23"/>
      <c r="D729" s="26"/>
      <c r="E729" s="25"/>
      <c r="N729" s="11" t="str">
        <f t="shared" si="1"/>
        <v/>
      </c>
    </row>
    <row r="730">
      <c r="A730" s="26"/>
      <c r="B730" s="22"/>
      <c r="C730" s="23"/>
      <c r="D730" s="26"/>
      <c r="E730" s="25"/>
      <c r="N730" s="11" t="str">
        <f t="shared" si="1"/>
        <v/>
      </c>
    </row>
    <row r="731">
      <c r="A731" s="26"/>
      <c r="B731" s="22"/>
      <c r="C731" s="23"/>
      <c r="D731" s="26"/>
      <c r="E731" s="25"/>
      <c r="N731" s="11" t="str">
        <f t="shared" si="1"/>
        <v/>
      </c>
    </row>
    <row r="732">
      <c r="A732" s="26"/>
      <c r="B732" s="22"/>
      <c r="C732" s="23"/>
      <c r="D732" s="26"/>
      <c r="E732" s="25"/>
      <c r="N732" s="11" t="str">
        <f t="shared" si="1"/>
        <v/>
      </c>
    </row>
    <row r="733">
      <c r="A733" s="26"/>
      <c r="B733" s="22"/>
      <c r="C733" s="23"/>
      <c r="D733" s="26"/>
      <c r="E733" s="25"/>
      <c r="N733" s="11" t="str">
        <f t="shared" si="1"/>
        <v/>
      </c>
    </row>
    <row r="734">
      <c r="A734" s="26"/>
      <c r="B734" s="22"/>
      <c r="C734" s="23"/>
      <c r="D734" s="26"/>
      <c r="E734" s="25"/>
      <c r="N734" s="11" t="str">
        <f t="shared" si="1"/>
        <v/>
      </c>
    </row>
    <row r="735">
      <c r="A735" s="26"/>
      <c r="B735" s="22"/>
      <c r="C735" s="23"/>
      <c r="D735" s="26"/>
      <c r="E735" s="25"/>
      <c r="N735" s="11" t="str">
        <f t="shared" si="1"/>
        <v/>
      </c>
    </row>
    <row r="736">
      <c r="A736" s="26"/>
      <c r="B736" s="22"/>
      <c r="C736" s="23"/>
      <c r="D736" s="26"/>
      <c r="E736" s="25"/>
      <c r="N736" s="11" t="str">
        <f t="shared" si="1"/>
        <v/>
      </c>
    </row>
    <row r="737">
      <c r="A737" s="26"/>
      <c r="B737" s="22"/>
      <c r="C737" s="23"/>
      <c r="D737" s="26"/>
      <c r="E737" s="25"/>
      <c r="N737" s="11" t="str">
        <f t="shared" si="1"/>
        <v/>
      </c>
    </row>
    <row r="738">
      <c r="A738" s="26"/>
      <c r="B738" s="22"/>
      <c r="C738" s="23"/>
      <c r="D738" s="26"/>
      <c r="E738" s="25"/>
      <c r="N738" s="11" t="str">
        <f t="shared" si="1"/>
        <v/>
      </c>
    </row>
    <row r="739">
      <c r="A739" s="26"/>
      <c r="B739" s="22"/>
      <c r="C739" s="23"/>
      <c r="D739" s="26"/>
      <c r="E739" s="25"/>
      <c r="N739" s="11" t="str">
        <f t="shared" si="1"/>
        <v/>
      </c>
    </row>
    <row r="740">
      <c r="A740" s="26"/>
      <c r="B740" s="22"/>
      <c r="C740" s="23"/>
      <c r="D740" s="26"/>
      <c r="E740" s="25"/>
      <c r="N740" s="11" t="str">
        <f t="shared" si="1"/>
        <v/>
      </c>
    </row>
    <row r="741">
      <c r="A741" s="26"/>
      <c r="B741" s="22"/>
      <c r="C741" s="23"/>
      <c r="D741" s="26"/>
      <c r="E741" s="25"/>
      <c r="N741" s="11" t="str">
        <f t="shared" si="1"/>
        <v/>
      </c>
    </row>
    <row r="742">
      <c r="A742" s="26"/>
      <c r="B742" s="22"/>
      <c r="C742" s="23"/>
      <c r="D742" s="26"/>
      <c r="E742" s="25"/>
      <c r="N742" s="11" t="str">
        <f t="shared" si="1"/>
        <v/>
      </c>
    </row>
    <row r="743">
      <c r="A743" s="26"/>
      <c r="B743" s="22"/>
      <c r="C743" s="23"/>
      <c r="D743" s="26"/>
      <c r="E743" s="25"/>
      <c r="N743" s="11" t="str">
        <f t="shared" si="1"/>
        <v/>
      </c>
    </row>
    <row r="744">
      <c r="A744" s="26"/>
      <c r="B744" s="22"/>
      <c r="C744" s="23"/>
      <c r="D744" s="26"/>
      <c r="E744" s="25"/>
      <c r="N744" s="11" t="str">
        <f t="shared" si="1"/>
        <v/>
      </c>
    </row>
    <row r="745">
      <c r="A745" s="26"/>
      <c r="B745" s="22"/>
      <c r="C745" s="23"/>
      <c r="D745" s="26"/>
      <c r="E745" s="25"/>
      <c r="N745" s="11" t="str">
        <f t="shared" si="1"/>
        <v/>
      </c>
    </row>
    <row r="746">
      <c r="A746" s="26"/>
      <c r="B746" s="22"/>
      <c r="C746" s="23"/>
      <c r="D746" s="26"/>
      <c r="E746" s="25"/>
      <c r="N746" s="11" t="str">
        <f t="shared" si="1"/>
        <v/>
      </c>
    </row>
    <row r="747">
      <c r="A747" s="26"/>
      <c r="B747" s="22"/>
      <c r="C747" s="23"/>
      <c r="D747" s="26"/>
      <c r="E747" s="25"/>
      <c r="N747" s="11" t="str">
        <f t="shared" si="1"/>
        <v/>
      </c>
    </row>
    <row r="748">
      <c r="A748" s="26"/>
      <c r="B748" s="22"/>
      <c r="C748" s="23"/>
      <c r="D748" s="26"/>
      <c r="E748" s="25"/>
      <c r="N748" s="11" t="str">
        <f t="shared" si="1"/>
        <v/>
      </c>
    </row>
    <row r="749">
      <c r="A749" s="26"/>
      <c r="B749" s="22"/>
      <c r="C749" s="23"/>
      <c r="D749" s="26"/>
      <c r="E749" s="25"/>
      <c r="N749" s="11" t="str">
        <f t="shared" si="1"/>
        <v/>
      </c>
    </row>
    <row r="750">
      <c r="A750" s="26"/>
      <c r="B750" s="22"/>
      <c r="C750" s="23"/>
      <c r="D750" s="26"/>
      <c r="E750" s="25"/>
      <c r="N750" s="11" t="str">
        <f t="shared" si="1"/>
        <v/>
      </c>
    </row>
    <row r="751">
      <c r="A751" s="26"/>
      <c r="B751" s="22"/>
      <c r="C751" s="23"/>
      <c r="D751" s="26"/>
      <c r="E751" s="25"/>
      <c r="N751" s="11" t="str">
        <f t="shared" si="1"/>
        <v/>
      </c>
    </row>
    <row r="752">
      <c r="A752" s="26"/>
      <c r="B752" s="22"/>
      <c r="C752" s="23"/>
      <c r="D752" s="26"/>
      <c r="E752" s="25"/>
      <c r="N752" s="11" t="str">
        <f t="shared" si="1"/>
        <v/>
      </c>
    </row>
    <row r="753">
      <c r="A753" s="26"/>
      <c r="B753" s="22"/>
      <c r="C753" s="23"/>
      <c r="D753" s="26"/>
      <c r="E753" s="25"/>
      <c r="N753" s="11" t="str">
        <f t="shared" si="1"/>
        <v/>
      </c>
    </row>
    <row r="754">
      <c r="A754" s="26"/>
      <c r="B754" s="22"/>
      <c r="C754" s="23"/>
      <c r="D754" s="26"/>
      <c r="E754" s="25"/>
      <c r="N754" s="11" t="str">
        <f t="shared" si="1"/>
        <v/>
      </c>
    </row>
    <row r="755">
      <c r="A755" s="26"/>
      <c r="B755" s="22"/>
      <c r="C755" s="23"/>
      <c r="D755" s="26"/>
      <c r="E755" s="25"/>
      <c r="N755" s="11" t="str">
        <f t="shared" si="1"/>
        <v/>
      </c>
    </row>
    <row r="756">
      <c r="A756" s="26"/>
      <c r="B756" s="22"/>
      <c r="C756" s="23"/>
      <c r="D756" s="26"/>
      <c r="E756" s="25"/>
      <c r="N756" s="11" t="str">
        <f t="shared" si="1"/>
        <v/>
      </c>
    </row>
    <row r="757">
      <c r="A757" s="26"/>
      <c r="B757" s="22"/>
      <c r="C757" s="23"/>
      <c r="D757" s="26"/>
      <c r="E757" s="25"/>
      <c r="N757" s="11" t="str">
        <f t="shared" si="1"/>
        <v/>
      </c>
    </row>
    <row r="758">
      <c r="A758" s="26"/>
      <c r="B758" s="22"/>
      <c r="C758" s="23"/>
      <c r="D758" s="26"/>
      <c r="E758" s="25"/>
      <c r="N758" s="11" t="str">
        <f t="shared" si="1"/>
        <v/>
      </c>
    </row>
    <row r="759">
      <c r="A759" s="26"/>
      <c r="B759" s="22"/>
      <c r="C759" s="23"/>
      <c r="D759" s="26"/>
      <c r="E759" s="25"/>
      <c r="N759" s="11" t="str">
        <f t="shared" si="1"/>
        <v/>
      </c>
    </row>
    <row r="760">
      <c r="A760" s="26"/>
      <c r="B760" s="22"/>
      <c r="C760" s="23"/>
      <c r="D760" s="26"/>
      <c r="E760" s="25"/>
      <c r="N760" s="11" t="str">
        <f t="shared" si="1"/>
        <v/>
      </c>
    </row>
    <row r="761">
      <c r="A761" s="26"/>
      <c r="B761" s="22"/>
      <c r="C761" s="23"/>
      <c r="D761" s="26"/>
      <c r="E761" s="25"/>
      <c r="N761" s="11" t="str">
        <f t="shared" si="1"/>
        <v/>
      </c>
    </row>
    <row r="762">
      <c r="A762" s="26"/>
      <c r="B762" s="22"/>
      <c r="C762" s="23"/>
      <c r="D762" s="26"/>
      <c r="E762" s="25"/>
      <c r="N762" s="11" t="str">
        <f t="shared" si="1"/>
        <v/>
      </c>
    </row>
    <row r="763">
      <c r="A763" s="26"/>
      <c r="B763" s="22"/>
      <c r="C763" s="23"/>
      <c r="D763" s="26"/>
      <c r="E763" s="25"/>
      <c r="N763" s="11" t="str">
        <f t="shared" si="1"/>
        <v/>
      </c>
    </row>
    <row r="764">
      <c r="A764" s="26"/>
      <c r="B764" s="22"/>
      <c r="C764" s="23"/>
      <c r="D764" s="26"/>
      <c r="E764" s="25"/>
      <c r="N764" s="11" t="str">
        <f t="shared" si="1"/>
        <v/>
      </c>
    </row>
    <row r="765">
      <c r="A765" s="26"/>
      <c r="B765" s="22"/>
      <c r="C765" s="23"/>
      <c r="D765" s="26"/>
      <c r="E765" s="25"/>
      <c r="N765" s="11" t="str">
        <f t="shared" si="1"/>
        <v/>
      </c>
    </row>
    <row r="766">
      <c r="A766" s="26"/>
      <c r="B766" s="22"/>
      <c r="C766" s="23"/>
      <c r="D766" s="26"/>
      <c r="E766" s="25"/>
      <c r="N766" s="11" t="str">
        <f t="shared" si="1"/>
        <v/>
      </c>
    </row>
    <row r="767">
      <c r="A767" s="26"/>
      <c r="B767" s="22"/>
      <c r="C767" s="23"/>
      <c r="D767" s="26"/>
      <c r="E767" s="25"/>
      <c r="N767" s="11" t="str">
        <f t="shared" si="1"/>
        <v/>
      </c>
    </row>
    <row r="768">
      <c r="A768" s="26"/>
      <c r="B768" s="22"/>
      <c r="C768" s="23"/>
      <c r="D768" s="26"/>
      <c r="E768" s="25"/>
      <c r="N768" s="11" t="str">
        <f t="shared" si="1"/>
        <v/>
      </c>
    </row>
    <row r="769">
      <c r="A769" s="26"/>
      <c r="B769" s="22"/>
      <c r="C769" s="23"/>
      <c r="D769" s="26"/>
      <c r="E769" s="25"/>
      <c r="N769" s="11" t="str">
        <f t="shared" si="1"/>
        <v/>
      </c>
    </row>
    <row r="770">
      <c r="A770" s="26"/>
      <c r="B770" s="22"/>
      <c r="C770" s="23"/>
      <c r="D770" s="26"/>
      <c r="E770" s="25"/>
      <c r="N770" s="11" t="str">
        <f t="shared" si="1"/>
        <v/>
      </c>
    </row>
    <row r="771">
      <c r="A771" s="26"/>
      <c r="B771" s="22"/>
      <c r="C771" s="23"/>
      <c r="D771" s="26"/>
      <c r="E771" s="25"/>
      <c r="N771" s="11" t="str">
        <f t="shared" si="1"/>
        <v/>
      </c>
    </row>
    <row r="772">
      <c r="A772" s="26"/>
      <c r="B772" s="22"/>
      <c r="C772" s="23"/>
      <c r="D772" s="26"/>
      <c r="E772" s="25"/>
      <c r="N772" s="11" t="str">
        <f t="shared" si="1"/>
        <v/>
      </c>
    </row>
    <row r="773">
      <c r="A773" s="26"/>
      <c r="B773" s="22"/>
      <c r="C773" s="23"/>
      <c r="D773" s="26"/>
      <c r="E773" s="25"/>
      <c r="N773" s="11" t="str">
        <f t="shared" si="1"/>
        <v/>
      </c>
    </row>
    <row r="774">
      <c r="A774" s="26"/>
      <c r="B774" s="22"/>
      <c r="C774" s="23"/>
      <c r="D774" s="26"/>
      <c r="E774" s="25"/>
      <c r="N774" s="11" t="str">
        <f t="shared" si="1"/>
        <v/>
      </c>
    </row>
    <row r="775">
      <c r="A775" s="26"/>
      <c r="B775" s="22"/>
      <c r="C775" s="23"/>
      <c r="D775" s="26"/>
      <c r="E775" s="25"/>
      <c r="N775" s="11" t="str">
        <f t="shared" si="1"/>
        <v/>
      </c>
    </row>
    <row r="776">
      <c r="A776" s="26"/>
      <c r="B776" s="22"/>
      <c r="C776" s="23"/>
      <c r="D776" s="26"/>
      <c r="E776" s="25"/>
      <c r="N776" s="11" t="str">
        <f t="shared" si="1"/>
        <v/>
      </c>
    </row>
    <row r="777">
      <c r="A777" s="26"/>
      <c r="B777" s="22"/>
      <c r="C777" s="23"/>
      <c r="D777" s="26"/>
      <c r="E777" s="25"/>
      <c r="N777" s="11" t="str">
        <f t="shared" si="1"/>
        <v/>
      </c>
    </row>
    <row r="778">
      <c r="A778" s="26"/>
      <c r="B778" s="22"/>
      <c r="C778" s="23"/>
      <c r="D778" s="26"/>
      <c r="E778" s="25"/>
      <c r="N778" s="11" t="str">
        <f t="shared" si="1"/>
        <v/>
      </c>
    </row>
    <row r="779">
      <c r="A779" s="26"/>
      <c r="B779" s="22"/>
      <c r="C779" s="23"/>
      <c r="D779" s="26"/>
      <c r="E779" s="25"/>
      <c r="N779" s="11" t="str">
        <f t="shared" si="1"/>
        <v/>
      </c>
    </row>
    <row r="780">
      <c r="A780" s="26"/>
      <c r="B780" s="22"/>
      <c r="C780" s="23"/>
      <c r="D780" s="26"/>
      <c r="E780" s="25"/>
      <c r="N780" s="11" t="str">
        <f t="shared" si="1"/>
        <v/>
      </c>
    </row>
    <row r="781">
      <c r="A781" s="26"/>
      <c r="B781" s="22"/>
      <c r="C781" s="23"/>
      <c r="D781" s="26"/>
      <c r="E781" s="25"/>
      <c r="N781" s="11" t="str">
        <f t="shared" si="1"/>
        <v/>
      </c>
    </row>
    <row r="782">
      <c r="A782" s="26"/>
      <c r="B782" s="22"/>
      <c r="C782" s="23"/>
      <c r="D782" s="26"/>
      <c r="E782" s="25"/>
      <c r="N782" s="11" t="str">
        <f t="shared" si="1"/>
        <v/>
      </c>
    </row>
    <row r="783">
      <c r="A783" s="26"/>
      <c r="B783" s="22"/>
      <c r="C783" s="23"/>
      <c r="D783" s="26"/>
      <c r="E783" s="25"/>
      <c r="N783" s="11" t="str">
        <f t="shared" si="1"/>
        <v/>
      </c>
    </row>
    <row r="784">
      <c r="A784" s="26"/>
      <c r="B784" s="22"/>
      <c r="C784" s="23"/>
      <c r="D784" s="26"/>
      <c r="E784" s="25"/>
      <c r="N784" s="11" t="str">
        <f t="shared" si="1"/>
        <v/>
      </c>
    </row>
    <row r="785">
      <c r="A785" s="26"/>
      <c r="B785" s="22"/>
      <c r="C785" s="23"/>
      <c r="D785" s="26"/>
      <c r="E785" s="25"/>
      <c r="N785" s="11" t="str">
        <f t="shared" si="1"/>
        <v/>
      </c>
    </row>
    <row r="786">
      <c r="A786" s="26"/>
      <c r="B786" s="22"/>
      <c r="C786" s="23"/>
      <c r="D786" s="26"/>
      <c r="E786" s="25"/>
      <c r="N786" s="11" t="str">
        <f t="shared" si="1"/>
        <v/>
      </c>
    </row>
    <row r="787">
      <c r="A787" s="26"/>
      <c r="B787" s="22"/>
      <c r="C787" s="23"/>
      <c r="D787" s="26"/>
      <c r="E787" s="25"/>
      <c r="N787" s="11" t="str">
        <f t="shared" si="1"/>
        <v/>
      </c>
    </row>
    <row r="788">
      <c r="A788" s="26"/>
      <c r="B788" s="22"/>
      <c r="C788" s="23"/>
      <c r="D788" s="26"/>
      <c r="E788" s="25"/>
      <c r="N788" s="11" t="str">
        <f t="shared" si="1"/>
        <v/>
      </c>
    </row>
    <row r="789">
      <c r="A789" s="26"/>
      <c r="B789" s="22"/>
      <c r="C789" s="23"/>
      <c r="D789" s="26"/>
      <c r="E789" s="25"/>
      <c r="N789" s="11" t="str">
        <f t="shared" si="1"/>
        <v/>
      </c>
    </row>
    <row r="790">
      <c r="A790" s="26"/>
      <c r="B790" s="22"/>
      <c r="C790" s="23"/>
      <c r="D790" s="26"/>
      <c r="E790" s="25"/>
      <c r="N790" s="11" t="str">
        <f t="shared" si="1"/>
        <v/>
      </c>
    </row>
    <row r="791">
      <c r="A791" s="26"/>
      <c r="B791" s="22"/>
      <c r="C791" s="23"/>
      <c r="D791" s="26"/>
      <c r="E791" s="25"/>
      <c r="N791" s="11" t="str">
        <f t="shared" si="1"/>
        <v/>
      </c>
    </row>
    <row r="792">
      <c r="A792" s="26"/>
      <c r="B792" s="22"/>
      <c r="C792" s="23"/>
      <c r="D792" s="26"/>
      <c r="E792" s="25"/>
      <c r="N792" s="11" t="str">
        <f t="shared" si="1"/>
        <v/>
      </c>
    </row>
    <row r="793">
      <c r="A793" s="26"/>
      <c r="B793" s="22"/>
      <c r="C793" s="23"/>
      <c r="D793" s="26"/>
      <c r="E793" s="25"/>
      <c r="N793" s="11" t="str">
        <f t="shared" si="1"/>
        <v/>
      </c>
    </row>
    <row r="794">
      <c r="A794" s="26"/>
      <c r="B794" s="22"/>
      <c r="C794" s="23"/>
      <c r="D794" s="26"/>
      <c r="E794" s="25"/>
      <c r="N794" s="11" t="str">
        <f t="shared" si="1"/>
        <v/>
      </c>
    </row>
    <row r="795">
      <c r="A795" s="26"/>
      <c r="B795" s="22"/>
      <c r="C795" s="23"/>
      <c r="D795" s="26"/>
      <c r="E795" s="25"/>
      <c r="N795" s="11" t="str">
        <f t="shared" si="1"/>
        <v/>
      </c>
    </row>
    <row r="796">
      <c r="A796" s="26"/>
      <c r="B796" s="22"/>
      <c r="C796" s="23"/>
      <c r="D796" s="26"/>
      <c r="E796" s="25"/>
      <c r="N796" s="11" t="str">
        <f t="shared" si="1"/>
        <v/>
      </c>
    </row>
    <row r="797">
      <c r="A797" s="26"/>
      <c r="B797" s="22"/>
      <c r="C797" s="23"/>
      <c r="D797" s="26"/>
      <c r="E797" s="25"/>
      <c r="N797" s="11" t="str">
        <f t="shared" si="1"/>
        <v/>
      </c>
    </row>
    <row r="798">
      <c r="A798" s="26"/>
      <c r="B798" s="22"/>
      <c r="C798" s="23"/>
      <c r="D798" s="26"/>
      <c r="E798" s="25"/>
      <c r="N798" s="11" t="str">
        <f t="shared" si="1"/>
        <v/>
      </c>
    </row>
    <row r="799">
      <c r="A799" s="26"/>
      <c r="B799" s="22"/>
      <c r="C799" s="23"/>
      <c r="D799" s="26"/>
      <c r="E799" s="25"/>
      <c r="N799" s="11" t="str">
        <f t="shared" si="1"/>
        <v/>
      </c>
    </row>
    <row r="800">
      <c r="A800" s="26"/>
      <c r="B800" s="22"/>
      <c r="C800" s="23"/>
      <c r="D800" s="26"/>
      <c r="E800" s="25"/>
      <c r="N800" s="11" t="str">
        <f t="shared" si="1"/>
        <v/>
      </c>
    </row>
    <row r="801">
      <c r="A801" s="26"/>
      <c r="B801" s="22"/>
      <c r="C801" s="23"/>
      <c r="D801" s="26"/>
      <c r="E801" s="25"/>
      <c r="N801" s="11" t="str">
        <f t="shared" si="1"/>
        <v/>
      </c>
    </row>
    <row r="802">
      <c r="A802" s="26"/>
      <c r="B802" s="22"/>
      <c r="C802" s="23"/>
      <c r="D802" s="26"/>
      <c r="E802" s="25"/>
      <c r="N802" s="11" t="str">
        <f t="shared" si="1"/>
        <v/>
      </c>
    </row>
    <row r="803">
      <c r="A803" s="26"/>
      <c r="B803" s="22"/>
      <c r="C803" s="23"/>
      <c r="D803" s="26"/>
      <c r="E803" s="25"/>
      <c r="N803" s="11" t="str">
        <f t="shared" si="1"/>
        <v/>
      </c>
    </row>
    <row r="804">
      <c r="A804" s="26"/>
      <c r="B804" s="22"/>
      <c r="C804" s="23"/>
      <c r="D804" s="26"/>
      <c r="E804" s="25"/>
      <c r="N804" s="11" t="str">
        <f t="shared" si="1"/>
        <v/>
      </c>
    </row>
    <row r="805">
      <c r="A805" s="26"/>
      <c r="B805" s="22"/>
      <c r="C805" s="23"/>
      <c r="D805" s="26"/>
      <c r="E805" s="25"/>
      <c r="N805" s="11" t="str">
        <f t="shared" si="1"/>
        <v/>
      </c>
    </row>
    <row r="806">
      <c r="A806" s="26"/>
      <c r="B806" s="22"/>
      <c r="C806" s="23"/>
      <c r="D806" s="26"/>
      <c r="E806" s="25"/>
      <c r="N806" s="11" t="str">
        <f t="shared" si="1"/>
        <v/>
      </c>
    </row>
    <row r="807">
      <c r="A807" s="26"/>
      <c r="B807" s="22"/>
      <c r="C807" s="23"/>
      <c r="D807" s="26"/>
      <c r="E807" s="25"/>
      <c r="N807" s="11" t="str">
        <f t="shared" si="1"/>
        <v/>
      </c>
    </row>
    <row r="808">
      <c r="A808" s="26"/>
      <c r="B808" s="22"/>
      <c r="C808" s="23"/>
      <c r="D808" s="26"/>
      <c r="E808" s="25"/>
      <c r="N808" s="11" t="str">
        <f t="shared" si="1"/>
        <v/>
      </c>
    </row>
    <row r="809">
      <c r="A809" s="26"/>
      <c r="B809" s="22"/>
      <c r="C809" s="23"/>
      <c r="D809" s="26"/>
      <c r="E809" s="25"/>
      <c r="N809" s="11" t="str">
        <f t="shared" si="1"/>
        <v/>
      </c>
    </row>
    <row r="810">
      <c r="A810" s="26"/>
      <c r="B810" s="22"/>
      <c r="C810" s="23"/>
      <c r="D810" s="26"/>
      <c r="E810" s="25"/>
      <c r="N810" s="11" t="str">
        <f t="shared" si="1"/>
        <v/>
      </c>
    </row>
    <row r="811">
      <c r="A811" s="26"/>
      <c r="B811" s="22"/>
      <c r="C811" s="23"/>
      <c r="D811" s="26"/>
      <c r="E811" s="25"/>
      <c r="N811" s="11" t="str">
        <f t="shared" si="1"/>
        <v/>
      </c>
    </row>
    <row r="812">
      <c r="A812" s="26"/>
      <c r="B812" s="22"/>
      <c r="C812" s="23"/>
      <c r="D812" s="26"/>
      <c r="E812" s="25"/>
      <c r="N812" s="11" t="str">
        <f t="shared" si="1"/>
        <v/>
      </c>
    </row>
    <row r="813">
      <c r="A813" s="26"/>
      <c r="B813" s="22"/>
      <c r="C813" s="23"/>
      <c r="D813" s="26"/>
      <c r="E813" s="25"/>
      <c r="N813" s="11" t="str">
        <f t="shared" si="1"/>
        <v/>
      </c>
    </row>
    <row r="814">
      <c r="A814" s="26"/>
      <c r="B814" s="22"/>
      <c r="C814" s="23"/>
      <c r="D814" s="26"/>
      <c r="E814" s="25"/>
      <c r="N814" s="11" t="str">
        <f t="shared" si="1"/>
        <v/>
      </c>
    </row>
    <row r="815">
      <c r="A815" s="26"/>
      <c r="B815" s="22"/>
      <c r="C815" s="23"/>
      <c r="D815" s="26"/>
      <c r="E815" s="25"/>
      <c r="N815" s="11" t="str">
        <f t="shared" si="1"/>
        <v/>
      </c>
    </row>
    <row r="816">
      <c r="A816" s="26"/>
      <c r="B816" s="22"/>
      <c r="C816" s="23"/>
      <c r="D816" s="26"/>
      <c r="E816" s="25"/>
      <c r="N816" s="11" t="str">
        <f t="shared" si="1"/>
        <v/>
      </c>
    </row>
    <row r="817">
      <c r="A817" s="26"/>
      <c r="B817" s="22"/>
      <c r="C817" s="23"/>
      <c r="D817" s="26"/>
      <c r="E817" s="25"/>
      <c r="N817" s="11" t="str">
        <f t="shared" si="1"/>
        <v/>
      </c>
    </row>
    <row r="818">
      <c r="A818" s="26"/>
      <c r="B818" s="22"/>
      <c r="C818" s="23"/>
      <c r="D818" s="26"/>
      <c r="E818" s="25"/>
      <c r="N818" s="11" t="str">
        <f t="shared" si="1"/>
        <v/>
      </c>
    </row>
    <row r="819">
      <c r="A819" s="26"/>
      <c r="B819" s="22"/>
      <c r="C819" s="23"/>
      <c r="D819" s="26"/>
      <c r="E819" s="25"/>
      <c r="N819" s="11" t="str">
        <f t="shared" si="1"/>
        <v/>
      </c>
    </row>
    <row r="820">
      <c r="A820" s="26"/>
      <c r="B820" s="22"/>
      <c r="C820" s="23"/>
      <c r="D820" s="26"/>
      <c r="E820" s="25"/>
      <c r="N820" s="11" t="str">
        <f t="shared" si="1"/>
        <v/>
      </c>
    </row>
    <row r="821">
      <c r="A821" s="26"/>
      <c r="B821" s="22"/>
      <c r="C821" s="23"/>
      <c r="D821" s="26"/>
      <c r="E821" s="25"/>
      <c r="N821" s="11" t="str">
        <f t="shared" si="1"/>
        <v/>
      </c>
    </row>
    <row r="822">
      <c r="A822" s="26"/>
      <c r="B822" s="22"/>
      <c r="C822" s="23"/>
      <c r="D822" s="26"/>
      <c r="E822" s="25"/>
      <c r="N822" s="11" t="str">
        <f t="shared" si="1"/>
        <v/>
      </c>
    </row>
    <row r="823">
      <c r="A823" s="26"/>
      <c r="B823" s="22"/>
      <c r="C823" s="23"/>
      <c r="D823" s="26"/>
      <c r="E823" s="25"/>
      <c r="N823" s="11" t="str">
        <f t="shared" si="1"/>
        <v/>
      </c>
    </row>
    <row r="824">
      <c r="A824" s="26"/>
      <c r="B824" s="22"/>
      <c r="C824" s="23"/>
      <c r="D824" s="26"/>
      <c r="E824" s="25"/>
      <c r="N824" s="11" t="str">
        <f t="shared" si="1"/>
        <v/>
      </c>
    </row>
    <row r="825">
      <c r="A825" s="26"/>
      <c r="B825" s="22"/>
      <c r="C825" s="23"/>
      <c r="D825" s="26"/>
      <c r="E825" s="25"/>
      <c r="N825" s="11" t="str">
        <f t="shared" si="1"/>
        <v/>
      </c>
    </row>
    <row r="826">
      <c r="A826" s="26"/>
      <c r="B826" s="22"/>
      <c r="C826" s="23"/>
      <c r="D826" s="26"/>
      <c r="E826" s="25"/>
      <c r="N826" s="11" t="str">
        <f t="shared" si="1"/>
        <v/>
      </c>
    </row>
    <row r="827">
      <c r="A827" s="26"/>
      <c r="B827" s="22"/>
      <c r="C827" s="23"/>
      <c r="D827" s="26"/>
      <c r="E827" s="25"/>
      <c r="N827" s="11" t="str">
        <f t="shared" si="1"/>
        <v/>
      </c>
    </row>
    <row r="828">
      <c r="A828" s="26"/>
      <c r="B828" s="22"/>
      <c r="C828" s="23"/>
      <c r="D828" s="26"/>
      <c r="E828" s="25"/>
      <c r="N828" s="11" t="str">
        <f t="shared" si="1"/>
        <v/>
      </c>
    </row>
    <row r="829">
      <c r="A829" s="26"/>
      <c r="B829" s="22"/>
      <c r="C829" s="23"/>
      <c r="D829" s="26"/>
      <c r="E829" s="25"/>
      <c r="N829" s="11" t="str">
        <f t="shared" si="1"/>
        <v/>
      </c>
    </row>
    <row r="830">
      <c r="A830" s="26"/>
      <c r="B830" s="22"/>
      <c r="C830" s="23"/>
      <c r="D830" s="26"/>
      <c r="E830" s="25"/>
      <c r="N830" s="11" t="str">
        <f t="shared" si="1"/>
        <v/>
      </c>
    </row>
    <row r="831">
      <c r="A831" s="26"/>
      <c r="B831" s="22"/>
      <c r="C831" s="23"/>
      <c r="D831" s="26"/>
      <c r="E831" s="25"/>
      <c r="N831" s="11" t="str">
        <f t="shared" si="1"/>
        <v/>
      </c>
    </row>
    <row r="832">
      <c r="A832" s="26"/>
      <c r="B832" s="22"/>
      <c r="C832" s="23"/>
      <c r="D832" s="26"/>
      <c r="E832" s="25"/>
      <c r="N832" s="11" t="str">
        <f t="shared" si="1"/>
        <v/>
      </c>
    </row>
    <row r="833">
      <c r="A833" s="26"/>
      <c r="B833" s="22"/>
      <c r="C833" s="23"/>
      <c r="D833" s="26"/>
      <c r="E833" s="25"/>
      <c r="N833" s="11" t="str">
        <f t="shared" si="1"/>
        <v/>
      </c>
    </row>
    <row r="834">
      <c r="A834" s="26"/>
      <c r="B834" s="22"/>
      <c r="C834" s="23"/>
      <c r="D834" s="26"/>
      <c r="E834" s="25"/>
      <c r="N834" s="11" t="str">
        <f t="shared" si="1"/>
        <v/>
      </c>
    </row>
    <row r="835">
      <c r="A835" s="26"/>
      <c r="B835" s="22"/>
      <c r="C835" s="23"/>
      <c r="D835" s="26"/>
      <c r="E835" s="25"/>
      <c r="N835" s="11" t="str">
        <f t="shared" si="1"/>
        <v/>
      </c>
    </row>
    <row r="836">
      <c r="A836" s="26"/>
      <c r="B836" s="22"/>
      <c r="C836" s="23"/>
      <c r="D836" s="26"/>
      <c r="E836" s="25"/>
      <c r="N836" s="11" t="str">
        <f t="shared" si="1"/>
        <v/>
      </c>
    </row>
    <row r="837">
      <c r="A837" s="26"/>
      <c r="B837" s="22"/>
      <c r="C837" s="23"/>
      <c r="D837" s="26"/>
      <c r="E837" s="25"/>
      <c r="N837" s="11" t="str">
        <f t="shared" si="1"/>
        <v/>
      </c>
    </row>
    <row r="838">
      <c r="A838" s="26"/>
      <c r="B838" s="22"/>
      <c r="C838" s="23"/>
      <c r="D838" s="26"/>
      <c r="E838" s="25"/>
      <c r="N838" s="11" t="str">
        <f t="shared" si="1"/>
        <v/>
      </c>
    </row>
    <row r="839">
      <c r="A839" s="26"/>
      <c r="B839" s="22"/>
      <c r="C839" s="23"/>
      <c r="D839" s="26"/>
      <c r="E839" s="25"/>
      <c r="N839" s="11" t="str">
        <f t="shared" si="1"/>
        <v/>
      </c>
    </row>
    <row r="840">
      <c r="A840" s="26"/>
      <c r="B840" s="22"/>
      <c r="C840" s="23"/>
      <c r="D840" s="26"/>
      <c r="E840" s="25"/>
      <c r="N840" s="11" t="str">
        <f t="shared" si="1"/>
        <v/>
      </c>
    </row>
    <row r="841">
      <c r="A841" s="26"/>
      <c r="B841" s="22"/>
      <c r="C841" s="23"/>
      <c r="D841" s="26"/>
      <c r="E841" s="25"/>
      <c r="N841" s="11" t="str">
        <f t="shared" si="1"/>
        <v/>
      </c>
    </row>
    <row r="842">
      <c r="A842" s="26"/>
      <c r="B842" s="22"/>
      <c r="C842" s="23"/>
      <c r="D842" s="26"/>
      <c r="E842" s="25"/>
      <c r="N842" s="11" t="str">
        <f t="shared" si="1"/>
        <v/>
      </c>
    </row>
    <row r="843">
      <c r="A843" s="26"/>
      <c r="B843" s="22"/>
      <c r="C843" s="23"/>
      <c r="D843" s="26"/>
      <c r="E843" s="25"/>
      <c r="N843" s="11" t="str">
        <f t="shared" si="1"/>
        <v/>
      </c>
    </row>
    <row r="844">
      <c r="A844" s="26"/>
      <c r="B844" s="22"/>
      <c r="C844" s="23"/>
      <c r="D844" s="26"/>
      <c r="E844" s="25"/>
      <c r="N844" s="11" t="str">
        <f t="shared" si="1"/>
        <v/>
      </c>
    </row>
    <row r="845">
      <c r="A845" s="26"/>
      <c r="B845" s="22"/>
      <c r="C845" s="23"/>
      <c r="D845" s="26"/>
      <c r="E845" s="25"/>
      <c r="N845" s="11" t="str">
        <f t="shared" si="1"/>
        <v/>
      </c>
    </row>
    <row r="846">
      <c r="A846" s="26"/>
      <c r="B846" s="22"/>
      <c r="C846" s="23"/>
      <c r="D846" s="26"/>
      <c r="E846" s="25"/>
      <c r="N846" s="11" t="str">
        <f t="shared" si="1"/>
        <v/>
      </c>
    </row>
    <row r="847">
      <c r="A847" s="26"/>
      <c r="B847" s="22"/>
      <c r="C847" s="23"/>
      <c r="D847" s="26"/>
      <c r="E847" s="25"/>
      <c r="N847" s="11" t="str">
        <f t="shared" si="1"/>
        <v/>
      </c>
    </row>
    <row r="848">
      <c r="A848" s="26"/>
      <c r="B848" s="22"/>
      <c r="C848" s="23"/>
      <c r="D848" s="26"/>
      <c r="E848" s="25"/>
      <c r="N848" s="11" t="str">
        <f t="shared" si="1"/>
        <v/>
      </c>
    </row>
    <row r="849">
      <c r="A849" s="26"/>
      <c r="B849" s="22"/>
      <c r="C849" s="23"/>
      <c r="D849" s="26"/>
      <c r="E849" s="25"/>
      <c r="N849" s="11" t="str">
        <f t="shared" si="1"/>
        <v/>
      </c>
    </row>
    <row r="850">
      <c r="A850" s="26"/>
      <c r="B850" s="22"/>
      <c r="C850" s="23"/>
      <c r="D850" s="26"/>
      <c r="E850" s="25"/>
      <c r="N850" s="11" t="str">
        <f t="shared" si="1"/>
        <v/>
      </c>
    </row>
    <row r="851">
      <c r="A851" s="26"/>
      <c r="B851" s="22"/>
      <c r="C851" s="23"/>
      <c r="D851" s="26"/>
      <c r="E851" s="25"/>
      <c r="N851" s="11" t="str">
        <f t="shared" si="1"/>
        <v/>
      </c>
    </row>
    <row r="852">
      <c r="A852" s="26"/>
      <c r="B852" s="22"/>
      <c r="C852" s="23"/>
      <c r="D852" s="26"/>
      <c r="E852" s="25"/>
      <c r="N852" s="11" t="str">
        <f t="shared" si="1"/>
        <v/>
      </c>
    </row>
    <row r="853">
      <c r="A853" s="26"/>
      <c r="B853" s="22"/>
      <c r="C853" s="23"/>
      <c r="D853" s="26"/>
      <c r="E853" s="25"/>
      <c r="N853" s="11" t="str">
        <f t="shared" si="1"/>
        <v/>
      </c>
    </row>
    <row r="854">
      <c r="A854" s="26"/>
      <c r="B854" s="22"/>
      <c r="C854" s="23"/>
      <c r="D854" s="26"/>
      <c r="E854" s="25"/>
      <c r="N854" s="11" t="str">
        <f t="shared" si="1"/>
        <v/>
      </c>
    </row>
    <row r="855">
      <c r="A855" s="26"/>
      <c r="B855" s="22"/>
      <c r="C855" s="23"/>
      <c r="D855" s="26"/>
      <c r="E855" s="25"/>
      <c r="N855" s="11" t="str">
        <f t="shared" si="1"/>
        <v/>
      </c>
    </row>
    <row r="856">
      <c r="A856" s="26"/>
      <c r="B856" s="22"/>
      <c r="C856" s="23"/>
      <c r="D856" s="26"/>
      <c r="E856" s="25"/>
      <c r="N856" s="11" t="str">
        <f t="shared" si="1"/>
        <v/>
      </c>
    </row>
    <row r="857">
      <c r="A857" s="26"/>
      <c r="B857" s="22"/>
      <c r="C857" s="23"/>
      <c r="D857" s="26"/>
      <c r="E857" s="25"/>
      <c r="N857" s="11" t="str">
        <f t="shared" si="1"/>
        <v/>
      </c>
    </row>
    <row r="858">
      <c r="A858" s="26"/>
      <c r="B858" s="22"/>
      <c r="C858" s="23"/>
      <c r="D858" s="26"/>
      <c r="E858" s="25"/>
      <c r="N858" s="11" t="str">
        <f t="shared" si="1"/>
        <v/>
      </c>
    </row>
    <row r="859">
      <c r="A859" s="26"/>
      <c r="B859" s="22"/>
      <c r="C859" s="23"/>
      <c r="D859" s="26"/>
      <c r="E859" s="25"/>
      <c r="N859" s="11" t="str">
        <f t="shared" si="1"/>
        <v/>
      </c>
    </row>
    <row r="860">
      <c r="A860" s="26"/>
      <c r="B860" s="22"/>
      <c r="C860" s="23"/>
      <c r="D860" s="26"/>
      <c r="E860" s="25"/>
      <c r="N860" s="11" t="str">
        <f t="shared" si="1"/>
        <v/>
      </c>
    </row>
    <row r="861">
      <c r="A861" s="26"/>
      <c r="B861" s="22"/>
      <c r="C861" s="23"/>
      <c r="D861" s="26"/>
      <c r="E861" s="25"/>
      <c r="N861" s="11" t="str">
        <f t="shared" si="1"/>
        <v/>
      </c>
    </row>
    <row r="862">
      <c r="A862" s="26"/>
      <c r="B862" s="22"/>
      <c r="C862" s="23"/>
      <c r="D862" s="26"/>
      <c r="E862" s="25"/>
      <c r="N862" s="11" t="str">
        <f t="shared" si="1"/>
        <v/>
      </c>
    </row>
    <row r="863">
      <c r="A863" s="26"/>
      <c r="B863" s="22"/>
      <c r="C863" s="23"/>
      <c r="D863" s="26"/>
      <c r="E863" s="25"/>
      <c r="N863" s="11" t="str">
        <f t="shared" si="1"/>
        <v/>
      </c>
    </row>
    <row r="864">
      <c r="A864" s="26"/>
      <c r="B864" s="22"/>
      <c r="C864" s="23"/>
      <c r="D864" s="26"/>
      <c r="E864" s="25"/>
      <c r="N864" s="11" t="str">
        <f t="shared" si="1"/>
        <v/>
      </c>
    </row>
    <row r="865">
      <c r="A865" s="26"/>
      <c r="B865" s="22"/>
      <c r="C865" s="23"/>
      <c r="D865" s="26"/>
      <c r="E865" s="25"/>
      <c r="N865" s="11" t="str">
        <f t="shared" si="1"/>
        <v/>
      </c>
    </row>
    <row r="866">
      <c r="A866" s="26"/>
      <c r="B866" s="22"/>
      <c r="C866" s="23"/>
      <c r="D866" s="26"/>
      <c r="E866" s="25"/>
      <c r="N866" s="11" t="str">
        <f t="shared" si="1"/>
        <v/>
      </c>
    </row>
    <row r="867">
      <c r="A867" s="26"/>
      <c r="B867" s="22"/>
      <c r="C867" s="23"/>
      <c r="D867" s="26"/>
      <c r="E867" s="25"/>
      <c r="N867" s="11" t="str">
        <f t="shared" si="1"/>
        <v/>
      </c>
    </row>
    <row r="868">
      <c r="A868" s="26"/>
      <c r="B868" s="22"/>
      <c r="C868" s="23"/>
      <c r="D868" s="26"/>
      <c r="E868" s="25"/>
      <c r="N868" s="11" t="str">
        <f t="shared" si="1"/>
        <v/>
      </c>
    </row>
    <row r="869">
      <c r="A869" s="26"/>
      <c r="B869" s="22"/>
      <c r="C869" s="23"/>
      <c r="D869" s="26"/>
      <c r="E869" s="25"/>
      <c r="N869" s="11" t="str">
        <f t="shared" si="1"/>
        <v/>
      </c>
    </row>
    <row r="870">
      <c r="A870" s="26"/>
      <c r="B870" s="22"/>
      <c r="C870" s="23"/>
      <c r="D870" s="26"/>
      <c r="E870" s="25"/>
      <c r="N870" s="11" t="str">
        <f t="shared" si="1"/>
        <v/>
      </c>
    </row>
    <row r="871">
      <c r="A871" s="26"/>
      <c r="B871" s="22"/>
      <c r="C871" s="23"/>
      <c r="D871" s="26"/>
      <c r="E871" s="25"/>
      <c r="N871" s="11" t="str">
        <f t="shared" si="1"/>
        <v/>
      </c>
    </row>
    <row r="872">
      <c r="A872" s="26"/>
      <c r="B872" s="22"/>
      <c r="C872" s="23"/>
      <c r="D872" s="26"/>
      <c r="E872" s="25"/>
      <c r="N872" s="11" t="str">
        <f t="shared" si="1"/>
        <v/>
      </c>
    </row>
    <row r="873">
      <c r="A873" s="26"/>
      <c r="B873" s="22"/>
      <c r="C873" s="23"/>
      <c r="D873" s="26"/>
      <c r="E873" s="25"/>
      <c r="N873" s="11" t="str">
        <f t="shared" si="1"/>
        <v/>
      </c>
    </row>
    <row r="874">
      <c r="A874" s="26"/>
      <c r="B874" s="22"/>
      <c r="C874" s="23"/>
      <c r="D874" s="26"/>
      <c r="E874" s="25"/>
      <c r="N874" s="11" t="str">
        <f t="shared" si="1"/>
        <v/>
      </c>
    </row>
    <row r="875">
      <c r="A875" s="26"/>
      <c r="B875" s="22"/>
      <c r="C875" s="23"/>
      <c r="D875" s="26"/>
      <c r="E875" s="25"/>
      <c r="N875" s="11" t="str">
        <f t="shared" si="1"/>
        <v/>
      </c>
    </row>
    <row r="876">
      <c r="A876" s="26"/>
      <c r="B876" s="22"/>
      <c r="C876" s="23"/>
      <c r="D876" s="26"/>
      <c r="E876" s="25"/>
      <c r="N876" s="11" t="str">
        <f t="shared" si="1"/>
        <v/>
      </c>
    </row>
    <row r="877">
      <c r="A877" s="26"/>
      <c r="B877" s="22"/>
      <c r="C877" s="23"/>
      <c r="D877" s="26"/>
      <c r="E877" s="25"/>
      <c r="N877" s="11" t="str">
        <f t="shared" si="1"/>
        <v/>
      </c>
    </row>
    <row r="878">
      <c r="A878" s="26"/>
      <c r="B878" s="22"/>
      <c r="C878" s="23"/>
      <c r="D878" s="26"/>
      <c r="E878" s="25"/>
      <c r="N878" s="11" t="str">
        <f t="shared" si="1"/>
        <v/>
      </c>
    </row>
    <row r="879">
      <c r="A879" s="26"/>
      <c r="B879" s="22"/>
      <c r="C879" s="23"/>
      <c r="D879" s="26"/>
      <c r="E879" s="25"/>
      <c r="N879" s="11" t="str">
        <f t="shared" si="1"/>
        <v/>
      </c>
    </row>
    <row r="880">
      <c r="A880" s="26"/>
      <c r="B880" s="22"/>
      <c r="C880" s="23"/>
      <c r="D880" s="26"/>
      <c r="E880" s="25"/>
      <c r="N880" s="11" t="str">
        <f t="shared" si="1"/>
        <v/>
      </c>
    </row>
    <row r="881">
      <c r="A881" s="26"/>
      <c r="B881" s="22"/>
      <c r="C881" s="23"/>
      <c r="D881" s="26"/>
      <c r="E881" s="25"/>
      <c r="N881" s="11" t="str">
        <f t="shared" si="1"/>
        <v/>
      </c>
    </row>
    <row r="882">
      <c r="A882" s="26"/>
      <c r="B882" s="22"/>
      <c r="C882" s="23"/>
      <c r="D882" s="26"/>
      <c r="E882" s="25"/>
      <c r="N882" s="11" t="str">
        <f t="shared" si="1"/>
        <v/>
      </c>
    </row>
    <row r="883">
      <c r="A883" s="26"/>
      <c r="B883" s="22"/>
      <c r="C883" s="23"/>
      <c r="D883" s="26"/>
      <c r="E883" s="25"/>
      <c r="N883" s="11" t="str">
        <f t="shared" si="1"/>
        <v/>
      </c>
    </row>
    <row r="884">
      <c r="A884" s="26"/>
      <c r="B884" s="22"/>
      <c r="C884" s="23"/>
      <c r="D884" s="26"/>
      <c r="E884" s="25"/>
      <c r="N884" s="11" t="str">
        <f t="shared" si="1"/>
        <v/>
      </c>
    </row>
    <row r="885">
      <c r="A885" s="26"/>
      <c r="B885" s="22"/>
      <c r="C885" s="23"/>
      <c r="D885" s="26"/>
      <c r="E885" s="25"/>
      <c r="N885" s="11" t="str">
        <f t="shared" si="1"/>
        <v/>
      </c>
    </row>
    <row r="886">
      <c r="A886" s="26"/>
      <c r="B886" s="22"/>
      <c r="C886" s="23"/>
      <c r="D886" s="26"/>
      <c r="E886" s="25"/>
      <c r="N886" s="11" t="str">
        <f t="shared" si="1"/>
        <v/>
      </c>
    </row>
    <row r="887">
      <c r="A887" s="26"/>
      <c r="B887" s="22"/>
      <c r="C887" s="23"/>
      <c r="D887" s="26"/>
      <c r="E887" s="25"/>
      <c r="N887" s="11" t="str">
        <f t="shared" si="1"/>
        <v/>
      </c>
    </row>
    <row r="888">
      <c r="A888" s="26"/>
      <c r="B888" s="22"/>
      <c r="C888" s="23"/>
      <c r="D888" s="26"/>
      <c r="E888" s="25"/>
      <c r="N888" s="11" t="str">
        <f t="shared" si="1"/>
        <v/>
      </c>
    </row>
    <row r="889">
      <c r="A889" s="26"/>
      <c r="B889" s="22"/>
      <c r="C889" s="23"/>
      <c r="D889" s="26"/>
      <c r="E889" s="25"/>
      <c r="N889" s="11" t="str">
        <f t="shared" si="1"/>
        <v/>
      </c>
    </row>
    <row r="890">
      <c r="A890" s="26"/>
      <c r="B890" s="22"/>
      <c r="C890" s="23"/>
      <c r="D890" s="26"/>
      <c r="E890" s="25"/>
      <c r="N890" s="11" t="str">
        <f t="shared" si="1"/>
        <v/>
      </c>
    </row>
    <row r="891">
      <c r="A891" s="26"/>
      <c r="B891" s="22"/>
      <c r="C891" s="23"/>
      <c r="D891" s="26"/>
      <c r="E891" s="25"/>
      <c r="N891" s="11" t="str">
        <f t="shared" si="1"/>
        <v/>
      </c>
    </row>
    <row r="892">
      <c r="A892" s="26"/>
      <c r="B892" s="22"/>
      <c r="C892" s="23"/>
      <c r="D892" s="26"/>
      <c r="E892" s="25"/>
      <c r="N892" s="11" t="str">
        <f t="shared" si="1"/>
        <v/>
      </c>
    </row>
    <row r="893">
      <c r="A893" s="26"/>
      <c r="B893" s="22"/>
      <c r="C893" s="23"/>
      <c r="D893" s="26"/>
      <c r="E893" s="25"/>
      <c r="N893" s="11" t="str">
        <f t="shared" si="1"/>
        <v/>
      </c>
    </row>
    <row r="894">
      <c r="A894" s="26"/>
      <c r="B894" s="22"/>
      <c r="C894" s="23"/>
      <c r="D894" s="26"/>
      <c r="E894" s="25"/>
      <c r="N894" s="11" t="str">
        <f t="shared" si="1"/>
        <v/>
      </c>
    </row>
    <row r="895">
      <c r="A895" s="26"/>
      <c r="B895" s="22"/>
      <c r="C895" s="23"/>
      <c r="D895" s="26"/>
      <c r="E895" s="25"/>
      <c r="N895" s="11" t="str">
        <f t="shared" si="1"/>
        <v/>
      </c>
    </row>
    <row r="896">
      <c r="A896" s="26"/>
      <c r="B896" s="22"/>
      <c r="C896" s="23"/>
      <c r="D896" s="26"/>
      <c r="E896" s="25"/>
      <c r="N896" s="11" t="str">
        <f t="shared" si="1"/>
        <v/>
      </c>
    </row>
    <row r="897">
      <c r="A897" s="26"/>
      <c r="B897" s="22"/>
      <c r="C897" s="23"/>
      <c r="D897" s="26"/>
      <c r="E897" s="25"/>
      <c r="N897" s="11" t="str">
        <f t="shared" si="1"/>
        <v/>
      </c>
    </row>
    <row r="898">
      <c r="A898" s="26"/>
      <c r="B898" s="22"/>
      <c r="C898" s="23"/>
      <c r="D898" s="26"/>
      <c r="E898" s="25"/>
      <c r="N898" s="11" t="str">
        <f t="shared" si="1"/>
        <v/>
      </c>
    </row>
    <row r="899">
      <c r="A899" s="26"/>
      <c r="B899" s="22"/>
      <c r="C899" s="23"/>
      <c r="D899" s="26"/>
      <c r="E899" s="25"/>
      <c r="N899" s="11" t="str">
        <f t="shared" si="1"/>
        <v/>
      </c>
    </row>
    <row r="900">
      <c r="A900" s="26"/>
      <c r="B900" s="22"/>
      <c r="C900" s="23"/>
      <c r="D900" s="26"/>
      <c r="E900" s="25"/>
      <c r="N900" s="11" t="str">
        <f t="shared" si="1"/>
        <v/>
      </c>
    </row>
    <row r="901">
      <c r="A901" s="26"/>
      <c r="B901" s="22"/>
      <c r="C901" s="23"/>
      <c r="D901" s="26"/>
      <c r="E901" s="25"/>
      <c r="N901" s="11" t="str">
        <f t="shared" si="1"/>
        <v/>
      </c>
    </row>
    <row r="902">
      <c r="A902" s="26"/>
      <c r="B902" s="22"/>
      <c r="C902" s="23"/>
      <c r="D902" s="26"/>
      <c r="E902" s="25"/>
      <c r="N902" s="11" t="str">
        <f t="shared" si="1"/>
        <v/>
      </c>
    </row>
    <row r="903">
      <c r="A903" s="26"/>
      <c r="B903" s="22"/>
      <c r="C903" s="23"/>
      <c r="D903" s="26"/>
      <c r="E903" s="25"/>
      <c r="N903" s="11" t="str">
        <f t="shared" si="1"/>
        <v/>
      </c>
    </row>
    <row r="904">
      <c r="A904" s="26"/>
      <c r="B904" s="22"/>
      <c r="C904" s="23"/>
      <c r="D904" s="26"/>
      <c r="E904" s="25"/>
      <c r="N904" s="11" t="str">
        <f t="shared" si="1"/>
        <v/>
      </c>
    </row>
    <row r="905">
      <c r="A905" s="26"/>
      <c r="B905" s="22"/>
      <c r="C905" s="23"/>
      <c r="D905" s="26"/>
      <c r="E905" s="25"/>
      <c r="N905" s="11" t="str">
        <f t="shared" si="1"/>
        <v/>
      </c>
    </row>
    <row r="906">
      <c r="A906" s="26"/>
      <c r="B906" s="22"/>
      <c r="C906" s="23"/>
      <c r="D906" s="26"/>
      <c r="E906" s="25"/>
      <c r="N906" s="11" t="str">
        <f t="shared" si="1"/>
        <v/>
      </c>
    </row>
    <row r="907">
      <c r="A907" s="26"/>
      <c r="B907" s="22"/>
      <c r="C907" s="23"/>
      <c r="D907" s="26"/>
      <c r="E907" s="25"/>
      <c r="N907" s="11" t="str">
        <f t="shared" si="1"/>
        <v/>
      </c>
    </row>
    <row r="908">
      <c r="A908" s="26"/>
      <c r="B908" s="22"/>
      <c r="C908" s="23"/>
      <c r="D908" s="26"/>
      <c r="E908" s="25"/>
      <c r="N908" s="11" t="str">
        <f t="shared" si="1"/>
        <v/>
      </c>
    </row>
    <row r="909">
      <c r="A909" s="26"/>
      <c r="B909" s="22"/>
      <c r="C909" s="23"/>
      <c r="D909" s="26"/>
      <c r="E909" s="25"/>
      <c r="N909" s="11" t="str">
        <f t="shared" si="1"/>
        <v/>
      </c>
    </row>
    <row r="910">
      <c r="A910" s="26"/>
      <c r="B910" s="22"/>
      <c r="C910" s="23"/>
      <c r="D910" s="26"/>
      <c r="E910" s="25"/>
      <c r="N910" s="11" t="str">
        <f t="shared" si="1"/>
        <v/>
      </c>
    </row>
    <row r="911">
      <c r="A911" s="26"/>
      <c r="B911" s="22"/>
      <c r="C911" s="23"/>
      <c r="D911" s="26"/>
      <c r="E911" s="25"/>
      <c r="N911" s="11" t="str">
        <f t="shared" si="1"/>
        <v/>
      </c>
    </row>
    <row r="912">
      <c r="A912" s="26"/>
      <c r="B912" s="22"/>
      <c r="C912" s="23"/>
      <c r="D912" s="26"/>
      <c r="E912" s="25"/>
      <c r="N912" s="11" t="str">
        <f t="shared" si="1"/>
        <v/>
      </c>
    </row>
    <row r="913">
      <c r="A913" s="26"/>
      <c r="B913" s="22"/>
      <c r="C913" s="23"/>
      <c r="D913" s="26"/>
      <c r="E913" s="25"/>
      <c r="N913" s="11" t="str">
        <f t="shared" si="1"/>
        <v/>
      </c>
    </row>
    <row r="914">
      <c r="A914" s="26"/>
      <c r="B914" s="22"/>
      <c r="C914" s="23"/>
      <c r="D914" s="26"/>
      <c r="E914" s="25"/>
      <c r="N914" s="11" t="str">
        <f t="shared" si="1"/>
        <v/>
      </c>
    </row>
    <row r="915">
      <c r="A915" s="26"/>
      <c r="B915" s="22"/>
      <c r="C915" s="23"/>
      <c r="D915" s="26"/>
      <c r="E915" s="25"/>
      <c r="N915" s="11" t="str">
        <f t="shared" si="1"/>
        <v/>
      </c>
    </row>
    <row r="916">
      <c r="A916" s="26"/>
      <c r="B916" s="22"/>
      <c r="C916" s="23"/>
      <c r="D916" s="26"/>
      <c r="E916" s="25"/>
      <c r="N916" s="11" t="str">
        <f t="shared" si="1"/>
        <v/>
      </c>
    </row>
    <row r="917">
      <c r="A917" s="26"/>
      <c r="B917" s="22"/>
      <c r="C917" s="23"/>
      <c r="D917" s="26"/>
      <c r="E917" s="25"/>
      <c r="N917" s="11" t="str">
        <f t="shared" si="1"/>
        <v/>
      </c>
    </row>
    <row r="918">
      <c r="A918" s="26"/>
      <c r="B918" s="22"/>
      <c r="C918" s="23"/>
      <c r="D918" s="26"/>
      <c r="E918" s="25"/>
      <c r="N918" s="11" t="str">
        <f t="shared" si="1"/>
        <v/>
      </c>
    </row>
    <row r="919">
      <c r="A919" s="26"/>
      <c r="B919" s="22"/>
      <c r="C919" s="23"/>
      <c r="D919" s="26"/>
      <c r="E919" s="25"/>
      <c r="N919" s="11" t="str">
        <f t="shared" si="1"/>
        <v/>
      </c>
    </row>
    <row r="920">
      <c r="A920" s="26"/>
      <c r="B920" s="22"/>
      <c r="C920" s="23"/>
      <c r="D920" s="26"/>
      <c r="E920" s="25"/>
      <c r="N920" s="11" t="str">
        <f t="shared" si="1"/>
        <v/>
      </c>
    </row>
    <row r="921">
      <c r="A921" s="26"/>
      <c r="B921" s="22"/>
      <c r="C921" s="23"/>
      <c r="D921" s="26"/>
      <c r="E921" s="25"/>
      <c r="N921" s="11" t="str">
        <f t="shared" si="1"/>
        <v/>
      </c>
    </row>
    <row r="922">
      <c r="A922" s="26"/>
      <c r="B922" s="22"/>
      <c r="C922" s="23"/>
      <c r="D922" s="26"/>
      <c r="E922" s="25"/>
      <c r="N922" s="11" t="str">
        <f t="shared" si="1"/>
        <v/>
      </c>
    </row>
    <row r="923">
      <c r="A923" s="26"/>
      <c r="B923" s="22"/>
      <c r="C923" s="23"/>
      <c r="D923" s="26"/>
      <c r="E923" s="25"/>
      <c r="N923" s="11" t="str">
        <f t="shared" si="1"/>
        <v/>
      </c>
    </row>
    <row r="924">
      <c r="A924" s="26"/>
      <c r="B924" s="22"/>
      <c r="C924" s="23"/>
      <c r="D924" s="26"/>
      <c r="E924" s="25"/>
      <c r="N924" s="11" t="str">
        <f t="shared" si="1"/>
        <v/>
      </c>
    </row>
    <row r="925">
      <c r="A925" s="26"/>
      <c r="B925" s="22"/>
      <c r="C925" s="23"/>
      <c r="D925" s="26"/>
      <c r="E925" s="25"/>
      <c r="N925" s="11" t="str">
        <f t="shared" si="1"/>
        <v/>
      </c>
    </row>
    <row r="926">
      <c r="A926" s="26"/>
      <c r="B926" s="22"/>
      <c r="C926" s="23"/>
      <c r="D926" s="26"/>
      <c r="E926" s="25"/>
      <c r="N926" s="11" t="str">
        <f t="shared" si="1"/>
        <v/>
      </c>
    </row>
    <row r="927">
      <c r="A927" s="26"/>
      <c r="B927" s="22"/>
      <c r="C927" s="23"/>
      <c r="D927" s="26"/>
      <c r="E927" s="25"/>
      <c r="N927" s="11" t="str">
        <f t="shared" si="1"/>
        <v/>
      </c>
    </row>
    <row r="928">
      <c r="A928" s="26"/>
      <c r="B928" s="22"/>
      <c r="C928" s="23"/>
      <c r="D928" s="26"/>
      <c r="E928" s="25"/>
      <c r="N928" s="11" t="str">
        <f t="shared" si="1"/>
        <v/>
      </c>
    </row>
    <row r="929">
      <c r="A929" s="26"/>
      <c r="B929" s="22"/>
      <c r="C929" s="23"/>
      <c r="D929" s="26"/>
      <c r="E929" s="25"/>
      <c r="N929" s="11" t="str">
        <f t="shared" si="1"/>
        <v/>
      </c>
    </row>
    <row r="930">
      <c r="A930" s="26"/>
      <c r="B930" s="22"/>
      <c r="C930" s="23"/>
      <c r="D930" s="26"/>
      <c r="E930" s="25"/>
      <c r="N930" s="11" t="str">
        <f t="shared" si="1"/>
        <v/>
      </c>
    </row>
    <row r="931">
      <c r="A931" s="26"/>
      <c r="B931" s="22"/>
      <c r="C931" s="23"/>
      <c r="D931" s="26"/>
      <c r="E931" s="25"/>
      <c r="N931" s="11" t="str">
        <f t="shared" si="1"/>
        <v/>
      </c>
    </row>
    <row r="932">
      <c r="A932" s="26"/>
      <c r="B932" s="22"/>
      <c r="C932" s="23"/>
      <c r="D932" s="26"/>
      <c r="E932" s="25"/>
      <c r="N932" s="11" t="str">
        <f t="shared" si="1"/>
        <v/>
      </c>
    </row>
    <row r="933">
      <c r="A933" s="26"/>
      <c r="B933" s="22"/>
      <c r="C933" s="23"/>
      <c r="D933" s="26"/>
      <c r="E933" s="25"/>
      <c r="N933" s="11" t="str">
        <f t="shared" si="1"/>
        <v/>
      </c>
    </row>
    <row r="934">
      <c r="A934" s="26"/>
      <c r="B934" s="22"/>
      <c r="C934" s="23"/>
      <c r="D934" s="26"/>
      <c r="E934" s="25"/>
      <c r="N934" s="11" t="str">
        <f t="shared" si="1"/>
        <v/>
      </c>
    </row>
    <row r="935">
      <c r="A935" s="26"/>
      <c r="B935" s="22"/>
      <c r="C935" s="23"/>
      <c r="D935" s="26"/>
      <c r="E935" s="25"/>
      <c r="N935" s="11" t="str">
        <f t="shared" si="1"/>
        <v/>
      </c>
    </row>
    <row r="936">
      <c r="A936" s="26"/>
      <c r="B936" s="22"/>
      <c r="C936" s="23"/>
      <c r="D936" s="26"/>
      <c r="E936" s="25"/>
      <c r="N936" s="11" t="str">
        <f t="shared" si="1"/>
        <v/>
      </c>
    </row>
    <row r="937">
      <c r="A937" s="26"/>
      <c r="B937" s="22"/>
      <c r="C937" s="23"/>
      <c r="D937" s="26"/>
      <c r="E937" s="25"/>
      <c r="N937" s="11" t="str">
        <f t="shared" si="1"/>
        <v/>
      </c>
    </row>
    <row r="938">
      <c r="A938" s="26"/>
      <c r="B938" s="22"/>
      <c r="C938" s="23"/>
      <c r="D938" s="26"/>
      <c r="E938" s="25"/>
      <c r="N938" s="11" t="str">
        <f t="shared" si="1"/>
        <v/>
      </c>
    </row>
    <row r="939">
      <c r="A939" s="26"/>
      <c r="B939" s="22"/>
      <c r="C939" s="23"/>
      <c r="D939" s="26"/>
      <c r="E939" s="25"/>
      <c r="N939" s="11" t="str">
        <f t="shared" si="1"/>
        <v/>
      </c>
    </row>
    <row r="940">
      <c r="A940" s="26"/>
      <c r="B940" s="22"/>
      <c r="C940" s="23"/>
      <c r="D940" s="26"/>
      <c r="E940" s="25"/>
      <c r="N940" s="11" t="str">
        <f t="shared" si="1"/>
        <v/>
      </c>
    </row>
    <row r="941">
      <c r="A941" s="26"/>
      <c r="B941" s="22"/>
      <c r="C941" s="23"/>
      <c r="D941" s="26"/>
      <c r="E941" s="25"/>
      <c r="N941" s="11" t="str">
        <f t="shared" si="1"/>
        <v/>
      </c>
    </row>
    <row r="942">
      <c r="A942" s="26"/>
      <c r="B942" s="22"/>
      <c r="C942" s="23"/>
      <c r="D942" s="26"/>
      <c r="E942" s="25"/>
      <c r="N942" s="11" t="str">
        <f t="shared" si="1"/>
        <v/>
      </c>
    </row>
    <row r="943">
      <c r="A943" s="26"/>
      <c r="B943" s="22"/>
      <c r="C943" s="23"/>
      <c r="D943" s="26"/>
      <c r="E943" s="25"/>
      <c r="N943" s="11" t="str">
        <f t="shared" si="1"/>
        <v/>
      </c>
    </row>
    <row r="944">
      <c r="A944" s="26"/>
      <c r="B944" s="22"/>
      <c r="C944" s="23"/>
      <c r="D944" s="26"/>
      <c r="E944" s="25"/>
      <c r="N944" s="11" t="str">
        <f t="shared" si="1"/>
        <v/>
      </c>
    </row>
    <row r="945">
      <c r="A945" s="26"/>
      <c r="B945" s="22"/>
      <c r="C945" s="23"/>
      <c r="D945" s="26"/>
      <c r="E945" s="25"/>
      <c r="N945" s="11" t="str">
        <f t="shared" si="1"/>
        <v/>
      </c>
    </row>
    <row r="946">
      <c r="A946" s="26"/>
      <c r="B946" s="22"/>
      <c r="C946" s="23"/>
      <c r="D946" s="26"/>
      <c r="E946" s="25"/>
      <c r="N946" s="11" t="str">
        <f t="shared" si="1"/>
        <v/>
      </c>
    </row>
    <row r="947">
      <c r="A947" s="26"/>
      <c r="B947" s="22"/>
      <c r="C947" s="23"/>
      <c r="D947" s="26"/>
      <c r="E947" s="25"/>
      <c r="N947" s="11" t="str">
        <f t="shared" si="1"/>
        <v/>
      </c>
    </row>
    <row r="948">
      <c r="A948" s="26"/>
      <c r="B948" s="22"/>
      <c r="C948" s="23"/>
      <c r="D948" s="26"/>
      <c r="E948" s="25"/>
      <c r="N948" s="11" t="str">
        <f t="shared" si="1"/>
        <v/>
      </c>
    </row>
    <row r="949">
      <c r="A949" s="26"/>
      <c r="B949" s="22"/>
      <c r="C949" s="23"/>
      <c r="D949" s="26"/>
      <c r="E949" s="25"/>
      <c r="N949" s="11" t="str">
        <f t="shared" si="1"/>
        <v/>
      </c>
    </row>
    <row r="950">
      <c r="A950" s="26"/>
      <c r="B950" s="22"/>
      <c r="C950" s="23"/>
      <c r="D950" s="26"/>
      <c r="E950" s="25"/>
      <c r="N950" s="11" t="str">
        <f t="shared" si="1"/>
        <v/>
      </c>
    </row>
    <row r="951">
      <c r="A951" s="26"/>
      <c r="B951" s="22"/>
      <c r="C951" s="23"/>
      <c r="D951" s="26"/>
      <c r="E951" s="25"/>
      <c r="N951" s="11" t="str">
        <f t="shared" si="1"/>
        <v/>
      </c>
    </row>
    <row r="952">
      <c r="A952" s="26"/>
      <c r="B952" s="22"/>
      <c r="C952" s="23"/>
      <c r="D952" s="26"/>
      <c r="E952" s="25"/>
      <c r="N952" s="11" t="str">
        <f t="shared" si="1"/>
        <v/>
      </c>
    </row>
    <row r="953">
      <c r="A953" s="26"/>
      <c r="B953" s="22"/>
      <c r="C953" s="23"/>
      <c r="D953" s="26"/>
      <c r="E953" s="25"/>
      <c r="N953" s="11" t="str">
        <f t="shared" si="1"/>
        <v/>
      </c>
    </row>
    <row r="954">
      <c r="A954" s="26"/>
      <c r="B954" s="22"/>
      <c r="C954" s="23"/>
      <c r="D954" s="26"/>
      <c r="E954" s="25"/>
      <c r="N954" s="11" t="str">
        <f t="shared" si="1"/>
        <v/>
      </c>
    </row>
    <row r="955">
      <c r="A955" s="26"/>
      <c r="B955" s="22"/>
      <c r="C955" s="23"/>
      <c r="D955" s="26"/>
      <c r="E955" s="25"/>
      <c r="N955" s="11" t="str">
        <f t="shared" si="1"/>
        <v/>
      </c>
    </row>
    <row r="956">
      <c r="A956" s="26"/>
      <c r="B956" s="22"/>
      <c r="C956" s="23"/>
      <c r="D956" s="26"/>
      <c r="E956" s="25"/>
      <c r="N956" s="11" t="str">
        <f t="shared" si="1"/>
        <v/>
      </c>
    </row>
    <row r="957">
      <c r="A957" s="26"/>
      <c r="B957" s="22"/>
      <c r="C957" s="23"/>
      <c r="D957" s="26"/>
      <c r="E957" s="25"/>
      <c r="N957" s="11" t="str">
        <f t="shared" si="1"/>
        <v/>
      </c>
    </row>
    <row r="958">
      <c r="A958" s="26"/>
      <c r="B958" s="22"/>
      <c r="C958" s="23"/>
      <c r="D958" s="26"/>
      <c r="E958" s="25"/>
      <c r="N958" s="11" t="str">
        <f t="shared" si="1"/>
        <v/>
      </c>
    </row>
    <row r="959">
      <c r="A959" s="26"/>
      <c r="B959" s="22"/>
      <c r="C959" s="23"/>
      <c r="D959" s="26"/>
      <c r="E959" s="25"/>
      <c r="N959" s="11" t="str">
        <f t="shared" si="1"/>
        <v/>
      </c>
    </row>
    <row r="960">
      <c r="A960" s="26"/>
      <c r="B960" s="22"/>
      <c r="C960" s="23"/>
      <c r="D960" s="26"/>
      <c r="E960" s="25"/>
      <c r="N960" s="11" t="str">
        <f t="shared" si="1"/>
        <v/>
      </c>
    </row>
    <row r="961">
      <c r="A961" s="26"/>
      <c r="B961" s="22"/>
      <c r="C961" s="23"/>
      <c r="D961" s="26"/>
      <c r="E961" s="25"/>
      <c r="N961" s="11" t="str">
        <f t="shared" si="1"/>
        <v/>
      </c>
    </row>
    <row r="962">
      <c r="A962" s="26"/>
      <c r="B962" s="22"/>
      <c r="C962" s="23"/>
      <c r="D962" s="26"/>
      <c r="E962" s="25"/>
      <c r="N962" s="11" t="str">
        <f t="shared" si="1"/>
        <v/>
      </c>
    </row>
    <row r="963">
      <c r="A963" s="26"/>
      <c r="B963" s="22"/>
      <c r="C963" s="23"/>
      <c r="D963" s="26"/>
      <c r="E963" s="25"/>
      <c r="N963" s="11" t="str">
        <f t="shared" si="1"/>
        <v/>
      </c>
    </row>
    <row r="964">
      <c r="A964" s="26"/>
      <c r="B964" s="22"/>
      <c r="C964" s="23"/>
      <c r="D964" s="26"/>
      <c r="E964" s="25"/>
      <c r="N964" s="11" t="str">
        <f t="shared" si="1"/>
        <v/>
      </c>
    </row>
    <row r="965">
      <c r="A965" s="26"/>
      <c r="B965" s="22"/>
      <c r="C965" s="23"/>
      <c r="D965" s="26"/>
      <c r="E965" s="25"/>
      <c r="N965" s="11" t="str">
        <f t="shared" si="1"/>
        <v/>
      </c>
    </row>
    <row r="966">
      <c r="A966" s="26"/>
      <c r="B966" s="22"/>
      <c r="C966" s="23"/>
      <c r="D966" s="26"/>
      <c r="E966" s="25"/>
      <c r="N966" s="11" t="str">
        <f t="shared" si="1"/>
        <v/>
      </c>
    </row>
    <row r="967">
      <c r="A967" s="26"/>
      <c r="B967" s="22"/>
      <c r="C967" s="23"/>
      <c r="D967" s="26"/>
      <c r="E967" s="25"/>
      <c r="N967" s="11" t="str">
        <f t="shared" si="1"/>
        <v/>
      </c>
    </row>
    <row r="968">
      <c r="A968" s="26"/>
      <c r="B968" s="22"/>
      <c r="C968" s="23"/>
      <c r="D968" s="26"/>
      <c r="E968" s="25"/>
      <c r="N968" s="11" t="str">
        <f t="shared" si="1"/>
        <v/>
      </c>
    </row>
    <row r="969">
      <c r="A969" s="26"/>
      <c r="B969" s="22"/>
      <c r="C969" s="23"/>
      <c r="D969" s="26"/>
      <c r="E969" s="25"/>
      <c r="N969" s="11" t="str">
        <f t="shared" si="1"/>
        <v/>
      </c>
    </row>
    <row r="970">
      <c r="A970" s="26"/>
      <c r="B970" s="22"/>
      <c r="C970" s="23"/>
      <c r="D970" s="26"/>
      <c r="E970" s="25"/>
      <c r="N970" s="11" t="str">
        <f t="shared" si="1"/>
        <v/>
      </c>
    </row>
    <row r="971">
      <c r="A971" s="26"/>
      <c r="B971" s="22"/>
      <c r="C971" s="23"/>
      <c r="D971" s="26"/>
      <c r="E971" s="25"/>
      <c r="N971" s="11" t="str">
        <f t="shared" si="1"/>
        <v/>
      </c>
    </row>
    <row r="972">
      <c r="A972" s="26"/>
      <c r="B972" s="22"/>
      <c r="C972" s="23"/>
      <c r="D972" s="26"/>
      <c r="E972" s="25"/>
      <c r="N972" s="11" t="str">
        <f t="shared" si="1"/>
        <v/>
      </c>
    </row>
    <row r="973">
      <c r="A973" s="26"/>
      <c r="B973" s="22"/>
      <c r="C973" s="23"/>
      <c r="D973" s="26"/>
      <c r="E973" s="25"/>
      <c r="N973" s="11" t="str">
        <f t="shared" si="1"/>
        <v/>
      </c>
    </row>
    <row r="974">
      <c r="A974" s="26"/>
      <c r="B974" s="22"/>
      <c r="C974" s="23"/>
      <c r="D974" s="26"/>
      <c r="E974" s="25"/>
      <c r="N974" s="11" t="str">
        <f t="shared" si="1"/>
        <v/>
      </c>
    </row>
    <row r="975">
      <c r="A975" s="26"/>
      <c r="B975" s="22"/>
      <c r="C975" s="23"/>
      <c r="D975" s="26"/>
      <c r="E975" s="25"/>
      <c r="N975" s="11" t="str">
        <f t="shared" si="1"/>
        <v/>
      </c>
    </row>
    <row r="976">
      <c r="A976" s="26"/>
      <c r="B976" s="22"/>
      <c r="C976" s="23"/>
      <c r="D976" s="26"/>
      <c r="E976" s="25"/>
      <c r="N976" s="11" t="str">
        <f t="shared" si="1"/>
        <v/>
      </c>
    </row>
    <row r="977">
      <c r="A977" s="26"/>
      <c r="B977" s="22"/>
      <c r="C977" s="23"/>
      <c r="D977" s="26"/>
      <c r="E977" s="25"/>
      <c r="N977" s="11" t="str">
        <f t="shared" si="1"/>
        <v/>
      </c>
    </row>
    <row r="978">
      <c r="A978" s="26"/>
      <c r="B978" s="22"/>
      <c r="C978" s="23"/>
      <c r="D978" s="26"/>
      <c r="E978" s="25"/>
      <c r="N978" s="11" t="str">
        <f t="shared" si="1"/>
        <v/>
      </c>
    </row>
    <row r="979">
      <c r="A979" s="26"/>
      <c r="B979" s="22"/>
      <c r="C979" s="23"/>
      <c r="D979" s="26"/>
      <c r="E979" s="25"/>
      <c r="N979" s="11" t="str">
        <f t="shared" si="1"/>
        <v/>
      </c>
    </row>
    <row r="980">
      <c r="A980" s="26"/>
      <c r="B980" s="22"/>
      <c r="C980" s="23"/>
      <c r="D980" s="26"/>
      <c r="E980" s="25"/>
      <c r="N980" s="11" t="str">
        <f t="shared" si="1"/>
        <v/>
      </c>
    </row>
    <row r="981">
      <c r="A981" s="26"/>
      <c r="B981" s="22"/>
      <c r="C981" s="23"/>
      <c r="D981" s="26"/>
      <c r="E981" s="25"/>
      <c r="N981" s="11" t="str">
        <f t="shared" si="1"/>
        <v/>
      </c>
    </row>
    <row r="982">
      <c r="A982" s="26"/>
      <c r="B982" s="22"/>
      <c r="C982" s="23"/>
      <c r="D982" s="26"/>
      <c r="E982" s="25"/>
      <c r="N982" s="11" t="str">
        <f t="shared" si="1"/>
        <v/>
      </c>
    </row>
    <row r="983">
      <c r="A983" s="26"/>
      <c r="B983" s="22"/>
      <c r="C983" s="23"/>
      <c r="D983" s="26"/>
      <c r="E983" s="25"/>
      <c r="N983" s="11" t="str">
        <f t="shared" si="1"/>
        <v/>
      </c>
    </row>
    <row r="984">
      <c r="A984" s="26"/>
      <c r="B984" s="22"/>
      <c r="C984" s="23"/>
      <c r="D984" s="26"/>
      <c r="E984" s="25"/>
      <c r="N984" s="11" t="str">
        <f t="shared" si="1"/>
        <v/>
      </c>
    </row>
    <row r="985">
      <c r="A985" s="26"/>
      <c r="B985" s="22"/>
      <c r="C985" s="23"/>
      <c r="D985" s="26"/>
      <c r="E985" s="25"/>
      <c r="N985" s="11" t="str">
        <f t="shared" si="1"/>
        <v/>
      </c>
    </row>
    <row r="986">
      <c r="A986" s="26"/>
      <c r="B986" s="22"/>
      <c r="C986" s="23"/>
      <c r="D986" s="26"/>
      <c r="E986" s="25"/>
      <c r="N986" s="11" t="str">
        <f t="shared" si="1"/>
        <v/>
      </c>
    </row>
    <row r="987">
      <c r="A987" s="26"/>
      <c r="B987" s="22"/>
      <c r="C987" s="23"/>
      <c r="D987" s="26"/>
      <c r="E987" s="25"/>
      <c r="N987" s="11" t="str">
        <f t="shared" si="1"/>
        <v/>
      </c>
    </row>
    <row r="988">
      <c r="A988" s="26"/>
      <c r="B988" s="22"/>
      <c r="C988" s="23"/>
      <c r="D988" s="26"/>
      <c r="E988" s="25"/>
      <c r="N988" s="11" t="str">
        <f t="shared" si="1"/>
        <v/>
      </c>
    </row>
    <row r="989">
      <c r="A989" s="26"/>
      <c r="B989" s="22"/>
      <c r="C989" s="23"/>
      <c r="D989" s="26"/>
      <c r="E989" s="25"/>
      <c r="N989" s="11" t="str">
        <f t="shared" si="1"/>
        <v/>
      </c>
    </row>
    <row r="990">
      <c r="A990" s="26"/>
      <c r="B990" s="22"/>
      <c r="C990" s="23"/>
      <c r="D990" s="26"/>
      <c r="E990" s="25"/>
      <c r="N990" s="11" t="str">
        <f t="shared" si="1"/>
        <v/>
      </c>
    </row>
    <row r="991">
      <c r="A991" s="26"/>
      <c r="B991" s="22"/>
      <c r="C991" s="23"/>
      <c r="D991" s="26"/>
      <c r="E991" s="25"/>
      <c r="N991" s="11" t="str">
        <f t="shared" si="1"/>
        <v/>
      </c>
    </row>
    <row r="992">
      <c r="A992" s="26"/>
      <c r="B992" s="22"/>
      <c r="C992" s="23"/>
      <c r="D992" s="26"/>
      <c r="E992" s="25"/>
      <c r="N992" s="11" t="str">
        <f t="shared" si="1"/>
        <v/>
      </c>
    </row>
    <row r="993">
      <c r="A993" s="26"/>
      <c r="B993" s="22"/>
      <c r="C993" s="23"/>
      <c r="D993" s="26"/>
      <c r="E993" s="25"/>
      <c r="N993" s="11" t="str">
        <f t="shared" si="1"/>
        <v/>
      </c>
    </row>
    <row r="994">
      <c r="A994" s="26"/>
      <c r="B994" s="22"/>
      <c r="C994" s="23"/>
      <c r="D994" s="26"/>
      <c r="E994" s="25"/>
      <c r="N994" s="11" t="str">
        <f t="shared" si="1"/>
        <v/>
      </c>
    </row>
    <row r="995">
      <c r="A995" s="26"/>
      <c r="B995" s="22"/>
      <c r="C995" s="23"/>
      <c r="D995" s="26"/>
      <c r="E995" s="25"/>
      <c r="N995" s="11" t="str">
        <f t="shared" si="1"/>
        <v/>
      </c>
    </row>
    <row r="996">
      <c r="A996" s="26"/>
      <c r="B996" s="22"/>
      <c r="C996" s="23"/>
      <c r="D996" s="26"/>
      <c r="E996" s="25"/>
      <c r="N996" s="11" t="str">
        <f t="shared" si="1"/>
        <v/>
      </c>
    </row>
    <row r="997">
      <c r="A997" s="26"/>
      <c r="B997" s="22"/>
      <c r="C997" s="23"/>
      <c r="D997" s="26"/>
      <c r="E997" s="25"/>
      <c r="N997" s="11" t="str">
        <f t="shared" si="1"/>
        <v/>
      </c>
    </row>
    <row r="998">
      <c r="A998" s="26"/>
      <c r="B998" s="22"/>
      <c r="C998" s="23"/>
      <c r="D998" s="26"/>
      <c r="E998" s="25"/>
      <c r="N998" s="11" t="str">
        <f t="shared" si="1"/>
        <v/>
      </c>
    </row>
    <row r="999">
      <c r="A999" s="26"/>
      <c r="B999" s="22"/>
      <c r="C999" s="23"/>
      <c r="D999" s="26"/>
      <c r="E999" s="25"/>
      <c r="N999" s="11" t="str">
        <f t="shared" si="1"/>
        <v/>
      </c>
    </row>
    <row r="1000">
      <c r="A1000" s="26"/>
      <c r="B1000" s="22"/>
      <c r="C1000" s="23"/>
      <c r="D1000" s="26"/>
      <c r="E1000" s="25"/>
      <c r="N1000" s="11" t="str">
        <f t="shared" si="1"/>
        <v/>
      </c>
    </row>
    <row r="1001">
      <c r="A1001" s="26"/>
      <c r="B1001" s="22"/>
      <c r="C1001" s="23"/>
      <c r="D1001" s="26"/>
      <c r="E1001" s="25"/>
      <c r="N1001" s="11" t="str">
        <f t="shared" si="1"/>
        <v/>
      </c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65</v>
      </c>
      <c r="B1" s="11"/>
      <c r="C1" s="32"/>
      <c r="E1" s="33"/>
    </row>
    <row r="2">
      <c r="A2" s="34"/>
      <c r="B2" s="11"/>
      <c r="C2" s="32"/>
      <c r="E2" s="33"/>
    </row>
    <row r="3">
      <c r="A3" s="10" t="s">
        <v>66</v>
      </c>
      <c r="B3" s="11" t="str">
        <f>IFERROR(__xludf.DUMMYFUNCTION("SORT(IMPORTDATA(""https://fred.stlouisfed.org/graph/fredgraph.csv?id=FDEFX""),1,FALSE)"),"observation_date")</f>
        <v>observation_date</v>
      </c>
      <c r="C3" s="32" t="str">
        <f>IFERROR(__xludf.DUMMYFUNCTION("""COMPUTED_VALUE"""),"FDEFX")</f>
        <v>FDEFX</v>
      </c>
      <c r="E3" s="35" t="s">
        <v>67</v>
      </c>
      <c r="P3" s="6" t="s">
        <v>68</v>
      </c>
    </row>
    <row r="4">
      <c r="A4" s="23"/>
      <c r="B4" s="26">
        <f>IFERROR(__xludf.DUMMYFUNCTION("""COMPUTED_VALUE"""),45839.0)</f>
        <v>45839</v>
      </c>
      <c r="C4" s="32">
        <f>IFERROR(__xludf.DUMMYFUNCTION("""COMPUTED_VALUE"""),1161.467)</f>
        <v>1161.467</v>
      </c>
      <c r="E4" s="28">
        <f>IFERROR(__xludf.DUMMYFUNCTION("QUERY(B:C, ""SELECT B, C WHERE B &gt;= DATE '"" &amp; TEXT(TODAY()-365*5, ""yyyy-MM-dd"") &amp; ""' ORDER BY B DESC"", 1)"),45839.0)</f>
        <v>45839</v>
      </c>
      <c r="F4" s="29">
        <f>IFERROR(__xludf.DUMMYFUNCTION("""COMPUTED_VALUE"""),1161.467)</f>
        <v>1161.467</v>
      </c>
      <c r="P4" s="11">
        <f t="shared" ref="P4:P316" si="1">B4</f>
        <v>45839</v>
      </c>
      <c r="Q4" s="9">
        <f t="shared" ref="Q4:Q315" si="2">LOG10(C4)</f>
        <v>3.065006875</v>
      </c>
    </row>
    <row r="5">
      <c r="A5" s="34"/>
      <c r="B5" s="11">
        <f>IFERROR(__xludf.DUMMYFUNCTION("""COMPUTED_VALUE"""),45748.0)</f>
        <v>45748</v>
      </c>
      <c r="C5" s="32">
        <f>IFERROR(__xludf.DUMMYFUNCTION("""COMPUTED_VALUE"""),1135.765)</f>
        <v>1135.765</v>
      </c>
      <c r="E5" s="28">
        <f>IFERROR(__xludf.DUMMYFUNCTION("""COMPUTED_VALUE"""),45748.0)</f>
        <v>45748</v>
      </c>
      <c r="F5" s="29">
        <f>IFERROR(__xludf.DUMMYFUNCTION("""COMPUTED_VALUE"""),1135.765)</f>
        <v>1135.765</v>
      </c>
      <c r="P5" s="11">
        <f t="shared" si="1"/>
        <v>45748</v>
      </c>
      <c r="Q5" s="9">
        <f t="shared" si="2"/>
        <v>3.055288481</v>
      </c>
    </row>
    <row r="6">
      <c r="A6" s="34"/>
      <c r="B6" s="11">
        <f>IFERROR(__xludf.DUMMYFUNCTION("""COMPUTED_VALUE"""),45658.0)</f>
        <v>45658</v>
      </c>
      <c r="C6" s="32">
        <f>IFERROR(__xludf.DUMMYFUNCTION("""COMPUTED_VALUE"""),1116.611)</f>
        <v>1116.611</v>
      </c>
      <c r="E6" s="28">
        <f>IFERROR(__xludf.DUMMYFUNCTION("""COMPUTED_VALUE"""),45658.0)</f>
        <v>45658</v>
      </c>
      <c r="F6" s="29">
        <f>IFERROR(__xludf.DUMMYFUNCTION("""COMPUTED_VALUE"""),1116.611)</f>
        <v>1116.611</v>
      </c>
      <c r="P6" s="11">
        <f t="shared" si="1"/>
        <v>45658</v>
      </c>
      <c r="Q6" s="9">
        <f t="shared" si="2"/>
        <v>3.047901902</v>
      </c>
    </row>
    <row r="7">
      <c r="A7" s="34"/>
      <c r="B7" s="11">
        <f>IFERROR(__xludf.DUMMYFUNCTION("""COMPUTED_VALUE"""),45566.0)</f>
        <v>45566</v>
      </c>
      <c r="C7" s="32">
        <f>IFERROR(__xludf.DUMMYFUNCTION("""COMPUTED_VALUE"""),1122.731)</f>
        <v>1122.731</v>
      </c>
      <c r="E7" s="28">
        <f>IFERROR(__xludf.DUMMYFUNCTION("""COMPUTED_VALUE"""),45566.0)</f>
        <v>45566</v>
      </c>
      <c r="F7" s="29">
        <f>IFERROR(__xludf.DUMMYFUNCTION("""COMPUTED_VALUE"""),1122.731)</f>
        <v>1122.731</v>
      </c>
      <c r="P7" s="11">
        <f t="shared" si="1"/>
        <v>45566</v>
      </c>
      <c r="Q7" s="9">
        <f t="shared" si="2"/>
        <v>3.050275714</v>
      </c>
    </row>
    <row r="8">
      <c r="A8" s="34"/>
      <c r="B8" s="11">
        <f>IFERROR(__xludf.DUMMYFUNCTION("""COMPUTED_VALUE"""),45474.0)</f>
        <v>45474</v>
      </c>
      <c r="C8" s="32">
        <f>IFERROR(__xludf.DUMMYFUNCTION("""COMPUTED_VALUE"""),1104.161)</f>
        <v>1104.161</v>
      </c>
      <c r="E8" s="28">
        <f>IFERROR(__xludf.DUMMYFUNCTION("""COMPUTED_VALUE"""),45474.0)</f>
        <v>45474</v>
      </c>
      <c r="F8" s="29">
        <f>IFERROR(__xludf.DUMMYFUNCTION("""COMPUTED_VALUE"""),1104.161)</f>
        <v>1104.161</v>
      </c>
      <c r="P8" s="11">
        <f t="shared" si="1"/>
        <v>45474</v>
      </c>
      <c r="Q8" s="9">
        <f t="shared" si="2"/>
        <v>3.043032403</v>
      </c>
    </row>
    <row r="9">
      <c r="A9" s="34"/>
      <c r="B9" s="11">
        <f>IFERROR(__xludf.DUMMYFUNCTION("""COMPUTED_VALUE"""),45383.0)</f>
        <v>45383</v>
      </c>
      <c r="C9" s="32">
        <f>IFERROR(__xludf.DUMMYFUNCTION("""COMPUTED_VALUE"""),1064.344)</f>
        <v>1064.344</v>
      </c>
      <c r="E9" s="28">
        <f>IFERROR(__xludf.DUMMYFUNCTION("""COMPUTED_VALUE"""),45383.0)</f>
        <v>45383</v>
      </c>
      <c r="F9" s="29">
        <f>IFERROR(__xludf.DUMMYFUNCTION("""COMPUTED_VALUE"""),1064.344)</f>
        <v>1064.344</v>
      </c>
      <c r="P9" s="11">
        <f t="shared" si="1"/>
        <v>45383</v>
      </c>
      <c r="Q9" s="9">
        <f t="shared" si="2"/>
        <v>3.027082016</v>
      </c>
    </row>
    <row r="10">
      <c r="A10" s="34"/>
      <c r="B10" s="11">
        <f>IFERROR(__xludf.DUMMYFUNCTION("""COMPUTED_VALUE"""),45292.0)</f>
        <v>45292</v>
      </c>
      <c r="C10" s="32">
        <f>IFERROR(__xludf.DUMMYFUNCTION("""COMPUTED_VALUE"""),1039.649)</f>
        <v>1039.649</v>
      </c>
      <c r="E10" s="28">
        <f>IFERROR(__xludf.DUMMYFUNCTION("""COMPUTED_VALUE"""),45292.0)</f>
        <v>45292</v>
      </c>
      <c r="F10" s="29">
        <f>IFERROR(__xludf.DUMMYFUNCTION("""COMPUTED_VALUE"""),1039.649)</f>
        <v>1039.649</v>
      </c>
      <c r="P10" s="11">
        <f t="shared" si="1"/>
        <v>45292</v>
      </c>
      <c r="Q10" s="9">
        <f t="shared" si="2"/>
        <v>3.01688674</v>
      </c>
    </row>
    <row r="11">
      <c r="A11" s="34"/>
      <c r="B11" s="11">
        <f>IFERROR(__xludf.DUMMYFUNCTION("""COMPUTED_VALUE"""),45200.0)</f>
        <v>45200</v>
      </c>
      <c r="C11" s="32">
        <f>IFERROR(__xludf.DUMMYFUNCTION("""COMPUTED_VALUE"""),1034.468)</f>
        <v>1034.468</v>
      </c>
      <c r="E11" s="28">
        <f>IFERROR(__xludf.DUMMYFUNCTION("""COMPUTED_VALUE"""),45200.0)</f>
        <v>45200</v>
      </c>
      <c r="F11" s="29">
        <f>IFERROR(__xludf.DUMMYFUNCTION("""COMPUTED_VALUE"""),1034.468)</f>
        <v>1034.468</v>
      </c>
      <c r="P11" s="11">
        <f t="shared" si="1"/>
        <v>45200</v>
      </c>
      <c r="Q11" s="9">
        <f t="shared" si="2"/>
        <v>3.014717061</v>
      </c>
    </row>
    <row r="12">
      <c r="A12" s="34"/>
      <c r="B12" s="11">
        <f>IFERROR(__xludf.DUMMYFUNCTION("""COMPUTED_VALUE"""),45108.0)</f>
        <v>45108</v>
      </c>
      <c r="C12" s="32">
        <f>IFERROR(__xludf.DUMMYFUNCTION("""COMPUTED_VALUE"""),1018.384)</f>
        <v>1018.384</v>
      </c>
      <c r="E12" s="28">
        <f>IFERROR(__xludf.DUMMYFUNCTION("""COMPUTED_VALUE"""),45108.0)</f>
        <v>45108</v>
      </c>
      <c r="F12" s="29">
        <f>IFERROR(__xludf.DUMMYFUNCTION("""COMPUTED_VALUE"""),1018.384)</f>
        <v>1018.384</v>
      </c>
      <c r="P12" s="11">
        <f t="shared" si="1"/>
        <v>45108</v>
      </c>
      <c r="Q12" s="9">
        <f t="shared" si="2"/>
        <v>3.007911567</v>
      </c>
    </row>
    <row r="13">
      <c r="A13" s="34"/>
      <c r="B13" s="11">
        <f>IFERROR(__xludf.DUMMYFUNCTION("""COMPUTED_VALUE"""),45017.0)</f>
        <v>45017</v>
      </c>
      <c r="C13" s="32">
        <f>IFERROR(__xludf.DUMMYFUNCTION("""COMPUTED_VALUE"""),988.014)</f>
        <v>988.014</v>
      </c>
      <c r="E13" s="28">
        <f>IFERROR(__xludf.DUMMYFUNCTION("""COMPUTED_VALUE"""),45017.0)</f>
        <v>45017</v>
      </c>
      <c r="F13" s="29">
        <f>IFERROR(__xludf.DUMMYFUNCTION("""COMPUTED_VALUE"""),988.014)</f>
        <v>988.014</v>
      </c>
      <c r="P13" s="11">
        <f t="shared" si="1"/>
        <v>45017</v>
      </c>
      <c r="Q13" s="9">
        <f t="shared" si="2"/>
        <v>2.994763099</v>
      </c>
    </row>
    <row r="14">
      <c r="A14" s="34"/>
      <c r="B14" s="11">
        <f>IFERROR(__xludf.DUMMYFUNCTION("""COMPUTED_VALUE"""),44927.0)</f>
        <v>44927</v>
      </c>
      <c r="C14" s="32">
        <f>IFERROR(__xludf.DUMMYFUNCTION("""COMPUTED_VALUE"""),975.017)</f>
        <v>975.017</v>
      </c>
      <c r="E14" s="28">
        <f>IFERROR(__xludf.DUMMYFUNCTION("""COMPUTED_VALUE"""),44927.0)</f>
        <v>44927</v>
      </c>
      <c r="F14" s="29">
        <f>IFERROR(__xludf.DUMMYFUNCTION("""COMPUTED_VALUE"""),975.017)</f>
        <v>975.017</v>
      </c>
      <c r="P14" s="11">
        <f t="shared" si="1"/>
        <v>44927</v>
      </c>
      <c r="Q14" s="9">
        <f t="shared" si="2"/>
        <v>2.989012188</v>
      </c>
    </row>
    <row r="15">
      <c r="A15" s="34"/>
      <c r="B15" s="11">
        <f>IFERROR(__xludf.DUMMYFUNCTION("""COMPUTED_VALUE"""),44835.0)</f>
        <v>44835</v>
      </c>
      <c r="C15" s="32">
        <f>IFERROR(__xludf.DUMMYFUNCTION("""COMPUTED_VALUE"""),955.728)</f>
        <v>955.728</v>
      </c>
      <c r="E15" s="28">
        <f>IFERROR(__xludf.DUMMYFUNCTION("""COMPUTED_VALUE"""),44835.0)</f>
        <v>44835</v>
      </c>
      <c r="F15" s="29">
        <f>IFERROR(__xludf.DUMMYFUNCTION("""COMPUTED_VALUE"""),955.728)</f>
        <v>955.728</v>
      </c>
      <c r="P15" s="11">
        <f t="shared" si="1"/>
        <v>44835</v>
      </c>
      <c r="Q15" s="9">
        <f t="shared" si="2"/>
        <v>2.98033431</v>
      </c>
    </row>
    <row r="16">
      <c r="A16" s="34"/>
      <c r="B16" s="11">
        <f>IFERROR(__xludf.DUMMYFUNCTION("""COMPUTED_VALUE"""),44743.0)</f>
        <v>44743</v>
      </c>
      <c r="C16" s="32">
        <f>IFERROR(__xludf.DUMMYFUNCTION("""COMPUTED_VALUE"""),928.551)</f>
        <v>928.551</v>
      </c>
      <c r="E16" s="28">
        <f>IFERROR(__xludf.DUMMYFUNCTION("""COMPUTED_VALUE"""),44743.0)</f>
        <v>44743</v>
      </c>
      <c r="F16" s="29">
        <f>IFERROR(__xludf.DUMMYFUNCTION("""COMPUTED_VALUE"""),928.551)</f>
        <v>928.551</v>
      </c>
      <c r="P16" s="11">
        <f t="shared" si="1"/>
        <v>44743</v>
      </c>
      <c r="Q16" s="9">
        <f t="shared" si="2"/>
        <v>2.967805762</v>
      </c>
    </row>
    <row r="17">
      <c r="A17" s="34"/>
      <c r="B17" s="11">
        <f>IFERROR(__xludf.DUMMYFUNCTION("""COMPUTED_VALUE"""),44652.0)</f>
        <v>44652</v>
      </c>
      <c r="C17" s="32">
        <f>IFERROR(__xludf.DUMMYFUNCTION("""COMPUTED_VALUE"""),929.002)</f>
        <v>929.002</v>
      </c>
      <c r="E17" s="28">
        <f>IFERROR(__xludf.DUMMYFUNCTION("""COMPUTED_VALUE"""),44652.0)</f>
        <v>44652</v>
      </c>
      <c r="F17" s="29">
        <f>IFERROR(__xludf.DUMMYFUNCTION("""COMPUTED_VALUE"""),929.002)</f>
        <v>929.002</v>
      </c>
      <c r="P17" s="11">
        <f t="shared" si="1"/>
        <v>44652</v>
      </c>
      <c r="Q17" s="9">
        <f t="shared" si="2"/>
        <v>2.968016649</v>
      </c>
    </row>
    <row r="18">
      <c r="A18" s="34"/>
      <c r="B18" s="11">
        <f>IFERROR(__xludf.DUMMYFUNCTION("""COMPUTED_VALUE"""),44562.0)</f>
        <v>44562</v>
      </c>
      <c r="C18" s="32">
        <f>IFERROR(__xludf.DUMMYFUNCTION("""COMPUTED_VALUE"""),905.104)</f>
        <v>905.104</v>
      </c>
      <c r="E18" s="28">
        <f>IFERROR(__xludf.DUMMYFUNCTION("""COMPUTED_VALUE"""),44562.0)</f>
        <v>44562</v>
      </c>
      <c r="F18" s="29">
        <f>IFERROR(__xludf.DUMMYFUNCTION("""COMPUTED_VALUE"""),905.104)</f>
        <v>905.104</v>
      </c>
      <c r="P18" s="11">
        <f t="shared" si="1"/>
        <v>44562</v>
      </c>
      <c r="Q18" s="9">
        <f t="shared" si="2"/>
        <v>2.956698484</v>
      </c>
    </row>
    <row r="19">
      <c r="A19" s="34"/>
      <c r="B19" s="11">
        <f>IFERROR(__xludf.DUMMYFUNCTION("""COMPUTED_VALUE"""),44470.0)</f>
        <v>44470</v>
      </c>
      <c r="C19" s="32">
        <f>IFERROR(__xludf.DUMMYFUNCTION("""COMPUTED_VALUE"""),913.601)</f>
        <v>913.601</v>
      </c>
      <c r="E19" s="28">
        <f>IFERROR(__xludf.DUMMYFUNCTION("""COMPUTED_VALUE"""),44470.0)</f>
        <v>44470</v>
      </c>
      <c r="F19" s="29">
        <f>IFERROR(__xludf.DUMMYFUNCTION("""COMPUTED_VALUE"""),913.601)</f>
        <v>913.601</v>
      </c>
      <c r="P19" s="11">
        <f t="shared" si="1"/>
        <v>44470</v>
      </c>
      <c r="Q19" s="9">
        <f t="shared" si="2"/>
        <v>2.960756566</v>
      </c>
    </row>
    <row r="20">
      <c r="A20" s="34"/>
      <c r="B20" s="11">
        <f>IFERROR(__xludf.DUMMYFUNCTION("""COMPUTED_VALUE"""),44378.0)</f>
        <v>44378</v>
      </c>
      <c r="C20" s="32">
        <f>IFERROR(__xludf.DUMMYFUNCTION("""COMPUTED_VALUE"""),908.687)</f>
        <v>908.687</v>
      </c>
      <c r="E20" s="28">
        <f>IFERROR(__xludf.DUMMYFUNCTION("""COMPUTED_VALUE"""),44378.0)</f>
        <v>44378</v>
      </c>
      <c r="F20" s="29">
        <f>IFERROR(__xludf.DUMMYFUNCTION("""COMPUTED_VALUE"""),908.687)</f>
        <v>908.687</v>
      </c>
      <c r="P20" s="11">
        <f t="shared" si="1"/>
        <v>44378</v>
      </c>
      <c r="Q20" s="9">
        <f t="shared" si="2"/>
        <v>2.958414315</v>
      </c>
    </row>
    <row r="21">
      <c r="A21" s="34"/>
      <c r="B21" s="11">
        <f>IFERROR(__xludf.DUMMYFUNCTION("""COMPUTED_VALUE"""),44287.0)</f>
        <v>44287</v>
      </c>
      <c r="C21" s="32">
        <f>IFERROR(__xludf.DUMMYFUNCTION("""COMPUTED_VALUE"""),907.945)</f>
        <v>907.945</v>
      </c>
      <c r="E21" s="28">
        <f>IFERROR(__xludf.DUMMYFUNCTION("""COMPUTED_VALUE"""),44287.0)</f>
        <v>44287</v>
      </c>
      <c r="F21" s="29">
        <f>IFERROR(__xludf.DUMMYFUNCTION("""COMPUTED_VALUE"""),907.945)</f>
        <v>907.945</v>
      </c>
      <c r="P21" s="11">
        <f t="shared" si="1"/>
        <v>44287</v>
      </c>
      <c r="Q21" s="9">
        <f t="shared" si="2"/>
        <v>2.958059541</v>
      </c>
    </row>
    <row r="22">
      <c r="A22" s="34"/>
      <c r="B22" s="11">
        <f>IFERROR(__xludf.DUMMYFUNCTION("""COMPUTED_VALUE"""),44197.0)</f>
        <v>44197</v>
      </c>
      <c r="C22" s="32">
        <f>IFERROR(__xludf.DUMMYFUNCTION("""COMPUTED_VALUE"""),906.146)</f>
        <v>906.146</v>
      </c>
      <c r="E22" s="11"/>
      <c r="P22" s="11">
        <f t="shared" si="1"/>
        <v>44197</v>
      </c>
      <c r="Q22" s="9">
        <f t="shared" si="2"/>
        <v>2.957198178</v>
      </c>
    </row>
    <row r="23">
      <c r="A23" s="34"/>
      <c r="B23" s="11">
        <f>IFERROR(__xludf.DUMMYFUNCTION("""COMPUTED_VALUE"""),44105.0)</f>
        <v>44105</v>
      </c>
      <c r="C23" s="32">
        <f>IFERROR(__xludf.DUMMYFUNCTION("""COMPUTED_VALUE"""),914.888)</f>
        <v>914.888</v>
      </c>
      <c r="E23" s="11"/>
      <c r="P23" s="11">
        <f t="shared" si="1"/>
        <v>44105</v>
      </c>
      <c r="Q23" s="9">
        <f t="shared" si="2"/>
        <v>2.961367931</v>
      </c>
    </row>
    <row r="24">
      <c r="A24" s="34"/>
      <c r="B24" s="11">
        <f>IFERROR(__xludf.DUMMYFUNCTION("""COMPUTED_VALUE"""),44013.0)</f>
        <v>44013</v>
      </c>
      <c r="C24" s="32">
        <f>IFERROR(__xludf.DUMMYFUNCTION("""COMPUTED_VALUE"""),879.913)</f>
        <v>879.913</v>
      </c>
      <c r="E24" s="11"/>
      <c r="P24" s="11">
        <f t="shared" si="1"/>
        <v>44013</v>
      </c>
      <c r="Q24" s="9">
        <f t="shared" si="2"/>
        <v>2.944439734</v>
      </c>
    </row>
    <row r="25">
      <c r="A25" s="34"/>
      <c r="B25" s="11">
        <f>IFERROR(__xludf.DUMMYFUNCTION("""COMPUTED_VALUE"""),43922.0)</f>
        <v>43922</v>
      </c>
      <c r="C25" s="32">
        <f>IFERROR(__xludf.DUMMYFUNCTION("""COMPUTED_VALUE"""),872.625)</f>
        <v>872.625</v>
      </c>
      <c r="E25" s="11"/>
      <c r="P25" s="11">
        <f t="shared" si="1"/>
        <v>43922</v>
      </c>
      <c r="Q25" s="9">
        <f t="shared" si="2"/>
        <v>2.940827651</v>
      </c>
    </row>
    <row r="26">
      <c r="A26" s="34"/>
      <c r="B26" s="11">
        <f>IFERROR(__xludf.DUMMYFUNCTION("""COMPUTED_VALUE"""),43831.0)</f>
        <v>43831</v>
      </c>
      <c r="C26" s="32">
        <f>IFERROR(__xludf.DUMMYFUNCTION("""COMPUTED_VALUE"""),872.027)</f>
        <v>872.027</v>
      </c>
      <c r="E26" s="11"/>
      <c r="P26" s="11">
        <f t="shared" si="1"/>
        <v>43831</v>
      </c>
      <c r="Q26" s="9">
        <f t="shared" si="2"/>
        <v>2.940529932</v>
      </c>
    </row>
    <row r="27">
      <c r="A27" s="34"/>
      <c r="B27" s="11">
        <f>IFERROR(__xludf.DUMMYFUNCTION("""COMPUTED_VALUE"""),43739.0)</f>
        <v>43739</v>
      </c>
      <c r="C27" s="32">
        <f>IFERROR(__xludf.DUMMYFUNCTION("""COMPUTED_VALUE"""),863.886)</f>
        <v>863.886</v>
      </c>
      <c r="E27" s="11"/>
      <c r="P27" s="11">
        <f t="shared" si="1"/>
        <v>43739</v>
      </c>
      <c r="Q27" s="9">
        <f t="shared" si="2"/>
        <v>2.936456436</v>
      </c>
    </row>
    <row r="28">
      <c r="A28" s="34"/>
      <c r="B28" s="11">
        <f>IFERROR(__xludf.DUMMYFUNCTION("""COMPUTED_VALUE"""),43647.0)</f>
        <v>43647</v>
      </c>
      <c r="C28" s="32">
        <f>IFERROR(__xludf.DUMMYFUNCTION("""COMPUTED_VALUE"""),855.028)</f>
        <v>855.028</v>
      </c>
      <c r="E28" s="11"/>
      <c r="P28" s="11">
        <f t="shared" si="1"/>
        <v>43647</v>
      </c>
      <c r="Q28" s="9">
        <f t="shared" si="2"/>
        <v>2.931980337</v>
      </c>
    </row>
    <row r="29">
      <c r="A29" s="34"/>
      <c r="B29" s="11">
        <f>IFERROR(__xludf.DUMMYFUNCTION("""COMPUTED_VALUE"""),43556.0)</f>
        <v>43556</v>
      </c>
      <c r="C29" s="32">
        <f>IFERROR(__xludf.DUMMYFUNCTION("""COMPUTED_VALUE"""),840.28)</f>
        <v>840.28</v>
      </c>
      <c r="E29" s="11"/>
      <c r="P29" s="11">
        <f t="shared" si="1"/>
        <v>43556</v>
      </c>
      <c r="Q29" s="9">
        <f t="shared" si="2"/>
        <v>2.924424027</v>
      </c>
    </row>
    <row r="30">
      <c r="A30" s="34"/>
      <c r="B30" s="11">
        <f>IFERROR(__xludf.DUMMYFUNCTION("""COMPUTED_VALUE"""),43466.0)</f>
        <v>43466</v>
      </c>
      <c r="C30" s="32">
        <f>IFERROR(__xludf.DUMMYFUNCTION("""COMPUTED_VALUE"""),838.831)</f>
        <v>838.831</v>
      </c>
      <c r="E30" s="11"/>
      <c r="P30" s="11">
        <f t="shared" si="1"/>
        <v>43466</v>
      </c>
      <c r="Q30" s="9">
        <f t="shared" si="2"/>
        <v>2.923674472</v>
      </c>
    </row>
    <row r="31">
      <c r="A31" s="34"/>
      <c r="B31" s="11">
        <f>IFERROR(__xludf.DUMMYFUNCTION("""COMPUTED_VALUE"""),43374.0)</f>
        <v>43374</v>
      </c>
      <c r="C31" s="32">
        <f>IFERROR(__xludf.DUMMYFUNCTION("""COMPUTED_VALUE"""),818.904)</f>
        <v>818.904</v>
      </c>
      <c r="E31" s="11"/>
      <c r="P31" s="11">
        <f t="shared" si="1"/>
        <v>43374</v>
      </c>
      <c r="Q31" s="9">
        <f t="shared" si="2"/>
        <v>2.913232992</v>
      </c>
    </row>
    <row r="32">
      <c r="A32" s="34"/>
      <c r="B32" s="11">
        <f>IFERROR(__xludf.DUMMYFUNCTION("""COMPUTED_VALUE"""),43282.0)</f>
        <v>43282</v>
      </c>
      <c r="C32" s="32">
        <f>IFERROR(__xludf.DUMMYFUNCTION("""COMPUTED_VALUE"""),802.455)</f>
        <v>802.455</v>
      </c>
      <c r="E32" s="11"/>
      <c r="P32" s="11">
        <f t="shared" si="1"/>
        <v>43282</v>
      </c>
      <c r="Q32" s="9">
        <f t="shared" si="2"/>
        <v>2.904420687</v>
      </c>
    </row>
    <row r="33">
      <c r="A33" s="34"/>
      <c r="B33" s="11">
        <f>IFERROR(__xludf.DUMMYFUNCTION("""COMPUTED_VALUE"""),43191.0)</f>
        <v>43191</v>
      </c>
      <c r="C33" s="32">
        <f>IFERROR(__xludf.DUMMYFUNCTION("""COMPUTED_VALUE"""),785.757)</f>
        <v>785.757</v>
      </c>
      <c r="E33" s="11"/>
      <c r="P33" s="11">
        <f t="shared" si="1"/>
        <v>43191</v>
      </c>
      <c r="Q33" s="9">
        <f t="shared" si="2"/>
        <v>2.895288259</v>
      </c>
    </row>
    <row r="34">
      <c r="A34" s="34"/>
      <c r="B34" s="11">
        <f>IFERROR(__xludf.DUMMYFUNCTION("""COMPUTED_VALUE"""),43101.0)</f>
        <v>43101</v>
      </c>
      <c r="C34" s="32">
        <f>IFERROR(__xludf.DUMMYFUNCTION("""COMPUTED_VALUE"""),773.144)</f>
        <v>773.144</v>
      </c>
      <c r="E34" s="11"/>
      <c r="P34" s="11">
        <f t="shared" si="1"/>
        <v>43101</v>
      </c>
      <c r="Q34" s="9">
        <f t="shared" si="2"/>
        <v>2.88826039</v>
      </c>
    </row>
    <row r="35">
      <c r="A35" s="34"/>
      <c r="B35" s="11">
        <f>IFERROR(__xludf.DUMMYFUNCTION("""COMPUTED_VALUE"""),43009.0)</f>
        <v>43009</v>
      </c>
      <c r="C35" s="32">
        <f>IFERROR(__xludf.DUMMYFUNCTION("""COMPUTED_VALUE"""),763.2)</f>
        <v>763.2</v>
      </c>
      <c r="E35" s="11"/>
      <c r="P35" s="11">
        <f t="shared" si="1"/>
        <v>43009</v>
      </c>
      <c r="Q35" s="9">
        <f t="shared" si="2"/>
        <v>2.882638362</v>
      </c>
    </row>
    <row r="36">
      <c r="A36" s="34"/>
      <c r="B36" s="11">
        <f>IFERROR(__xludf.DUMMYFUNCTION("""COMPUTED_VALUE"""),42917.0)</f>
        <v>42917</v>
      </c>
      <c r="C36" s="32">
        <f>IFERROR(__xludf.DUMMYFUNCTION("""COMPUTED_VALUE"""),747.231)</f>
        <v>747.231</v>
      </c>
      <c r="E36" s="11"/>
      <c r="P36" s="11">
        <f t="shared" si="1"/>
        <v>42917</v>
      </c>
      <c r="Q36" s="9">
        <f t="shared" si="2"/>
        <v>2.873454881</v>
      </c>
    </row>
    <row r="37">
      <c r="A37" s="34"/>
      <c r="B37" s="11">
        <f>IFERROR(__xludf.DUMMYFUNCTION("""COMPUTED_VALUE"""),42826.0)</f>
        <v>42826</v>
      </c>
      <c r="C37" s="32">
        <f>IFERROR(__xludf.DUMMYFUNCTION("""COMPUTED_VALUE"""),747.5)</f>
        <v>747.5</v>
      </c>
      <c r="E37" s="11"/>
      <c r="P37" s="11">
        <f t="shared" si="1"/>
        <v>42826</v>
      </c>
      <c r="Q37" s="9">
        <f t="shared" si="2"/>
        <v>2.873611197</v>
      </c>
    </row>
    <row r="38">
      <c r="A38" s="34"/>
      <c r="B38" s="11">
        <f>IFERROR(__xludf.DUMMYFUNCTION("""COMPUTED_VALUE"""),42736.0)</f>
        <v>42736</v>
      </c>
      <c r="C38" s="32">
        <f>IFERROR(__xludf.DUMMYFUNCTION("""COMPUTED_VALUE"""),735.242)</f>
        <v>735.242</v>
      </c>
      <c r="E38" s="11"/>
      <c r="P38" s="11">
        <f t="shared" si="1"/>
        <v>42736</v>
      </c>
      <c r="Q38" s="9">
        <f t="shared" si="2"/>
        <v>2.866430308</v>
      </c>
    </row>
    <row r="39">
      <c r="A39" s="34"/>
      <c r="B39" s="11">
        <f>IFERROR(__xludf.DUMMYFUNCTION("""COMPUTED_VALUE"""),42644.0)</f>
        <v>42644</v>
      </c>
      <c r="C39" s="32">
        <f>IFERROR(__xludf.DUMMYFUNCTION("""COMPUTED_VALUE"""),734.923)</f>
        <v>734.923</v>
      </c>
      <c r="E39" s="11"/>
      <c r="P39" s="11">
        <f t="shared" si="1"/>
        <v>42644</v>
      </c>
      <c r="Q39" s="9">
        <f t="shared" si="2"/>
        <v>2.866241839</v>
      </c>
    </row>
    <row r="40">
      <c r="A40" s="34"/>
      <c r="B40" s="11">
        <f>IFERROR(__xludf.DUMMYFUNCTION("""COMPUTED_VALUE"""),42552.0)</f>
        <v>42552</v>
      </c>
      <c r="C40" s="32">
        <f>IFERROR(__xludf.DUMMYFUNCTION("""COMPUTED_VALUE"""),733.097)</f>
        <v>733.097</v>
      </c>
      <c r="E40" s="11"/>
      <c r="P40" s="11">
        <f t="shared" si="1"/>
        <v>42552</v>
      </c>
      <c r="Q40" s="9">
        <f t="shared" si="2"/>
        <v>2.865161442</v>
      </c>
    </row>
    <row r="41">
      <c r="A41" s="34"/>
      <c r="B41" s="11">
        <f>IFERROR(__xludf.DUMMYFUNCTION("""COMPUTED_VALUE"""),42461.0)</f>
        <v>42461</v>
      </c>
      <c r="C41" s="32">
        <f>IFERROR(__xludf.DUMMYFUNCTION("""COMPUTED_VALUE"""),723.171)</f>
        <v>723.171</v>
      </c>
      <c r="E41" s="11"/>
      <c r="P41" s="11">
        <f t="shared" si="1"/>
        <v>42461</v>
      </c>
      <c r="Q41" s="9">
        <f t="shared" si="2"/>
        <v>2.859241002</v>
      </c>
    </row>
    <row r="42">
      <c r="A42" s="34"/>
      <c r="B42" s="11">
        <f>IFERROR(__xludf.DUMMYFUNCTION("""COMPUTED_VALUE"""),42370.0)</f>
        <v>42370</v>
      </c>
      <c r="C42" s="32">
        <f>IFERROR(__xludf.DUMMYFUNCTION("""COMPUTED_VALUE"""),726.546)</f>
        <v>726.546</v>
      </c>
      <c r="E42" s="11"/>
      <c r="P42" s="11">
        <f t="shared" si="1"/>
        <v>42370</v>
      </c>
      <c r="Q42" s="9">
        <f t="shared" si="2"/>
        <v>2.861263116</v>
      </c>
    </row>
    <row r="43">
      <c r="A43" s="34"/>
      <c r="B43" s="11">
        <f>IFERROR(__xludf.DUMMYFUNCTION("""COMPUTED_VALUE"""),42278.0)</f>
        <v>42278</v>
      </c>
      <c r="C43" s="32">
        <f>IFERROR(__xludf.DUMMYFUNCTION("""COMPUTED_VALUE"""),731.007)</f>
        <v>731.007</v>
      </c>
      <c r="E43" s="11"/>
      <c r="P43" s="11">
        <f t="shared" si="1"/>
        <v>42278</v>
      </c>
      <c r="Q43" s="9">
        <f t="shared" si="2"/>
        <v>2.863921536</v>
      </c>
    </row>
    <row r="44">
      <c r="A44" s="34"/>
      <c r="B44" s="11">
        <f>IFERROR(__xludf.DUMMYFUNCTION("""COMPUTED_VALUE"""),42186.0)</f>
        <v>42186</v>
      </c>
      <c r="C44" s="32">
        <f>IFERROR(__xludf.DUMMYFUNCTION("""COMPUTED_VALUE"""),726.729)</f>
        <v>726.729</v>
      </c>
      <c r="E44" s="11"/>
      <c r="P44" s="11">
        <f t="shared" si="1"/>
        <v>42186</v>
      </c>
      <c r="Q44" s="9">
        <f t="shared" si="2"/>
        <v>2.861372491</v>
      </c>
    </row>
    <row r="45">
      <c r="A45" s="34"/>
      <c r="B45" s="11">
        <f>IFERROR(__xludf.DUMMYFUNCTION("""COMPUTED_VALUE"""),42095.0)</f>
        <v>42095</v>
      </c>
      <c r="C45" s="32">
        <f>IFERROR(__xludf.DUMMYFUNCTION("""COMPUTED_VALUE"""),733.548)</f>
        <v>733.548</v>
      </c>
      <c r="E45" s="11"/>
      <c r="P45" s="11">
        <f t="shared" si="1"/>
        <v>42095</v>
      </c>
      <c r="Q45" s="9">
        <f t="shared" si="2"/>
        <v>2.865428537</v>
      </c>
    </row>
    <row r="46">
      <c r="A46" s="34"/>
      <c r="B46" s="11">
        <f>IFERROR(__xludf.DUMMYFUNCTION("""COMPUTED_VALUE"""),42005.0)</f>
        <v>42005</v>
      </c>
      <c r="C46" s="32">
        <f>IFERROR(__xludf.DUMMYFUNCTION("""COMPUTED_VALUE"""),730.203)</f>
        <v>730.203</v>
      </c>
      <c r="E46" s="11"/>
      <c r="P46" s="11">
        <f t="shared" si="1"/>
        <v>42005</v>
      </c>
      <c r="Q46" s="9">
        <f t="shared" si="2"/>
        <v>2.863443613</v>
      </c>
    </row>
    <row r="47">
      <c r="A47" s="34"/>
      <c r="B47" s="11">
        <f>IFERROR(__xludf.DUMMYFUNCTION("""COMPUTED_VALUE"""),41913.0)</f>
        <v>41913</v>
      </c>
      <c r="C47" s="32">
        <f>IFERROR(__xludf.DUMMYFUNCTION("""COMPUTED_VALUE"""),733.767)</f>
        <v>733.767</v>
      </c>
      <c r="E47" s="11"/>
      <c r="P47" s="11">
        <f t="shared" si="1"/>
        <v>41913</v>
      </c>
      <c r="Q47" s="9">
        <f t="shared" si="2"/>
        <v>2.865558176</v>
      </c>
    </row>
    <row r="48">
      <c r="A48" s="34"/>
      <c r="B48" s="11">
        <f>IFERROR(__xludf.DUMMYFUNCTION("""COMPUTED_VALUE"""),41821.0)</f>
        <v>41821</v>
      </c>
      <c r="C48" s="32">
        <f>IFERROR(__xludf.DUMMYFUNCTION("""COMPUTED_VALUE"""),755.041)</f>
        <v>755.041</v>
      </c>
      <c r="E48" s="11"/>
      <c r="P48" s="11">
        <f t="shared" si="1"/>
        <v>41821</v>
      </c>
      <c r="Q48" s="9">
        <f t="shared" si="2"/>
        <v>2.877970535</v>
      </c>
    </row>
    <row r="49">
      <c r="A49" s="34"/>
      <c r="B49" s="11">
        <f>IFERROR(__xludf.DUMMYFUNCTION("""COMPUTED_VALUE"""),41730.0)</f>
        <v>41730</v>
      </c>
      <c r="C49" s="32">
        <f>IFERROR(__xludf.DUMMYFUNCTION("""COMPUTED_VALUE"""),742.42)</f>
        <v>742.42</v>
      </c>
      <c r="E49" s="11"/>
      <c r="P49" s="11">
        <f t="shared" si="1"/>
        <v>41730</v>
      </c>
      <c r="Q49" s="9">
        <f t="shared" si="2"/>
        <v>2.870649663</v>
      </c>
    </row>
    <row r="50">
      <c r="A50" s="34"/>
      <c r="B50" s="11">
        <f>IFERROR(__xludf.DUMMYFUNCTION("""COMPUTED_VALUE"""),41640.0)</f>
        <v>41640</v>
      </c>
      <c r="C50" s="32">
        <f>IFERROR(__xludf.DUMMYFUNCTION("""COMPUTED_VALUE"""),744.986)</f>
        <v>744.986</v>
      </c>
      <c r="E50" s="11"/>
      <c r="P50" s="11">
        <f t="shared" si="1"/>
        <v>41640</v>
      </c>
      <c r="Q50" s="9">
        <f t="shared" si="2"/>
        <v>2.872148111</v>
      </c>
    </row>
    <row r="51">
      <c r="A51" s="34"/>
      <c r="B51" s="11">
        <f>IFERROR(__xludf.DUMMYFUNCTION("""COMPUTED_VALUE"""),41548.0)</f>
        <v>41548</v>
      </c>
      <c r="C51" s="32">
        <f>IFERROR(__xludf.DUMMYFUNCTION("""COMPUTED_VALUE"""),754.351)</f>
        <v>754.351</v>
      </c>
      <c r="E51" s="11"/>
      <c r="P51" s="11">
        <f t="shared" si="1"/>
        <v>41548</v>
      </c>
      <c r="Q51" s="9">
        <f t="shared" si="2"/>
        <v>2.87757347</v>
      </c>
    </row>
    <row r="52">
      <c r="A52" s="34"/>
      <c r="B52" s="11">
        <f>IFERROR(__xludf.DUMMYFUNCTION("""COMPUTED_VALUE"""),41456.0)</f>
        <v>41456</v>
      </c>
      <c r="C52" s="32">
        <f>IFERROR(__xludf.DUMMYFUNCTION("""COMPUTED_VALUE"""),757.661)</f>
        <v>757.661</v>
      </c>
      <c r="E52" s="11"/>
      <c r="P52" s="11">
        <f t="shared" si="1"/>
        <v>41456</v>
      </c>
      <c r="Q52" s="9">
        <f t="shared" si="2"/>
        <v>2.879474933</v>
      </c>
    </row>
    <row r="53">
      <c r="A53" s="34"/>
      <c r="B53" s="11">
        <f>IFERROR(__xludf.DUMMYFUNCTION("""COMPUTED_VALUE"""),41365.0)</f>
        <v>41365</v>
      </c>
      <c r="C53" s="32">
        <f>IFERROR(__xludf.DUMMYFUNCTION("""COMPUTED_VALUE"""),770.584)</f>
        <v>770.584</v>
      </c>
      <c r="E53" s="11"/>
      <c r="P53" s="11">
        <f t="shared" si="1"/>
        <v>41365</v>
      </c>
      <c r="Q53" s="9">
        <f t="shared" si="2"/>
        <v>2.886819987</v>
      </c>
    </row>
    <row r="54">
      <c r="A54" s="34"/>
      <c r="B54" s="11">
        <f>IFERROR(__xludf.DUMMYFUNCTION("""COMPUTED_VALUE"""),41275.0)</f>
        <v>41275</v>
      </c>
      <c r="C54" s="32">
        <f>IFERROR(__xludf.DUMMYFUNCTION("""COMPUTED_VALUE"""),774.681)</f>
        <v>774.681</v>
      </c>
      <c r="E54" s="11"/>
      <c r="P54" s="11">
        <f t="shared" si="1"/>
        <v>41275</v>
      </c>
      <c r="Q54" s="9">
        <f t="shared" si="2"/>
        <v>2.889122904</v>
      </c>
    </row>
    <row r="55">
      <c r="A55" s="34"/>
      <c r="B55" s="11">
        <f>IFERROR(__xludf.DUMMYFUNCTION("""COMPUTED_VALUE"""),41183.0)</f>
        <v>41183</v>
      </c>
      <c r="C55" s="32">
        <f>IFERROR(__xludf.DUMMYFUNCTION("""COMPUTED_VALUE"""),796.401)</f>
        <v>796.401</v>
      </c>
      <c r="E55" s="11"/>
      <c r="P55" s="11">
        <f t="shared" si="1"/>
        <v>41183</v>
      </c>
      <c r="Q55" s="9">
        <f t="shared" si="2"/>
        <v>2.901131797</v>
      </c>
    </row>
    <row r="56">
      <c r="A56" s="34"/>
      <c r="B56" s="11">
        <f>IFERROR(__xludf.DUMMYFUNCTION("""COMPUTED_VALUE"""),41091.0)</f>
        <v>41091</v>
      </c>
      <c r="C56" s="32">
        <f>IFERROR(__xludf.DUMMYFUNCTION("""COMPUTED_VALUE"""),820.214)</f>
        <v>820.214</v>
      </c>
      <c r="E56" s="11"/>
      <c r="P56" s="11">
        <f t="shared" si="1"/>
        <v>41091</v>
      </c>
      <c r="Q56" s="9">
        <f t="shared" si="2"/>
        <v>2.913927178</v>
      </c>
    </row>
    <row r="57">
      <c r="A57" s="34"/>
      <c r="B57" s="11">
        <f>IFERROR(__xludf.DUMMYFUNCTION("""COMPUTED_VALUE"""),41000.0)</f>
        <v>41000</v>
      </c>
      <c r="C57" s="32">
        <f>IFERROR(__xludf.DUMMYFUNCTION("""COMPUTED_VALUE"""),816.01)</f>
        <v>816.01</v>
      </c>
      <c r="E57" s="11"/>
      <c r="P57" s="11">
        <f t="shared" si="1"/>
        <v>41000</v>
      </c>
      <c r="Q57" s="9">
        <f t="shared" si="2"/>
        <v>2.911695481</v>
      </c>
    </row>
    <row r="58">
      <c r="A58" s="34"/>
      <c r="B58" s="11">
        <f>IFERROR(__xludf.DUMMYFUNCTION("""COMPUTED_VALUE"""),40909.0)</f>
        <v>40909</v>
      </c>
      <c r="C58" s="32">
        <f>IFERROR(__xludf.DUMMYFUNCTION("""COMPUTED_VALUE"""),824.076)</f>
        <v>824.076</v>
      </c>
      <c r="E58" s="11"/>
      <c r="P58" s="11">
        <f t="shared" si="1"/>
        <v>40909</v>
      </c>
      <c r="Q58" s="9">
        <f t="shared" si="2"/>
        <v>2.915967266</v>
      </c>
    </row>
    <row r="59">
      <c r="A59" s="34"/>
      <c r="B59" s="11">
        <f>IFERROR(__xludf.DUMMYFUNCTION("""COMPUTED_VALUE"""),40817.0)</f>
        <v>40817</v>
      </c>
      <c r="C59" s="32">
        <f>IFERROR(__xludf.DUMMYFUNCTION("""COMPUTED_VALUE"""),826.319)</f>
        <v>826.319</v>
      </c>
      <c r="E59" s="11"/>
      <c r="P59" s="11">
        <f t="shared" si="1"/>
        <v>40817</v>
      </c>
      <c r="Q59" s="9">
        <f t="shared" si="2"/>
        <v>2.917147739</v>
      </c>
    </row>
    <row r="60">
      <c r="A60" s="34"/>
      <c r="B60" s="11">
        <f>IFERROR(__xludf.DUMMYFUNCTION("""COMPUTED_VALUE"""),40725.0)</f>
        <v>40725</v>
      </c>
      <c r="C60" s="32">
        <f>IFERROR(__xludf.DUMMYFUNCTION("""COMPUTED_VALUE"""),834.975)</f>
        <v>834.975</v>
      </c>
      <c r="E60" s="11"/>
      <c r="P60" s="11">
        <f t="shared" si="1"/>
        <v>40725</v>
      </c>
      <c r="Q60" s="9">
        <f t="shared" si="2"/>
        <v>2.921673472</v>
      </c>
    </row>
    <row r="61">
      <c r="A61" s="34"/>
      <c r="B61" s="11">
        <f>IFERROR(__xludf.DUMMYFUNCTION("""COMPUTED_VALUE"""),40634.0)</f>
        <v>40634</v>
      </c>
      <c r="C61" s="32">
        <f>IFERROR(__xludf.DUMMYFUNCTION("""COMPUTED_VALUE"""),843.03)</f>
        <v>843.03</v>
      </c>
      <c r="E61" s="11"/>
      <c r="P61" s="11">
        <f t="shared" si="1"/>
        <v>40634</v>
      </c>
      <c r="Q61" s="9">
        <f t="shared" si="2"/>
        <v>2.92584303</v>
      </c>
    </row>
    <row r="62">
      <c r="A62" s="34"/>
      <c r="B62" s="11">
        <f>IFERROR(__xludf.DUMMYFUNCTION("""COMPUTED_VALUE"""),40544.0)</f>
        <v>40544</v>
      </c>
      <c r="C62" s="32">
        <f>IFERROR(__xludf.DUMMYFUNCTION("""COMPUTED_VALUE"""),831.587)</f>
        <v>831.587</v>
      </c>
      <c r="E62" s="11"/>
      <c r="P62" s="11">
        <f t="shared" si="1"/>
        <v>40544</v>
      </c>
      <c r="Q62" s="9">
        <f t="shared" si="2"/>
        <v>2.919907691</v>
      </c>
    </row>
    <row r="63">
      <c r="A63" s="34"/>
      <c r="B63" s="11">
        <f>IFERROR(__xludf.DUMMYFUNCTION("""COMPUTED_VALUE"""),40452.0)</f>
        <v>40452</v>
      </c>
      <c r="C63" s="32">
        <f>IFERROR(__xludf.DUMMYFUNCTION("""COMPUTED_VALUE"""),837.429)</f>
        <v>837.429</v>
      </c>
      <c r="E63" s="11"/>
      <c r="P63" s="11">
        <f t="shared" si="1"/>
        <v>40452</v>
      </c>
      <c r="Q63" s="9">
        <f t="shared" si="2"/>
        <v>2.922947996</v>
      </c>
    </row>
    <row r="64">
      <c r="A64" s="34"/>
      <c r="B64" s="11">
        <f>IFERROR(__xludf.DUMMYFUNCTION("""COMPUTED_VALUE"""),40360.0)</f>
        <v>40360</v>
      </c>
      <c r="C64" s="32">
        <f>IFERROR(__xludf.DUMMYFUNCTION("""COMPUTED_VALUE"""),828.9)</f>
        <v>828.9</v>
      </c>
      <c r="E64" s="11"/>
      <c r="P64" s="11">
        <f t="shared" si="1"/>
        <v>40360</v>
      </c>
      <c r="Q64" s="9">
        <f t="shared" si="2"/>
        <v>2.91850214</v>
      </c>
    </row>
    <row r="65">
      <c r="A65" s="34"/>
      <c r="B65" s="11">
        <f>IFERROR(__xludf.DUMMYFUNCTION("""COMPUTED_VALUE"""),40269.0)</f>
        <v>40269</v>
      </c>
      <c r="C65" s="32">
        <f>IFERROR(__xludf.DUMMYFUNCTION("""COMPUTED_VALUE"""),828.047)</f>
        <v>828.047</v>
      </c>
      <c r="E65" s="11"/>
      <c r="P65" s="11">
        <f t="shared" si="1"/>
        <v>40269</v>
      </c>
      <c r="Q65" s="9">
        <f t="shared" si="2"/>
        <v>2.918054988</v>
      </c>
    </row>
    <row r="66">
      <c r="A66" s="34"/>
      <c r="B66" s="11">
        <f>IFERROR(__xludf.DUMMYFUNCTION("""COMPUTED_VALUE"""),40179.0)</f>
        <v>40179</v>
      </c>
      <c r="C66" s="32">
        <f>IFERROR(__xludf.DUMMYFUNCTION("""COMPUTED_VALUE"""),817.507)</f>
        <v>817.507</v>
      </c>
      <c r="E66" s="11"/>
      <c r="P66" s="11">
        <f t="shared" si="1"/>
        <v>40179</v>
      </c>
      <c r="Q66" s="9">
        <f t="shared" si="2"/>
        <v>2.91249148</v>
      </c>
    </row>
    <row r="67">
      <c r="A67" s="34"/>
      <c r="B67" s="11">
        <f>IFERROR(__xludf.DUMMYFUNCTION("""COMPUTED_VALUE"""),40087.0)</f>
        <v>40087</v>
      </c>
      <c r="C67" s="32">
        <f>IFERROR(__xludf.DUMMYFUNCTION("""COMPUTED_VALUE"""),809.117)</f>
        <v>809.117</v>
      </c>
      <c r="E67" s="11"/>
      <c r="P67" s="11">
        <f t="shared" si="1"/>
        <v>40087</v>
      </c>
      <c r="Q67" s="9">
        <f t="shared" si="2"/>
        <v>2.908011326</v>
      </c>
    </row>
    <row r="68">
      <c r="A68" s="34"/>
      <c r="B68" s="11">
        <f>IFERROR(__xludf.DUMMYFUNCTION("""COMPUTED_VALUE"""),39995.0)</f>
        <v>39995</v>
      </c>
      <c r="C68" s="32">
        <f>IFERROR(__xludf.DUMMYFUNCTION("""COMPUTED_VALUE"""),792.801)</f>
        <v>792.801</v>
      </c>
      <c r="E68" s="11"/>
      <c r="P68" s="11">
        <f t="shared" si="1"/>
        <v>39995</v>
      </c>
      <c r="Q68" s="9">
        <f t="shared" si="2"/>
        <v>2.899164189</v>
      </c>
    </row>
    <row r="69">
      <c r="A69" s="34"/>
      <c r="B69" s="11">
        <f>IFERROR(__xludf.DUMMYFUNCTION("""COMPUTED_VALUE"""),39904.0)</f>
        <v>39904</v>
      </c>
      <c r="C69" s="32">
        <f>IFERROR(__xludf.DUMMYFUNCTION("""COMPUTED_VALUE"""),782.914)</f>
        <v>782.914</v>
      </c>
      <c r="E69" s="11"/>
      <c r="P69" s="11">
        <f t="shared" si="1"/>
        <v>39904</v>
      </c>
      <c r="Q69" s="9">
        <f t="shared" si="2"/>
        <v>2.893714059</v>
      </c>
    </row>
    <row r="70">
      <c r="A70" s="34"/>
      <c r="B70" s="11">
        <f>IFERROR(__xludf.DUMMYFUNCTION("""COMPUTED_VALUE"""),39814.0)</f>
        <v>39814</v>
      </c>
      <c r="C70" s="32">
        <f>IFERROR(__xludf.DUMMYFUNCTION("""COMPUTED_VALUE"""),765.428)</f>
        <v>765.428</v>
      </c>
      <c r="E70" s="11"/>
      <c r="P70" s="11">
        <f t="shared" si="1"/>
        <v>39814</v>
      </c>
      <c r="Q70" s="9">
        <f t="shared" si="2"/>
        <v>2.883904345</v>
      </c>
    </row>
    <row r="71">
      <c r="A71" s="34"/>
      <c r="B71" s="11">
        <f>IFERROR(__xludf.DUMMYFUNCTION("""COMPUTED_VALUE"""),39722.0)</f>
        <v>39722</v>
      </c>
      <c r="C71" s="32">
        <f>IFERROR(__xludf.DUMMYFUNCTION("""COMPUTED_VALUE"""),771.619)</f>
        <v>771.619</v>
      </c>
      <c r="E71" s="11"/>
      <c r="P71" s="11">
        <f t="shared" si="1"/>
        <v>39722</v>
      </c>
      <c r="Q71" s="9">
        <f t="shared" si="2"/>
        <v>2.887402913</v>
      </c>
    </row>
    <row r="72">
      <c r="A72" s="34"/>
      <c r="B72" s="11">
        <f>IFERROR(__xludf.DUMMYFUNCTION("""COMPUTED_VALUE"""),39630.0)</f>
        <v>39630</v>
      </c>
      <c r="C72" s="32">
        <f>IFERROR(__xludf.DUMMYFUNCTION("""COMPUTED_VALUE"""),766.263)</f>
        <v>766.263</v>
      </c>
      <c r="E72" s="11"/>
      <c r="P72" s="11">
        <f t="shared" si="1"/>
        <v>39630</v>
      </c>
      <c r="Q72" s="9">
        <f t="shared" si="2"/>
        <v>2.884377856</v>
      </c>
    </row>
    <row r="73">
      <c r="A73" s="34"/>
      <c r="B73" s="11">
        <f>IFERROR(__xludf.DUMMYFUNCTION("""COMPUTED_VALUE"""),39539.0)</f>
        <v>39539</v>
      </c>
      <c r="C73" s="32">
        <f>IFERROR(__xludf.DUMMYFUNCTION("""COMPUTED_VALUE"""),742.246)</f>
        <v>742.246</v>
      </c>
      <c r="E73" s="11"/>
      <c r="P73" s="11">
        <f t="shared" si="1"/>
        <v>39539</v>
      </c>
      <c r="Q73" s="9">
        <f t="shared" si="2"/>
        <v>2.870547866</v>
      </c>
    </row>
    <row r="74">
      <c r="A74" s="34"/>
      <c r="B74" s="11">
        <f>IFERROR(__xludf.DUMMYFUNCTION("""COMPUTED_VALUE"""),39448.0)</f>
        <v>39448</v>
      </c>
      <c r="C74" s="32">
        <f>IFERROR(__xludf.DUMMYFUNCTION("""COMPUTED_VALUE"""),721.214)</f>
        <v>721.214</v>
      </c>
      <c r="E74" s="11"/>
      <c r="P74" s="11">
        <f t="shared" si="1"/>
        <v>39448</v>
      </c>
      <c r="Q74" s="9">
        <f t="shared" si="2"/>
        <v>2.858064149</v>
      </c>
    </row>
    <row r="75">
      <c r="A75" s="34"/>
      <c r="B75" s="11">
        <f>IFERROR(__xludf.DUMMYFUNCTION("""COMPUTED_VALUE"""),39356.0)</f>
        <v>39356</v>
      </c>
      <c r="C75" s="32">
        <f>IFERROR(__xludf.DUMMYFUNCTION("""COMPUTED_VALUE"""),703.947)</f>
        <v>703.947</v>
      </c>
      <c r="E75" s="11"/>
      <c r="P75" s="11">
        <f t="shared" si="1"/>
        <v>39356</v>
      </c>
      <c r="Q75" s="9">
        <f t="shared" si="2"/>
        <v>2.847539962</v>
      </c>
    </row>
    <row r="76">
      <c r="A76" s="34"/>
      <c r="B76" s="11">
        <f>IFERROR(__xludf.DUMMYFUNCTION("""COMPUTED_VALUE"""),39264.0)</f>
        <v>39264</v>
      </c>
      <c r="C76" s="32">
        <f>IFERROR(__xludf.DUMMYFUNCTION("""COMPUTED_VALUE"""),684.421)</f>
        <v>684.421</v>
      </c>
      <c r="E76" s="11"/>
      <c r="P76" s="11">
        <f t="shared" si="1"/>
        <v>39264</v>
      </c>
      <c r="Q76" s="9">
        <f t="shared" si="2"/>
        <v>2.835323326</v>
      </c>
    </row>
    <row r="77">
      <c r="A77" s="34"/>
      <c r="B77" s="11">
        <f>IFERROR(__xludf.DUMMYFUNCTION("""COMPUTED_VALUE"""),39173.0)</f>
        <v>39173</v>
      </c>
      <c r="C77" s="32">
        <f>IFERROR(__xludf.DUMMYFUNCTION("""COMPUTED_VALUE"""),674.082)</f>
        <v>674.082</v>
      </c>
      <c r="E77" s="11"/>
      <c r="P77" s="11">
        <f t="shared" si="1"/>
        <v>39173</v>
      </c>
      <c r="Q77" s="9">
        <f t="shared" si="2"/>
        <v>2.82871273</v>
      </c>
    </row>
    <row r="78">
      <c r="A78" s="34"/>
      <c r="B78" s="11">
        <f>IFERROR(__xludf.DUMMYFUNCTION("""COMPUTED_VALUE"""),39083.0)</f>
        <v>39083</v>
      </c>
      <c r="C78" s="32">
        <f>IFERROR(__xludf.DUMMYFUNCTION("""COMPUTED_VALUE"""),654.605)</f>
        <v>654.605</v>
      </c>
      <c r="E78" s="11"/>
      <c r="P78" s="11">
        <f t="shared" si="1"/>
        <v>39083</v>
      </c>
      <c r="Q78" s="9">
        <f t="shared" si="2"/>
        <v>2.815979318</v>
      </c>
    </row>
    <row r="79">
      <c r="A79" s="34"/>
      <c r="B79" s="11">
        <f>IFERROR(__xludf.DUMMYFUNCTION("""COMPUTED_VALUE"""),38991.0)</f>
        <v>38991</v>
      </c>
      <c r="C79" s="32">
        <f>IFERROR(__xludf.DUMMYFUNCTION("""COMPUTED_VALUE"""),655.208)</f>
        <v>655.208</v>
      </c>
      <c r="E79" s="11"/>
      <c r="P79" s="11">
        <f t="shared" si="1"/>
        <v>38991</v>
      </c>
      <c r="Q79" s="9">
        <f t="shared" si="2"/>
        <v>2.816379191</v>
      </c>
    </row>
    <row r="80">
      <c r="A80" s="34"/>
      <c r="B80" s="11">
        <f>IFERROR(__xludf.DUMMYFUNCTION("""COMPUTED_VALUE"""),38899.0)</f>
        <v>38899</v>
      </c>
      <c r="C80" s="32">
        <f>IFERROR(__xludf.DUMMYFUNCTION("""COMPUTED_VALUE"""),632.375)</f>
        <v>632.375</v>
      </c>
      <c r="E80" s="11"/>
      <c r="P80" s="11">
        <f t="shared" si="1"/>
        <v>38899</v>
      </c>
      <c r="Q80" s="9">
        <f t="shared" si="2"/>
        <v>2.800974692</v>
      </c>
    </row>
    <row r="81">
      <c r="A81" s="34"/>
      <c r="B81" s="11">
        <f>IFERROR(__xludf.DUMMYFUNCTION("""COMPUTED_VALUE"""),38808.0)</f>
        <v>38808</v>
      </c>
      <c r="C81" s="32">
        <f>IFERROR(__xludf.DUMMYFUNCTION("""COMPUTED_VALUE"""),639.956)</f>
        <v>639.956</v>
      </c>
      <c r="E81" s="11"/>
      <c r="P81" s="11">
        <f t="shared" si="1"/>
        <v>38808</v>
      </c>
      <c r="Q81" s="9">
        <f t="shared" si="2"/>
        <v>2.806150115</v>
      </c>
    </row>
    <row r="82">
      <c r="A82" s="34"/>
      <c r="B82" s="11">
        <f>IFERROR(__xludf.DUMMYFUNCTION("""COMPUTED_VALUE"""),38718.0)</f>
        <v>38718</v>
      </c>
      <c r="C82" s="32">
        <f>IFERROR(__xludf.DUMMYFUNCTION("""COMPUTED_VALUE"""),635.719)</f>
        <v>635.719</v>
      </c>
      <c r="E82" s="11"/>
      <c r="P82" s="11">
        <f t="shared" si="1"/>
        <v>38718</v>
      </c>
      <c r="Q82" s="9">
        <f t="shared" si="2"/>
        <v>2.803265192</v>
      </c>
    </row>
    <row r="83">
      <c r="A83" s="34"/>
      <c r="B83" s="11">
        <f>IFERROR(__xludf.DUMMYFUNCTION("""COMPUTED_VALUE"""),38626.0)</f>
        <v>38626</v>
      </c>
      <c r="C83" s="32">
        <f>IFERROR(__xludf.DUMMYFUNCTION("""COMPUTED_VALUE"""),616.96)</f>
        <v>616.96</v>
      </c>
      <c r="E83" s="11"/>
      <c r="P83" s="11">
        <f t="shared" si="1"/>
        <v>38626</v>
      </c>
      <c r="Q83" s="9">
        <f t="shared" si="2"/>
        <v>2.790257008</v>
      </c>
    </row>
    <row r="84">
      <c r="A84" s="34"/>
      <c r="B84" s="11">
        <f>IFERROR(__xludf.DUMMYFUNCTION("""COMPUTED_VALUE"""),38534.0)</f>
        <v>38534</v>
      </c>
      <c r="C84" s="32">
        <f>IFERROR(__xludf.DUMMYFUNCTION("""COMPUTED_VALUE"""),616.39)</f>
        <v>616.39</v>
      </c>
      <c r="E84" s="11"/>
      <c r="P84" s="11">
        <f t="shared" si="1"/>
        <v>38534</v>
      </c>
      <c r="Q84" s="9">
        <f t="shared" si="2"/>
        <v>2.789855584</v>
      </c>
    </row>
    <row r="85">
      <c r="A85" s="34"/>
      <c r="B85" s="11">
        <f>IFERROR(__xludf.DUMMYFUNCTION("""COMPUTED_VALUE"""),38443.0)</f>
        <v>38443</v>
      </c>
      <c r="C85" s="32">
        <f>IFERROR(__xludf.DUMMYFUNCTION("""COMPUTED_VALUE"""),605.982)</f>
        <v>605.982</v>
      </c>
      <c r="E85" s="11"/>
      <c r="P85" s="11">
        <f t="shared" si="1"/>
        <v>38443</v>
      </c>
      <c r="Q85" s="9">
        <f t="shared" si="2"/>
        <v>2.782459724</v>
      </c>
    </row>
    <row r="86">
      <c r="A86" s="34"/>
      <c r="B86" s="11">
        <f>IFERROR(__xludf.DUMMYFUNCTION("""COMPUTED_VALUE"""),38353.0)</f>
        <v>38353</v>
      </c>
      <c r="C86" s="32">
        <f>IFERROR(__xludf.DUMMYFUNCTION("""COMPUTED_VALUE"""),598.417)</f>
        <v>598.417</v>
      </c>
      <c r="E86" s="11"/>
      <c r="P86" s="11">
        <f t="shared" si="1"/>
        <v>38353</v>
      </c>
      <c r="Q86" s="9">
        <f t="shared" si="2"/>
        <v>2.777003923</v>
      </c>
    </row>
    <row r="87">
      <c r="A87" s="34"/>
      <c r="B87" s="11">
        <f>IFERROR(__xludf.DUMMYFUNCTION("""COMPUTED_VALUE"""),38261.0)</f>
        <v>38261</v>
      </c>
      <c r="C87" s="32">
        <f>IFERROR(__xludf.DUMMYFUNCTION("""COMPUTED_VALUE"""),579.825)</f>
        <v>579.825</v>
      </c>
      <c r="E87" s="11"/>
      <c r="P87" s="11">
        <f t="shared" si="1"/>
        <v>38261</v>
      </c>
      <c r="Q87" s="9">
        <f t="shared" si="2"/>
        <v>2.763296937</v>
      </c>
    </row>
    <row r="88">
      <c r="A88" s="34"/>
      <c r="B88" s="11">
        <f>IFERROR(__xludf.DUMMYFUNCTION("""COMPUTED_VALUE"""),38169.0)</f>
        <v>38169</v>
      </c>
      <c r="C88" s="32">
        <f>IFERROR(__xludf.DUMMYFUNCTION("""COMPUTED_VALUE"""),580.699)</f>
        <v>580.699</v>
      </c>
      <c r="E88" s="11"/>
      <c r="P88" s="11">
        <f t="shared" si="1"/>
        <v>38169</v>
      </c>
      <c r="Q88" s="9">
        <f t="shared" si="2"/>
        <v>2.763951078</v>
      </c>
    </row>
    <row r="89">
      <c r="A89" s="34"/>
      <c r="B89" s="11">
        <f>IFERROR(__xludf.DUMMYFUNCTION("""COMPUTED_VALUE"""),38078.0)</f>
        <v>38078</v>
      </c>
      <c r="C89" s="32">
        <f>IFERROR(__xludf.DUMMYFUNCTION("""COMPUTED_VALUE"""),562.839)</f>
        <v>562.839</v>
      </c>
      <c r="E89" s="11"/>
      <c r="P89" s="11">
        <f t="shared" si="1"/>
        <v>38078</v>
      </c>
      <c r="Q89" s="9">
        <f t="shared" si="2"/>
        <v>2.750384183</v>
      </c>
    </row>
    <row r="90">
      <c r="A90" s="34"/>
      <c r="B90" s="11">
        <f>IFERROR(__xludf.DUMMYFUNCTION("""COMPUTED_VALUE"""),37987.0)</f>
        <v>37987</v>
      </c>
      <c r="C90" s="32">
        <f>IFERROR(__xludf.DUMMYFUNCTION("""COMPUTED_VALUE"""),556.149)</f>
        <v>556.149</v>
      </c>
      <c r="E90" s="11"/>
      <c r="P90" s="11">
        <f t="shared" si="1"/>
        <v>37987</v>
      </c>
      <c r="Q90" s="9">
        <f t="shared" si="2"/>
        <v>2.745191161</v>
      </c>
    </row>
    <row r="91">
      <c r="A91" s="34"/>
      <c r="B91" s="11">
        <f>IFERROR(__xludf.DUMMYFUNCTION("""COMPUTED_VALUE"""),37895.0)</f>
        <v>37895</v>
      </c>
      <c r="C91" s="32">
        <f>IFERROR(__xludf.DUMMYFUNCTION("""COMPUTED_VALUE"""),543.967)</f>
        <v>543.967</v>
      </c>
      <c r="E91" s="11"/>
      <c r="P91" s="11">
        <f t="shared" si="1"/>
        <v>37895</v>
      </c>
      <c r="Q91" s="9">
        <f t="shared" si="2"/>
        <v>2.735572554</v>
      </c>
    </row>
    <row r="92">
      <c r="A92" s="34"/>
      <c r="B92" s="11">
        <f>IFERROR(__xludf.DUMMYFUNCTION("""COMPUTED_VALUE"""),37803.0)</f>
        <v>37803</v>
      </c>
      <c r="C92" s="32">
        <f>IFERROR(__xludf.DUMMYFUNCTION("""COMPUTED_VALUE"""),524.011)</f>
        <v>524.011</v>
      </c>
      <c r="E92" s="11"/>
      <c r="P92" s="11">
        <f t="shared" si="1"/>
        <v>37803</v>
      </c>
      <c r="Q92" s="9">
        <f t="shared" si="2"/>
        <v>2.719340404</v>
      </c>
    </row>
    <row r="93">
      <c r="A93" s="34"/>
      <c r="B93" s="11">
        <f>IFERROR(__xludf.DUMMYFUNCTION("""COMPUTED_VALUE"""),37712.0)</f>
        <v>37712</v>
      </c>
      <c r="C93" s="32">
        <f>IFERROR(__xludf.DUMMYFUNCTION("""COMPUTED_VALUE"""),521.93)</f>
        <v>521.93</v>
      </c>
      <c r="E93" s="11"/>
      <c r="P93" s="11">
        <f t="shared" si="1"/>
        <v>37712</v>
      </c>
      <c r="Q93" s="9">
        <f t="shared" si="2"/>
        <v>2.71761226</v>
      </c>
    </row>
    <row r="94">
      <c r="A94" s="34"/>
      <c r="B94" s="11">
        <f>IFERROR(__xludf.DUMMYFUNCTION("""COMPUTED_VALUE"""),37622.0)</f>
        <v>37622</v>
      </c>
      <c r="C94" s="32">
        <f>IFERROR(__xludf.DUMMYFUNCTION("""COMPUTED_VALUE"""),494.975)</f>
        <v>494.975</v>
      </c>
      <c r="E94" s="11"/>
      <c r="P94" s="11">
        <f t="shared" si="1"/>
        <v>37622</v>
      </c>
      <c r="Q94" s="9">
        <f t="shared" si="2"/>
        <v>2.694583264</v>
      </c>
    </row>
    <row r="95">
      <c r="A95" s="34"/>
      <c r="B95" s="11">
        <f>IFERROR(__xludf.DUMMYFUNCTION("""COMPUTED_VALUE"""),37530.0)</f>
        <v>37530</v>
      </c>
      <c r="C95" s="32">
        <f>IFERROR(__xludf.DUMMYFUNCTION("""COMPUTED_VALUE"""),482.157)</f>
        <v>482.157</v>
      </c>
      <c r="E95" s="11"/>
      <c r="P95" s="11">
        <f t="shared" si="1"/>
        <v>37530</v>
      </c>
      <c r="Q95" s="9">
        <f t="shared" si="2"/>
        <v>2.683188476</v>
      </c>
    </row>
    <row r="96">
      <c r="A96" s="34"/>
      <c r="B96" s="11">
        <f>IFERROR(__xludf.DUMMYFUNCTION("""COMPUTED_VALUE"""),37438.0)</f>
        <v>37438</v>
      </c>
      <c r="C96" s="32">
        <f>IFERROR(__xludf.DUMMYFUNCTION("""COMPUTED_VALUE"""),460.19)</f>
        <v>460.19</v>
      </c>
      <c r="E96" s="11"/>
      <c r="P96" s="11">
        <f t="shared" si="1"/>
        <v>37438</v>
      </c>
      <c r="Q96" s="9">
        <f t="shared" si="2"/>
        <v>2.662937177</v>
      </c>
    </row>
    <row r="97">
      <c r="A97" s="34"/>
      <c r="B97" s="11">
        <f>IFERROR(__xludf.DUMMYFUNCTION("""COMPUTED_VALUE"""),37347.0)</f>
        <v>37347</v>
      </c>
      <c r="C97" s="32">
        <f>IFERROR(__xludf.DUMMYFUNCTION("""COMPUTED_VALUE"""),452.478)</f>
        <v>452.478</v>
      </c>
      <c r="E97" s="11"/>
      <c r="P97" s="11">
        <f t="shared" si="1"/>
        <v>37347</v>
      </c>
      <c r="Q97" s="9">
        <f t="shared" si="2"/>
        <v>2.655597468</v>
      </c>
    </row>
    <row r="98">
      <c r="A98" s="34"/>
      <c r="B98" s="11">
        <f>IFERROR(__xludf.DUMMYFUNCTION("""COMPUTED_VALUE"""),37257.0)</f>
        <v>37257</v>
      </c>
      <c r="C98" s="32">
        <f>IFERROR(__xludf.DUMMYFUNCTION("""COMPUTED_VALUE"""),440.905)</f>
        <v>440.905</v>
      </c>
      <c r="E98" s="11"/>
      <c r="P98" s="11">
        <f t="shared" si="1"/>
        <v>37257</v>
      </c>
      <c r="Q98" s="9">
        <f t="shared" si="2"/>
        <v>2.644345024</v>
      </c>
    </row>
    <row r="99">
      <c r="A99" s="34"/>
      <c r="B99" s="11">
        <f>IFERROR(__xludf.DUMMYFUNCTION("""COMPUTED_VALUE"""),37165.0)</f>
        <v>37165</v>
      </c>
      <c r="C99" s="32">
        <f>IFERROR(__xludf.DUMMYFUNCTION("""COMPUTED_VALUE"""),422.75)</f>
        <v>422.75</v>
      </c>
      <c r="E99" s="11"/>
      <c r="P99" s="11">
        <f t="shared" si="1"/>
        <v>37165</v>
      </c>
      <c r="Q99" s="9">
        <f t="shared" si="2"/>
        <v>2.626083616</v>
      </c>
    </row>
    <row r="100">
      <c r="A100" s="34"/>
      <c r="B100" s="11">
        <f>IFERROR(__xludf.DUMMYFUNCTION("""COMPUTED_VALUE"""),37073.0)</f>
        <v>37073</v>
      </c>
      <c r="C100" s="32">
        <f>IFERROR(__xludf.DUMMYFUNCTION("""COMPUTED_VALUE"""),415.419)</f>
        <v>415.419</v>
      </c>
      <c r="E100" s="11"/>
      <c r="P100" s="11">
        <f t="shared" si="1"/>
        <v>37073</v>
      </c>
      <c r="Q100" s="9">
        <f t="shared" si="2"/>
        <v>2.618486356</v>
      </c>
    </row>
    <row r="101">
      <c r="A101" s="34"/>
      <c r="B101" s="11">
        <f>IFERROR(__xludf.DUMMYFUNCTION("""COMPUTED_VALUE"""),36982.0)</f>
        <v>36982</v>
      </c>
      <c r="C101" s="32">
        <f>IFERROR(__xludf.DUMMYFUNCTION("""COMPUTED_VALUE"""),410.022)</f>
        <v>410.022</v>
      </c>
      <c r="E101" s="11"/>
      <c r="P101" s="11">
        <f t="shared" si="1"/>
        <v>36982</v>
      </c>
      <c r="Q101" s="9">
        <f t="shared" si="2"/>
        <v>2.61280716</v>
      </c>
    </row>
    <row r="102">
      <c r="A102" s="34"/>
      <c r="B102" s="11">
        <f>IFERROR(__xludf.DUMMYFUNCTION("""COMPUTED_VALUE"""),36892.0)</f>
        <v>36892</v>
      </c>
      <c r="C102" s="32">
        <f>IFERROR(__xludf.DUMMYFUNCTION("""COMPUTED_VALUE"""),404.456)</f>
        <v>404.456</v>
      </c>
      <c r="E102" s="11"/>
      <c r="P102" s="11">
        <f t="shared" si="1"/>
        <v>36892</v>
      </c>
      <c r="Q102" s="9">
        <f t="shared" si="2"/>
        <v>2.606871282</v>
      </c>
    </row>
    <row r="103">
      <c r="A103" s="34"/>
      <c r="B103" s="11">
        <f>IFERROR(__xludf.DUMMYFUNCTION("""COMPUTED_VALUE"""),36800.0)</f>
        <v>36800</v>
      </c>
      <c r="C103" s="32">
        <f>IFERROR(__xludf.DUMMYFUNCTION("""COMPUTED_VALUE"""),396.642)</f>
        <v>396.642</v>
      </c>
      <c r="E103" s="11"/>
      <c r="P103" s="11">
        <f t="shared" si="1"/>
        <v>36800</v>
      </c>
      <c r="Q103" s="9">
        <f t="shared" si="2"/>
        <v>2.598398699</v>
      </c>
    </row>
    <row r="104">
      <c r="A104" s="34"/>
      <c r="B104" s="11">
        <f>IFERROR(__xludf.DUMMYFUNCTION("""COMPUTED_VALUE"""),36708.0)</f>
        <v>36708</v>
      </c>
      <c r="C104" s="32">
        <f>IFERROR(__xludf.DUMMYFUNCTION("""COMPUTED_VALUE"""),391.017)</f>
        <v>391.017</v>
      </c>
      <c r="E104" s="11"/>
      <c r="P104" s="11">
        <f t="shared" si="1"/>
        <v>36708</v>
      </c>
      <c r="Q104" s="9">
        <f t="shared" si="2"/>
        <v>2.592195639</v>
      </c>
    </row>
    <row r="105">
      <c r="A105" s="34"/>
      <c r="B105" s="11">
        <f>IFERROR(__xludf.DUMMYFUNCTION("""COMPUTED_VALUE"""),36617.0)</f>
        <v>36617</v>
      </c>
      <c r="C105" s="32">
        <f>IFERROR(__xludf.DUMMYFUNCTION("""COMPUTED_VALUE"""),399.592)</f>
        <v>399.592</v>
      </c>
      <c r="E105" s="11"/>
      <c r="P105" s="11">
        <f t="shared" si="1"/>
        <v>36617</v>
      </c>
      <c r="Q105" s="9">
        <f t="shared" si="2"/>
        <v>2.601616785</v>
      </c>
    </row>
    <row r="106">
      <c r="A106" s="34"/>
      <c r="B106" s="11">
        <f>IFERROR(__xludf.DUMMYFUNCTION("""COMPUTED_VALUE"""),36526.0)</f>
        <v>36526</v>
      </c>
      <c r="C106" s="32">
        <f>IFERROR(__xludf.DUMMYFUNCTION("""COMPUTED_VALUE"""),383.028)</f>
        <v>383.028</v>
      </c>
      <c r="E106" s="11"/>
      <c r="P106" s="11">
        <f t="shared" si="1"/>
        <v>36526</v>
      </c>
      <c r="Q106" s="9">
        <f t="shared" si="2"/>
        <v>2.583230523</v>
      </c>
    </row>
    <row r="107">
      <c r="A107" s="34"/>
      <c r="B107" s="11">
        <f>IFERROR(__xludf.DUMMYFUNCTION("""COMPUTED_VALUE"""),36434.0)</f>
        <v>36434</v>
      </c>
      <c r="C107" s="32">
        <f>IFERROR(__xludf.DUMMYFUNCTION("""COMPUTED_VALUE"""),399.328)</f>
        <v>399.328</v>
      </c>
      <c r="E107" s="11"/>
      <c r="P107" s="11">
        <f t="shared" si="1"/>
        <v>36434</v>
      </c>
      <c r="Q107" s="9">
        <f t="shared" si="2"/>
        <v>2.601329763</v>
      </c>
    </row>
    <row r="108">
      <c r="A108" s="34"/>
      <c r="B108" s="11">
        <f>IFERROR(__xludf.DUMMYFUNCTION("""COMPUTED_VALUE"""),36342.0)</f>
        <v>36342</v>
      </c>
      <c r="C108" s="32">
        <f>IFERROR(__xludf.DUMMYFUNCTION("""COMPUTED_VALUE"""),386.565)</f>
        <v>386.565</v>
      </c>
      <c r="E108" s="11"/>
      <c r="P108" s="11">
        <f t="shared" si="1"/>
        <v>36342</v>
      </c>
      <c r="Q108" s="9">
        <f t="shared" si="2"/>
        <v>2.58722253</v>
      </c>
    </row>
    <row r="109">
      <c r="A109" s="34"/>
      <c r="B109" s="11">
        <f>IFERROR(__xludf.DUMMYFUNCTION("""COMPUTED_VALUE"""),36251.0)</f>
        <v>36251</v>
      </c>
      <c r="C109" s="32">
        <f>IFERROR(__xludf.DUMMYFUNCTION("""COMPUTED_VALUE"""),374.897)</f>
        <v>374.897</v>
      </c>
      <c r="E109" s="11"/>
      <c r="P109" s="11">
        <f t="shared" si="1"/>
        <v>36251</v>
      </c>
      <c r="Q109" s="9">
        <f t="shared" si="2"/>
        <v>2.573911965</v>
      </c>
    </row>
    <row r="110">
      <c r="A110" s="34"/>
      <c r="B110" s="11">
        <f>IFERROR(__xludf.DUMMYFUNCTION("""COMPUTED_VALUE"""),36161.0)</f>
        <v>36161</v>
      </c>
      <c r="C110" s="32">
        <f>IFERROR(__xludf.DUMMYFUNCTION("""COMPUTED_VALUE"""),372.226)</f>
        <v>372.226</v>
      </c>
      <c r="E110" s="11"/>
      <c r="P110" s="11">
        <f t="shared" si="1"/>
        <v>36161</v>
      </c>
      <c r="Q110" s="9">
        <f t="shared" si="2"/>
        <v>2.570806705</v>
      </c>
    </row>
    <row r="111">
      <c r="A111" s="34"/>
      <c r="B111" s="11">
        <f>IFERROR(__xludf.DUMMYFUNCTION("""COMPUTED_VALUE"""),36069.0)</f>
        <v>36069</v>
      </c>
      <c r="C111" s="32">
        <f>IFERROR(__xludf.DUMMYFUNCTION("""COMPUTED_VALUE"""),372.43)</f>
        <v>372.43</v>
      </c>
      <c r="E111" s="11"/>
      <c r="P111" s="11">
        <f t="shared" si="1"/>
        <v>36069</v>
      </c>
      <c r="Q111" s="9">
        <f t="shared" si="2"/>
        <v>2.571044657</v>
      </c>
    </row>
    <row r="112">
      <c r="A112" s="34"/>
      <c r="B112" s="11">
        <f>IFERROR(__xludf.DUMMYFUNCTION("""COMPUTED_VALUE"""),35977.0)</f>
        <v>35977</v>
      </c>
      <c r="C112" s="32">
        <f>IFERROR(__xludf.DUMMYFUNCTION("""COMPUTED_VALUE"""),376.634)</f>
        <v>376.634</v>
      </c>
      <c r="E112" s="11"/>
      <c r="P112" s="11">
        <f t="shared" si="1"/>
        <v>35977</v>
      </c>
      <c r="Q112" s="9">
        <f t="shared" si="2"/>
        <v>2.575919523</v>
      </c>
    </row>
    <row r="113">
      <c r="A113" s="34"/>
      <c r="B113" s="11">
        <f>IFERROR(__xludf.DUMMYFUNCTION("""COMPUTED_VALUE"""),35886.0)</f>
        <v>35886</v>
      </c>
      <c r="C113" s="32">
        <f>IFERROR(__xludf.DUMMYFUNCTION("""COMPUTED_VALUE"""),369.316)</f>
        <v>369.316</v>
      </c>
      <c r="E113" s="11"/>
      <c r="P113" s="11">
        <f t="shared" si="1"/>
        <v>35886</v>
      </c>
      <c r="Q113" s="9">
        <f t="shared" si="2"/>
        <v>2.567398123</v>
      </c>
    </row>
    <row r="114">
      <c r="A114" s="34"/>
      <c r="B114" s="11">
        <f>IFERROR(__xludf.DUMMYFUNCTION("""COMPUTED_VALUE"""),35796.0)</f>
        <v>35796</v>
      </c>
      <c r="C114" s="32">
        <f>IFERROR(__xludf.DUMMYFUNCTION("""COMPUTED_VALUE"""),356.631)</f>
        <v>356.631</v>
      </c>
      <c r="E114" s="11"/>
      <c r="P114" s="11">
        <f t="shared" si="1"/>
        <v>35796</v>
      </c>
      <c r="Q114" s="9">
        <f t="shared" si="2"/>
        <v>2.552219091</v>
      </c>
    </row>
    <row r="115">
      <c r="A115" s="34"/>
      <c r="B115" s="11">
        <f>IFERROR(__xludf.DUMMYFUNCTION("""COMPUTED_VALUE"""),35704.0)</f>
        <v>35704</v>
      </c>
      <c r="C115" s="32">
        <f>IFERROR(__xludf.DUMMYFUNCTION("""COMPUTED_VALUE"""),377.03)</f>
        <v>377.03</v>
      </c>
      <c r="E115" s="11"/>
      <c r="P115" s="11">
        <f t="shared" si="1"/>
        <v>35704</v>
      </c>
      <c r="Q115" s="9">
        <f t="shared" si="2"/>
        <v>2.576375908</v>
      </c>
    </row>
    <row r="116">
      <c r="A116" s="34"/>
      <c r="B116" s="11">
        <f>IFERROR(__xludf.DUMMYFUNCTION("""COMPUTED_VALUE"""),35612.0)</f>
        <v>35612</v>
      </c>
      <c r="C116" s="32">
        <f>IFERROR(__xludf.DUMMYFUNCTION("""COMPUTED_VALUE"""),372.335)</f>
        <v>372.335</v>
      </c>
      <c r="E116" s="11"/>
      <c r="P116" s="11">
        <f t="shared" si="1"/>
        <v>35612</v>
      </c>
      <c r="Q116" s="9">
        <f t="shared" si="2"/>
        <v>2.570933862</v>
      </c>
    </row>
    <row r="117">
      <c r="A117" s="34"/>
      <c r="B117" s="11">
        <f>IFERROR(__xludf.DUMMYFUNCTION("""COMPUTED_VALUE"""),35521.0)</f>
        <v>35521</v>
      </c>
      <c r="C117" s="32">
        <f>IFERROR(__xludf.DUMMYFUNCTION("""COMPUTED_VALUE"""),375.804)</f>
        <v>375.804</v>
      </c>
      <c r="E117" s="11"/>
      <c r="P117" s="11">
        <f t="shared" si="1"/>
        <v>35521</v>
      </c>
      <c r="Q117" s="9">
        <f t="shared" si="2"/>
        <v>2.574961398</v>
      </c>
    </row>
    <row r="118">
      <c r="A118" s="34"/>
      <c r="B118" s="11">
        <f>IFERROR(__xludf.DUMMYFUNCTION("""COMPUTED_VALUE"""),35431.0)</f>
        <v>35431</v>
      </c>
      <c r="C118" s="32">
        <f>IFERROR(__xludf.DUMMYFUNCTION("""COMPUTED_VALUE"""),362.792)</f>
        <v>362.792</v>
      </c>
      <c r="E118" s="11"/>
      <c r="P118" s="11">
        <f t="shared" si="1"/>
        <v>35431</v>
      </c>
      <c r="Q118" s="9">
        <f t="shared" si="2"/>
        <v>2.559657702</v>
      </c>
    </row>
    <row r="119">
      <c r="A119" s="34"/>
      <c r="B119" s="11">
        <f>IFERROR(__xludf.DUMMYFUNCTION("""COMPUTED_VALUE"""),35339.0)</f>
        <v>35339</v>
      </c>
      <c r="C119" s="32">
        <f>IFERROR(__xludf.DUMMYFUNCTION("""COMPUTED_VALUE"""),373.556)</f>
        <v>373.556</v>
      </c>
      <c r="E119" s="11"/>
      <c r="P119" s="11">
        <f t="shared" si="1"/>
        <v>35339</v>
      </c>
      <c r="Q119" s="9">
        <f t="shared" si="2"/>
        <v>2.572355716</v>
      </c>
    </row>
    <row r="120">
      <c r="A120" s="34"/>
      <c r="B120" s="11">
        <f>IFERROR(__xludf.DUMMYFUNCTION("""COMPUTED_VALUE"""),35247.0)</f>
        <v>35247</v>
      </c>
      <c r="C120" s="32">
        <f>IFERROR(__xludf.DUMMYFUNCTION("""COMPUTED_VALUE"""),376.132)</f>
        <v>376.132</v>
      </c>
      <c r="E120" s="11"/>
      <c r="P120" s="11">
        <f t="shared" si="1"/>
        <v>35247</v>
      </c>
      <c r="Q120" s="9">
        <f t="shared" si="2"/>
        <v>2.575340283</v>
      </c>
    </row>
    <row r="121">
      <c r="A121" s="34"/>
      <c r="B121" s="11">
        <f>IFERROR(__xludf.DUMMYFUNCTION("""COMPUTED_VALUE"""),35156.0)</f>
        <v>35156</v>
      </c>
      <c r="C121" s="32">
        <f>IFERROR(__xludf.DUMMYFUNCTION("""COMPUTED_VALUE"""),380.806)</f>
        <v>380.806</v>
      </c>
      <c r="E121" s="11"/>
      <c r="P121" s="11">
        <f t="shared" si="1"/>
        <v>35156</v>
      </c>
      <c r="Q121" s="9">
        <f t="shared" si="2"/>
        <v>2.580703783</v>
      </c>
    </row>
    <row r="122">
      <c r="A122" s="34"/>
      <c r="B122" s="11">
        <f>IFERROR(__xludf.DUMMYFUNCTION("""COMPUTED_VALUE"""),35065.0)</f>
        <v>35065</v>
      </c>
      <c r="C122" s="32">
        <f>IFERROR(__xludf.DUMMYFUNCTION("""COMPUTED_VALUE"""),378.552)</f>
        <v>378.552</v>
      </c>
      <c r="E122" s="11"/>
      <c r="P122" s="11">
        <f t="shared" si="1"/>
        <v>35065</v>
      </c>
      <c r="Q122" s="9">
        <f t="shared" si="2"/>
        <v>2.578125545</v>
      </c>
    </row>
    <row r="123">
      <c r="A123" s="34"/>
      <c r="B123" s="11">
        <f>IFERROR(__xludf.DUMMYFUNCTION("""COMPUTED_VALUE"""),34973.0)</f>
        <v>34973</v>
      </c>
      <c r="C123" s="32">
        <f>IFERROR(__xludf.DUMMYFUNCTION("""COMPUTED_VALUE"""),368.407)</f>
        <v>368.407</v>
      </c>
      <c r="E123" s="11"/>
      <c r="P123" s="11">
        <f t="shared" si="1"/>
        <v>34973</v>
      </c>
      <c r="Q123" s="9">
        <f t="shared" si="2"/>
        <v>2.566327874</v>
      </c>
    </row>
    <row r="124">
      <c r="A124" s="34"/>
      <c r="B124" s="11">
        <f>IFERROR(__xludf.DUMMYFUNCTION("""COMPUTED_VALUE"""),34881.0)</f>
        <v>34881</v>
      </c>
      <c r="C124" s="32">
        <f>IFERROR(__xludf.DUMMYFUNCTION("""COMPUTED_VALUE"""),378.242)</f>
        <v>378.242</v>
      </c>
      <c r="E124" s="11"/>
      <c r="P124" s="11">
        <f t="shared" si="1"/>
        <v>34881</v>
      </c>
      <c r="Q124" s="9">
        <f t="shared" si="2"/>
        <v>2.577769751</v>
      </c>
    </row>
    <row r="125">
      <c r="A125" s="34"/>
      <c r="B125" s="11">
        <f>IFERROR(__xludf.DUMMYFUNCTION("""COMPUTED_VALUE"""),34790.0)</f>
        <v>34790</v>
      </c>
      <c r="C125" s="32">
        <f>IFERROR(__xludf.DUMMYFUNCTION("""COMPUTED_VALUE"""),381.884)</f>
        <v>381.884</v>
      </c>
      <c r="E125" s="11"/>
      <c r="P125" s="11">
        <f t="shared" si="1"/>
        <v>34790</v>
      </c>
      <c r="Q125" s="9">
        <f t="shared" si="2"/>
        <v>2.581931463</v>
      </c>
    </row>
    <row r="126">
      <c r="A126" s="34"/>
      <c r="B126" s="11">
        <f>IFERROR(__xludf.DUMMYFUNCTION("""COMPUTED_VALUE"""),34700.0)</f>
        <v>34700</v>
      </c>
      <c r="C126" s="32">
        <f>IFERROR(__xludf.DUMMYFUNCTION("""COMPUTED_VALUE"""),380.103)</f>
        <v>380.103</v>
      </c>
      <c r="E126" s="11"/>
      <c r="P126" s="11">
        <f t="shared" si="1"/>
        <v>34700</v>
      </c>
      <c r="Q126" s="9">
        <f t="shared" si="2"/>
        <v>2.579901297</v>
      </c>
    </row>
    <row r="127">
      <c r="A127" s="34"/>
      <c r="B127" s="11">
        <f>IFERROR(__xludf.DUMMYFUNCTION("""COMPUTED_VALUE"""),34608.0)</f>
        <v>34608</v>
      </c>
      <c r="C127" s="32">
        <f>IFERROR(__xludf.DUMMYFUNCTION("""COMPUTED_VALUE"""),377.83)</f>
        <v>377.83</v>
      </c>
      <c r="E127" s="11"/>
      <c r="P127" s="11">
        <f t="shared" si="1"/>
        <v>34608</v>
      </c>
      <c r="Q127" s="9">
        <f t="shared" si="2"/>
        <v>2.577296438</v>
      </c>
    </row>
    <row r="128">
      <c r="A128" s="34"/>
      <c r="B128" s="11">
        <f>IFERROR(__xludf.DUMMYFUNCTION("""COMPUTED_VALUE"""),34516.0)</f>
        <v>34516</v>
      </c>
      <c r="C128" s="32">
        <f>IFERROR(__xludf.DUMMYFUNCTION("""COMPUTED_VALUE"""),394.277)</f>
        <v>394.277</v>
      </c>
      <c r="E128" s="11"/>
      <c r="P128" s="11">
        <f t="shared" si="1"/>
        <v>34516</v>
      </c>
      <c r="Q128" s="9">
        <f t="shared" si="2"/>
        <v>2.595801443</v>
      </c>
    </row>
    <row r="129">
      <c r="A129" s="34"/>
      <c r="B129" s="11">
        <f>IFERROR(__xludf.DUMMYFUNCTION("""COMPUTED_VALUE"""),34425.0)</f>
        <v>34425</v>
      </c>
      <c r="C129" s="32">
        <f>IFERROR(__xludf.DUMMYFUNCTION("""COMPUTED_VALUE"""),379.934)</f>
        <v>379.934</v>
      </c>
      <c r="E129" s="11"/>
      <c r="P129" s="11">
        <f t="shared" si="1"/>
        <v>34425</v>
      </c>
      <c r="Q129" s="9">
        <f t="shared" si="2"/>
        <v>2.57970816</v>
      </c>
    </row>
    <row r="130">
      <c r="A130" s="34"/>
      <c r="B130" s="11">
        <f>IFERROR(__xludf.DUMMYFUNCTION("""COMPUTED_VALUE"""),34335.0)</f>
        <v>34335</v>
      </c>
      <c r="C130" s="32">
        <f>IFERROR(__xludf.DUMMYFUNCTION("""COMPUTED_VALUE"""),376.415)</f>
        <v>376.415</v>
      </c>
      <c r="E130" s="11"/>
      <c r="P130" s="11">
        <f t="shared" si="1"/>
        <v>34335</v>
      </c>
      <c r="Q130" s="9">
        <f t="shared" si="2"/>
        <v>2.575666922</v>
      </c>
    </row>
    <row r="131">
      <c r="A131" s="34"/>
      <c r="B131" s="11">
        <f>IFERROR(__xludf.DUMMYFUNCTION("""COMPUTED_VALUE"""),34243.0)</f>
        <v>34243</v>
      </c>
      <c r="C131" s="32">
        <f>IFERROR(__xludf.DUMMYFUNCTION("""COMPUTED_VALUE"""),394.644)</f>
        <v>394.644</v>
      </c>
      <c r="E131" s="11"/>
      <c r="P131" s="11">
        <f t="shared" si="1"/>
        <v>34243</v>
      </c>
      <c r="Q131" s="9">
        <f t="shared" si="2"/>
        <v>2.596205504</v>
      </c>
    </row>
    <row r="132">
      <c r="A132" s="34"/>
      <c r="B132" s="11">
        <f>IFERROR(__xludf.DUMMYFUNCTION("""COMPUTED_VALUE"""),34151.0)</f>
        <v>34151</v>
      </c>
      <c r="C132" s="32">
        <f>IFERROR(__xludf.DUMMYFUNCTION("""COMPUTED_VALUE"""),389.6)</f>
        <v>389.6</v>
      </c>
      <c r="E132" s="11"/>
      <c r="P132" s="11">
        <f t="shared" si="1"/>
        <v>34151</v>
      </c>
      <c r="Q132" s="9">
        <f t="shared" si="2"/>
        <v>2.590618948</v>
      </c>
    </row>
    <row r="133">
      <c r="A133" s="34"/>
      <c r="B133" s="11">
        <f>IFERROR(__xludf.DUMMYFUNCTION("""COMPUTED_VALUE"""),34060.0)</f>
        <v>34060</v>
      </c>
      <c r="C133" s="32">
        <f>IFERROR(__xludf.DUMMYFUNCTION("""COMPUTED_VALUE"""),389.16)</f>
        <v>389.16</v>
      </c>
      <c r="E133" s="11"/>
      <c r="P133" s="11">
        <f t="shared" si="1"/>
        <v>34060</v>
      </c>
      <c r="Q133" s="9">
        <f t="shared" si="2"/>
        <v>2.590128195</v>
      </c>
    </row>
    <row r="134">
      <c r="A134" s="34"/>
      <c r="B134" s="11">
        <f>IFERROR(__xludf.DUMMYFUNCTION("""COMPUTED_VALUE"""),33970.0)</f>
        <v>33970</v>
      </c>
      <c r="C134" s="32">
        <f>IFERROR(__xludf.DUMMYFUNCTION("""COMPUTED_VALUE"""),393.179)</f>
        <v>393.179</v>
      </c>
      <c r="E134" s="11"/>
      <c r="P134" s="11">
        <f t="shared" si="1"/>
        <v>33970</v>
      </c>
      <c r="Q134" s="9">
        <f t="shared" si="2"/>
        <v>2.594590314</v>
      </c>
    </row>
    <row r="135">
      <c r="A135" s="34"/>
      <c r="B135" s="11">
        <f>IFERROR(__xludf.DUMMYFUNCTION("""COMPUTED_VALUE"""),33878.0)</f>
        <v>33878</v>
      </c>
      <c r="C135" s="32">
        <f>IFERROR(__xludf.DUMMYFUNCTION("""COMPUTED_VALUE"""),409.372)</f>
        <v>409.372</v>
      </c>
      <c r="E135" s="11"/>
      <c r="P135" s="11">
        <f t="shared" si="1"/>
        <v>33878</v>
      </c>
      <c r="Q135" s="9">
        <f t="shared" si="2"/>
        <v>2.612118135</v>
      </c>
    </row>
    <row r="136">
      <c r="A136" s="34"/>
      <c r="B136" s="11">
        <f>IFERROR(__xludf.DUMMYFUNCTION("""COMPUTED_VALUE"""),33786.0)</f>
        <v>33786</v>
      </c>
      <c r="C136" s="32">
        <f>IFERROR(__xludf.DUMMYFUNCTION("""COMPUTED_VALUE"""),412.354)</f>
        <v>412.354</v>
      </c>
      <c r="E136" s="11"/>
      <c r="P136" s="11">
        <f t="shared" si="1"/>
        <v>33786</v>
      </c>
      <c r="Q136" s="9">
        <f t="shared" si="2"/>
        <v>2.615270212</v>
      </c>
    </row>
    <row r="137">
      <c r="A137" s="34"/>
      <c r="B137" s="11">
        <f>IFERROR(__xludf.DUMMYFUNCTION("""COMPUTED_VALUE"""),33695.0)</f>
        <v>33695</v>
      </c>
      <c r="C137" s="32">
        <f>IFERROR(__xludf.DUMMYFUNCTION("""COMPUTED_VALUE"""),401.666)</f>
        <v>401.666</v>
      </c>
      <c r="E137" s="11"/>
      <c r="P137" s="11">
        <f t="shared" si="1"/>
        <v>33695</v>
      </c>
      <c r="Q137" s="9">
        <f t="shared" si="2"/>
        <v>2.603865071</v>
      </c>
    </row>
    <row r="138">
      <c r="A138" s="34"/>
      <c r="B138" s="11">
        <f>IFERROR(__xludf.DUMMYFUNCTION("""COMPUTED_VALUE"""),33604.0)</f>
        <v>33604</v>
      </c>
      <c r="C138" s="32">
        <f>IFERROR(__xludf.DUMMYFUNCTION("""COMPUTED_VALUE"""),402.466)</f>
        <v>402.466</v>
      </c>
      <c r="E138" s="11"/>
      <c r="P138" s="11">
        <f t="shared" si="1"/>
        <v>33604</v>
      </c>
      <c r="Q138" s="9">
        <f t="shared" si="2"/>
        <v>2.604729197</v>
      </c>
    </row>
    <row r="139">
      <c r="A139" s="34"/>
      <c r="B139" s="11">
        <f>IFERROR(__xludf.DUMMYFUNCTION("""COMPUTED_VALUE"""),33512.0)</f>
        <v>33512</v>
      </c>
      <c r="C139" s="32">
        <f>IFERROR(__xludf.DUMMYFUNCTION("""COMPUTED_VALUE"""),403.436)</f>
        <v>403.436</v>
      </c>
      <c r="E139" s="11"/>
      <c r="P139" s="11">
        <f t="shared" si="1"/>
        <v>33512</v>
      </c>
      <c r="Q139" s="9">
        <f t="shared" si="2"/>
        <v>2.605774649</v>
      </c>
    </row>
    <row r="140">
      <c r="A140" s="34"/>
      <c r="B140" s="11">
        <f>IFERROR(__xludf.DUMMYFUNCTION("""COMPUTED_VALUE"""),33420.0)</f>
        <v>33420</v>
      </c>
      <c r="C140" s="32">
        <f>IFERROR(__xludf.DUMMYFUNCTION("""COMPUTED_VALUE"""),416.103)</f>
        <v>416.103</v>
      </c>
      <c r="E140" s="11"/>
      <c r="P140" s="11">
        <f t="shared" si="1"/>
        <v>33420</v>
      </c>
      <c r="Q140" s="9">
        <f t="shared" si="2"/>
        <v>2.619200847</v>
      </c>
    </row>
    <row r="141">
      <c r="A141" s="34"/>
      <c r="B141" s="11">
        <f>IFERROR(__xludf.DUMMYFUNCTION("""COMPUTED_VALUE"""),33329.0)</f>
        <v>33329</v>
      </c>
      <c r="C141" s="32">
        <f>IFERROR(__xludf.DUMMYFUNCTION("""COMPUTED_VALUE"""),418.707)</f>
        <v>418.707</v>
      </c>
      <c r="E141" s="11"/>
      <c r="P141" s="11">
        <f t="shared" si="1"/>
        <v>33329</v>
      </c>
      <c r="Q141" s="9">
        <f t="shared" si="2"/>
        <v>2.621910222</v>
      </c>
    </row>
    <row r="142">
      <c r="A142" s="34"/>
      <c r="B142" s="11">
        <f>IFERROR(__xludf.DUMMYFUNCTION("""COMPUTED_VALUE"""),33239.0)</f>
        <v>33239</v>
      </c>
      <c r="C142" s="32">
        <f>IFERROR(__xludf.DUMMYFUNCTION("""COMPUTED_VALUE"""),417.916)</f>
        <v>417.916</v>
      </c>
      <c r="E142" s="11"/>
      <c r="P142" s="11">
        <f t="shared" si="1"/>
        <v>33239</v>
      </c>
      <c r="Q142" s="9">
        <f t="shared" si="2"/>
        <v>2.621088999</v>
      </c>
    </row>
    <row r="143">
      <c r="A143" s="34"/>
      <c r="B143" s="11">
        <f>IFERROR(__xludf.DUMMYFUNCTION("""COMPUTED_VALUE"""),33147.0)</f>
        <v>33147</v>
      </c>
      <c r="C143" s="32">
        <f>IFERROR(__xludf.DUMMYFUNCTION("""COMPUTED_VALUE"""),410.213)</f>
        <v>410.213</v>
      </c>
      <c r="E143" s="11"/>
      <c r="P143" s="11">
        <f t="shared" si="1"/>
        <v>33147</v>
      </c>
      <c r="Q143" s="9">
        <f t="shared" si="2"/>
        <v>2.613009419</v>
      </c>
    </row>
    <row r="144">
      <c r="A144" s="34"/>
      <c r="B144" s="11">
        <f>IFERROR(__xludf.DUMMYFUNCTION("""COMPUTED_VALUE"""),33055.0)</f>
        <v>33055</v>
      </c>
      <c r="C144" s="32">
        <f>IFERROR(__xludf.DUMMYFUNCTION("""COMPUTED_VALUE"""),402.23)</f>
        <v>402.23</v>
      </c>
      <c r="E144" s="11"/>
      <c r="P144" s="11">
        <f t="shared" si="1"/>
        <v>33055</v>
      </c>
      <c r="Q144" s="9">
        <f t="shared" si="2"/>
        <v>2.604474459</v>
      </c>
    </row>
    <row r="145">
      <c r="A145" s="34"/>
      <c r="B145" s="11">
        <f>IFERROR(__xludf.DUMMYFUNCTION("""COMPUTED_VALUE"""),32964.0)</f>
        <v>32964</v>
      </c>
      <c r="C145" s="32">
        <f>IFERROR(__xludf.DUMMYFUNCTION("""COMPUTED_VALUE"""),405.694)</f>
        <v>405.694</v>
      </c>
      <c r="E145" s="11"/>
      <c r="P145" s="11">
        <f t="shared" si="1"/>
        <v>32964</v>
      </c>
      <c r="Q145" s="9">
        <f t="shared" si="2"/>
        <v>2.608198585</v>
      </c>
    </row>
    <row r="146">
      <c r="A146" s="34"/>
      <c r="B146" s="11">
        <f>IFERROR(__xludf.DUMMYFUNCTION("""COMPUTED_VALUE"""),32874.0)</f>
        <v>32874</v>
      </c>
      <c r="C146" s="32">
        <f>IFERROR(__xludf.DUMMYFUNCTION("""COMPUTED_VALUE"""),401.891)</f>
        <v>401.891</v>
      </c>
      <c r="E146" s="11"/>
      <c r="P146" s="11">
        <f t="shared" si="1"/>
        <v>32874</v>
      </c>
      <c r="Q146" s="9">
        <f t="shared" si="2"/>
        <v>2.604108281</v>
      </c>
    </row>
    <row r="147">
      <c r="A147" s="34"/>
      <c r="B147" s="11">
        <f>IFERROR(__xludf.DUMMYFUNCTION("""COMPUTED_VALUE"""),32782.0)</f>
        <v>32782</v>
      </c>
      <c r="C147" s="32">
        <f>IFERROR(__xludf.DUMMYFUNCTION("""COMPUTED_VALUE"""),394.108)</f>
        <v>394.108</v>
      </c>
      <c r="E147" s="11"/>
      <c r="P147" s="11">
        <f t="shared" si="1"/>
        <v>32782</v>
      </c>
      <c r="Q147" s="9">
        <f t="shared" si="2"/>
        <v>2.595615251</v>
      </c>
    </row>
    <row r="148">
      <c r="A148" s="34"/>
      <c r="B148" s="11">
        <f>IFERROR(__xludf.DUMMYFUNCTION("""COMPUTED_VALUE"""),32690.0)</f>
        <v>32690</v>
      </c>
      <c r="C148" s="32">
        <f>IFERROR(__xludf.DUMMYFUNCTION("""COMPUTED_VALUE"""),397.241)</f>
        <v>397.241</v>
      </c>
      <c r="E148" s="11"/>
      <c r="P148" s="11">
        <f t="shared" si="1"/>
        <v>32690</v>
      </c>
      <c r="Q148" s="9">
        <f t="shared" si="2"/>
        <v>2.599054066</v>
      </c>
    </row>
    <row r="149">
      <c r="A149" s="34"/>
      <c r="B149" s="11">
        <f>IFERROR(__xludf.DUMMYFUNCTION("""COMPUTED_VALUE"""),32599.0)</f>
        <v>32599</v>
      </c>
      <c r="C149" s="32">
        <f>IFERROR(__xludf.DUMMYFUNCTION("""COMPUTED_VALUE"""),391.481)</f>
        <v>391.481</v>
      </c>
      <c r="E149" s="11"/>
      <c r="P149" s="11">
        <f t="shared" si="1"/>
        <v>32599</v>
      </c>
      <c r="Q149" s="9">
        <f t="shared" si="2"/>
        <v>2.592710689</v>
      </c>
    </row>
    <row r="150">
      <c r="A150" s="34"/>
      <c r="B150" s="11">
        <f>IFERROR(__xludf.DUMMYFUNCTION("""COMPUTED_VALUE"""),32509.0)</f>
        <v>32509</v>
      </c>
      <c r="C150" s="32">
        <f>IFERROR(__xludf.DUMMYFUNCTION("""COMPUTED_VALUE"""),382.083)</f>
        <v>382.083</v>
      </c>
      <c r="E150" s="11"/>
      <c r="P150" s="11">
        <f t="shared" si="1"/>
        <v>32509</v>
      </c>
      <c r="Q150" s="9">
        <f t="shared" si="2"/>
        <v>2.582157715</v>
      </c>
    </row>
    <row r="151">
      <c r="A151" s="34"/>
      <c r="B151" s="11">
        <f>IFERROR(__xludf.DUMMYFUNCTION("""COMPUTED_VALUE"""),32417.0)</f>
        <v>32417</v>
      </c>
      <c r="C151" s="32">
        <f>IFERROR(__xludf.DUMMYFUNCTION("""COMPUTED_VALUE"""),391.126)</f>
        <v>391.126</v>
      </c>
      <c r="E151" s="11"/>
      <c r="P151" s="11">
        <f t="shared" si="1"/>
        <v>32417</v>
      </c>
      <c r="Q151" s="9">
        <f t="shared" si="2"/>
        <v>2.592316687</v>
      </c>
    </row>
    <row r="152">
      <c r="A152" s="34"/>
      <c r="B152" s="11">
        <f>IFERROR(__xludf.DUMMYFUNCTION("""COMPUTED_VALUE"""),32325.0)</f>
        <v>32325</v>
      </c>
      <c r="C152" s="32">
        <f>IFERROR(__xludf.DUMMYFUNCTION("""COMPUTED_VALUE"""),379.017)</f>
        <v>379.017</v>
      </c>
      <c r="E152" s="11"/>
      <c r="P152" s="11">
        <f t="shared" si="1"/>
        <v>32325</v>
      </c>
      <c r="Q152" s="9">
        <f t="shared" si="2"/>
        <v>2.57865869</v>
      </c>
    </row>
    <row r="153">
      <c r="A153" s="34"/>
      <c r="B153" s="11">
        <f>IFERROR(__xludf.DUMMYFUNCTION("""COMPUTED_VALUE"""),32234.0)</f>
        <v>32234</v>
      </c>
      <c r="C153" s="32">
        <f>IFERROR(__xludf.DUMMYFUNCTION("""COMPUTED_VALUE"""),379.824)</f>
        <v>379.824</v>
      </c>
      <c r="E153" s="11"/>
      <c r="P153" s="11">
        <f t="shared" si="1"/>
        <v>32234</v>
      </c>
      <c r="Q153" s="9">
        <f t="shared" si="2"/>
        <v>2.579582403</v>
      </c>
    </row>
    <row r="154">
      <c r="A154" s="34"/>
      <c r="B154" s="11">
        <f>IFERROR(__xludf.DUMMYFUNCTION("""COMPUTED_VALUE"""),32143.0)</f>
        <v>32143</v>
      </c>
      <c r="C154" s="32">
        <f>IFERROR(__xludf.DUMMYFUNCTION("""COMPUTED_VALUE"""),378.436)</f>
        <v>378.436</v>
      </c>
      <c r="E154" s="11"/>
      <c r="P154" s="11">
        <f t="shared" si="1"/>
        <v>32143</v>
      </c>
      <c r="Q154" s="9">
        <f t="shared" si="2"/>
        <v>2.577992443</v>
      </c>
    </row>
    <row r="155">
      <c r="A155" s="34"/>
      <c r="B155" s="11">
        <f>IFERROR(__xludf.DUMMYFUNCTION("""COMPUTED_VALUE"""),32051.0)</f>
        <v>32051</v>
      </c>
      <c r="C155" s="32">
        <f>IFERROR(__xludf.DUMMYFUNCTION("""COMPUTED_VALUE"""),379.281)</f>
        <v>379.281</v>
      </c>
      <c r="E155" s="11"/>
      <c r="P155" s="11">
        <f t="shared" si="1"/>
        <v>32051</v>
      </c>
      <c r="Q155" s="9">
        <f t="shared" si="2"/>
        <v>2.578961087</v>
      </c>
    </row>
    <row r="156">
      <c r="A156" s="34"/>
      <c r="B156" s="11">
        <f>IFERROR(__xludf.DUMMYFUNCTION("""COMPUTED_VALUE"""),31959.0)</f>
        <v>31959</v>
      </c>
      <c r="C156" s="32">
        <f>IFERROR(__xludf.DUMMYFUNCTION("""COMPUTED_VALUE"""),377.779)</f>
        <v>377.779</v>
      </c>
      <c r="E156" s="11"/>
      <c r="P156" s="11">
        <f t="shared" si="1"/>
        <v>31959</v>
      </c>
      <c r="Q156" s="9">
        <f t="shared" si="2"/>
        <v>2.577237813</v>
      </c>
    </row>
    <row r="157">
      <c r="A157" s="34"/>
      <c r="B157" s="11">
        <f>IFERROR(__xludf.DUMMYFUNCTION("""COMPUTED_VALUE"""),31868.0)</f>
        <v>31868</v>
      </c>
      <c r="C157" s="32">
        <f>IFERROR(__xludf.DUMMYFUNCTION("""COMPUTED_VALUE"""),370.996)</f>
        <v>370.996</v>
      </c>
      <c r="E157" s="11"/>
      <c r="P157" s="11">
        <f t="shared" si="1"/>
        <v>31868</v>
      </c>
      <c r="Q157" s="9">
        <f t="shared" si="2"/>
        <v>2.569369227</v>
      </c>
    </row>
    <row r="158">
      <c r="A158" s="34"/>
      <c r="B158" s="11">
        <f>IFERROR(__xludf.DUMMYFUNCTION("""COMPUTED_VALUE"""),31778.0)</f>
        <v>31778</v>
      </c>
      <c r="C158" s="32">
        <f>IFERROR(__xludf.DUMMYFUNCTION("""COMPUTED_VALUE"""),361.483)</f>
        <v>361.483</v>
      </c>
      <c r="E158" s="11"/>
      <c r="P158" s="11">
        <f t="shared" si="1"/>
        <v>31778</v>
      </c>
      <c r="Q158" s="9">
        <f t="shared" si="2"/>
        <v>2.558087878</v>
      </c>
    </row>
    <row r="159">
      <c r="A159" s="34"/>
      <c r="B159" s="11">
        <f>IFERROR(__xludf.DUMMYFUNCTION("""COMPUTED_VALUE"""),31686.0)</f>
        <v>31686</v>
      </c>
      <c r="C159" s="32">
        <f>IFERROR(__xludf.DUMMYFUNCTION("""COMPUTED_VALUE"""),355.289)</f>
        <v>355.289</v>
      </c>
      <c r="E159" s="11"/>
      <c r="P159" s="11">
        <f t="shared" si="1"/>
        <v>31686</v>
      </c>
      <c r="Q159" s="9">
        <f t="shared" si="2"/>
        <v>2.550581762</v>
      </c>
    </row>
    <row r="160">
      <c r="A160" s="34"/>
      <c r="B160" s="11">
        <f>IFERROR(__xludf.DUMMYFUNCTION("""COMPUTED_VALUE"""),31594.0)</f>
        <v>31594</v>
      </c>
      <c r="C160" s="32">
        <f>IFERROR(__xludf.DUMMYFUNCTION("""COMPUTED_VALUE"""),364.25)</f>
        <v>364.25</v>
      </c>
      <c r="E160" s="11"/>
      <c r="P160" s="11">
        <f t="shared" si="1"/>
        <v>31594</v>
      </c>
      <c r="Q160" s="9">
        <f t="shared" si="2"/>
        <v>2.56139956</v>
      </c>
    </row>
    <row r="161">
      <c r="A161" s="34"/>
      <c r="B161" s="11">
        <f>IFERROR(__xludf.DUMMYFUNCTION("""COMPUTED_VALUE"""),31503.0)</f>
        <v>31503</v>
      </c>
      <c r="C161" s="32">
        <f>IFERROR(__xludf.DUMMYFUNCTION("""COMPUTED_VALUE"""),350.78)</f>
        <v>350.78</v>
      </c>
      <c r="E161" s="11"/>
      <c r="P161" s="11">
        <f t="shared" si="1"/>
        <v>31503</v>
      </c>
      <c r="Q161" s="9">
        <f t="shared" si="2"/>
        <v>2.545034824</v>
      </c>
    </row>
    <row r="162">
      <c r="A162" s="34"/>
      <c r="B162" s="11">
        <f>IFERROR(__xludf.DUMMYFUNCTION("""COMPUTED_VALUE"""),31413.0)</f>
        <v>31413</v>
      </c>
      <c r="C162" s="32">
        <f>IFERROR(__xludf.DUMMYFUNCTION("""COMPUTED_VALUE"""),339.119)</f>
        <v>339.119</v>
      </c>
      <c r="E162" s="11"/>
      <c r="P162" s="11">
        <f t="shared" si="1"/>
        <v>31413</v>
      </c>
      <c r="Q162" s="9">
        <f t="shared" si="2"/>
        <v>2.530352123</v>
      </c>
    </row>
    <row r="163">
      <c r="A163" s="34"/>
      <c r="B163" s="11">
        <f>IFERROR(__xludf.DUMMYFUNCTION("""COMPUTED_VALUE"""),31321.0)</f>
        <v>31321</v>
      </c>
      <c r="C163" s="32">
        <f>IFERROR(__xludf.DUMMYFUNCTION("""COMPUTED_VALUE"""),342.744)</f>
        <v>342.744</v>
      </c>
      <c r="E163" s="11"/>
      <c r="P163" s="11">
        <f t="shared" si="1"/>
        <v>31321</v>
      </c>
      <c r="Q163" s="9">
        <f t="shared" si="2"/>
        <v>2.534969861</v>
      </c>
    </row>
    <row r="164">
      <c r="A164" s="34"/>
      <c r="B164" s="11">
        <f>IFERROR(__xludf.DUMMYFUNCTION("""COMPUTED_VALUE"""),31229.0)</f>
        <v>31229</v>
      </c>
      <c r="C164" s="32">
        <f>IFERROR(__xludf.DUMMYFUNCTION("""COMPUTED_VALUE"""),337.653)</f>
        <v>337.653</v>
      </c>
      <c r="E164" s="11"/>
      <c r="P164" s="11">
        <f t="shared" si="1"/>
        <v>31229</v>
      </c>
      <c r="Q164" s="9">
        <f t="shared" si="2"/>
        <v>2.528470613</v>
      </c>
    </row>
    <row r="165">
      <c r="A165" s="34"/>
      <c r="B165" s="11">
        <f>IFERROR(__xludf.DUMMYFUNCTION("""COMPUTED_VALUE"""),31138.0)</f>
        <v>31138</v>
      </c>
      <c r="C165" s="32">
        <f>IFERROR(__xludf.DUMMYFUNCTION("""COMPUTED_VALUE"""),323.695)</f>
        <v>323.695</v>
      </c>
      <c r="E165" s="11"/>
      <c r="P165" s="11">
        <f t="shared" si="1"/>
        <v>31138</v>
      </c>
      <c r="Q165" s="9">
        <f t="shared" si="2"/>
        <v>2.510135991</v>
      </c>
    </row>
    <row r="166">
      <c r="A166" s="34"/>
      <c r="B166" s="11">
        <f>IFERROR(__xludf.DUMMYFUNCTION("""COMPUTED_VALUE"""),31048.0)</f>
        <v>31048</v>
      </c>
      <c r="C166" s="32">
        <f>IFERROR(__xludf.DUMMYFUNCTION("""COMPUTED_VALUE"""),313.912)</f>
        <v>313.912</v>
      </c>
      <c r="E166" s="11"/>
      <c r="P166" s="11">
        <f t="shared" si="1"/>
        <v>31048</v>
      </c>
      <c r="Q166" s="9">
        <f t="shared" si="2"/>
        <v>2.496807918</v>
      </c>
    </row>
    <row r="167">
      <c r="A167" s="34"/>
      <c r="B167" s="11">
        <f>IFERROR(__xludf.DUMMYFUNCTION("""COMPUTED_VALUE"""),30956.0)</f>
        <v>30956</v>
      </c>
      <c r="C167" s="32">
        <f>IFERROR(__xludf.DUMMYFUNCTION("""COMPUTED_VALUE"""),314.936)</f>
        <v>314.936</v>
      </c>
      <c r="E167" s="11"/>
      <c r="P167" s="11">
        <f t="shared" si="1"/>
        <v>30956</v>
      </c>
      <c r="Q167" s="9">
        <f t="shared" si="2"/>
        <v>2.498222307</v>
      </c>
    </row>
    <row r="168">
      <c r="A168" s="34"/>
      <c r="B168" s="11">
        <f>IFERROR(__xludf.DUMMYFUNCTION("""COMPUTED_VALUE"""),30864.0)</f>
        <v>30864</v>
      </c>
      <c r="C168" s="32">
        <f>IFERROR(__xludf.DUMMYFUNCTION("""COMPUTED_VALUE"""),298.336)</f>
        <v>298.336</v>
      </c>
      <c r="E168" s="11"/>
      <c r="P168" s="11">
        <f t="shared" si="1"/>
        <v>30864</v>
      </c>
      <c r="Q168" s="9">
        <f t="shared" si="2"/>
        <v>2.474705663</v>
      </c>
    </row>
    <row r="169">
      <c r="A169" s="34"/>
      <c r="B169" s="11">
        <f>IFERROR(__xludf.DUMMYFUNCTION("""COMPUTED_VALUE"""),30773.0)</f>
        <v>30773</v>
      </c>
      <c r="C169" s="32">
        <f>IFERROR(__xludf.DUMMYFUNCTION("""COMPUTED_VALUE"""),293.927)</f>
        <v>293.927</v>
      </c>
      <c r="E169" s="11"/>
      <c r="P169" s="11">
        <f t="shared" si="1"/>
        <v>30773</v>
      </c>
      <c r="Q169" s="9">
        <f t="shared" si="2"/>
        <v>2.468239482</v>
      </c>
    </row>
    <row r="170">
      <c r="A170" s="34"/>
      <c r="B170" s="11">
        <f>IFERROR(__xludf.DUMMYFUNCTION("""COMPUTED_VALUE"""),30682.0)</f>
        <v>30682</v>
      </c>
      <c r="C170" s="32">
        <f>IFERROR(__xludf.DUMMYFUNCTION("""COMPUTED_VALUE"""),287.855)</f>
        <v>287.855</v>
      </c>
      <c r="E170" s="11"/>
      <c r="P170" s="11">
        <f t="shared" si="1"/>
        <v>30682</v>
      </c>
      <c r="Q170" s="9">
        <f t="shared" si="2"/>
        <v>2.459173777</v>
      </c>
    </row>
    <row r="171">
      <c r="A171" s="34"/>
      <c r="B171" s="11">
        <f>IFERROR(__xludf.DUMMYFUNCTION("""COMPUTED_VALUE"""),30590.0)</f>
        <v>30590</v>
      </c>
      <c r="C171" s="32">
        <f>IFERROR(__xludf.DUMMYFUNCTION("""COMPUTED_VALUE"""),283.571)</f>
        <v>283.571</v>
      </c>
      <c r="E171" s="11"/>
      <c r="P171" s="11">
        <f t="shared" si="1"/>
        <v>30590</v>
      </c>
      <c r="Q171" s="9">
        <f t="shared" si="2"/>
        <v>2.452661815</v>
      </c>
    </row>
    <row r="172">
      <c r="A172" s="34"/>
      <c r="B172" s="11">
        <f>IFERROR(__xludf.DUMMYFUNCTION("""COMPUTED_VALUE"""),30498.0)</f>
        <v>30498</v>
      </c>
      <c r="C172" s="32">
        <f>IFERROR(__xludf.DUMMYFUNCTION("""COMPUTED_VALUE"""),274.538)</f>
        <v>274.538</v>
      </c>
      <c r="E172" s="11"/>
      <c r="P172" s="11">
        <f t="shared" si="1"/>
        <v>30498</v>
      </c>
      <c r="Q172" s="9">
        <f t="shared" si="2"/>
        <v>2.438602466</v>
      </c>
    </row>
    <row r="173">
      <c r="A173" s="34"/>
      <c r="B173" s="11">
        <f>IFERROR(__xludf.DUMMYFUNCTION("""COMPUTED_VALUE"""),30407.0)</f>
        <v>30407</v>
      </c>
      <c r="C173" s="32">
        <f>IFERROR(__xludf.DUMMYFUNCTION("""COMPUTED_VALUE"""),268.573)</f>
        <v>268.573</v>
      </c>
      <c r="E173" s="11"/>
      <c r="P173" s="11">
        <f t="shared" si="1"/>
        <v>30407</v>
      </c>
      <c r="Q173" s="9">
        <f t="shared" si="2"/>
        <v>2.42906235</v>
      </c>
    </row>
    <row r="174">
      <c r="A174" s="34"/>
      <c r="B174" s="11">
        <f>IFERROR(__xludf.DUMMYFUNCTION("""COMPUTED_VALUE"""),30317.0)</f>
        <v>30317</v>
      </c>
      <c r="C174" s="32">
        <f>IFERROR(__xludf.DUMMYFUNCTION("""COMPUTED_VALUE"""),261.538)</f>
        <v>261.538</v>
      </c>
      <c r="E174" s="11"/>
      <c r="P174" s="11">
        <f t="shared" si="1"/>
        <v>30317</v>
      </c>
      <c r="Q174" s="9">
        <f t="shared" si="2"/>
        <v>2.417534798</v>
      </c>
    </row>
    <row r="175">
      <c r="A175" s="34"/>
      <c r="B175" s="11">
        <f>IFERROR(__xludf.DUMMYFUNCTION("""COMPUTED_VALUE"""),30225.0)</f>
        <v>30225</v>
      </c>
      <c r="C175" s="32">
        <f>IFERROR(__xludf.DUMMYFUNCTION("""COMPUTED_VALUE"""),257.601)</f>
        <v>257.601</v>
      </c>
      <c r="E175" s="11"/>
      <c r="P175" s="11">
        <f t="shared" si="1"/>
        <v>30225</v>
      </c>
      <c r="Q175" s="9">
        <f t="shared" si="2"/>
        <v>2.410947545</v>
      </c>
    </row>
    <row r="176">
      <c r="A176" s="34"/>
      <c r="B176" s="11">
        <f>IFERROR(__xludf.DUMMYFUNCTION("""COMPUTED_VALUE"""),30133.0)</f>
        <v>30133</v>
      </c>
      <c r="C176" s="32">
        <f>IFERROR(__xludf.DUMMYFUNCTION("""COMPUTED_VALUE"""),249.191)</f>
        <v>249.191</v>
      </c>
      <c r="E176" s="11"/>
      <c r="P176" s="11">
        <f t="shared" si="1"/>
        <v>30133</v>
      </c>
      <c r="Q176" s="9">
        <f t="shared" si="2"/>
        <v>2.396532353</v>
      </c>
    </row>
    <row r="177">
      <c r="A177" s="34"/>
      <c r="B177" s="11">
        <f>IFERROR(__xludf.DUMMYFUNCTION("""COMPUTED_VALUE"""),30042.0)</f>
        <v>30042</v>
      </c>
      <c r="C177" s="32">
        <f>IFERROR(__xludf.DUMMYFUNCTION("""COMPUTED_VALUE"""),242.237)</f>
        <v>242.237</v>
      </c>
      <c r="E177" s="11"/>
      <c r="P177" s="11">
        <f t="shared" si="1"/>
        <v>30042</v>
      </c>
      <c r="Q177" s="9">
        <f t="shared" si="2"/>
        <v>2.384240479</v>
      </c>
    </row>
    <row r="178">
      <c r="A178" s="34"/>
      <c r="B178" s="11">
        <f>IFERROR(__xludf.DUMMYFUNCTION("""COMPUTED_VALUE"""),29952.0)</f>
        <v>29952</v>
      </c>
      <c r="C178" s="32">
        <f>IFERROR(__xludf.DUMMYFUNCTION("""COMPUTED_VALUE"""),232.589)</f>
        <v>232.589</v>
      </c>
      <c r="E178" s="11"/>
      <c r="P178" s="11">
        <f t="shared" si="1"/>
        <v>29952</v>
      </c>
      <c r="Q178" s="9">
        <f t="shared" si="2"/>
        <v>2.366589171</v>
      </c>
    </row>
    <row r="179">
      <c r="A179" s="34"/>
      <c r="B179" s="11">
        <f>IFERROR(__xludf.DUMMYFUNCTION("""COMPUTED_VALUE"""),29860.0)</f>
        <v>29860</v>
      </c>
      <c r="C179" s="32">
        <f>IFERROR(__xludf.DUMMYFUNCTION("""COMPUTED_VALUE"""),226.93)</f>
        <v>226.93</v>
      </c>
      <c r="E179" s="11"/>
      <c r="P179" s="11">
        <f t="shared" si="1"/>
        <v>29860</v>
      </c>
      <c r="Q179" s="9">
        <f t="shared" si="2"/>
        <v>2.355891913</v>
      </c>
    </row>
    <row r="180">
      <c r="A180" s="34"/>
      <c r="B180" s="11">
        <f>IFERROR(__xludf.DUMMYFUNCTION("""COMPUTED_VALUE"""),29768.0)</f>
        <v>29768</v>
      </c>
      <c r="C180" s="32">
        <f>IFERROR(__xludf.DUMMYFUNCTION("""COMPUTED_VALUE"""),216.164)</f>
        <v>216.164</v>
      </c>
      <c r="E180" s="11"/>
      <c r="P180" s="11">
        <f t="shared" si="1"/>
        <v>29768</v>
      </c>
      <c r="Q180" s="9">
        <f t="shared" si="2"/>
        <v>2.334783368</v>
      </c>
    </row>
    <row r="181">
      <c r="A181" s="34"/>
      <c r="B181" s="11">
        <f>IFERROR(__xludf.DUMMYFUNCTION("""COMPUTED_VALUE"""),29677.0)</f>
        <v>29677</v>
      </c>
      <c r="C181" s="32">
        <f>IFERROR(__xludf.DUMMYFUNCTION("""COMPUTED_VALUE"""),210.235)</f>
        <v>210.235</v>
      </c>
      <c r="E181" s="11"/>
      <c r="P181" s="11">
        <f t="shared" si="1"/>
        <v>29677</v>
      </c>
      <c r="Q181" s="9">
        <f t="shared" si="2"/>
        <v>2.322705019</v>
      </c>
    </row>
    <row r="182">
      <c r="A182" s="34"/>
      <c r="B182" s="11">
        <f>IFERROR(__xludf.DUMMYFUNCTION("""COMPUTED_VALUE"""),29587.0)</f>
        <v>29587</v>
      </c>
      <c r="C182" s="32">
        <f>IFERROR(__xludf.DUMMYFUNCTION("""COMPUTED_VALUE"""),200.158)</f>
        <v>200.158</v>
      </c>
      <c r="E182" s="11"/>
      <c r="P182" s="11">
        <f t="shared" si="1"/>
        <v>29587</v>
      </c>
      <c r="Q182" s="9">
        <f t="shared" si="2"/>
        <v>2.301372953</v>
      </c>
    </row>
    <row r="183">
      <c r="A183" s="34"/>
      <c r="B183" s="11">
        <f>IFERROR(__xludf.DUMMYFUNCTION("""COMPUTED_VALUE"""),29495.0)</f>
        <v>29495</v>
      </c>
      <c r="C183" s="32">
        <f>IFERROR(__xludf.DUMMYFUNCTION("""COMPUTED_VALUE"""),192.687)</f>
        <v>192.687</v>
      </c>
      <c r="E183" s="11"/>
      <c r="P183" s="11">
        <f t="shared" si="1"/>
        <v>29495</v>
      </c>
      <c r="Q183" s="9">
        <f t="shared" si="2"/>
        <v>2.284852415</v>
      </c>
    </row>
    <row r="184">
      <c r="A184" s="34"/>
      <c r="B184" s="11">
        <f>IFERROR(__xludf.DUMMYFUNCTION("""COMPUTED_VALUE"""),29403.0)</f>
        <v>29403</v>
      </c>
      <c r="C184" s="32">
        <f>IFERROR(__xludf.DUMMYFUNCTION("""COMPUTED_VALUE"""),183.794)</f>
        <v>183.794</v>
      </c>
      <c r="E184" s="11"/>
      <c r="P184" s="11">
        <f t="shared" si="1"/>
        <v>29403</v>
      </c>
      <c r="Q184" s="9">
        <f t="shared" si="2"/>
        <v>2.26433133</v>
      </c>
    </row>
    <row r="185">
      <c r="A185" s="34"/>
      <c r="B185" s="11">
        <f>IFERROR(__xludf.DUMMYFUNCTION("""COMPUTED_VALUE"""),29312.0)</f>
        <v>29312</v>
      </c>
      <c r="C185" s="32">
        <f>IFERROR(__xludf.DUMMYFUNCTION("""COMPUTED_VALUE"""),181.961)</f>
        <v>181.961</v>
      </c>
      <c r="E185" s="11"/>
      <c r="P185" s="11">
        <f t="shared" si="1"/>
        <v>29312</v>
      </c>
      <c r="Q185" s="9">
        <f t="shared" si="2"/>
        <v>2.259978315</v>
      </c>
    </row>
    <row r="186">
      <c r="A186" s="34"/>
      <c r="B186" s="11">
        <f>IFERROR(__xludf.DUMMYFUNCTION("""COMPUTED_VALUE"""),29221.0)</f>
        <v>29221</v>
      </c>
      <c r="C186" s="32">
        <f>IFERROR(__xludf.DUMMYFUNCTION("""COMPUTED_VALUE"""),175.177)</f>
        <v>175.177</v>
      </c>
      <c r="E186" s="11"/>
      <c r="P186" s="11">
        <f t="shared" si="1"/>
        <v>29221</v>
      </c>
      <c r="Q186" s="9">
        <f t="shared" si="2"/>
        <v>2.243477085</v>
      </c>
    </row>
    <row r="187">
      <c r="A187" s="34"/>
      <c r="B187" s="11">
        <f>IFERROR(__xludf.DUMMYFUNCTION("""COMPUTED_VALUE"""),29129.0)</f>
        <v>29129</v>
      </c>
      <c r="C187" s="32">
        <f>IFERROR(__xludf.DUMMYFUNCTION("""COMPUTED_VALUE"""),167.308)</f>
        <v>167.308</v>
      </c>
      <c r="E187" s="11"/>
      <c r="P187" s="11">
        <f t="shared" si="1"/>
        <v>29129</v>
      </c>
      <c r="Q187" s="9">
        <f t="shared" si="2"/>
        <v>2.223516708</v>
      </c>
    </row>
    <row r="188">
      <c r="A188" s="34"/>
      <c r="B188" s="11">
        <f>IFERROR(__xludf.DUMMYFUNCTION("""COMPUTED_VALUE"""),29037.0)</f>
        <v>29037</v>
      </c>
      <c r="C188" s="32">
        <f>IFERROR(__xludf.DUMMYFUNCTION("""COMPUTED_VALUE"""),162.687)</f>
        <v>162.687</v>
      </c>
      <c r="E188" s="11"/>
      <c r="P188" s="11">
        <f t="shared" si="1"/>
        <v>29037</v>
      </c>
      <c r="Q188" s="9">
        <f t="shared" si="2"/>
        <v>2.211352851</v>
      </c>
    </row>
    <row r="189">
      <c r="A189" s="34"/>
      <c r="B189" s="11">
        <f>IFERROR(__xludf.DUMMYFUNCTION("""COMPUTED_VALUE"""),28946.0)</f>
        <v>28946</v>
      </c>
      <c r="C189" s="32">
        <f>IFERROR(__xludf.DUMMYFUNCTION("""COMPUTED_VALUE"""),158.616)</f>
        <v>158.616</v>
      </c>
      <c r="E189" s="11"/>
      <c r="P189" s="11">
        <f t="shared" si="1"/>
        <v>28946</v>
      </c>
      <c r="Q189" s="9">
        <f t="shared" si="2"/>
        <v>2.200346994</v>
      </c>
    </row>
    <row r="190">
      <c r="A190" s="34"/>
      <c r="B190" s="11">
        <f>IFERROR(__xludf.DUMMYFUNCTION("""COMPUTED_VALUE"""),28856.0)</f>
        <v>28856</v>
      </c>
      <c r="C190" s="32">
        <f>IFERROR(__xludf.DUMMYFUNCTION("""COMPUTED_VALUE"""),153.738)</f>
        <v>153.738</v>
      </c>
      <c r="E190" s="11"/>
      <c r="P190" s="11">
        <f t="shared" si="1"/>
        <v>28856</v>
      </c>
      <c r="Q190" s="9">
        <f t="shared" si="2"/>
        <v>2.186781227</v>
      </c>
    </row>
    <row r="191">
      <c r="A191" s="34"/>
      <c r="B191" s="11">
        <f>IFERROR(__xludf.DUMMYFUNCTION("""COMPUTED_VALUE"""),28764.0)</f>
        <v>28764</v>
      </c>
      <c r="C191" s="32">
        <f>IFERROR(__xludf.DUMMYFUNCTION("""COMPUTED_VALUE"""),150.519)</f>
        <v>150.519</v>
      </c>
      <c r="E191" s="11"/>
      <c r="P191" s="11">
        <f t="shared" si="1"/>
        <v>28764</v>
      </c>
      <c r="Q191" s="9">
        <f t="shared" si="2"/>
        <v>2.177591324</v>
      </c>
    </row>
    <row r="192">
      <c r="A192" s="34"/>
      <c r="B192" s="11">
        <f>IFERROR(__xludf.DUMMYFUNCTION("""COMPUTED_VALUE"""),28672.0)</f>
        <v>28672</v>
      </c>
      <c r="C192" s="32">
        <f>IFERROR(__xludf.DUMMYFUNCTION("""COMPUTED_VALUE"""),147.31)</f>
        <v>147.31</v>
      </c>
      <c r="E192" s="11"/>
      <c r="P192" s="11">
        <f t="shared" si="1"/>
        <v>28672</v>
      </c>
      <c r="Q192" s="9">
        <f t="shared" si="2"/>
        <v>2.16823223</v>
      </c>
    </row>
    <row r="193">
      <c r="A193" s="34"/>
      <c r="B193" s="11">
        <f>IFERROR(__xludf.DUMMYFUNCTION("""COMPUTED_VALUE"""),28581.0)</f>
        <v>28581</v>
      </c>
      <c r="C193" s="32">
        <f>IFERROR(__xludf.DUMMYFUNCTION("""COMPUTED_VALUE"""),144.166)</f>
        <v>144.166</v>
      </c>
      <c r="E193" s="11"/>
      <c r="P193" s="11">
        <f t="shared" si="1"/>
        <v>28581</v>
      </c>
      <c r="Q193" s="9">
        <f t="shared" si="2"/>
        <v>2.158862849</v>
      </c>
    </row>
    <row r="194">
      <c r="A194" s="34"/>
      <c r="B194" s="11">
        <f>IFERROR(__xludf.DUMMYFUNCTION("""COMPUTED_VALUE"""),28491.0)</f>
        <v>28491</v>
      </c>
      <c r="C194" s="32">
        <f>IFERROR(__xludf.DUMMYFUNCTION("""COMPUTED_VALUE"""),138.73)</f>
        <v>138.73</v>
      </c>
      <c r="E194" s="11"/>
      <c r="P194" s="11">
        <f t="shared" si="1"/>
        <v>28491</v>
      </c>
      <c r="Q194" s="9">
        <f t="shared" si="2"/>
        <v>2.142170386</v>
      </c>
    </row>
    <row r="195">
      <c r="A195" s="34"/>
      <c r="B195" s="11">
        <f>IFERROR(__xludf.DUMMYFUNCTION("""COMPUTED_VALUE"""),28399.0)</f>
        <v>28399</v>
      </c>
      <c r="C195" s="32">
        <f>IFERROR(__xludf.DUMMYFUNCTION("""COMPUTED_VALUE"""),136.574)</f>
        <v>136.574</v>
      </c>
      <c r="E195" s="11"/>
      <c r="P195" s="11">
        <f t="shared" si="1"/>
        <v>28399</v>
      </c>
      <c r="Q195" s="9">
        <f t="shared" si="2"/>
        <v>2.135368029</v>
      </c>
    </row>
    <row r="196">
      <c r="A196" s="34"/>
      <c r="B196" s="11">
        <f>IFERROR(__xludf.DUMMYFUNCTION("""COMPUTED_VALUE"""),28307.0)</f>
        <v>28307</v>
      </c>
      <c r="C196" s="32">
        <f>IFERROR(__xludf.DUMMYFUNCTION("""COMPUTED_VALUE"""),135.347)</f>
        <v>135.347</v>
      </c>
      <c r="E196" s="11"/>
      <c r="P196" s="11">
        <f t="shared" si="1"/>
        <v>28307</v>
      </c>
      <c r="Q196" s="9">
        <f t="shared" si="2"/>
        <v>2.131448634</v>
      </c>
    </row>
    <row r="197">
      <c r="A197" s="34"/>
      <c r="B197" s="11">
        <f>IFERROR(__xludf.DUMMYFUNCTION("""COMPUTED_VALUE"""),28216.0)</f>
        <v>28216</v>
      </c>
      <c r="C197" s="32">
        <f>IFERROR(__xludf.DUMMYFUNCTION("""COMPUTED_VALUE"""),134.126)</f>
        <v>134.126</v>
      </c>
      <c r="E197" s="11"/>
      <c r="P197" s="11">
        <f t="shared" si="1"/>
        <v>28216</v>
      </c>
      <c r="Q197" s="9">
        <f t="shared" si="2"/>
        <v>2.127512973</v>
      </c>
    </row>
    <row r="198">
      <c r="A198" s="34"/>
      <c r="B198" s="11">
        <f>IFERROR(__xludf.DUMMYFUNCTION("""COMPUTED_VALUE"""),28126.0)</f>
        <v>28126</v>
      </c>
      <c r="C198" s="32">
        <f>IFERROR(__xludf.DUMMYFUNCTION("""COMPUTED_VALUE"""),131.586)</f>
        <v>131.586</v>
      </c>
      <c r="E198" s="11"/>
      <c r="P198" s="11">
        <f t="shared" si="1"/>
        <v>28126</v>
      </c>
      <c r="Q198" s="9">
        <f t="shared" si="2"/>
        <v>2.119209685</v>
      </c>
    </row>
    <row r="199">
      <c r="A199" s="34"/>
      <c r="B199" s="11">
        <f>IFERROR(__xludf.DUMMYFUNCTION("""COMPUTED_VALUE"""),28034.0)</f>
        <v>28034</v>
      </c>
      <c r="C199" s="32">
        <f>IFERROR(__xludf.DUMMYFUNCTION("""COMPUTED_VALUE"""),128.298)</f>
        <v>128.298</v>
      </c>
      <c r="E199" s="11"/>
      <c r="P199" s="11">
        <f t="shared" si="1"/>
        <v>28034</v>
      </c>
      <c r="Q199" s="9">
        <f t="shared" si="2"/>
        <v>2.108219886</v>
      </c>
    </row>
    <row r="200">
      <c r="A200" s="34"/>
      <c r="B200" s="11">
        <f>IFERROR(__xludf.DUMMYFUNCTION("""COMPUTED_VALUE"""),27942.0)</f>
        <v>27942</v>
      </c>
      <c r="C200" s="32">
        <f>IFERROR(__xludf.DUMMYFUNCTION("""COMPUTED_VALUE"""),125.164)</f>
        <v>125.164</v>
      </c>
      <c r="E200" s="11"/>
      <c r="P200" s="11">
        <f t="shared" si="1"/>
        <v>27942</v>
      </c>
      <c r="Q200" s="9">
        <f t="shared" si="2"/>
        <v>2.097479434</v>
      </c>
    </row>
    <row r="201">
      <c r="A201" s="34"/>
      <c r="B201" s="11">
        <f>IFERROR(__xludf.DUMMYFUNCTION("""COMPUTED_VALUE"""),27851.0)</f>
        <v>27851</v>
      </c>
      <c r="C201" s="32">
        <f>IFERROR(__xludf.DUMMYFUNCTION("""COMPUTED_VALUE"""),123.427)</f>
        <v>123.427</v>
      </c>
      <c r="E201" s="11"/>
      <c r="P201" s="11">
        <f t="shared" si="1"/>
        <v>27851</v>
      </c>
      <c r="Q201" s="9">
        <f t="shared" si="2"/>
        <v>2.091410173</v>
      </c>
    </row>
    <row r="202">
      <c r="A202" s="34"/>
      <c r="B202" s="11">
        <f>IFERROR(__xludf.DUMMYFUNCTION("""COMPUTED_VALUE"""),27760.0)</f>
        <v>27760</v>
      </c>
      <c r="C202" s="32">
        <f>IFERROR(__xludf.DUMMYFUNCTION("""COMPUTED_VALUE"""),122.92)</f>
        <v>122.92</v>
      </c>
      <c r="E202" s="11"/>
      <c r="P202" s="11">
        <f t="shared" si="1"/>
        <v>27760</v>
      </c>
      <c r="Q202" s="9">
        <f t="shared" si="2"/>
        <v>2.089622552</v>
      </c>
    </row>
    <row r="203">
      <c r="A203" s="34"/>
      <c r="B203" s="11">
        <f>IFERROR(__xludf.DUMMYFUNCTION("""COMPUTED_VALUE"""),27668.0)</f>
        <v>27668</v>
      </c>
      <c r="C203" s="32">
        <f>IFERROR(__xludf.DUMMYFUNCTION("""COMPUTED_VALUE"""),122.592)</f>
        <v>122.592</v>
      </c>
      <c r="E203" s="11"/>
      <c r="P203" s="11">
        <f t="shared" si="1"/>
        <v>27668</v>
      </c>
      <c r="Q203" s="9">
        <f t="shared" si="2"/>
        <v>2.08846213</v>
      </c>
    </row>
    <row r="204">
      <c r="A204" s="34"/>
      <c r="B204" s="11">
        <f>IFERROR(__xludf.DUMMYFUNCTION("""COMPUTED_VALUE"""),27576.0)</f>
        <v>27576</v>
      </c>
      <c r="C204" s="32">
        <f>IFERROR(__xludf.DUMMYFUNCTION("""COMPUTED_VALUE"""),119.996)</f>
        <v>119.996</v>
      </c>
      <c r="E204" s="11"/>
      <c r="P204" s="11">
        <f t="shared" si="1"/>
        <v>27576</v>
      </c>
      <c r="Q204" s="9">
        <f t="shared" si="2"/>
        <v>2.079166769</v>
      </c>
    </row>
    <row r="205">
      <c r="A205" s="34"/>
      <c r="B205" s="11">
        <f>IFERROR(__xludf.DUMMYFUNCTION("""COMPUTED_VALUE"""),27485.0)</f>
        <v>27485</v>
      </c>
      <c r="C205" s="32">
        <f>IFERROR(__xludf.DUMMYFUNCTION("""COMPUTED_VALUE"""),114.248)</f>
        <v>114.248</v>
      </c>
      <c r="E205" s="11"/>
      <c r="P205" s="11">
        <f t="shared" si="1"/>
        <v>27485</v>
      </c>
      <c r="Q205" s="9">
        <f t="shared" si="2"/>
        <v>2.057848606</v>
      </c>
    </row>
    <row r="206">
      <c r="A206" s="34"/>
      <c r="B206" s="11">
        <f>IFERROR(__xludf.DUMMYFUNCTION("""COMPUTED_VALUE"""),27395.0)</f>
        <v>27395</v>
      </c>
      <c r="C206" s="32">
        <f>IFERROR(__xludf.DUMMYFUNCTION("""COMPUTED_VALUE"""),115.068)</f>
        <v>115.068</v>
      </c>
      <c r="E206" s="11"/>
      <c r="P206" s="11">
        <f t="shared" si="1"/>
        <v>27395</v>
      </c>
      <c r="Q206" s="9">
        <f t="shared" si="2"/>
        <v>2.060954565</v>
      </c>
    </row>
    <row r="207">
      <c r="A207" s="34"/>
      <c r="B207" s="11">
        <f>IFERROR(__xludf.DUMMYFUNCTION("""COMPUTED_VALUE"""),27303.0)</f>
        <v>27303</v>
      </c>
      <c r="C207" s="32">
        <f>IFERROR(__xludf.DUMMYFUNCTION("""COMPUTED_VALUE"""),114.235)</f>
        <v>114.235</v>
      </c>
      <c r="E207" s="11"/>
      <c r="P207" s="11">
        <f t="shared" si="1"/>
        <v>27303</v>
      </c>
      <c r="Q207" s="9">
        <f t="shared" si="2"/>
        <v>2.057799186</v>
      </c>
    </row>
    <row r="208">
      <c r="A208" s="34"/>
      <c r="B208" s="11">
        <f>IFERROR(__xludf.DUMMYFUNCTION("""COMPUTED_VALUE"""),27211.0)</f>
        <v>27211</v>
      </c>
      <c r="C208" s="32">
        <f>IFERROR(__xludf.DUMMYFUNCTION("""COMPUTED_VALUE"""),110.321)</f>
        <v>110.321</v>
      </c>
      <c r="E208" s="11"/>
      <c r="P208" s="11">
        <f t="shared" si="1"/>
        <v>27211</v>
      </c>
      <c r="Q208" s="9">
        <f t="shared" si="2"/>
        <v>2.04265819</v>
      </c>
    </row>
    <row r="209">
      <c r="A209" s="34"/>
      <c r="B209" s="11">
        <f>IFERROR(__xludf.DUMMYFUNCTION("""COMPUTED_VALUE"""),27120.0)</f>
        <v>27120</v>
      </c>
      <c r="C209" s="32">
        <f>IFERROR(__xludf.DUMMYFUNCTION("""COMPUTED_VALUE"""),108.827)</f>
        <v>108.827</v>
      </c>
      <c r="E209" s="11"/>
      <c r="P209" s="11">
        <f t="shared" si="1"/>
        <v>27120</v>
      </c>
      <c r="Q209" s="9">
        <f t="shared" si="2"/>
        <v>2.036736657</v>
      </c>
    </row>
    <row r="210">
      <c r="A210" s="34"/>
      <c r="B210" s="11">
        <f>IFERROR(__xludf.DUMMYFUNCTION("""COMPUTED_VALUE"""),27030.0)</f>
        <v>27030</v>
      </c>
      <c r="C210" s="32">
        <f>IFERROR(__xludf.DUMMYFUNCTION("""COMPUTED_VALUE"""),106.194)</f>
        <v>106.194</v>
      </c>
      <c r="E210" s="11"/>
      <c r="P210" s="11">
        <f t="shared" si="1"/>
        <v>27030</v>
      </c>
      <c r="Q210" s="9">
        <f t="shared" si="2"/>
        <v>2.02609998</v>
      </c>
    </row>
    <row r="211">
      <c r="A211" s="34"/>
      <c r="B211" s="11">
        <f>IFERROR(__xludf.DUMMYFUNCTION("""COMPUTED_VALUE"""),26938.0)</f>
        <v>26938</v>
      </c>
      <c r="C211" s="32">
        <f>IFERROR(__xludf.DUMMYFUNCTION("""COMPUTED_VALUE"""),103.255)</f>
        <v>103.255</v>
      </c>
      <c r="E211" s="11"/>
      <c r="P211" s="11">
        <f t="shared" si="1"/>
        <v>26938</v>
      </c>
      <c r="Q211" s="9">
        <f t="shared" si="2"/>
        <v>2.013911091</v>
      </c>
    </row>
    <row r="212">
      <c r="A212" s="34"/>
      <c r="B212" s="11">
        <f>IFERROR(__xludf.DUMMYFUNCTION("""COMPUTED_VALUE"""),26846.0)</f>
        <v>26846</v>
      </c>
      <c r="C212" s="32">
        <f>IFERROR(__xludf.DUMMYFUNCTION("""COMPUTED_VALUE"""),100.495)</f>
        <v>100.495</v>
      </c>
      <c r="E212" s="11"/>
      <c r="P212" s="11">
        <f t="shared" si="1"/>
        <v>26846</v>
      </c>
      <c r="Q212" s="9">
        <f t="shared" si="2"/>
        <v>2.002144455</v>
      </c>
    </row>
    <row r="213">
      <c r="A213" s="34"/>
      <c r="B213" s="11">
        <f>IFERROR(__xludf.DUMMYFUNCTION("""COMPUTED_VALUE"""),26755.0)</f>
        <v>26755</v>
      </c>
      <c r="C213" s="32">
        <f>IFERROR(__xludf.DUMMYFUNCTION("""COMPUTED_VALUE"""),103.355)</f>
        <v>103.355</v>
      </c>
      <c r="E213" s="11"/>
      <c r="P213" s="11">
        <f t="shared" si="1"/>
        <v>26755</v>
      </c>
      <c r="Q213" s="9">
        <f t="shared" si="2"/>
        <v>2.014331491</v>
      </c>
    </row>
    <row r="214">
      <c r="A214" s="34"/>
      <c r="B214" s="11">
        <f>IFERROR(__xludf.DUMMYFUNCTION("""COMPUTED_VALUE"""),26665.0)</f>
        <v>26665</v>
      </c>
      <c r="C214" s="32">
        <f>IFERROR(__xludf.DUMMYFUNCTION("""COMPUTED_VALUE"""),103.436)</f>
        <v>103.436</v>
      </c>
      <c r="E214" s="11"/>
      <c r="P214" s="11">
        <f t="shared" si="1"/>
        <v>26665</v>
      </c>
      <c r="Q214" s="9">
        <f t="shared" si="2"/>
        <v>2.014671717</v>
      </c>
    </row>
    <row r="215">
      <c r="A215" s="34"/>
      <c r="B215" s="11">
        <f>IFERROR(__xludf.DUMMYFUNCTION("""COMPUTED_VALUE"""),26573.0)</f>
        <v>26573</v>
      </c>
      <c r="C215" s="32">
        <f>IFERROR(__xludf.DUMMYFUNCTION("""COMPUTED_VALUE"""),100.456)</f>
        <v>100.456</v>
      </c>
      <c r="E215" s="11"/>
      <c r="P215" s="11">
        <f t="shared" si="1"/>
        <v>26573</v>
      </c>
      <c r="Q215" s="9">
        <f t="shared" si="2"/>
        <v>2.001975881</v>
      </c>
    </row>
    <row r="216">
      <c r="A216" s="34"/>
      <c r="B216" s="11">
        <f>IFERROR(__xludf.DUMMYFUNCTION("""COMPUTED_VALUE"""),26481.0)</f>
        <v>26481</v>
      </c>
      <c r="C216" s="32">
        <f>IFERROR(__xludf.DUMMYFUNCTION("""COMPUTED_VALUE"""),97.727)</f>
        <v>97.727</v>
      </c>
      <c r="E216" s="11"/>
      <c r="P216" s="11">
        <f t="shared" si="1"/>
        <v>26481</v>
      </c>
      <c r="Q216" s="9">
        <f t="shared" si="2"/>
        <v>1.990014567</v>
      </c>
    </row>
    <row r="217">
      <c r="A217" s="34"/>
      <c r="B217" s="11">
        <f>IFERROR(__xludf.DUMMYFUNCTION("""COMPUTED_VALUE"""),26390.0)</f>
        <v>26390</v>
      </c>
      <c r="C217" s="32">
        <f>IFERROR(__xludf.DUMMYFUNCTION("""COMPUTED_VALUE"""),103.31)</f>
        <v>103.31</v>
      </c>
      <c r="E217" s="11"/>
      <c r="P217" s="11">
        <f t="shared" si="1"/>
        <v>26390</v>
      </c>
      <c r="Q217" s="9">
        <f t="shared" si="2"/>
        <v>2.014142362</v>
      </c>
    </row>
    <row r="218">
      <c r="A218" s="34"/>
      <c r="B218" s="11">
        <f>IFERROR(__xludf.DUMMYFUNCTION("""COMPUTED_VALUE"""),26299.0)</f>
        <v>26299</v>
      </c>
      <c r="C218" s="32">
        <f>IFERROR(__xludf.DUMMYFUNCTION("""COMPUTED_VALUE"""),101.361)</f>
        <v>101.361</v>
      </c>
      <c r="E218" s="11"/>
      <c r="P218" s="11">
        <f t="shared" si="1"/>
        <v>26299</v>
      </c>
      <c r="Q218" s="9">
        <f t="shared" si="2"/>
        <v>2.005870887</v>
      </c>
    </row>
    <row r="219">
      <c r="A219" s="34"/>
      <c r="B219" s="11">
        <f>IFERROR(__xludf.DUMMYFUNCTION("""COMPUTED_VALUE"""),26207.0)</f>
        <v>26207</v>
      </c>
      <c r="C219" s="32">
        <f>IFERROR(__xludf.DUMMYFUNCTION("""COMPUTED_VALUE"""),97.231)</f>
        <v>97.231</v>
      </c>
      <c r="E219" s="11"/>
      <c r="P219" s="11">
        <f t="shared" si="1"/>
        <v>26207</v>
      </c>
      <c r="Q219" s="9">
        <f t="shared" si="2"/>
        <v>1.987804752</v>
      </c>
    </row>
    <row r="220">
      <c r="A220" s="34"/>
      <c r="B220" s="11">
        <f>IFERROR(__xludf.DUMMYFUNCTION("""COMPUTED_VALUE"""),26115.0)</f>
        <v>26115</v>
      </c>
      <c r="C220" s="32">
        <f>IFERROR(__xludf.DUMMYFUNCTION("""COMPUTED_VALUE"""),97.432)</f>
        <v>97.432</v>
      </c>
      <c r="E220" s="11"/>
      <c r="P220" s="11">
        <f t="shared" si="1"/>
        <v>26115</v>
      </c>
      <c r="Q220" s="9">
        <f t="shared" si="2"/>
        <v>1.988701617</v>
      </c>
    </row>
    <row r="221">
      <c r="A221" s="34"/>
      <c r="B221" s="11">
        <f>IFERROR(__xludf.DUMMYFUNCTION("""COMPUTED_VALUE"""),26024.0)</f>
        <v>26024</v>
      </c>
      <c r="C221" s="32">
        <f>IFERROR(__xludf.DUMMYFUNCTION("""COMPUTED_VALUE"""),97.839)</f>
        <v>97.839</v>
      </c>
      <c r="E221" s="11"/>
      <c r="P221" s="11">
        <f t="shared" si="1"/>
        <v>26024</v>
      </c>
      <c r="Q221" s="9">
        <f t="shared" si="2"/>
        <v>1.990512005</v>
      </c>
    </row>
    <row r="222">
      <c r="A222" s="34"/>
      <c r="B222" s="11">
        <f>IFERROR(__xludf.DUMMYFUNCTION("""COMPUTED_VALUE"""),25934.0)</f>
        <v>25934</v>
      </c>
      <c r="C222" s="32">
        <f>IFERROR(__xludf.DUMMYFUNCTION("""COMPUTED_VALUE"""),99.478)</f>
        <v>99.478</v>
      </c>
      <c r="E222" s="11"/>
      <c r="P222" s="11">
        <f t="shared" si="1"/>
        <v>25934</v>
      </c>
      <c r="Q222" s="9">
        <f t="shared" si="2"/>
        <v>1.997727045</v>
      </c>
    </row>
    <row r="223">
      <c r="A223" s="34"/>
      <c r="B223" s="11">
        <f>IFERROR(__xludf.DUMMYFUNCTION("""COMPUTED_VALUE"""),25842.0)</f>
        <v>25842</v>
      </c>
      <c r="C223" s="32">
        <f>IFERROR(__xludf.DUMMYFUNCTION("""COMPUTED_VALUE"""),100.486)</f>
        <v>100.486</v>
      </c>
      <c r="E223" s="11"/>
      <c r="P223" s="11">
        <f t="shared" si="1"/>
        <v>25842</v>
      </c>
      <c r="Q223" s="9">
        <f t="shared" si="2"/>
        <v>2.002105559</v>
      </c>
    </row>
    <row r="224">
      <c r="A224" s="34"/>
      <c r="B224" s="11">
        <f>IFERROR(__xludf.DUMMYFUNCTION("""COMPUTED_VALUE"""),25750.0)</f>
        <v>25750</v>
      </c>
      <c r="C224" s="32">
        <f>IFERROR(__xludf.DUMMYFUNCTION("""COMPUTED_VALUE"""),99.914)</f>
        <v>99.914</v>
      </c>
      <c r="E224" s="11"/>
      <c r="P224" s="11">
        <f t="shared" si="1"/>
        <v>25750</v>
      </c>
      <c r="Q224" s="9">
        <f t="shared" si="2"/>
        <v>1.999626346</v>
      </c>
    </row>
    <row r="225">
      <c r="A225" s="34"/>
      <c r="B225" s="11">
        <f>IFERROR(__xludf.DUMMYFUNCTION("""COMPUTED_VALUE"""),25659.0)</f>
        <v>25659</v>
      </c>
      <c r="C225" s="32">
        <f>IFERROR(__xludf.DUMMYFUNCTION("""COMPUTED_VALUE"""),99.604)</f>
        <v>99.604</v>
      </c>
      <c r="E225" s="11"/>
      <c r="P225" s="11">
        <f t="shared" si="1"/>
        <v>25659</v>
      </c>
      <c r="Q225" s="9">
        <f t="shared" si="2"/>
        <v>1.99827678</v>
      </c>
    </row>
    <row r="226">
      <c r="A226" s="34"/>
      <c r="B226" s="11">
        <f>IFERROR(__xludf.DUMMYFUNCTION("""COMPUTED_VALUE"""),25569.0)</f>
        <v>25569</v>
      </c>
      <c r="C226" s="32">
        <f>IFERROR(__xludf.DUMMYFUNCTION("""COMPUTED_VALUE"""),102.837)</f>
        <v>102.837</v>
      </c>
      <c r="E226" s="11"/>
      <c r="P226" s="11">
        <f t="shared" si="1"/>
        <v>25569</v>
      </c>
      <c r="Q226" s="9">
        <f t="shared" si="2"/>
        <v>2.012149399</v>
      </c>
    </row>
    <row r="227">
      <c r="A227" s="34"/>
      <c r="B227" s="11">
        <f>IFERROR(__xludf.DUMMYFUNCTION("""COMPUTED_VALUE"""),25477.0)</f>
        <v>25477</v>
      </c>
      <c r="C227" s="32">
        <f>IFERROR(__xludf.DUMMYFUNCTION("""COMPUTED_VALUE"""),102.7)</f>
        <v>102.7</v>
      </c>
      <c r="E227" s="11"/>
      <c r="P227" s="11">
        <f t="shared" si="1"/>
        <v>25477</v>
      </c>
      <c r="Q227" s="9">
        <f t="shared" si="2"/>
        <v>2.011570444</v>
      </c>
    </row>
    <row r="228">
      <c r="A228" s="34"/>
      <c r="B228" s="11">
        <f>IFERROR(__xludf.DUMMYFUNCTION("""COMPUTED_VALUE"""),25385.0)</f>
        <v>25385</v>
      </c>
      <c r="C228" s="32">
        <f>IFERROR(__xludf.DUMMYFUNCTION("""COMPUTED_VALUE"""),103.448)</f>
        <v>103.448</v>
      </c>
      <c r="E228" s="11"/>
      <c r="P228" s="11">
        <f t="shared" si="1"/>
        <v>25385</v>
      </c>
      <c r="Q228" s="9">
        <f t="shared" si="2"/>
        <v>2.014722099</v>
      </c>
    </row>
    <row r="229">
      <c r="A229" s="34"/>
      <c r="B229" s="11">
        <f>IFERROR(__xludf.DUMMYFUNCTION("""COMPUTED_VALUE"""),25294.0)</f>
        <v>25294</v>
      </c>
      <c r="C229" s="32">
        <f>IFERROR(__xludf.DUMMYFUNCTION("""COMPUTED_VALUE"""),100.86)</f>
        <v>100.86</v>
      </c>
      <c r="E229" s="11"/>
      <c r="P229" s="11">
        <f t="shared" si="1"/>
        <v>25294</v>
      </c>
      <c r="Q229" s="9">
        <f t="shared" si="2"/>
        <v>2.003718964</v>
      </c>
    </row>
    <row r="230">
      <c r="A230" s="34"/>
      <c r="B230" s="11">
        <f>IFERROR(__xludf.DUMMYFUNCTION("""COMPUTED_VALUE"""),25204.0)</f>
        <v>25204</v>
      </c>
      <c r="C230" s="32">
        <f>IFERROR(__xludf.DUMMYFUNCTION("""COMPUTED_VALUE"""),101.262)</f>
        <v>101.262</v>
      </c>
      <c r="E230" s="11"/>
      <c r="P230" s="11">
        <f t="shared" si="1"/>
        <v>25204</v>
      </c>
      <c r="Q230" s="9">
        <f t="shared" si="2"/>
        <v>2.005446501</v>
      </c>
    </row>
    <row r="231">
      <c r="A231" s="34"/>
      <c r="B231" s="11">
        <f>IFERROR(__xludf.DUMMYFUNCTION("""COMPUTED_VALUE"""),25112.0)</f>
        <v>25112</v>
      </c>
      <c r="C231" s="32">
        <f>IFERROR(__xludf.DUMMYFUNCTION("""COMPUTED_VALUE"""),101.98)</f>
        <v>101.98</v>
      </c>
      <c r="E231" s="11"/>
      <c r="P231" s="11">
        <f t="shared" si="1"/>
        <v>25112</v>
      </c>
      <c r="Q231" s="9">
        <f t="shared" si="2"/>
        <v>2.008515008</v>
      </c>
    </row>
    <row r="232">
      <c r="A232" s="34"/>
      <c r="B232" s="11">
        <f>IFERROR(__xludf.DUMMYFUNCTION("""COMPUTED_VALUE"""),25020.0)</f>
        <v>25020</v>
      </c>
      <c r="C232" s="32">
        <f>IFERROR(__xludf.DUMMYFUNCTION("""COMPUTED_VALUE"""),101.469)</f>
        <v>101.469</v>
      </c>
      <c r="E232" s="11"/>
      <c r="P232" s="11">
        <f t="shared" si="1"/>
        <v>25020</v>
      </c>
      <c r="Q232" s="9">
        <f t="shared" si="2"/>
        <v>2.00633338</v>
      </c>
    </row>
    <row r="233">
      <c r="A233" s="34"/>
      <c r="B233" s="11">
        <f>IFERROR(__xludf.DUMMYFUNCTION("""COMPUTED_VALUE"""),24929.0)</f>
        <v>24929</v>
      </c>
      <c r="C233" s="32">
        <f>IFERROR(__xludf.DUMMYFUNCTION("""COMPUTED_VALUE"""),101.515)</f>
        <v>101.515</v>
      </c>
      <c r="E233" s="11"/>
      <c r="P233" s="11">
        <f t="shared" si="1"/>
        <v>24929</v>
      </c>
      <c r="Q233" s="9">
        <f t="shared" si="2"/>
        <v>2.006530219</v>
      </c>
    </row>
    <row r="234">
      <c r="A234" s="34"/>
      <c r="B234" s="11">
        <f>IFERROR(__xludf.DUMMYFUNCTION("""COMPUTED_VALUE"""),24838.0)</f>
        <v>24838</v>
      </c>
      <c r="C234" s="32">
        <f>IFERROR(__xludf.DUMMYFUNCTION("""COMPUTED_VALUE"""),100.462)</f>
        <v>100.462</v>
      </c>
      <c r="E234" s="11"/>
      <c r="P234" s="11">
        <f t="shared" si="1"/>
        <v>24838</v>
      </c>
      <c r="Q234" s="9">
        <f t="shared" si="2"/>
        <v>2.00200182</v>
      </c>
    </row>
    <row r="235">
      <c r="A235" s="34"/>
      <c r="B235" s="11">
        <f>IFERROR(__xludf.DUMMYFUNCTION("""COMPUTED_VALUE"""),24746.0)</f>
        <v>24746</v>
      </c>
      <c r="C235" s="32">
        <f>IFERROR(__xludf.DUMMYFUNCTION("""COMPUTED_VALUE"""),97.745)</f>
        <v>97.745</v>
      </c>
      <c r="E235" s="11"/>
      <c r="P235" s="11">
        <f t="shared" si="1"/>
        <v>24746</v>
      </c>
      <c r="Q235" s="9">
        <f t="shared" si="2"/>
        <v>1.990094551</v>
      </c>
    </row>
    <row r="236">
      <c r="A236" s="34"/>
      <c r="B236" s="11">
        <f>IFERROR(__xludf.DUMMYFUNCTION("""COMPUTED_VALUE"""),24654.0)</f>
        <v>24654</v>
      </c>
      <c r="C236" s="32">
        <f>IFERROR(__xludf.DUMMYFUNCTION("""COMPUTED_VALUE"""),96.659)</f>
        <v>96.659</v>
      </c>
      <c r="E236" s="11"/>
      <c r="P236" s="11">
        <f t="shared" si="1"/>
        <v>24654</v>
      </c>
      <c r="Q236" s="9">
        <f t="shared" si="2"/>
        <v>1.985242298</v>
      </c>
    </row>
    <row r="237">
      <c r="A237" s="34"/>
      <c r="B237" s="11">
        <f>IFERROR(__xludf.DUMMYFUNCTION("""COMPUTED_VALUE"""),24563.0)</f>
        <v>24563</v>
      </c>
      <c r="C237" s="32">
        <f>IFERROR(__xludf.DUMMYFUNCTION("""COMPUTED_VALUE"""),93.499)</f>
        <v>93.499</v>
      </c>
      <c r="E237" s="11"/>
      <c r="P237" s="11">
        <f t="shared" si="1"/>
        <v>24563</v>
      </c>
      <c r="Q237" s="9">
        <f t="shared" si="2"/>
        <v>1.970806966</v>
      </c>
    </row>
    <row r="238">
      <c r="A238" s="34"/>
      <c r="B238" s="11">
        <f>IFERROR(__xludf.DUMMYFUNCTION("""COMPUTED_VALUE"""),24473.0)</f>
        <v>24473</v>
      </c>
      <c r="C238" s="32">
        <f>IFERROR(__xludf.DUMMYFUNCTION("""COMPUTED_VALUE"""),92.232)</f>
        <v>92.232</v>
      </c>
      <c r="E238" s="11"/>
      <c r="P238" s="11">
        <f t="shared" si="1"/>
        <v>24473</v>
      </c>
      <c r="Q238" s="9">
        <f t="shared" si="2"/>
        <v>1.964881626</v>
      </c>
    </row>
    <row r="239">
      <c r="A239" s="34"/>
      <c r="B239" s="11">
        <f>IFERROR(__xludf.DUMMYFUNCTION("""COMPUTED_VALUE"""),24381.0)</f>
        <v>24381</v>
      </c>
      <c r="C239" s="32">
        <f>IFERROR(__xludf.DUMMYFUNCTION("""COMPUTED_VALUE"""),87.657)</f>
        <v>87.657</v>
      </c>
      <c r="E239" s="11"/>
      <c r="P239" s="11">
        <f t="shared" si="1"/>
        <v>24381</v>
      </c>
      <c r="Q239" s="9">
        <f t="shared" si="2"/>
        <v>1.942786603</v>
      </c>
    </row>
    <row r="240">
      <c r="A240" s="34"/>
      <c r="B240" s="11">
        <f>IFERROR(__xludf.DUMMYFUNCTION("""COMPUTED_VALUE"""),24289.0)</f>
        <v>24289</v>
      </c>
      <c r="C240" s="32">
        <f>IFERROR(__xludf.DUMMYFUNCTION("""COMPUTED_VALUE"""),85.613)</f>
        <v>85.613</v>
      </c>
      <c r="E240" s="11"/>
      <c r="P240" s="11">
        <f t="shared" si="1"/>
        <v>24289</v>
      </c>
      <c r="Q240" s="9">
        <f t="shared" si="2"/>
        <v>1.932539716</v>
      </c>
    </row>
    <row r="241">
      <c r="A241" s="34"/>
      <c r="B241" s="11">
        <f>IFERROR(__xludf.DUMMYFUNCTION("""COMPUTED_VALUE"""),24198.0)</f>
        <v>24198</v>
      </c>
      <c r="C241" s="32">
        <f>IFERROR(__xludf.DUMMYFUNCTION("""COMPUTED_VALUE"""),79.135)</f>
        <v>79.135</v>
      </c>
      <c r="E241" s="11"/>
      <c r="P241" s="11">
        <f t="shared" si="1"/>
        <v>24198</v>
      </c>
      <c r="Q241" s="9">
        <f t="shared" si="2"/>
        <v>1.898368607</v>
      </c>
    </row>
    <row r="242">
      <c r="A242" s="34"/>
      <c r="B242" s="11">
        <f>IFERROR(__xludf.DUMMYFUNCTION("""COMPUTED_VALUE"""),24108.0)</f>
        <v>24108</v>
      </c>
      <c r="C242" s="32">
        <f>IFERROR(__xludf.DUMMYFUNCTION("""COMPUTED_VALUE"""),77.48)</f>
        <v>77.48</v>
      </c>
      <c r="E242" s="11"/>
      <c r="P242" s="11">
        <f t="shared" si="1"/>
        <v>24108</v>
      </c>
      <c r="Q242" s="9">
        <f t="shared" si="2"/>
        <v>1.889189612</v>
      </c>
    </row>
    <row r="243">
      <c r="A243" s="34"/>
      <c r="B243" s="11">
        <f>IFERROR(__xludf.DUMMYFUNCTION("""COMPUTED_VALUE"""),24016.0)</f>
        <v>24016</v>
      </c>
      <c r="C243" s="32">
        <f>IFERROR(__xludf.DUMMYFUNCTION("""COMPUTED_VALUE"""),74.979)</f>
        <v>74.979</v>
      </c>
      <c r="E243" s="11"/>
      <c r="P243" s="11">
        <f t="shared" si="1"/>
        <v>24016</v>
      </c>
      <c r="Q243" s="9">
        <f t="shared" si="2"/>
        <v>1.874939644</v>
      </c>
    </row>
    <row r="244">
      <c r="A244" s="34"/>
      <c r="B244" s="11">
        <f>IFERROR(__xludf.DUMMYFUNCTION("""COMPUTED_VALUE"""),23924.0)</f>
        <v>23924</v>
      </c>
      <c r="C244" s="32">
        <f>IFERROR(__xludf.DUMMYFUNCTION("""COMPUTED_VALUE"""),71.157)</f>
        <v>71.157</v>
      </c>
      <c r="E244" s="11"/>
      <c r="P244" s="11">
        <f t="shared" si="1"/>
        <v>23924</v>
      </c>
      <c r="Q244" s="9">
        <f t="shared" si="2"/>
        <v>1.85221763</v>
      </c>
    </row>
    <row r="245">
      <c r="A245" s="34"/>
      <c r="B245" s="11">
        <f>IFERROR(__xludf.DUMMYFUNCTION("""COMPUTED_VALUE"""),23833.0)</f>
        <v>23833</v>
      </c>
      <c r="C245" s="32">
        <f>IFERROR(__xludf.DUMMYFUNCTION("""COMPUTED_VALUE"""),68.163)</f>
        <v>68.163</v>
      </c>
      <c r="E245" s="11"/>
      <c r="P245" s="11">
        <f t="shared" si="1"/>
        <v>23833</v>
      </c>
      <c r="Q245" s="9">
        <f t="shared" si="2"/>
        <v>1.833548696</v>
      </c>
    </row>
    <row r="246">
      <c r="A246" s="34"/>
      <c r="B246" s="11">
        <f>IFERROR(__xludf.DUMMYFUNCTION("""COMPUTED_VALUE"""),23743.0)</f>
        <v>23743</v>
      </c>
      <c r="C246" s="32">
        <f>IFERROR(__xludf.DUMMYFUNCTION("""COMPUTED_VALUE"""),68.031)</f>
        <v>68.031</v>
      </c>
      <c r="E246" s="11"/>
      <c r="P246" s="11">
        <f t="shared" si="1"/>
        <v>23743</v>
      </c>
      <c r="Q246" s="9">
        <f t="shared" si="2"/>
        <v>1.832706855</v>
      </c>
    </row>
    <row r="247">
      <c r="A247" s="34"/>
      <c r="B247" s="11">
        <f>IFERROR(__xludf.DUMMYFUNCTION("""COMPUTED_VALUE"""),23651.0)</f>
        <v>23651</v>
      </c>
      <c r="C247" s="32">
        <f>IFERROR(__xludf.DUMMYFUNCTION("""COMPUTED_VALUE"""),69.002)</f>
        <v>69.002</v>
      </c>
      <c r="E247" s="11"/>
      <c r="P247" s="11">
        <f t="shared" si="1"/>
        <v>23651</v>
      </c>
      <c r="Q247" s="9">
        <f t="shared" si="2"/>
        <v>1.838861679</v>
      </c>
    </row>
    <row r="248">
      <c r="A248" s="34"/>
      <c r="B248" s="11">
        <f>IFERROR(__xludf.DUMMYFUNCTION("""COMPUTED_VALUE"""),23559.0)</f>
        <v>23559</v>
      </c>
      <c r="C248" s="32">
        <f>IFERROR(__xludf.DUMMYFUNCTION("""COMPUTED_VALUE"""),70.153)</f>
        <v>70.153</v>
      </c>
      <c r="E248" s="11"/>
      <c r="P248" s="11">
        <f t="shared" si="1"/>
        <v>23559</v>
      </c>
      <c r="Q248" s="9">
        <f t="shared" si="2"/>
        <v>1.846046248</v>
      </c>
    </row>
    <row r="249">
      <c r="A249" s="34"/>
      <c r="B249" s="11">
        <f>IFERROR(__xludf.DUMMYFUNCTION("""COMPUTED_VALUE"""),23468.0)</f>
        <v>23468</v>
      </c>
      <c r="C249" s="32">
        <f>IFERROR(__xludf.DUMMYFUNCTION("""COMPUTED_VALUE"""),69.375)</f>
        <v>69.375</v>
      </c>
      <c r="E249" s="11"/>
      <c r="P249" s="11">
        <f t="shared" si="1"/>
        <v>23468</v>
      </c>
      <c r="Q249" s="9">
        <f t="shared" si="2"/>
        <v>1.841202996</v>
      </c>
    </row>
    <row r="250">
      <c r="A250" s="34"/>
      <c r="B250" s="11">
        <f>IFERROR(__xludf.DUMMYFUNCTION("""COMPUTED_VALUE"""),23377.0)</f>
        <v>23377</v>
      </c>
      <c r="C250" s="32">
        <f>IFERROR(__xludf.DUMMYFUNCTION("""COMPUTED_VALUE"""),70.383)</f>
        <v>70.383</v>
      </c>
      <c r="E250" s="11"/>
      <c r="P250" s="11">
        <f t="shared" si="1"/>
        <v>23377</v>
      </c>
      <c r="Q250" s="9">
        <f t="shared" si="2"/>
        <v>1.847467774</v>
      </c>
    </row>
    <row r="251">
      <c r="A251" s="34"/>
      <c r="B251" s="11">
        <f>IFERROR(__xludf.DUMMYFUNCTION("""COMPUTED_VALUE"""),23285.0)</f>
        <v>23285</v>
      </c>
      <c r="C251" s="32">
        <f>IFERROR(__xludf.DUMMYFUNCTION("""COMPUTED_VALUE"""),70.88)</f>
        <v>70.88</v>
      </c>
      <c r="E251" s="11"/>
      <c r="P251" s="11">
        <f t="shared" si="1"/>
        <v>23285</v>
      </c>
      <c r="Q251" s="9">
        <f t="shared" si="2"/>
        <v>1.850523709</v>
      </c>
    </row>
    <row r="252">
      <c r="A252" s="34"/>
      <c r="B252" s="11">
        <f>IFERROR(__xludf.DUMMYFUNCTION("""COMPUTED_VALUE"""),23193.0)</f>
        <v>23193</v>
      </c>
      <c r="C252" s="32">
        <f>IFERROR(__xludf.DUMMYFUNCTION("""COMPUTED_VALUE"""),70.846)</f>
        <v>70.846</v>
      </c>
      <c r="E252" s="11"/>
      <c r="P252" s="11">
        <f t="shared" si="1"/>
        <v>23193</v>
      </c>
      <c r="Q252" s="9">
        <f t="shared" si="2"/>
        <v>1.850315335</v>
      </c>
    </row>
    <row r="253">
      <c r="A253" s="34"/>
      <c r="B253" s="11">
        <f>IFERROR(__xludf.DUMMYFUNCTION("""COMPUTED_VALUE"""),23102.0)</f>
        <v>23102</v>
      </c>
      <c r="C253" s="32">
        <f>IFERROR(__xludf.DUMMYFUNCTION("""COMPUTED_VALUE"""),68.896)</f>
        <v>68.896</v>
      </c>
      <c r="E253" s="11"/>
      <c r="P253" s="11">
        <f t="shared" si="1"/>
        <v>23102</v>
      </c>
      <c r="Q253" s="9">
        <f t="shared" si="2"/>
        <v>1.838194008</v>
      </c>
    </row>
    <row r="254">
      <c r="A254" s="34"/>
      <c r="B254" s="11">
        <f>IFERROR(__xludf.DUMMYFUNCTION("""COMPUTED_VALUE"""),23012.0)</f>
        <v>23012</v>
      </c>
      <c r="C254" s="32">
        <f>IFERROR(__xludf.DUMMYFUNCTION("""COMPUTED_VALUE"""),69.388)</f>
        <v>69.388</v>
      </c>
      <c r="E254" s="11"/>
      <c r="P254" s="11">
        <f t="shared" si="1"/>
        <v>23012</v>
      </c>
      <c r="Q254" s="9">
        <f t="shared" si="2"/>
        <v>1.84128437</v>
      </c>
    </row>
    <row r="255">
      <c r="A255" s="34"/>
      <c r="B255" s="11">
        <f>IFERROR(__xludf.DUMMYFUNCTION("""COMPUTED_VALUE"""),22920.0)</f>
        <v>22920</v>
      </c>
      <c r="C255" s="32">
        <f>IFERROR(__xludf.DUMMYFUNCTION("""COMPUTED_VALUE"""),70.278)</f>
        <v>70.278</v>
      </c>
      <c r="E255" s="11"/>
      <c r="P255" s="11">
        <f t="shared" si="1"/>
        <v>22920</v>
      </c>
      <c r="Q255" s="9">
        <f t="shared" si="2"/>
        <v>1.846819394</v>
      </c>
    </row>
    <row r="256">
      <c r="A256" s="34"/>
      <c r="B256" s="11">
        <f>IFERROR(__xludf.DUMMYFUNCTION("""COMPUTED_VALUE"""),22828.0)</f>
        <v>22828</v>
      </c>
      <c r="C256" s="32">
        <f>IFERROR(__xludf.DUMMYFUNCTION("""COMPUTED_VALUE"""),70.445)</f>
        <v>70.445</v>
      </c>
      <c r="E256" s="11"/>
      <c r="P256" s="11">
        <f t="shared" si="1"/>
        <v>22828</v>
      </c>
      <c r="Q256" s="9">
        <f t="shared" si="2"/>
        <v>1.847850173</v>
      </c>
    </row>
    <row r="257">
      <c r="A257" s="34"/>
      <c r="B257" s="11">
        <f>IFERROR(__xludf.DUMMYFUNCTION("""COMPUTED_VALUE"""),22737.0)</f>
        <v>22737</v>
      </c>
      <c r="C257" s="32">
        <f>IFERROR(__xludf.DUMMYFUNCTION("""COMPUTED_VALUE"""),68.916)</f>
        <v>68.916</v>
      </c>
      <c r="E257" s="11"/>
      <c r="P257" s="11">
        <f t="shared" si="1"/>
        <v>22737</v>
      </c>
      <c r="Q257" s="9">
        <f t="shared" si="2"/>
        <v>1.838320062</v>
      </c>
    </row>
    <row r="258">
      <c r="A258" s="34"/>
      <c r="B258" s="11">
        <f>IFERROR(__xludf.DUMMYFUNCTION("""COMPUTED_VALUE"""),22647.0)</f>
        <v>22647</v>
      </c>
      <c r="C258" s="32">
        <f>IFERROR(__xludf.DUMMYFUNCTION("""COMPUTED_VALUE"""),69.164)</f>
        <v>69.164</v>
      </c>
      <c r="E258" s="11"/>
      <c r="P258" s="11">
        <f t="shared" si="1"/>
        <v>22647</v>
      </c>
      <c r="Q258" s="9">
        <f t="shared" si="2"/>
        <v>1.839880102</v>
      </c>
    </row>
    <row r="259">
      <c r="A259" s="34"/>
      <c r="B259" s="11">
        <f>IFERROR(__xludf.DUMMYFUNCTION("""COMPUTED_VALUE"""),22555.0)</f>
        <v>22555</v>
      </c>
      <c r="C259" s="32">
        <f>IFERROR(__xludf.DUMMYFUNCTION("""COMPUTED_VALUE"""),66.462)</f>
        <v>66.462</v>
      </c>
      <c r="E259" s="11"/>
      <c r="P259" s="11">
        <f t="shared" si="1"/>
        <v>22555</v>
      </c>
      <c r="Q259" s="9">
        <f t="shared" si="2"/>
        <v>1.822573406</v>
      </c>
    </row>
    <row r="260">
      <c r="A260" s="34"/>
      <c r="B260" s="11">
        <f>IFERROR(__xludf.DUMMYFUNCTION("""COMPUTED_VALUE"""),22463.0)</f>
        <v>22463</v>
      </c>
      <c r="C260" s="32">
        <f>IFERROR(__xludf.DUMMYFUNCTION("""COMPUTED_VALUE"""),64.961)</f>
        <v>64.961</v>
      </c>
      <c r="E260" s="11"/>
      <c r="P260" s="11">
        <f t="shared" si="1"/>
        <v>22463</v>
      </c>
      <c r="Q260" s="9">
        <f t="shared" si="2"/>
        <v>1.812652702</v>
      </c>
    </row>
    <row r="261">
      <c r="A261" s="34"/>
      <c r="B261" s="11">
        <f>IFERROR(__xludf.DUMMYFUNCTION("""COMPUTED_VALUE"""),22372.0)</f>
        <v>22372</v>
      </c>
      <c r="C261" s="32">
        <f>IFERROR(__xludf.DUMMYFUNCTION("""COMPUTED_VALUE"""),63.357)</f>
        <v>63.357</v>
      </c>
      <c r="E261" s="11"/>
      <c r="P261" s="11">
        <f t="shared" si="1"/>
        <v>22372</v>
      </c>
      <c r="Q261" s="9">
        <f t="shared" si="2"/>
        <v>1.801794605</v>
      </c>
    </row>
    <row r="262">
      <c r="A262" s="34"/>
      <c r="B262" s="11">
        <f>IFERROR(__xludf.DUMMYFUNCTION("""COMPUTED_VALUE"""),22282.0)</f>
        <v>22282</v>
      </c>
      <c r="C262" s="32">
        <f>IFERROR(__xludf.DUMMYFUNCTION("""COMPUTED_VALUE"""),63.393)</f>
        <v>63.393</v>
      </c>
      <c r="E262" s="11"/>
      <c r="P262" s="11">
        <f t="shared" si="1"/>
        <v>22282</v>
      </c>
      <c r="Q262" s="9">
        <f t="shared" si="2"/>
        <v>1.802041305</v>
      </c>
    </row>
    <row r="263">
      <c r="A263" s="34"/>
      <c r="B263" s="11">
        <f>IFERROR(__xludf.DUMMYFUNCTION("""COMPUTED_VALUE"""),22190.0)</f>
        <v>22190</v>
      </c>
      <c r="C263" s="32">
        <f>IFERROR(__xludf.DUMMYFUNCTION("""COMPUTED_VALUE"""),62.094)</f>
        <v>62.094</v>
      </c>
      <c r="E263" s="11"/>
      <c r="P263" s="11">
        <f t="shared" si="1"/>
        <v>22190</v>
      </c>
      <c r="Q263" s="9">
        <f t="shared" si="2"/>
        <v>1.793049637</v>
      </c>
    </row>
    <row r="264">
      <c r="A264" s="34"/>
      <c r="B264" s="11">
        <f>IFERROR(__xludf.DUMMYFUNCTION("""COMPUTED_VALUE"""),22098.0)</f>
        <v>22098</v>
      </c>
      <c r="C264" s="32">
        <f>IFERROR(__xludf.DUMMYFUNCTION("""COMPUTED_VALUE"""),61.963)</f>
        <v>61.963</v>
      </c>
      <c r="E264" s="11"/>
      <c r="P264" s="11">
        <f t="shared" si="1"/>
        <v>22098</v>
      </c>
      <c r="Q264" s="9">
        <f t="shared" si="2"/>
        <v>1.792132436</v>
      </c>
    </row>
    <row r="265">
      <c r="A265" s="34"/>
      <c r="B265" s="11">
        <f>IFERROR(__xludf.DUMMYFUNCTION("""COMPUTED_VALUE"""),22007.0)</f>
        <v>22007</v>
      </c>
      <c r="C265" s="32">
        <f>IFERROR(__xludf.DUMMYFUNCTION("""COMPUTED_VALUE"""),59.522)</f>
        <v>59.522</v>
      </c>
      <c r="E265" s="11"/>
      <c r="P265" s="11">
        <f t="shared" si="1"/>
        <v>22007</v>
      </c>
      <c r="Q265" s="9">
        <f t="shared" si="2"/>
        <v>1.774677516</v>
      </c>
    </row>
    <row r="266">
      <c r="A266" s="34"/>
      <c r="B266" s="11">
        <f>IFERROR(__xludf.DUMMYFUNCTION("""COMPUTED_VALUE"""),21916.0)</f>
        <v>21916</v>
      </c>
      <c r="C266" s="32">
        <f>IFERROR(__xludf.DUMMYFUNCTION("""COMPUTED_VALUE"""),60.024)</f>
        <v>60.024</v>
      </c>
      <c r="E266" s="11"/>
      <c r="P266" s="11">
        <f t="shared" si="1"/>
        <v>21916</v>
      </c>
      <c r="Q266" s="9">
        <f t="shared" si="2"/>
        <v>1.778324933</v>
      </c>
    </row>
    <row r="267">
      <c r="A267" s="34"/>
      <c r="B267" s="11">
        <f>IFERROR(__xludf.DUMMYFUNCTION("""COMPUTED_VALUE"""),21824.0)</f>
        <v>21824</v>
      </c>
      <c r="C267" s="32">
        <f>IFERROR(__xludf.DUMMYFUNCTION("""COMPUTED_VALUE"""),60.956)</f>
        <v>60.956</v>
      </c>
      <c r="E267" s="11"/>
      <c r="P267" s="11">
        <f t="shared" si="1"/>
        <v>21824</v>
      </c>
      <c r="Q267" s="9">
        <f t="shared" si="2"/>
        <v>1.78501646</v>
      </c>
    </row>
    <row r="268">
      <c r="A268" s="34"/>
      <c r="B268" s="11">
        <f>IFERROR(__xludf.DUMMYFUNCTION("""COMPUTED_VALUE"""),21732.0)</f>
        <v>21732</v>
      </c>
      <c r="C268" s="32">
        <f>IFERROR(__xludf.DUMMYFUNCTION("""COMPUTED_VALUE"""),61.398)</f>
        <v>61.398</v>
      </c>
      <c r="E268" s="11"/>
      <c r="P268" s="11">
        <f t="shared" si="1"/>
        <v>21732</v>
      </c>
      <c r="Q268" s="9">
        <f t="shared" si="2"/>
        <v>1.788154225</v>
      </c>
    </row>
    <row r="269">
      <c r="A269" s="34"/>
      <c r="B269" s="11">
        <f>IFERROR(__xludf.DUMMYFUNCTION("""COMPUTED_VALUE"""),21641.0)</f>
        <v>21641</v>
      </c>
      <c r="C269" s="32">
        <f>IFERROR(__xludf.DUMMYFUNCTION("""COMPUTED_VALUE"""),60.29)</f>
        <v>60.29</v>
      </c>
      <c r="E269" s="11"/>
      <c r="P269" s="11">
        <f t="shared" si="1"/>
        <v>21641</v>
      </c>
      <c r="Q269" s="9">
        <f t="shared" si="2"/>
        <v>1.780245284</v>
      </c>
    </row>
    <row r="270">
      <c r="A270" s="34"/>
      <c r="B270" s="11">
        <f>IFERROR(__xludf.DUMMYFUNCTION("""COMPUTED_VALUE"""),21551.0)</f>
        <v>21551</v>
      </c>
      <c r="C270" s="32">
        <f>IFERROR(__xludf.DUMMYFUNCTION("""COMPUTED_VALUE"""),61.137)</f>
        <v>61.137</v>
      </c>
      <c r="E270" s="11"/>
      <c r="P270" s="11">
        <f t="shared" si="1"/>
        <v>21551</v>
      </c>
      <c r="Q270" s="9">
        <f t="shared" si="2"/>
        <v>1.786304124</v>
      </c>
    </row>
    <row r="271">
      <c r="A271" s="34"/>
      <c r="B271" s="11">
        <f>IFERROR(__xludf.DUMMYFUNCTION("""COMPUTED_VALUE"""),21459.0)</f>
        <v>21459</v>
      </c>
      <c r="C271" s="32">
        <f>IFERROR(__xludf.DUMMYFUNCTION("""COMPUTED_VALUE"""),63.429)</f>
        <v>63.429</v>
      </c>
      <c r="E271" s="11"/>
      <c r="P271" s="11">
        <f t="shared" si="1"/>
        <v>21459</v>
      </c>
      <c r="Q271" s="9">
        <f t="shared" si="2"/>
        <v>1.802287865</v>
      </c>
    </row>
    <row r="272">
      <c r="A272" s="34"/>
      <c r="B272" s="11">
        <f>IFERROR(__xludf.DUMMYFUNCTION("""COMPUTED_VALUE"""),21367.0)</f>
        <v>21367</v>
      </c>
      <c r="C272" s="32">
        <f>IFERROR(__xludf.DUMMYFUNCTION("""COMPUTED_VALUE"""),62.633)</f>
        <v>62.633</v>
      </c>
      <c r="E272" s="11"/>
      <c r="P272" s="11">
        <f t="shared" si="1"/>
        <v>21367</v>
      </c>
      <c r="Q272" s="9">
        <f t="shared" si="2"/>
        <v>1.796803214</v>
      </c>
    </row>
    <row r="273">
      <c r="A273" s="34"/>
      <c r="B273" s="11">
        <f>IFERROR(__xludf.DUMMYFUNCTION("""COMPUTED_VALUE"""),21276.0)</f>
        <v>21276</v>
      </c>
      <c r="C273" s="32">
        <f>IFERROR(__xludf.DUMMYFUNCTION("""COMPUTED_VALUE"""),61.977)</f>
        <v>61.977</v>
      </c>
      <c r="E273" s="11"/>
      <c r="P273" s="11">
        <f t="shared" si="1"/>
        <v>21276</v>
      </c>
      <c r="Q273" s="9">
        <f t="shared" si="2"/>
        <v>1.79223055</v>
      </c>
    </row>
    <row r="274">
      <c r="A274" s="34"/>
      <c r="B274" s="11">
        <f>IFERROR(__xludf.DUMMYFUNCTION("""COMPUTED_VALUE"""),21186.0)</f>
        <v>21186</v>
      </c>
      <c r="C274" s="32">
        <f>IFERROR(__xludf.DUMMYFUNCTION("""COMPUTED_VALUE"""),60.841)</f>
        <v>60.841</v>
      </c>
      <c r="E274" s="11"/>
      <c r="P274" s="11">
        <f t="shared" si="1"/>
        <v>21186</v>
      </c>
      <c r="Q274" s="9">
        <f t="shared" si="2"/>
        <v>1.784196344</v>
      </c>
    </row>
    <row r="275">
      <c r="A275" s="34"/>
      <c r="B275" s="11">
        <f>IFERROR(__xludf.DUMMYFUNCTION("""COMPUTED_VALUE"""),21094.0)</f>
        <v>21094</v>
      </c>
      <c r="C275" s="32">
        <f>IFERROR(__xludf.DUMMYFUNCTION("""COMPUTED_VALUE"""),60.626)</f>
        <v>60.626</v>
      </c>
      <c r="E275" s="11"/>
      <c r="P275" s="11">
        <f t="shared" si="1"/>
        <v>21094</v>
      </c>
      <c r="Q275" s="9">
        <f t="shared" si="2"/>
        <v>1.782658915</v>
      </c>
    </row>
    <row r="276">
      <c r="A276" s="34"/>
      <c r="B276" s="11">
        <f>IFERROR(__xludf.DUMMYFUNCTION("""COMPUTED_VALUE"""),21002.0)</f>
        <v>21002</v>
      </c>
      <c r="C276" s="32">
        <f>IFERROR(__xludf.DUMMYFUNCTION("""COMPUTED_VALUE"""),60.667)</f>
        <v>60.667</v>
      </c>
      <c r="E276" s="11"/>
      <c r="P276" s="11">
        <f t="shared" si="1"/>
        <v>21002</v>
      </c>
      <c r="Q276" s="9">
        <f t="shared" si="2"/>
        <v>1.782952519</v>
      </c>
    </row>
    <row r="277">
      <c r="A277" s="34"/>
      <c r="B277" s="11">
        <f>IFERROR(__xludf.DUMMYFUNCTION("""COMPUTED_VALUE"""),20911.0)</f>
        <v>20911</v>
      </c>
      <c r="C277" s="32">
        <f>IFERROR(__xludf.DUMMYFUNCTION("""COMPUTED_VALUE"""),59.639)</f>
        <v>59.639</v>
      </c>
      <c r="E277" s="11"/>
      <c r="P277" s="11">
        <f t="shared" si="1"/>
        <v>20911</v>
      </c>
      <c r="Q277" s="9">
        <f t="shared" si="2"/>
        <v>1.775530353</v>
      </c>
    </row>
    <row r="278">
      <c r="A278" s="34"/>
      <c r="B278" s="11">
        <f>IFERROR(__xludf.DUMMYFUNCTION("""COMPUTED_VALUE"""),20821.0)</f>
        <v>20821</v>
      </c>
      <c r="C278" s="32">
        <f>IFERROR(__xludf.DUMMYFUNCTION("""COMPUTED_VALUE"""),58.831)</f>
        <v>58.831</v>
      </c>
      <c r="E278" s="11"/>
      <c r="P278" s="11">
        <f t="shared" si="1"/>
        <v>20821</v>
      </c>
      <c r="Q278" s="9">
        <f t="shared" si="2"/>
        <v>1.769606231</v>
      </c>
    </row>
    <row r="279">
      <c r="A279" s="34"/>
      <c r="B279" s="11">
        <f>IFERROR(__xludf.DUMMYFUNCTION("""COMPUTED_VALUE"""),20729.0)</f>
        <v>20729</v>
      </c>
      <c r="C279" s="32">
        <f>IFERROR(__xludf.DUMMYFUNCTION("""COMPUTED_VALUE"""),57.042)</f>
        <v>57.042</v>
      </c>
      <c r="E279" s="11"/>
      <c r="P279" s="11">
        <f t="shared" si="1"/>
        <v>20729</v>
      </c>
      <c r="Q279" s="9">
        <f t="shared" si="2"/>
        <v>1.756194744</v>
      </c>
    </row>
    <row r="280">
      <c r="A280" s="34"/>
      <c r="B280" s="11">
        <f>IFERROR(__xludf.DUMMYFUNCTION("""COMPUTED_VALUE"""),20637.0)</f>
        <v>20637</v>
      </c>
      <c r="C280" s="32">
        <f>IFERROR(__xludf.DUMMYFUNCTION("""COMPUTED_VALUE"""),55.09)</f>
        <v>55.09</v>
      </c>
      <c r="E280" s="11"/>
      <c r="P280" s="11">
        <f t="shared" si="1"/>
        <v>20637</v>
      </c>
      <c r="Q280" s="9">
        <f t="shared" si="2"/>
        <v>1.741072772</v>
      </c>
    </row>
    <row r="281">
      <c r="A281" s="34"/>
      <c r="B281" s="11">
        <f>IFERROR(__xludf.DUMMYFUNCTION("""COMPUTED_VALUE"""),20546.0)</f>
        <v>20546</v>
      </c>
      <c r="C281" s="32">
        <f>IFERROR(__xludf.DUMMYFUNCTION("""COMPUTED_VALUE"""),54.943)</f>
        <v>54.943</v>
      </c>
      <c r="E281" s="11"/>
      <c r="P281" s="11">
        <f t="shared" si="1"/>
        <v>20546</v>
      </c>
      <c r="Q281" s="9">
        <f t="shared" si="2"/>
        <v>1.739912369</v>
      </c>
    </row>
    <row r="282">
      <c r="A282" s="34"/>
      <c r="B282" s="11">
        <f>IFERROR(__xludf.DUMMYFUNCTION("""COMPUTED_VALUE"""),20455.0)</f>
        <v>20455</v>
      </c>
      <c r="C282" s="32">
        <f>IFERROR(__xludf.DUMMYFUNCTION("""COMPUTED_VALUE"""),52.758)</f>
        <v>52.758</v>
      </c>
      <c r="E282" s="11"/>
      <c r="P282" s="11">
        <f t="shared" si="1"/>
        <v>20455</v>
      </c>
      <c r="Q282" s="9">
        <f t="shared" si="2"/>
        <v>1.722288324</v>
      </c>
    </row>
    <row r="283">
      <c r="A283" s="34"/>
      <c r="B283" s="11">
        <f>IFERROR(__xludf.DUMMYFUNCTION("""COMPUTED_VALUE"""),20363.0)</f>
        <v>20363</v>
      </c>
      <c r="C283" s="32">
        <f>IFERROR(__xludf.DUMMYFUNCTION("""COMPUTED_VALUE"""),52.152)</f>
        <v>52.152</v>
      </c>
      <c r="E283" s="11"/>
      <c r="P283" s="11">
        <f t="shared" si="1"/>
        <v>20363</v>
      </c>
      <c r="Q283" s="9">
        <f t="shared" si="2"/>
        <v>1.717270968</v>
      </c>
    </row>
    <row r="284">
      <c r="A284" s="34"/>
      <c r="B284" s="11">
        <f>IFERROR(__xludf.DUMMYFUNCTION("""COMPUTED_VALUE"""),20271.0)</f>
        <v>20271</v>
      </c>
      <c r="C284" s="32">
        <f>IFERROR(__xludf.DUMMYFUNCTION("""COMPUTED_VALUE"""),53.076)</f>
        <v>53.076</v>
      </c>
      <c r="E284" s="11"/>
      <c r="P284" s="11">
        <f t="shared" si="1"/>
        <v>20271</v>
      </c>
      <c r="Q284" s="9">
        <f t="shared" si="2"/>
        <v>1.724898185</v>
      </c>
    </row>
    <row r="285">
      <c r="A285" s="34"/>
      <c r="B285" s="11">
        <f>IFERROR(__xludf.DUMMYFUNCTION("""COMPUTED_VALUE"""),20180.0)</f>
        <v>20180</v>
      </c>
      <c r="C285" s="32">
        <f>IFERROR(__xludf.DUMMYFUNCTION("""COMPUTED_VALUE"""),51.867)</f>
        <v>51.867</v>
      </c>
      <c r="E285" s="11"/>
      <c r="P285" s="11">
        <f t="shared" si="1"/>
        <v>20180</v>
      </c>
      <c r="Q285" s="9">
        <f t="shared" si="2"/>
        <v>1.714891129</v>
      </c>
    </row>
    <row r="286">
      <c r="A286" s="34"/>
      <c r="B286" s="11">
        <f>IFERROR(__xludf.DUMMYFUNCTION("""COMPUTED_VALUE"""),20090.0)</f>
        <v>20090</v>
      </c>
      <c r="C286" s="32">
        <f>IFERROR(__xludf.DUMMYFUNCTION("""COMPUTED_VALUE"""),52.356)</f>
        <v>52.356</v>
      </c>
      <c r="E286" s="11"/>
      <c r="P286" s="11">
        <f t="shared" si="1"/>
        <v>20090</v>
      </c>
      <c r="Q286" s="9">
        <f t="shared" si="2"/>
        <v>1.718966459</v>
      </c>
    </row>
    <row r="287">
      <c r="A287" s="34"/>
      <c r="B287" s="11">
        <f>IFERROR(__xludf.DUMMYFUNCTION("""COMPUTED_VALUE"""),19998.0)</f>
        <v>19998</v>
      </c>
      <c r="C287" s="32">
        <f>IFERROR(__xludf.DUMMYFUNCTION("""COMPUTED_VALUE"""),52.038)</f>
        <v>52.038</v>
      </c>
      <c r="E287" s="11"/>
      <c r="P287" s="11">
        <f t="shared" si="1"/>
        <v>19998</v>
      </c>
      <c r="Q287" s="9">
        <f t="shared" si="2"/>
        <v>1.716320597</v>
      </c>
    </row>
    <row r="288">
      <c r="A288" s="34"/>
      <c r="B288" s="11">
        <f>IFERROR(__xludf.DUMMYFUNCTION("""COMPUTED_VALUE"""),19906.0)</f>
        <v>19906</v>
      </c>
      <c r="C288" s="32">
        <f>IFERROR(__xludf.DUMMYFUNCTION("""COMPUTED_VALUE"""),53.215)</f>
        <v>53.215</v>
      </c>
      <c r="E288" s="11"/>
      <c r="P288" s="11">
        <f t="shared" si="1"/>
        <v>19906</v>
      </c>
      <c r="Q288" s="9">
        <f t="shared" si="2"/>
        <v>1.726034066</v>
      </c>
    </row>
    <row r="289">
      <c r="A289" s="34"/>
      <c r="B289" s="11">
        <f>IFERROR(__xludf.DUMMYFUNCTION("""COMPUTED_VALUE"""),19815.0)</f>
        <v>19815</v>
      </c>
      <c r="C289" s="32">
        <f>IFERROR(__xludf.DUMMYFUNCTION("""COMPUTED_VALUE"""),55.214)</f>
        <v>55.214</v>
      </c>
      <c r="E289" s="11"/>
      <c r="P289" s="11">
        <f t="shared" si="1"/>
        <v>19815</v>
      </c>
      <c r="Q289" s="9">
        <f t="shared" si="2"/>
        <v>1.742049211</v>
      </c>
    </row>
    <row r="290">
      <c r="A290" s="34"/>
      <c r="B290" s="11">
        <f>IFERROR(__xludf.DUMMYFUNCTION("""COMPUTED_VALUE"""),19725.0)</f>
        <v>19725</v>
      </c>
      <c r="C290" s="32">
        <f>IFERROR(__xludf.DUMMYFUNCTION("""COMPUTED_VALUE"""),57.326)</f>
        <v>57.326</v>
      </c>
      <c r="E290" s="11"/>
      <c r="P290" s="11">
        <f t="shared" si="1"/>
        <v>19725</v>
      </c>
      <c r="Q290" s="9">
        <f t="shared" si="2"/>
        <v>1.758351639</v>
      </c>
    </row>
    <row r="291">
      <c r="A291" s="34"/>
      <c r="B291" s="11">
        <f>IFERROR(__xludf.DUMMYFUNCTION("""COMPUTED_VALUE"""),19633.0)</f>
        <v>19633</v>
      </c>
      <c r="C291" s="32">
        <f>IFERROR(__xludf.DUMMYFUNCTION("""COMPUTED_VALUE"""),60.29)</f>
        <v>60.29</v>
      </c>
      <c r="E291" s="11"/>
      <c r="P291" s="11">
        <f t="shared" si="1"/>
        <v>19633</v>
      </c>
      <c r="Q291" s="9">
        <f t="shared" si="2"/>
        <v>1.780245284</v>
      </c>
    </row>
    <row r="292">
      <c r="A292" s="34"/>
      <c r="B292" s="11">
        <f>IFERROR(__xludf.DUMMYFUNCTION("""COMPUTED_VALUE"""),19541.0)</f>
        <v>19541</v>
      </c>
      <c r="C292" s="32">
        <f>IFERROR(__xludf.DUMMYFUNCTION("""COMPUTED_VALUE"""),60.964)</f>
        <v>60.964</v>
      </c>
      <c r="E292" s="11"/>
      <c r="P292" s="11">
        <f t="shared" si="1"/>
        <v>19541</v>
      </c>
      <c r="Q292" s="9">
        <f t="shared" si="2"/>
        <v>1.785073454</v>
      </c>
    </row>
    <row r="293">
      <c r="A293" s="34"/>
      <c r="B293" s="11">
        <f>IFERROR(__xludf.DUMMYFUNCTION("""COMPUTED_VALUE"""),19450.0)</f>
        <v>19450</v>
      </c>
      <c r="C293" s="32">
        <f>IFERROR(__xludf.DUMMYFUNCTION("""COMPUTED_VALUE"""),61.975)</f>
        <v>61.975</v>
      </c>
      <c r="E293" s="11"/>
      <c r="P293" s="11">
        <f t="shared" si="1"/>
        <v>19450</v>
      </c>
      <c r="Q293" s="9">
        <f t="shared" si="2"/>
        <v>1.792216535</v>
      </c>
    </row>
    <row r="294">
      <c r="A294" s="34"/>
      <c r="B294" s="11">
        <f>IFERROR(__xludf.DUMMYFUNCTION("""COMPUTED_VALUE"""),19360.0)</f>
        <v>19360</v>
      </c>
      <c r="C294" s="32">
        <f>IFERROR(__xludf.DUMMYFUNCTION("""COMPUTED_VALUE"""),61.306)</f>
        <v>61.306</v>
      </c>
      <c r="E294" s="11"/>
      <c r="P294" s="11">
        <f t="shared" si="1"/>
        <v>19360</v>
      </c>
      <c r="Q294" s="9">
        <f t="shared" si="2"/>
        <v>1.787502981</v>
      </c>
    </row>
    <row r="295">
      <c r="A295" s="34"/>
      <c r="B295" s="11">
        <f>IFERROR(__xludf.DUMMYFUNCTION("""COMPUTED_VALUE"""),19268.0)</f>
        <v>19268</v>
      </c>
      <c r="C295" s="32">
        <f>IFERROR(__xludf.DUMMYFUNCTION("""COMPUTED_VALUE"""),60.506)</f>
        <v>60.506</v>
      </c>
      <c r="E295" s="11"/>
      <c r="P295" s="11">
        <f t="shared" si="1"/>
        <v>19268</v>
      </c>
      <c r="Q295" s="9">
        <f t="shared" si="2"/>
        <v>1.781798443</v>
      </c>
    </row>
    <row r="296">
      <c r="A296" s="34"/>
      <c r="B296" s="11">
        <f>IFERROR(__xludf.DUMMYFUNCTION("""COMPUTED_VALUE"""),19176.0)</f>
        <v>19176</v>
      </c>
      <c r="C296" s="32">
        <f>IFERROR(__xludf.DUMMYFUNCTION("""COMPUTED_VALUE"""),58.675)</f>
        <v>58.675</v>
      </c>
      <c r="E296" s="11"/>
      <c r="P296" s="11">
        <f t="shared" si="1"/>
        <v>19176</v>
      </c>
      <c r="Q296" s="9">
        <f t="shared" si="2"/>
        <v>1.768453098</v>
      </c>
    </row>
    <row r="297">
      <c r="A297" s="34"/>
      <c r="B297" s="11">
        <f>IFERROR(__xludf.DUMMYFUNCTION("""COMPUTED_VALUE"""),19085.0)</f>
        <v>19085</v>
      </c>
      <c r="C297" s="32">
        <f>IFERROR(__xludf.DUMMYFUNCTION("""COMPUTED_VALUE"""),56.979)</f>
        <v>56.979</v>
      </c>
      <c r="E297" s="11"/>
      <c r="P297" s="11">
        <f t="shared" si="1"/>
        <v>19085</v>
      </c>
      <c r="Q297" s="9">
        <f t="shared" si="2"/>
        <v>1.755714823</v>
      </c>
    </row>
    <row r="298">
      <c r="A298" s="34"/>
      <c r="B298" s="11">
        <f>IFERROR(__xludf.DUMMYFUNCTION("""COMPUTED_VALUE"""),18994.0)</f>
        <v>18994</v>
      </c>
      <c r="C298" s="32">
        <f>IFERROR(__xludf.DUMMYFUNCTION("""COMPUTED_VALUE"""),53.49)</f>
        <v>53.49</v>
      </c>
      <c r="E298" s="11"/>
      <c r="P298" s="11">
        <f t="shared" si="1"/>
        <v>18994</v>
      </c>
      <c r="Q298" s="9">
        <f t="shared" si="2"/>
        <v>1.728272598</v>
      </c>
    </row>
    <row r="299">
      <c r="A299" s="34"/>
      <c r="B299" s="11">
        <f>IFERROR(__xludf.DUMMYFUNCTION("""COMPUTED_VALUE"""),18902.0)</f>
        <v>18902</v>
      </c>
      <c r="C299" s="32">
        <f>IFERROR(__xludf.DUMMYFUNCTION("""COMPUTED_VALUE"""),52.874)</f>
        <v>52.874</v>
      </c>
      <c r="E299" s="11"/>
      <c r="P299" s="11">
        <f t="shared" si="1"/>
        <v>18902</v>
      </c>
      <c r="Q299" s="9">
        <f t="shared" si="2"/>
        <v>1.723242167</v>
      </c>
    </row>
    <row r="300">
      <c r="A300" s="34"/>
      <c r="B300" s="11">
        <f>IFERROR(__xludf.DUMMYFUNCTION("""COMPUTED_VALUE"""),18810.0)</f>
        <v>18810</v>
      </c>
      <c r="C300" s="32">
        <f>IFERROR(__xludf.DUMMYFUNCTION("""COMPUTED_VALUE"""),48.081)</f>
        <v>48.081</v>
      </c>
      <c r="E300" s="11"/>
      <c r="P300" s="11">
        <f t="shared" si="1"/>
        <v>18810</v>
      </c>
      <c r="Q300" s="9">
        <f t="shared" si="2"/>
        <v>1.681973492</v>
      </c>
    </row>
    <row r="301">
      <c r="A301" s="34"/>
      <c r="B301" s="11">
        <f>IFERROR(__xludf.DUMMYFUNCTION("""COMPUTED_VALUE"""),18719.0)</f>
        <v>18719</v>
      </c>
      <c r="C301" s="32">
        <f>IFERROR(__xludf.DUMMYFUNCTION("""COMPUTED_VALUE"""),40.264)</f>
        <v>40.264</v>
      </c>
      <c r="E301" s="11"/>
      <c r="P301" s="11">
        <f t="shared" si="1"/>
        <v>18719</v>
      </c>
      <c r="Q301" s="9">
        <f t="shared" si="2"/>
        <v>1.604916917</v>
      </c>
    </row>
    <row r="302">
      <c r="A302" s="34"/>
      <c r="B302" s="11">
        <f>IFERROR(__xludf.DUMMYFUNCTION("""COMPUTED_VALUE"""),18629.0)</f>
        <v>18629</v>
      </c>
      <c r="C302" s="32">
        <f>IFERROR(__xludf.DUMMYFUNCTION("""COMPUTED_VALUE"""),33.539)</f>
        <v>33.539</v>
      </c>
      <c r="E302" s="11"/>
      <c r="P302" s="11">
        <f t="shared" si="1"/>
        <v>18629</v>
      </c>
      <c r="Q302" s="9">
        <f t="shared" si="2"/>
        <v>1.52555011</v>
      </c>
    </row>
    <row r="303">
      <c r="A303" s="34"/>
      <c r="B303" s="11">
        <f>IFERROR(__xludf.DUMMYFUNCTION("""COMPUTED_VALUE"""),18537.0)</f>
        <v>18537</v>
      </c>
      <c r="C303" s="32">
        <f>IFERROR(__xludf.DUMMYFUNCTION("""COMPUTED_VALUE"""),26.061)</f>
        <v>26.061</v>
      </c>
      <c r="E303" s="11"/>
      <c r="P303" s="11">
        <f t="shared" si="1"/>
        <v>18537</v>
      </c>
      <c r="Q303" s="9">
        <f t="shared" si="2"/>
        <v>1.415991076</v>
      </c>
    </row>
    <row r="304">
      <c r="A304" s="34"/>
      <c r="B304" s="11">
        <f>IFERROR(__xludf.DUMMYFUNCTION("""COMPUTED_VALUE"""),18445.0)</f>
        <v>18445</v>
      </c>
      <c r="C304" s="32">
        <f>IFERROR(__xludf.DUMMYFUNCTION("""COMPUTED_VALUE"""),22.696)</f>
        <v>22.696</v>
      </c>
      <c r="E304" s="11"/>
      <c r="P304" s="11">
        <f t="shared" si="1"/>
        <v>18445</v>
      </c>
      <c r="Q304" s="9">
        <f t="shared" si="2"/>
        <v>1.355949323</v>
      </c>
    </row>
    <row r="305">
      <c r="A305" s="34"/>
      <c r="B305" s="11">
        <f>IFERROR(__xludf.DUMMYFUNCTION("""COMPUTED_VALUE"""),18354.0)</f>
        <v>18354</v>
      </c>
      <c r="C305" s="32">
        <f>IFERROR(__xludf.DUMMYFUNCTION("""COMPUTED_VALUE"""),20.95)</f>
        <v>20.95</v>
      </c>
      <c r="E305" s="11"/>
      <c r="P305" s="11">
        <f t="shared" si="1"/>
        <v>18354</v>
      </c>
      <c r="Q305" s="9">
        <f t="shared" si="2"/>
        <v>1.321184027</v>
      </c>
    </row>
    <row r="306">
      <c r="A306" s="34"/>
      <c r="B306" s="11">
        <f>IFERROR(__xludf.DUMMYFUNCTION("""COMPUTED_VALUE"""),18264.0)</f>
        <v>18264</v>
      </c>
      <c r="C306" s="32">
        <f>IFERROR(__xludf.DUMMYFUNCTION("""COMPUTED_VALUE"""),20.89)</f>
        <v>20.89</v>
      </c>
      <c r="E306" s="11"/>
      <c r="P306" s="11">
        <f t="shared" si="1"/>
        <v>18264</v>
      </c>
      <c r="Q306" s="9">
        <f t="shared" si="2"/>
        <v>1.31993844</v>
      </c>
    </row>
    <row r="307">
      <c r="A307" s="34"/>
      <c r="B307" s="11">
        <f>IFERROR(__xludf.DUMMYFUNCTION("""COMPUTED_VALUE"""),18172.0)</f>
        <v>18172</v>
      </c>
      <c r="C307" s="32">
        <f>IFERROR(__xludf.DUMMYFUNCTION("""COMPUTED_VALUE"""),21.602)</f>
        <v>21.602</v>
      </c>
      <c r="E307" s="11"/>
      <c r="P307" s="11">
        <f t="shared" si="1"/>
        <v>18172</v>
      </c>
      <c r="Q307" s="9">
        <f t="shared" si="2"/>
        <v>1.334493962</v>
      </c>
    </row>
    <row r="308">
      <c r="A308" s="34"/>
      <c r="B308" s="11">
        <f>IFERROR(__xludf.DUMMYFUNCTION("""COMPUTED_VALUE"""),18080.0)</f>
        <v>18080</v>
      </c>
      <c r="C308" s="32">
        <f>IFERROR(__xludf.DUMMYFUNCTION("""COMPUTED_VALUE"""),22.546)</f>
        <v>22.546</v>
      </c>
      <c r="E308" s="11"/>
      <c r="P308" s="11">
        <f t="shared" si="1"/>
        <v>18080</v>
      </c>
      <c r="Q308" s="9">
        <f t="shared" si="2"/>
        <v>1.353069503</v>
      </c>
    </row>
    <row r="309">
      <c r="A309" s="34"/>
      <c r="B309" s="11">
        <f>IFERROR(__xludf.DUMMYFUNCTION("""COMPUTED_VALUE"""),17989.0)</f>
        <v>17989</v>
      </c>
      <c r="C309" s="32">
        <f>IFERROR(__xludf.DUMMYFUNCTION("""COMPUTED_VALUE"""),22.753)</f>
        <v>22.753</v>
      </c>
      <c r="E309" s="11"/>
      <c r="P309" s="11">
        <f t="shared" si="1"/>
        <v>17989</v>
      </c>
      <c r="Q309" s="9">
        <f t="shared" si="2"/>
        <v>1.357038667</v>
      </c>
    </row>
    <row r="310">
      <c r="A310" s="34"/>
      <c r="B310" s="11">
        <f>IFERROR(__xludf.DUMMYFUNCTION("""COMPUTED_VALUE"""),17899.0)</f>
        <v>17899</v>
      </c>
      <c r="C310" s="32">
        <f>IFERROR(__xludf.DUMMYFUNCTION("""COMPUTED_VALUE"""),22.461)</f>
        <v>22.461</v>
      </c>
      <c r="E310" s="11"/>
      <c r="P310" s="11">
        <f t="shared" si="1"/>
        <v>17899</v>
      </c>
      <c r="Q310" s="9">
        <f t="shared" si="2"/>
        <v>1.351429088</v>
      </c>
    </row>
    <row r="311">
      <c r="A311" s="34"/>
      <c r="B311" s="11">
        <f>IFERROR(__xludf.DUMMYFUNCTION("""COMPUTED_VALUE"""),17807.0)</f>
        <v>17807</v>
      </c>
      <c r="C311" s="32">
        <f>IFERROR(__xludf.DUMMYFUNCTION("""COMPUTED_VALUE"""),21.593)</f>
        <v>21.593</v>
      </c>
      <c r="E311" s="11"/>
      <c r="P311" s="11">
        <f t="shared" si="1"/>
        <v>17807</v>
      </c>
      <c r="Q311" s="9">
        <f t="shared" si="2"/>
        <v>1.334312985</v>
      </c>
    </row>
    <row r="312">
      <c r="A312" s="34"/>
      <c r="B312" s="11">
        <f>IFERROR(__xludf.DUMMYFUNCTION("""COMPUTED_VALUE"""),17715.0)</f>
        <v>17715</v>
      </c>
      <c r="C312" s="32">
        <f>IFERROR(__xludf.DUMMYFUNCTION("""COMPUTED_VALUE"""),20.716)</f>
        <v>20.716</v>
      </c>
      <c r="E312" s="11"/>
      <c r="P312" s="11">
        <f t="shared" si="1"/>
        <v>17715</v>
      </c>
      <c r="Q312" s="9">
        <f t="shared" si="2"/>
        <v>1.316305902</v>
      </c>
    </row>
    <row r="313">
      <c r="A313" s="34"/>
      <c r="B313" s="11">
        <f>IFERROR(__xludf.DUMMYFUNCTION("""COMPUTED_VALUE"""),17624.0)</f>
        <v>17624</v>
      </c>
      <c r="C313" s="32">
        <f>IFERROR(__xludf.DUMMYFUNCTION("""COMPUTED_VALUE"""),20.555)</f>
        <v>20.555</v>
      </c>
      <c r="E313" s="11"/>
      <c r="P313" s="11">
        <f t="shared" si="1"/>
        <v>17624</v>
      </c>
      <c r="Q313" s="9">
        <f t="shared" si="2"/>
        <v>1.312917481</v>
      </c>
    </row>
    <row r="314">
      <c r="A314" s="34"/>
      <c r="B314" s="11">
        <f>IFERROR(__xludf.DUMMYFUNCTION("""COMPUTED_VALUE"""),17533.0)</f>
        <v>17533</v>
      </c>
      <c r="C314" s="32">
        <f>IFERROR(__xludf.DUMMYFUNCTION("""COMPUTED_VALUE"""),20.685)</f>
        <v>20.685</v>
      </c>
      <c r="E314" s="11"/>
      <c r="P314" s="11">
        <f t="shared" si="1"/>
        <v>17533</v>
      </c>
      <c r="Q314" s="9">
        <f t="shared" si="2"/>
        <v>1.315655525</v>
      </c>
    </row>
    <row r="315">
      <c r="A315" s="34"/>
      <c r="B315" s="11">
        <f>IFERROR(__xludf.DUMMYFUNCTION("""COMPUTED_VALUE"""),17441.0)</f>
        <v>17441</v>
      </c>
      <c r="C315" s="32">
        <f>IFERROR(__xludf.DUMMYFUNCTION("""COMPUTED_VALUE"""),20.41)</f>
        <v>20.41</v>
      </c>
      <c r="E315" s="11"/>
      <c r="P315" s="11">
        <f t="shared" si="1"/>
        <v>17441</v>
      </c>
      <c r="Q315" s="9">
        <f t="shared" si="2"/>
        <v>1.309843005</v>
      </c>
    </row>
    <row r="316">
      <c r="A316" s="34"/>
      <c r="B316" s="11">
        <f>IFERROR(__xludf.DUMMYFUNCTION("""COMPUTED_VALUE"""),17349.0)</f>
        <v>17349</v>
      </c>
      <c r="C316" s="32">
        <f>IFERROR(__xludf.DUMMYFUNCTION("""COMPUTED_VALUE"""),19.985)</f>
        <v>19.985</v>
      </c>
      <c r="E316" s="11"/>
      <c r="P316" s="11">
        <f t="shared" si="1"/>
        <v>17349</v>
      </c>
    </row>
    <row r="317">
      <c r="A317" s="34"/>
      <c r="B317" s="11">
        <f>IFERROR(__xludf.DUMMYFUNCTION("""COMPUTED_VALUE"""),17258.0)</f>
        <v>17258</v>
      </c>
      <c r="C317" s="32">
        <f>IFERROR(__xludf.DUMMYFUNCTION("""COMPUTED_VALUE"""),21.105)</f>
        <v>21.105</v>
      </c>
      <c r="E317" s="11"/>
    </row>
    <row r="318">
      <c r="A318" s="34"/>
      <c r="B318" s="11">
        <f>IFERROR(__xludf.DUMMYFUNCTION("""COMPUTED_VALUE"""),17168.0)</f>
        <v>17168</v>
      </c>
      <c r="C318" s="32">
        <f>IFERROR(__xludf.DUMMYFUNCTION("""COMPUTED_VALUE"""),22.79)</f>
        <v>22.79</v>
      </c>
      <c r="E318" s="11"/>
    </row>
    <row r="319">
      <c r="A319" s="34"/>
      <c r="B319" s="11"/>
      <c r="C319" s="32"/>
      <c r="E319" s="11"/>
    </row>
    <row r="320">
      <c r="A320" s="34"/>
      <c r="B320" s="11"/>
      <c r="C320" s="32"/>
      <c r="E320" s="11"/>
    </row>
    <row r="321">
      <c r="A321" s="34"/>
      <c r="B321" s="11"/>
      <c r="C321" s="32"/>
      <c r="E321" s="11"/>
    </row>
    <row r="322">
      <c r="A322" s="34"/>
      <c r="B322" s="11"/>
      <c r="C322" s="32"/>
      <c r="E322" s="11"/>
    </row>
    <row r="323">
      <c r="A323" s="34"/>
      <c r="B323" s="11"/>
      <c r="C323" s="32"/>
      <c r="E323" s="11"/>
    </row>
    <row r="324">
      <c r="A324" s="34"/>
      <c r="B324" s="11"/>
      <c r="C324" s="32"/>
      <c r="E324" s="11"/>
    </row>
    <row r="325">
      <c r="A325" s="34"/>
      <c r="B325" s="11"/>
      <c r="C325" s="32"/>
      <c r="E325" s="11"/>
    </row>
    <row r="326">
      <c r="A326" s="34"/>
      <c r="B326" s="11"/>
      <c r="C326" s="32"/>
      <c r="E326" s="11"/>
    </row>
    <row r="327">
      <c r="A327" s="34"/>
      <c r="B327" s="11"/>
      <c r="C327" s="32"/>
      <c r="E327" s="11"/>
    </row>
    <row r="328">
      <c r="A328" s="34"/>
      <c r="B328" s="11"/>
      <c r="C328" s="32"/>
      <c r="E328" s="11"/>
    </row>
    <row r="329">
      <c r="A329" s="34"/>
      <c r="B329" s="11"/>
      <c r="C329" s="32"/>
      <c r="E329" s="11"/>
    </row>
    <row r="330">
      <c r="A330" s="34"/>
      <c r="B330" s="11"/>
      <c r="C330" s="32"/>
      <c r="E330" s="11"/>
    </row>
    <row r="331">
      <c r="A331" s="34"/>
      <c r="B331" s="11"/>
      <c r="C331" s="32"/>
      <c r="E331" s="11"/>
    </row>
    <row r="332">
      <c r="A332" s="34"/>
      <c r="B332" s="11"/>
      <c r="C332" s="32"/>
      <c r="E332" s="11"/>
    </row>
    <row r="333">
      <c r="A333" s="34"/>
      <c r="B333" s="11"/>
      <c r="C333" s="32"/>
      <c r="E333" s="11"/>
    </row>
    <row r="334">
      <c r="A334" s="34"/>
      <c r="B334" s="11"/>
      <c r="C334" s="32"/>
      <c r="E334" s="11"/>
    </row>
    <row r="335">
      <c r="A335" s="34"/>
      <c r="B335" s="11"/>
      <c r="C335" s="32"/>
      <c r="E335" s="11"/>
    </row>
    <row r="336">
      <c r="A336" s="34"/>
      <c r="B336" s="11"/>
      <c r="C336" s="32"/>
      <c r="E336" s="11"/>
    </row>
    <row r="337">
      <c r="A337" s="34"/>
      <c r="B337" s="11"/>
      <c r="C337" s="32"/>
      <c r="E337" s="11"/>
    </row>
    <row r="338">
      <c r="A338" s="34"/>
      <c r="B338" s="11"/>
      <c r="C338" s="32"/>
      <c r="E338" s="11"/>
    </row>
    <row r="339">
      <c r="A339" s="34"/>
      <c r="B339" s="11"/>
      <c r="C339" s="32"/>
      <c r="E339" s="11"/>
    </row>
    <row r="340">
      <c r="A340" s="34"/>
      <c r="B340" s="11"/>
      <c r="C340" s="32"/>
      <c r="E340" s="11"/>
    </row>
    <row r="341">
      <c r="A341" s="34"/>
      <c r="B341" s="11"/>
      <c r="C341" s="32"/>
      <c r="E341" s="11"/>
    </row>
    <row r="342">
      <c r="A342" s="34"/>
      <c r="B342" s="11"/>
      <c r="C342" s="32"/>
      <c r="E342" s="11"/>
    </row>
    <row r="343">
      <c r="A343" s="34"/>
      <c r="B343" s="11"/>
      <c r="C343" s="32"/>
      <c r="E343" s="11"/>
    </row>
    <row r="344">
      <c r="A344" s="34"/>
      <c r="B344" s="11"/>
      <c r="C344" s="32"/>
      <c r="E344" s="11"/>
    </row>
    <row r="345">
      <c r="A345" s="34"/>
      <c r="B345" s="11"/>
      <c r="C345" s="32"/>
      <c r="E345" s="11"/>
    </row>
    <row r="346">
      <c r="A346" s="34"/>
      <c r="B346" s="11"/>
      <c r="C346" s="32"/>
      <c r="E346" s="11"/>
    </row>
    <row r="347">
      <c r="A347" s="34"/>
      <c r="B347" s="11"/>
      <c r="C347" s="32"/>
      <c r="E347" s="11"/>
    </row>
    <row r="348">
      <c r="A348" s="34"/>
      <c r="B348" s="11"/>
      <c r="C348" s="32"/>
      <c r="E348" s="11"/>
    </row>
    <row r="349">
      <c r="A349" s="34"/>
      <c r="B349" s="11"/>
      <c r="C349" s="32"/>
      <c r="E349" s="11"/>
    </row>
    <row r="350">
      <c r="A350" s="34"/>
      <c r="B350" s="11"/>
      <c r="C350" s="32"/>
      <c r="E350" s="11"/>
    </row>
    <row r="351">
      <c r="A351" s="34"/>
      <c r="B351" s="11"/>
      <c r="C351" s="32"/>
      <c r="E351" s="11"/>
    </row>
    <row r="352">
      <c r="A352" s="34"/>
      <c r="B352" s="11"/>
      <c r="C352" s="32"/>
      <c r="E352" s="11"/>
    </row>
    <row r="353">
      <c r="A353" s="34"/>
      <c r="B353" s="11"/>
      <c r="C353" s="32"/>
      <c r="E353" s="11"/>
    </row>
    <row r="354">
      <c r="A354" s="34"/>
      <c r="B354" s="11"/>
      <c r="C354" s="32"/>
      <c r="E354" s="11"/>
    </row>
    <row r="355">
      <c r="A355" s="34"/>
      <c r="B355" s="11"/>
      <c r="C355" s="32"/>
      <c r="E355" s="11"/>
    </row>
    <row r="356">
      <c r="A356" s="34"/>
      <c r="B356" s="11"/>
      <c r="C356" s="32"/>
      <c r="E356" s="11"/>
    </row>
    <row r="357">
      <c r="A357" s="34"/>
      <c r="B357" s="11"/>
      <c r="C357" s="32"/>
      <c r="E357" s="11"/>
    </row>
    <row r="358">
      <c r="A358" s="34"/>
      <c r="B358" s="11"/>
      <c r="C358" s="32"/>
      <c r="E358" s="11"/>
    </row>
    <row r="359">
      <c r="A359" s="34"/>
      <c r="B359" s="11"/>
      <c r="C359" s="32"/>
      <c r="E359" s="11"/>
    </row>
    <row r="360">
      <c r="A360" s="34"/>
      <c r="B360" s="11"/>
      <c r="C360" s="32"/>
      <c r="E360" s="11"/>
    </row>
    <row r="361">
      <c r="A361" s="34"/>
      <c r="B361" s="11"/>
      <c r="C361" s="32"/>
      <c r="E361" s="11"/>
    </row>
    <row r="362">
      <c r="A362" s="34"/>
      <c r="B362" s="11"/>
      <c r="C362" s="32"/>
      <c r="E362" s="11"/>
    </row>
    <row r="363">
      <c r="A363" s="34"/>
      <c r="B363" s="11"/>
      <c r="C363" s="32"/>
      <c r="E363" s="11"/>
    </row>
    <row r="364">
      <c r="A364" s="34"/>
      <c r="B364" s="11"/>
      <c r="C364" s="32"/>
      <c r="E364" s="11"/>
    </row>
    <row r="365">
      <c r="A365" s="34"/>
      <c r="B365" s="11"/>
      <c r="C365" s="32"/>
      <c r="E365" s="11"/>
    </row>
    <row r="366">
      <c r="A366" s="34"/>
      <c r="B366" s="11"/>
      <c r="C366" s="32"/>
      <c r="E366" s="11"/>
    </row>
    <row r="367">
      <c r="A367" s="34"/>
      <c r="B367" s="11"/>
      <c r="C367" s="32"/>
      <c r="E367" s="11"/>
    </row>
    <row r="368">
      <c r="A368" s="34"/>
      <c r="B368" s="11"/>
      <c r="C368" s="32"/>
      <c r="E368" s="11"/>
    </row>
    <row r="369">
      <c r="A369" s="34"/>
      <c r="B369" s="11"/>
      <c r="C369" s="32"/>
      <c r="E369" s="11"/>
    </row>
    <row r="370">
      <c r="A370" s="34"/>
      <c r="B370" s="11"/>
      <c r="C370" s="32"/>
      <c r="E370" s="11"/>
    </row>
    <row r="371">
      <c r="A371" s="34"/>
      <c r="B371" s="11"/>
      <c r="C371" s="32"/>
      <c r="E371" s="11"/>
    </row>
    <row r="372">
      <c r="A372" s="34"/>
      <c r="B372" s="11"/>
      <c r="C372" s="32"/>
      <c r="E372" s="11"/>
    </row>
    <row r="373">
      <c r="A373" s="34"/>
      <c r="B373" s="11"/>
      <c r="C373" s="32"/>
      <c r="E373" s="11"/>
    </row>
    <row r="374">
      <c r="A374" s="34"/>
      <c r="B374" s="11"/>
      <c r="C374" s="32"/>
      <c r="E374" s="11"/>
    </row>
    <row r="375">
      <c r="A375" s="34"/>
      <c r="B375" s="11"/>
      <c r="C375" s="32"/>
      <c r="E375" s="11"/>
    </row>
    <row r="376">
      <c r="A376" s="34"/>
      <c r="B376" s="11"/>
      <c r="C376" s="32"/>
      <c r="E376" s="11"/>
    </row>
    <row r="377">
      <c r="A377" s="34"/>
      <c r="B377" s="11"/>
      <c r="C377" s="32"/>
      <c r="E377" s="11"/>
    </row>
    <row r="378">
      <c r="A378" s="34"/>
      <c r="B378" s="11"/>
      <c r="C378" s="32"/>
      <c r="E378" s="11"/>
    </row>
    <row r="379">
      <c r="A379" s="34"/>
      <c r="B379" s="11"/>
      <c r="C379" s="32"/>
      <c r="E379" s="11"/>
    </row>
    <row r="380">
      <c r="A380" s="34"/>
      <c r="B380" s="11"/>
      <c r="C380" s="32"/>
      <c r="E380" s="11"/>
    </row>
    <row r="381">
      <c r="A381" s="34"/>
      <c r="B381" s="11"/>
      <c r="C381" s="32"/>
      <c r="E381" s="11"/>
    </row>
    <row r="382">
      <c r="A382" s="34"/>
      <c r="B382" s="11"/>
      <c r="C382" s="32"/>
      <c r="E382" s="11"/>
    </row>
    <row r="383">
      <c r="A383" s="34"/>
      <c r="B383" s="11"/>
      <c r="C383" s="32"/>
      <c r="E383" s="11"/>
    </row>
    <row r="384">
      <c r="A384" s="34"/>
      <c r="B384" s="11"/>
      <c r="C384" s="32"/>
      <c r="E384" s="11"/>
    </row>
    <row r="385">
      <c r="A385" s="34"/>
      <c r="B385" s="11"/>
      <c r="C385" s="32"/>
      <c r="E385" s="11"/>
    </row>
    <row r="386">
      <c r="A386" s="34"/>
      <c r="B386" s="11"/>
      <c r="C386" s="32"/>
      <c r="E386" s="11"/>
    </row>
    <row r="387">
      <c r="A387" s="34"/>
      <c r="B387" s="11"/>
      <c r="C387" s="32"/>
      <c r="E387" s="11"/>
    </row>
    <row r="388">
      <c r="A388" s="34"/>
      <c r="B388" s="11"/>
      <c r="C388" s="32"/>
      <c r="E388" s="11"/>
    </row>
    <row r="389">
      <c r="A389" s="34"/>
      <c r="B389" s="11"/>
      <c r="C389" s="32"/>
      <c r="E389" s="11"/>
    </row>
    <row r="390">
      <c r="A390" s="34"/>
      <c r="B390" s="11"/>
      <c r="C390" s="32"/>
      <c r="E390" s="11"/>
    </row>
    <row r="391">
      <c r="A391" s="34"/>
      <c r="B391" s="11"/>
      <c r="C391" s="32"/>
      <c r="E391" s="11"/>
    </row>
    <row r="392">
      <c r="A392" s="34"/>
      <c r="B392" s="11"/>
      <c r="C392" s="32"/>
      <c r="E392" s="11"/>
    </row>
    <row r="393">
      <c r="A393" s="34"/>
      <c r="B393" s="11"/>
      <c r="C393" s="32"/>
      <c r="E393" s="11"/>
    </row>
    <row r="394">
      <c r="A394" s="34"/>
      <c r="B394" s="11"/>
      <c r="C394" s="32"/>
      <c r="E394" s="11"/>
    </row>
    <row r="395">
      <c r="A395" s="34"/>
      <c r="B395" s="11"/>
      <c r="C395" s="32"/>
      <c r="E395" s="11"/>
    </row>
    <row r="396">
      <c r="A396" s="34"/>
      <c r="B396" s="11"/>
      <c r="C396" s="32"/>
      <c r="E396" s="11"/>
    </row>
    <row r="397">
      <c r="A397" s="34"/>
      <c r="B397" s="11"/>
      <c r="C397" s="32"/>
      <c r="E397" s="11"/>
    </row>
    <row r="398">
      <c r="A398" s="34"/>
      <c r="B398" s="11"/>
      <c r="C398" s="32"/>
      <c r="E398" s="11"/>
    </row>
    <row r="399">
      <c r="A399" s="34"/>
      <c r="B399" s="11"/>
      <c r="C399" s="32"/>
      <c r="E399" s="11"/>
    </row>
    <row r="400">
      <c r="A400" s="34"/>
      <c r="B400" s="11"/>
      <c r="C400" s="32"/>
      <c r="E400" s="11"/>
    </row>
    <row r="401">
      <c r="A401" s="34"/>
      <c r="B401" s="11"/>
      <c r="C401" s="32"/>
      <c r="E401" s="11"/>
    </row>
    <row r="402">
      <c r="A402" s="34"/>
      <c r="B402" s="11"/>
      <c r="C402" s="32"/>
      <c r="E402" s="11"/>
    </row>
    <row r="403">
      <c r="A403" s="34"/>
      <c r="B403" s="11"/>
      <c r="C403" s="32"/>
      <c r="E403" s="11"/>
    </row>
    <row r="404">
      <c r="A404" s="34"/>
      <c r="B404" s="11"/>
      <c r="C404" s="32"/>
      <c r="E404" s="11"/>
    </row>
    <row r="405">
      <c r="A405" s="34"/>
      <c r="B405" s="11"/>
      <c r="C405" s="32"/>
      <c r="E405" s="11"/>
    </row>
    <row r="406">
      <c r="A406" s="34"/>
      <c r="B406" s="11"/>
      <c r="C406" s="32"/>
      <c r="E406" s="11"/>
    </row>
    <row r="407">
      <c r="A407" s="34"/>
      <c r="B407" s="11"/>
      <c r="C407" s="32"/>
      <c r="E407" s="11"/>
    </row>
    <row r="408">
      <c r="A408" s="34"/>
      <c r="B408" s="11"/>
      <c r="C408" s="32"/>
      <c r="E408" s="11"/>
    </row>
    <row r="409">
      <c r="A409" s="34"/>
      <c r="B409" s="11"/>
      <c r="C409" s="32"/>
      <c r="E409" s="11"/>
    </row>
    <row r="410">
      <c r="A410" s="34"/>
      <c r="B410" s="11"/>
      <c r="C410" s="32"/>
      <c r="E410" s="11"/>
    </row>
    <row r="411">
      <c r="A411" s="34"/>
      <c r="B411" s="11"/>
      <c r="C411" s="32"/>
      <c r="E411" s="11"/>
    </row>
    <row r="412">
      <c r="A412" s="34"/>
      <c r="B412" s="11"/>
      <c r="C412" s="32"/>
      <c r="E412" s="11"/>
    </row>
    <row r="413">
      <c r="A413" s="34"/>
      <c r="B413" s="11"/>
      <c r="C413" s="32"/>
      <c r="E413" s="11"/>
    </row>
    <row r="414">
      <c r="A414" s="34"/>
      <c r="B414" s="11"/>
      <c r="C414" s="32"/>
      <c r="E414" s="11"/>
    </row>
    <row r="415">
      <c r="A415" s="34"/>
      <c r="B415" s="11"/>
      <c r="C415" s="32"/>
      <c r="E415" s="11"/>
    </row>
    <row r="416">
      <c r="A416" s="34"/>
      <c r="B416" s="11"/>
      <c r="C416" s="32"/>
      <c r="E416" s="11"/>
    </row>
    <row r="417">
      <c r="A417" s="34"/>
      <c r="B417" s="11"/>
      <c r="C417" s="32"/>
      <c r="E417" s="11"/>
    </row>
    <row r="418">
      <c r="A418" s="34"/>
      <c r="B418" s="11"/>
      <c r="C418" s="32"/>
      <c r="E418" s="11"/>
    </row>
    <row r="419">
      <c r="A419" s="34"/>
      <c r="B419" s="11"/>
      <c r="C419" s="32"/>
      <c r="E419" s="11"/>
    </row>
    <row r="420">
      <c r="A420" s="34"/>
      <c r="B420" s="11"/>
      <c r="C420" s="32"/>
      <c r="E420" s="11"/>
    </row>
    <row r="421">
      <c r="A421" s="34"/>
      <c r="B421" s="11"/>
      <c r="C421" s="32"/>
      <c r="E421" s="11"/>
    </row>
    <row r="422">
      <c r="A422" s="34"/>
      <c r="B422" s="11"/>
      <c r="C422" s="32"/>
      <c r="E422" s="11"/>
    </row>
    <row r="423">
      <c r="A423" s="34"/>
      <c r="B423" s="11"/>
      <c r="C423" s="32"/>
      <c r="E423" s="11"/>
    </row>
    <row r="424">
      <c r="A424" s="34"/>
      <c r="B424" s="11"/>
      <c r="C424" s="32"/>
      <c r="E424" s="11"/>
    </row>
    <row r="425">
      <c r="A425" s="34"/>
      <c r="B425" s="11"/>
      <c r="C425" s="32"/>
      <c r="E425" s="11"/>
    </row>
    <row r="426">
      <c r="A426" s="34"/>
      <c r="B426" s="11"/>
      <c r="C426" s="32"/>
      <c r="E426" s="11"/>
    </row>
    <row r="427">
      <c r="A427" s="34"/>
      <c r="B427" s="11"/>
      <c r="C427" s="32"/>
      <c r="E427" s="11"/>
    </row>
    <row r="428">
      <c r="A428" s="34"/>
      <c r="B428" s="11"/>
      <c r="C428" s="32"/>
      <c r="E428" s="11"/>
    </row>
    <row r="429">
      <c r="A429" s="34"/>
      <c r="B429" s="11"/>
      <c r="C429" s="32"/>
      <c r="E429" s="11"/>
    </row>
    <row r="430">
      <c r="A430" s="34"/>
      <c r="B430" s="11"/>
      <c r="C430" s="32"/>
      <c r="E430" s="11"/>
    </row>
    <row r="431">
      <c r="A431" s="34"/>
      <c r="B431" s="11"/>
      <c r="C431" s="32"/>
      <c r="E431" s="11"/>
    </row>
    <row r="432">
      <c r="A432" s="34"/>
      <c r="B432" s="11"/>
      <c r="C432" s="32"/>
      <c r="E432" s="11"/>
    </row>
    <row r="433">
      <c r="A433" s="34"/>
      <c r="B433" s="11"/>
      <c r="C433" s="32"/>
      <c r="E433" s="11"/>
    </row>
    <row r="434">
      <c r="A434" s="34"/>
      <c r="B434" s="11"/>
      <c r="C434" s="32"/>
      <c r="E434" s="11"/>
    </row>
    <row r="435">
      <c r="A435" s="34"/>
      <c r="B435" s="11"/>
      <c r="C435" s="32"/>
      <c r="E435" s="11"/>
    </row>
    <row r="436">
      <c r="A436" s="34"/>
      <c r="B436" s="11"/>
      <c r="C436" s="32"/>
      <c r="E436" s="11"/>
    </row>
    <row r="437">
      <c r="A437" s="34"/>
      <c r="B437" s="11"/>
      <c r="C437" s="32"/>
      <c r="E437" s="11"/>
    </row>
    <row r="438">
      <c r="A438" s="34"/>
      <c r="B438" s="11"/>
      <c r="C438" s="32"/>
      <c r="E438" s="11"/>
    </row>
    <row r="439">
      <c r="A439" s="34"/>
      <c r="B439" s="11"/>
      <c r="C439" s="32"/>
      <c r="E439" s="11"/>
    </row>
    <row r="440">
      <c r="A440" s="34"/>
      <c r="B440" s="11"/>
      <c r="C440" s="32"/>
      <c r="E440" s="11"/>
    </row>
    <row r="441">
      <c r="A441" s="34"/>
      <c r="B441" s="11"/>
      <c r="C441" s="32"/>
      <c r="E441" s="11"/>
    </row>
    <row r="442">
      <c r="A442" s="34"/>
      <c r="B442" s="11"/>
      <c r="C442" s="32"/>
      <c r="E442" s="11"/>
    </row>
    <row r="443">
      <c r="A443" s="34"/>
      <c r="B443" s="11"/>
      <c r="C443" s="32"/>
      <c r="E443" s="11"/>
    </row>
    <row r="444">
      <c r="A444" s="34"/>
      <c r="B444" s="11"/>
      <c r="C444" s="32"/>
      <c r="E444" s="11"/>
    </row>
    <row r="445">
      <c r="A445" s="34"/>
      <c r="B445" s="11"/>
      <c r="C445" s="32"/>
      <c r="E445" s="11"/>
    </row>
    <row r="446">
      <c r="A446" s="34"/>
      <c r="B446" s="11"/>
      <c r="C446" s="32"/>
      <c r="E446" s="11"/>
    </row>
    <row r="447">
      <c r="A447" s="34"/>
      <c r="B447" s="11"/>
      <c r="C447" s="32"/>
      <c r="E447" s="11"/>
    </row>
    <row r="448">
      <c r="A448" s="34"/>
      <c r="B448" s="11"/>
      <c r="C448" s="32"/>
      <c r="E448" s="11"/>
    </row>
    <row r="449">
      <c r="A449" s="34"/>
      <c r="B449" s="11"/>
      <c r="C449" s="32"/>
      <c r="E449" s="11"/>
    </row>
    <row r="450">
      <c r="A450" s="34"/>
      <c r="B450" s="11"/>
      <c r="C450" s="32"/>
      <c r="E450" s="11"/>
    </row>
    <row r="451">
      <c r="A451" s="34"/>
      <c r="B451" s="11"/>
      <c r="C451" s="32"/>
      <c r="E451" s="11"/>
    </row>
    <row r="452">
      <c r="A452" s="34"/>
      <c r="B452" s="11"/>
      <c r="C452" s="32"/>
      <c r="E452" s="11"/>
    </row>
    <row r="453">
      <c r="A453" s="34"/>
      <c r="B453" s="11"/>
      <c r="C453" s="32"/>
      <c r="E453" s="11"/>
    </row>
    <row r="454">
      <c r="A454" s="34"/>
      <c r="B454" s="11"/>
      <c r="C454" s="32"/>
      <c r="E454" s="11"/>
    </row>
    <row r="455">
      <c r="A455" s="34"/>
      <c r="B455" s="11"/>
      <c r="C455" s="32"/>
      <c r="E455" s="11"/>
    </row>
    <row r="456">
      <c r="A456" s="34"/>
      <c r="B456" s="11"/>
      <c r="C456" s="32"/>
      <c r="E456" s="11"/>
    </row>
    <row r="457">
      <c r="A457" s="34"/>
      <c r="B457" s="11"/>
      <c r="C457" s="32"/>
      <c r="E457" s="11"/>
    </row>
    <row r="458">
      <c r="A458" s="34"/>
      <c r="B458" s="11"/>
      <c r="C458" s="32"/>
      <c r="E458" s="11"/>
    </row>
    <row r="459">
      <c r="A459" s="34"/>
      <c r="B459" s="11"/>
      <c r="C459" s="32"/>
      <c r="E459" s="11"/>
    </row>
    <row r="460">
      <c r="A460" s="34"/>
      <c r="B460" s="11"/>
      <c r="C460" s="32"/>
      <c r="E460" s="11"/>
    </row>
    <row r="461">
      <c r="A461" s="34"/>
      <c r="B461" s="11"/>
      <c r="C461" s="32"/>
      <c r="E461" s="11"/>
    </row>
    <row r="462">
      <c r="A462" s="34"/>
      <c r="B462" s="11"/>
      <c r="C462" s="32"/>
      <c r="E462" s="11"/>
    </row>
    <row r="463">
      <c r="A463" s="34"/>
      <c r="B463" s="11"/>
      <c r="C463" s="32"/>
      <c r="E463" s="11"/>
    </row>
    <row r="464">
      <c r="A464" s="34"/>
      <c r="B464" s="11"/>
      <c r="C464" s="32"/>
      <c r="E464" s="11"/>
    </row>
    <row r="465">
      <c r="A465" s="34"/>
      <c r="B465" s="11"/>
      <c r="C465" s="32"/>
      <c r="E465" s="11"/>
    </row>
    <row r="466">
      <c r="A466" s="34"/>
      <c r="B466" s="11"/>
      <c r="C466" s="32"/>
      <c r="E466" s="11"/>
    </row>
    <row r="467">
      <c r="A467" s="34"/>
      <c r="B467" s="11"/>
      <c r="C467" s="32"/>
      <c r="E467" s="11"/>
    </row>
    <row r="468">
      <c r="A468" s="34"/>
      <c r="B468" s="11"/>
      <c r="C468" s="32"/>
      <c r="E468" s="11"/>
    </row>
    <row r="469">
      <c r="A469" s="34"/>
      <c r="B469" s="11"/>
      <c r="C469" s="32"/>
      <c r="E469" s="11"/>
    </row>
    <row r="470">
      <c r="A470" s="34"/>
      <c r="B470" s="11"/>
      <c r="C470" s="32"/>
      <c r="E470" s="11"/>
    </row>
    <row r="471">
      <c r="A471" s="34"/>
      <c r="B471" s="11"/>
      <c r="C471" s="32"/>
      <c r="E471" s="11"/>
    </row>
    <row r="472">
      <c r="A472" s="34"/>
      <c r="B472" s="11"/>
      <c r="C472" s="32"/>
      <c r="E472" s="11"/>
    </row>
    <row r="473">
      <c r="A473" s="34"/>
      <c r="B473" s="11"/>
      <c r="C473" s="32"/>
      <c r="E473" s="11"/>
    </row>
    <row r="474">
      <c r="A474" s="34"/>
      <c r="B474" s="11"/>
      <c r="C474" s="32"/>
      <c r="E474" s="11"/>
    </row>
    <row r="475">
      <c r="A475" s="34"/>
      <c r="B475" s="11"/>
      <c r="C475" s="32"/>
      <c r="E475" s="11"/>
    </row>
    <row r="476">
      <c r="A476" s="34"/>
      <c r="B476" s="11"/>
      <c r="C476" s="32"/>
      <c r="E476" s="11"/>
    </row>
    <row r="477">
      <c r="A477" s="34"/>
      <c r="B477" s="11"/>
      <c r="C477" s="32"/>
      <c r="E477" s="11"/>
    </row>
    <row r="478">
      <c r="A478" s="34"/>
      <c r="B478" s="11"/>
      <c r="C478" s="32"/>
      <c r="E478" s="11"/>
    </row>
    <row r="479">
      <c r="A479" s="34"/>
      <c r="B479" s="11"/>
      <c r="C479" s="32"/>
      <c r="E479" s="11"/>
    </row>
    <row r="480">
      <c r="A480" s="34"/>
      <c r="B480" s="11"/>
      <c r="C480" s="32"/>
      <c r="E480" s="11"/>
    </row>
    <row r="481">
      <c r="A481" s="34"/>
      <c r="B481" s="11"/>
      <c r="C481" s="32"/>
      <c r="E481" s="11"/>
    </row>
    <row r="482">
      <c r="A482" s="34"/>
      <c r="B482" s="11"/>
      <c r="C482" s="32"/>
      <c r="E482" s="11"/>
    </row>
    <row r="483">
      <c r="A483" s="34"/>
      <c r="B483" s="11"/>
      <c r="C483" s="32"/>
      <c r="E483" s="11"/>
    </row>
    <row r="484">
      <c r="A484" s="34"/>
      <c r="B484" s="11"/>
      <c r="C484" s="32"/>
      <c r="E484" s="11"/>
    </row>
    <row r="485">
      <c r="A485" s="34"/>
      <c r="B485" s="11"/>
      <c r="C485" s="32"/>
      <c r="E485" s="11"/>
    </row>
    <row r="486">
      <c r="A486" s="34"/>
      <c r="B486" s="11"/>
      <c r="C486" s="32"/>
      <c r="E486" s="11"/>
    </row>
    <row r="487">
      <c r="A487" s="34"/>
      <c r="B487" s="11"/>
      <c r="C487" s="32"/>
      <c r="E487" s="11"/>
    </row>
    <row r="488">
      <c r="A488" s="34"/>
      <c r="B488" s="11"/>
      <c r="C488" s="32"/>
      <c r="E488" s="11"/>
    </row>
    <row r="489">
      <c r="A489" s="34"/>
      <c r="B489" s="11"/>
      <c r="C489" s="32"/>
      <c r="E489" s="11"/>
    </row>
    <row r="490">
      <c r="A490" s="34"/>
      <c r="B490" s="11"/>
      <c r="C490" s="32"/>
      <c r="E490" s="11"/>
    </row>
    <row r="491">
      <c r="A491" s="34"/>
      <c r="B491" s="11"/>
      <c r="C491" s="32"/>
      <c r="E491" s="11"/>
    </row>
    <row r="492">
      <c r="A492" s="34"/>
      <c r="B492" s="11"/>
      <c r="C492" s="32"/>
      <c r="E492" s="11"/>
    </row>
    <row r="493">
      <c r="A493" s="34"/>
      <c r="B493" s="11"/>
      <c r="C493" s="32"/>
      <c r="E493" s="11"/>
    </row>
    <row r="494">
      <c r="A494" s="34"/>
      <c r="B494" s="11"/>
      <c r="C494" s="32"/>
      <c r="E494" s="11"/>
    </row>
    <row r="495">
      <c r="A495" s="34"/>
      <c r="B495" s="11"/>
      <c r="C495" s="32"/>
      <c r="E495" s="11"/>
    </row>
    <row r="496">
      <c r="A496" s="34"/>
      <c r="B496" s="11"/>
      <c r="C496" s="32"/>
      <c r="E496" s="11"/>
    </row>
    <row r="497">
      <c r="A497" s="34"/>
      <c r="B497" s="11"/>
      <c r="C497" s="32"/>
      <c r="E497" s="11"/>
    </row>
    <row r="498">
      <c r="A498" s="34"/>
      <c r="B498" s="11"/>
      <c r="C498" s="32"/>
      <c r="E498" s="11"/>
    </row>
    <row r="499">
      <c r="A499" s="34"/>
      <c r="B499" s="11"/>
      <c r="C499" s="32"/>
      <c r="E499" s="11"/>
    </row>
    <row r="500">
      <c r="A500" s="34"/>
      <c r="B500" s="11"/>
      <c r="C500" s="32"/>
      <c r="E500" s="11"/>
    </row>
    <row r="501">
      <c r="A501" s="34"/>
      <c r="B501" s="11"/>
      <c r="C501" s="32"/>
      <c r="E501" s="11"/>
    </row>
    <row r="502">
      <c r="A502" s="34"/>
      <c r="B502" s="11"/>
      <c r="C502" s="32"/>
      <c r="E502" s="11"/>
    </row>
    <row r="503">
      <c r="A503" s="34"/>
      <c r="B503" s="11"/>
      <c r="C503" s="32"/>
      <c r="E503" s="11"/>
    </row>
    <row r="504">
      <c r="A504" s="34"/>
      <c r="B504" s="11"/>
      <c r="C504" s="32"/>
      <c r="E504" s="11"/>
    </row>
    <row r="505">
      <c r="A505" s="34"/>
      <c r="B505" s="11"/>
      <c r="C505" s="32"/>
      <c r="E505" s="11"/>
    </row>
    <row r="506">
      <c r="A506" s="34"/>
      <c r="B506" s="11"/>
      <c r="C506" s="32"/>
      <c r="E506" s="11"/>
    </row>
    <row r="507">
      <c r="A507" s="34"/>
      <c r="B507" s="11"/>
      <c r="C507" s="32"/>
      <c r="E507" s="11"/>
    </row>
    <row r="508">
      <c r="A508" s="34"/>
      <c r="B508" s="11"/>
      <c r="C508" s="32"/>
      <c r="E508" s="11"/>
    </row>
    <row r="509">
      <c r="A509" s="34"/>
      <c r="B509" s="11"/>
      <c r="C509" s="32"/>
      <c r="E509" s="11"/>
    </row>
    <row r="510">
      <c r="A510" s="34"/>
      <c r="B510" s="11"/>
      <c r="C510" s="32"/>
      <c r="E510" s="11"/>
    </row>
    <row r="511">
      <c r="A511" s="34"/>
      <c r="B511" s="11"/>
      <c r="C511" s="32"/>
      <c r="E511" s="11"/>
    </row>
    <row r="512">
      <c r="A512" s="34"/>
      <c r="B512" s="11"/>
      <c r="C512" s="32"/>
      <c r="E512" s="11"/>
    </row>
    <row r="513">
      <c r="A513" s="34"/>
      <c r="B513" s="11"/>
      <c r="C513" s="32"/>
      <c r="E513" s="11"/>
    </row>
    <row r="514">
      <c r="A514" s="34"/>
      <c r="B514" s="11"/>
      <c r="C514" s="32"/>
      <c r="E514" s="11"/>
    </row>
    <row r="515">
      <c r="A515" s="34"/>
      <c r="B515" s="11"/>
      <c r="C515" s="32"/>
      <c r="E515" s="11"/>
    </row>
    <row r="516">
      <c r="A516" s="34"/>
      <c r="B516" s="11"/>
      <c r="C516" s="32"/>
      <c r="E516" s="11"/>
    </row>
    <row r="517">
      <c r="A517" s="34"/>
      <c r="B517" s="11"/>
      <c r="C517" s="32"/>
      <c r="E517" s="11"/>
    </row>
    <row r="518">
      <c r="A518" s="34"/>
      <c r="B518" s="11"/>
      <c r="C518" s="32"/>
      <c r="E518" s="11"/>
    </row>
    <row r="519">
      <c r="A519" s="34"/>
      <c r="B519" s="11"/>
      <c r="C519" s="32"/>
      <c r="E519" s="11"/>
    </row>
    <row r="520">
      <c r="A520" s="34"/>
      <c r="B520" s="11"/>
      <c r="C520" s="32"/>
      <c r="E520" s="11"/>
    </row>
    <row r="521">
      <c r="A521" s="34"/>
      <c r="B521" s="11"/>
      <c r="C521" s="32"/>
      <c r="E521" s="11"/>
    </row>
    <row r="522">
      <c r="A522" s="34"/>
      <c r="B522" s="11"/>
      <c r="C522" s="32"/>
      <c r="E522" s="11"/>
    </row>
    <row r="523">
      <c r="A523" s="34"/>
      <c r="B523" s="11"/>
      <c r="C523" s="32"/>
      <c r="E523" s="11"/>
    </row>
    <row r="524">
      <c r="A524" s="34"/>
      <c r="B524" s="11"/>
      <c r="C524" s="32"/>
      <c r="E524" s="11"/>
    </row>
    <row r="525">
      <c r="A525" s="34"/>
      <c r="B525" s="11"/>
      <c r="C525" s="32"/>
      <c r="E525" s="11"/>
    </row>
    <row r="526">
      <c r="A526" s="34"/>
      <c r="B526" s="11"/>
      <c r="C526" s="32"/>
      <c r="E526" s="11"/>
    </row>
    <row r="527">
      <c r="A527" s="34"/>
      <c r="B527" s="11"/>
      <c r="C527" s="32"/>
      <c r="E527" s="11"/>
    </row>
    <row r="528">
      <c r="A528" s="34"/>
      <c r="B528" s="11"/>
      <c r="C528" s="32"/>
      <c r="E528" s="11"/>
    </row>
    <row r="529">
      <c r="A529" s="34"/>
      <c r="B529" s="11"/>
      <c r="C529" s="32"/>
      <c r="E529" s="11"/>
    </row>
    <row r="530">
      <c r="A530" s="34"/>
      <c r="B530" s="11"/>
      <c r="C530" s="32"/>
      <c r="E530" s="11"/>
    </row>
    <row r="531">
      <c r="A531" s="34"/>
      <c r="B531" s="11"/>
      <c r="C531" s="32"/>
      <c r="E531" s="11"/>
    </row>
    <row r="532">
      <c r="A532" s="34"/>
      <c r="B532" s="11"/>
      <c r="C532" s="32"/>
      <c r="E532" s="11"/>
    </row>
    <row r="533">
      <c r="A533" s="34"/>
      <c r="B533" s="11"/>
      <c r="C533" s="32"/>
      <c r="E533" s="11"/>
    </row>
    <row r="534">
      <c r="A534" s="34"/>
      <c r="B534" s="11"/>
      <c r="C534" s="32"/>
      <c r="E534" s="11"/>
    </row>
    <row r="535">
      <c r="A535" s="34"/>
      <c r="B535" s="11"/>
      <c r="C535" s="32"/>
      <c r="E535" s="11"/>
    </row>
    <row r="536">
      <c r="A536" s="34"/>
      <c r="B536" s="11"/>
      <c r="C536" s="32"/>
      <c r="E536" s="11"/>
    </row>
    <row r="537">
      <c r="A537" s="34"/>
      <c r="B537" s="11"/>
      <c r="C537" s="32"/>
      <c r="E537" s="11"/>
    </row>
    <row r="538">
      <c r="A538" s="34"/>
      <c r="B538" s="11"/>
      <c r="C538" s="32"/>
      <c r="E538" s="11"/>
    </row>
    <row r="539">
      <c r="A539" s="34"/>
      <c r="B539" s="11"/>
      <c r="C539" s="32"/>
      <c r="E539" s="11"/>
    </row>
    <row r="540">
      <c r="A540" s="34"/>
      <c r="B540" s="11"/>
      <c r="C540" s="32"/>
      <c r="E540" s="11"/>
    </row>
    <row r="541">
      <c r="A541" s="34"/>
      <c r="B541" s="11"/>
      <c r="C541" s="32"/>
      <c r="E541" s="11"/>
    </row>
    <row r="542">
      <c r="A542" s="34"/>
      <c r="B542" s="11"/>
      <c r="C542" s="32"/>
      <c r="E542" s="11"/>
    </row>
    <row r="543">
      <c r="A543" s="34"/>
      <c r="B543" s="11"/>
      <c r="C543" s="32"/>
      <c r="E543" s="11"/>
    </row>
    <row r="544">
      <c r="A544" s="34"/>
      <c r="B544" s="11"/>
      <c r="C544" s="32"/>
      <c r="E544" s="11"/>
    </row>
    <row r="545">
      <c r="A545" s="34"/>
      <c r="B545" s="11"/>
      <c r="C545" s="32"/>
      <c r="E545" s="11"/>
    </row>
    <row r="546">
      <c r="A546" s="34"/>
      <c r="B546" s="11"/>
      <c r="C546" s="32"/>
      <c r="E546" s="11"/>
    </row>
    <row r="547">
      <c r="A547" s="34"/>
      <c r="B547" s="11"/>
      <c r="C547" s="32"/>
      <c r="E547" s="11"/>
    </row>
    <row r="548">
      <c r="A548" s="34"/>
      <c r="B548" s="11"/>
      <c r="C548" s="32"/>
      <c r="E548" s="11"/>
    </row>
    <row r="549">
      <c r="A549" s="34"/>
      <c r="B549" s="11"/>
      <c r="C549" s="32"/>
      <c r="E549" s="11"/>
    </row>
    <row r="550">
      <c r="A550" s="34"/>
      <c r="B550" s="11"/>
      <c r="C550" s="32"/>
      <c r="E550" s="11"/>
    </row>
    <row r="551">
      <c r="A551" s="34"/>
      <c r="B551" s="11"/>
      <c r="C551" s="32"/>
      <c r="E551" s="11"/>
    </row>
    <row r="552">
      <c r="A552" s="34"/>
      <c r="B552" s="11"/>
      <c r="C552" s="32"/>
      <c r="E552" s="11"/>
    </row>
    <row r="553">
      <c r="A553" s="34"/>
      <c r="B553" s="11"/>
      <c r="C553" s="32"/>
      <c r="E553" s="11"/>
    </row>
    <row r="554">
      <c r="A554" s="34"/>
      <c r="B554" s="11"/>
      <c r="C554" s="32"/>
      <c r="E554" s="11"/>
    </row>
    <row r="555">
      <c r="A555" s="34"/>
      <c r="B555" s="11"/>
      <c r="C555" s="32"/>
      <c r="E555" s="11"/>
    </row>
    <row r="556">
      <c r="A556" s="34"/>
      <c r="B556" s="11"/>
      <c r="C556" s="32"/>
      <c r="E556" s="11"/>
    </row>
    <row r="557">
      <c r="A557" s="34"/>
      <c r="B557" s="11"/>
      <c r="C557" s="32"/>
      <c r="E557" s="11"/>
    </row>
    <row r="558">
      <c r="A558" s="34"/>
      <c r="B558" s="11"/>
      <c r="C558" s="32"/>
      <c r="E558" s="11"/>
    </row>
    <row r="559">
      <c r="A559" s="34"/>
      <c r="B559" s="11"/>
      <c r="C559" s="32"/>
      <c r="E559" s="11"/>
    </row>
    <row r="560">
      <c r="A560" s="34"/>
      <c r="B560" s="11"/>
      <c r="C560" s="32"/>
      <c r="E560" s="11"/>
    </row>
    <row r="561">
      <c r="A561" s="34"/>
      <c r="B561" s="11"/>
      <c r="C561" s="32"/>
      <c r="E561" s="11"/>
    </row>
    <row r="562">
      <c r="A562" s="34"/>
      <c r="B562" s="11"/>
      <c r="C562" s="32"/>
      <c r="E562" s="11"/>
    </row>
    <row r="563">
      <c r="A563" s="34"/>
      <c r="B563" s="11"/>
      <c r="C563" s="32"/>
      <c r="E563" s="11"/>
    </row>
    <row r="564">
      <c r="A564" s="34"/>
      <c r="B564" s="11"/>
      <c r="C564" s="32"/>
      <c r="E564" s="11"/>
    </row>
    <row r="565">
      <c r="A565" s="34"/>
      <c r="B565" s="11"/>
      <c r="C565" s="32"/>
      <c r="E565" s="11"/>
    </row>
    <row r="566">
      <c r="A566" s="34"/>
      <c r="B566" s="11"/>
      <c r="C566" s="32"/>
      <c r="E566" s="11"/>
    </row>
    <row r="567">
      <c r="A567" s="34"/>
      <c r="B567" s="11"/>
      <c r="C567" s="32"/>
      <c r="E567" s="11"/>
    </row>
    <row r="568">
      <c r="A568" s="34"/>
      <c r="B568" s="11"/>
      <c r="C568" s="32"/>
      <c r="E568" s="11"/>
    </row>
    <row r="569">
      <c r="A569" s="34"/>
      <c r="B569" s="11"/>
      <c r="C569" s="32"/>
      <c r="E569" s="11"/>
    </row>
    <row r="570">
      <c r="A570" s="34"/>
      <c r="B570" s="11"/>
      <c r="C570" s="32"/>
      <c r="E570" s="11"/>
    </row>
    <row r="571">
      <c r="A571" s="34"/>
      <c r="B571" s="11"/>
      <c r="C571" s="32"/>
      <c r="E571" s="11"/>
    </row>
    <row r="572">
      <c r="A572" s="34"/>
      <c r="B572" s="11"/>
      <c r="C572" s="32"/>
      <c r="E572" s="11"/>
    </row>
    <row r="573">
      <c r="A573" s="34"/>
      <c r="B573" s="11"/>
      <c r="C573" s="32"/>
      <c r="E573" s="11"/>
    </row>
    <row r="574">
      <c r="A574" s="34"/>
      <c r="B574" s="11"/>
      <c r="C574" s="32"/>
      <c r="E574" s="11"/>
    </row>
    <row r="575">
      <c r="A575" s="34"/>
      <c r="B575" s="11"/>
      <c r="C575" s="32"/>
      <c r="E575" s="11"/>
    </row>
    <row r="576">
      <c r="A576" s="34"/>
      <c r="B576" s="11"/>
      <c r="C576" s="32"/>
      <c r="E576" s="11"/>
    </row>
    <row r="577">
      <c r="A577" s="34"/>
      <c r="B577" s="11"/>
      <c r="C577" s="32"/>
      <c r="E577" s="11"/>
    </row>
    <row r="578">
      <c r="A578" s="34"/>
      <c r="B578" s="11"/>
      <c r="C578" s="32"/>
      <c r="E578" s="11"/>
    </row>
    <row r="579">
      <c r="A579" s="34"/>
      <c r="B579" s="11"/>
      <c r="C579" s="32"/>
      <c r="E579" s="11"/>
    </row>
    <row r="580">
      <c r="A580" s="34"/>
      <c r="B580" s="11"/>
      <c r="C580" s="32"/>
      <c r="E580" s="11"/>
    </row>
    <row r="581">
      <c r="A581" s="34"/>
      <c r="B581" s="11"/>
      <c r="C581" s="32"/>
      <c r="E581" s="11"/>
    </row>
    <row r="582">
      <c r="A582" s="34"/>
      <c r="B582" s="11"/>
      <c r="C582" s="32"/>
      <c r="E582" s="11"/>
    </row>
    <row r="583">
      <c r="A583" s="34"/>
      <c r="B583" s="11"/>
      <c r="C583" s="32"/>
      <c r="E583" s="11"/>
    </row>
    <row r="584">
      <c r="A584" s="34"/>
      <c r="B584" s="11"/>
      <c r="C584" s="32"/>
      <c r="E584" s="11"/>
    </row>
    <row r="585">
      <c r="A585" s="34"/>
      <c r="B585" s="11"/>
      <c r="C585" s="32"/>
      <c r="E585" s="11"/>
    </row>
    <row r="586">
      <c r="A586" s="34"/>
      <c r="B586" s="11"/>
      <c r="C586" s="32"/>
      <c r="E586" s="11"/>
    </row>
    <row r="587">
      <c r="A587" s="34"/>
      <c r="B587" s="11"/>
      <c r="C587" s="32"/>
      <c r="E587" s="11"/>
    </row>
    <row r="588">
      <c r="A588" s="34"/>
      <c r="B588" s="11"/>
      <c r="C588" s="32"/>
      <c r="E588" s="11"/>
    </row>
    <row r="589">
      <c r="A589" s="34"/>
      <c r="B589" s="11"/>
      <c r="C589" s="32"/>
      <c r="E589" s="11"/>
    </row>
    <row r="590">
      <c r="A590" s="34"/>
      <c r="B590" s="11"/>
      <c r="C590" s="32"/>
      <c r="E590" s="11"/>
    </row>
    <row r="591">
      <c r="A591" s="34"/>
      <c r="B591" s="11"/>
      <c r="C591" s="32"/>
      <c r="E591" s="11"/>
    </row>
    <row r="592">
      <c r="A592" s="34"/>
      <c r="B592" s="11"/>
      <c r="C592" s="32"/>
      <c r="E592" s="11"/>
    </row>
    <row r="593">
      <c r="A593" s="34"/>
      <c r="B593" s="11"/>
      <c r="C593" s="32"/>
      <c r="E593" s="11"/>
    </row>
    <row r="594">
      <c r="A594" s="34"/>
      <c r="B594" s="11"/>
      <c r="C594" s="32"/>
      <c r="E594" s="11"/>
    </row>
    <row r="595">
      <c r="A595" s="34"/>
      <c r="B595" s="11"/>
      <c r="C595" s="32"/>
      <c r="E595" s="11"/>
    </row>
    <row r="596">
      <c r="A596" s="34"/>
      <c r="B596" s="11"/>
      <c r="C596" s="32"/>
      <c r="E596" s="11"/>
    </row>
    <row r="597">
      <c r="A597" s="34"/>
      <c r="B597" s="11"/>
      <c r="C597" s="32"/>
      <c r="E597" s="11"/>
    </row>
    <row r="598">
      <c r="A598" s="34"/>
      <c r="B598" s="11"/>
      <c r="C598" s="32"/>
      <c r="E598" s="11"/>
    </row>
    <row r="599">
      <c r="A599" s="34"/>
      <c r="B599" s="11"/>
      <c r="C599" s="32"/>
      <c r="E599" s="11"/>
    </row>
    <row r="600">
      <c r="A600" s="34"/>
      <c r="B600" s="11"/>
      <c r="C600" s="32"/>
      <c r="E600" s="11"/>
    </row>
    <row r="601">
      <c r="A601" s="34"/>
      <c r="B601" s="11"/>
      <c r="C601" s="32"/>
      <c r="E601" s="11"/>
    </row>
    <row r="602">
      <c r="A602" s="34"/>
      <c r="B602" s="11"/>
      <c r="C602" s="32"/>
      <c r="E602" s="11"/>
    </row>
    <row r="603">
      <c r="A603" s="34"/>
      <c r="B603" s="11"/>
      <c r="C603" s="32"/>
      <c r="E603" s="11"/>
    </row>
    <row r="604">
      <c r="A604" s="34"/>
      <c r="B604" s="11"/>
      <c r="C604" s="32"/>
      <c r="E604" s="11"/>
    </row>
    <row r="605">
      <c r="A605" s="34"/>
      <c r="B605" s="11"/>
      <c r="C605" s="32"/>
      <c r="E605" s="11"/>
    </row>
    <row r="606">
      <c r="A606" s="34"/>
      <c r="B606" s="11"/>
      <c r="C606" s="32"/>
      <c r="E606" s="11"/>
    </row>
    <row r="607">
      <c r="A607" s="34"/>
      <c r="B607" s="11"/>
      <c r="C607" s="32"/>
      <c r="E607" s="11"/>
    </row>
    <row r="608">
      <c r="A608" s="34"/>
      <c r="B608" s="11"/>
      <c r="C608" s="32"/>
      <c r="E608" s="11"/>
    </row>
    <row r="609">
      <c r="A609" s="34"/>
      <c r="B609" s="11"/>
      <c r="C609" s="32"/>
      <c r="E609" s="11"/>
    </row>
    <row r="610">
      <c r="A610" s="34"/>
      <c r="B610" s="11"/>
      <c r="C610" s="32"/>
      <c r="E610" s="11"/>
    </row>
    <row r="611">
      <c r="A611" s="34"/>
      <c r="B611" s="11"/>
      <c r="C611" s="32"/>
      <c r="E611" s="11"/>
    </row>
    <row r="612">
      <c r="A612" s="34"/>
      <c r="B612" s="11"/>
      <c r="C612" s="32"/>
      <c r="E612" s="11"/>
    </row>
    <row r="613">
      <c r="A613" s="34"/>
      <c r="B613" s="11"/>
      <c r="C613" s="32"/>
      <c r="E613" s="11"/>
    </row>
    <row r="614">
      <c r="A614" s="34"/>
      <c r="B614" s="11"/>
      <c r="C614" s="32"/>
      <c r="E614" s="11"/>
    </row>
    <row r="615">
      <c r="A615" s="34"/>
      <c r="B615" s="11"/>
      <c r="C615" s="32"/>
      <c r="E615" s="11"/>
    </row>
    <row r="616">
      <c r="A616" s="34"/>
      <c r="B616" s="11"/>
      <c r="C616" s="32"/>
      <c r="E616" s="11"/>
    </row>
    <row r="617">
      <c r="A617" s="34"/>
      <c r="B617" s="11"/>
      <c r="C617" s="32"/>
      <c r="E617" s="11"/>
    </row>
    <row r="618">
      <c r="A618" s="34"/>
      <c r="B618" s="11"/>
      <c r="C618" s="32"/>
      <c r="E618" s="11"/>
    </row>
    <row r="619">
      <c r="A619" s="34"/>
      <c r="B619" s="11"/>
      <c r="C619" s="32"/>
      <c r="E619" s="11"/>
    </row>
    <row r="620">
      <c r="A620" s="34"/>
      <c r="B620" s="11"/>
      <c r="C620" s="32"/>
      <c r="E620" s="11"/>
    </row>
    <row r="621">
      <c r="A621" s="34"/>
      <c r="B621" s="11"/>
      <c r="C621" s="32"/>
      <c r="E621" s="11"/>
    </row>
    <row r="622">
      <c r="A622" s="34"/>
      <c r="B622" s="11"/>
      <c r="C622" s="32"/>
      <c r="E622" s="11"/>
    </row>
    <row r="623">
      <c r="A623" s="34"/>
      <c r="B623" s="11"/>
      <c r="C623" s="32"/>
      <c r="E623" s="11"/>
    </row>
    <row r="624">
      <c r="A624" s="34"/>
      <c r="B624" s="11"/>
      <c r="C624" s="32"/>
      <c r="E624" s="11"/>
    </row>
    <row r="625">
      <c r="A625" s="34"/>
      <c r="B625" s="11"/>
      <c r="C625" s="32"/>
      <c r="E625" s="11"/>
    </row>
    <row r="626">
      <c r="A626" s="34"/>
      <c r="B626" s="11"/>
      <c r="C626" s="32"/>
      <c r="E626" s="11"/>
    </row>
    <row r="627">
      <c r="A627" s="34"/>
      <c r="B627" s="11"/>
      <c r="C627" s="32"/>
      <c r="E627" s="11"/>
    </row>
    <row r="628">
      <c r="A628" s="34"/>
      <c r="B628" s="11"/>
      <c r="C628" s="32"/>
      <c r="E628" s="11"/>
    </row>
    <row r="629">
      <c r="A629" s="34"/>
      <c r="B629" s="11"/>
      <c r="C629" s="32"/>
      <c r="E629" s="11"/>
    </row>
    <row r="630">
      <c r="A630" s="34"/>
      <c r="B630" s="11"/>
      <c r="C630" s="32"/>
      <c r="E630" s="11"/>
    </row>
    <row r="631">
      <c r="A631" s="34"/>
      <c r="B631" s="11"/>
      <c r="C631" s="32"/>
      <c r="E631" s="11"/>
    </row>
    <row r="632">
      <c r="A632" s="34"/>
      <c r="B632" s="11"/>
      <c r="C632" s="32"/>
      <c r="E632" s="11"/>
    </row>
    <row r="633">
      <c r="A633" s="34"/>
      <c r="B633" s="11"/>
      <c r="C633" s="32"/>
      <c r="E633" s="11"/>
    </row>
    <row r="634">
      <c r="A634" s="34"/>
      <c r="B634" s="11"/>
      <c r="C634" s="32"/>
      <c r="E634" s="11"/>
    </row>
    <row r="635">
      <c r="A635" s="34"/>
      <c r="B635" s="11"/>
      <c r="C635" s="32"/>
      <c r="E635" s="11"/>
    </row>
    <row r="636">
      <c r="A636" s="34"/>
      <c r="B636" s="11"/>
      <c r="C636" s="32"/>
      <c r="E636" s="11"/>
    </row>
    <row r="637">
      <c r="A637" s="34"/>
      <c r="B637" s="11"/>
      <c r="C637" s="32"/>
      <c r="E637" s="11"/>
    </row>
    <row r="638">
      <c r="A638" s="34"/>
      <c r="B638" s="11"/>
      <c r="C638" s="32"/>
      <c r="E638" s="11"/>
    </row>
    <row r="639">
      <c r="A639" s="34"/>
      <c r="B639" s="11"/>
      <c r="C639" s="32"/>
      <c r="E639" s="11"/>
    </row>
    <row r="640">
      <c r="A640" s="34"/>
      <c r="B640" s="11"/>
      <c r="C640" s="32"/>
      <c r="E640" s="11"/>
    </row>
    <row r="641">
      <c r="A641" s="34"/>
      <c r="B641" s="11"/>
      <c r="C641" s="32"/>
      <c r="E641" s="11"/>
    </row>
    <row r="642">
      <c r="A642" s="34"/>
      <c r="B642" s="11"/>
      <c r="C642" s="32"/>
      <c r="E642" s="11"/>
    </row>
    <row r="643">
      <c r="A643" s="34"/>
      <c r="B643" s="11"/>
      <c r="C643" s="32"/>
      <c r="E643" s="11"/>
    </row>
    <row r="644">
      <c r="A644" s="34"/>
      <c r="B644" s="11"/>
      <c r="C644" s="32"/>
      <c r="E644" s="11"/>
    </row>
    <row r="645">
      <c r="A645" s="34"/>
      <c r="B645" s="11"/>
      <c r="C645" s="32"/>
      <c r="E645" s="11"/>
    </row>
    <row r="646">
      <c r="A646" s="34"/>
      <c r="B646" s="11"/>
      <c r="C646" s="32"/>
      <c r="E646" s="11"/>
    </row>
    <row r="647">
      <c r="A647" s="34"/>
      <c r="B647" s="11"/>
      <c r="C647" s="32"/>
      <c r="E647" s="11"/>
    </row>
    <row r="648">
      <c r="A648" s="34"/>
      <c r="B648" s="11"/>
      <c r="C648" s="32"/>
      <c r="E648" s="11"/>
    </row>
    <row r="649">
      <c r="A649" s="34"/>
      <c r="B649" s="11"/>
      <c r="C649" s="32"/>
      <c r="E649" s="11"/>
    </row>
    <row r="650">
      <c r="A650" s="34"/>
      <c r="B650" s="11"/>
      <c r="C650" s="32"/>
      <c r="E650" s="11"/>
    </row>
    <row r="651">
      <c r="A651" s="34"/>
      <c r="B651" s="11"/>
      <c r="C651" s="32"/>
      <c r="E651" s="11"/>
    </row>
    <row r="652">
      <c r="A652" s="34"/>
      <c r="B652" s="11"/>
      <c r="C652" s="32"/>
      <c r="E652" s="11"/>
    </row>
    <row r="653">
      <c r="A653" s="34"/>
      <c r="B653" s="11"/>
      <c r="C653" s="32"/>
      <c r="E653" s="11"/>
    </row>
    <row r="654">
      <c r="A654" s="34"/>
      <c r="B654" s="11"/>
      <c r="C654" s="32"/>
      <c r="E654" s="11"/>
    </row>
    <row r="655">
      <c r="A655" s="34"/>
      <c r="B655" s="11"/>
      <c r="C655" s="32"/>
      <c r="E655" s="11"/>
    </row>
    <row r="656">
      <c r="A656" s="34"/>
      <c r="B656" s="11"/>
      <c r="C656" s="32"/>
      <c r="E656" s="11"/>
    </row>
    <row r="657">
      <c r="A657" s="34"/>
      <c r="B657" s="11"/>
      <c r="C657" s="32"/>
      <c r="E657" s="11"/>
    </row>
    <row r="658">
      <c r="A658" s="34"/>
      <c r="B658" s="11"/>
      <c r="C658" s="32"/>
      <c r="E658" s="11"/>
    </row>
    <row r="659">
      <c r="A659" s="34"/>
      <c r="B659" s="11"/>
      <c r="C659" s="32"/>
      <c r="E659" s="11"/>
    </row>
    <row r="660">
      <c r="A660" s="34"/>
      <c r="B660" s="11"/>
      <c r="C660" s="32"/>
      <c r="E660" s="11"/>
    </row>
    <row r="661">
      <c r="A661" s="34"/>
      <c r="B661" s="11"/>
      <c r="C661" s="32"/>
      <c r="E661" s="11"/>
    </row>
    <row r="662">
      <c r="A662" s="34"/>
      <c r="B662" s="11"/>
      <c r="C662" s="32"/>
      <c r="E662" s="11"/>
    </row>
    <row r="663">
      <c r="A663" s="34"/>
      <c r="B663" s="11"/>
      <c r="C663" s="32"/>
      <c r="E663" s="11"/>
    </row>
    <row r="664">
      <c r="A664" s="34"/>
      <c r="B664" s="11"/>
      <c r="C664" s="32"/>
      <c r="E664" s="11"/>
    </row>
    <row r="665">
      <c r="A665" s="34"/>
      <c r="B665" s="11"/>
      <c r="C665" s="32"/>
      <c r="E665" s="11"/>
    </row>
    <row r="666">
      <c r="A666" s="34"/>
      <c r="B666" s="11"/>
      <c r="C666" s="32"/>
      <c r="E666" s="11"/>
    </row>
    <row r="667">
      <c r="A667" s="34"/>
      <c r="B667" s="11"/>
      <c r="C667" s="32"/>
      <c r="E667" s="11"/>
    </row>
    <row r="668">
      <c r="A668" s="34"/>
      <c r="B668" s="11"/>
      <c r="C668" s="32"/>
      <c r="E668" s="11"/>
    </row>
    <row r="669">
      <c r="A669" s="34"/>
      <c r="B669" s="11"/>
      <c r="C669" s="32"/>
      <c r="E669" s="11"/>
    </row>
    <row r="670">
      <c r="A670" s="34"/>
      <c r="B670" s="11"/>
      <c r="C670" s="32"/>
      <c r="E670" s="11"/>
    </row>
    <row r="671">
      <c r="A671" s="34"/>
      <c r="B671" s="11"/>
      <c r="C671" s="32"/>
      <c r="E671" s="11"/>
    </row>
    <row r="672">
      <c r="A672" s="34"/>
      <c r="B672" s="11"/>
      <c r="C672" s="32"/>
      <c r="E672" s="11"/>
    </row>
    <row r="673">
      <c r="A673" s="34"/>
      <c r="B673" s="11"/>
      <c r="C673" s="32"/>
      <c r="E673" s="11"/>
    </row>
    <row r="674">
      <c r="A674" s="34"/>
      <c r="B674" s="11"/>
      <c r="C674" s="32"/>
      <c r="E674" s="11"/>
    </row>
    <row r="675">
      <c r="A675" s="34"/>
      <c r="B675" s="11"/>
      <c r="C675" s="32"/>
      <c r="E675" s="11"/>
    </row>
    <row r="676">
      <c r="A676" s="34"/>
      <c r="B676" s="11"/>
      <c r="C676" s="32"/>
      <c r="E676" s="11"/>
    </row>
    <row r="677">
      <c r="A677" s="34"/>
      <c r="B677" s="11"/>
      <c r="C677" s="32"/>
      <c r="E677" s="11"/>
    </row>
    <row r="678">
      <c r="A678" s="34"/>
      <c r="B678" s="11"/>
      <c r="C678" s="32"/>
      <c r="E678" s="11"/>
    </row>
    <row r="679">
      <c r="A679" s="34"/>
      <c r="B679" s="11"/>
      <c r="C679" s="32"/>
      <c r="E679" s="11"/>
    </row>
    <row r="680">
      <c r="A680" s="34"/>
      <c r="B680" s="11"/>
      <c r="C680" s="32"/>
      <c r="E680" s="11"/>
    </row>
    <row r="681">
      <c r="A681" s="34"/>
      <c r="B681" s="11"/>
      <c r="C681" s="32"/>
      <c r="E681" s="11"/>
    </row>
    <row r="682">
      <c r="A682" s="34"/>
      <c r="B682" s="11"/>
      <c r="C682" s="32"/>
      <c r="E682" s="11"/>
    </row>
    <row r="683">
      <c r="A683" s="34"/>
      <c r="B683" s="11"/>
      <c r="C683" s="32"/>
      <c r="E683" s="11"/>
    </row>
    <row r="684">
      <c r="A684" s="34"/>
      <c r="B684" s="11"/>
      <c r="C684" s="32"/>
      <c r="E684" s="11"/>
    </row>
    <row r="685">
      <c r="A685" s="34"/>
      <c r="B685" s="11"/>
      <c r="C685" s="32"/>
      <c r="E685" s="11"/>
    </row>
    <row r="686">
      <c r="A686" s="34"/>
      <c r="B686" s="11"/>
      <c r="C686" s="32"/>
      <c r="E686" s="11"/>
    </row>
    <row r="687">
      <c r="A687" s="34"/>
      <c r="B687" s="11"/>
      <c r="C687" s="32"/>
      <c r="E687" s="11"/>
    </row>
    <row r="688">
      <c r="A688" s="34"/>
      <c r="B688" s="11"/>
      <c r="C688" s="32"/>
      <c r="E688" s="11"/>
    </row>
    <row r="689">
      <c r="A689" s="34"/>
      <c r="B689" s="11"/>
      <c r="C689" s="32"/>
      <c r="E689" s="11"/>
    </row>
    <row r="690">
      <c r="A690" s="34"/>
      <c r="B690" s="11"/>
      <c r="C690" s="32"/>
      <c r="E690" s="11"/>
    </row>
    <row r="691">
      <c r="A691" s="34"/>
      <c r="B691" s="11"/>
      <c r="C691" s="32"/>
      <c r="E691" s="11"/>
    </row>
    <row r="692">
      <c r="A692" s="34"/>
      <c r="B692" s="11"/>
      <c r="C692" s="32"/>
      <c r="E692" s="11"/>
    </row>
    <row r="693">
      <c r="A693" s="34"/>
      <c r="B693" s="11"/>
      <c r="C693" s="32"/>
      <c r="E693" s="11"/>
    </row>
    <row r="694">
      <c r="A694" s="34"/>
      <c r="B694" s="11"/>
      <c r="C694" s="32"/>
      <c r="E694" s="11"/>
    </row>
    <row r="695">
      <c r="A695" s="34"/>
      <c r="B695" s="11"/>
      <c r="C695" s="32"/>
      <c r="E695" s="11"/>
    </row>
    <row r="696">
      <c r="A696" s="34"/>
      <c r="B696" s="11"/>
      <c r="C696" s="32"/>
      <c r="E696" s="11"/>
    </row>
    <row r="697">
      <c r="A697" s="34"/>
      <c r="B697" s="11"/>
      <c r="C697" s="32"/>
      <c r="E697" s="11"/>
    </row>
    <row r="698">
      <c r="A698" s="34"/>
      <c r="B698" s="11"/>
      <c r="C698" s="32"/>
      <c r="E698" s="11"/>
    </row>
    <row r="699">
      <c r="A699" s="34"/>
      <c r="B699" s="11"/>
      <c r="C699" s="32"/>
      <c r="E699" s="11"/>
    </row>
    <row r="700">
      <c r="A700" s="34"/>
      <c r="B700" s="11"/>
      <c r="C700" s="32"/>
      <c r="E700" s="11"/>
    </row>
    <row r="701">
      <c r="A701" s="34"/>
      <c r="B701" s="11"/>
      <c r="C701" s="32"/>
      <c r="E701" s="11"/>
    </row>
    <row r="702">
      <c r="A702" s="34"/>
      <c r="B702" s="11"/>
      <c r="C702" s="32"/>
      <c r="E702" s="11"/>
    </row>
    <row r="703">
      <c r="A703" s="34"/>
      <c r="B703" s="11"/>
      <c r="C703" s="32"/>
      <c r="E703" s="11"/>
    </row>
    <row r="704">
      <c r="A704" s="34"/>
      <c r="B704" s="11"/>
      <c r="C704" s="32"/>
      <c r="E704" s="11"/>
    </row>
    <row r="705">
      <c r="A705" s="34"/>
      <c r="B705" s="11"/>
      <c r="C705" s="32"/>
      <c r="E705" s="11"/>
    </row>
    <row r="706">
      <c r="A706" s="34"/>
      <c r="B706" s="11"/>
      <c r="C706" s="32"/>
      <c r="E706" s="11"/>
    </row>
    <row r="707">
      <c r="A707" s="34"/>
      <c r="B707" s="11"/>
      <c r="C707" s="32"/>
      <c r="E707" s="11"/>
    </row>
    <row r="708">
      <c r="A708" s="34"/>
      <c r="B708" s="11"/>
      <c r="C708" s="32"/>
      <c r="E708" s="11"/>
    </row>
    <row r="709">
      <c r="A709" s="34"/>
      <c r="B709" s="11"/>
      <c r="C709" s="32"/>
      <c r="E709" s="11"/>
    </row>
    <row r="710">
      <c r="A710" s="34"/>
      <c r="B710" s="11"/>
      <c r="C710" s="32"/>
      <c r="E710" s="11"/>
    </row>
    <row r="711">
      <c r="A711" s="34"/>
      <c r="B711" s="11"/>
      <c r="C711" s="32"/>
      <c r="E711" s="11"/>
    </row>
    <row r="712">
      <c r="A712" s="34"/>
      <c r="B712" s="11"/>
      <c r="C712" s="32"/>
      <c r="E712" s="11"/>
    </row>
    <row r="713">
      <c r="A713" s="34"/>
      <c r="B713" s="11"/>
      <c r="C713" s="32"/>
      <c r="E713" s="11"/>
    </row>
    <row r="714">
      <c r="A714" s="34"/>
      <c r="B714" s="11"/>
      <c r="C714" s="32"/>
      <c r="E714" s="11"/>
    </row>
    <row r="715">
      <c r="A715" s="34"/>
      <c r="B715" s="11"/>
      <c r="C715" s="32"/>
      <c r="E715" s="11"/>
    </row>
    <row r="716">
      <c r="A716" s="34"/>
      <c r="B716" s="11"/>
      <c r="C716" s="32"/>
      <c r="E716" s="11"/>
    </row>
    <row r="717">
      <c r="A717" s="34"/>
      <c r="B717" s="11"/>
      <c r="C717" s="32"/>
      <c r="E717" s="11"/>
    </row>
    <row r="718">
      <c r="A718" s="34"/>
      <c r="B718" s="11"/>
      <c r="C718" s="32"/>
      <c r="E718" s="11"/>
    </row>
    <row r="719">
      <c r="A719" s="34"/>
      <c r="B719" s="11"/>
      <c r="C719" s="32"/>
      <c r="E719" s="11"/>
    </row>
    <row r="720">
      <c r="A720" s="34"/>
      <c r="B720" s="11"/>
      <c r="C720" s="32"/>
      <c r="E720" s="11"/>
    </row>
    <row r="721">
      <c r="A721" s="34"/>
      <c r="B721" s="11"/>
      <c r="C721" s="32"/>
      <c r="E721" s="11"/>
    </row>
    <row r="722">
      <c r="A722" s="34"/>
      <c r="B722" s="11"/>
      <c r="C722" s="32"/>
      <c r="E722" s="11"/>
    </row>
    <row r="723">
      <c r="A723" s="34"/>
      <c r="B723" s="11"/>
      <c r="C723" s="32"/>
      <c r="E723" s="11"/>
    </row>
    <row r="724">
      <c r="A724" s="34"/>
      <c r="B724" s="11"/>
      <c r="C724" s="32"/>
      <c r="E724" s="11"/>
    </row>
    <row r="725">
      <c r="A725" s="34"/>
      <c r="B725" s="11"/>
      <c r="C725" s="32"/>
      <c r="E725" s="11"/>
    </row>
    <row r="726">
      <c r="A726" s="34"/>
      <c r="B726" s="11"/>
      <c r="C726" s="32"/>
      <c r="E726" s="11"/>
    </row>
    <row r="727">
      <c r="A727" s="34"/>
      <c r="B727" s="11"/>
      <c r="C727" s="32"/>
      <c r="E727" s="11"/>
    </row>
    <row r="728">
      <c r="A728" s="34"/>
      <c r="B728" s="11"/>
      <c r="C728" s="32"/>
      <c r="E728" s="11"/>
    </row>
    <row r="729">
      <c r="A729" s="34"/>
      <c r="B729" s="11"/>
      <c r="C729" s="32"/>
      <c r="E729" s="11"/>
    </row>
    <row r="730">
      <c r="A730" s="34"/>
      <c r="B730" s="11"/>
      <c r="C730" s="32"/>
      <c r="E730" s="11"/>
    </row>
    <row r="731">
      <c r="A731" s="34"/>
      <c r="B731" s="11"/>
      <c r="C731" s="32"/>
      <c r="E731" s="11"/>
    </row>
    <row r="732">
      <c r="A732" s="34"/>
      <c r="B732" s="11"/>
      <c r="C732" s="32"/>
      <c r="E732" s="11"/>
    </row>
    <row r="733">
      <c r="A733" s="34"/>
      <c r="B733" s="11"/>
      <c r="C733" s="32"/>
      <c r="E733" s="11"/>
    </row>
    <row r="734">
      <c r="A734" s="34"/>
      <c r="B734" s="11"/>
      <c r="C734" s="32"/>
      <c r="E734" s="11"/>
    </row>
    <row r="735">
      <c r="A735" s="34"/>
      <c r="B735" s="11"/>
      <c r="C735" s="32"/>
      <c r="E735" s="11"/>
    </row>
    <row r="736">
      <c r="A736" s="34"/>
      <c r="B736" s="11"/>
      <c r="C736" s="32"/>
      <c r="E736" s="11"/>
    </row>
    <row r="737">
      <c r="A737" s="34"/>
      <c r="B737" s="11"/>
      <c r="C737" s="32"/>
      <c r="E737" s="11"/>
    </row>
    <row r="738">
      <c r="A738" s="34"/>
      <c r="B738" s="11"/>
      <c r="C738" s="32"/>
      <c r="E738" s="11"/>
    </row>
    <row r="739">
      <c r="A739" s="34"/>
      <c r="B739" s="11"/>
      <c r="C739" s="32"/>
      <c r="E739" s="11"/>
    </row>
    <row r="740">
      <c r="A740" s="34"/>
      <c r="B740" s="11"/>
      <c r="C740" s="32"/>
      <c r="E740" s="11"/>
    </row>
    <row r="741">
      <c r="A741" s="34"/>
      <c r="B741" s="11"/>
      <c r="C741" s="32"/>
      <c r="E741" s="11"/>
    </row>
    <row r="742">
      <c r="A742" s="34"/>
      <c r="B742" s="11"/>
      <c r="C742" s="32"/>
      <c r="E742" s="11"/>
    </row>
    <row r="743">
      <c r="A743" s="34"/>
      <c r="B743" s="11"/>
      <c r="C743" s="32"/>
      <c r="E743" s="11"/>
    </row>
    <row r="744">
      <c r="A744" s="34"/>
      <c r="B744" s="11"/>
      <c r="C744" s="32"/>
      <c r="E744" s="11"/>
    </row>
    <row r="745">
      <c r="A745" s="34"/>
      <c r="B745" s="11"/>
      <c r="C745" s="32"/>
      <c r="E745" s="11"/>
    </row>
    <row r="746">
      <c r="A746" s="34"/>
      <c r="B746" s="11"/>
      <c r="C746" s="32"/>
      <c r="E746" s="11"/>
    </row>
    <row r="747">
      <c r="A747" s="34"/>
      <c r="B747" s="11"/>
      <c r="C747" s="32"/>
      <c r="E747" s="11"/>
    </row>
    <row r="748">
      <c r="A748" s="34"/>
      <c r="B748" s="11"/>
      <c r="C748" s="32"/>
      <c r="E748" s="11"/>
    </row>
    <row r="749">
      <c r="A749" s="34"/>
      <c r="B749" s="11"/>
      <c r="C749" s="32"/>
      <c r="E749" s="11"/>
    </row>
    <row r="750">
      <c r="A750" s="34"/>
      <c r="B750" s="11"/>
      <c r="C750" s="32"/>
      <c r="E750" s="11"/>
    </row>
    <row r="751">
      <c r="A751" s="34"/>
      <c r="B751" s="11"/>
      <c r="C751" s="32"/>
      <c r="E751" s="11"/>
    </row>
    <row r="752">
      <c r="A752" s="34"/>
      <c r="B752" s="11"/>
      <c r="C752" s="32"/>
      <c r="E752" s="11"/>
    </row>
    <row r="753">
      <c r="A753" s="34"/>
      <c r="B753" s="11"/>
      <c r="C753" s="32"/>
      <c r="E753" s="11"/>
    </row>
    <row r="754">
      <c r="A754" s="34"/>
      <c r="B754" s="11"/>
      <c r="C754" s="32"/>
      <c r="E754" s="11"/>
    </row>
    <row r="755">
      <c r="A755" s="34"/>
      <c r="B755" s="11"/>
      <c r="C755" s="32"/>
      <c r="E755" s="11"/>
    </row>
    <row r="756">
      <c r="A756" s="34"/>
      <c r="B756" s="11"/>
      <c r="C756" s="32"/>
      <c r="E756" s="11"/>
    </row>
    <row r="757">
      <c r="A757" s="34"/>
      <c r="B757" s="11"/>
      <c r="C757" s="32"/>
      <c r="E757" s="11"/>
    </row>
    <row r="758">
      <c r="A758" s="34"/>
      <c r="B758" s="11"/>
      <c r="C758" s="32"/>
      <c r="E758" s="11"/>
    </row>
    <row r="759">
      <c r="A759" s="34"/>
      <c r="B759" s="11"/>
      <c r="C759" s="32"/>
      <c r="E759" s="11"/>
    </row>
    <row r="760">
      <c r="A760" s="34"/>
      <c r="B760" s="11"/>
      <c r="C760" s="32"/>
      <c r="E760" s="11"/>
    </row>
    <row r="761">
      <c r="A761" s="34"/>
      <c r="B761" s="11"/>
      <c r="C761" s="32"/>
      <c r="E761" s="11"/>
    </row>
    <row r="762">
      <c r="A762" s="34"/>
      <c r="B762" s="11"/>
      <c r="C762" s="32"/>
      <c r="E762" s="11"/>
    </row>
    <row r="763">
      <c r="A763" s="34"/>
      <c r="B763" s="11"/>
      <c r="C763" s="32"/>
      <c r="E763" s="11"/>
    </row>
    <row r="764">
      <c r="A764" s="34"/>
      <c r="B764" s="11"/>
      <c r="C764" s="32"/>
      <c r="E764" s="11"/>
    </row>
    <row r="765">
      <c r="A765" s="34"/>
      <c r="B765" s="11"/>
      <c r="C765" s="32"/>
      <c r="E765" s="11"/>
    </row>
    <row r="766">
      <c r="A766" s="34"/>
      <c r="B766" s="11"/>
      <c r="C766" s="32"/>
      <c r="E766" s="11"/>
    </row>
    <row r="767">
      <c r="A767" s="34"/>
      <c r="B767" s="11"/>
      <c r="C767" s="32"/>
      <c r="E767" s="11"/>
    </row>
    <row r="768">
      <c r="A768" s="34"/>
      <c r="B768" s="11"/>
      <c r="C768" s="32"/>
      <c r="E768" s="11"/>
    </row>
    <row r="769">
      <c r="A769" s="34"/>
      <c r="B769" s="11"/>
      <c r="C769" s="32"/>
      <c r="E769" s="11"/>
    </row>
    <row r="770">
      <c r="A770" s="34"/>
      <c r="B770" s="11"/>
      <c r="C770" s="32"/>
      <c r="E770" s="11"/>
    </row>
    <row r="771">
      <c r="A771" s="34"/>
      <c r="B771" s="11"/>
      <c r="C771" s="32"/>
      <c r="E771" s="11"/>
    </row>
    <row r="772">
      <c r="A772" s="34"/>
      <c r="B772" s="11"/>
      <c r="C772" s="32"/>
      <c r="E772" s="11"/>
    </row>
    <row r="773">
      <c r="A773" s="34"/>
      <c r="B773" s="11"/>
      <c r="C773" s="32"/>
      <c r="E773" s="11"/>
    </row>
    <row r="774">
      <c r="A774" s="34"/>
      <c r="B774" s="11"/>
      <c r="C774" s="32"/>
      <c r="E774" s="11"/>
    </row>
    <row r="775">
      <c r="A775" s="34"/>
      <c r="B775" s="11"/>
      <c r="C775" s="32"/>
      <c r="E775" s="11"/>
    </row>
    <row r="776">
      <c r="A776" s="34"/>
      <c r="B776" s="11"/>
      <c r="C776" s="32"/>
      <c r="E776" s="11"/>
    </row>
    <row r="777">
      <c r="A777" s="34"/>
      <c r="B777" s="11"/>
      <c r="C777" s="32"/>
      <c r="E777" s="11"/>
    </row>
    <row r="778">
      <c r="A778" s="34"/>
      <c r="B778" s="11"/>
      <c r="C778" s="32"/>
      <c r="E778" s="11"/>
    </row>
    <row r="779">
      <c r="A779" s="34"/>
      <c r="B779" s="11"/>
      <c r="C779" s="32"/>
      <c r="E779" s="11"/>
    </row>
    <row r="780">
      <c r="A780" s="34"/>
      <c r="B780" s="11"/>
      <c r="C780" s="32"/>
      <c r="E780" s="11"/>
    </row>
    <row r="781">
      <c r="A781" s="34"/>
      <c r="B781" s="11"/>
      <c r="C781" s="32"/>
      <c r="E781" s="11"/>
    </row>
    <row r="782">
      <c r="A782" s="34"/>
      <c r="B782" s="11"/>
      <c r="C782" s="32"/>
      <c r="E782" s="11"/>
    </row>
    <row r="783">
      <c r="A783" s="34"/>
      <c r="B783" s="11"/>
      <c r="C783" s="32"/>
      <c r="E783" s="11"/>
    </row>
    <row r="784">
      <c r="A784" s="34"/>
      <c r="B784" s="11"/>
      <c r="C784" s="32"/>
      <c r="E784" s="11"/>
    </row>
    <row r="785">
      <c r="A785" s="34"/>
      <c r="B785" s="11"/>
      <c r="C785" s="32"/>
      <c r="E785" s="11"/>
    </row>
    <row r="786">
      <c r="A786" s="34"/>
      <c r="B786" s="11"/>
      <c r="C786" s="32"/>
      <c r="E786" s="11"/>
    </row>
    <row r="787">
      <c r="A787" s="34"/>
      <c r="B787" s="11"/>
      <c r="C787" s="32"/>
      <c r="E787" s="11"/>
    </row>
    <row r="788">
      <c r="A788" s="34"/>
      <c r="B788" s="11"/>
      <c r="C788" s="32"/>
      <c r="E788" s="11"/>
    </row>
    <row r="789">
      <c r="A789" s="34"/>
      <c r="B789" s="11"/>
      <c r="C789" s="32"/>
      <c r="E789" s="11"/>
    </row>
    <row r="790">
      <c r="A790" s="34"/>
      <c r="B790" s="11"/>
      <c r="C790" s="32"/>
      <c r="E790" s="11"/>
    </row>
    <row r="791">
      <c r="A791" s="34"/>
      <c r="B791" s="11"/>
      <c r="C791" s="32"/>
      <c r="E791" s="11"/>
    </row>
    <row r="792">
      <c r="A792" s="34"/>
      <c r="B792" s="11"/>
      <c r="C792" s="32"/>
      <c r="E792" s="11"/>
    </row>
    <row r="793">
      <c r="A793" s="34"/>
      <c r="B793" s="11"/>
      <c r="C793" s="32"/>
      <c r="E793" s="11"/>
    </row>
    <row r="794">
      <c r="A794" s="34"/>
      <c r="B794" s="11"/>
      <c r="C794" s="32"/>
      <c r="E794" s="11"/>
    </row>
    <row r="795">
      <c r="A795" s="34"/>
      <c r="B795" s="11"/>
      <c r="C795" s="32"/>
      <c r="E795" s="11"/>
    </row>
    <row r="796">
      <c r="A796" s="34"/>
      <c r="B796" s="11"/>
      <c r="C796" s="32"/>
      <c r="E796" s="11"/>
    </row>
    <row r="797">
      <c r="A797" s="34"/>
      <c r="B797" s="11"/>
      <c r="C797" s="32"/>
      <c r="E797" s="11"/>
    </row>
    <row r="798">
      <c r="A798" s="34"/>
      <c r="B798" s="11"/>
      <c r="C798" s="32"/>
      <c r="E798" s="11"/>
    </row>
    <row r="799">
      <c r="A799" s="34"/>
      <c r="B799" s="11"/>
      <c r="C799" s="32"/>
      <c r="E799" s="11"/>
    </row>
    <row r="800">
      <c r="A800" s="34"/>
      <c r="B800" s="11"/>
      <c r="C800" s="32"/>
      <c r="E800" s="11"/>
    </row>
    <row r="801">
      <c r="A801" s="34"/>
      <c r="B801" s="11"/>
      <c r="C801" s="32"/>
      <c r="E801" s="11"/>
    </row>
    <row r="802">
      <c r="A802" s="34"/>
      <c r="B802" s="11"/>
      <c r="C802" s="32"/>
      <c r="E802" s="11"/>
    </row>
    <row r="803">
      <c r="A803" s="34"/>
      <c r="B803" s="11"/>
      <c r="C803" s="32"/>
      <c r="E803" s="11"/>
    </row>
    <row r="804">
      <c r="A804" s="34"/>
      <c r="B804" s="11"/>
      <c r="C804" s="32"/>
      <c r="E804" s="11"/>
    </row>
    <row r="805">
      <c r="A805" s="34"/>
      <c r="B805" s="11"/>
      <c r="C805" s="32"/>
      <c r="E805" s="11"/>
    </row>
    <row r="806">
      <c r="A806" s="34"/>
      <c r="B806" s="11"/>
      <c r="C806" s="32"/>
      <c r="E806" s="11"/>
    </row>
    <row r="807">
      <c r="A807" s="34"/>
      <c r="B807" s="11"/>
      <c r="C807" s="32"/>
      <c r="E807" s="11"/>
    </row>
    <row r="808">
      <c r="A808" s="34"/>
      <c r="B808" s="11"/>
      <c r="C808" s="32"/>
      <c r="E808" s="11"/>
    </row>
    <row r="809">
      <c r="A809" s="34"/>
      <c r="B809" s="11"/>
      <c r="C809" s="32"/>
      <c r="E809" s="11"/>
    </row>
    <row r="810">
      <c r="A810" s="34"/>
      <c r="B810" s="11"/>
      <c r="C810" s="32"/>
      <c r="E810" s="11"/>
    </row>
    <row r="811">
      <c r="A811" s="34"/>
      <c r="B811" s="11"/>
      <c r="C811" s="32"/>
      <c r="E811" s="11"/>
    </row>
    <row r="812">
      <c r="A812" s="34"/>
      <c r="B812" s="11"/>
      <c r="C812" s="32"/>
      <c r="E812" s="11"/>
    </row>
    <row r="813">
      <c r="A813" s="34"/>
      <c r="B813" s="11"/>
      <c r="C813" s="32"/>
      <c r="E813" s="11"/>
    </row>
    <row r="814">
      <c r="A814" s="34"/>
      <c r="B814" s="11"/>
      <c r="C814" s="32"/>
      <c r="E814" s="11"/>
    </row>
    <row r="815">
      <c r="A815" s="34"/>
      <c r="B815" s="11"/>
      <c r="C815" s="32"/>
      <c r="E815" s="11"/>
    </row>
    <row r="816">
      <c r="A816" s="34"/>
      <c r="B816" s="11"/>
      <c r="C816" s="32"/>
      <c r="E816" s="11"/>
    </row>
    <row r="817">
      <c r="A817" s="34"/>
      <c r="B817" s="11"/>
      <c r="C817" s="32"/>
      <c r="E817" s="11"/>
    </row>
    <row r="818">
      <c r="A818" s="34"/>
      <c r="B818" s="11"/>
      <c r="C818" s="32"/>
      <c r="E818" s="11"/>
    </row>
    <row r="819">
      <c r="A819" s="34"/>
      <c r="B819" s="11"/>
      <c r="C819" s="32"/>
      <c r="E819" s="11"/>
    </row>
    <row r="820">
      <c r="A820" s="34"/>
      <c r="B820" s="11"/>
      <c r="C820" s="32"/>
      <c r="E820" s="11"/>
    </row>
    <row r="821">
      <c r="A821" s="34"/>
      <c r="B821" s="11"/>
      <c r="C821" s="32"/>
      <c r="E821" s="11"/>
    </row>
    <row r="822">
      <c r="A822" s="34"/>
      <c r="B822" s="11"/>
      <c r="C822" s="32"/>
      <c r="E822" s="11"/>
    </row>
    <row r="823">
      <c r="A823" s="34"/>
      <c r="B823" s="11"/>
      <c r="C823" s="32"/>
      <c r="E823" s="11"/>
    </row>
    <row r="824">
      <c r="A824" s="34"/>
      <c r="B824" s="11"/>
      <c r="C824" s="32"/>
      <c r="E824" s="11"/>
    </row>
    <row r="825">
      <c r="A825" s="34"/>
      <c r="B825" s="11"/>
      <c r="C825" s="32"/>
      <c r="E825" s="11"/>
    </row>
    <row r="826">
      <c r="A826" s="34"/>
      <c r="B826" s="11"/>
      <c r="C826" s="32"/>
      <c r="E826" s="11"/>
    </row>
    <row r="827">
      <c r="A827" s="34"/>
      <c r="B827" s="11"/>
      <c r="C827" s="32"/>
      <c r="E827" s="11"/>
    </row>
    <row r="828">
      <c r="A828" s="34"/>
      <c r="B828" s="11"/>
      <c r="C828" s="32"/>
      <c r="E828" s="11"/>
    </row>
    <row r="829">
      <c r="A829" s="34"/>
      <c r="B829" s="11"/>
      <c r="C829" s="32"/>
      <c r="E829" s="11"/>
    </row>
    <row r="830">
      <c r="A830" s="34"/>
      <c r="B830" s="11"/>
      <c r="C830" s="32"/>
      <c r="E830" s="11"/>
    </row>
    <row r="831">
      <c r="A831" s="34"/>
      <c r="B831" s="11"/>
      <c r="C831" s="32"/>
      <c r="E831" s="11"/>
    </row>
    <row r="832">
      <c r="A832" s="34"/>
      <c r="B832" s="11"/>
      <c r="C832" s="32"/>
      <c r="E832" s="11"/>
    </row>
    <row r="833">
      <c r="A833" s="34"/>
      <c r="B833" s="11"/>
      <c r="C833" s="32"/>
      <c r="E833" s="11"/>
    </row>
    <row r="834">
      <c r="A834" s="34"/>
      <c r="B834" s="11"/>
      <c r="C834" s="32"/>
      <c r="E834" s="11"/>
    </row>
    <row r="835">
      <c r="A835" s="34"/>
      <c r="B835" s="11"/>
      <c r="C835" s="32"/>
      <c r="E835" s="11"/>
    </row>
    <row r="836">
      <c r="A836" s="34"/>
      <c r="B836" s="11"/>
      <c r="C836" s="32"/>
      <c r="E836" s="11"/>
    </row>
    <row r="837">
      <c r="A837" s="34"/>
      <c r="B837" s="11"/>
      <c r="C837" s="32"/>
      <c r="E837" s="11"/>
    </row>
    <row r="838">
      <c r="A838" s="34"/>
      <c r="B838" s="11"/>
      <c r="C838" s="32"/>
      <c r="E838" s="11"/>
    </row>
    <row r="839">
      <c r="A839" s="34"/>
      <c r="B839" s="11"/>
      <c r="C839" s="32"/>
      <c r="E839" s="11"/>
    </row>
    <row r="840">
      <c r="A840" s="34"/>
      <c r="B840" s="11"/>
      <c r="C840" s="32"/>
      <c r="E840" s="11"/>
    </row>
    <row r="841">
      <c r="A841" s="34"/>
      <c r="B841" s="11"/>
      <c r="C841" s="32"/>
      <c r="E841" s="11"/>
    </row>
    <row r="842">
      <c r="A842" s="34"/>
      <c r="B842" s="11"/>
      <c r="C842" s="32"/>
      <c r="E842" s="11"/>
    </row>
    <row r="843">
      <c r="A843" s="34"/>
      <c r="B843" s="11"/>
      <c r="C843" s="32"/>
      <c r="E843" s="11"/>
    </row>
    <row r="844">
      <c r="A844" s="34"/>
      <c r="B844" s="11"/>
      <c r="C844" s="32"/>
      <c r="E844" s="11"/>
    </row>
    <row r="845">
      <c r="A845" s="34"/>
      <c r="B845" s="11"/>
      <c r="C845" s="32"/>
      <c r="E845" s="11"/>
    </row>
    <row r="846">
      <c r="A846" s="34"/>
      <c r="B846" s="11"/>
      <c r="C846" s="32"/>
      <c r="E846" s="11"/>
    </row>
    <row r="847">
      <c r="A847" s="34"/>
      <c r="B847" s="11"/>
      <c r="C847" s="32"/>
      <c r="E847" s="11"/>
    </row>
    <row r="848">
      <c r="A848" s="34"/>
      <c r="B848" s="11"/>
      <c r="C848" s="32"/>
      <c r="E848" s="11"/>
    </row>
    <row r="849">
      <c r="A849" s="34"/>
      <c r="B849" s="11"/>
      <c r="C849" s="32"/>
      <c r="E849" s="11"/>
    </row>
    <row r="850">
      <c r="A850" s="34"/>
      <c r="B850" s="11"/>
      <c r="C850" s="32"/>
      <c r="E850" s="11"/>
    </row>
    <row r="851">
      <c r="A851" s="34"/>
      <c r="B851" s="11"/>
      <c r="C851" s="32"/>
      <c r="E851" s="11"/>
    </row>
    <row r="852">
      <c r="A852" s="34"/>
      <c r="B852" s="11"/>
      <c r="C852" s="32"/>
      <c r="E852" s="11"/>
    </row>
    <row r="853">
      <c r="A853" s="34"/>
      <c r="B853" s="11"/>
      <c r="C853" s="32"/>
      <c r="E853" s="11"/>
    </row>
    <row r="854">
      <c r="A854" s="34"/>
      <c r="B854" s="11"/>
      <c r="C854" s="32"/>
      <c r="E854" s="11"/>
    </row>
    <row r="855">
      <c r="A855" s="34"/>
      <c r="B855" s="11"/>
      <c r="C855" s="32"/>
      <c r="E855" s="11"/>
    </row>
    <row r="856">
      <c r="A856" s="34"/>
      <c r="B856" s="11"/>
      <c r="C856" s="32"/>
      <c r="E856" s="11"/>
    </row>
    <row r="857">
      <c r="A857" s="34"/>
      <c r="B857" s="11"/>
      <c r="C857" s="32"/>
      <c r="E857" s="11"/>
    </row>
    <row r="858">
      <c r="A858" s="34"/>
      <c r="B858" s="11"/>
      <c r="C858" s="32"/>
      <c r="E858" s="11"/>
    </row>
    <row r="859">
      <c r="A859" s="34"/>
      <c r="B859" s="11"/>
      <c r="C859" s="32"/>
      <c r="E859" s="11"/>
    </row>
    <row r="860">
      <c r="A860" s="34"/>
      <c r="B860" s="11"/>
      <c r="C860" s="32"/>
      <c r="E860" s="11"/>
    </row>
    <row r="861">
      <c r="A861" s="34"/>
      <c r="B861" s="11"/>
      <c r="C861" s="32"/>
      <c r="E861" s="11"/>
    </row>
    <row r="862">
      <c r="A862" s="34"/>
      <c r="B862" s="11"/>
      <c r="C862" s="32"/>
      <c r="E862" s="11"/>
    </row>
    <row r="863">
      <c r="A863" s="34"/>
      <c r="B863" s="11"/>
      <c r="C863" s="32"/>
      <c r="E863" s="11"/>
    </row>
    <row r="864">
      <c r="A864" s="34"/>
      <c r="B864" s="11"/>
      <c r="C864" s="32"/>
      <c r="E864" s="11"/>
    </row>
    <row r="865">
      <c r="A865" s="34"/>
      <c r="B865" s="11"/>
      <c r="C865" s="32"/>
      <c r="E865" s="11"/>
    </row>
    <row r="866">
      <c r="A866" s="34"/>
      <c r="B866" s="11"/>
      <c r="C866" s="32"/>
      <c r="E866" s="11"/>
    </row>
    <row r="867">
      <c r="A867" s="34"/>
      <c r="B867" s="11"/>
      <c r="C867" s="32"/>
      <c r="E867" s="11"/>
    </row>
    <row r="868">
      <c r="A868" s="34"/>
      <c r="B868" s="11"/>
      <c r="C868" s="32"/>
      <c r="E868" s="11"/>
    </row>
    <row r="869">
      <c r="A869" s="34"/>
      <c r="B869" s="11"/>
      <c r="C869" s="32"/>
      <c r="E869" s="11"/>
    </row>
    <row r="870">
      <c r="A870" s="34"/>
      <c r="B870" s="11"/>
      <c r="C870" s="32"/>
      <c r="E870" s="11"/>
    </row>
    <row r="871">
      <c r="A871" s="34"/>
      <c r="B871" s="11"/>
      <c r="C871" s="32"/>
      <c r="E871" s="11"/>
    </row>
    <row r="872">
      <c r="A872" s="34"/>
      <c r="B872" s="11"/>
      <c r="C872" s="32"/>
      <c r="E872" s="11"/>
    </row>
    <row r="873">
      <c r="A873" s="34"/>
      <c r="B873" s="11"/>
      <c r="C873" s="32"/>
      <c r="E873" s="11"/>
    </row>
    <row r="874">
      <c r="A874" s="34"/>
      <c r="B874" s="11"/>
      <c r="C874" s="32"/>
      <c r="E874" s="11"/>
    </row>
    <row r="875">
      <c r="A875" s="34"/>
      <c r="B875" s="11"/>
      <c r="C875" s="32"/>
      <c r="E875" s="11"/>
    </row>
    <row r="876">
      <c r="A876" s="34"/>
      <c r="B876" s="11"/>
      <c r="C876" s="32"/>
      <c r="E876" s="11"/>
    </row>
    <row r="877">
      <c r="A877" s="34"/>
      <c r="B877" s="11"/>
      <c r="C877" s="32"/>
      <c r="E877" s="11"/>
    </row>
    <row r="878">
      <c r="A878" s="34"/>
      <c r="B878" s="11"/>
      <c r="C878" s="32"/>
      <c r="E878" s="11"/>
    </row>
    <row r="879">
      <c r="A879" s="34"/>
      <c r="B879" s="11"/>
      <c r="C879" s="32"/>
      <c r="E879" s="11"/>
    </row>
    <row r="880">
      <c r="A880" s="34"/>
      <c r="B880" s="11"/>
      <c r="C880" s="32"/>
      <c r="E880" s="11"/>
    </row>
    <row r="881">
      <c r="A881" s="34"/>
      <c r="B881" s="11"/>
      <c r="C881" s="32"/>
      <c r="E881" s="11"/>
    </row>
    <row r="882">
      <c r="A882" s="34"/>
      <c r="B882" s="11"/>
      <c r="C882" s="32"/>
      <c r="E882" s="11"/>
    </row>
    <row r="883">
      <c r="A883" s="34"/>
      <c r="B883" s="11"/>
      <c r="C883" s="32"/>
      <c r="E883" s="11"/>
    </row>
    <row r="884">
      <c r="A884" s="34"/>
      <c r="B884" s="11"/>
      <c r="C884" s="32"/>
      <c r="E884" s="11"/>
    </row>
    <row r="885">
      <c r="A885" s="34"/>
      <c r="B885" s="11"/>
      <c r="C885" s="32"/>
      <c r="E885" s="11"/>
    </row>
    <row r="886">
      <c r="A886" s="34"/>
      <c r="B886" s="11"/>
      <c r="C886" s="32"/>
      <c r="E886" s="11"/>
    </row>
    <row r="887">
      <c r="A887" s="34"/>
      <c r="B887" s="11"/>
      <c r="C887" s="32"/>
      <c r="E887" s="11"/>
    </row>
    <row r="888">
      <c r="A888" s="34"/>
      <c r="B888" s="11"/>
      <c r="C888" s="32"/>
      <c r="E888" s="11"/>
    </row>
    <row r="889">
      <c r="A889" s="34"/>
      <c r="B889" s="11"/>
      <c r="C889" s="32"/>
      <c r="E889" s="11"/>
    </row>
    <row r="890">
      <c r="A890" s="34"/>
      <c r="B890" s="11"/>
      <c r="C890" s="32"/>
      <c r="E890" s="11"/>
    </row>
    <row r="891">
      <c r="A891" s="34"/>
      <c r="B891" s="11"/>
      <c r="C891" s="32"/>
      <c r="E891" s="11"/>
    </row>
    <row r="892">
      <c r="A892" s="34"/>
      <c r="B892" s="11"/>
      <c r="C892" s="32"/>
      <c r="E892" s="11"/>
    </row>
    <row r="893">
      <c r="A893" s="34"/>
      <c r="B893" s="11"/>
      <c r="C893" s="32"/>
      <c r="E893" s="11"/>
    </row>
    <row r="894">
      <c r="A894" s="34"/>
      <c r="B894" s="11"/>
      <c r="C894" s="32"/>
      <c r="E894" s="11"/>
    </row>
    <row r="895">
      <c r="A895" s="34"/>
      <c r="B895" s="11"/>
      <c r="C895" s="32"/>
      <c r="E895" s="11"/>
    </row>
    <row r="896">
      <c r="A896" s="34"/>
      <c r="B896" s="11"/>
      <c r="C896" s="32"/>
      <c r="E896" s="11"/>
    </row>
    <row r="897">
      <c r="A897" s="34"/>
      <c r="B897" s="11"/>
      <c r="C897" s="32"/>
      <c r="E897" s="11"/>
    </row>
    <row r="898">
      <c r="A898" s="34"/>
      <c r="B898" s="11"/>
      <c r="C898" s="32"/>
      <c r="E898" s="11"/>
    </row>
    <row r="899">
      <c r="A899" s="34"/>
      <c r="B899" s="11"/>
      <c r="C899" s="32"/>
      <c r="E899" s="11"/>
    </row>
    <row r="900">
      <c r="A900" s="34"/>
      <c r="B900" s="11"/>
      <c r="C900" s="32"/>
      <c r="E900" s="11"/>
    </row>
    <row r="901">
      <c r="A901" s="34"/>
      <c r="B901" s="11"/>
      <c r="C901" s="32"/>
      <c r="E901" s="11"/>
    </row>
    <row r="902">
      <c r="A902" s="34"/>
      <c r="B902" s="11"/>
      <c r="C902" s="32"/>
      <c r="E902" s="11"/>
    </row>
    <row r="903">
      <c r="A903" s="34"/>
      <c r="B903" s="11"/>
      <c r="C903" s="32"/>
      <c r="E903" s="11"/>
    </row>
    <row r="904">
      <c r="A904" s="34"/>
      <c r="B904" s="11"/>
      <c r="C904" s="32"/>
      <c r="E904" s="11"/>
    </row>
    <row r="905">
      <c r="A905" s="34"/>
      <c r="B905" s="11"/>
      <c r="C905" s="32"/>
      <c r="E905" s="11"/>
    </row>
    <row r="906">
      <c r="A906" s="34"/>
      <c r="B906" s="11"/>
      <c r="C906" s="32"/>
      <c r="E906" s="11"/>
    </row>
    <row r="907">
      <c r="A907" s="34"/>
      <c r="B907" s="11"/>
      <c r="C907" s="32"/>
      <c r="E907" s="11"/>
    </row>
    <row r="908">
      <c r="A908" s="34"/>
      <c r="B908" s="11"/>
      <c r="C908" s="32"/>
      <c r="E908" s="11"/>
    </row>
    <row r="909">
      <c r="A909" s="34"/>
      <c r="B909" s="11"/>
      <c r="C909" s="32"/>
      <c r="E909" s="11"/>
    </row>
    <row r="910">
      <c r="A910" s="34"/>
      <c r="B910" s="11"/>
      <c r="C910" s="32"/>
      <c r="E910" s="11"/>
    </row>
    <row r="911">
      <c r="A911" s="34"/>
      <c r="B911" s="11"/>
      <c r="C911" s="32"/>
      <c r="E911" s="11"/>
    </row>
    <row r="912">
      <c r="A912" s="34"/>
      <c r="B912" s="11"/>
      <c r="C912" s="32"/>
      <c r="E912" s="11"/>
    </row>
    <row r="913">
      <c r="A913" s="34"/>
      <c r="B913" s="11"/>
      <c r="C913" s="32"/>
      <c r="E913" s="11"/>
    </row>
    <row r="914">
      <c r="A914" s="34"/>
      <c r="B914" s="11"/>
      <c r="C914" s="32"/>
      <c r="E914" s="11"/>
    </row>
    <row r="915">
      <c r="A915" s="34"/>
      <c r="B915" s="11"/>
      <c r="C915" s="32"/>
      <c r="E915" s="11"/>
    </row>
    <row r="916">
      <c r="A916" s="34"/>
      <c r="B916" s="11"/>
      <c r="C916" s="32"/>
      <c r="E916" s="11"/>
    </row>
    <row r="917">
      <c r="A917" s="34"/>
      <c r="B917" s="11"/>
      <c r="C917" s="32"/>
      <c r="E917" s="11"/>
    </row>
    <row r="918">
      <c r="A918" s="34"/>
      <c r="B918" s="11"/>
      <c r="C918" s="32"/>
      <c r="E918" s="11"/>
    </row>
    <row r="919">
      <c r="A919" s="34"/>
      <c r="B919" s="11"/>
      <c r="C919" s="32"/>
      <c r="E919" s="11"/>
    </row>
    <row r="920">
      <c r="A920" s="34"/>
      <c r="B920" s="11"/>
      <c r="C920" s="32"/>
      <c r="E920" s="11"/>
    </row>
    <row r="921">
      <c r="A921" s="34"/>
      <c r="B921" s="11"/>
      <c r="C921" s="32"/>
      <c r="E921" s="11"/>
    </row>
    <row r="922">
      <c r="A922" s="34"/>
      <c r="B922" s="11"/>
      <c r="C922" s="32"/>
      <c r="E922" s="11"/>
    </row>
    <row r="923">
      <c r="A923" s="34"/>
      <c r="B923" s="11"/>
      <c r="C923" s="32"/>
      <c r="E923" s="11"/>
    </row>
    <row r="924">
      <c r="A924" s="34"/>
      <c r="B924" s="11"/>
      <c r="C924" s="32"/>
      <c r="E924" s="11"/>
    </row>
    <row r="925">
      <c r="A925" s="34"/>
      <c r="B925" s="11"/>
      <c r="C925" s="32"/>
      <c r="E925" s="11"/>
    </row>
    <row r="926">
      <c r="A926" s="34"/>
      <c r="B926" s="11"/>
      <c r="C926" s="32"/>
      <c r="E926" s="11"/>
    </row>
    <row r="927">
      <c r="A927" s="34"/>
      <c r="B927" s="11"/>
      <c r="C927" s="32"/>
      <c r="E927" s="11"/>
    </row>
    <row r="928">
      <c r="A928" s="34"/>
      <c r="B928" s="11"/>
      <c r="C928" s="32"/>
      <c r="E928" s="11"/>
    </row>
    <row r="929">
      <c r="A929" s="34"/>
      <c r="B929" s="11"/>
      <c r="C929" s="32"/>
      <c r="E929" s="11"/>
    </row>
    <row r="930">
      <c r="A930" s="34"/>
      <c r="B930" s="11"/>
      <c r="C930" s="32"/>
      <c r="E930" s="11"/>
    </row>
    <row r="931">
      <c r="A931" s="34"/>
      <c r="B931" s="11"/>
      <c r="C931" s="32"/>
      <c r="E931" s="11"/>
    </row>
    <row r="932">
      <c r="A932" s="34"/>
      <c r="B932" s="11"/>
      <c r="C932" s="32"/>
      <c r="E932" s="11"/>
    </row>
    <row r="933">
      <c r="A933" s="34"/>
      <c r="B933" s="11"/>
      <c r="C933" s="32"/>
      <c r="E933" s="11"/>
    </row>
    <row r="934">
      <c r="A934" s="34"/>
      <c r="B934" s="11"/>
      <c r="C934" s="32"/>
      <c r="E934" s="11"/>
    </row>
    <row r="935">
      <c r="A935" s="34"/>
      <c r="B935" s="11"/>
      <c r="C935" s="32"/>
      <c r="E935" s="11"/>
    </row>
    <row r="936">
      <c r="A936" s="34"/>
      <c r="B936" s="11"/>
      <c r="C936" s="32"/>
      <c r="E936" s="11"/>
    </row>
    <row r="937">
      <c r="A937" s="34"/>
      <c r="B937" s="11"/>
      <c r="C937" s="32"/>
      <c r="E937" s="11"/>
    </row>
    <row r="938">
      <c r="A938" s="34"/>
      <c r="B938" s="11"/>
      <c r="C938" s="32"/>
      <c r="E938" s="11"/>
    </row>
    <row r="939">
      <c r="A939" s="34"/>
      <c r="B939" s="11"/>
      <c r="C939" s="32"/>
      <c r="E939" s="11"/>
    </row>
    <row r="940">
      <c r="A940" s="34"/>
      <c r="B940" s="11"/>
      <c r="C940" s="32"/>
      <c r="E940" s="11"/>
    </row>
    <row r="941">
      <c r="A941" s="34"/>
      <c r="B941" s="11"/>
      <c r="C941" s="32"/>
      <c r="E941" s="11"/>
    </row>
    <row r="942">
      <c r="A942" s="34"/>
      <c r="B942" s="11"/>
      <c r="C942" s="32"/>
      <c r="E942" s="11"/>
    </row>
    <row r="943">
      <c r="A943" s="34"/>
      <c r="B943" s="11"/>
      <c r="C943" s="32"/>
      <c r="E943" s="11"/>
    </row>
    <row r="944">
      <c r="A944" s="34"/>
      <c r="B944" s="11"/>
      <c r="C944" s="32"/>
      <c r="E944" s="11"/>
    </row>
    <row r="945">
      <c r="A945" s="34"/>
      <c r="B945" s="11"/>
      <c r="C945" s="32"/>
      <c r="E945" s="11"/>
    </row>
    <row r="946">
      <c r="A946" s="34"/>
      <c r="B946" s="11"/>
      <c r="C946" s="32"/>
      <c r="E946" s="11"/>
    </row>
    <row r="947">
      <c r="A947" s="34"/>
      <c r="B947" s="11"/>
      <c r="C947" s="32"/>
      <c r="E947" s="11"/>
    </row>
    <row r="948">
      <c r="A948" s="34"/>
      <c r="B948" s="11"/>
      <c r="C948" s="32"/>
      <c r="E948" s="11"/>
    </row>
    <row r="949">
      <c r="A949" s="34"/>
      <c r="B949" s="11"/>
      <c r="C949" s="32"/>
      <c r="E949" s="11"/>
    </row>
    <row r="950">
      <c r="A950" s="34"/>
      <c r="B950" s="11"/>
      <c r="C950" s="32"/>
      <c r="E950" s="11"/>
    </row>
    <row r="951">
      <c r="A951" s="34"/>
      <c r="B951" s="11"/>
      <c r="C951" s="32"/>
      <c r="E951" s="11"/>
    </row>
    <row r="952">
      <c r="A952" s="34"/>
      <c r="B952" s="11"/>
      <c r="C952" s="32"/>
      <c r="E952" s="11"/>
    </row>
    <row r="953">
      <c r="A953" s="34"/>
      <c r="B953" s="11"/>
      <c r="C953" s="32"/>
      <c r="E953" s="11"/>
    </row>
    <row r="954">
      <c r="A954" s="34"/>
      <c r="B954" s="11"/>
      <c r="C954" s="32"/>
      <c r="E954" s="11"/>
    </row>
    <row r="955">
      <c r="A955" s="34"/>
      <c r="B955" s="11"/>
      <c r="C955" s="32"/>
      <c r="E955" s="11"/>
    </row>
    <row r="956">
      <c r="A956" s="34"/>
      <c r="B956" s="11"/>
      <c r="C956" s="32"/>
      <c r="E956" s="11"/>
    </row>
    <row r="957">
      <c r="A957" s="34"/>
      <c r="B957" s="11"/>
      <c r="C957" s="32"/>
      <c r="E957" s="11"/>
    </row>
    <row r="958">
      <c r="A958" s="34"/>
      <c r="B958" s="11"/>
      <c r="C958" s="32"/>
      <c r="E958" s="11"/>
    </row>
    <row r="959">
      <c r="A959" s="34"/>
      <c r="B959" s="11"/>
      <c r="C959" s="32"/>
      <c r="E959" s="11"/>
    </row>
    <row r="960">
      <c r="A960" s="34"/>
      <c r="B960" s="11"/>
      <c r="C960" s="32"/>
      <c r="E960" s="11"/>
    </row>
    <row r="961">
      <c r="A961" s="34"/>
      <c r="B961" s="11"/>
      <c r="C961" s="32"/>
      <c r="E961" s="11"/>
    </row>
    <row r="962">
      <c r="A962" s="34"/>
      <c r="B962" s="11"/>
      <c r="C962" s="32"/>
      <c r="E962" s="11"/>
    </row>
    <row r="963">
      <c r="A963" s="34"/>
      <c r="B963" s="11"/>
      <c r="C963" s="32"/>
      <c r="E963" s="11"/>
    </row>
    <row r="964">
      <c r="A964" s="34"/>
      <c r="B964" s="11"/>
      <c r="C964" s="32"/>
      <c r="E964" s="11"/>
    </row>
    <row r="965">
      <c r="A965" s="34"/>
      <c r="B965" s="11"/>
      <c r="C965" s="32"/>
      <c r="E965" s="11"/>
    </row>
    <row r="966">
      <c r="A966" s="34"/>
      <c r="B966" s="11"/>
      <c r="C966" s="32"/>
      <c r="E966" s="11"/>
    </row>
    <row r="967">
      <c r="A967" s="34"/>
      <c r="B967" s="11"/>
      <c r="C967" s="32"/>
      <c r="E967" s="11"/>
    </row>
    <row r="968">
      <c r="A968" s="34"/>
      <c r="B968" s="11"/>
      <c r="C968" s="32"/>
      <c r="E968" s="11"/>
    </row>
    <row r="969">
      <c r="A969" s="34"/>
      <c r="B969" s="11"/>
      <c r="C969" s="32"/>
      <c r="E969" s="11"/>
    </row>
    <row r="970">
      <c r="A970" s="34"/>
      <c r="B970" s="11"/>
      <c r="C970" s="32"/>
      <c r="E970" s="11"/>
    </row>
    <row r="971">
      <c r="A971" s="34"/>
      <c r="B971" s="11"/>
      <c r="C971" s="32"/>
      <c r="E971" s="11"/>
    </row>
    <row r="972">
      <c r="A972" s="34"/>
      <c r="B972" s="11"/>
      <c r="C972" s="32"/>
      <c r="E972" s="11"/>
    </row>
    <row r="973">
      <c r="A973" s="34"/>
      <c r="B973" s="11"/>
      <c r="C973" s="32"/>
      <c r="E973" s="11"/>
    </row>
    <row r="974">
      <c r="A974" s="34"/>
      <c r="B974" s="11"/>
      <c r="C974" s="32"/>
      <c r="E974" s="11"/>
    </row>
    <row r="975">
      <c r="A975" s="34"/>
      <c r="B975" s="11"/>
      <c r="C975" s="32"/>
      <c r="E975" s="11"/>
    </row>
    <row r="976">
      <c r="A976" s="34"/>
      <c r="B976" s="11"/>
      <c r="C976" s="32"/>
      <c r="E976" s="11"/>
    </row>
    <row r="977">
      <c r="A977" s="34"/>
      <c r="B977" s="11"/>
      <c r="C977" s="32"/>
      <c r="E977" s="11"/>
    </row>
    <row r="978">
      <c r="A978" s="34"/>
      <c r="B978" s="11"/>
      <c r="C978" s="32"/>
      <c r="E978" s="11"/>
    </row>
    <row r="979">
      <c r="A979" s="34"/>
      <c r="B979" s="11"/>
      <c r="C979" s="32"/>
      <c r="E979" s="11"/>
    </row>
    <row r="980">
      <c r="A980" s="34"/>
      <c r="B980" s="11"/>
      <c r="C980" s="32"/>
      <c r="E980" s="11"/>
    </row>
    <row r="981">
      <c r="A981" s="34"/>
      <c r="B981" s="11"/>
      <c r="C981" s="32"/>
      <c r="E981" s="11"/>
    </row>
    <row r="982">
      <c r="A982" s="34"/>
      <c r="B982" s="11"/>
      <c r="C982" s="32"/>
      <c r="E982" s="11"/>
    </row>
    <row r="983">
      <c r="A983" s="34"/>
      <c r="B983" s="11"/>
      <c r="C983" s="32"/>
      <c r="E983" s="11"/>
    </row>
    <row r="984">
      <c r="A984" s="34"/>
      <c r="B984" s="11"/>
      <c r="C984" s="32"/>
      <c r="E984" s="11"/>
    </row>
    <row r="985">
      <c r="A985" s="34"/>
      <c r="B985" s="11"/>
      <c r="C985" s="32"/>
      <c r="E985" s="11"/>
    </row>
    <row r="986">
      <c r="A986" s="34"/>
      <c r="B986" s="11"/>
      <c r="C986" s="32"/>
      <c r="E986" s="11"/>
    </row>
    <row r="987">
      <c r="A987" s="34"/>
      <c r="B987" s="11"/>
      <c r="C987" s="32"/>
      <c r="E987" s="11"/>
    </row>
    <row r="988">
      <c r="A988" s="34"/>
      <c r="B988" s="11"/>
      <c r="C988" s="32"/>
      <c r="E988" s="11"/>
    </row>
    <row r="989">
      <c r="A989" s="34"/>
      <c r="B989" s="11"/>
      <c r="C989" s="32"/>
      <c r="E989" s="11"/>
    </row>
    <row r="990">
      <c r="A990" s="34"/>
      <c r="B990" s="11"/>
      <c r="C990" s="32"/>
      <c r="E990" s="11"/>
    </row>
    <row r="991">
      <c r="A991" s="34"/>
      <c r="B991" s="11"/>
      <c r="C991" s="32"/>
      <c r="E991" s="11"/>
    </row>
    <row r="992">
      <c r="A992" s="34"/>
      <c r="B992" s="11"/>
      <c r="C992" s="32"/>
      <c r="E992" s="11"/>
    </row>
    <row r="993">
      <c r="A993" s="34"/>
      <c r="B993" s="11"/>
      <c r="C993" s="32"/>
      <c r="E993" s="11"/>
    </row>
    <row r="994">
      <c r="A994" s="34"/>
      <c r="B994" s="11"/>
      <c r="C994" s="32"/>
      <c r="E994" s="11"/>
    </row>
    <row r="995">
      <c r="A995" s="34"/>
      <c r="B995" s="11"/>
      <c r="C995" s="32"/>
      <c r="E995" s="11"/>
    </row>
    <row r="996">
      <c r="A996" s="34"/>
      <c r="B996" s="11"/>
      <c r="C996" s="32"/>
      <c r="E996" s="11"/>
    </row>
    <row r="997">
      <c r="A997" s="34"/>
      <c r="B997" s="11"/>
      <c r="C997" s="32"/>
      <c r="E997" s="11"/>
    </row>
    <row r="998">
      <c r="A998" s="34"/>
      <c r="B998" s="11"/>
      <c r="C998" s="32"/>
      <c r="E998" s="11"/>
    </row>
    <row r="999">
      <c r="A999" s="34"/>
      <c r="B999" s="11"/>
      <c r="C999" s="32"/>
      <c r="E999" s="11"/>
    </row>
    <row r="1000">
      <c r="A1000" s="34"/>
      <c r="B1000" s="11"/>
      <c r="C1000" s="32"/>
      <c r="E1000" s="11"/>
    </row>
    <row r="1001">
      <c r="A1001" s="34"/>
      <c r="B1001" s="11"/>
      <c r="C1001" s="32"/>
      <c r="E1001" s="11"/>
    </row>
    <row r="1002">
      <c r="A1002" s="34"/>
      <c r="B1002" s="11"/>
      <c r="C1002" s="32"/>
      <c r="E1002" s="11"/>
    </row>
    <row r="1003">
      <c r="A1003" s="34"/>
      <c r="B1003" s="11"/>
      <c r="C1003" s="32"/>
      <c r="E1003" s="11"/>
    </row>
    <row r="1004">
      <c r="A1004" s="34"/>
      <c r="B1004" s="11"/>
      <c r="C1004" s="32"/>
      <c r="E1004" s="11"/>
    </row>
    <row r="1005">
      <c r="A1005" s="34"/>
      <c r="B1005" s="11"/>
      <c r="C1005" s="32"/>
      <c r="E1005" s="11"/>
    </row>
    <row r="1006">
      <c r="A1006" s="34"/>
      <c r="B1006" s="11"/>
      <c r="C1006" s="32"/>
      <c r="E1006" s="11"/>
    </row>
    <row r="1007">
      <c r="A1007" s="34"/>
      <c r="B1007" s="11"/>
      <c r="C1007" s="32"/>
      <c r="E1007" s="11"/>
    </row>
    <row r="1008">
      <c r="A1008" s="34"/>
      <c r="B1008" s="11"/>
      <c r="C1008" s="32"/>
      <c r="E1008" s="11"/>
    </row>
    <row r="1009">
      <c r="A1009" s="34"/>
      <c r="B1009" s="11"/>
      <c r="C1009" s="32"/>
      <c r="E1009" s="11"/>
    </row>
    <row r="1010">
      <c r="A1010" s="34"/>
      <c r="B1010" s="11"/>
      <c r="C1010" s="32"/>
      <c r="E1010" s="11"/>
    </row>
    <row r="1011">
      <c r="A1011" s="34"/>
      <c r="B1011" s="11"/>
      <c r="C1011" s="32"/>
      <c r="E1011" s="11"/>
    </row>
    <row r="1012">
      <c r="A1012" s="34"/>
      <c r="B1012" s="11"/>
      <c r="C1012" s="32"/>
      <c r="E1012" s="11"/>
    </row>
    <row r="1013">
      <c r="A1013" s="34"/>
      <c r="B1013" s="11"/>
      <c r="C1013" s="32"/>
      <c r="E1013" s="11"/>
    </row>
    <row r="1014">
      <c r="A1014" s="34"/>
      <c r="B1014" s="11"/>
      <c r="C1014" s="32"/>
      <c r="E1014" s="11"/>
    </row>
    <row r="1015">
      <c r="A1015" s="34"/>
      <c r="B1015" s="11"/>
      <c r="C1015" s="32"/>
      <c r="E1015" s="11"/>
    </row>
    <row r="1016">
      <c r="A1016" s="34"/>
      <c r="B1016" s="11"/>
      <c r="C1016" s="32"/>
      <c r="E1016" s="11"/>
    </row>
    <row r="1017">
      <c r="A1017" s="34"/>
      <c r="B1017" s="11"/>
      <c r="C1017" s="32"/>
      <c r="E1017" s="11"/>
    </row>
    <row r="1018">
      <c r="A1018" s="34"/>
      <c r="B1018" s="11"/>
      <c r="C1018" s="32"/>
      <c r="E1018" s="11"/>
    </row>
    <row r="1019">
      <c r="A1019" s="34"/>
      <c r="B1019" s="11"/>
      <c r="C1019" s="32"/>
      <c r="E1019" s="11"/>
    </row>
    <row r="1020">
      <c r="A1020" s="34"/>
      <c r="B1020" s="11"/>
      <c r="C1020" s="32"/>
      <c r="E1020" s="11"/>
    </row>
    <row r="1021">
      <c r="A1021" s="34"/>
      <c r="B1021" s="11"/>
      <c r="C1021" s="32"/>
      <c r="E1021" s="11"/>
    </row>
    <row r="1022">
      <c r="A1022" s="34"/>
      <c r="B1022" s="11"/>
      <c r="C1022" s="32"/>
      <c r="E1022" s="11"/>
    </row>
    <row r="1023">
      <c r="A1023" s="34"/>
      <c r="B1023" s="11"/>
      <c r="C1023" s="32"/>
      <c r="E1023" s="11"/>
    </row>
    <row r="1024">
      <c r="A1024" s="34"/>
      <c r="B1024" s="11"/>
      <c r="C1024" s="32"/>
      <c r="E1024" s="11"/>
    </row>
    <row r="1025">
      <c r="A1025" s="34"/>
      <c r="B1025" s="11"/>
      <c r="C1025" s="32"/>
      <c r="E1025" s="11"/>
    </row>
    <row r="1026">
      <c r="A1026" s="34"/>
      <c r="B1026" s="11"/>
      <c r="C1026" s="32"/>
      <c r="E1026" s="11"/>
    </row>
    <row r="1027">
      <c r="A1027" s="34"/>
      <c r="B1027" s="11"/>
      <c r="C1027" s="32"/>
      <c r="E1027" s="11"/>
    </row>
    <row r="1028">
      <c r="A1028" s="34"/>
      <c r="B1028" s="11"/>
      <c r="C1028" s="32"/>
      <c r="E1028" s="11"/>
    </row>
    <row r="1029">
      <c r="A1029" s="34"/>
      <c r="B1029" s="11"/>
      <c r="C1029" s="32"/>
      <c r="E1029" s="11"/>
    </row>
    <row r="1030">
      <c r="A1030" s="34"/>
      <c r="B1030" s="11"/>
      <c r="C1030" s="32"/>
      <c r="E1030" s="11"/>
    </row>
    <row r="1031">
      <c r="A1031" s="34"/>
      <c r="B1031" s="11"/>
      <c r="C1031" s="32"/>
      <c r="E1031" s="11"/>
    </row>
    <row r="1032">
      <c r="A1032" s="34"/>
      <c r="B1032" s="11"/>
      <c r="C1032" s="32"/>
      <c r="E1032" s="11"/>
    </row>
    <row r="1033">
      <c r="A1033" s="34"/>
      <c r="B1033" s="11"/>
      <c r="C1033" s="32"/>
      <c r="E1033" s="11"/>
    </row>
    <row r="1034">
      <c r="A1034" s="34"/>
      <c r="B1034" s="11"/>
      <c r="C1034" s="32"/>
      <c r="E1034" s="11"/>
    </row>
    <row r="1035">
      <c r="A1035" s="34"/>
      <c r="B1035" s="11"/>
      <c r="C1035" s="32"/>
      <c r="E1035" s="11"/>
    </row>
    <row r="1036">
      <c r="A1036" s="34"/>
      <c r="B1036" s="11"/>
      <c r="C1036" s="32"/>
      <c r="E1036" s="11"/>
    </row>
    <row r="1037">
      <c r="A1037" s="34"/>
      <c r="B1037" s="11"/>
      <c r="C1037" s="32"/>
      <c r="E1037" s="11"/>
    </row>
    <row r="1038">
      <c r="A1038" s="34"/>
      <c r="B1038" s="11"/>
      <c r="C1038" s="32"/>
      <c r="E1038" s="11"/>
    </row>
    <row r="1039">
      <c r="A1039" s="34"/>
      <c r="B1039" s="11"/>
      <c r="C1039" s="32"/>
      <c r="E1039" s="11"/>
    </row>
    <row r="1040">
      <c r="A1040" s="34"/>
      <c r="B1040" s="11"/>
      <c r="C1040" s="32"/>
      <c r="E1040" s="11"/>
    </row>
    <row r="1041">
      <c r="A1041" s="34"/>
      <c r="B1041" s="11"/>
      <c r="C1041" s="32"/>
      <c r="E1041" s="11"/>
    </row>
    <row r="1042">
      <c r="A1042" s="34"/>
      <c r="B1042" s="11"/>
      <c r="C1042" s="32"/>
      <c r="E1042" s="11"/>
    </row>
    <row r="1043">
      <c r="A1043" s="34"/>
      <c r="B1043" s="11"/>
      <c r="C1043" s="32"/>
      <c r="E1043" s="11"/>
    </row>
    <row r="1044">
      <c r="A1044" s="34"/>
      <c r="B1044" s="11"/>
      <c r="C1044" s="32"/>
      <c r="E1044" s="11"/>
    </row>
    <row r="1045">
      <c r="A1045" s="34"/>
      <c r="B1045" s="11"/>
      <c r="C1045" s="32"/>
      <c r="E1045" s="11"/>
    </row>
    <row r="1046">
      <c r="A1046" s="34"/>
      <c r="B1046" s="11"/>
      <c r="C1046" s="32"/>
      <c r="E1046" s="11"/>
    </row>
    <row r="1047">
      <c r="A1047" s="34"/>
      <c r="B1047" s="11"/>
      <c r="C1047" s="32"/>
      <c r="E1047" s="11"/>
    </row>
    <row r="1048">
      <c r="A1048" s="34"/>
      <c r="B1048" s="11"/>
      <c r="C1048" s="32"/>
      <c r="E1048" s="11"/>
    </row>
    <row r="1049">
      <c r="A1049" s="34"/>
      <c r="B1049" s="11"/>
      <c r="C1049" s="32"/>
      <c r="E1049" s="11"/>
    </row>
    <row r="1050">
      <c r="A1050" s="34"/>
      <c r="B1050" s="11"/>
      <c r="C1050" s="32"/>
      <c r="E1050" s="11"/>
    </row>
    <row r="1051">
      <c r="A1051" s="34"/>
      <c r="B1051" s="11"/>
      <c r="C1051" s="32"/>
      <c r="E1051" s="11"/>
    </row>
    <row r="1052">
      <c r="A1052" s="34"/>
      <c r="B1052" s="11"/>
      <c r="C1052" s="32"/>
      <c r="E1052" s="11"/>
    </row>
    <row r="1053">
      <c r="A1053" s="34"/>
      <c r="B1053" s="11"/>
      <c r="C1053" s="32"/>
      <c r="E1053" s="11"/>
    </row>
    <row r="1054">
      <c r="A1054" s="34"/>
      <c r="B1054" s="11"/>
      <c r="C1054" s="32"/>
      <c r="E1054" s="11"/>
    </row>
    <row r="1055">
      <c r="A1055" s="34"/>
      <c r="B1055" s="11"/>
      <c r="C1055" s="32"/>
      <c r="E1055" s="11"/>
    </row>
    <row r="1056">
      <c r="A1056" s="34"/>
      <c r="B1056" s="11"/>
      <c r="C1056" s="32"/>
      <c r="E1056" s="11"/>
    </row>
    <row r="1057">
      <c r="A1057" s="34"/>
      <c r="B1057" s="11"/>
      <c r="C1057" s="32"/>
      <c r="E1057" s="11"/>
    </row>
    <row r="1058">
      <c r="A1058" s="34"/>
      <c r="B1058" s="11"/>
      <c r="C1058" s="32"/>
      <c r="E1058" s="11"/>
    </row>
    <row r="1059">
      <c r="A1059" s="34"/>
      <c r="B1059" s="11"/>
      <c r="C1059" s="32"/>
      <c r="E1059" s="11"/>
    </row>
    <row r="1060">
      <c r="A1060" s="34"/>
      <c r="B1060" s="11"/>
      <c r="C1060" s="32"/>
      <c r="E1060" s="11"/>
    </row>
    <row r="1061">
      <c r="A1061" s="34"/>
      <c r="B1061" s="11"/>
      <c r="C1061" s="32"/>
      <c r="E1061" s="11"/>
    </row>
    <row r="1062">
      <c r="A1062" s="34"/>
      <c r="B1062" s="11"/>
      <c r="C1062" s="32"/>
      <c r="E1062" s="11"/>
    </row>
    <row r="1063">
      <c r="A1063" s="34"/>
      <c r="B1063" s="11"/>
      <c r="C1063" s="32"/>
      <c r="E1063" s="11"/>
    </row>
    <row r="1064">
      <c r="A1064" s="34"/>
      <c r="B1064" s="11"/>
      <c r="C1064" s="32"/>
      <c r="E1064" s="11"/>
    </row>
    <row r="1065">
      <c r="A1065" s="34"/>
      <c r="B1065" s="11"/>
      <c r="C1065" s="32"/>
      <c r="E1065" s="11"/>
    </row>
    <row r="1066">
      <c r="A1066" s="34"/>
      <c r="B1066" s="11"/>
      <c r="C1066" s="32"/>
      <c r="E1066" s="11"/>
    </row>
    <row r="1067">
      <c r="A1067" s="34"/>
      <c r="B1067" s="11"/>
      <c r="C1067" s="32"/>
      <c r="E1067" s="11"/>
    </row>
    <row r="1068">
      <c r="A1068" s="34"/>
      <c r="B1068" s="11"/>
      <c r="C1068" s="32"/>
      <c r="E1068" s="11"/>
    </row>
    <row r="1069">
      <c r="A1069" s="34"/>
      <c r="B1069" s="11"/>
      <c r="C1069" s="32"/>
      <c r="E1069" s="11"/>
    </row>
    <row r="1070">
      <c r="A1070" s="34"/>
      <c r="B1070" s="11"/>
      <c r="C1070" s="32"/>
      <c r="E1070" s="11"/>
    </row>
    <row r="1071">
      <c r="A1071" s="34"/>
      <c r="B1071" s="11"/>
      <c r="C1071" s="32"/>
      <c r="E1071" s="11"/>
    </row>
    <row r="1072">
      <c r="A1072" s="34"/>
      <c r="B1072" s="11"/>
      <c r="C1072" s="32"/>
      <c r="E1072" s="11"/>
    </row>
    <row r="1073">
      <c r="A1073" s="34"/>
      <c r="B1073" s="11"/>
      <c r="C1073" s="32"/>
      <c r="E1073" s="11"/>
    </row>
    <row r="1074">
      <c r="A1074" s="34"/>
      <c r="B1074" s="11"/>
      <c r="C1074" s="32"/>
      <c r="E1074" s="11"/>
    </row>
    <row r="1075">
      <c r="A1075" s="34"/>
      <c r="B1075" s="11"/>
      <c r="C1075" s="32"/>
      <c r="E1075" s="11"/>
    </row>
    <row r="1076">
      <c r="A1076" s="34"/>
      <c r="B1076" s="11"/>
      <c r="C1076" s="32"/>
      <c r="E1076" s="11"/>
    </row>
    <row r="1077">
      <c r="A1077" s="34"/>
      <c r="B1077" s="11"/>
      <c r="C1077" s="32"/>
      <c r="E1077" s="11"/>
    </row>
    <row r="1078">
      <c r="A1078" s="34"/>
      <c r="B1078" s="11"/>
      <c r="C1078" s="32"/>
      <c r="E1078" s="11"/>
    </row>
    <row r="1079">
      <c r="A1079" s="34"/>
      <c r="B1079" s="11"/>
      <c r="C1079" s="32"/>
      <c r="E1079" s="11"/>
    </row>
    <row r="1080">
      <c r="A1080" s="34"/>
      <c r="B1080" s="11"/>
      <c r="C1080" s="32"/>
      <c r="E1080" s="11"/>
    </row>
    <row r="1081">
      <c r="A1081" s="34"/>
      <c r="B1081" s="11"/>
      <c r="C1081" s="32"/>
      <c r="E1081" s="11"/>
    </row>
    <row r="1082">
      <c r="A1082" s="34"/>
      <c r="B1082" s="11"/>
      <c r="C1082" s="32"/>
      <c r="E1082" s="11"/>
    </row>
    <row r="1083">
      <c r="A1083" s="34"/>
      <c r="B1083" s="11"/>
      <c r="C1083" s="32"/>
      <c r="E1083" s="11"/>
    </row>
    <row r="1084">
      <c r="A1084" s="34"/>
      <c r="B1084" s="11"/>
      <c r="C1084" s="32"/>
      <c r="E1084" s="11"/>
    </row>
    <row r="1085">
      <c r="A1085" s="34"/>
      <c r="B1085" s="11"/>
      <c r="C1085" s="32"/>
      <c r="E1085" s="11"/>
    </row>
    <row r="1086">
      <c r="A1086" s="34"/>
      <c r="B1086" s="11"/>
      <c r="C1086" s="32"/>
      <c r="E1086" s="11"/>
    </row>
    <row r="1087">
      <c r="A1087" s="34"/>
      <c r="B1087" s="11"/>
      <c r="C1087" s="32"/>
      <c r="E1087" s="11"/>
    </row>
    <row r="1088">
      <c r="A1088" s="34"/>
      <c r="B1088" s="11"/>
      <c r="C1088" s="32"/>
      <c r="E1088" s="11"/>
    </row>
    <row r="1089">
      <c r="A1089" s="34"/>
      <c r="B1089" s="11"/>
      <c r="C1089" s="32"/>
      <c r="E1089" s="11"/>
    </row>
    <row r="1090">
      <c r="A1090" s="34"/>
      <c r="B1090" s="11"/>
      <c r="C1090" s="32"/>
      <c r="E1090" s="11"/>
    </row>
    <row r="1091">
      <c r="A1091" s="34"/>
      <c r="B1091" s="11"/>
      <c r="C1091" s="32"/>
      <c r="E1091" s="11"/>
    </row>
    <row r="1092">
      <c r="A1092" s="34"/>
      <c r="B1092" s="11"/>
      <c r="C1092" s="32"/>
      <c r="E1092" s="11"/>
    </row>
    <row r="1093">
      <c r="A1093" s="34"/>
      <c r="B1093" s="11"/>
      <c r="C1093" s="32"/>
      <c r="E1093" s="11"/>
    </row>
    <row r="1094">
      <c r="A1094" s="34"/>
      <c r="B1094" s="11"/>
      <c r="C1094" s="32"/>
      <c r="E1094" s="11"/>
    </row>
    <row r="1095">
      <c r="A1095" s="34"/>
      <c r="B1095" s="11"/>
      <c r="C1095" s="32"/>
      <c r="E1095" s="11"/>
    </row>
    <row r="1096">
      <c r="A1096" s="34"/>
      <c r="B1096" s="11"/>
      <c r="C1096" s="32"/>
      <c r="E1096" s="11"/>
    </row>
    <row r="1097">
      <c r="A1097" s="34"/>
      <c r="B1097" s="11"/>
      <c r="C1097" s="32"/>
      <c r="E1097" s="11"/>
    </row>
    <row r="1098">
      <c r="A1098" s="34"/>
      <c r="B1098" s="11"/>
      <c r="C1098" s="32"/>
      <c r="E1098" s="11"/>
    </row>
    <row r="1099">
      <c r="A1099" s="34"/>
      <c r="B1099" s="11"/>
      <c r="C1099" s="32"/>
      <c r="E1099" s="11"/>
    </row>
    <row r="1100">
      <c r="A1100" s="34"/>
      <c r="B1100" s="11"/>
      <c r="C1100" s="32"/>
      <c r="E1100" s="11"/>
    </row>
    <row r="1101">
      <c r="A1101" s="34"/>
      <c r="B1101" s="11"/>
      <c r="C1101" s="32"/>
      <c r="E1101" s="11"/>
    </row>
    <row r="1102">
      <c r="A1102" s="34"/>
      <c r="B1102" s="11"/>
      <c r="C1102" s="32"/>
      <c r="E1102" s="11"/>
    </row>
    <row r="1103">
      <c r="A1103" s="34"/>
      <c r="B1103" s="11"/>
      <c r="C1103" s="32"/>
      <c r="E1103" s="11"/>
    </row>
    <row r="1104">
      <c r="A1104" s="34"/>
      <c r="B1104" s="11"/>
      <c r="C1104" s="32"/>
      <c r="E1104" s="11"/>
    </row>
    <row r="1105">
      <c r="A1105" s="34"/>
      <c r="B1105" s="11"/>
      <c r="C1105" s="32"/>
      <c r="E1105" s="11"/>
    </row>
    <row r="1106">
      <c r="A1106" s="34"/>
      <c r="B1106" s="11"/>
      <c r="C1106" s="32"/>
      <c r="E1106" s="11"/>
    </row>
    <row r="1107">
      <c r="A1107" s="34"/>
      <c r="B1107" s="11"/>
      <c r="C1107" s="32"/>
      <c r="E1107" s="11"/>
    </row>
    <row r="1108">
      <c r="A1108" s="34"/>
      <c r="B1108" s="11"/>
      <c r="C1108" s="32"/>
      <c r="E1108" s="11"/>
    </row>
    <row r="1109">
      <c r="A1109" s="34"/>
      <c r="B1109" s="11"/>
      <c r="C1109" s="32"/>
      <c r="E1109" s="11"/>
    </row>
    <row r="1110">
      <c r="A1110" s="34"/>
      <c r="B1110" s="11"/>
      <c r="C1110" s="32"/>
      <c r="E1110" s="11"/>
    </row>
    <row r="1111">
      <c r="A1111" s="34"/>
      <c r="B1111" s="11"/>
      <c r="C1111" s="32"/>
      <c r="E1111" s="11"/>
    </row>
    <row r="1112">
      <c r="A1112" s="34"/>
      <c r="B1112" s="11"/>
      <c r="C1112" s="32"/>
      <c r="E1112" s="11"/>
    </row>
    <row r="1113">
      <c r="A1113" s="34"/>
      <c r="B1113" s="11"/>
      <c r="C1113" s="32"/>
      <c r="E1113" s="11"/>
    </row>
    <row r="1114">
      <c r="A1114" s="34"/>
      <c r="B1114" s="11"/>
      <c r="C1114" s="32"/>
      <c r="E1114" s="11"/>
    </row>
    <row r="1115">
      <c r="A1115" s="34"/>
      <c r="B1115" s="11"/>
      <c r="C1115" s="32"/>
      <c r="E1115" s="11"/>
    </row>
    <row r="1116">
      <c r="A1116" s="34"/>
      <c r="B1116" s="11"/>
      <c r="C1116" s="32"/>
      <c r="E1116" s="11"/>
    </row>
    <row r="1117">
      <c r="A1117" s="34"/>
      <c r="B1117" s="11"/>
      <c r="C1117" s="32"/>
      <c r="E1117" s="11"/>
    </row>
    <row r="1118">
      <c r="A1118" s="34"/>
      <c r="B1118" s="11"/>
      <c r="C1118" s="32"/>
      <c r="E1118" s="11"/>
    </row>
    <row r="1119">
      <c r="A1119" s="34"/>
      <c r="B1119" s="11"/>
      <c r="C1119" s="32"/>
      <c r="E1119" s="11"/>
    </row>
    <row r="1120">
      <c r="A1120" s="34"/>
      <c r="B1120" s="11"/>
      <c r="C1120" s="32"/>
      <c r="E1120" s="11"/>
    </row>
    <row r="1121">
      <c r="A1121" s="34"/>
      <c r="B1121" s="11"/>
      <c r="C1121" s="32"/>
      <c r="E1121" s="11"/>
    </row>
    <row r="1122">
      <c r="A1122" s="34"/>
      <c r="B1122" s="11"/>
      <c r="C1122" s="32"/>
      <c r="E1122" s="11"/>
    </row>
    <row r="1123">
      <c r="A1123" s="34"/>
      <c r="B1123" s="11"/>
      <c r="C1123" s="32"/>
      <c r="E1123" s="11"/>
    </row>
    <row r="1124">
      <c r="A1124" s="34"/>
      <c r="B1124" s="11"/>
      <c r="C1124" s="32"/>
      <c r="E1124" s="11"/>
    </row>
    <row r="1125">
      <c r="A1125" s="34"/>
      <c r="B1125" s="11"/>
      <c r="C1125" s="32"/>
      <c r="E1125" s="11"/>
    </row>
    <row r="1126">
      <c r="A1126" s="34"/>
      <c r="B1126" s="11"/>
      <c r="C1126" s="32"/>
      <c r="E1126" s="11"/>
    </row>
    <row r="1127">
      <c r="A1127" s="34"/>
      <c r="B1127" s="11"/>
      <c r="C1127" s="32"/>
      <c r="E1127" s="11"/>
    </row>
    <row r="1128">
      <c r="A1128" s="34"/>
      <c r="B1128" s="11"/>
      <c r="C1128" s="32"/>
      <c r="E1128" s="11"/>
    </row>
    <row r="1129">
      <c r="A1129" s="34"/>
      <c r="B1129" s="11"/>
      <c r="C1129" s="32"/>
      <c r="E1129" s="11"/>
    </row>
    <row r="1130">
      <c r="A1130" s="34"/>
      <c r="B1130" s="11"/>
      <c r="C1130" s="32"/>
      <c r="E1130" s="11"/>
    </row>
    <row r="1131">
      <c r="A1131" s="34"/>
      <c r="B1131" s="11"/>
      <c r="C1131" s="32"/>
      <c r="E1131" s="11"/>
    </row>
    <row r="1132">
      <c r="A1132" s="34"/>
      <c r="B1132" s="11"/>
      <c r="C1132" s="32"/>
      <c r="E1132" s="11"/>
    </row>
    <row r="1133">
      <c r="A1133" s="34"/>
      <c r="B1133" s="11"/>
      <c r="C1133" s="32"/>
      <c r="E1133" s="11"/>
    </row>
    <row r="1134">
      <c r="A1134" s="34"/>
      <c r="B1134" s="11"/>
      <c r="C1134" s="32"/>
      <c r="E1134" s="11"/>
    </row>
    <row r="1135">
      <c r="A1135" s="34"/>
      <c r="B1135" s="11"/>
      <c r="C1135" s="32"/>
      <c r="E1135" s="11"/>
    </row>
    <row r="1136">
      <c r="A1136" s="34"/>
      <c r="B1136" s="11"/>
      <c r="C1136" s="32"/>
      <c r="E1136" s="11"/>
    </row>
    <row r="1137">
      <c r="A1137" s="34"/>
      <c r="B1137" s="11"/>
      <c r="C1137" s="32"/>
      <c r="E1137" s="11"/>
    </row>
    <row r="1138">
      <c r="A1138" s="34"/>
      <c r="B1138" s="11"/>
      <c r="C1138" s="32"/>
      <c r="E1138" s="11"/>
    </row>
    <row r="1139">
      <c r="A1139" s="34"/>
      <c r="B1139" s="11"/>
      <c r="C1139" s="32"/>
      <c r="E1139" s="11"/>
    </row>
    <row r="1140">
      <c r="A1140" s="34"/>
      <c r="B1140" s="11"/>
      <c r="C1140" s="32"/>
      <c r="E1140" s="11"/>
    </row>
    <row r="1141">
      <c r="A1141" s="34"/>
      <c r="B1141" s="11"/>
      <c r="C1141" s="32"/>
      <c r="E1141" s="11"/>
    </row>
    <row r="1142">
      <c r="A1142" s="34"/>
      <c r="B1142" s="11"/>
      <c r="C1142" s="32"/>
      <c r="E1142" s="11"/>
    </row>
    <row r="1143">
      <c r="A1143" s="34"/>
      <c r="B1143" s="11"/>
      <c r="C1143" s="32"/>
      <c r="E1143" s="11"/>
    </row>
    <row r="1144">
      <c r="A1144" s="34"/>
      <c r="B1144" s="11"/>
      <c r="C1144" s="32"/>
      <c r="E1144" s="11"/>
    </row>
    <row r="1145">
      <c r="A1145" s="34"/>
      <c r="B1145" s="11"/>
      <c r="C1145" s="32"/>
      <c r="E1145" s="11"/>
    </row>
    <row r="1146">
      <c r="A1146" s="34"/>
      <c r="B1146" s="11"/>
      <c r="C1146" s="32"/>
      <c r="E1146" s="11"/>
    </row>
    <row r="1147">
      <c r="A1147" s="34"/>
      <c r="B1147" s="11"/>
      <c r="C1147" s="32"/>
      <c r="E1147" s="11"/>
    </row>
    <row r="1148">
      <c r="A1148" s="34"/>
      <c r="B1148" s="11"/>
      <c r="C1148" s="32"/>
      <c r="E1148" s="11"/>
    </row>
    <row r="1149">
      <c r="A1149" s="34"/>
      <c r="B1149" s="11"/>
      <c r="C1149" s="32"/>
      <c r="E1149" s="11"/>
    </row>
    <row r="1150">
      <c r="A1150" s="34"/>
      <c r="B1150" s="11"/>
      <c r="C1150" s="32"/>
      <c r="E1150" s="11"/>
    </row>
    <row r="1151">
      <c r="A1151" s="34"/>
      <c r="B1151" s="11"/>
      <c r="C1151" s="32"/>
      <c r="E1151" s="11"/>
    </row>
    <row r="1152">
      <c r="A1152" s="34"/>
      <c r="B1152" s="11"/>
      <c r="C1152" s="32"/>
      <c r="E1152" s="11"/>
    </row>
    <row r="1153">
      <c r="A1153" s="34"/>
      <c r="B1153" s="11"/>
      <c r="C1153" s="32"/>
      <c r="E1153" s="11"/>
    </row>
    <row r="1154">
      <c r="A1154" s="34"/>
      <c r="B1154" s="11"/>
      <c r="C1154" s="32"/>
      <c r="E1154" s="11"/>
    </row>
    <row r="1155">
      <c r="A1155" s="34"/>
      <c r="B1155" s="11"/>
      <c r="C1155" s="32"/>
      <c r="E1155" s="11"/>
    </row>
    <row r="1156">
      <c r="A1156" s="34"/>
      <c r="B1156" s="11"/>
      <c r="C1156" s="32"/>
      <c r="E1156" s="11"/>
    </row>
    <row r="1157">
      <c r="A1157" s="34"/>
      <c r="B1157" s="11"/>
      <c r="C1157" s="32"/>
      <c r="E1157" s="11"/>
    </row>
    <row r="1158">
      <c r="A1158" s="34"/>
      <c r="B1158" s="11"/>
      <c r="C1158" s="32"/>
      <c r="E1158" s="11"/>
    </row>
    <row r="1159">
      <c r="A1159" s="34"/>
      <c r="B1159" s="11"/>
      <c r="C1159" s="32"/>
      <c r="E1159" s="11"/>
    </row>
    <row r="1160">
      <c r="A1160" s="34"/>
      <c r="B1160" s="11"/>
      <c r="C1160" s="32"/>
      <c r="E1160" s="11"/>
    </row>
    <row r="1161">
      <c r="A1161" s="34"/>
      <c r="B1161" s="11"/>
      <c r="C1161" s="32"/>
      <c r="E1161" s="11"/>
    </row>
    <row r="1162">
      <c r="A1162" s="34"/>
      <c r="B1162" s="11"/>
      <c r="C1162" s="32"/>
      <c r="E1162" s="11"/>
    </row>
    <row r="1163">
      <c r="A1163" s="34"/>
      <c r="B1163" s="11"/>
      <c r="C1163" s="32"/>
      <c r="E1163" s="11"/>
    </row>
    <row r="1164">
      <c r="A1164" s="34"/>
      <c r="B1164" s="11"/>
      <c r="C1164" s="32"/>
      <c r="E1164" s="11"/>
    </row>
    <row r="1165">
      <c r="A1165" s="34"/>
      <c r="B1165" s="11"/>
      <c r="C1165" s="32"/>
      <c r="E1165" s="11"/>
    </row>
    <row r="1166">
      <c r="A1166" s="34"/>
      <c r="B1166" s="11"/>
      <c r="C1166" s="32"/>
      <c r="E1166" s="11"/>
    </row>
    <row r="1167">
      <c r="A1167" s="34"/>
      <c r="B1167" s="11"/>
      <c r="C1167" s="32"/>
      <c r="E1167" s="11"/>
    </row>
    <row r="1168">
      <c r="A1168" s="34"/>
      <c r="B1168" s="11"/>
      <c r="C1168" s="32"/>
      <c r="E1168" s="11"/>
    </row>
    <row r="1169">
      <c r="A1169" s="34"/>
      <c r="B1169" s="11"/>
      <c r="C1169" s="32"/>
      <c r="E1169" s="11"/>
    </row>
    <row r="1170">
      <c r="A1170" s="34"/>
      <c r="B1170" s="11"/>
      <c r="C1170" s="32"/>
      <c r="E1170" s="11"/>
    </row>
    <row r="1171">
      <c r="A1171" s="34"/>
      <c r="B1171" s="11"/>
      <c r="C1171" s="32"/>
      <c r="E1171" s="11"/>
    </row>
    <row r="1172">
      <c r="A1172" s="34"/>
      <c r="B1172" s="11"/>
      <c r="C1172" s="32"/>
      <c r="E1172" s="11"/>
    </row>
    <row r="1173">
      <c r="A1173" s="34"/>
      <c r="B1173" s="11"/>
      <c r="C1173" s="32"/>
      <c r="E1173" s="11"/>
    </row>
    <row r="1174">
      <c r="A1174" s="34"/>
      <c r="B1174" s="11"/>
      <c r="C1174" s="32"/>
      <c r="E1174" s="11"/>
    </row>
    <row r="1175">
      <c r="A1175" s="34"/>
      <c r="B1175" s="11"/>
      <c r="C1175" s="32"/>
      <c r="E1175" s="11"/>
    </row>
    <row r="1176">
      <c r="A1176" s="34"/>
      <c r="B1176" s="11"/>
      <c r="C1176" s="32"/>
      <c r="E1176" s="11"/>
    </row>
    <row r="1177">
      <c r="A1177" s="34"/>
      <c r="B1177" s="11"/>
      <c r="C1177" s="32"/>
      <c r="E1177" s="11"/>
    </row>
    <row r="1178">
      <c r="A1178" s="34"/>
      <c r="B1178" s="11"/>
      <c r="C1178" s="32"/>
      <c r="E1178" s="11"/>
    </row>
    <row r="1179">
      <c r="A1179" s="34"/>
      <c r="B1179" s="11"/>
      <c r="C1179" s="32"/>
      <c r="E1179" s="11"/>
    </row>
    <row r="1180">
      <c r="A1180" s="34"/>
      <c r="B1180" s="11"/>
      <c r="C1180" s="32"/>
      <c r="E1180" s="11"/>
    </row>
    <row r="1181">
      <c r="A1181" s="34"/>
      <c r="B1181" s="11"/>
      <c r="C1181" s="32"/>
      <c r="E1181" s="11"/>
    </row>
    <row r="1182">
      <c r="A1182" s="34"/>
      <c r="B1182" s="11"/>
      <c r="C1182" s="32"/>
      <c r="E1182" s="11"/>
    </row>
    <row r="1183">
      <c r="A1183" s="34"/>
      <c r="B1183" s="11"/>
      <c r="C1183" s="32"/>
      <c r="E1183" s="11"/>
    </row>
    <row r="1184">
      <c r="A1184" s="34"/>
      <c r="B1184" s="11"/>
      <c r="C1184" s="32"/>
      <c r="E1184" s="11"/>
    </row>
    <row r="1185">
      <c r="A1185" s="34"/>
      <c r="B1185" s="11"/>
      <c r="C1185" s="32"/>
      <c r="E1185" s="11"/>
    </row>
    <row r="1186">
      <c r="A1186" s="34"/>
      <c r="B1186" s="11"/>
      <c r="C1186" s="32"/>
      <c r="E1186" s="11"/>
    </row>
    <row r="1187">
      <c r="A1187" s="34"/>
      <c r="B1187" s="11"/>
      <c r="C1187" s="32"/>
      <c r="E1187" s="11"/>
    </row>
    <row r="1188">
      <c r="A1188" s="34"/>
      <c r="B1188" s="11"/>
      <c r="C1188" s="32"/>
      <c r="E1188" s="11"/>
    </row>
    <row r="1189">
      <c r="A1189" s="34"/>
      <c r="B1189" s="11"/>
      <c r="C1189" s="32"/>
      <c r="E1189" s="11"/>
    </row>
    <row r="1190">
      <c r="A1190" s="34"/>
      <c r="B1190" s="11"/>
      <c r="C1190" s="32"/>
      <c r="E1190" s="11"/>
    </row>
    <row r="1191">
      <c r="A1191" s="34"/>
      <c r="B1191" s="11"/>
      <c r="C1191" s="32"/>
      <c r="E1191" s="11"/>
    </row>
    <row r="1192">
      <c r="A1192" s="34"/>
      <c r="B1192" s="11"/>
      <c r="C1192" s="32"/>
      <c r="E1192" s="11"/>
    </row>
    <row r="1193">
      <c r="A1193" s="34"/>
      <c r="B1193" s="11"/>
      <c r="C1193" s="32"/>
      <c r="E1193" s="11"/>
    </row>
    <row r="1194">
      <c r="A1194" s="34"/>
      <c r="B1194" s="11"/>
      <c r="C1194" s="32"/>
      <c r="E1194" s="11"/>
    </row>
    <row r="1195">
      <c r="A1195" s="34"/>
      <c r="B1195" s="11"/>
      <c r="C1195" s="32"/>
      <c r="E1195" s="11"/>
    </row>
    <row r="1196">
      <c r="A1196" s="34"/>
      <c r="B1196" s="11"/>
      <c r="C1196" s="32"/>
      <c r="E1196" s="11"/>
    </row>
    <row r="1197">
      <c r="A1197" s="34"/>
      <c r="B1197" s="11"/>
      <c r="C1197" s="32"/>
      <c r="E1197" s="11"/>
    </row>
    <row r="1198">
      <c r="A1198" s="34"/>
      <c r="B1198" s="11"/>
      <c r="C1198" s="32"/>
      <c r="E1198" s="11"/>
    </row>
    <row r="1199">
      <c r="A1199" s="34"/>
      <c r="B1199" s="11"/>
      <c r="C1199" s="32"/>
      <c r="E1199" s="11"/>
    </row>
    <row r="1200">
      <c r="A1200" s="34"/>
      <c r="B1200" s="11"/>
      <c r="C1200" s="32"/>
      <c r="E1200" s="11"/>
    </row>
    <row r="1201">
      <c r="A1201" s="34"/>
      <c r="B1201" s="11"/>
      <c r="C1201" s="32"/>
      <c r="E1201" s="11"/>
    </row>
    <row r="1202">
      <c r="A1202" s="34"/>
      <c r="B1202" s="11"/>
      <c r="C1202" s="32"/>
      <c r="E1202" s="11"/>
    </row>
    <row r="1203">
      <c r="A1203" s="34"/>
      <c r="B1203" s="11"/>
      <c r="C1203" s="32"/>
      <c r="E1203" s="11"/>
    </row>
    <row r="1204">
      <c r="A1204" s="34"/>
      <c r="B1204" s="11"/>
      <c r="C1204" s="32"/>
      <c r="E1204" s="11"/>
    </row>
    <row r="1205">
      <c r="A1205" s="34"/>
      <c r="B1205" s="11"/>
      <c r="C1205" s="32"/>
      <c r="E1205" s="11"/>
    </row>
    <row r="1206">
      <c r="A1206" s="34"/>
      <c r="B1206" s="11"/>
      <c r="C1206" s="32"/>
      <c r="E1206" s="11"/>
    </row>
    <row r="1207">
      <c r="A1207" s="34"/>
      <c r="B1207" s="11"/>
      <c r="C1207" s="32"/>
      <c r="E1207" s="11"/>
    </row>
    <row r="1208">
      <c r="A1208" s="34"/>
      <c r="B1208" s="11"/>
      <c r="C1208" s="32"/>
      <c r="E1208" s="11"/>
    </row>
    <row r="1209">
      <c r="A1209" s="34"/>
      <c r="B1209" s="11"/>
      <c r="C1209" s="32"/>
      <c r="E1209" s="11"/>
    </row>
    <row r="1210">
      <c r="A1210" s="34"/>
      <c r="B1210" s="11"/>
      <c r="C1210" s="32"/>
      <c r="E1210" s="11"/>
    </row>
    <row r="1211">
      <c r="A1211" s="34"/>
      <c r="B1211" s="11"/>
      <c r="C1211" s="32"/>
      <c r="E1211" s="11"/>
    </row>
    <row r="1212">
      <c r="A1212" s="34"/>
      <c r="B1212" s="11"/>
      <c r="C1212" s="32"/>
      <c r="E1212" s="11"/>
    </row>
    <row r="1213">
      <c r="A1213" s="34"/>
      <c r="B1213" s="11"/>
      <c r="C1213" s="32"/>
      <c r="E1213" s="11"/>
    </row>
    <row r="1214">
      <c r="A1214" s="34"/>
      <c r="B1214" s="11"/>
      <c r="C1214" s="32"/>
      <c r="E1214" s="11"/>
    </row>
    <row r="1215">
      <c r="A1215" s="34"/>
      <c r="B1215" s="11"/>
      <c r="C1215" s="32"/>
      <c r="E1215" s="11"/>
    </row>
    <row r="1216">
      <c r="A1216" s="34"/>
      <c r="B1216" s="11"/>
      <c r="C1216" s="32"/>
      <c r="E1216" s="11"/>
    </row>
    <row r="1217">
      <c r="A1217" s="34"/>
      <c r="B1217" s="11"/>
      <c r="C1217" s="32"/>
      <c r="E1217" s="11"/>
    </row>
    <row r="1218">
      <c r="A1218" s="34"/>
      <c r="B1218" s="11"/>
      <c r="C1218" s="32"/>
      <c r="E1218" s="11"/>
    </row>
    <row r="1219">
      <c r="A1219" s="34"/>
      <c r="B1219" s="11"/>
      <c r="C1219" s="32"/>
      <c r="E1219" s="11"/>
    </row>
    <row r="1220">
      <c r="A1220" s="34"/>
      <c r="B1220" s="11"/>
      <c r="C1220" s="32"/>
      <c r="E1220" s="11"/>
    </row>
    <row r="1221">
      <c r="A1221" s="34"/>
      <c r="B1221" s="11"/>
      <c r="C1221" s="32"/>
      <c r="E1221" s="11"/>
    </row>
    <row r="1222">
      <c r="A1222" s="34"/>
      <c r="B1222" s="11"/>
      <c r="C1222" s="32"/>
      <c r="E1222" s="11"/>
    </row>
    <row r="1223">
      <c r="A1223" s="34"/>
      <c r="B1223" s="11"/>
      <c r="C1223" s="32"/>
      <c r="E1223" s="11"/>
    </row>
    <row r="1224">
      <c r="A1224" s="34"/>
      <c r="B1224" s="11"/>
      <c r="C1224" s="32"/>
      <c r="E1224" s="11"/>
    </row>
    <row r="1225">
      <c r="A1225" s="34"/>
      <c r="B1225" s="11"/>
      <c r="C1225" s="32"/>
      <c r="E1225" s="11"/>
    </row>
    <row r="1226">
      <c r="A1226" s="34"/>
      <c r="B1226" s="11"/>
      <c r="C1226" s="32"/>
      <c r="E1226" s="11"/>
    </row>
    <row r="1227">
      <c r="A1227" s="34"/>
      <c r="B1227" s="11"/>
      <c r="C1227" s="32"/>
      <c r="E1227" s="11"/>
    </row>
    <row r="1228">
      <c r="A1228" s="34"/>
      <c r="B1228" s="11"/>
      <c r="C1228" s="32"/>
      <c r="E1228" s="11"/>
    </row>
    <row r="1229">
      <c r="A1229" s="34"/>
      <c r="B1229" s="11"/>
      <c r="C1229" s="32"/>
      <c r="E1229" s="11"/>
    </row>
    <row r="1230">
      <c r="A1230" s="34"/>
      <c r="B1230" s="11"/>
      <c r="C1230" s="32"/>
      <c r="E1230" s="11"/>
    </row>
    <row r="1231">
      <c r="A1231" s="34"/>
      <c r="B1231" s="11"/>
      <c r="C1231" s="32"/>
      <c r="E1231" s="11"/>
    </row>
    <row r="1232">
      <c r="A1232" s="34"/>
      <c r="B1232" s="11"/>
      <c r="C1232" s="32"/>
      <c r="E1232" s="11"/>
    </row>
    <row r="1233">
      <c r="A1233" s="34"/>
      <c r="B1233" s="11"/>
      <c r="C1233" s="32"/>
      <c r="E1233" s="11"/>
    </row>
    <row r="1234">
      <c r="A1234" s="34"/>
      <c r="B1234" s="11"/>
      <c r="C1234" s="32"/>
      <c r="E1234" s="11"/>
    </row>
    <row r="1235">
      <c r="A1235" s="34"/>
      <c r="B1235" s="11"/>
      <c r="C1235" s="32"/>
      <c r="E1235" s="11"/>
    </row>
    <row r="1236">
      <c r="A1236" s="34"/>
      <c r="B1236" s="11"/>
      <c r="C1236" s="32"/>
      <c r="E1236" s="11"/>
    </row>
    <row r="1237">
      <c r="A1237" s="34"/>
      <c r="B1237" s="11"/>
      <c r="C1237" s="32"/>
      <c r="E1237" s="11"/>
    </row>
    <row r="1238">
      <c r="A1238" s="34"/>
      <c r="B1238" s="11"/>
      <c r="C1238" s="32"/>
      <c r="E1238" s="11"/>
    </row>
    <row r="1239">
      <c r="A1239" s="34"/>
      <c r="B1239" s="11"/>
      <c r="C1239" s="32"/>
      <c r="E1239" s="11"/>
    </row>
    <row r="1240">
      <c r="A1240" s="34"/>
      <c r="B1240" s="11"/>
      <c r="C1240" s="32"/>
      <c r="E1240" s="11"/>
    </row>
    <row r="1241">
      <c r="A1241" s="34"/>
      <c r="B1241" s="11"/>
      <c r="C1241" s="32"/>
      <c r="E1241" s="11"/>
    </row>
    <row r="1242">
      <c r="A1242" s="34"/>
      <c r="B1242" s="11"/>
      <c r="C1242" s="32"/>
      <c r="E1242" s="11"/>
    </row>
    <row r="1243">
      <c r="A1243" s="34"/>
      <c r="B1243" s="11"/>
      <c r="C1243" s="32"/>
      <c r="E1243" s="11"/>
    </row>
    <row r="1244">
      <c r="A1244" s="34"/>
      <c r="B1244" s="11"/>
      <c r="C1244" s="32"/>
      <c r="E1244" s="11"/>
    </row>
    <row r="1245">
      <c r="A1245" s="34"/>
      <c r="B1245" s="11"/>
      <c r="C1245" s="32"/>
      <c r="E1245" s="11"/>
    </row>
    <row r="1246">
      <c r="A1246" s="34"/>
      <c r="B1246" s="11"/>
      <c r="C1246" s="32"/>
      <c r="E1246" s="11"/>
    </row>
    <row r="1247">
      <c r="A1247" s="34"/>
      <c r="B1247" s="11"/>
      <c r="C1247" s="32"/>
      <c r="E1247" s="11"/>
    </row>
    <row r="1248">
      <c r="A1248" s="34"/>
      <c r="B1248" s="11"/>
      <c r="C1248" s="32"/>
      <c r="E1248" s="11"/>
    </row>
    <row r="1249">
      <c r="A1249" s="34"/>
      <c r="B1249" s="11"/>
      <c r="C1249" s="32"/>
      <c r="E1249" s="11"/>
    </row>
    <row r="1250">
      <c r="A1250" s="34"/>
      <c r="B1250" s="11"/>
      <c r="C1250" s="32"/>
      <c r="E1250" s="11"/>
    </row>
    <row r="1251">
      <c r="A1251" s="34"/>
      <c r="B1251" s="11"/>
      <c r="C1251" s="32"/>
      <c r="E1251" s="11"/>
    </row>
    <row r="1252">
      <c r="A1252" s="34"/>
      <c r="B1252" s="11"/>
      <c r="C1252" s="32"/>
      <c r="E1252" s="11"/>
    </row>
    <row r="1253">
      <c r="A1253" s="34"/>
      <c r="B1253" s="11"/>
      <c r="C1253" s="32"/>
      <c r="E1253" s="11"/>
    </row>
    <row r="1254">
      <c r="A1254" s="34"/>
      <c r="B1254" s="11"/>
      <c r="C1254" s="32"/>
      <c r="E1254" s="11"/>
    </row>
    <row r="1255">
      <c r="A1255" s="34"/>
      <c r="B1255" s="11"/>
      <c r="C1255" s="32"/>
      <c r="E1255" s="11"/>
    </row>
    <row r="1256">
      <c r="A1256" s="34"/>
      <c r="B1256" s="11"/>
      <c r="C1256" s="32"/>
      <c r="E1256" s="11"/>
    </row>
    <row r="1257">
      <c r="A1257" s="34"/>
      <c r="B1257" s="11"/>
      <c r="C1257" s="32"/>
      <c r="E1257" s="11"/>
    </row>
    <row r="1258">
      <c r="A1258" s="34"/>
      <c r="B1258" s="11"/>
      <c r="C1258" s="32"/>
      <c r="E1258" s="11"/>
    </row>
    <row r="1259">
      <c r="A1259" s="34"/>
      <c r="B1259" s="11"/>
      <c r="C1259" s="32"/>
      <c r="E1259" s="11"/>
    </row>
    <row r="1260">
      <c r="A1260" s="34"/>
      <c r="B1260" s="11"/>
      <c r="C1260" s="32"/>
      <c r="E1260" s="11"/>
    </row>
    <row r="1261">
      <c r="A1261" s="34"/>
      <c r="B1261" s="11"/>
      <c r="C1261" s="32"/>
      <c r="E1261" s="11"/>
    </row>
    <row r="1262">
      <c r="A1262" s="34"/>
      <c r="B1262" s="11"/>
      <c r="C1262" s="32"/>
      <c r="E1262" s="11"/>
    </row>
    <row r="1263">
      <c r="A1263" s="34"/>
      <c r="B1263" s="11"/>
      <c r="C1263" s="32"/>
      <c r="E1263" s="11"/>
    </row>
    <row r="1264">
      <c r="A1264" s="34"/>
      <c r="B1264" s="11"/>
      <c r="C1264" s="32"/>
      <c r="E1264" s="11"/>
    </row>
    <row r="1265">
      <c r="A1265" s="34"/>
      <c r="B1265" s="11"/>
      <c r="C1265" s="32"/>
      <c r="E1265" s="11"/>
    </row>
    <row r="1266">
      <c r="A1266" s="34"/>
      <c r="B1266" s="11"/>
      <c r="C1266" s="32"/>
      <c r="E1266" s="11"/>
    </row>
    <row r="1267">
      <c r="A1267" s="34"/>
      <c r="B1267" s="11"/>
      <c r="C1267" s="32"/>
      <c r="E1267" s="11"/>
    </row>
    <row r="1268">
      <c r="A1268" s="34"/>
      <c r="B1268" s="11"/>
      <c r="C1268" s="32"/>
      <c r="E1268" s="11"/>
    </row>
    <row r="1269">
      <c r="A1269" s="34"/>
      <c r="B1269" s="11"/>
      <c r="C1269" s="32"/>
      <c r="E1269" s="11"/>
    </row>
    <row r="1270">
      <c r="A1270" s="34"/>
      <c r="B1270" s="11"/>
      <c r="C1270" s="32"/>
      <c r="E1270" s="11"/>
    </row>
    <row r="1271">
      <c r="A1271" s="34"/>
      <c r="B1271" s="11"/>
      <c r="C1271" s="32"/>
      <c r="E1271" s="11"/>
    </row>
    <row r="1272">
      <c r="A1272" s="34"/>
      <c r="B1272" s="11"/>
      <c r="C1272" s="32"/>
      <c r="E1272" s="11"/>
    </row>
    <row r="1273">
      <c r="A1273" s="34"/>
      <c r="B1273" s="11"/>
      <c r="C1273" s="32"/>
      <c r="E1273" s="11"/>
    </row>
    <row r="1274">
      <c r="A1274" s="34"/>
      <c r="B1274" s="11"/>
      <c r="C1274" s="32"/>
      <c r="E1274" s="11"/>
    </row>
    <row r="1275">
      <c r="A1275" s="34"/>
      <c r="B1275" s="11"/>
      <c r="C1275" s="32"/>
      <c r="E1275" s="11"/>
    </row>
    <row r="1276">
      <c r="A1276" s="34"/>
      <c r="B1276" s="11"/>
      <c r="C1276" s="32"/>
      <c r="E1276" s="11"/>
    </row>
    <row r="1277">
      <c r="A1277" s="34"/>
      <c r="B1277" s="11"/>
      <c r="C1277" s="32"/>
      <c r="E1277" s="11"/>
    </row>
    <row r="1278">
      <c r="A1278" s="34"/>
      <c r="B1278" s="11"/>
      <c r="C1278" s="32"/>
      <c r="E1278" s="11"/>
    </row>
    <row r="1279">
      <c r="A1279" s="34"/>
      <c r="B1279" s="11"/>
      <c r="C1279" s="32"/>
      <c r="E1279" s="11"/>
    </row>
    <row r="1280">
      <c r="A1280" s="34"/>
      <c r="B1280" s="11"/>
      <c r="C1280" s="32"/>
      <c r="E1280" s="11"/>
    </row>
    <row r="1281">
      <c r="A1281" s="34"/>
      <c r="B1281" s="11"/>
      <c r="C1281" s="32"/>
      <c r="E1281" s="11"/>
    </row>
    <row r="1282">
      <c r="A1282" s="34"/>
      <c r="B1282" s="11"/>
      <c r="C1282" s="32"/>
      <c r="E1282" s="11"/>
    </row>
    <row r="1283">
      <c r="A1283" s="34"/>
      <c r="B1283" s="11"/>
      <c r="C1283" s="32"/>
      <c r="E1283" s="11"/>
    </row>
    <row r="1284">
      <c r="A1284" s="34"/>
      <c r="B1284" s="11"/>
      <c r="C1284" s="32"/>
      <c r="E1284" s="11"/>
    </row>
    <row r="1285">
      <c r="A1285" s="34"/>
      <c r="B1285" s="11"/>
      <c r="C1285" s="32"/>
      <c r="E1285" s="11"/>
    </row>
    <row r="1286">
      <c r="A1286" s="34"/>
      <c r="B1286" s="11"/>
      <c r="C1286" s="32"/>
      <c r="E1286" s="11"/>
    </row>
    <row r="1287">
      <c r="A1287" s="34"/>
      <c r="B1287" s="11"/>
      <c r="C1287" s="32"/>
      <c r="E1287" s="11"/>
    </row>
    <row r="1288">
      <c r="A1288" s="34"/>
      <c r="B1288" s="11"/>
      <c r="C1288" s="32"/>
      <c r="E1288" s="11"/>
    </row>
    <row r="1289">
      <c r="A1289" s="34"/>
      <c r="B1289" s="11"/>
      <c r="C1289" s="32"/>
      <c r="E1289" s="11"/>
    </row>
    <row r="1290">
      <c r="A1290" s="34"/>
      <c r="B1290" s="11"/>
      <c r="C1290" s="32"/>
      <c r="E1290" s="11"/>
    </row>
    <row r="1291">
      <c r="A1291" s="34"/>
      <c r="B1291" s="11"/>
      <c r="C1291" s="32"/>
      <c r="E1291" s="11"/>
    </row>
    <row r="1292">
      <c r="A1292" s="34"/>
      <c r="B1292" s="11"/>
      <c r="C1292" s="32"/>
      <c r="E1292" s="11"/>
    </row>
    <row r="1293">
      <c r="A1293" s="34"/>
      <c r="B1293" s="11"/>
      <c r="C1293" s="32"/>
      <c r="E1293" s="11"/>
    </row>
    <row r="1294">
      <c r="A1294" s="34"/>
      <c r="B1294" s="11"/>
      <c r="C1294" s="32"/>
      <c r="E1294" s="11"/>
    </row>
    <row r="1295">
      <c r="A1295" s="34"/>
      <c r="B1295" s="11"/>
      <c r="C1295" s="32"/>
      <c r="E1295" s="11"/>
    </row>
    <row r="1296">
      <c r="A1296" s="34"/>
      <c r="B1296" s="11"/>
      <c r="C1296" s="32"/>
      <c r="E1296" s="11"/>
    </row>
    <row r="1297">
      <c r="A1297" s="34"/>
      <c r="B1297" s="11"/>
      <c r="C1297" s="32"/>
      <c r="E1297" s="11"/>
    </row>
    <row r="1298">
      <c r="A1298" s="34"/>
      <c r="B1298" s="11"/>
      <c r="C1298" s="32"/>
      <c r="E1298" s="11"/>
    </row>
    <row r="1299">
      <c r="A1299" s="34"/>
      <c r="B1299" s="11"/>
      <c r="C1299" s="32"/>
      <c r="E1299" s="11"/>
    </row>
    <row r="1300">
      <c r="A1300" s="34"/>
      <c r="B1300" s="11"/>
      <c r="C1300" s="32"/>
      <c r="E1300" s="11"/>
    </row>
    <row r="1301">
      <c r="A1301" s="34"/>
      <c r="B1301" s="11"/>
      <c r="C1301" s="32"/>
      <c r="E1301" s="11"/>
    </row>
    <row r="1302">
      <c r="A1302" s="34"/>
      <c r="B1302" s="11"/>
      <c r="C1302" s="32"/>
      <c r="E1302" s="11"/>
    </row>
    <row r="1303">
      <c r="A1303" s="34"/>
      <c r="B1303" s="11"/>
      <c r="C1303" s="32"/>
      <c r="E1303" s="11"/>
    </row>
    <row r="1304">
      <c r="A1304" s="34"/>
      <c r="B1304" s="11"/>
      <c r="C1304" s="32"/>
      <c r="E1304" s="11"/>
    </row>
    <row r="1305">
      <c r="A1305" s="34"/>
      <c r="B1305" s="11"/>
      <c r="C1305" s="32"/>
      <c r="E1305" s="11"/>
    </row>
    <row r="1306">
      <c r="A1306" s="34"/>
      <c r="B1306" s="11"/>
      <c r="C1306" s="32"/>
      <c r="E1306" s="11"/>
    </row>
    <row r="1307">
      <c r="A1307" s="34"/>
      <c r="B1307" s="11"/>
      <c r="C1307" s="32"/>
      <c r="E1307" s="11"/>
    </row>
    <row r="1308">
      <c r="A1308" s="34"/>
      <c r="B1308" s="11"/>
      <c r="C1308" s="32"/>
      <c r="E1308" s="11"/>
    </row>
    <row r="1309">
      <c r="A1309" s="34"/>
      <c r="B1309" s="11"/>
      <c r="C1309" s="32"/>
      <c r="E1309" s="11"/>
    </row>
    <row r="1310">
      <c r="A1310" s="34"/>
      <c r="B1310" s="11"/>
      <c r="C1310" s="32"/>
      <c r="E1310" s="11"/>
    </row>
    <row r="1311">
      <c r="A1311" s="34"/>
      <c r="B1311" s="11"/>
      <c r="C1311" s="32"/>
      <c r="E1311" s="11"/>
    </row>
    <row r="1312">
      <c r="A1312" s="34"/>
      <c r="B1312" s="11"/>
      <c r="C1312" s="32"/>
      <c r="E1312" s="11"/>
    </row>
    <row r="1313">
      <c r="A1313" s="34"/>
      <c r="B1313" s="11"/>
      <c r="C1313" s="32"/>
      <c r="E1313" s="11"/>
    </row>
    <row r="1314">
      <c r="A1314" s="34"/>
      <c r="B1314" s="11"/>
      <c r="C1314" s="32"/>
      <c r="E1314" s="11"/>
    </row>
    <row r="1315">
      <c r="A1315" s="34"/>
      <c r="B1315" s="11"/>
      <c r="C1315" s="32"/>
      <c r="E1315" s="11"/>
    </row>
    <row r="1316">
      <c r="A1316" s="34"/>
      <c r="B1316" s="11"/>
      <c r="C1316" s="32"/>
      <c r="E1316" s="11"/>
    </row>
    <row r="1317">
      <c r="A1317" s="34"/>
      <c r="B1317" s="11"/>
      <c r="C1317" s="32"/>
      <c r="E1317" s="11"/>
    </row>
    <row r="1318">
      <c r="A1318" s="34"/>
      <c r="B1318" s="11"/>
      <c r="C1318" s="32"/>
      <c r="E1318" s="11"/>
    </row>
    <row r="1319">
      <c r="A1319" s="34"/>
      <c r="B1319" s="11"/>
      <c r="C1319" s="32"/>
      <c r="E1319" s="11"/>
    </row>
    <row r="1320">
      <c r="A1320" s="34"/>
      <c r="B1320" s="11"/>
      <c r="C1320" s="32"/>
      <c r="E1320" s="11"/>
    </row>
    <row r="1321">
      <c r="A1321" s="34"/>
      <c r="B1321" s="11"/>
      <c r="C1321" s="32"/>
      <c r="E1321" s="11"/>
    </row>
    <row r="1322">
      <c r="A1322" s="34"/>
      <c r="B1322" s="11"/>
      <c r="C1322" s="32"/>
      <c r="E1322" s="11"/>
    </row>
    <row r="1323">
      <c r="A1323" s="34"/>
      <c r="B1323" s="11"/>
      <c r="C1323" s="32"/>
      <c r="E1323" s="11"/>
    </row>
    <row r="1324">
      <c r="A1324" s="34"/>
      <c r="B1324" s="11"/>
      <c r="C1324" s="32"/>
      <c r="E1324" s="11"/>
    </row>
    <row r="1325">
      <c r="A1325" s="34"/>
      <c r="B1325" s="11"/>
      <c r="C1325" s="32"/>
      <c r="E1325" s="11"/>
    </row>
    <row r="1326">
      <c r="A1326" s="34"/>
      <c r="B1326" s="11"/>
      <c r="C1326" s="32"/>
      <c r="E1326" s="11"/>
    </row>
    <row r="1327">
      <c r="A1327" s="34"/>
      <c r="B1327" s="11"/>
      <c r="C1327" s="32"/>
      <c r="E1327" s="11"/>
    </row>
    <row r="1328">
      <c r="A1328" s="34"/>
      <c r="B1328" s="11"/>
      <c r="C1328" s="32"/>
      <c r="E1328" s="11"/>
    </row>
    <row r="1329">
      <c r="A1329" s="34"/>
      <c r="B1329" s="11"/>
      <c r="C1329" s="32"/>
      <c r="E1329" s="11"/>
    </row>
    <row r="1330">
      <c r="A1330" s="34"/>
      <c r="B1330" s="11"/>
      <c r="C1330" s="32"/>
      <c r="E1330" s="11"/>
    </row>
    <row r="1331">
      <c r="A1331" s="34"/>
      <c r="B1331" s="11"/>
      <c r="C1331" s="32"/>
      <c r="E1331" s="11"/>
    </row>
    <row r="1332">
      <c r="A1332" s="34"/>
      <c r="B1332" s="11"/>
      <c r="C1332" s="32"/>
      <c r="E1332" s="11"/>
    </row>
    <row r="1333">
      <c r="A1333" s="34"/>
      <c r="B1333" s="11"/>
      <c r="C1333" s="32"/>
      <c r="E1333" s="11"/>
    </row>
    <row r="1334">
      <c r="A1334" s="34"/>
      <c r="B1334" s="11"/>
      <c r="C1334" s="32"/>
      <c r="E1334" s="11"/>
    </row>
    <row r="1335">
      <c r="A1335" s="34"/>
      <c r="B1335" s="11"/>
      <c r="C1335" s="32"/>
      <c r="E1335" s="11"/>
    </row>
    <row r="1336">
      <c r="A1336" s="34"/>
      <c r="B1336" s="11"/>
      <c r="C1336" s="32"/>
      <c r="E1336" s="11"/>
    </row>
    <row r="1337">
      <c r="A1337" s="34"/>
      <c r="B1337" s="11"/>
      <c r="C1337" s="32"/>
      <c r="E1337" s="11"/>
    </row>
    <row r="1338">
      <c r="A1338" s="34"/>
      <c r="B1338" s="11"/>
      <c r="C1338" s="32"/>
      <c r="E1338" s="11"/>
    </row>
    <row r="1339">
      <c r="A1339" s="34"/>
      <c r="B1339" s="11"/>
      <c r="C1339" s="32"/>
      <c r="E1339" s="11"/>
    </row>
    <row r="1340">
      <c r="A1340" s="34"/>
      <c r="B1340" s="11"/>
      <c r="C1340" s="32"/>
      <c r="E1340" s="11"/>
    </row>
    <row r="1341">
      <c r="A1341" s="34"/>
      <c r="B1341" s="11"/>
      <c r="C1341" s="32"/>
      <c r="E1341" s="11"/>
    </row>
    <row r="1342">
      <c r="A1342" s="34"/>
      <c r="B1342" s="11"/>
      <c r="C1342" s="32"/>
      <c r="E1342" s="11"/>
    </row>
    <row r="1343">
      <c r="A1343" s="34"/>
      <c r="B1343" s="11"/>
      <c r="C1343" s="32"/>
      <c r="E1343" s="11"/>
    </row>
    <row r="1344">
      <c r="A1344" s="34"/>
      <c r="B1344" s="11"/>
      <c r="C1344" s="32"/>
      <c r="E1344" s="11"/>
    </row>
    <row r="1345">
      <c r="A1345" s="34"/>
      <c r="B1345" s="11"/>
      <c r="C1345" s="32"/>
      <c r="E1345" s="11"/>
    </row>
    <row r="1346">
      <c r="A1346" s="34"/>
      <c r="B1346" s="11"/>
      <c r="C1346" s="32"/>
      <c r="E1346" s="11"/>
    </row>
    <row r="1347">
      <c r="A1347" s="34"/>
      <c r="B1347" s="11"/>
      <c r="C1347" s="32"/>
      <c r="E1347" s="11"/>
    </row>
    <row r="1348">
      <c r="A1348" s="34"/>
      <c r="B1348" s="11"/>
      <c r="C1348" s="32"/>
      <c r="E1348" s="11"/>
    </row>
    <row r="1349">
      <c r="A1349" s="34"/>
      <c r="B1349" s="11"/>
      <c r="C1349" s="32"/>
      <c r="E1349" s="11"/>
    </row>
    <row r="1350">
      <c r="A1350" s="34"/>
      <c r="B1350" s="11"/>
      <c r="C1350" s="32"/>
      <c r="E1350" s="11"/>
    </row>
    <row r="1351">
      <c r="A1351" s="34"/>
      <c r="B1351" s="11"/>
      <c r="C1351" s="32"/>
      <c r="E1351" s="11"/>
    </row>
    <row r="1352">
      <c r="A1352" s="34"/>
      <c r="B1352" s="11"/>
      <c r="C1352" s="32"/>
      <c r="E1352" s="11"/>
    </row>
    <row r="1353">
      <c r="A1353" s="34"/>
      <c r="B1353" s="11"/>
      <c r="C1353" s="32"/>
      <c r="E1353" s="11"/>
    </row>
    <row r="1354">
      <c r="A1354" s="34"/>
      <c r="B1354" s="11"/>
      <c r="C1354" s="32"/>
      <c r="E1354" s="11"/>
    </row>
    <row r="1355">
      <c r="A1355" s="34"/>
      <c r="B1355" s="11"/>
      <c r="C1355" s="32"/>
      <c r="E1355" s="11"/>
    </row>
    <row r="1356">
      <c r="A1356" s="34"/>
      <c r="B1356" s="11"/>
      <c r="C1356" s="32"/>
      <c r="E1356" s="11"/>
    </row>
    <row r="1357">
      <c r="A1357" s="34"/>
      <c r="B1357" s="11"/>
      <c r="C1357" s="32"/>
      <c r="E1357" s="11"/>
    </row>
    <row r="1358">
      <c r="A1358" s="34"/>
      <c r="B1358" s="11"/>
      <c r="C1358" s="32"/>
      <c r="E1358" s="11"/>
    </row>
    <row r="1359">
      <c r="A1359" s="34"/>
      <c r="B1359" s="11"/>
      <c r="C1359" s="32"/>
      <c r="E1359" s="11"/>
    </row>
    <row r="1360">
      <c r="A1360" s="34"/>
      <c r="B1360" s="11"/>
      <c r="C1360" s="32"/>
      <c r="E1360" s="11"/>
    </row>
    <row r="1361">
      <c r="A1361" s="34"/>
      <c r="B1361" s="11"/>
      <c r="C1361" s="32"/>
      <c r="E1361" s="11"/>
    </row>
    <row r="1362">
      <c r="A1362" s="34"/>
      <c r="B1362" s="11"/>
      <c r="C1362" s="32"/>
      <c r="E1362" s="11"/>
    </row>
    <row r="1363">
      <c r="A1363" s="34"/>
      <c r="B1363" s="11"/>
      <c r="C1363" s="32"/>
      <c r="E1363" s="11"/>
    </row>
    <row r="1364">
      <c r="A1364" s="34"/>
      <c r="B1364" s="11"/>
      <c r="C1364" s="32"/>
      <c r="E1364" s="11"/>
    </row>
    <row r="1365">
      <c r="A1365" s="34"/>
      <c r="B1365" s="11"/>
      <c r="C1365" s="32"/>
      <c r="E1365" s="11"/>
    </row>
    <row r="1366">
      <c r="A1366" s="34"/>
      <c r="B1366" s="11"/>
      <c r="C1366" s="32"/>
      <c r="E1366" s="11"/>
    </row>
    <row r="1367">
      <c r="A1367" s="34"/>
      <c r="B1367" s="11"/>
      <c r="C1367" s="32"/>
      <c r="E1367" s="11"/>
    </row>
    <row r="1368">
      <c r="A1368" s="34"/>
      <c r="B1368" s="11"/>
      <c r="C1368" s="32"/>
      <c r="E1368" s="11"/>
    </row>
    <row r="1369">
      <c r="A1369" s="34"/>
      <c r="B1369" s="11"/>
      <c r="C1369" s="32"/>
      <c r="E1369" s="11"/>
    </row>
    <row r="1370">
      <c r="A1370" s="34"/>
      <c r="B1370" s="11"/>
      <c r="C1370" s="32"/>
      <c r="E1370" s="11"/>
    </row>
    <row r="1371">
      <c r="A1371" s="34"/>
      <c r="B1371" s="11"/>
      <c r="C1371" s="32"/>
      <c r="E1371" s="11"/>
    </row>
    <row r="1372">
      <c r="A1372" s="34"/>
      <c r="B1372" s="11"/>
      <c r="C1372" s="32"/>
      <c r="E1372" s="11"/>
    </row>
    <row r="1373">
      <c r="A1373" s="34"/>
      <c r="B1373" s="11"/>
      <c r="C1373" s="32"/>
      <c r="E1373" s="11"/>
    </row>
    <row r="1374">
      <c r="A1374" s="34"/>
      <c r="B1374" s="11"/>
      <c r="C1374" s="32"/>
      <c r="E1374" s="11"/>
    </row>
    <row r="1375">
      <c r="A1375" s="34"/>
      <c r="B1375" s="11"/>
      <c r="C1375" s="32"/>
      <c r="E1375" s="11"/>
    </row>
    <row r="1376">
      <c r="A1376" s="34"/>
      <c r="B1376" s="11"/>
      <c r="C1376" s="32"/>
      <c r="E1376" s="11"/>
    </row>
    <row r="1377">
      <c r="A1377" s="34"/>
      <c r="B1377" s="11"/>
      <c r="C1377" s="32"/>
      <c r="E1377" s="11"/>
    </row>
    <row r="1378">
      <c r="A1378" s="34"/>
      <c r="B1378" s="11"/>
      <c r="C1378" s="32"/>
      <c r="E1378" s="11"/>
    </row>
    <row r="1379">
      <c r="A1379" s="34"/>
      <c r="B1379" s="11"/>
      <c r="C1379" s="32"/>
      <c r="E1379" s="11"/>
    </row>
    <row r="1380">
      <c r="A1380" s="34"/>
      <c r="B1380" s="11"/>
      <c r="C1380" s="32"/>
      <c r="E1380" s="11"/>
    </row>
    <row r="1381">
      <c r="A1381" s="34"/>
      <c r="B1381" s="11"/>
      <c r="C1381" s="32"/>
      <c r="E1381" s="11"/>
    </row>
    <row r="1382">
      <c r="A1382" s="34"/>
      <c r="B1382" s="11"/>
      <c r="C1382" s="32"/>
      <c r="E1382" s="11"/>
    </row>
    <row r="1383">
      <c r="A1383" s="34"/>
      <c r="B1383" s="11"/>
      <c r="C1383" s="32"/>
      <c r="E1383" s="11"/>
    </row>
    <row r="1384">
      <c r="A1384" s="34"/>
      <c r="B1384" s="11"/>
      <c r="C1384" s="32"/>
      <c r="E1384" s="11"/>
    </row>
    <row r="1385">
      <c r="A1385" s="34"/>
      <c r="B1385" s="11"/>
      <c r="C1385" s="32"/>
      <c r="E1385" s="11"/>
    </row>
    <row r="1386">
      <c r="A1386" s="34"/>
      <c r="B1386" s="11"/>
      <c r="C1386" s="32"/>
      <c r="E1386" s="11"/>
    </row>
    <row r="1387">
      <c r="A1387" s="34"/>
      <c r="B1387" s="11"/>
      <c r="C1387" s="32"/>
      <c r="E1387" s="11"/>
    </row>
    <row r="1388">
      <c r="A1388" s="34"/>
      <c r="B1388" s="11"/>
      <c r="C1388" s="32"/>
      <c r="E1388" s="11"/>
    </row>
    <row r="1389">
      <c r="A1389" s="34"/>
      <c r="B1389" s="11"/>
      <c r="C1389" s="32"/>
      <c r="E1389" s="11"/>
    </row>
    <row r="1390">
      <c r="A1390" s="34"/>
      <c r="B1390" s="11"/>
      <c r="C1390" s="32"/>
      <c r="E1390" s="11"/>
    </row>
    <row r="1391">
      <c r="A1391" s="34"/>
      <c r="B1391" s="11"/>
      <c r="C1391" s="32"/>
      <c r="E1391" s="11"/>
    </row>
    <row r="1392">
      <c r="A1392" s="34"/>
      <c r="B1392" s="11"/>
      <c r="C1392" s="32"/>
      <c r="E1392" s="11"/>
    </row>
    <row r="1393">
      <c r="A1393" s="34"/>
      <c r="B1393" s="11"/>
      <c r="C1393" s="32"/>
      <c r="E1393" s="11"/>
    </row>
    <row r="1394">
      <c r="A1394" s="34"/>
      <c r="B1394" s="11"/>
      <c r="C1394" s="32"/>
      <c r="E1394" s="11"/>
    </row>
    <row r="1395">
      <c r="A1395" s="34"/>
      <c r="B1395" s="11"/>
      <c r="C1395" s="32"/>
      <c r="E1395" s="11"/>
    </row>
    <row r="1396">
      <c r="A1396" s="34"/>
      <c r="B1396" s="11"/>
      <c r="C1396" s="32"/>
      <c r="E1396" s="11"/>
    </row>
    <row r="1397">
      <c r="A1397" s="34"/>
      <c r="B1397" s="11"/>
      <c r="C1397" s="32"/>
      <c r="E1397" s="11"/>
    </row>
    <row r="1398">
      <c r="A1398" s="34"/>
      <c r="B1398" s="11"/>
      <c r="C1398" s="32"/>
      <c r="E1398" s="11"/>
    </row>
    <row r="1399">
      <c r="A1399" s="34"/>
      <c r="B1399" s="11"/>
      <c r="C1399" s="32"/>
      <c r="E1399" s="11"/>
    </row>
    <row r="1400">
      <c r="A1400" s="34"/>
      <c r="B1400" s="11"/>
      <c r="C1400" s="32"/>
      <c r="E1400" s="11"/>
    </row>
    <row r="1401">
      <c r="A1401" s="34"/>
      <c r="B1401" s="11"/>
      <c r="C1401" s="32"/>
      <c r="E1401" s="11"/>
    </row>
    <row r="1402">
      <c r="A1402" s="34"/>
      <c r="B1402" s="11"/>
      <c r="C1402" s="32"/>
      <c r="E1402" s="11"/>
    </row>
    <row r="1403">
      <c r="A1403" s="34"/>
      <c r="B1403" s="11"/>
      <c r="C1403" s="32"/>
      <c r="E1403" s="11"/>
    </row>
    <row r="1404">
      <c r="A1404" s="34"/>
      <c r="B1404" s="11"/>
      <c r="C1404" s="32"/>
      <c r="E1404" s="11"/>
    </row>
    <row r="1405">
      <c r="A1405" s="34"/>
      <c r="B1405" s="11"/>
      <c r="C1405" s="32"/>
      <c r="E1405" s="11"/>
    </row>
    <row r="1406">
      <c r="A1406" s="34"/>
      <c r="B1406" s="11"/>
      <c r="C1406" s="32"/>
      <c r="E1406" s="11"/>
    </row>
    <row r="1407">
      <c r="A1407" s="34"/>
      <c r="B1407" s="11"/>
      <c r="C1407" s="32"/>
      <c r="E1407" s="11"/>
    </row>
    <row r="1408">
      <c r="A1408" s="34"/>
      <c r="B1408" s="11"/>
      <c r="C1408" s="32"/>
      <c r="E1408" s="11"/>
    </row>
    <row r="1409">
      <c r="A1409" s="34"/>
      <c r="B1409" s="11"/>
      <c r="C1409" s="32"/>
      <c r="E1409" s="11"/>
    </row>
    <row r="1410">
      <c r="A1410" s="34"/>
      <c r="B1410" s="11"/>
      <c r="C1410" s="32"/>
      <c r="E1410" s="11"/>
    </row>
    <row r="1411">
      <c r="A1411" s="34"/>
      <c r="B1411" s="11"/>
      <c r="C1411" s="32"/>
      <c r="E1411" s="11"/>
    </row>
    <row r="1412">
      <c r="A1412" s="34"/>
      <c r="B1412" s="11"/>
      <c r="C1412" s="32"/>
      <c r="E1412" s="11"/>
    </row>
    <row r="1413">
      <c r="A1413" s="34"/>
      <c r="B1413" s="11"/>
      <c r="C1413" s="32"/>
      <c r="E1413" s="11"/>
    </row>
    <row r="1414">
      <c r="A1414" s="34"/>
      <c r="B1414" s="11"/>
      <c r="C1414" s="32"/>
      <c r="E1414" s="11"/>
    </row>
    <row r="1415">
      <c r="A1415" s="34"/>
      <c r="B1415" s="11"/>
      <c r="C1415" s="32"/>
      <c r="E1415" s="11"/>
    </row>
    <row r="1416">
      <c r="A1416" s="34"/>
      <c r="B1416" s="11"/>
      <c r="C1416" s="32"/>
      <c r="E1416" s="11"/>
    </row>
    <row r="1417">
      <c r="A1417" s="34"/>
      <c r="B1417" s="11"/>
      <c r="C1417" s="32"/>
      <c r="E1417" s="11"/>
    </row>
    <row r="1418">
      <c r="A1418" s="34"/>
      <c r="B1418" s="11"/>
      <c r="C1418" s="32"/>
      <c r="E1418" s="11"/>
    </row>
    <row r="1419">
      <c r="A1419" s="34"/>
      <c r="B1419" s="11"/>
      <c r="C1419" s="32"/>
      <c r="E1419" s="11"/>
    </row>
    <row r="1420">
      <c r="A1420" s="34"/>
      <c r="B1420" s="11"/>
      <c r="C1420" s="32"/>
      <c r="E1420" s="11"/>
    </row>
    <row r="1421">
      <c r="A1421" s="34"/>
      <c r="B1421" s="11"/>
      <c r="C1421" s="32"/>
      <c r="E1421" s="11"/>
    </row>
    <row r="1422">
      <c r="A1422" s="34"/>
      <c r="B1422" s="11"/>
      <c r="C1422" s="32"/>
      <c r="E1422" s="11"/>
    </row>
    <row r="1423">
      <c r="A1423" s="34"/>
      <c r="B1423" s="11"/>
      <c r="C1423" s="32"/>
      <c r="E1423" s="11"/>
    </row>
    <row r="1424">
      <c r="A1424" s="34"/>
      <c r="B1424" s="11"/>
      <c r="C1424" s="32"/>
      <c r="E1424" s="11"/>
    </row>
    <row r="1425">
      <c r="A1425" s="34"/>
      <c r="B1425" s="11"/>
      <c r="C1425" s="32"/>
      <c r="E1425" s="11"/>
    </row>
    <row r="1426">
      <c r="A1426" s="34"/>
      <c r="B1426" s="11"/>
      <c r="C1426" s="32"/>
      <c r="E1426" s="11"/>
    </row>
    <row r="1427">
      <c r="A1427" s="34"/>
      <c r="B1427" s="11"/>
      <c r="C1427" s="32"/>
      <c r="E1427" s="11"/>
    </row>
    <row r="1428">
      <c r="A1428" s="34"/>
      <c r="B1428" s="11"/>
      <c r="C1428" s="32"/>
      <c r="E1428" s="11"/>
    </row>
    <row r="1429">
      <c r="A1429" s="34"/>
      <c r="B1429" s="11"/>
      <c r="C1429" s="32"/>
      <c r="E1429" s="11"/>
    </row>
    <row r="1430">
      <c r="A1430" s="34"/>
      <c r="B1430" s="11"/>
      <c r="C1430" s="32"/>
      <c r="E1430" s="11"/>
    </row>
    <row r="1431">
      <c r="A1431" s="34"/>
      <c r="B1431" s="11"/>
      <c r="C1431" s="32"/>
      <c r="E1431" s="11"/>
    </row>
    <row r="1432">
      <c r="A1432" s="34"/>
      <c r="B1432" s="11"/>
      <c r="C1432" s="32"/>
      <c r="E1432" s="11"/>
    </row>
    <row r="1433">
      <c r="A1433" s="34"/>
      <c r="B1433" s="11"/>
      <c r="C1433" s="32"/>
      <c r="E1433" s="11"/>
    </row>
    <row r="1434">
      <c r="A1434" s="34"/>
      <c r="B1434" s="11"/>
      <c r="C1434" s="32"/>
      <c r="E1434" s="11"/>
    </row>
    <row r="1435">
      <c r="A1435" s="34"/>
      <c r="B1435" s="11"/>
      <c r="C1435" s="32"/>
      <c r="E1435" s="11"/>
    </row>
    <row r="1436">
      <c r="A1436" s="34"/>
      <c r="B1436" s="11"/>
      <c r="C1436" s="32"/>
      <c r="E1436" s="11"/>
    </row>
    <row r="1437">
      <c r="A1437" s="34"/>
      <c r="B1437" s="11"/>
      <c r="C1437" s="32"/>
      <c r="E1437" s="11"/>
    </row>
    <row r="1438">
      <c r="A1438" s="34"/>
      <c r="B1438" s="11"/>
      <c r="C1438" s="32"/>
      <c r="E1438" s="11"/>
    </row>
    <row r="1439">
      <c r="A1439" s="34"/>
      <c r="B1439" s="11"/>
      <c r="C1439" s="32"/>
      <c r="E1439" s="11"/>
    </row>
    <row r="1440">
      <c r="A1440" s="34"/>
      <c r="B1440" s="11"/>
      <c r="C1440" s="32"/>
      <c r="E1440" s="11"/>
    </row>
    <row r="1441">
      <c r="A1441" s="34"/>
      <c r="B1441" s="11"/>
      <c r="C1441" s="32"/>
      <c r="E1441" s="11"/>
    </row>
    <row r="1442">
      <c r="A1442" s="34"/>
      <c r="B1442" s="11"/>
      <c r="C1442" s="32"/>
      <c r="E1442" s="11"/>
    </row>
    <row r="1443">
      <c r="A1443" s="34"/>
      <c r="B1443" s="11"/>
      <c r="C1443" s="32"/>
      <c r="E1443" s="11"/>
    </row>
    <row r="1444">
      <c r="A1444" s="34"/>
      <c r="B1444" s="11"/>
      <c r="C1444" s="32"/>
      <c r="E1444" s="11"/>
    </row>
    <row r="1445">
      <c r="A1445" s="34"/>
      <c r="B1445" s="11"/>
      <c r="C1445" s="32"/>
      <c r="E1445" s="11"/>
    </row>
    <row r="1446">
      <c r="A1446" s="34"/>
      <c r="B1446" s="11"/>
      <c r="C1446" s="32"/>
      <c r="E1446" s="11"/>
    </row>
    <row r="1447">
      <c r="A1447" s="34"/>
      <c r="B1447" s="11"/>
      <c r="C1447" s="32"/>
      <c r="E1447" s="11"/>
    </row>
    <row r="1448">
      <c r="A1448" s="34"/>
      <c r="B1448" s="11"/>
      <c r="C1448" s="32"/>
      <c r="E1448" s="11"/>
    </row>
    <row r="1449">
      <c r="A1449" s="34"/>
      <c r="B1449" s="11"/>
      <c r="C1449" s="32"/>
      <c r="E1449" s="11"/>
    </row>
    <row r="1450">
      <c r="A1450" s="34"/>
      <c r="B1450" s="11"/>
      <c r="C1450" s="32"/>
      <c r="E1450" s="11"/>
    </row>
    <row r="1451">
      <c r="A1451" s="34"/>
      <c r="B1451" s="11"/>
      <c r="C1451" s="32"/>
      <c r="E1451" s="11"/>
    </row>
    <row r="1452">
      <c r="A1452" s="34"/>
      <c r="B1452" s="11"/>
      <c r="C1452" s="32"/>
      <c r="E1452" s="11"/>
    </row>
    <row r="1453">
      <c r="A1453" s="34"/>
      <c r="B1453" s="11"/>
      <c r="C1453" s="32"/>
      <c r="E1453" s="11"/>
    </row>
    <row r="1454">
      <c r="A1454" s="34"/>
      <c r="B1454" s="11"/>
      <c r="C1454" s="32"/>
      <c r="E1454" s="11"/>
    </row>
    <row r="1455">
      <c r="A1455" s="34"/>
      <c r="B1455" s="11"/>
      <c r="C1455" s="32"/>
      <c r="E1455" s="11"/>
    </row>
    <row r="1456">
      <c r="A1456" s="34"/>
      <c r="B1456" s="11"/>
      <c r="C1456" s="32"/>
      <c r="E1456" s="11"/>
    </row>
    <row r="1457">
      <c r="A1457" s="34"/>
      <c r="B1457" s="11"/>
      <c r="C1457" s="32"/>
      <c r="E1457" s="11"/>
    </row>
    <row r="1458">
      <c r="A1458" s="34"/>
      <c r="B1458" s="11"/>
      <c r="C1458" s="32"/>
      <c r="E1458" s="11"/>
    </row>
    <row r="1459">
      <c r="A1459" s="34"/>
      <c r="B1459" s="11"/>
      <c r="C1459" s="32"/>
      <c r="E1459" s="11"/>
    </row>
    <row r="1460">
      <c r="A1460" s="34"/>
      <c r="B1460" s="11"/>
      <c r="C1460" s="32"/>
      <c r="E1460" s="11"/>
    </row>
    <row r="1461">
      <c r="A1461" s="34"/>
      <c r="B1461" s="11"/>
      <c r="C1461" s="32"/>
      <c r="E1461" s="11"/>
    </row>
    <row r="1462">
      <c r="A1462" s="34"/>
      <c r="B1462" s="11"/>
      <c r="C1462" s="32"/>
      <c r="E1462" s="11"/>
    </row>
    <row r="1463">
      <c r="A1463" s="34"/>
      <c r="B1463" s="11"/>
      <c r="C1463" s="32"/>
      <c r="E1463" s="11"/>
    </row>
    <row r="1464">
      <c r="A1464" s="34"/>
      <c r="B1464" s="11"/>
      <c r="C1464" s="32"/>
      <c r="E1464" s="11"/>
    </row>
    <row r="1465">
      <c r="A1465" s="34"/>
      <c r="B1465" s="11"/>
      <c r="C1465" s="32"/>
      <c r="E1465" s="11"/>
    </row>
    <row r="1466">
      <c r="A1466" s="34"/>
      <c r="B1466" s="11"/>
      <c r="C1466" s="32"/>
      <c r="E1466" s="11"/>
    </row>
    <row r="1467">
      <c r="A1467" s="34"/>
      <c r="B1467" s="11"/>
      <c r="C1467" s="32"/>
      <c r="E1467" s="11"/>
    </row>
    <row r="1468">
      <c r="A1468" s="34"/>
      <c r="B1468" s="11"/>
      <c r="C1468" s="32"/>
      <c r="E1468" s="11"/>
    </row>
    <row r="1469">
      <c r="A1469" s="34"/>
      <c r="B1469" s="11"/>
      <c r="C1469" s="32"/>
      <c r="E1469" s="11"/>
    </row>
    <row r="1470">
      <c r="A1470" s="34"/>
      <c r="B1470" s="11"/>
      <c r="C1470" s="32"/>
      <c r="E1470" s="11"/>
    </row>
    <row r="1471">
      <c r="A1471" s="34"/>
      <c r="B1471" s="11"/>
      <c r="C1471" s="32"/>
      <c r="E1471" s="11"/>
    </row>
    <row r="1472">
      <c r="A1472" s="34"/>
      <c r="B1472" s="11"/>
      <c r="C1472" s="32"/>
      <c r="E1472" s="11"/>
    </row>
    <row r="1473">
      <c r="A1473" s="34"/>
      <c r="B1473" s="11"/>
      <c r="C1473" s="32"/>
      <c r="E1473" s="11"/>
    </row>
    <row r="1474">
      <c r="A1474" s="34"/>
      <c r="B1474" s="11"/>
      <c r="C1474" s="32"/>
      <c r="E1474" s="11"/>
    </row>
    <row r="1475">
      <c r="A1475" s="34"/>
      <c r="B1475" s="11"/>
      <c r="C1475" s="32"/>
      <c r="E1475" s="11"/>
    </row>
    <row r="1476">
      <c r="A1476" s="34"/>
      <c r="B1476" s="11"/>
      <c r="C1476" s="32"/>
      <c r="E1476" s="11"/>
    </row>
    <row r="1477">
      <c r="A1477" s="34"/>
      <c r="B1477" s="11"/>
      <c r="C1477" s="32"/>
      <c r="E1477" s="11"/>
    </row>
    <row r="1478">
      <c r="A1478" s="34"/>
      <c r="B1478" s="11"/>
      <c r="C1478" s="32"/>
      <c r="E1478" s="11"/>
    </row>
    <row r="1479">
      <c r="A1479" s="34"/>
      <c r="B1479" s="11"/>
      <c r="C1479" s="32"/>
      <c r="E1479" s="11"/>
    </row>
    <row r="1480">
      <c r="A1480" s="34"/>
      <c r="B1480" s="11"/>
      <c r="C1480" s="32"/>
      <c r="E1480" s="11"/>
    </row>
    <row r="1481">
      <c r="A1481" s="34"/>
      <c r="B1481" s="11"/>
      <c r="C1481" s="32"/>
      <c r="E1481" s="11"/>
    </row>
    <row r="1482">
      <c r="A1482" s="34"/>
      <c r="B1482" s="11"/>
      <c r="C1482" s="32"/>
      <c r="E1482" s="11"/>
    </row>
    <row r="1483">
      <c r="A1483" s="34"/>
      <c r="B1483" s="11"/>
      <c r="C1483" s="32"/>
      <c r="E1483" s="11"/>
    </row>
    <row r="1484">
      <c r="A1484" s="34"/>
      <c r="B1484" s="11"/>
      <c r="C1484" s="32"/>
      <c r="E1484" s="11"/>
    </row>
    <row r="1485">
      <c r="A1485" s="34"/>
      <c r="B1485" s="11"/>
      <c r="C1485" s="32"/>
      <c r="E1485" s="11"/>
    </row>
    <row r="1486">
      <c r="A1486" s="34"/>
      <c r="B1486" s="11"/>
      <c r="C1486" s="32"/>
      <c r="E1486" s="11"/>
    </row>
    <row r="1487">
      <c r="A1487" s="34"/>
      <c r="B1487" s="11"/>
      <c r="C1487" s="32"/>
      <c r="E1487" s="11"/>
    </row>
    <row r="1488">
      <c r="A1488" s="34"/>
      <c r="B1488" s="11"/>
      <c r="C1488" s="32"/>
      <c r="E1488" s="11"/>
    </row>
    <row r="1489">
      <c r="A1489" s="34"/>
      <c r="B1489" s="11"/>
      <c r="C1489" s="32"/>
      <c r="E1489" s="11"/>
    </row>
    <row r="1490">
      <c r="A1490" s="34"/>
      <c r="B1490" s="11"/>
      <c r="C1490" s="32"/>
      <c r="E1490" s="11"/>
    </row>
    <row r="1491">
      <c r="A1491" s="34"/>
      <c r="B1491" s="11"/>
      <c r="C1491" s="32"/>
      <c r="E1491" s="11"/>
    </row>
    <row r="1492">
      <c r="A1492" s="34"/>
      <c r="B1492" s="11"/>
      <c r="C1492" s="32"/>
      <c r="E1492" s="11"/>
    </row>
    <row r="1493">
      <c r="A1493" s="34"/>
      <c r="B1493" s="11"/>
      <c r="C1493" s="32"/>
      <c r="E1493" s="11"/>
    </row>
    <row r="1494">
      <c r="A1494" s="34"/>
      <c r="B1494" s="11"/>
      <c r="C1494" s="32"/>
      <c r="E1494" s="11"/>
    </row>
    <row r="1495">
      <c r="A1495" s="34"/>
      <c r="B1495" s="11"/>
      <c r="C1495" s="32"/>
      <c r="E1495" s="11"/>
    </row>
    <row r="1496">
      <c r="A1496" s="34"/>
      <c r="B1496" s="11"/>
      <c r="C1496" s="32"/>
      <c r="E1496" s="11"/>
    </row>
    <row r="1497">
      <c r="A1497" s="34"/>
      <c r="B1497" s="11"/>
      <c r="C1497" s="32"/>
      <c r="E1497" s="11"/>
    </row>
    <row r="1498">
      <c r="A1498" s="34"/>
      <c r="B1498" s="11"/>
      <c r="C1498" s="32"/>
      <c r="E1498" s="11"/>
    </row>
    <row r="1499">
      <c r="A1499" s="34"/>
      <c r="B1499" s="11"/>
      <c r="C1499" s="32"/>
      <c r="E1499" s="11"/>
    </row>
    <row r="1500">
      <c r="A1500" s="34"/>
      <c r="B1500" s="11"/>
      <c r="C1500" s="32"/>
      <c r="E1500" s="11"/>
    </row>
    <row r="1501">
      <c r="A1501" s="34"/>
      <c r="B1501" s="11"/>
      <c r="C1501" s="32"/>
      <c r="E1501" s="11"/>
    </row>
    <row r="1502">
      <c r="A1502" s="34"/>
      <c r="B1502" s="11"/>
      <c r="C1502" s="32"/>
      <c r="E1502" s="11"/>
    </row>
    <row r="1503">
      <c r="A1503" s="34"/>
      <c r="B1503" s="11"/>
      <c r="C1503" s="32"/>
      <c r="E1503" s="11"/>
    </row>
    <row r="1504">
      <c r="A1504" s="34"/>
      <c r="B1504" s="11"/>
      <c r="C1504" s="32"/>
      <c r="E1504" s="11"/>
    </row>
    <row r="1505">
      <c r="A1505" s="34"/>
      <c r="B1505" s="11"/>
      <c r="C1505" s="32"/>
      <c r="E1505" s="11"/>
    </row>
    <row r="1506">
      <c r="A1506" s="34"/>
      <c r="B1506" s="11"/>
      <c r="C1506" s="32"/>
      <c r="E1506" s="11"/>
    </row>
    <row r="1507">
      <c r="A1507" s="34"/>
      <c r="B1507" s="11"/>
      <c r="C1507" s="32"/>
      <c r="E1507" s="11"/>
    </row>
    <row r="1508">
      <c r="A1508" s="34"/>
      <c r="B1508" s="11"/>
      <c r="C1508" s="32"/>
      <c r="E1508" s="11"/>
    </row>
    <row r="1509">
      <c r="A1509" s="34"/>
      <c r="B1509" s="11"/>
      <c r="C1509" s="32"/>
      <c r="E1509" s="11"/>
    </row>
    <row r="1510">
      <c r="A1510" s="34"/>
      <c r="B1510" s="11"/>
      <c r="C1510" s="32"/>
      <c r="E1510" s="11"/>
    </row>
    <row r="1511">
      <c r="A1511" s="34"/>
      <c r="B1511" s="11"/>
      <c r="C1511" s="32"/>
      <c r="E1511" s="11"/>
    </row>
    <row r="1512">
      <c r="A1512" s="34"/>
      <c r="B1512" s="11"/>
      <c r="C1512" s="32"/>
      <c r="E1512" s="11"/>
    </row>
    <row r="1513">
      <c r="A1513" s="34"/>
      <c r="B1513" s="11"/>
      <c r="C1513" s="32"/>
      <c r="E1513" s="11"/>
    </row>
    <row r="1514">
      <c r="A1514" s="34"/>
      <c r="B1514" s="11"/>
      <c r="C1514" s="32"/>
      <c r="E1514" s="11"/>
    </row>
    <row r="1515">
      <c r="A1515" s="34"/>
      <c r="B1515" s="11"/>
      <c r="C1515" s="32"/>
      <c r="E1515" s="11"/>
    </row>
    <row r="1516">
      <c r="A1516" s="34"/>
      <c r="B1516" s="11"/>
      <c r="C1516" s="32"/>
      <c r="E1516" s="11"/>
    </row>
    <row r="1517">
      <c r="A1517" s="34"/>
      <c r="B1517" s="11"/>
      <c r="C1517" s="32"/>
      <c r="E1517" s="11"/>
    </row>
    <row r="1518">
      <c r="A1518" s="34"/>
      <c r="B1518" s="11"/>
      <c r="C1518" s="32"/>
      <c r="E1518" s="11"/>
    </row>
    <row r="1519">
      <c r="A1519" s="34"/>
      <c r="B1519" s="11"/>
      <c r="C1519" s="32"/>
      <c r="E1519" s="11"/>
    </row>
    <row r="1520">
      <c r="A1520" s="34"/>
      <c r="B1520" s="11"/>
      <c r="C1520" s="32"/>
      <c r="E1520" s="11"/>
    </row>
    <row r="1521">
      <c r="A1521" s="34"/>
      <c r="B1521" s="11"/>
      <c r="C1521" s="32"/>
      <c r="E1521" s="11"/>
    </row>
    <row r="1522">
      <c r="A1522" s="34"/>
      <c r="B1522" s="11"/>
      <c r="C1522" s="32"/>
      <c r="E1522" s="11"/>
    </row>
    <row r="1523">
      <c r="A1523" s="34"/>
      <c r="B1523" s="11"/>
      <c r="C1523" s="32"/>
      <c r="E1523" s="11"/>
    </row>
    <row r="1524">
      <c r="A1524" s="34"/>
      <c r="B1524" s="11"/>
      <c r="C1524" s="32"/>
      <c r="E1524" s="11"/>
    </row>
    <row r="1525">
      <c r="A1525" s="34"/>
      <c r="B1525" s="11"/>
      <c r="C1525" s="32"/>
      <c r="E1525" s="11"/>
    </row>
    <row r="1526">
      <c r="A1526" s="34"/>
      <c r="B1526" s="11"/>
      <c r="C1526" s="32"/>
      <c r="E1526" s="11"/>
    </row>
    <row r="1527">
      <c r="A1527" s="34"/>
      <c r="B1527" s="11"/>
      <c r="C1527" s="32"/>
      <c r="E1527" s="11"/>
    </row>
    <row r="1528">
      <c r="A1528" s="34"/>
      <c r="B1528" s="11"/>
      <c r="C1528" s="32"/>
      <c r="E1528" s="11"/>
    </row>
    <row r="1529">
      <c r="A1529" s="34"/>
      <c r="B1529" s="11"/>
      <c r="C1529" s="32"/>
      <c r="E1529" s="11"/>
    </row>
    <row r="1530">
      <c r="A1530" s="34"/>
      <c r="B1530" s="11"/>
      <c r="C1530" s="32"/>
      <c r="E1530" s="11"/>
    </row>
    <row r="1531">
      <c r="A1531" s="34"/>
      <c r="B1531" s="11"/>
      <c r="C1531" s="32"/>
      <c r="E1531" s="11"/>
    </row>
    <row r="1532">
      <c r="A1532" s="34"/>
      <c r="B1532" s="11"/>
      <c r="C1532" s="32"/>
      <c r="E1532" s="11"/>
    </row>
    <row r="1533">
      <c r="A1533" s="34"/>
      <c r="B1533" s="11"/>
      <c r="C1533" s="32"/>
      <c r="E1533" s="11"/>
    </row>
    <row r="1534">
      <c r="A1534" s="34"/>
      <c r="B1534" s="11"/>
      <c r="C1534" s="32"/>
      <c r="E1534" s="11"/>
    </row>
    <row r="1535">
      <c r="A1535" s="34"/>
      <c r="B1535" s="11"/>
      <c r="C1535" s="32"/>
      <c r="E1535" s="11"/>
    </row>
    <row r="1536">
      <c r="A1536" s="34"/>
      <c r="B1536" s="11"/>
      <c r="C1536" s="32"/>
      <c r="E1536" s="11"/>
    </row>
    <row r="1537">
      <c r="A1537" s="34"/>
      <c r="B1537" s="11"/>
      <c r="C1537" s="32"/>
      <c r="E1537" s="11"/>
    </row>
    <row r="1538">
      <c r="A1538" s="34"/>
      <c r="B1538" s="11"/>
      <c r="C1538" s="32"/>
      <c r="E1538" s="11"/>
    </row>
    <row r="1539">
      <c r="A1539" s="34"/>
      <c r="B1539" s="11"/>
      <c r="C1539" s="32"/>
      <c r="E1539" s="11"/>
    </row>
    <row r="1540">
      <c r="A1540" s="34"/>
      <c r="B1540" s="11"/>
      <c r="C1540" s="32"/>
      <c r="E1540" s="11"/>
    </row>
    <row r="1541">
      <c r="A1541" s="34"/>
      <c r="B1541" s="11"/>
      <c r="C1541" s="32"/>
      <c r="E1541" s="11"/>
    </row>
    <row r="1542">
      <c r="A1542" s="34"/>
      <c r="B1542" s="11"/>
      <c r="C1542" s="32"/>
      <c r="E1542" s="11"/>
    </row>
    <row r="1543">
      <c r="A1543" s="34"/>
      <c r="B1543" s="11"/>
      <c r="C1543" s="32"/>
      <c r="E1543" s="11"/>
    </row>
    <row r="1544">
      <c r="A1544" s="34"/>
      <c r="B1544" s="11"/>
      <c r="C1544" s="32"/>
      <c r="E1544" s="11"/>
    </row>
    <row r="1545">
      <c r="A1545" s="34"/>
      <c r="B1545" s="11"/>
      <c r="C1545" s="32"/>
      <c r="E1545" s="11"/>
    </row>
    <row r="1546">
      <c r="A1546" s="34"/>
      <c r="B1546" s="11"/>
      <c r="C1546" s="32"/>
      <c r="E1546" s="11"/>
    </row>
    <row r="1547">
      <c r="A1547" s="34"/>
      <c r="B1547" s="11"/>
      <c r="C1547" s="32"/>
      <c r="E1547" s="11"/>
    </row>
    <row r="1548">
      <c r="A1548" s="34"/>
      <c r="B1548" s="11"/>
      <c r="C1548" s="32"/>
      <c r="E1548" s="11"/>
    </row>
    <row r="1549">
      <c r="A1549" s="34"/>
      <c r="B1549" s="11"/>
      <c r="C1549" s="32"/>
      <c r="E1549" s="11"/>
    </row>
    <row r="1550">
      <c r="A1550" s="34"/>
      <c r="B1550" s="11"/>
      <c r="C1550" s="32"/>
      <c r="E1550" s="11"/>
    </row>
    <row r="1551">
      <c r="A1551" s="34"/>
      <c r="B1551" s="11"/>
      <c r="C1551" s="32"/>
      <c r="E1551" s="11"/>
    </row>
    <row r="1552">
      <c r="A1552" s="34"/>
      <c r="B1552" s="11"/>
      <c r="C1552" s="32"/>
      <c r="E1552" s="11"/>
    </row>
    <row r="1553">
      <c r="A1553" s="34"/>
      <c r="B1553" s="11"/>
      <c r="C1553" s="32"/>
      <c r="E1553" s="11"/>
    </row>
    <row r="1554">
      <c r="A1554" s="34"/>
      <c r="B1554" s="11"/>
      <c r="C1554" s="32"/>
      <c r="E1554" s="11"/>
    </row>
    <row r="1555">
      <c r="A1555" s="34"/>
      <c r="B1555" s="11"/>
      <c r="C1555" s="32"/>
      <c r="E1555" s="11"/>
    </row>
    <row r="1556">
      <c r="A1556" s="34"/>
      <c r="B1556" s="11"/>
      <c r="C1556" s="32"/>
      <c r="E1556" s="11"/>
    </row>
    <row r="1557">
      <c r="A1557" s="34"/>
      <c r="B1557" s="11"/>
      <c r="C1557" s="32"/>
      <c r="E1557" s="11"/>
    </row>
    <row r="1558">
      <c r="A1558" s="34"/>
      <c r="B1558" s="11"/>
      <c r="C1558" s="32"/>
      <c r="E1558" s="11"/>
    </row>
    <row r="1559">
      <c r="A1559" s="34"/>
      <c r="B1559" s="11"/>
      <c r="C1559" s="32"/>
      <c r="E1559" s="11"/>
    </row>
    <row r="1560">
      <c r="A1560" s="34"/>
      <c r="B1560" s="11"/>
      <c r="C1560" s="32"/>
      <c r="E1560" s="11"/>
    </row>
    <row r="1561">
      <c r="A1561" s="34"/>
      <c r="B1561" s="11"/>
      <c r="C1561" s="32"/>
      <c r="E1561" s="11"/>
    </row>
    <row r="1562">
      <c r="A1562" s="34"/>
      <c r="B1562" s="11"/>
      <c r="C1562" s="32"/>
      <c r="E1562" s="11"/>
    </row>
    <row r="1563">
      <c r="A1563" s="34"/>
      <c r="B1563" s="11"/>
      <c r="C1563" s="32"/>
      <c r="E1563" s="11"/>
    </row>
    <row r="1564">
      <c r="A1564" s="34"/>
      <c r="B1564" s="11"/>
      <c r="C1564" s="32"/>
      <c r="E1564" s="11"/>
    </row>
    <row r="1565">
      <c r="A1565" s="34"/>
      <c r="B1565" s="11"/>
      <c r="C1565" s="32"/>
      <c r="E1565" s="11"/>
    </row>
    <row r="1566">
      <c r="A1566" s="34"/>
      <c r="B1566" s="11"/>
      <c r="C1566" s="32"/>
      <c r="E1566" s="11"/>
    </row>
    <row r="1567">
      <c r="A1567" s="34"/>
      <c r="B1567" s="11"/>
      <c r="C1567" s="32"/>
      <c r="E1567" s="11"/>
    </row>
    <row r="1568">
      <c r="A1568" s="34"/>
      <c r="B1568" s="11"/>
      <c r="C1568" s="32"/>
      <c r="E1568" s="11"/>
    </row>
    <row r="1569">
      <c r="A1569" s="34"/>
      <c r="B1569" s="11"/>
      <c r="C1569" s="32"/>
      <c r="E1569" s="11"/>
    </row>
    <row r="1570">
      <c r="A1570" s="34"/>
      <c r="B1570" s="11"/>
      <c r="C1570" s="32"/>
      <c r="E1570" s="11"/>
    </row>
    <row r="1571">
      <c r="A1571" s="34"/>
      <c r="B1571" s="11"/>
      <c r="C1571" s="32"/>
      <c r="E1571" s="11"/>
    </row>
    <row r="1572">
      <c r="A1572" s="34"/>
      <c r="B1572" s="11"/>
      <c r="C1572" s="32"/>
      <c r="E1572" s="11"/>
    </row>
    <row r="1573">
      <c r="A1573" s="34"/>
      <c r="B1573" s="11"/>
      <c r="C1573" s="32"/>
      <c r="E1573" s="11"/>
    </row>
    <row r="1574">
      <c r="A1574" s="34"/>
      <c r="B1574" s="11"/>
      <c r="C1574" s="32"/>
      <c r="E1574" s="11"/>
    </row>
    <row r="1575">
      <c r="A1575" s="34"/>
      <c r="B1575" s="11"/>
      <c r="C1575" s="32"/>
      <c r="E1575" s="11"/>
    </row>
    <row r="1576">
      <c r="A1576" s="34"/>
      <c r="B1576" s="11"/>
      <c r="C1576" s="32"/>
      <c r="E1576" s="11"/>
    </row>
    <row r="1577">
      <c r="A1577" s="34"/>
      <c r="B1577" s="11"/>
      <c r="C1577" s="32"/>
      <c r="E1577" s="11"/>
    </row>
    <row r="1578">
      <c r="A1578" s="34"/>
      <c r="B1578" s="11"/>
      <c r="C1578" s="32"/>
      <c r="E1578" s="11"/>
    </row>
    <row r="1579">
      <c r="A1579" s="34"/>
      <c r="B1579" s="11"/>
      <c r="C1579" s="32"/>
      <c r="E1579" s="11"/>
    </row>
    <row r="1580">
      <c r="A1580" s="34"/>
      <c r="B1580" s="11"/>
      <c r="C1580" s="32"/>
      <c r="E1580" s="11"/>
    </row>
    <row r="1581">
      <c r="A1581" s="34"/>
      <c r="B1581" s="11"/>
      <c r="C1581" s="32"/>
      <c r="E1581" s="11"/>
    </row>
    <row r="1582">
      <c r="A1582" s="34"/>
      <c r="B1582" s="11"/>
      <c r="C1582" s="32"/>
      <c r="E1582" s="11"/>
    </row>
    <row r="1583">
      <c r="A1583" s="34"/>
      <c r="B1583" s="11"/>
      <c r="C1583" s="32"/>
      <c r="E1583" s="11"/>
    </row>
    <row r="1584">
      <c r="A1584" s="34"/>
      <c r="B1584" s="11"/>
      <c r="C1584" s="32"/>
      <c r="E1584" s="11"/>
    </row>
    <row r="1585">
      <c r="A1585" s="34"/>
      <c r="B1585" s="11"/>
      <c r="C1585" s="32"/>
      <c r="E1585" s="11"/>
    </row>
    <row r="1586">
      <c r="A1586" s="34"/>
      <c r="B1586" s="11"/>
      <c r="C1586" s="32"/>
      <c r="E1586" s="11"/>
    </row>
    <row r="1587">
      <c r="A1587" s="34"/>
      <c r="B1587" s="11"/>
      <c r="C1587" s="32"/>
      <c r="E1587" s="11"/>
    </row>
    <row r="1588">
      <c r="A1588" s="34"/>
      <c r="B1588" s="11"/>
      <c r="C1588" s="32"/>
      <c r="E1588" s="11"/>
    </row>
    <row r="1589">
      <c r="A1589" s="34"/>
      <c r="B1589" s="11"/>
      <c r="C1589" s="32"/>
      <c r="E1589" s="11"/>
    </row>
    <row r="1590">
      <c r="A1590" s="34"/>
      <c r="B1590" s="11"/>
      <c r="C1590" s="32"/>
      <c r="E1590" s="11"/>
    </row>
    <row r="1591">
      <c r="A1591" s="34"/>
      <c r="B1591" s="11"/>
      <c r="C1591" s="32"/>
      <c r="E1591" s="11"/>
    </row>
    <row r="1592">
      <c r="A1592" s="34"/>
      <c r="B1592" s="11"/>
      <c r="C1592" s="32"/>
      <c r="E1592" s="11"/>
    </row>
    <row r="1593">
      <c r="A1593" s="34"/>
      <c r="B1593" s="11"/>
      <c r="C1593" s="32"/>
      <c r="E1593" s="11"/>
    </row>
    <row r="1594">
      <c r="A1594" s="34"/>
      <c r="B1594" s="11"/>
      <c r="C1594" s="32"/>
      <c r="E1594" s="11"/>
    </row>
    <row r="1595">
      <c r="A1595" s="34"/>
      <c r="B1595" s="11"/>
      <c r="C1595" s="32"/>
      <c r="E1595" s="11"/>
    </row>
    <row r="1596">
      <c r="A1596" s="34"/>
      <c r="B1596" s="11"/>
      <c r="C1596" s="32"/>
      <c r="E1596" s="11"/>
    </row>
    <row r="1597">
      <c r="A1597" s="34"/>
      <c r="B1597" s="11"/>
      <c r="C1597" s="32"/>
      <c r="E1597" s="11"/>
    </row>
    <row r="1598">
      <c r="A1598" s="34"/>
      <c r="B1598" s="11"/>
      <c r="C1598" s="32"/>
      <c r="E1598" s="11"/>
    </row>
    <row r="1599">
      <c r="A1599" s="34"/>
      <c r="B1599" s="11"/>
      <c r="C1599" s="32"/>
      <c r="E1599" s="11"/>
    </row>
    <row r="1600">
      <c r="A1600" s="34"/>
      <c r="B1600" s="11"/>
      <c r="C1600" s="32"/>
      <c r="E1600" s="11"/>
    </row>
    <row r="1601">
      <c r="A1601" s="34"/>
      <c r="B1601" s="11"/>
      <c r="C1601" s="32"/>
      <c r="E1601" s="11"/>
    </row>
    <row r="1602">
      <c r="A1602" s="34"/>
      <c r="B1602" s="11"/>
      <c r="C1602" s="32"/>
      <c r="E1602" s="11"/>
    </row>
    <row r="1603">
      <c r="A1603" s="34"/>
      <c r="B1603" s="11"/>
      <c r="C1603" s="32"/>
      <c r="E1603" s="11"/>
    </row>
    <row r="1604">
      <c r="A1604" s="34"/>
      <c r="B1604" s="11"/>
      <c r="C1604" s="32"/>
      <c r="E1604" s="11"/>
    </row>
    <row r="1605">
      <c r="A1605" s="34"/>
      <c r="B1605" s="11"/>
      <c r="C1605" s="32"/>
      <c r="E1605" s="11"/>
    </row>
    <row r="1606">
      <c r="A1606" s="34"/>
      <c r="B1606" s="11"/>
      <c r="C1606" s="32"/>
      <c r="E1606" s="11"/>
    </row>
    <row r="1607">
      <c r="A1607" s="34"/>
      <c r="B1607" s="11"/>
      <c r="C1607" s="32"/>
      <c r="E1607" s="11"/>
    </row>
    <row r="1608">
      <c r="A1608" s="34"/>
      <c r="B1608" s="11"/>
      <c r="C1608" s="32"/>
      <c r="E1608" s="11"/>
    </row>
    <row r="1609">
      <c r="A1609" s="34"/>
      <c r="B1609" s="11"/>
      <c r="C1609" s="32"/>
      <c r="E1609" s="11"/>
    </row>
    <row r="1610">
      <c r="A1610" s="34"/>
      <c r="B1610" s="11"/>
      <c r="C1610" s="32"/>
      <c r="E1610" s="11"/>
    </row>
    <row r="1611">
      <c r="A1611" s="34"/>
      <c r="B1611" s="11"/>
      <c r="C1611" s="32"/>
      <c r="E1611" s="11"/>
    </row>
    <row r="1612">
      <c r="A1612" s="34"/>
      <c r="B1612" s="11"/>
      <c r="C1612" s="32"/>
      <c r="E1612" s="11"/>
    </row>
    <row r="1613">
      <c r="A1613" s="34"/>
      <c r="B1613" s="11"/>
      <c r="C1613" s="32"/>
      <c r="E1613" s="11"/>
    </row>
    <row r="1614">
      <c r="A1614" s="34"/>
      <c r="B1614" s="11"/>
      <c r="C1614" s="32"/>
      <c r="E1614" s="11"/>
    </row>
    <row r="1615">
      <c r="A1615" s="34"/>
      <c r="B1615" s="11"/>
      <c r="C1615" s="32"/>
      <c r="E1615" s="11"/>
    </row>
    <row r="1616">
      <c r="A1616" s="34"/>
      <c r="B1616" s="11"/>
      <c r="C1616" s="32"/>
      <c r="E1616" s="11"/>
    </row>
    <row r="1617">
      <c r="A1617" s="34"/>
      <c r="B1617" s="11"/>
      <c r="C1617" s="32"/>
      <c r="E1617" s="11"/>
    </row>
    <row r="1618">
      <c r="A1618" s="34"/>
      <c r="B1618" s="11"/>
      <c r="C1618" s="32"/>
      <c r="E1618" s="11"/>
    </row>
    <row r="1619">
      <c r="A1619" s="34"/>
      <c r="B1619" s="11"/>
      <c r="C1619" s="32"/>
      <c r="E1619" s="11"/>
    </row>
    <row r="1620">
      <c r="A1620" s="34"/>
      <c r="B1620" s="11"/>
      <c r="C1620" s="32"/>
      <c r="E1620" s="11"/>
    </row>
    <row r="1621">
      <c r="A1621" s="34"/>
      <c r="B1621" s="11"/>
      <c r="C1621" s="32"/>
      <c r="E1621" s="11"/>
    </row>
    <row r="1622">
      <c r="A1622" s="34"/>
      <c r="B1622" s="11"/>
      <c r="C1622" s="32"/>
      <c r="E1622" s="11"/>
    </row>
    <row r="1623">
      <c r="A1623" s="34"/>
      <c r="B1623" s="11"/>
      <c r="C1623" s="32"/>
      <c r="E1623" s="11"/>
    </row>
    <row r="1624">
      <c r="A1624" s="34"/>
      <c r="B1624" s="11"/>
      <c r="C1624" s="32"/>
      <c r="E1624" s="11"/>
    </row>
    <row r="1625">
      <c r="A1625" s="34"/>
      <c r="B1625" s="11"/>
      <c r="C1625" s="32"/>
      <c r="E1625" s="11"/>
    </row>
    <row r="1626">
      <c r="A1626" s="34"/>
      <c r="B1626" s="11"/>
      <c r="C1626" s="32"/>
      <c r="E1626" s="11"/>
    </row>
    <row r="1627">
      <c r="A1627" s="34"/>
      <c r="B1627" s="11"/>
      <c r="C1627" s="32"/>
      <c r="E1627" s="11"/>
    </row>
    <row r="1628">
      <c r="A1628" s="34"/>
      <c r="B1628" s="11"/>
      <c r="C1628" s="32"/>
      <c r="E1628" s="11"/>
    </row>
    <row r="1629">
      <c r="A1629" s="34"/>
      <c r="B1629" s="11"/>
      <c r="C1629" s="32"/>
      <c r="E1629" s="11"/>
    </row>
    <row r="1630">
      <c r="A1630" s="34"/>
      <c r="B1630" s="11"/>
      <c r="C1630" s="32"/>
      <c r="E1630" s="11"/>
    </row>
    <row r="1631">
      <c r="A1631" s="34"/>
      <c r="B1631" s="11"/>
      <c r="C1631" s="32"/>
      <c r="E1631" s="11"/>
    </row>
    <row r="1632">
      <c r="A1632" s="34"/>
      <c r="B1632" s="11"/>
      <c r="C1632" s="32"/>
      <c r="E1632" s="11"/>
    </row>
    <row r="1633">
      <c r="A1633" s="34"/>
      <c r="B1633" s="11"/>
      <c r="C1633" s="32"/>
      <c r="E1633" s="11"/>
    </row>
    <row r="1634">
      <c r="A1634" s="34"/>
      <c r="B1634" s="11"/>
      <c r="C1634" s="32"/>
      <c r="E1634" s="11"/>
    </row>
    <row r="1635">
      <c r="A1635" s="34"/>
      <c r="B1635" s="11"/>
      <c r="C1635" s="32"/>
      <c r="E1635" s="11"/>
    </row>
    <row r="1636">
      <c r="A1636" s="34"/>
      <c r="B1636" s="11"/>
      <c r="C1636" s="32"/>
      <c r="E1636" s="11"/>
    </row>
    <row r="1637">
      <c r="A1637" s="34"/>
      <c r="B1637" s="11"/>
      <c r="C1637" s="32"/>
      <c r="E1637" s="11"/>
    </row>
    <row r="1638">
      <c r="A1638" s="34"/>
      <c r="B1638" s="11"/>
      <c r="C1638" s="32"/>
      <c r="E1638" s="11"/>
    </row>
    <row r="1639">
      <c r="A1639" s="34"/>
      <c r="B1639" s="11"/>
      <c r="C1639" s="32"/>
      <c r="E1639" s="11"/>
    </row>
    <row r="1640">
      <c r="A1640" s="34"/>
      <c r="B1640" s="11"/>
      <c r="C1640" s="32"/>
      <c r="E1640" s="11"/>
    </row>
    <row r="1641">
      <c r="A1641" s="34"/>
      <c r="B1641" s="11"/>
      <c r="C1641" s="32"/>
      <c r="E1641" s="11"/>
    </row>
    <row r="1642">
      <c r="A1642" s="34"/>
      <c r="B1642" s="11"/>
      <c r="C1642" s="32"/>
      <c r="E1642" s="11"/>
    </row>
    <row r="1643">
      <c r="A1643" s="34"/>
      <c r="B1643" s="11"/>
      <c r="C1643" s="32"/>
      <c r="E1643" s="11"/>
    </row>
    <row r="1644">
      <c r="A1644" s="34"/>
      <c r="B1644" s="11"/>
      <c r="C1644" s="32"/>
      <c r="E1644" s="11"/>
    </row>
    <row r="1645">
      <c r="A1645" s="34"/>
      <c r="B1645" s="11"/>
      <c r="C1645" s="32"/>
      <c r="E1645" s="11"/>
    </row>
    <row r="1646">
      <c r="A1646" s="34"/>
      <c r="B1646" s="11"/>
      <c r="C1646" s="32"/>
      <c r="E1646" s="11"/>
    </row>
    <row r="1647">
      <c r="A1647" s="34"/>
      <c r="B1647" s="11"/>
      <c r="C1647" s="32"/>
      <c r="E1647" s="11"/>
    </row>
    <row r="1648">
      <c r="A1648" s="34"/>
      <c r="B1648" s="11"/>
      <c r="C1648" s="32"/>
      <c r="E1648" s="11"/>
    </row>
    <row r="1649">
      <c r="A1649" s="34"/>
      <c r="B1649" s="11"/>
      <c r="C1649" s="32"/>
      <c r="E1649" s="11"/>
    </row>
    <row r="1650">
      <c r="A1650" s="34"/>
      <c r="B1650" s="11"/>
      <c r="C1650" s="32"/>
      <c r="E1650" s="11"/>
    </row>
    <row r="1651">
      <c r="A1651" s="34"/>
      <c r="B1651" s="11"/>
      <c r="C1651" s="32"/>
      <c r="E1651" s="11"/>
    </row>
    <row r="1652">
      <c r="A1652" s="34"/>
      <c r="B1652" s="11"/>
      <c r="C1652" s="32"/>
      <c r="E1652" s="11"/>
    </row>
    <row r="1653">
      <c r="A1653" s="34"/>
      <c r="B1653" s="11"/>
      <c r="C1653" s="32"/>
      <c r="E1653" s="11"/>
    </row>
    <row r="1654">
      <c r="A1654" s="34"/>
      <c r="B1654" s="11"/>
      <c r="C1654" s="32"/>
      <c r="E1654" s="11"/>
    </row>
    <row r="1655">
      <c r="A1655" s="34"/>
      <c r="B1655" s="11"/>
      <c r="C1655" s="32"/>
      <c r="E1655" s="11"/>
    </row>
    <row r="1656">
      <c r="A1656" s="34"/>
      <c r="B1656" s="11"/>
      <c r="C1656" s="32"/>
      <c r="E1656" s="11"/>
    </row>
    <row r="1657">
      <c r="A1657" s="34"/>
      <c r="B1657" s="11"/>
      <c r="C1657" s="32"/>
      <c r="E1657" s="11"/>
    </row>
    <row r="1658">
      <c r="A1658" s="34"/>
      <c r="B1658" s="11"/>
      <c r="C1658" s="32"/>
      <c r="E1658" s="11"/>
    </row>
    <row r="1659">
      <c r="A1659" s="34"/>
      <c r="B1659" s="11"/>
      <c r="C1659" s="32"/>
      <c r="E1659" s="11"/>
    </row>
    <row r="1660">
      <c r="A1660" s="34"/>
      <c r="B1660" s="11"/>
      <c r="C1660" s="32"/>
      <c r="E1660" s="11"/>
    </row>
    <row r="1661">
      <c r="A1661" s="34"/>
      <c r="B1661" s="11"/>
      <c r="C1661" s="32"/>
      <c r="E1661" s="11"/>
    </row>
    <row r="1662">
      <c r="A1662" s="34"/>
      <c r="B1662" s="11"/>
      <c r="C1662" s="32"/>
      <c r="E1662" s="11"/>
    </row>
    <row r="1663">
      <c r="A1663" s="34"/>
      <c r="B1663" s="11"/>
      <c r="C1663" s="32"/>
      <c r="E1663" s="11"/>
    </row>
    <row r="1664">
      <c r="A1664" s="34"/>
      <c r="B1664" s="11"/>
      <c r="C1664" s="32"/>
      <c r="E1664" s="11"/>
    </row>
    <row r="1665">
      <c r="A1665" s="34"/>
      <c r="B1665" s="11"/>
      <c r="C1665" s="32"/>
      <c r="E1665" s="11"/>
    </row>
    <row r="1666">
      <c r="A1666" s="34"/>
      <c r="B1666" s="11"/>
      <c r="C1666" s="32"/>
      <c r="E1666" s="11"/>
    </row>
    <row r="1667">
      <c r="A1667" s="34"/>
      <c r="B1667" s="11"/>
      <c r="C1667" s="32"/>
      <c r="E1667" s="11"/>
    </row>
    <row r="1668">
      <c r="A1668" s="34"/>
      <c r="B1668" s="11"/>
      <c r="C1668" s="32"/>
      <c r="E1668" s="11"/>
    </row>
    <row r="1669">
      <c r="A1669" s="34"/>
      <c r="B1669" s="11"/>
      <c r="C1669" s="32"/>
      <c r="E1669" s="11"/>
    </row>
    <row r="1670">
      <c r="A1670" s="34"/>
      <c r="B1670" s="11"/>
      <c r="C1670" s="32"/>
      <c r="E1670" s="11"/>
    </row>
    <row r="1671">
      <c r="A1671" s="34"/>
      <c r="B1671" s="11"/>
      <c r="C1671" s="32"/>
      <c r="E1671" s="11"/>
    </row>
    <row r="1672">
      <c r="A1672" s="34"/>
      <c r="B1672" s="11"/>
      <c r="C1672" s="32"/>
      <c r="E1672" s="11"/>
    </row>
    <row r="1673">
      <c r="A1673" s="34"/>
      <c r="B1673" s="11"/>
      <c r="C1673" s="32"/>
      <c r="E1673" s="11"/>
    </row>
    <row r="1674">
      <c r="A1674" s="34"/>
      <c r="B1674" s="11"/>
      <c r="C1674" s="32"/>
      <c r="E1674" s="11"/>
    </row>
    <row r="1675">
      <c r="A1675" s="34"/>
      <c r="B1675" s="11"/>
      <c r="C1675" s="32"/>
      <c r="E1675" s="11"/>
    </row>
    <row r="1676">
      <c r="A1676" s="34"/>
      <c r="B1676" s="11"/>
      <c r="C1676" s="32"/>
      <c r="E1676" s="11"/>
    </row>
    <row r="1677">
      <c r="A1677" s="34"/>
      <c r="B1677" s="11"/>
      <c r="C1677" s="32"/>
      <c r="E1677" s="11"/>
    </row>
    <row r="1678">
      <c r="A1678" s="34"/>
      <c r="B1678" s="11"/>
      <c r="C1678" s="32"/>
      <c r="E1678" s="11"/>
    </row>
    <row r="1679">
      <c r="A1679" s="34"/>
      <c r="B1679" s="11"/>
      <c r="C1679" s="32"/>
      <c r="E1679" s="11"/>
    </row>
    <row r="1680">
      <c r="A1680" s="34"/>
      <c r="B1680" s="11"/>
      <c r="C1680" s="32"/>
      <c r="E1680" s="11"/>
    </row>
    <row r="1681">
      <c r="A1681" s="34"/>
      <c r="B1681" s="11"/>
      <c r="C1681" s="32"/>
      <c r="E1681" s="11"/>
    </row>
    <row r="1682">
      <c r="A1682" s="34"/>
      <c r="B1682" s="11"/>
      <c r="C1682" s="32"/>
      <c r="E1682" s="11"/>
    </row>
    <row r="1683">
      <c r="A1683" s="34"/>
      <c r="B1683" s="11"/>
      <c r="C1683" s="32"/>
      <c r="E1683" s="11"/>
    </row>
    <row r="1684">
      <c r="A1684" s="34"/>
      <c r="B1684" s="11"/>
      <c r="C1684" s="32"/>
      <c r="E1684" s="11"/>
    </row>
    <row r="1685">
      <c r="A1685" s="34"/>
      <c r="B1685" s="11"/>
      <c r="C1685" s="32"/>
      <c r="E1685" s="11"/>
    </row>
    <row r="1686">
      <c r="A1686" s="34"/>
      <c r="B1686" s="11"/>
      <c r="C1686" s="32"/>
      <c r="E1686" s="11"/>
    </row>
    <row r="1687">
      <c r="A1687" s="34"/>
      <c r="B1687" s="11"/>
      <c r="C1687" s="32"/>
      <c r="E1687" s="11"/>
    </row>
    <row r="1688">
      <c r="A1688" s="34"/>
      <c r="B1688" s="11"/>
      <c r="C1688" s="32"/>
      <c r="E1688" s="11"/>
    </row>
    <row r="1689">
      <c r="A1689" s="34"/>
      <c r="B1689" s="11"/>
      <c r="C1689" s="32"/>
      <c r="E1689" s="11"/>
    </row>
    <row r="1690">
      <c r="A1690" s="34"/>
      <c r="B1690" s="11"/>
      <c r="C1690" s="32"/>
      <c r="E1690" s="11"/>
    </row>
    <row r="1691">
      <c r="A1691" s="34"/>
      <c r="B1691" s="11"/>
      <c r="C1691" s="32"/>
      <c r="E1691" s="11"/>
    </row>
    <row r="1692">
      <c r="A1692" s="34"/>
      <c r="B1692" s="11"/>
      <c r="C1692" s="32"/>
      <c r="E1692" s="11"/>
    </row>
    <row r="1693">
      <c r="A1693" s="34"/>
      <c r="B1693" s="11"/>
      <c r="C1693" s="32"/>
      <c r="E1693" s="11"/>
    </row>
    <row r="1694">
      <c r="A1694" s="34"/>
      <c r="B1694" s="11"/>
      <c r="C1694" s="32"/>
      <c r="E1694" s="11"/>
    </row>
    <row r="1695">
      <c r="A1695" s="34"/>
      <c r="B1695" s="11"/>
      <c r="C1695" s="32"/>
      <c r="E1695" s="11"/>
    </row>
    <row r="1696">
      <c r="A1696" s="34"/>
      <c r="B1696" s="11"/>
      <c r="C1696" s="32"/>
      <c r="E1696" s="11"/>
    </row>
    <row r="1697">
      <c r="A1697" s="34"/>
      <c r="B1697" s="11"/>
      <c r="C1697" s="32"/>
      <c r="E1697" s="11"/>
    </row>
    <row r="1698">
      <c r="A1698" s="34"/>
      <c r="B1698" s="11"/>
      <c r="C1698" s="32"/>
      <c r="E1698" s="11"/>
    </row>
    <row r="1699">
      <c r="A1699" s="34"/>
      <c r="B1699" s="11"/>
      <c r="C1699" s="32"/>
      <c r="E1699" s="11"/>
    </row>
    <row r="1700">
      <c r="A1700" s="34"/>
      <c r="B1700" s="11"/>
      <c r="C1700" s="32"/>
      <c r="E1700" s="11"/>
    </row>
    <row r="1701">
      <c r="A1701" s="34"/>
      <c r="B1701" s="11"/>
      <c r="C1701" s="32"/>
      <c r="E1701" s="11"/>
    </row>
    <row r="1702">
      <c r="A1702" s="34"/>
      <c r="B1702" s="11"/>
      <c r="C1702" s="32"/>
      <c r="E1702" s="11"/>
    </row>
    <row r="1703">
      <c r="A1703" s="34"/>
      <c r="B1703" s="11"/>
      <c r="C1703" s="32"/>
      <c r="E1703" s="11"/>
    </row>
    <row r="1704">
      <c r="A1704" s="34"/>
      <c r="B1704" s="11"/>
      <c r="C1704" s="32"/>
      <c r="E1704" s="11"/>
    </row>
    <row r="1705">
      <c r="A1705" s="34"/>
      <c r="B1705" s="11"/>
      <c r="C1705" s="32"/>
      <c r="E1705" s="11"/>
    </row>
    <row r="1706">
      <c r="A1706" s="34"/>
      <c r="B1706" s="11"/>
      <c r="C1706" s="32"/>
      <c r="E1706" s="11"/>
    </row>
    <row r="1707">
      <c r="A1707" s="34"/>
      <c r="B1707" s="11"/>
      <c r="C1707" s="32"/>
      <c r="E1707" s="11"/>
    </row>
    <row r="1708">
      <c r="A1708" s="34"/>
      <c r="B1708" s="11"/>
      <c r="C1708" s="32"/>
      <c r="E1708" s="11"/>
    </row>
    <row r="1709">
      <c r="A1709" s="34"/>
      <c r="B1709" s="11"/>
      <c r="C1709" s="32"/>
      <c r="E1709" s="11"/>
    </row>
    <row r="1710">
      <c r="A1710" s="34"/>
      <c r="B1710" s="11"/>
      <c r="C1710" s="32"/>
      <c r="E1710" s="11"/>
    </row>
    <row r="1711">
      <c r="A1711" s="34"/>
      <c r="B1711" s="11"/>
      <c r="C1711" s="32"/>
      <c r="E1711" s="11"/>
    </row>
    <row r="1712">
      <c r="A1712" s="34"/>
      <c r="B1712" s="11"/>
      <c r="C1712" s="32"/>
      <c r="E1712" s="11"/>
    </row>
    <row r="1713">
      <c r="A1713" s="34"/>
      <c r="B1713" s="11"/>
      <c r="C1713" s="32"/>
      <c r="E1713" s="11"/>
    </row>
    <row r="1714">
      <c r="A1714" s="34"/>
      <c r="B1714" s="11"/>
      <c r="C1714" s="32"/>
      <c r="E1714" s="11"/>
    </row>
    <row r="1715">
      <c r="A1715" s="34"/>
      <c r="B1715" s="11"/>
      <c r="C1715" s="32"/>
      <c r="E1715" s="11"/>
    </row>
    <row r="1716">
      <c r="A1716" s="34"/>
      <c r="B1716" s="11"/>
      <c r="C1716" s="32"/>
      <c r="E1716" s="11"/>
    </row>
    <row r="1717">
      <c r="A1717" s="34"/>
      <c r="B1717" s="11"/>
      <c r="C1717" s="32"/>
      <c r="E1717" s="11"/>
    </row>
    <row r="1718">
      <c r="A1718" s="34"/>
      <c r="B1718" s="11"/>
      <c r="C1718" s="32"/>
      <c r="E1718" s="11"/>
    </row>
    <row r="1719">
      <c r="A1719" s="34"/>
      <c r="B1719" s="11"/>
      <c r="C1719" s="32"/>
      <c r="E1719" s="11"/>
    </row>
    <row r="1720">
      <c r="A1720" s="34"/>
      <c r="B1720" s="11"/>
      <c r="C1720" s="32"/>
      <c r="E1720" s="11"/>
    </row>
    <row r="1721">
      <c r="A1721" s="34"/>
      <c r="B1721" s="11"/>
      <c r="C1721" s="32"/>
      <c r="E1721" s="11"/>
    </row>
    <row r="1722">
      <c r="A1722" s="34"/>
      <c r="B1722" s="11"/>
      <c r="C1722" s="32"/>
      <c r="E1722" s="11"/>
    </row>
    <row r="1723">
      <c r="A1723" s="34"/>
      <c r="B1723" s="11"/>
      <c r="C1723" s="32"/>
      <c r="E1723" s="11"/>
    </row>
    <row r="1724">
      <c r="A1724" s="34"/>
      <c r="B1724" s="11"/>
      <c r="C1724" s="32"/>
      <c r="E1724" s="11"/>
    </row>
    <row r="1725">
      <c r="A1725" s="34"/>
      <c r="B1725" s="11"/>
      <c r="C1725" s="32"/>
      <c r="E1725" s="11"/>
    </row>
    <row r="1726">
      <c r="A1726" s="34"/>
      <c r="B1726" s="11"/>
      <c r="C1726" s="32"/>
      <c r="E1726" s="11"/>
    </row>
    <row r="1727">
      <c r="A1727" s="34"/>
      <c r="B1727" s="11"/>
      <c r="C1727" s="32"/>
      <c r="E1727" s="11"/>
    </row>
    <row r="1728">
      <c r="A1728" s="34"/>
      <c r="B1728" s="11"/>
      <c r="C1728" s="32"/>
      <c r="E1728" s="11"/>
    </row>
    <row r="1729">
      <c r="A1729" s="34"/>
      <c r="B1729" s="11"/>
      <c r="C1729" s="32"/>
      <c r="E1729" s="11"/>
    </row>
    <row r="1730">
      <c r="A1730" s="34"/>
      <c r="B1730" s="11"/>
      <c r="C1730" s="32"/>
      <c r="E1730" s="11"/>
    </row>
    <row r="1731">
      <c r="A1731" s="34"/>
      <c r="B1731" s="11"/>
      <c r="C1731" s="32"/>
      <c r="E1731" s="11"/>
    </row>
    <row r="1732">
      <c r="A1732" s="34"/>
      <c r="B1732" s="11"/>
      <c r="C1732" s="32"/>
      <c r="E1732" s="11"/>
    </row>
    <row r="1733">
      <c r="A1733" s="34"/>
      <c r="B1733" s="11"/>
      <c r="C1733" s="32"/>
      <c r="E1733" s="11"/>
    </row>
    <row r="1734">
      <c r="A1734" s="34"/>
      <c r="B1734" s="11"/>
      <c r="C1734" s="32"/>
      <c r="E1734" s="11"/>
    </row>
    <row r="1735">
      <c r="A1735" s="34"/>
      <c r="B1735" s="11"/>
      <c r="C1735" s="32"/>
      <c r="E1735" s="11"/>
    </row>
    <row r="1736">
      <c r="A1736" s="34"/>
      <c r="B1736" s="11"/>
      <c r="C1736" s="32"/>
      <c r="E1736" s="11"/>
    </row>
    <row r="1737">
      <c r="A1737" s="34"/>
      <c r="B1737" s="11"/>
      <c r="C1737" s="32"/>
      <c r="E1737" s="11"/>
    </row>
    <row r="1738">
      <c r="A1738" s="34"/>
      <c r="B1738" s="11"/>
      <c r="C1738" s="32"/>
      <c r="E1738" s="11"/>
    </row>
    <row r="1739">
      <c r="A1739" s="34"/>
      <c r="B1739" s="11"/>
      <c r="C1739" s="32"/>
      <c r="E1739" s="11"/>
    </row>
    <row r="1740">
      <c r="A1740" s="34"/>
      <c r="B1740" s="11"/>
      <c r="C1740" s="32"/>
      <c r="E1740" s="11"/>
    </row>
    <row r="1741">
      <c r="A1741" s="34"/>
      <c r="B1741" s="11"/>
      <c r="C1741" s="32"/>
      <c r="E1741" s="11"/>
    </row>
    <row r="1742">
      <c r="A1742" s="34"/>
      <c r="B1742" s="11"/>
      <c r="C1742" s="32"/>
      <c r="E1742" s="11"/>
    </row>
    <row r="1743">
      <c r="A1743" s="34"/>
      <c r="B1743" s="11"/>
      <c r="C1743" s="32"/>
      <c r="E1743" s="11"/>
    </row>
    <row r="1744">
      <c r="A1744" s="34"/>
      <c r="B1744" s="11"/>
      <c r="C1744" s="32"/>
      <c r="E1744" s="11"/>
    </row>
    <row r="1745">
      <c r="A1745" s="34"/>
      <c r="B1745" s="11"/>
      <c r="C1745" s="32"/>
      <c r="E1745" s="11"/>
    </row>
    <row r="1746">
      <c r="A1746" s="34"/>
      <c r="B1746" s="11"/>
      <c r="C1746" s="32"/>
      <c r="E1746" s="11"/>
    </row>
    <row r="1747">
      <c r="A1747" s="34"/>
      <c r="B1747" s="11"/>
      <c r="C1747" s="32"/>
      <c r="E1747" s="11"/>
    </row>
    <row r="1748">
      <c r="A1748" s="34"/>
      <c r="B1748" s="11"/>
      <c r="C1748" s="32"/>
      <c r="E1748" s="11"/>
    </row>
    <row r="1749">
      <c r="A1749" s="34"/>
      <c r="B1749" s="11"/>
      <c r="C1749" s="32"/>
      <c r="E1749" s="11"/>
    </row>
    <row r="1750">
      <c r="A1750" s="34"/>
      <c r="B1750" s="11"/>
      <c r="C1750" s="32"/>
      <c r="E1750" s="11"/>
    </row>
    <row r="1751">
      <c r="A1751" s="34"/>
      <c r="B1751" s="11"/>
      <c r="C1751" s="32"/>
      <c r="E1751" s="11"/>
    </row>
    <row r="1752">
      <c r="A1752" s="34"/>
      <c r="B1752" s="11"/>
      <c r="C1752" s="32"/>
      <c r="E1752" s="11"/>
    </row>
    <row r="1753">
      <c r="A1753" s="34"/>
      <c r="B1753" s="11"/>
      <c r="C1753" s="32"/>
      <c r="E1753" s="11"/>
    </row>
    <row r="1754">
      <c r="A1754" s="34"/>
      <c r="B1754" s="11"/>
      <c r="C1754" s="32"/>
      <c r="E1754" s="11"/>
    </row>
    <row r="1755">
      <c r="A1755" s="34"/>
      <c r="B1755" s="11"/>
      <c r="C1755" s="32"/>
      <c r="E1755" s="11"/>
    </row>
    <row r="1756">
      <c r="A1756" s="34"/>
      <c r="B1756" s="11"/>
      <c r="C1756" s="32"/>
      <c r="E1756" s="11"/>
    </row>
    <row r="1757">
      <c r="A1757" s="34"/>
      <c r="B1757" s="11"/>
      <c r="C1757" s="32"/>
      <c r="E1757" s="11"/>
    </row>
    <row r="1758">
      <c r="A1758" s="34"/>
      <c r="B1758" s="11"/>
      <c r="C1758" s="32"/>
      <c r="E1758" s="11"/>
    </row>
    <row r="1759">
      <c r="A1759" s="34"/>
      <c r="B1759" s="11"/>
      <c r="C1759" s="32"/>
      <c r="E1759" s="11"/>
    </row>
    <row r="1760">
      <c r="A1760" s="34"/>
      <c r="B1760" s="11"/>
      <c r="C1760" s="32"/>
      <c r="E1760" s="11"/>
    </row>
    <row r="1761">
      <c r="A1761" s="34"/>
      <c r="B1761" s="11"/>
      <c r="C1761" s="32"/>
      <c r="E1761" s="11"/>
    </row>
    <row r="1762">
      <c r="A1762" s="34"/>
      <c r="B1762" s="11"/>
      <c r="C1762" s="32"/>
      <c r="E1762" s="11"/>
    </row>
    <row r="1763">
      <c r="A1763" s="34"/>
      <c r="B1763" s="11"/>
      <c r="C1763" s="32"/>
      <c r="E1763" s="11"/>
    </row>
    <row r="1764">
      <c r="A1764" s="34"/>
      <c r="B1764" s="11"/>
      <c r="C1764" s="32"/>
      <c r="E1764" s="11"/>
    </row>
    <row r="1765">
      <c r="A1765" s="34"/>
      <c r="B1765" s="11"/>
      <c r="C1765" s="32"/>
      <c r="E1765" s="11"/>
    </row>
    <row r="1766">
      <c r="A1766" s="34"/>
      <c r="B1766" s="11"/>
      <c r="C1766" s="32"/>
      <c r="E1766" s="11"/>
    </row>
    <row r="1767">
      <c r="A1767" s="34"/>
      <c r="B1767" s="11"/>
      <c r="C1767" s="32"/>
      <c r="E1767" s="11"/>
    </row>
    <row r="1768">
      <c r="A1768" s="34"/>
      <c r="B1768" s="11"/>
      <c r="C1768" s="32"/>
      <c r="E1768" s="11"/>
    </row>
    <row r="1769">
      <c r="A1769" s="34"/>
      <c r="B1769" s="11"/>
      <c r="C1769" s="32"/>
      <c r="E1769" s="11"/>
    </row>
    <row r="1770">
      <c r="A1770" s="34"/>
      <c r="B1770" s="11"/>
      <c r="C1770" s="32"/>
      <c r="E1770" s="11"/>
    </row>
    <row r="1771">
      <c r="A1771" s="34"/>
      <c r="B1771" s="11"/>
      <c r="C1771" s="32"/>
      <c r="E1771" s="11"/>
    </row>
    <row r="1772">
      <c r="A1772" s="34"/>
      <c r="B1772" s="11"/>
      <c r="C1772" s="32"/>
      <c r="E1772" s="11"/>
    </row>
    <row r="1773">
      <c r="A1773" s="34"/>
      <c r="B1773" s="11"/>
      <c r="C1773" s="32"/>
      <c r="E1773" s="11"/>
    </row>
    <row r="1774">
      <c r="A1774" s="34"/>
      <c r="B1774" s="11"/>
      <c r="C1774" s="32"/>
      <c r="E1774" s="11"/>
    </row>
    <row r="1775">
      <c r="A1775" s="34"/>
      <c r="B1775" s="11"/>
      <c r="C1775" s="32"/>
      <c r="E1775" s="11"/>
    </row>
    <row r="1776">
      <c r="A1776" s="34"/>
      <c r="B1776" s="11"/>
      <c r="C1776" s="32"/>
      <c r="E1776" s="11"/>
    </row>
    <row r="1777">
      <c r="A1777" s="34"/>
      <c r="B1777" s="11"/>
      <c r="C1777" s="32"/>
      <c r="E1777" s="11"/>
    </row>
    <row r="1778">
      <c r="A1778" s="34"/>
      <c r="B1778" s="11"/>
      <c r="C1778" s="32"/>
      <c r="E1778" s="11"/>
    </row>
    <row r="1779">
      <c r="A1779" s="34"/>
      <c r="B1779" s="11"/>
      <c r="C1779" s="32"/>
      <c r="E1779" s="11"/>
    </row>
    <row r="1780">
      <c r="A1780" s="34"/>
      <c r="B1780" s="11"/>
      <c r="C1780" s="32"/>
      <c r="E1780" s="11"/>
    </row>
    <row r="1781">
      <c r="A1781" s="34"/>
      <c r="B1781" s="11"/>
      <c r="C1781" s="32"/>
      <c r="E1781" s="11"/>
    </row>
    <row r="1782">
      <c r="A1782" s="34"/>
      <c r="B1782" s="11"/>
      <c r="C1782" s="32"/>
      <c r="E1782" s="11"/>
    </row>
    <row r="1783">
      <c r="A1783" s="34"/>
      <c r="B1783" s="11"/>
      <c r="C1783" s="32"/>
      <c r="E1783" s="11"/>
    </row>
    <row r="1784">
      <c r="A1784" s="34"/>
      <c r="B1784" s="11"/>
      <c r="C1784" s="32"/>
      <c r="E1784" s="11"/>
    </row>
    <row r="1785">
      <c r="A1785" s="34"/>
      <c r="B1785" s="11"/>
      <c r="C1785" s="32"/>
      <c r="E1785" s="11"/>
    </row>
    <row r="1786">
      <c r="A1786" s="34"/>
      <c r="B1786" s="11"/>
      <c r="C1786" s="32"/>
      <c r="E1786" s="11"/>
    </row>
    <row r="1787">
      <c r="A1787" s="34"/>
      <c r="B1787" s="11"/>
      <c r="C1787" s="32"/>
      <c r="E1787" s="11"/>
    </row>
    <row r="1788">
      <c r="A1788" s="34"/>
      <c r="B1788" s="11"/>
      <c r="C1788" s="32"/>
      <c r="E1788" s="11"/>
    </row>
    <row r="1789">
      <c r="A1789" s="34"/>
      <c r="B1789" s="11"/>
      <c r="C1789" s="32"/>
      <c r="E1789" s="11"/>
    </row>
    <row r="1790">
      <c r="A1790" s="34"/>
      <c r="B1790" s="11"/>
      <c r="C1790" s="32"/>
      <c r="E1790" s="11"/>
    </row>
    <row r="1791">
      <c r="A1791" s="34"/>
      <c r="B1791" s="11"/>
      <c r="C1791" s="32"/>
      <c r="E1791" s="11"/>
    </row>
    <row r="1792">
      <c r="A1792" s="34"/>
      <c r="B1792" s="11"/>
      <c r="C1792" s="32"/>
      <c r="E1792" s="11"/>
    </row>
    <row r="1793">
      <c r="A1793" s="34"/>
      <c r="B1793" s="11"/>
      <c r="C1793" s="32"/>
      <c r="E1793" s="11"/>
    </row>
    <row r="1794">
      <c r="A1794" s="34"/>
      <c r="B1794" s="11"/>
      <c r="C1794" s="32"/>
      <c r="E1794" s="11"/>
    </row>
    <row r="1795">
      <c r="A1795" s="34"/>
      <c r="B1795" s="11"/>
      <c r="C1795" s="32"/>
      <c r="E1795" s="11"/>
    </row>
    <row r="1796">
      <c r="A1796" s="34"/>
      <c r="B1796" s="11"/>
      <c r="C1796" s="32"/>
      <c r="E1796" s="11"/>
    </row>
    <row r="1797">
      <c r="A1797" s="34"/>
      <c r="B1797" s="11"/>
      <c r="C1797" s="32"/>
      <c r="E1797" s="11"/>
    </row>
    <row r="1798">
      <c r="A1798" s="34"/>
      <c r="B1798" s="11"/>
      <c r="C1798" s="32"/>
      <c r="E1798" s="11"/>
    </row>
    <row r="1799">
      <c r="A1799" s="34"/>
      <c r="B1799" s="11"/>
      <c r="C1799" s="32"/>
      <c r="E1799" s="11"/>
    </row>
    <row r="1800">
      <c r="A1800" s="34"/>
      <c r="B1800" s="11"/>
      <c r="C1800" s="32"/>
      <c r="E1800" s="11"/>
    </row>
    <row r="1801">
      <c r="A1801" s="34"/>
      <c r="B1801" s="11"/>
      <c r="C1801" s="32"/>
      <c r="E1801" s="11"/>
    </row>
    <row r="1802">
      <c r="A1802" s="34"/>
      <c r="B1802" s="11"/>
      <c r="C1802" s="32"/>
      <c r="E1802" s="11"/>
    </row>
    <row r="1803">
      <c r="A1803" s="34"/>
      <c r="B1803" s="11"/>
      <c r="C1803" s="32"/>
      <c r="E1803" s="11"/>
    </row>
    <row r="1804">
      <c r="A1804" s="34"/>
      <c r="B1804" s="11"/>
      <c r="C1804" s="32"/>
      <c r="E1804" s="11"/>
    </row>
    <row r="1805">
      <c r="A1805" s="34"/>
      <c r="B1805" s="11"/>
      <c r="C1805" s="32"/>
      <c r="E1805" s="11"/>
    </row>
    <row r="1806">
      <c r="A1806" s="34"/>
      <c r="B1806" s="11"/>
      <c r="C1806" s="32"/>
      <c r="E1806" s="11"/>
    </row>
    <row r="1807">
      <c r="A1807" s="34"/>
      <c r="B1807" s="11"/>
      <c r="C1807" s="32"/>
      <c r="E1807" s="11"/>
    </row>
    <row r="1808">
      <c r="A1808" s="34"/>
      <c r="B1808" s="11"/>
      <c r="C1808" s="32"/>
      <c r="E1808" s="11"/>
    </row>
    <row r="1809">
      <c r="A1809" s="34"/>
      <c r="B1809" s="11"/>
      <c r="C1809" s="32"/>
      <c r="E1809" s="11"/>
    </row>
    <row r="1810">
      <c r="A1810" s="34"/>
      <c r="B1810" s="11"/>
      <c r="C1810" s="32"/>
      <c r="E1810" s="11"/>
    </row>
    <row r="1811">
      <c r="A1811" s="34"/>
      <c r="B1811" s="11"/>
      <c r="C1811" s="32"/>
      <c r="E1811" s="11"/>
    </row>
    <row r="1812">
      <c r="A1812" s="34"/>
      <c r="B1812" s="11"/>
      <c r="C1812" s="32"/>
      <c r="E1812" s="11"/>
    </row>
    <row r="1813">
      <c r="A1813" s="34"/>
      <c r="B1813" s="11"/>
      <c r="C1813" s="32"/>
      <c r="E1813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6" t="s">
        <v>69</v>
      </c>
      <c r="B1" s="11"/>
      <c r="C1" s="32"/>
      <c r="E1" s="11"/>
    </row>
    <row r="2">
      <c r="A2" s="6" t="s">
        <v>66</v>
      </c>
      <c r="B2" s="11"/>
      <c r="C2" s="32"/>
      <c r="E2" s="11"/>
    </row>
    <row r="3">
      <c r="A3" s="10"/>
      <c r="B3" s="11" t="str">
        <f>IFERROR(__xludf.DUMMYFUNCTION("SORT(IMPORTDATA(""https://fred.stlouisfed.org/graph/fredgraph.csv?id=DGORDER""),1,FALSE)"),"observation_date")</f>
        <v>observation_date</v>
      </c>
      <c r="C3" s="32" t="str">
        <f>IFERROR(__xludf.DUMMYFUNCTION("""COMPUTED_VALUE"""),"DGORDER")</f>
        <v>DGORDER</v>
      </c>
      <c r="E3" s="35" t="s">
        <v>67</v>
      </c>
      <c r="F3" s="6" t="s">
        <v>70</v>
      </c>
    </row>
    <row r="4">
      <c r="B4" s="11">
        <f>IFERROR(__xludf.DUMMYFUNCTION("""COMPUTED_VALUE"""),45931.0)</f>
        <v>45931</v>
      </c>
      <c r="C4" s="32">
        <f>IFERROR(__xludf.DUMMYFUNCTION("""COMPUTED_VALUE"""),307380.0)</f>
        <v>307380</v>
      </c>
      <c r="E4" s="28">
        <f>IFERROR(__xludf.DUMMYFUNCTION("QUERY(B:C, ""SELECT B, C WHERE B &gt;= DATE '"" &amp; TEXT(TODAY()-365*5, ""yyyy-MM-dd"") &amp; ""' ORDER BY B DESC"", 1)"),45931.0)</f>
        <v>45931</v>
      </c>
      <c r="F4" s="32">
        <f>IFERROR(__xludf.DUMMYFUNCTION("""COMPUTED_VALUE"""),307380.0)</f>
        <v>307380</v>
      </c>
    </row>
    <row r="5">
      <c r="B5" s="11">
        <f>IFERROR(__xludf.DUMMYFUNCTION("""COMPUTED_VALUE"""),45901.0)</f>
        <v>45901</v>
      </c>
      <c r="C5" s="32">
        <f>IFERROR(__xludf.DUMMYFUNCTION("""COMPUTED_VALUE"""),314183.0)</f>
        <v>314183</v>
      </c>
      <c r="E5" s="11">
        <f>IFERROR(__xludf.DUMMYFUNCTION("""COMPUTED_VALUE"""),45901.0)</f>
        <v>45901</v>
      </c>
      <c r="F5" s="32">
        <f>IFERROR(__xludf.DUMMYFUNCTION("""COMPUTED_VALUE"""),314183.0)</f>
        <v>314183</v>
      </c>
    </row>
    <row r="6">
      <c r="B6" s="11">
        <f>IFERROR(__xludf.DUMMYFUNCTION("""COMPUTED_VALUE"""),45870.0)</f>
        <v>45870</v>
      </c>
      <c r="C6" s="32">
        <f>IFERROR(__xludf.DUMMYFUNCTION("""COMPUTED_VALUE"""),312138.0)</f>
        <v>312138</v>
      </c>
      <c r="E6" s="11">
        <f>IFERROR(__xludf.DUMMYFUNCTION("""COMPUTED_VALUE"""),45870.0)</f>
        <v>45870</v>
      </c>
      <c r="F6" s="32">
        <f>IFERROR(__xludf.DUMMYFUNCTION("""COMPUTED_VALUE"""),312138.0)</f>
        <v>312138</v>
      </c>
    </row>
    <row r="7">
      <c r="B7" s="11">
        <f>IFERROR(__xludf.DUMMYFUNCTION("""COMPUTED_VALUE"""),45839.0)</f>
        <v>45839</v>
      </c>
      <c r="C7" s="32">
        <f>IFERROR(__xludf.DUMMYFUNCTION("""COMPUTED_VALUE"""),303032.0)</f>
        <v>303032</v>
      </c>
      <c r="E7" s="11">
        <f>IFERROR(__xludf.DUMMYFUNCTION("""COMPUTED_VALUE"""),45839.0)</f>
        <v>45839</v>
      </c>
      <c r="F7" s="32">
        <f>IFERROR(__xludf.DUMMYFUNCTION("""COMPUTED_VALUE"""),303032.0)</f>
        <v>303032</v>
      </c>
    </row>
    <row r="8">
      <c r="B8" s="11">
        <f>IFERROR(__xludf.DUMMYFUNCTION("""COMPUTED_VALUE"""),45809.0)</f>
        <v>45809</v>
      </c>
      <c r="C8" s="32">
        <f>IFERROR(__xludf.DUMMYFUNCTION("""COMPUTED_VALUE"""),311761.0)</f>
        <v>311761</v>
      </c>
      <c r="E8" s="11">
        <f>IFERROR(__xludf.DUMMYFUNCTION("""COMPUTED_VALUE"""),45809.0)</f>
        <v>45809</v>
      </c>
      <c r="F8" s="32">
        <f>IFERROR(__xludf.DUMMYFUNCTION("""COMPUTED_VALUE"""),311761.0)</f>
        <v>311761</v>
      </c>
    </row>
    <row r="9">
      <c r="B9" s="11">
        <f>IFERROR(__xludf.DUMMYFUNCTION("""COMPUTED_VALUE"""),45778.0)</f>
        <v>45778</v>
      </c>
      <c r="C9" s="32">
        <f>IFERROR(__xludf.DUMMYFUNCTION("""COMPUTED_VALUE"""),344069.0)</f>
        <v>344069</v>
      </c>
      <c r="E9" s="11">
        <f>IFERROR(__xludf.DUMMYFUNCTION("""COMPUTED_VALUE"""),45778.0)</f>
        <v>45778</v>
      </c>
      <c r="F9" s="32">
        <f>IFERROR(__xludf.DUMMYFUNCTION("""COMPUTED_VALUE"""),344069.0)</f>
        <v>344069</v>
      </c>
    </row>
    <row r="10">
      <c r="B10" s="11">
        <f>IFERROR(__xludf.DUMMYFUNCTION("""COMPUTED_VALUE"""),45748.0)</f>
        <v>45748</v>
      </c>
      <c r="C10" s="32">
        <f>IFERROR(__xludf.DUMMYFUNCTION("""COMPUTED_VALUE"""),295229.0)</f>
        <v>295229</v>
      </c>
      <c r="E10" s="11">
        <f>IFERROR(__xludf.DUMMYFUNCTION("""COMPUTED_VALUE"""),45748.0)</f>
        <v>45748</v>
      </c>
      <c r="F10" s="32">
        <f>IFERROR(__xludf.DUMMYFUNCTION("""COMPUTED_VALUE"""),295229.0)</f>
        <v>295229</v>
      </c>
    </row>
    <row r="11">
      <c r="B11" s="11">
        <f>IFERROR(__xludf.DUMMYFUNCTION("""COMPUTED_VALUE"""),45717.0)</f>
        <v>45717</v>
      </c>
      <c r="C11" s="32">
        <f>IFERROR(__xludf.DUMMYFUNCTION("""COMPUTED_VALUE"""),316215.0)</f>
        <v>316215</v>
      </c>
      <c r="E11" s="11">
        <f>IFERROR(__xludf.DUMMYFUNCTION("""COMPUTED_VALUE"""),45717.0)</f>
        <v>45717</v>
      </c>
      <c r="F11" s="32">
        <f>IFERROR(__xludf.DUMMYFUNCTION("""COMPUTED_VALUE"""),316215.0)</f>
        <v>316215</v>
      </c>
    </row>
    <row r="12">
      <c r="B12" s="11">
        <f>IFERROR(__xludf.DUMMYFUNCTION("""COMPUTED_VALUE"""),45689.0)</f>
        <v>45689</v>
      </c>
      <c r="C12" s="32">
        <f>IFERROR(__xludf.DUMMYFUNCTION("""COMPUTED_VALUE"""),293985.0)</f>
        <v>293985</v>
      </c>
      <c r="E12" s="11">
        <f>IFERROR(__xludf.DUMMYFUNCTION("""COMPUTED_VALUE"""),45689.0)</f>
        <v>45689</v>
      </c>
      <c r="F12" s="32">
        <f>IFERROR(__xludf.DUMMYFUNCTION("""COMPUTED_VALUE"""),293985.0)</f>
        <v>293985</v>
      </c>
    </row>
    <row r="13">
      <c r="B13" s="11">
        <f>IFERROR(__xludf.DUMMYFUNCTION("""COMPUTED_VALUE"""),45658.0)</f>
        <v>45658</v>
      </c>
      <c r="C13" s="32">
        <f>IFERROR(__xludf.DUMMYFUNCTION("""COMPUTED_VALUE"""),291195.0)</f>
        <v>291195</v>
      </c>
      <c r="E13" s="11">
        <f>IFERROR(__xludf.DUMMYFUNCTION("""COMPUTED_VALUE"""),45658.0)</f>
        <v>45658</v>
      </c>
      <c r="F13" s="32">
        <f>IFERROR(__xludf.DUMMYFUNCTION("""COMPUTED_VALUE"""),291195.0)</f>
        <v>291195</v>
      </c>
    </row>
    <row r="14">
      <c r="B14" s="11">
        <f>IFERROR(__xludf.DUMMYFUNCTION("""COMPUTED_VALUE"""),45627.0)</f>
        <v>45627</v>
      </c>
      <c r="C14" s="32">
        <f>IFERROR(__xludf.DUMMYFUNCTION("""COMPUTED_VALUE"""),290559.0)</f>
        <v>290559</v>
      </c>
      <c r="E14" s="11">
        <f>IFERROR(__xludf.DUMMYFUNCTION("""COMPUTED_VALUE"""),45627.0)</f>
        <v>45627</v>
      </c>
      <c r="F14" s="32">
        <f>IFERROR(__xludf.DUMMYFUNCTION("""COMPUTED_VALUE"""),290559.0)</f>
        <v>290559</v>
      </c>
    </row>
    <row r="15">
      <c r="B15" s="11">
        <f>IFERROR(__xludf.DUMMYFUNCTION("""COMPUTED_VALUE"""),45597.0)</f>
        <v>45597</v>
      </c>
      <c r="C15" s="32">
        <f>IFERROR(__xludf.DUMMYFUNCTION("""COMPUTED_VALUE"""),288340.0)</f>
        <v>288340</v>
      </c>
      <c r="E15" s="11">
        <f>IFERROR(__xludf.DUMMYFUNCTION("""COMPUTED_VALUE"""),45597.0)</f>
        <v>45597</v>
      </c>
      <c r="F15" s="32">
        <f>IFERROR(__xludf.DUMMYFUNCTION("""COMPUTED_VALUE"""),288340.0)</f>
        <v>288340</v>
      </c>
    </row>
    <row r="16">
      <c r="B16" s="11">
        <f>IFERROR(__xludf.DUMMYFUNCTION("""COMPUTED_VALUE"""),45566.0)</f>
        <v>45566</v>
      </c>
      <c r="C16" s="32">
        <f>IFERROR(__xludf.DUMMYFUNCTION("""COMPUTED_VALUE"""),293266.0)</f>
        <v>293266</v>
      </c>
      <c r="E16" s="11">
        <f>IFERROR(__xludf.DUMMYFUNCTION("""COMPUTED_VALUE"""),45566.0)</f>
        <v>45566</v>
      </c>
      <c r="F16" s="32">
        <f>IFERROR(__xludf.DUMMYFUNCTION("""COMPUTED_VALUE"""),293266.0)</f>
        <v>293266</v>
      </c>
    </row>
    <row r="17">
      <c r="B17" s="11">
        <f>IFERROR(__xludf.DUMMYFUNCTION("""COMPUTED_VALUE"""),45536.0)</f>
        <v>45536</v>
      </c>
      <c r="C17" s="32">
        <f>IFERROR(__xludf.DUMMYFUNCTION("""COMPUTED_VALUE"""),292469.0)</f>
        <v>292469</v>
      </c>
      <c r="E17" s="11">
        <f>IFERROR(__xludf.DUMMYFUNCTION("""COMPUTED_VALUE"""),45536.0)</f>
        <v>45536</v>
      </c>
      <c r="F17" s="32">
        <f>IFERROR(__xludf.DUMMYFUNCTION("""COMPUTED_VALUE"""),292469.0)</f>
        <v>292469</v>
      </c>
    </row>
    <row r="18">
      <c r="B18" s="11">
        <f>IFERROR(__xludf.DUMMYFUNCTION("""COMPUTED_VALUE"""),45505.0)</f>
        <v>45505</v>
      </c>
      <c r="C18" s="32">
        <f>IFERROR(__xludf.DUMMYFUNCTION("""COMPUTED_VALUE"""),289926.0)</f>
        <v>289926</v>
      </c>
      <c r="E18" s="11">
        <f>IFERROR(__xludf.DUMMYFUNCTION("""COMPUTED_VALUE"""),45505.0)</f>
        <v>45505</v>
      </c>
      <c r="F18" s="32">
        <f>IFERROR(__xludf.DUMMYFUNCTION("""COMPUTED_VALUE"""),289926.0)</f>
        <v>289926</v>
      </c>
    </row>
    <row r="19">
      <c r="B19" s="11">
        <f>IFERROR(__xludf.DUMMYFUNCTION("""COMPUTED_VALUE"""),45474.0)</f>
        <v>45474</v>
      </c>
      <c r="C19" s="32">
        <f>IFERROR(__xludf.DUMMYFUNCTION("""COMPUTED_VALUE"""),293234.0)</f>
        <v>293234</v>
      </c>
      <c r="E19" s="11">
        <f>IFERROR(__xludf.DUMMYFUNCTION("""COMPUTED_VALUE"""),45474.0)</f>
        <v>45474</v>
      </c>
      <c r="F19" s="32">
        <f>IFERROR(__xludf.DUMMYFUNCTION("""COMPUTED_VALUE"""),293234.0)</f>
        <v>293234</v>
      </c>
    </row>
    <row r="20">
      <c r="B20" s="11">
        <f>IFERROR(__xludf.DUMMYFUNCTION("""COMPUTED_VALUE"""),45444.0)</f>
        <v>45444</v>
      </c>
      <c r="C20" s="32">
        <f>IFERROR(__xludf.DUMMYFUNCTION("""COMPUTED_VALUE"""),281128.0)</f>
        <v>281128</v>
      </c>
      <c r="E20" s="11">
        <f>IFERROR(__xludf.DUMMYFUNCTION("""COMPUTED_VALUE"""),45444.0)</f>
        <v>45444</v>
      </c>
      <c r="F20" s="32">
        <f>IFERROR(__xludf.DUMMYFUNCTION("""COMPUTED_VALUE"""),281128.0)</f>
        <v>281128</v>
      </c>
    </row>
    <row r="21">
      <c r="B21" s="11">
        <f>IFERROR(__xludf.DUMMYFUNCTION("""COMPUTED_VALUE"""),45413.0)</f>
        <v>45413</v>
      </c>
      <c r="C21" s="32">
        <f>IFERROR(__xludf.DUMMYFUNCTION("""COMPUTED_VALUE"""),286829.0)</f>
        <v>286829</v>
      </c>
      <c r="E21" s="11">
        <f>IFERROR(__xludf.DUMMYFUNCTION("""COMPUTED_VALUE"""),45413.0)</f>
        <v>45413</v>
      </c>
      <c r="F21" s="32">
        <f>IFERROR(__xludf.DUMMYFUNCTION("""COMPUTED_VALUE"""),286829.0)</f>
        <v>286829</v>
      </c>
    </row>
    <row r="22">
      <c r="B22" s="11">
        <f>IFERROR(__xludf.DUMMYFUNCTION("""COMPUTED_VALUE"""),45383.0)</f>
        <v>45383</v>
      </c>
      <c r="C22" s="32">
        <f>IFERROR(__xludf.DUMMYFUNCTION("""COMPUTED_VALUE"""),286972.0)</f>
        <v>286972</v>
      </c>
      <c r="E22" s="11">
        <f>IFERROR(__xludf.DUMMYFUNCTION("""COMPUTED_VALUE"""),45383.0)</f>
        <v>45383</v>
      </c>
      <c r="F22" s="32">
        <f>IFERROR(__xludf.DUMMYFUNCTION("""COMPUTED_VALUE"""),286972.0)</f>
        <v>286972</v>
      </c>
    </row>
    <row r="23">
      <c r="B23" s="11">
        <f>IFERROR(__xludf.DUMMYFUNCTION("""COMPUTED_VALUE"""),45352.0)</f>
        <v>45352</v>
      </c>
      <c r="C23" s="32">
        <f>IFERROR(__xludf.DUMMYFUNCTION("""COMPUTED_VALUE"""),287423.0)</f>
        <v>287423</v>
      </c>
      <c r="E23" s="11">
        <f>IFERROR(__xludf.DUMMYFUNCTION("""COMPUTED_VALUE"""),45352.0)</f>
        <v>45352</v>
      </c>
      <c r="F23" s="32">
        <f>IFERROR(__xludf.DUMMYFUNCTION("""COMPUTED_VALUE"""),287423.0)</f>
        <v>287423</v>
      </c>
    </row>
    <row r="24">
      <c r="B24" s="11">
        <f>IFERROR(__xludf.DUMMYFUNCTION("""COMPUTED_VALUE"""),45323.0)</f>
        <v>45323</v>
      </c>
      <c r="C24" s="32">
        <f>IFERROR(__xludf.DUMMYFUNCTION("""COMPUTED_VALUE"""),282623.0)</f>
        <v>282623</v>
      </c>
      <c r="E24" s="11">
        <f>IFERROR(__xludf.DUMMYFUNCTION("""COMPUTED_VALUE"""),45323.0)</f>
        <v>45323</v>
      </c>
      <c r="F24" s="32">
        <f>IFERROR(__xludf.DUMMYFUNCTION("""COMPUTED_VALUE"""),282623.0)</f>
        <v>282623</v>
      </c>
    </row>
    <row r="25">
      <c r="B25" s="11">
        <f>IFERROR(__xludf.DUMMYFUNCTION("""COMPUTED_VALUE"""),45292.0)</f>
        <v>45292</v>
      </c>
      <c r="C25" s="32">
        <f>IFERROR(__xludf.DUMMYFUNCTION("""COMPUTED_VALUE"""),280614.0)</f>
        <v>280614</v>
      </c>
      <c r="E25" s="11">
        <f>IFERROR(__xludf.DUMMYFUNCTION("""COMPUTED_VALUE"""),45292.0)</f>
        <v>45292</v>
      </c>
      <c r="F25" s="32">
        <f>IFERROR(__xludf.DUMMYFUNCTION("""COMPUTED_VALUE"""),280614.0)</f>
        <v>280614</v>
      </c>
    </row>
    <row r="26">
      <c r="B26" s="11">
        <f>IFERROR(__xludf.DUMMYFUNCTION("""COMPUTED_VALUE"""),45261.0)</f>
        <v>45261</v>
      </c>
      <c r="C26" s="32">
        <f>IFERROR(__xludf.DUMMYFUNCTION("""COMPUTED_VALUE"""),304324.0)</f>
        <v>304324</v>
      </c>
      <c r="E26" s="11">
        <f>IFERROR(__xludf.DUMMYFUNCTION("""COMPUTED_VALUE"""),45261.0)</f>
        <v>45261</v>
      </c>
      <c r="F26" s="32">
        <f>IFERROR(__xludf.DUMMYFUNCTION("""COMPUTED_VALUE"""),304324.0)</f>
        <v>304324</v>
      </c>
    </row>
    <row r="27">
      <c r="B27" s="11">
        <f>IFERROR(__xludf.DUMMYFUNCTION("""COMPUTED_VALUE"""),45231.0)</f>
        <v>45231</v>
      </c>
      <c r="C27" s="32">
        <f>IFERROR(__xludf.DUMMYFUNCTION("""COMPUTED_VALUE"""),298570.0)</f>
        <v>298570</v>
      </c>
      <c r="E27" s="11">
        <f>IFERROR(__xludf.DUMMYFUNCTION("""COMPUTED_VALUE"""),45231.0)</f>
        <v>45231</v>
      </c>
      <c r="F27" s="32">
        <f>IFERROR(__xludf.DUMMYFUNCTION("""COMPUTED_VALUE"""),298570.0)</f>
        <v>298570</v>
      </c>
    </row>
    <row r="28">
      <c r="B28" s="11">
        <f>IFERROR(__xludf.DUMMYFUNCTION("""COMPUTED_VALUE"""),45200.0)</f>
        <v>45200</v>
      </c>
      <c r="C28" s="32">
        <f>IFERROR(__xludf.DUMMYFUNCTION("""COMPUTED_VALUE"""),285976.0)</f>
        <v>285976</v>
      </c>
      <c r="E28" s="11">
        <f>IFERROR(__xludf.DUMMYFUNCTION("""COMPUTED_VALUE"""),45200.0)</f>
        <v>45200</v>
      </c>
      <c r="F28" s="32">
        <f>IFERROR(__xludf.DUMMYFUNCTION("""COMPUTED_VALUE"""),285976.0)</f>
        <v>285976</v>
      </c>
    </row>
    <row r="29">
      <c r="B29" s="11">
        <f>IFERROR(__xludf.DUMMYFUNCTION("""COMPUTED_VALUE"""),45170.0)</f>
        <v>45170</v>
      </c>
      <c r="C29" s="32">
        <f>IFERROR(__xludf.DUMMYFUNCTION("""COMPUTED_VALUE"""),298229.0)</f>
        <v>298229</v>
      </c>
      <c r="E29" s="11">
        <f>IFERROR(__xludf.DUMMYFUNCTION("""COMPUTED_VALUE"""),45170.0)</f>
        <v>45170</v>
      </c>
      <c r="F29" s="32">
        <f>IFERROR(__xludf.DUMMYFUNCTION("""COMPUTED_VALUE"""),298229.0)</f>
        <v>298229</v>
      </c>
    </row>
    <row r="30">
      <c r="B30" s="11">
        <f>IFERROR(__xludf.DUMMYFUNCTION("""COMPUTED_VALUE"""),45139.0)</f>
        <v>45139</v>
      </c>
      <c r="C30" s="32">
        <f>IFERROR(__xludf.DUMMYFUNCTION("""COMPUTED_VALUE"""),289128.0)</f>
        <v>289128</v>
      </c>
      <c r="E30" s="11">
        <f>IFERROR(__xludf.DUMMYFUNCTION("""COMPUTED_VALUE"""),45139.0)</f>
        <v>45139</v>
      </c>
      <c r="F30" s="32">
        <f>IFERROR(__xludf.DUMMYFUNCTION("""COMPUTED_VALUE"""),289128.0)</f>
        <v>289128</v>
      </c>
    </row>
    <row r="31">
      <c r="B31" s="11">
        <f>IFERROR(__xludf.DUMMYFUNCTION("""COMPUTED_VALUE"""),45108.0)</f>
        <v>45108</v>
      </c>
      <c r="C31" s="32">
        <f>IFERROR(__xludf.DUMMYFUNCTION("""COMPUTED_VALUE"""),293278.0)</f>
        <v>293278</v>
      </c>
      <c r="E31" s="11">
        <f>IFERROR(__xludf.DUMMYFUNCTION("""COMPUTED_VALUE"""),45108.0)</f>
        <v>45108</v>
      </c>
      <c r="F31" s="32">
        <f>IFERROR(__xludf.DUMMYFUNCTION("""COMPUTED_VALUE"""),293278.0)</f>
        <v>293278</v>
      </c>
    </row>
    <row r="32">
      <c r="B32" s="11">
        <f>IFERROR(__xludf.DUMMYFUNCTION("""COMPUTED_VALUE"""),45078.0)</f>
        <v>45078</v>
      </c>
      <c r="C32" s="32">
        <f>IFERROR(__xludf.DUMMYFUNCTION("""COMPUTED_VALUE"""),303971.0)</f>
        <v>303971</v>
      </c>
      <c r="E32" s="11">
        <f>IFERROR(__xludf.DUMMYFUNCTION("""COMPUTED_VALUE"""),45078.0)</f>
        <v>45078</v>
      </c>
      <c r="F32" s="32">
        <f>IFERROR(__xludf.DUMMYFUNCTION("""COMPUTED_VALUE"""),303971.0)</f>
        <v>303971</v>
      </c>
    </row>
    <row r="33">
      <c r="B33" s="11">
        <f>IFERROR(__xludf.DUMMYFUNCTION("""COMPUTED_VALUE"""),45047.0)</f>
        <v>45047</v>
      </c>
      <c r="C33" s="32">
        <f>IFERROR(__xludf.DUMMYFUNCTION("""COMPUTED_VALUE"""),289707.0)</f>
        <v>289707</v>
      </c>
      <c r="E33" s="11">
        <f>IFERROR(__xludf.DUMMYFUNCTION("""COMPUTED_VALUE"""),45047.0)</f>
        <v>45047</v>
      </c>
      <c r="F33" s="32">
        <f>IFERROR(__xludf.DUMMYFUNCTION("""COMPUTED_VALUE"""),289707.0)</f>
        <v>289707</v>
      </c>
    </row>
    <row r="34">
      <c r="B34" s="11">
        <f>IFERROR(__xludf.DUMMYFUNCTION("""COMPUTED_VALUE"""),45017.0)</f>
        <v>45017</v>
      </c>
      <c r="C34" s="32">
        <f>IFERROR(__xludf.DUMMYFUNCTION("""COMPUTED_VALUE"""),290168.0)</f>
        <v>290168</v>
      </c>
      <c r="E34" s="11">
        <f>IFERROR(__xludf.DUMMYFUNCTION("""COMPUTED_VALUE"""),45017.0)</f>
        <v>45017</v>
      </c>
      <c r="F34" s="32">
        <f>IFERROR(__xludf.DUMMYFUNCTION("""COMPUTED_VALUE"""),290168.0)</f>
        <v>290168</v>
      </c>
    </row>
    <row r="35">
      <c r="B35" s="11">
        <f>IFERROR(__xludf.DUMMYFUNCTION("""COMPUTED_VALUE"""),44986.0)</f>
        <v>44986</v>
      </c>
      <c r="C35" s="32">
        <f>IFERROR(__xludf.DUMMYFUNCTION("""COMPUTED_VALUE"""),289270.0)</f>
        <v>289270</v>
      </c>
      <c r="E35" s="11">
        <f>IFERROR(__xludf.DUMMYFUNCTION("""COMPUTED_VALUE"""),44986.0)</f>
        <v>44986</v>
      </c>
      <c r="F35" s="32">
        <f>IFERROR(__xludf.DUMMYFUNCTION("""COMPUTED_VALUE"""),289270.0)</f>
        <v>289270</v>
      </c>
    </row>
    <row r="36">
      <c r="B36" s="11">
        <f>IFERROR(__xludf.DUMMYFUNCTION("""COMPUTED_VALUE"""),44958.0)</f>
        <v>44958</v>
      </c>
      <c r="C36" s="32">
        <f>IFERROR(__xludf.DUMMYFUNCTION("""COMPUTED_VALUE"""),280693.0)</f>
        <v>280693</v>
      </c>
      <c r="E36" s="11">
        <f>IFERROR(__xludf.DUMMYFUNCTION("""COMPUTED_VALUE"""),44958.0)</f>
        <v>44958</v>
      </c>
      <c r="F36" s="32">
        <f>IFERROR(__xludf.DUMMYFUNCTION("""COMPUTED_VALUE"""),280693.0)</f>
        <v>280693</v>
      </c>
    </row>
    <row r="37">
      <c r="B37" s="11">
        <f>IFERROR(__xludf.DUMMYFUNCTION("""COMPUTED_VALUE"""),44927.0)</f>
        <v>44927</v>
      </c>
      <c r="C37" s="32">
        <f>IFERROR(__xludf.DUMMYFUNCTION("""COMPUTED_VALUE"""),288874.0)</f>
        <v>288874</v>
      </c>
      <c r="E37" s="11">
        <f>IFERROR(__xludf.DUMMYFUNCTION("""COMPUTED_VALUE"""),44927.0)</f>
        <v>44927</v>
      </c>
      <c r="F37" s="32">
        <f>IFERROR(__xludf.DUMMYFUNCTION("""COMPUTED_VALUE"""),288874.0)</f>
        <v>288874</v>
      </c>
    </row>
    <row r="38">
      <c r="B38" s="11">
        <f>IFERROR(__xludf.DUMMYFUNCTION("""COMPUTED_VALUE"""),44896.0)</f>
        <v>44896</v>
      </c>
      <c r="C38" s="32">
        <f>IFERROR(__xludf.DUMMYFUNCTION("""COMPUTED_VALUE"""),293358.0)</f>
        <v>293358</v>
      </c>
      <c r="E38" s="11">
        <f>IFERROR(__xludf.DUMMYFUNCTION("""COMPUTED_VALUE"""),44896.0)</f>
        <v>44896</v>
      </c>
      <c r="F38" s="32">
        <f>IFERROR(__xludf.DUMMYFUNCTION("""COMPUTED_VALUE"""),293358.0)</f>
        <v>293358</v>
      </c>
    </row>
    <row r="39">
      <c r="B39" s="11">
        <f>IFERROR(__xludf.DUMMYFUNCTION("""COMPUTED_VALUE"""),44866.0)</f>
        <v>44866</v>
      </c>
      <c r="C39" s="32">
        <f>IFERROR(__xludf.DUMMYFUNCTION("""COMPUTED_VALUE"""),279095.0)</f>
        <v>279095</v>
      </c>
      <c r="E39" s="11">
        <f>IFERROR(__xludf.DUMMYFUNCTION("""COMPUTED_VALUE"""),44866.0)</f>
        <v>44866</v>
      </c>
      <c r="F39" s="32">
        <f>IFERROR(__xludf.DUMMYFUNCTION("""COMPUTED_VALUE"""),279095.0)</f>
        <v>279095</v>
      </c>
    </row>
    <row r="40">
      <c r="B40" s="11">
        <f>IFERROR(__xludf.DUMMYFUNCTION("""COMPUTED_VALUE"""),44835.0)</f>
        <v>44835</v>
      </c>
      <c r="C40" s="32">
        <f>IFERROR(__xludf.DUMMYFUNCTION("""COMPUTED_VALUE"""),287071.0)</f>
        <v>287071</v>
      </c>
      <c r="E40" s="11">
        <f>IFERROR(__xludf.DUMMYFUNCTION("""COMPUTED_VALUE"""),44835.0)</f>
        <v>44835</v>
      </c>
      <c r="F40" s="32">
        <f>IFERROR(__xludf.DUMMYFUNCTION("""COMPUTED_VALUE"""),287071.0)</f>
        <v>287071</v>
      </c>
    </row>
    <row r="41">
      <c r="B41" s="11">
        <f>IFERROR(__xludf.DUMMYFUNCTION("""COMPUTED_VALUE"""),44805.0)</f>
        <v>44805</v>
      </c>
      <c r="C41" s="32">
        <f>IFERROR(__xludf.DUMMYFUNCTION("""COMPUTED_VALUE"""),282430.0)</f>
        <v>282430</v>
      </c>
      <c r="E41" s="11">
        <f>IFERROR(__xludf.DUMMYFUNCTION("""COMPUTED_VALUE"""),44805.0)</f>
        <v>44805</v>
      </c>
      <c r="F41" s="32">
        <f>IFERROR(__xludf.DUMMYFUNCTION("""COMPUTED_VALUE"""),282430.0)</f>
        <v>282430</v>
      </c>
    </row>
    <row r="42">
      <c r="B42" s="11">
        <f>IFERROR(__xludf.DUMMYFUNCTION("""COMPUTED_VALUE"""),44774.0)</f>
        <v>44774</v>
      </c>
      <c r="C42" s="32">
        <f>IFERROR(__xludf.DUMMYFUNCTION("""COMPUTED_VALUE"""),282368.0)</f>
        <v>282368</v>
      </c>
      <c r="E42" s="11">
        <f>IFERROR(__xludf.DUMMYFUNCTION("""COMPUTED_VALUE"""),44774.0)</f>
        <v>44774</v>
      </c>
      <c r="F42" s="32">
        <f>IFERROR(__xludf.DUMMYFUNCTION("""COMPUTED_VALUE"""),282368.0)</f>
        <v>282368</v>
      </c>
    </row>
    <row r="43">
      <c r="B43" s="11">
        <f>IFERROR(__xludf.DUMMYFUNCTION("""COMPUTED_VALUE"""),44743.0)</f>
        <v>44743</v>
      </c>
      <c r="C43" s="32">
        <f>IFERROR(__xludf.DUMMYFUNCTION("""COMPUTED_VALUE"""),284460.0)</f>
        <v>284460</v>
      </c>
      <c r="E43" s="11">
        <f>IFERROR(__xludf.DUMMYFUNCTION("""COMPUTED_VALUE"""),44743.0)</f>
        <v>44743</v>
      </c>
      <c r="F43" s="32">
        <f>IFERROR(__xludf.DUMMYFUNCTION("""COMPUTED_VALUE"""),284460.0)</f>
        <v>284460</v>
      </c>
    </row>
    <row r="44">
      <c r="B44" s="11">
        <f>IFERROR(__xludf.DUMMYFUNCTION("""COMPUTED_VALUE"""),44713.0)</f>
        <v>44713</v>
      </c>
      <c r="C44" s="32">
        <f>IFERROR(__xludf.DUMMYFUNCTION("""COMPUTED_VALUE"""),284763.0)</f>
        <v>284763</v>
      </c>
      <c r="E44" s="11">
        <f>IFERROR(__xludf.DUMMYFUNCTION("""COMPUTED_VALUE"""),44713.0)</f>
        <v>44713</v>
      </c>
      <c r="F44" s="32">
        <f>IFERROR(__xludf.DUMMYFUNCTION("""COMPUTED_VALUE"""),284763.0)</f>
        <v>284763</v>
      </c>
    </row>
    <row r="45">
      <c r="B45" s="11">
        <f>IFERROR(__xludf.DUMMYFUNCTION("""COMPUTED_VALUE"""),44682.0)</f>
        <v>44682</v>
      </c>
      <c r="C45" s="32">
        <f>IFERROR(__xludf.DUMMYFUNCTION("""COMPUTED_VALUE"""),278740.0)</f>
        <v>278740</v>
      </c>
      <c r="E45" s="11">
        <f>IFERROR(__xludf.DUMMYFUNCTION("""COMPUTED_VALUE"""),44682.0)</f>
        <v>44682</v>
      </c>
      <c r="F45" s="32">
        <f>IFERROR(__xludf.DUMMYFUNCTION("""COMPUTED_VALUE"""),278740.0)</f>
        <v>278740</v>
      </c>
    </row>
    <row r="46">
      <c r="B46" s="11">
        <f>IFERROR(__xludf.DUMMYFUNCTION("""COMPUTED_VALUE"""),44652.0)</f>
        <v>44652</v>
      </c>
      <c r="C46" s="32">
        <f>IFERROR(__xludf.DUMMYFUNCTION("""COMPUTED_VALUE"""),279157.0)</f>
        <v>279157</v>
      </c>
      <c r="E46" s="11">
        <f>IFERROR(__xludf.DUMMYFUNCTION("""COMPUTED_VALUE"""),44652.0)</f>
        <v>44652</v>
      </c>
      <c r="F46" s="32">
        <f>IFERROR(__xludf.DUMMYFUNCTION("""COMPUTED_VALUE"""),279157.0)</f>
        <v>279157</v>
      </c>
    </row>
    <row r="47">
      <c r="B47" s="11">
        <f>IFERROR(__xludf.DUMMYFUNCTION("""COMPUTED_VALUE"""),44621.0)</f>
        <v>44621</v>
      </c>
      <c r="C47" s="32">
        <f>IFERROR(__xludf.DUMMYFUNCTION("""COMPUTED_VALUE"""),277554.0)</f>
        <v>277554</v>
      </c>
      <c r="E47" s="11">
        <f>IFERROR(__xludf.DUMMYFUNCTION("""COMPUTED_VALUE"""),44621.0)</f>
        <v>44621</v>
      </c>
      <c r="F47" s="32">
        <f>IFERROR(__xludf.DUMMYFUNCTION("""COMPUTED_VALUE"""),277554.0)</f>
        <v>277554</v>
      </c>
    </row>
    <row r="48">
      <c r="B48" s="11">
        <f>IFERROR(__xludf.DUMMYFUNCTION("""COMPUTED_VALUE"""),44593.0)</f>
        <v>44593</v>
      </c>
      <c r="C48" s="32">
        <f>IFERROR(__xludf.DUMMYFUNCTION("""COMPUTED_VALUE"""),277036.0)</f>
        <v>277036</v>
      </c>
      <c r="E48" s="11">
        <f>IFERROR(__xludf.DUMMYFUNCTION("""COMPUTED_VALUE"""),44593.0)</f>
        <v>44593</v>
      </c>
      <c r="F48" s="32">
        <f>IFERROR(__xludf.DUMMYFUNCTION("""COMPUTED_VALUE"""),277036.0)</f>
        <v>277036</v>
      </c>
    </row>
    <row r="49">
      <c r="B49" s="11">
        <f>IFERROR(__xludf.DUMMYFUNCTION("""COMPUTED_VALUE"""),44562.0)</f>
        <v>44562</v>
      </c>
      <c r="C49" s="32">
        <f>IFERROR(__xludf.DUMMYFUNCTION("""COMPUTED_VALUE"""),280925.0)</f>
        <v>280925</v>
      </c>
      <c r="E49" s="11">
        <f>IFERROR(__xludf.DUMMYFUNCTION("""COMPUTED_VALUE"""),44562.0)</f>
        <v>44562</v>
      </c>
      <c r="F49" s="32">
        <f>IFERROR(__xludf.DUMMYFUNCTION("""COMPUTED_VALUE"""),280925.0)</f>
        <v>280925</v>
      </c>
    </row>
    <row r="50">
      <c r="B50" s="11">
        <f>IFERROR(__xludf.DUMMYFUNCTION("""COMPUTED_VALUE"""),44531.0)</f>
        <v>44531</v>
      </c>
      <c r="C50" s="32">
        <f>IFERROR(__xludf.DUMMYFUNCTION("""COMPUTED_VALUE"""),277487.0)</f>
        <v>277487</v>
      </c>
      <c r="E50" s="11">
        <f>IFERROR(__xludf.DUMMYFUNCTION("""COMPUTED_VALUE"""),44531.0)</f>
        <v>44531</v>
      </c>
      <c r="F50" s="32">
        <f>IFERROR(__xludf.DUMMYFUNCTION("""COMPUTED_VALUE"""),277487.0)</f>
        <v>277487</v>
      </c>
    </row>
    <row r="51">
      <c r="B51" s="11">
        <f>IFERROR(__xludf.DUMMYFUNCTION("""COMPUTED_VALUE"""),44501.0)</f>
        <v>44501</v>
      </c>
      <c r="C51" s="32">
        <f>IFERROR(__xludf.DUMMYFUNCTION("""COMPUTED_VALUE"""),268650.0)</f>
        <v>268650</v>
      </c>
      <c r="E51" s="11">
        <f>IFERROR(__xludf.DUMMYFUNCTION("""COMPUTED_VALUE"""),44501.0)</f>
        <v>44501</v>
      </c>
      <c r="F51" s="32">
        <f>IFERROR(__xludf.DUMMYFUNCTION("""COMPUTED_VALUE"""),268650.0)</f>
        <v>268650</v>
      </c>
    </row>
    <row r="52">
      <c r="B52" s="11">
        <f>IFERROR(__xludf.DUMMYFUNCTION("""COMPUTED_VALUE"""),44470.0)</f>
        <v>44470</v>
      </c>
      <c r="C52" s="32">
        <f>IFERROR(__xludf.DUMMYFUNCTION("""COMPUTED_VALUE"""),263534.0)</f>
        <v>263534</v>
      </c>
      <c r="E52" s="11">
        <f>IFERROR(__xludf.DUMMYFUNCTION("""COMPUTED_VALUE"""),44470.0)</f>
        <v>44470</v>
      </c>
      <c r="F52" s="32">
        <f>IFERROR(__xludf.DUMMYFUNCTION("""COMPUTED_VALUE"""),263534.0)</f>
        <v>263534</v>
      </c>
    </row>
    <row r="53">
      <c r="B53" s="11">
        <f>IFERROR(__xludf.DUMMYFUNCTION("""COMPUTED_VALUE"""),44440.0)</f>
        <v>44440</v>
      </c>
      <c r="C53" s="32">
        <f>IFERROR(__xludf.DUMMYFUNCTION("""COMPUTED_VALUE"""),259192.0)</f>
        <v>259192</v>
      </c>
      <c r="E53" s="11">
        <f>IFERROR(__xludf.DUMMYFUNCTION("""COMPUTED_VALUE"""),44440.0)</f>
        <v>44440</v>
      </c>
      <c r="F53" s="32">
        <f>IFERROR(__xludf.DUMMYFUNCTION("""COMPUTED_VALUE"""),259192.0)</f>
        <v>259192</v>
      </c>
    </row>
    <row r="54">
      <c r="B54" s="11">
        <f>IFERROR(__xludf.DUMMYFUNCTION("""COMPUTED_VALUE"""),44409.0)</f>
        <v>44409</v>
      </c>
      <c r="C54" s="32">
        <f>IFERROR(__xludf.DUMMYFUNCTION("""COMPUTED_VALUE"""),264287.0)</f>
        <v>264287</v>
      </c>
      <c r="E54" s="11">
        <f>IFERROR(__xludf.DUMMYFUNCTION("""COMPUTED_VALUE"""),44409.0)</f>
        <v>44409</v>
      </c>
      <c r="F54" s="32">
        <f>IFERROR(__xludf.DUMMYFUNCTION("""COMPUTED_VALUE"""),264287.0)</f>
        <v>264287</v>
      </c>
    </row>
    <row r="55">
      <c r="B55" s="11">
        <f>IFERROR(__xludf.DUMMYFUNCTION("""COMPUTED_VALUE"""),44378.0)</f>
        <v>44378</v>
      </c>
      <c r="C55" s="32">
        <f>IFERROR(__xludf.DUMMYFUNCTION("""COMPUTED_VALUE"""),259416.0)</f>
        <v>259416</v>
      </c>
      <c r="E55" s="11">
        <f>IFERROR(__xludf.DUMMYFUNCTION("""COMPUTED_VALUE"""),44378.0)</f>
        <v>44378</v>
      </c>
      <c r="F55" s="32">
        <f>IFERROR(__xludf.DUMMYFUNCTION("""COMPUTED_VALUE"""),259416.0)</f>
        <v>259416</v>
      </c>
    </row>
    <row r="56">
      <c r="B56" s="11">
        <f>IFERROR(__xludf.DUMMYFUNCTION("""COMPUTED_VALUE"""),44348.0)</f>
        <v>44348</v>
      </c>
      <c r="C56" s="32">
        <f>IFERROR(__xludf.DUMMYFUNCTION("""COMPUTED_VALUE"""),258284.0)</f>
        <v>258284</v>
      </c>
      <c r="E56" s="11">
        <f>IFERROR(__xludf.DUMMYFUNCTION("""COMPUTED_VALUE"""),44348.0)</f>
        <v>44348</v>
      </c>
      <c r="F56" s="32">
        <f>IFERROR(__xludf.DUMMYFUNCTION("""COMPUTED_VALUE"""),258284.0)</f>
        <v>258284</v>
      </c>
    </row>
    <row r="57">
      <c r="B57" s="11">
        <f>IFERROR(__xludf.DUMMYFUNCTION("""COMPUTED_VALUE"""),44317.0)</f>
        <v>44317</v>
      </c>
      <c r="C57" s="32">
        <f>IFERROR(__xludf.DUMMYFUNCTION("""COMPUTED_VALUE"""),253009.0)</f>
        <v>253009</v>
      </c>
      <c r="E57" s="11">
        <f>IFERROR(__xludf.DUMMYFUNCTION("""COMPUTED_VALUE"""),44317.0)</f>
        <v>44317</v>
      </c>
      <c r="F57" s="32">
        <f>IFERROR(__xludf.DUMMYFUNCTION("""COMPUTED_VALUE"""),253009.0)</f>
        <v>253009</v>
      </c>
    </row>
    <row r="58">
      <c r="B58" s="11">
        <f>IFERROR(__xludf.DUMMYFUNCTION("""COMPUTED_VALUE"""),44287.0)</f>
        <v>44287</v>
      </c>
      <c r="C58" s="32">
        <f>IFERROR(__xludf.DUMMYFUNCTION("""COMPUTED_VALUE"""),252613.0)</f>
        <v>252613</v>
      </c>
      <c r="E58" s="11">
        <f>IFERROR(__xludf.DUMMYFUNCTION("""COMPUTED_VALUE"""),44287.0)</f>
        <v>44287</v>
      </c>
      <c r="F58" s="32">
        <f>IFERROR(__xludf.DUMMYFUNCTION("""COMPUTED_VALUE"""),252613.0)</f>
        <v>252613</v>
      </c>
    </row>
    <row r="59">
      <c r="B59" s="11">
        <f>IFERROR(__xludf.DUMMYFUNCTION("""COMPUTED_VALUE"""),44256.0)</f>
        <v>44256</v>
      </c>
      <c r="C59" s="32">
        <f>IFERROR(__xludf.DUMMYFUNCTION("""COMPUTED_VALUE"""),253805.0)</f>
        <v>253805</v>
      </c>
      <c r="E59" s="11">
        <f>IFERROR(__xludf.DUMMYFUNCTION("""COMPUTED_VALUE"""),44256.0)</f>
        <v>44256</v>
      </c>
      <c r="F59" s="32">
        <f>IFERROR(__xludf.DUMMYFUNCTION("""COMPUTED_VALUE"""),253805.0)</f>
        <v>253805</v>
      </c>
    </row>
    <row r="60">
      <c r="B60" s="11">
        <f>IFERROR(__xludf.DUMMYFUNCTION("""COMPUTED_VALUE"""),44228.0)</f>
        <v>44228</v>
      </c>
      <c r="C60" s="32">
        <f>IFERROR(__xludf.DUMMYFUNCTION("""COMPUTED_VALUE"""),251426.0)</f>
        <v>251426</v>
      </c>
      <c r="E60" s="11">
        <f>IFERROR(__xludf.DUMMYFUNCTION("""COMPUTED_VALUE"""),44228.0)</f>
        <v>44228</v>
      </c>
      <c r="F60" s="32">
        <f>IFERROR(__xludf.DUMMYFUNCTION("""COMPUTED_VALUE"""),251426.0)</f>
        <v>251426</v>
      </c>
    </row>
    <row r="61">
      <c r="B61" s="11">
        <f>IFERROR(__xludf.DUMMYFUNCTION("""COMPUTED_VALUE"""),44197.0)</f>
        <v>44197</v>
      </c>
      <c r="C61" s="32">
        <f>IFERROR(__xludf.DUMMYFUNCTION("""COMPUTED_VALUE"""),249937.0)</f>
        <v>249937</v>
      </c>
      <c r="E61" s="11"/>
    </row>
    <row r="62">
      <c r="B62" s="11">
        <f>IFERROR(__xludf.DUMMYFUNCTION("""COMPUTED_VALUE"""),44166.0)</f>
        <v>44166</v>
      </c>
      <c r="C62" s="32">
        <f>IFERROR(__xludf.DUMMYFUNCTION("""COMPUTED_VALUE"""),241814.0)</f>
        <v>241814</v>
      </c>
      <c r="E62" s="11"/>
    </row>
    <row r="63">
      <c r="B63" s="11">
        <f>IFERROR(__xludf.DUMMYFUNCTION("""COMPUTED_VALUE"""),44136.0)</f>
        <v>44136</v>
      </c>
      <c r="C63" s="32">
        <f>IFERROR(__xludf.DUMMYFUNCTION("""COMPUTED_VALUE"""),237115.0)</f>
        <v>237115</v>
      </c>
      <c r="E63" s="11"/>
    </row>
    <row r="64">
      <c r="B64" s="11">
        <f>IFERROR(__xludf.DUMMYFUNCTION("""COMPUTED_VALUE"""),44105.0)</f>
        <v>44105</v>
      </c>
      <c r="C64" s="32">
        <f>IFERROR(__xludf.DUMMYFUNCTION("""COMPUTED_VALUE"""),236338.0)</f>
        <v>236338</v>
      </c>
      <c r="E64" s="11"/>
    </row>
    <row r="65">
      <c r="B65" s="11">
        <f>IFERROR(__xludf.DUMMYFUNCTION("""COMPUTED_VALUE"""),44075.0)</f>
        <v>44075</v>
      </c>
      <c r="C65" s="32">
        <f>IFERROR(__xludf.DUMMYFUNCTION("""COMPUTED_VALUE"""),230481.0)</f>
        <v>230481</v>
      </c>
      <c r="E65" s="11"/>
    </row>
    <row r="66">
      <c r="B66" s="11">
        <f>IFERROR(__xludf.DUMMYFUNCTION("""COMPUTED_VALUE"""),44044.0)</f>
        <v>44044</v>
      </c>
      <c r="C66" s="32">
        <f>IFERROR(__xludf.DUMMYFUNCTION("""COMPUTED_VALUE"""),226872.0)</f>
        <v>226872</v>
      </c>
      <c r="E66" s="11"/>
    </row>
    <row r="67">
      <c r="B67" s="11">
        <f>IFERROR(__xludf.DUMMYFUNCTION("""COMPUTED_VALUE"""),44013.0)</f>
        <v>44013</v>
      </c>
      <c r="C67" s="32">
        <f>IFERROR(__xludf.DUMMYFUNCTION("""COMPUTED_VALUE"""),223750.0)</f>
        <v>223750</v>
      </c>
      <c r="E67" s="11"/>
    </row>
    <row r="68">
      <c r="B68" s="11">
        <f>IFERROR(__xludf.DUMMYFUNCTION("""COMPUTED_VALUE"""),43983.0)</f>
        <v>43983</v>
      </c>
      <c r="C68" s="32">
        <f>IFERROR(__xludf.DUMMYFUNCTION("""COMPUTED_VALUE"""),202777.0)</f>
        <v>202777</v>
      </c>
      <c r="E68" s="11"/>
    </row>
    <row r="69">
      <c r="B69" s="11">
        <f>IFERROR(__xludf.DUMMYFUNCTION("""COMPUTED_VALUE"""),43952.0)</f>
        <v>43952</v>
      </c>
      <c r="C69" s="32">
        <f>IFERROR(__xludf.DUMMYFUNCTION("""COMPUTED_VALUE"""),184417.0)</f>
        <v>184417</v>
      </c>
      <c r="E69" s="11"/>
    </row>
    <row r="70">
      <c r="B70" s="11">
        <f>IFERROR(__xludf.DUMMYFUNCTION("""COMPUTED_VALUE"""),43922.0)</f>
        <v>43922</v>
      </c>
      <c r="C70" s="32">
        <f>IFERROR(__xludf.DUMMYFUNCTION("""COMPUTED_VALUE"""),165166.0)</f>
        <v>165166</v>
      </c>
      <c r="E70" s="11"/>
    </row>
    <row r="71">
      <c r="B71" s="11">
        <f>IFERROR(__xludf.DUMMYFUNCTION("""COMPUTED_VALUE"""),43891.0)</f>
        <v>43891</v>
      </c>
      <c r="C71" s="32">
        <f>IFERROR(__xludf.DUMMYFUNCTION("""COMPUTED_VALUE"""),204710.0)</f>
        <v>204710</v>
      </c>
      <c r="E71" s="11"/>
    </row>
    <row r="72">
      <c r="B72" s="11">
        <f>IFERROR(__xludf.DUMMYFUNCTION("""COMPUTED_VALUE"""),43862.0)</f>
        <v>43862</v>
      </c>
      <c r="C72" s="32">
        <f>IFERROR(__xludf.DUMMYFUNCTION("""COMPUTED_VALUE"""),240355.0)</f>
        <v>240355</v>
      </c>
      <c r="E72" s="11"/>
    </row>
    <row r="73">
      <c r="B73" s="11">
        <f>IFERROR(__xludf.DUMMYFUNCTION("""COMPUTED_VALUE"""),43831.0)</f>
        <v>43831</v>
      </c>
      <c r="C73" s="32">
        <f>IFERROR(__xludf.DUMMYFUNCTION("""COMPUTED_VALUE"""),233656.0)</f>
        <v>233656</v>
      </c>
      <c r="E73" s="11"/>
    </row>
    <row r="74">
      <c r="B74" s="11">
        <f>IFERROR(__xludf.DUMMYFUNCTION("""COMPUTED_VALUE"""),43800.0)</f>
        <v>43800</v>
      </c>
      <c r="C74" s="32">
        <f>IFERROR(__xludf.DUMMYFUNCTION("""COMPUTED_VALUE"""),222265.0)</f>
        <v>222265</v>
      </c>
      <c r="E74" s="11"/>
    </row>
    <row r="75">
      <c r="B75" s="11">
        <f>IFERROR(__xludf.DUMMYFUNCTION("""COMPUTED_VALUE"""),43770.0)</f>
        <v>43770</v>
      </c>
      <c r="C75" s="32">
        <f>IFERROR(__xludf.DUMMYFUNCTION("""COMPUTED_VALUE"""),218719.0)</f>
        <v>218719</v>
      </c>
      <c r="E75" s="11"/>
    </row>
    <row r="76">
      <c r="B76" s="11">
        <f>IFERROR(__xludf.DUMMYFUNCTION("""COMPUTED_VALUE"""),43739.0)</f>
        <v>43739</v>
      </c>
      <c r="C76" s="32">
        <f>IFERROR(__xludf.DUMMYFUNCTION("""COMPUTED_VALUE"""),226218.0)</f>
        <v>226218</v>
      </c>
      <c r="E76" s="11"/>
    </row>
    <row r="77">
      <c r="B77" s="11">
        <f>IFERROR(__xludf.DUMMYFUNCTION("""COMPUTED_VALUE"""),43709.0)</f>
        <v>43709</v>
      </c>
      <c r="C77" s="32">
        <f>IFERROR(__xludf.DUMMYFUNCTION("""COMPUTED_VALUE"""),226791.0)</f>
        <v>226791</v>
      </c>
      <c r="E77" s="11"/>
    </row>
    <row r="78">
      <c r="B78" s="11">
        <f>IFERROR(__xludf.DUMMYFUNCTION("""COMPUTED_VALUE"""),43678.0)</f>
        <v>43678</v>
      </c>
      <c r="C78" s="32">
        <f>IFERROR(__xludf.DUMMYFUNCTION("""COMPUTED_VALUE"""),230355.0)</f>
        <v>230355</v>
      </c>
      <c r="E78" s="11"/>
    </row>
    <row r="79">
      <c r="B79" s="11">
        <f>IFERROR(__xludf.DUMMYFUNCTION("""COMPUTED_VALUE"""),43647.0)</f>
        <v>43647</v>
      </c>
      <c r="C79" s="32">
        <f>IFERROR(__xludf.DUMMYFUNCTION("""COMPUTED_VALUE"""),228956.0)</f>
        <v>228956</v>
      </c>
      <c r="E79" s="11"/>
    </row>
    <row r="80">
      <c r="B80" s="11">
        <f>IFERROR(__xludf.DUMMYFUNCTION("""COMPUTED_VALUE"""),43617.0)</f>
        <v>43617</v>
      </c>
      <c r="C80" s="32">
        <f>IFERROR(__xludf.DUMMYFUNCTION("""COMPUTED_VALUE"""),224890.0)</f>
        <v>224890</v>
      </c>
      <c r="E80" s="11"/>
    </row>
    <row r="81">
      <c r="B81" s="11">
        <f>IFERROR(__xludf.DUMMYFUNCTION("""COMPUTED_VALUE"""),43586.0)</f>
        <v>43586</v>
      </c>
      <c r="C81" s="32">
        <f>IFERROR(__xludf.DUMMYFUNCTION("""COMPUTED_VALUE"""),224565.0)</f>
        <v>224565</v>
      </c>
      <c r="E81" s="11"/>
    </row>
    <row r="82">
      <c r="B82" s="11">
        <f>IFERROR(__xludf.DUMMYFUNCTION("""COMPUTED_VALUE"""),43556.0)</f>
        <v>43556</v>
      </c>
      <c r="C82" s="32">
        <f>IFERROR(__xludf.DUMMYFUNCTION("""COMPUTED_VALUE"""),232744.0)</f>
        <v>232744</v>
      </c>
      <c r="E82" s="11"/>
    </row>
    <row r="83">
      <c r="B83" s="11">
        <f>IFERROR(__xludf.DUMMYFUNCTION("""COMPUTED_VALUE"""),43525.0)</f>
        <v>43525</v>
      </c>
      <c r="C83" s="32">
        <f>IFERROR(__xludf.DUMMYFUNCTION("""COMPUTED_VALUE"""),240465.0)</f>
        <v>240465</v>
      </c>
      <c r="E83" s="11"/>
    </row>
    <row r="84">
      <c r="B84" s="11">
        <f>IFERROR(__xludf.DUMMYFUNCTION("""COMPUTED_VALUE"""),43497.0)</f>
        <v>43497</v>
      </c>
      <c r="C84" s="32">
        <f>IFERROR(__xludf.DUMMYFUNCTION("""COMPUTED_VALUE"""),231710.0)</f>
        <v>231710</v>
      </c>
      <c r="E84" s="11"/>
    </row>
    <row r="85">
      <c r="B85" s="11">
        <f>IFERROR(__xludf.DUMMYFUNCTION("""COMPUTED_VALUE"""),43466.0)</f>
        <v>43466</v>
      </c>
      <c r="C85" s="32">
        <f>IFERROR(__xludf.DUMMYFUNCTION("""COMPUTED_VALUE"""),236180.0)</f>
        <v>236180</v>
      </c>
      <c r="E85" s="11"/>
    </row>
    <row r="86">
      <c r="B86" s="11">
        <f>IFERROR(__xludf.DUMMYFUNCTION("""COMPUTED_VALUE"""),43435.0)</f>
        <v>43435</v>
      </c>
      <c r="C86" s="32">
        <f>IFERROR(__xludf.DUMMYFUNCTION("""COMPUTED_VALUE"""),243401.0)</f>
        <v>243401</v>
      </c>
      <c r="E86" s="11"/>
    </row>
    <row r="87">
      <c r="B87" s="11">
        <f>IFERROR(__xludf.DUMMYFUNCTION("""COMPUTED_VALUE"""),43405.0)</f>
        <v>43405</v>
      </c>
      <c r="C87" s="32">
        <f>IFERROR(__xludf.DUMMYFUNCTION("""COMPUTED_VALUE"""),235930.0)</f>
        <v>235930</v>
      </c>
      <c r="E87" s="11"/>
    </row>
    <row r="88">
      <c r="B88" s="11">
        <f>IFERROR(__xludf.DUMMYFUNCTION("""COMPUTED_VALUE"""),43374.0)</f>
        <v>43374</v>
      </c>
      <c r="C88" s="32">
        <f>IFERROR(__xludf.DUMMYFUNCTION("""COMPUTED_VALUE"""),238903.0)</f>
        <v>238903</v>
      </c>
      <c r="E88" s="11"/>
    </row>
    <row r="89">
      <c r="B89" s="11">
        <f>IFERROR(__xludf.DUMMYFUNCTION("""COMPUTED_VALUE"""),43344.0)</f>
        <v>43344</v>
      </c>
      <c r="C89" s="32">
        <f>IFERROR(__xludf.DUMMYFUNCTION("""COMPUTED_VALUE"""),247957.0)</f>
        <v>247957</v>
      </c>
      <c r="E89" s="11"/>
    </row>
    <row r="90">
      <c r="B90" s="11">
        <f>IFERROR(__xludf.DUMMYFUNCTION("""COMPUTED_VALUE"""),43313.0)</f>
        <v>43313</v>
      </c>
      <c r="C90" s="32">
        <f>IFERROR(__xludf.DUMMYFUNCTION("""COMPUTED_VALUE"""),245657.0)</f>
        <v>245657</v>
      </c>
      <c r="E90" s="11"/>
    </row>
    <row r="91">
      <c r="B91" s="11">
        <f>IFERROR(__xludf.DUMMYFUNCTION("""COMPUTED_VALUE"""),43282.0)</f>
        <v>43282</v>
      </c>
      <c r="C91" s="32">
        <f>IFERROR(__xludf.DUMMYFUNCTION("""COMPUTED_VALUE"""),235786.0)</f>
        <v>235786</v>
      </c>
      <c r="E91" s="11"/>
    </row>
    <row r="92">
      <c r="B92" s="11">
        <f>IFERROR(__xludf.DUMMYFUNCTION("""COMPUTED_VALUE"""),43252.0)</f>
        <v>43252</v>
      </c>
      <c r="C92" s="32">
        <f>IFERROR(__xludf.DUMMYFUNCTION("""COMPUTED_VALUE"""),243778.0)</f>
        <v>243778</v>
      </c>
      <c r="E92" s="11"/>
    </row>
    <row r="93">
      <c r="B93" s="11">
        <f>IFERROR(__xludf.DUMMYFUNCTION("""COMPUTED_VALUE"""),43221.0)</f>
        <v>43221</v>
      </c>
      <c r="C93" s="32">
        <f>IFERROR(__xludf.DUMMYFUNCTION("""COMPUTED_VALUE"""),243168.0)</f>
        <v>243168</v>
      </c>
      <c r="E93" s="11"/>
    </row>
    <row r="94">
      <c r="B94" s="11">
        <f>IFERROR(__xludf.DUMMYFUNCTION("""COMPUTED_VALUE"""),43191.0)</f>
        <v>43191</v>
      </c>
      <c r="C94" s="32">
        <f>IFERROR(__xludf.DUMMYFUNCTION("""COMPUTED_VALUE"""),243872.0)</f>
        <v>243872</v>
      </c>
      <c r="E94" s="11"/>
    </row>
    <row r="95">
      <c r="B95" s="11">
        <f>IFERROR(__xludf.DUMMYFUNCTION("""COMPUTED_VALUE"""),43160.0)</f>
        <v>43160</v>
      </c>
      <c r="C95" s="32">
        <f>IFERROR(__xludf.DUMMYFUNCTION("""COMPUTED_VALUE"""),244343.0)</f>
        <v>244343</v>
      </c>
      <c r="E95" s="11"/>
    </row>
    <row r="96">
      <c r="B96" s="11">
        <f>IFERROR(__xludf.DUMMYFUNCTION("""COMPUTED_VALUE"""),43132.0)</f>
        <v>43132</v>
      </c>
      <c r="C96" s="32">
        <f>IFERROR(__xludf.DUMMYFUNCTION("""COMPUTED_VALUE"""),236950.0)</f>
        <v>236950</v>
      </c>
      <c r="E96" s="11"/>
    </row>
    <row r="97">
      <c r="B97" s="11">
        <f>IFERROR(__xludf.DUMMYFUNCTION("""COMPUTED_VALUE"""),43101.0)</f>
        <v>43101</v>
      </c>
      <c r="C97" s="32">
        <f>IFERROR(__xludf.DUMMYFUNCTION("""COMPUTED_VALUE"""),228219.0)</f>
        <v>228219</v>
      </c>
      <c r="E97" s="11"/>
    </row>
    <row r="98">
      <c r="B98" s="11">
        <f>IFERROR(__xludf.DUMMYFUNCTION("""COMPUTED_VALUE"""),43070.0)</f>
        <v>43070</v>
      </c>
      <c r="C98" s="32">
        <f>IFERROR(__xludf.DUMMYFUNCTION("""COMPUTED_VALUE"""),241711.0)</f>
        <v>241711</v>
      </c>
      <c r="E98" s="11"/>
    </row>
    <row r="99">
      <c r="B99" s="11">
        <f>IFERROR(__xludf.DUMMYFUNCTION("""COMPUTED_VALUE"""),43040.0)</f>
        <v>43040</v>
      </c>
      <c r="C99" s="32">
        <f>IFERROR(__xludf.DUMMYFUNCTION("""COMPUTED_VALUE"""),230235.0)</f>
        <v>230235</v>
      </c>
      <c r="E99" s="11"/>
    </row>
    <row r="100">
      <c r="B100" s="11">
        <f>IFERROR(__xludf.DUMMYFUNCTION("""COMPUTED_VALUE"""),43009.0)</f>
        <v>43009</v>
      </c>
      <c r="C100" s="32">
        <f>IFERROR(__xludf.DUMMYFUNCTION("""COMPUTED_VALUE"""),228333.0)</f>
        <v>228333</v>
      </c>
      <c r="E100" s="11"/>
    </row>
    <row r="101">
      <c r="B101" s="11">
        <f>IFERROR(__xludf.DUMMYFUNCTION("""COMPUTED_VALUE"""),42979.0)</f>
        <v>42979</v>
      </c>
      <c r="C101" s="32">
        <f>IFERROR(__xludf.DUMMYFUNCTION("""COMPUTED_VALUE"""),228782.0)</f>
        <v>228782</v>
      </c>
      <c r="E101" s="11"/>
    </row>
    <row r="102">
      <c r="B102" s="11">
        <f>IFERROR(__xludf.DUMMYFUNCTION("""COMPUTED_VALUE"""),42948.0)</f>
        <v>42948</v>
      </c>
      <c r="C102" s="32">
        <f>IFERROR(__xludf.DUMMYFUNCTION("""COMPUTED_VALUE"""),221312.0)</f>
        <v>221312</v>
      </c>
      <c r="E102" s="11"/>
    </row>
    <row r="103">
      <c r="B103" s="11">
        <f>IFERROR(__xludf.DUMMYFUNCTION("""COMPUTED_VALUE"""),42917.0)</f>
        <v>42917</v>
      </c>
      <c r="C103" s="32">
        <f>IFERROR(__xludf.DUMMYFUNCTION("""COMPUTED_VALUE"""),217739.0)</f>
        <v>217739</v>
      </c>
      <c r="E103" s="11"/>
    </row>
    <row r="104">
      <c r="B104" s="11">
        <f>IFERROR(__xludf.DUMMYFUNCTION("""COMPUTED_VALUE"""),42887.0)</f>
        <v>42887</v>
      </c>
      <c r="C104" s="32">
        <f>IFERROR(__xludf.DUMMYFUNCTION("""COMPUTED_VALUE"""),236980.0)</f>
        <v>236980</v>
      </c>
      <c r="E104" s="11"/>
    </row>
    <row r="105">
      <c r="B105" s="11">
        <f>IFERROR(__xludf.DUMMYFUNCTION("""COMPUTED_VALUE"""),42856.0)</f>
        <v>42856</v>
      </c>
      <c r="C105" s="32">
        <f>IFERROR(__xludf.DUMMYFUNCTION("""COMPUTED_VALUE"""),222292.0)</f>
        <v>222292</v>
      </c>
      <c r="E105" s="11"/>
    </row>
    <row r="106">
      <c r="B106" s="11">
        <f>IFERROR(__xludf.DUMMYFUNCTION("""COMPUTED_VALUE"""),42826.0)</f>
        <v>42826</v>
      </c>
      <c r="C106" s="32">
        <f>IFERROR(__xludf.DUMMYFUNCTION("""COMPUTED_VALUE"""),224150.0)</f>
        <v>224150</v>
      </c>
      <c r="E106" s="11"/>
    </row>
    <row r="107">
      <c r="B107" s="11">
        <f>IFERROR(__xludf.DUMMYFUNCTION("""COMPUTED_VALUE"""),42795.0)</f>
        <v>42795</v>
      </c>
      <c r="C107" s="32">
        <f>IFERROR(__xludf.DUMMYFUNCTION("""COMPUTED_VALUE"""),222944.0)</f>
        <v>222944</v>
      </c>
      <c r="E107" s="11"/>
    </row>
    <row r="108">
      <c r="B108" s="11">
        <f>IFERROR(__xludf.DUMMYFUNCTION("""COMPUTED_VALUE"""),42767.0)</f>
        <v>42767</v>
      </c>
      <c r="C108" s="32">
        <f>IFERROR(__xludf.DUMMYFUNCTION("""COMPUTED_VALUE"""),221514.0)</f>
        <v>221514</v>
      </c>
      <c r="E108" s="11"/>
    </row>
    <row r="109">
      <c r="B109" s="11">
        <f>IFERROR(__xludf.DUMMYFUNCTION("""COMPUTED_VALUE"""),42736.0)</f>
        <v>42736</v>
      </c>
      <c r="C109" s="32">
        <f>IFERROR(__xludf.DUMMYFUNCTION("""COMPUTED_VALUE"""),219277.0)</f>
        <v>219277</v>
      </c>
      <c r="E109" s="11"/>
    </row>
    <row r="110">
      <c r="B110" s="11">
        <f>IFERROR(__xludf.DUMMYFUNCTION("""COMPUTED_VALUE"""),42705.0)</f>
        <v>42705</v>
      </c>
      <c r="C110" s="32">
        <f>IFERROR(__xludf.DUMMYFUNCTION("""COMPUTED_VALUE"""),219525.0)</f>
        <v>219525</v>
      </c>
      <c r="E110" s="11"/>
    </row>
    <row r="111">
      <c r="B111" s="11">
        <f>IFERROR(__xludf.DUMMYFUNCTION("""COMPUTED_VALUE"""),42675.0)</f>
        <v>42675</v>
      </c>
      <c r="C111" s="32">
        <f>IFERROR(__xludf.DUMMYFUNCTION("""COMPUTED_VALUE"""),216353.0)</f>
        <v>216353</v>
      </c>
      <c r="E111" s="11"/>
    </row>
    <row r="112">
      <c r="B112" s="11">
        <f>IFERROR(__xludf.DUMMYFUNCTION("""COMPUTED_VALUE"""),42644.0)</f>
        <v>42644</v>
      </c>
      <c r="C112" s="32">
        <f>IFERROR(__xludf.DUMMYFUNCTION("""COMPUTED_VALUE"""),233461.0)</f>
        <v>233461</v>
      </c>
      <c r="E112" s="11"/>
    </row>
    <row r="113">
      <c r="B113" s="11">
        <f>IFERROR(__xludf.DUMMYFUNCTION("""COMPUTED_VALUE"""),42614.0)</f>
        <v>42614</v>
      </c>
      <c r="C113" s="32">
        <f>IFERROR(__xludf.DUMMYFUNCTION("""COMPUTED_VALUE"""),217396.0)</f>
        <v>217396</v>
      </c>
      <c r="E113" s="11"/>
    </row>
    <row r="114">
      <c r="B114" s="11">
        <f>IFERROR(__xludf.DUMMYFUNCTION("""COMPUTED_VALUE"""),42583.0)</f>
        <v>42583</v>
      </c>
      <c r="C114" s="32">
        <f>IFERROR(__xludf.DUMMYFUNCTION("""COMPUTED_VALUE"""),217584.0)</f>
        <v>217584</v>
      </c>
      <c r="E114" s="11"/>
    </row>
    <row r="115">
      <c r="B115" s="11">
        <f>IFERROR(__xludf.DUMMYFUNCTION("""COMPUTED_VALUE"""),42552.0)</f>
        <v>42552</v>
      </c>
      <c r="C115" s="32">
        <f>IFERROR(__xludf.DUMMYFUNCTION("""COMPUTED_VALUE"""),216155.0)</f>
        <v>216155</v>
      </c>
      <c r="E115" s="11"/>
    </row>
    <row r="116">
      <c r="B116" s="11">
        <f>IFERROR(__xludf.DUMMYFUNCTION("""COMPUTED_VALUE"""),42522.0)</f>
        <v>42522</v>
      </c>
      <c r="C116" s="32">
        <f>IFERROR(__xludf.DUMMYFUNCTION("""COMPUTED_VALUE"""),206910.0)</f>
        <v>206910</v>
      </c>
      <c r="E116" s="11"/>
    </row>
    <row r="117">
      <c r="B117" s="11">
        <f>IFERROR(__xludf.DUMMYFUNCTION("""COMPUTED_VALUE"""),42491.0)</f>
        <v>42491</v>
      </c>
      <c r="C117" s="32">
        <f>IFERROR(__xludf.DUMMYFUNCTION("""COMPUTED_VALUE"""),223117.0)</f>
        <v>223117</v>
      </c>
      <c r="E117" s="11"/>
    </row>
    <row r="118">
      <c r="B118" s="11">
        <f>IFERROR(__xludf.DUMMYFUNCTION("""COMPUTED_VALUE"""),42461.0)</f>
        <v>42461</v>
      </c>
      <c r="C118" s="32">
        <f>IFERROR(__xludf.DUMMYFUNCTION("""COMPUTED_VALUE"""),229837.0)</f>
        <v>229837</v>
      </c>
      <c r="E118" s="11"/>
    </row>
    <row r="119">
      <c r="B119" s="11">
        <f>IFERROR(__xludf.DUMMYFUNCTION("""COMPUTED_VALUE"""),42430.0)</f>
        <v>42430</v>
      </c>
      <c r="C119" s="32">
        <f>IFERROR(__xludf.DUMMYFUNCTION("""COMPUTED_VALUE"""),218388.0)</f>
        <v>218388</v>
      </c>
      <c r="E119" s="11"/>
    </row>
    <row r="120">
      <c r="B120" s="11">
        <f>IFERROR(__xludf.DUMMYFUNCTION("""COMPUTED_VALUE"""),42401.0)</f>
        <v>42401</v>
      </c>
      <c r="C120" s="32">
        <f>IFERROR(__xludf.DUMMYFUNCTION("""COMPUTED_VALUE"""),216792.0)</f>
        <v>216792</v>
      </c>
      <c r="E120" s="11"/>
    </row>
    <row r="121">
      <c r="B121" s="11">
        <f>IFERROR(__xludf.DUMMYFUNCTION("""COMPUTED_VALUE"""),42370.0)</f>
        <v>42370</v>
      </c>
      <c r="C121" s="32">
        <f>IFERROR(__xludf.DUMMYFUNCTION("""COMPUTED_VALUE"""),228982.0)</f>
        <v>228982</v>
      </c>
      <c r="E121" s="11"/>
    </row>
    <row r="122">
      <c r="B122" s="11">
        <f>IFERROR(__xludf.DUMMYFUNCTION("""COMPUTED_VALUE"""),42339.0)</f>
        <v>42339</v>
      </c>
      <c r="C122" s="32">
        <f>IFERROR(__xludf.DUMMYFUNCTION("""COMPUTED_VALUE"""),217570.0)</f>
        <v>217570</v>
      </c>
      <c r="E122" s="11"/>
    </row>
    <row r="123">
      <c r="B123" s="11">
        <f>IFERROR(__xludf.DUMMYFUNCTION("""COMPUTED_VALUE"""),42309.0)</f>
        <v>42309</v>
      </c>
      <c r="C123" s="32">
        <f>IFERROR(__xludf.DUMMYFUNCTION("""COMPUTED_VALUE"""),224319.0)</f>
        <v>224319</v>
      </c>
      <c r="E123" s="11"/>
    </row>
    <row r="124">
      <c r="B124" s="11">
        <f>IFERROR(__xludf.DUMMYFUNCTION("""COMPUTED_VALUE"""),42278.0)</f>
        <v>42278</v>
      </c>
      <c r="C124" s="32">
        <f>IFERROR(__xludf.DUMMYFUNCTION("""COMPUTED_VALUE"""),226517.0)</f>
        <v>226517</v>
      </c>
      <c r="E124" s="11"/>
    </row>
    <row r="125">
      <c r="B125" s="11">
        <f>IFERROR(__xludf.DUMMYFUNCTION("""COMPUTED_VALUE"""),42248.0)</f>
        <v>42248</v>
      </c>
      <c r="C125" s="32">
        <f>IFERROR(__xludf.DUMMYFUNCTION("""COMPUTED_VALUE"""),217744.0)</f>
        <v>217744</v>
      </c>
      <c r="E125" s="11"/>
    </row>
    <row r="126">
      <c r="B126" s="11">
        <f>IFERROR(__xludf.DUMMYFUNCTION("""COMPUTED_VALUE"""),42217.0)</f>
        <v>42217</v>
      </c>
      <c r="C126" s="32">
        <f>IFERROR(__xludf.DUMMYFUNCTION("""COMPUTED_VALUE"""),222335.0)</f>
        <v>222335</v>
      </c>
      <c r="E126" s="11"/>
    </row>
    <row r="127">
      <c r="B127" s="11">
        <f>IFERROR(__xludf.DUMMYFUNCTION("""COMPUTED_VALUE"""),42186.0)</f>
        <v>42186</v>
      </c>
      <c r="C127" s="32">
        <f>IFERROR(__xludf.DUMMYFUNCTION("""COMPUTED_VALUE"""),228347.0)</f>
        <v>228347</v>
      </c>
      <c r="E127" s="11"/>
    </row>
    <row r="128">
      <c r="B128" s="11">
        <f>IFERROR(__xludf.DUMMYFUNCTION("""COMPUTED_VALUE"""),42156.0)</f>
        <v>42156</v>
      </c>
      <c r="C128" s="32">
        <f>IFERROR(__xludf.DUMMYFUNCTION("""COMPUTED_VALUE"""),228948.0)</f>
        <v>228948</v>
      </c>
      <c r="E128" s="11"/>
    </row>
    <row r="129">
      <c r="B129" s="11">
        <f>IFERROR(__xludf.DUMMYFUNCTION("""COMPUTED_VALUE"""),42125.0)</f>
        <v>42125</v>
      </c>
      <c r="C129" s="32">
        <f>IFERROR(__xludf.DUMMYFUNCTION("""COMPUTED_VALUE"""),218316.0)</f>
        <v>218316</v>
      </c>
      <c r="E129" s="11"/>
    </row>
    <row r="130">
      <c r="B130" s="11">
        <f>IFERROR(__xludf.DUMMYFUNCTION("""COMPUTED_VALUE"""),42095.0)</f>
        <v>42095</v>
      </c>
      <c r="C130" s="32">
        <f>IFERROR(__xludf.DUMMYFUNCTION("""COMPUTED_VALUE"""),225656.0)</f>
        <v>225656</v>
      </c>
      <c r="E130" s="11"/>
    </row>
    <row r="131">
      <c r="B131" s="11">
        <f>IFERROR(__xludf.DUMMYFUNCTION("""COMPUTED_VALUE"""),42064.0)</f>
        <v>42064</v>
      </c>
      <c r="C131" s="32">
        <f>IFERROR(__xludf.DUMMYFUNCTION("""COMPUTED_VALUE"""),230136.0)</f>
        <v>230136</v>
      </c>
      <c r="E131" s="11"/>
    </row>
    <row r="132">
      <c r="B132" s="11">
        <f>IFERROR(__xludf.DUMMYFUNCTION("""COMPUTED_VALUE"""),42036.0)</f>
        <v>42036</v>
      </c>
      <c r="C132" s="32">
        <f>IFERROR(__xludf.DUMMYFUNCTION("""COMPUTED_VALUE"""),217321.0)</f>
        <v>217321</v>
      </c>
      <c r="E132" s="11"/>
    </row>
    <row r="133">
      <c r="B133" s="11">
        <f>IFERROR(__xludf.DUMMYFUNCTION("""COMPUTED_VALUE"""),42005.0)</f>
        <v>42005</v>
      </c>
      <c r="C133" s="32">
        <f>IFERROR(__xludf.DUMMYFUNCTION("""COMPUTED_VALUE"""),225739.0)</f>
        <v>225739</v>
      </c>
      <c r="E133" s="11"/>
    </row>
    <row r="134">
      <c r="B134" s="11">
        <f>IFERROR(__xludf.DUMMYFUNCTION("""COMPUTED_VALUE"""),41974.0)</f>
        <v>41974</v>
      </c>
      <c r="C134" s="32">
        <f>IFERROR(__xludf.DUMMYFUNCTION("""COMPUTED_VALUE"""),225104.0)</f>
        <v>225104</v>
      </c>
      <c r="E134" s="11"/>
    </row>
    <row r="135">
      <c r="B135" s="11">
        <f>IFERROR(__xludf.DUMMYFUNCTION("""COMPUTED_VALUE"""),41944.0)</f>
        <v>41944</v>
      </c>
      <c r="C135" s="32">
        <f>IFERROR(__xludf.DUMMYFUNCTION("""COMPUTED_VALUE"""),228727.0)</f>
        <v>228727</v>
      </c>
      <c r="E135" s="11"/>
    </row>
    <row r="136">
      <c r="B136" s="11">
        <f>IFERROR(__xludf.DUMMYFUNCTION("""COMPUTED_VALUE"""),41913.0)</f>
        <v>41913</v>
      </c>
      <c r="C136" s="32">
        <f>IFERROR(__xludf.DUMMYFUNCTION("""COMPUTED_VALUE"""),233072.0)</f>
        <v>233072</v>
      </c>
      <c r="E136" s="11"/>
    </row>
    <row r="137">
      <c r="B137" s="11">
        <f>IFERROR(__xludf.DUMMYFUNCTION("""COMPUTED_VALUE"""),41883.0)</f>
        <v>41883</v>
      </c>
      <c r="C137" s="32">
        <f>IFERROR(__xludf.DUMMYFUNCTION("""COMPUTED_VALUE"""),236112.0)</f>
        <v>236112</v>
      </c>
      <c r="E137" s="11"/>
    </row>
    <row r="138">
      <c r="B138" s="11">
        <f>IFERROR(__xludf.DUMMYFUNCTION("""COMPUTED_VALUE"""),41852.0)</f>
        <v>41852</v>
      </c>
      <c r="C138" s="32">
        <f>IFERROR(__xludf.DUMMYFUNCTION("""COMPUTED_VALUE"""),236400.0)</f>
        <v>236400</v>
      </c>
      <c r="E138" s="11"/>
    </row>
    <row r="139">
      <c r="B139" s="11">
        <f>IFERROR(__xludf.DUMMYFUNCTION("""COMPUTED_VALUE"""),41821.0)</f>
        <v>41821</v>
      </c>
      <c r="C139" s="32">
        <f>IFERROR(__xludf.DUMMYFUNCTION("""COMPUTED_VALUE"""),300114.0)</f>
        <v>300114</v>
      </c>
      <c r="E139" s="11"/>
    </row>
    <row r="140">
      <c r="B140" s="11">
        <f>IFERROR(__xludf.DUMMYFUNCTION("""COMPUTED_VALUE"""),41791.0)</f>
        <v>41791</v>
      </c>
      <c r="C140" s="32">
        <f>IFERROR(__xludf.DUMMYFUNCTION("""COMPUTED_VALUE"""),237501.0)</f>
        <v>237501</v>
      </c>
      <c r="E140" s="11"/>
    </row>
    <row r="141">
      <c r="B141" s="11">
        <f>IFERROR(__xludf.DUMMYFUNCTION("""COMPUTED_VALUE"""),41760.0)</f>
        <v>41760</v>
      </c>
      <c r="C141" s="32">
        <f>IFERROR(__xludf.DUMMYFUNCTION("""COMPUTED_VALUE"""),234459.0)</f>
        <v>234459</v>
      </c>
      <c r="E141" s="11"/>
    </row>
    <row r="142">
      <c r="B142" s="11">
        <f>IFERROR(__xludf.DUMMYFUNCTION("""COMPUTED_VALUE"""),41730.0)</f>
        <v>41730</v>
      </c>
      <c r="C142" s="32">
        <f>IFERROR(__xludf.DUMMYFUNCTION("""COMPUTED_VALUE"""),237317.0)</f>
        <v>237317</v>
      </c>
      <c r="E142" s="11"/>
    </row>
    <row r="143">
      <c r="B143" s="11">
        <f>IFERROR(__xludf.DUMMYFUNCTION("""COMPUTED_VALUE"""),41699.0)</f>
        <v>41699</v>
      </c>
      <c r="C143" s="32">
        <f>IFERROR(__xludf.DUMMYFUNCTION("""COMPUTED_VALUE"""),235485.0)</f>
        <v>235485</v>
      </c>
      <c r="E143" s="11"/>
    </row>
    <row r="144">
      <c r="B144" s="11">
        <f>IFERROR(__xludf.DUMMYFUNCTION("""COMPUTED_VALUE"""),41671.0)</f>
        <v>41671</v>
      </c>
      <c r="C144" s="32">
        <f>IFERROR(__xludf.DUMMYFUNCTION("""COMPUTED_VALUE"""),231380.0)</f>
        <v>231380</v>
      </c>
      <c r="E144" s="11"/>
    </row>
    <row r="145">
      <c r="B145" s="11">
        <f>IFERROR(__xludf.DUMMYFUNCTION("""COMPUTED_VALUE"""),41640.0)</f>
        <v>41640</v>
      </c>
      <c r="C145" s="32">
        <f>IFERROR(__xludf.DUMMYFUNCTION("""COMPUTED_VALUE"""),224538.0)</f>
        <v>224538</v>
      </c>
      <c r="E145" s="11"/>
    </row>
    <row r="146">
      <c r="B146" s="11">
        <f>IFERROR(__xludf.DUMMYFUNCTION("""COMPUTED_VALUE"""),41609.0)</f>
        <v>41609</v>
      </c>
      <c r="C146" s="32">
        <f>IFERROR(__xludf.DUMMYFUNCTION("""COMPUTED_VALUE"""),238481.0)</f>
        <v>238481</v>
      </c>
      <c r="E146" s="11"/>
    </row>
    <row r="147">
      <c r="B147" s="11">
        <f>IFERROR(__xludf.DUMMYFUNCTION("""COMPUTED_VALUE"""),41579.0)</f>
        <v>41579</v>
      </c>
      <c r="C147" s="32">
        <f>IFERROR(__xludf.DUMMYFUNCTION("""COMPUTED_VALUE"""),243831.0)</f>
        <v>243831</v>
      </c>
      <c r="E147" s="11"/>
    </row>
    <row r="148">
      <c r="B148" s="11">
        <f>IFERROR(__xludf.DUMMYFUNCTION("""COMPUTED_VALUE"""),41548.0)</f>
        <v>41548</v>
      </c>
      <c r="C148" s="32">
        <f>IFERROR(__xludf.DUMMYFUNCTION("""COMPUTED_VALUE"""),231736.0)</f>
        <v>231736</v>
      </c>
      <c r="E148" s="11"/>
    </row>
    <row r="149">
      <c r="B149" s="11">
        <f>IFERROR(__xludf.DUMMYFUNCTION("""COMPUTED_VALUE"""),41518.0)</f>
        <v>41518</v>
      </c>
      <c r="C149" s="32">
        <f>IFERROR(__xludf.DUMMYFUNCTION("""COMPUTED_VALUE"""),237493.0)</f>
        <v>237493</v>
      </c>
      <c r="E149" s="11"/>
    </row>
    <row r="150">
      <c r="B150" s="11">
        <f>IFERROR(__xludf.DUMMYFUNCTION("""COMPUTED_VALUE"""),41487.0)</f>
        <v>41487</v>
      </c>
      <c r="C150" s="32">
        <f>IFERROR(__xludf.DUMMYFUNCTION("""COMPUTED_VALUE"""),224721.0)</f>
        <v>224721</v>
      </c>
      <c r="E150" s="11"/>
    </row>
    <row r="151">
      <c r="B151" s="11">
        <f>IFERROR(__xludf.DUMMYFUNCTION("""COMPUTED_VALUE"""),41456.0)</f>
        <v>41456</v>
      </c>
      <c r="C151" s="32">
        <f>IFERROR(__xludf.DUMMYFUNCTION("""COMPUTED_VALUE"""),220831.0)</f>
        <v>220831</v>
      </c>
      <c r="E151" s="11"/>
    </row>
    <row r="152">
      <c r="B152" s="11">
        <f>IFERROR(__xludf.DUMMYFUNCTION("""COMPUTED_VALUE"""),41426.0)</f>
        <v>41426</v>
      </c>
      <c r="C152" s="32">
        <f>IFERROR(__xludf.DUMMYFUNCTION("""COMPUTED_VALUE"""),246567.0)</f>
        <v>246567</v>
      </c>
      <c r="E152" s="11"/>
    </row>
    <row r="153">
      <c r="B153" s="11">
        <f>IFERROR(__xludf.DUMMYFUNCTION("""COMPUTED_VALUE"""),41395.0)</f>
        <v>41395</v>
      </c>
      <c r="C153" s="32">
        <f>IFERROR(__xludf.DUMMYFUNCTION("""COMPUTED_VALUE"""),236942.0)</f>
        <v>236942</v>
      </c>
      <c r="E153" s="11"/>
    </row>
    <row r="154">
      <c r="B154" s="11">
        <f>IFERROR(__xludf.DUMMYFUNCTION("""COMPUTED_VALUE"""),41365.0)</f>
        <v>41365</v>
      </c>
      <c r="C154" s="32">
        <f>IFERROR(__xludf.DUMMYFUNCTION("""COMPUTED_VALUE"""),226467.0)</f>
        <v>226467</v>
      </c>
      <c r="E154" s="11"/>
    </row>
    <row r="155">
      <c r="B155" s="11">
        <f>IFERROR(__xludf.DUMMYFUNCTION("""COMPUTED_VALUE"""),41334.0)</f>
        <v>41334</v>
      </c>
      <c r="C155" s="32">
        <f>IFERROR(__xludf.DUMMYFUNCTION("""COMPUTED_VALUE"""),217480.0)</f>
        <v>217480</v>
      </c>
      <c r="E155" s="11"/>
    </row>
    <row r="156">
      <c r="B156" s="11">
        <f>IFERROR(__xludf.DUMMYFUNCTION("""COMPUTED_VALUE"""),41306.0)</f>
        <v>41306</v>
      </c>
      <c r="C156" s="32">
        <f>IFERROR(__xludf.DUMMYFUNCTION("""COMPUTED_VALUE"""),234445.0)</f>
        <v>234445</v>
      </c>
      <c r="E156" s="11"/>
    </row>
    <row r="157">
      <c r="B157" s="11">
        <f>IFERROR(__xludf.DUMMYFUNCTION("""COMPUTED_VALUE"""),41275.0)</f>
        <v>41275</v>
      </c>
      <c r="C157" s="32">
        <f>IFERROR(__xludf.DUMMYFUNCTION("""COMPUTED_VALUE"""),223063.0)</f>
        <v>223063</v>
      </c>
      <c r="E157" s="11"/>
    </row>
    <row r="158">
      <c r="B158" s="11">
        <f>IFERROR(__xludf.DUMMYFUNCTION("""COMPUTED_VALUE"""),41244.0)</f>
        <v>41244</v>
      </c>
      <c r="C158" s="32">
        <f>IFERROR(__xludf.DUMMYFUNCTION("""COMPUTED_VALUE"""),231169.0)</f>
        <v>231169</v>
      </c>
      <c r="E158" s="11"/>
    </row>
    <row r="159">
      <c r="B159" s="11">
        <f>IFERROR(__xludf.DUMMYFUNCTION("""COMPUTED_VALUE"""),41214.0)</f>
        <v>41214</v>
      </c>
      <c r="C159" s="32">
        <f>IFERROR(__xludf.DUMMYFUNCTION("""COMPUTED_VALUE"""),217176.0)</f>
        <v>217176</v>
      </c>
      <c r="E159" s="11"/>
    </row>
    <row r="160">
      <c r="B160" s="11">
        <f>IFERROR(__xludf.DUMMYFUNCTION("""COMPUTED_VALUE"""),41183.0)</f>
        <v>41183</v>
      </c>
      <c r="C160" s="32">
        <f>IFERROR(__xludf.DUMMYFUNCTION("""COMPUTED_VALUE"""),218355.0)</f>
        <v>218355</v>
      </c>
      <c r="E160" s="11"/>
    </row>
    <row r="161">
      <c r="B161" s="11">
        <f>IFERROR(__xludf.DUMMYFUNCTION("""COMPUTED_VALUE"""),41153.0)</f>
        <v>41153</v>
      </c>
      <c r="C161" s="32">
        <f>IFERROR(__xludf.DUMMYFUNCTION("""COMPUTED_VALUE"""),216864.0)</f>
        <v>216864</v>
      </c>
      <c r="E161" s="11"/>
    </row>
    <row r="162">
      <c r="B162" s="11">
        <f>IFERROR(__xludf.DUMMYFUNCTION("""COMPUTED_VALUE"""),41122.0)</f>
        <v>41122</v>
      </c>
      <c r="C162" s="32">
        <f>IFERROR(__xludf.DUMMYFUNCTION("""COMPUTED_VALUE"""),200405.0)</f>
        <v>200405</v>
      </c>
      <c r="E162" s="11"/>
    </row>
    <row r="163">
      <c r="B163" s="11">
        <f>IFERROR(__xludf.DUMMYFUNCTION("""COMPUTED_VALUE"""),41091.0)</f>
        <v>41091</v>
      </c>
      <c r="C163" s="32">
        <f>IFERROR(__xludf.DUMMYFUNCTION("""COMPUTED_VALUE"""),222851.0)</f>
        <v>222851</v>
      </c>
      <c r="E163" s="11"/>
    </row>
    <row r="164">
      <c r="B164" s="11">
        <f>IFERROR(__xludf.DUMMYFUNCTION("""COMPUTED_VALUE"""),41061.0)</f>
        <v>41061</v>
      </c>
      <c r="C164" s="32">
        <f>IFERROR(__xludf.DUMMYFUNCTION("""COMPUTED_VALUE"""),217930.0)</f>
        <v>217930</v>
      </c>
      <c r="E164" s="11"/>
    </row>
    <row r="165">
      <c r="B165" s="11">
        <f>IFERROR(__xludf.DUMMYFUNCTION("""COMPUTED_VALUE"""),41030.0)</f>
        <v>41030</v>
      </c>
      <c r="C165" s="32">
        <f>IFERROR(__xludf.DUMMYFUNCTION("""COMPUTED_VALUE"""),219486.0)</f>
        <v>219486</v>
      </c>
      <c r="E165" s="11"/>
    </row>
    <row r="166">
      <c r="B166" s="11">
        <f>IFERROR(__xludf.DUMMYFUNCTION("""COMPUTED_VALUE"""),41000.0)</f>
        <v>41000</v>
      </c>
      <c r="C166" s="32">
        <f>IFERROR(__xludf.DUMMYFUNCTION("""COMPUTED_VALUE"""),218445.0)</f>
        <v>218445</v>
      </c>
      <c r="E166" s="11"/>
    </row>
    <row r="167">
      <c r="B167" s="11">
        <f>IFERROR(__xludf.DUMMYFUNCTION("""COMPUTED_VALUE"""),40969.0)</f>
        <v>40969</v>
      </c>
      <c r="C167" s="32">
        <f>IFERROR(__xludf.DUMMYFUNCTION("""COMPUTED_VALUE"""),221729.0)</f>
        <v>221729</v>
      </c>
      <c r="E167" s="11"/>
    </row>
    <row r="168">
      <c r="B168" s="11">
        <f>IFERROR(__xludf.DUMMYFUNCTION("""COMPUTED_VALUE"""),40940.0)</f>
        <v>40940</v>
      </c>
      <c r="C168" s="32">
        <f>IFERROR(__xludf.DUMMYFUNCTION("""COMPUTED_VALUE"""),226783.0)</f>
        <v>226783</v>
      </c>
      <c r="E168" s="11"/>
    </row>
    <row r="169">
      <c r="B169" s="11">
        <f>IFERROR(__xludf.DUMMYFUNCTION("""COMPUTED_VALUE"""),40909.0)</f>
        <v>40909</v>
      </c>
      <c r="C169" s="32">
        <f>IFERROR(__xludf.DUMMYFUNCTION("""COMPUTED_VALUE"""),226295.0)</f>
        <v>226295</v>
      </c>
      <c r="E169" s="11"/>
    </row>
    <row r="170">
      <c r="B170" s="11">
        <f>IFERROR(__xludf.DUMMYFUNCTION("""COMPUTED_VALUE"""),40878.0)</f>
        <v>40878</v>
      </c>
      <c r="C170" s="32">
        <f>IFERROR(__xludf.DUMMYFUNCTION("""COMPUTED_VALUE"""),223835.0)</f>
        <v>223835</v>
      </c>
      <c r="E170" s="11"/>
    </row>
    <row r="171">
      <c r="B171" s="11">
        <f>IFERROR(__xludf.DUMMYFUNCTION("""COMPUTED_VALUE"""),40848.0)</f>
        <v>40848</v>
      </c>
      <c r="C171" s="32">
        <f>IFERROR(__xludf.DUMMYFUNCTION("""COMPUTED_VALUE"""),215531.0)</f>
        <v>215531</v>
      </c>
      <c r="E171" s="11"/>
    </row>
    <row r="172">
      <c r="B172" s="11">
        <f>IFERROR(__xludf.DUMMYFUNCTION("""COMPUTED_VALUE"""),40817.0)</f>
        <v>40817</v>
      </c>
      <c r="C172" s="32">
        <f>IFERROR(__xludf.DUMMYFUNCTION("""COMPUTED_VALUE"""),210799.0)</f>
        <v>210799</v>
      </c>
      <c r="E172" s="11"/>
    </row>
    <row r="173">
      <c r="B173" s="11">
        <f>IFERROR(__xludf.DUMMYFUNCTION("""COMPUTED_VALUE"""),40787.0)</f>
        <v>40787</v>
      </c>
      <c r="C173" s="32">
        <f>IFERROR(__xludf.DUMMYFUNCTION("""COMPUTED_VALUE"""),204738.0)</f>
        <v>204738</v>
      </c>
      <c r="E173" s="11"/>
    </row>
    <row r="174">
      <c r="B174" s="11">
        <f>IFERROR(__xludf.DUMMYFUNCTION("""COMPUTED_VALUE"""),40756.0)</f>
        <v>40756</v>
      </c>
      <c r="C174" s="32">
        <f>IFERROR(__xludf.DUMMYFUNCTION("""COMPUTED_VALUE"""),216705.0)</f>
        <v>216705</v>
      </c>
      <c r="E174" s="11"/>
    </row>
    <row r="175">
      <c r="B175" s="11">
        <f>IFERROR(__xludf.DUMMYFUNCTION("""COMPUTED_VALUE"""),40725.0)</f>
        <v>40725</v>
      </c>
      <c r="C175" s="32">
        <f>IFERROR(__xludf.DUMMYFUNCTION("""COMPUTED_VALUE"""),206458.0)</f>
        <v>206458</v>
      </c>
      <c r="E175" s="11"/>
    </row>
    <row r="176">
      <c r="B176" s="11">
        <f>IFERROR(__xludf.DUMMYFUNCTION("""COMPUTED_VALUE"""),40695.0)</f>
        <v>40695</v>
      </c>
      <c r="C176" s="32">
        <f>IFERROR(__xludf.DUMMYFUNCTION("""COMPUTED_VALUE"""),201579.0)</f>
        <v>201579</v>
      </c>
      <c r="E176" s="11"/>
    </row>
    <row r="177">
      <c r="B177" s="11">
        <f>IFERROR(__xludf.DUMMYFUNCTION("""COMPUTED_VALUE"""),40664.0)</f>
        <v>40664</v>
      </c>
      <c r="C177" s="32">
        <f>IFERROR(__xludf.DUMMYFUNCTION("""COMPUTED_VALUE"""),207170.0)</f>
        <v>207170</v>
      </c>
      <c r="E177" s="11"/>
    </row>
    <row r="178">
      <c r="B178" s="11">
        <f>IFERROR(__xludf.DUMMYFUNCTION("""COMPUTED_VALUE"""),40634.0)</f>
        <v>40634</v>
      </c>
      <c r="C178" s="32">
        <f>IFERROR(__xludf.DUMMYFUNCTION("""COMPUTED_VALUE"""),200733.0)</f>
        <v>200733</v>
      </c>
      <c r="E178" s="11"/>
    </row>
    <row r="179">
      <c r="B179" s="11">
        <f>IFERROR(__xludf.DUMMYFUNCTION("""COMPUTED_VALUE"""),40603.0)</f>
        <v>40603</v>
      </c>
      <c r="C179" s="32">
        <f>IFERROR(__xludf.DUMMYFUNCTION("""COMPUTED_VALUE"""),212748.0)</f>
        <v>212748</v>
      </c>
      <c r="E179" s="11"/>
    </row>
    <row r="180">
      <c r="B180" s="11">
        <f>IFERROR(__xludf.DUMMYFUNCTION("""COMPUTED_VALUE"""),40575.0)</f>
        <v>40575</v>
      </c>
      <c r="C180" s="32">
        <f>IFERROR(__xludf.DUMMYFUNCTION("""COMPUTED_VALUE"""),196393.0)</f>
        <v>196393</v>
      </c>
      <c r="E180" s="11"/>
    </row>
    <row r="181">
      <c r="B181" s="11">
        <f>IFERROR(__xludf.DUMMYFUNCTION("""COMPUTED_VALUE"""),40544.0)</f>
        <v>40544</v>
      </c>
      <c r="C181" s="32">
        <f>IFERROR(__xludf.DUMMYFUNCTION("""COMPUTED_VALUE"""),203636.0)</f>
        <v>203636</v>
      </c>
      <c r="E181" s="11"/>
    </row>
    <row r="182">
      <c r="B182" s="11">
        <f>IFERROR(__xludf.DUMMYFUNCTION("""COMPUTED_VALUE"""),40513.0)</f>
        <v>40513</v>
      </c>
      <c r="C182" s="32">
        <f>IFERROR(__xludf.DUMMYFUNCTION("""COMPUTED_VALUE"""),193452.0)</f>
        <v>193452</v>
      </c>
      <c r="E182" s="11"/>
    </row>
    <row r="183">
      <c r="B183" s="11">
        <f>IFERROR(__xludf.DUMMYFUNCTION("""COMPUTED_VALUE"""),40483.0)</f>
        <v>40483</v>
      </c>
      <c r="C183" s="32">
        <f>IFERROR(__xludf.DUMMYFUNCTION("""COMPUTED_VALUE"""),197202.0)</f>
        <v>197202</v>
      </c>
      <c r="E183" s="11"/>
    </row>
    <row r="184">
      <c r="B184" s="11">
        <f>IFERROR(__xludf.DUMMYFUNCTION("""COMPUTED_VALUE"""),40452.0)</f>
        <v>40452</v>
      </c>
      <c r="C184" s="32">
        <f>IFERROR(__xludf.DUMMYFUNCTION("""COMPUTED_VALUE"""),193066.0)</f>
        <v>193066</v>
      </c>
      <c r="E184" s="11"/>
    </row>
    <row r="185">
      <c r="B185" s="11">
        <f>IFERROR(__xludf.DUMMYFUNCTION("""COMPUTED_VALUE"""),40422.0)</f>
        <v>40422</v>
      </c>
      <c r="C185" s="32">
        <f>IFERROR(__xludf.DUMMYFUNCTION("""COMPUTED_VALUE"""),201932.0)</f>
        <v>201932</v>
      </c>
      <c r="E185" s="11"/>
    </row>
    <row r="186">
      <c r="B186" s="11">
        <f>IFERROR(__xludf.DUMMYFUNCTION("""COMPUTED_VALUE"""),40391.0)</f>
        <v>40391</v>
      </c>
      <c r="C186" s="32">
        <f>IFERROR(__xludf.DUMMYFUNCTION("""COMPUTED_VALUE"""),191745.0)</f>
        <v>191745</v>
      </c>
      <c r="E186" s="11"/>
    </row>
    <row r="187">
      <c r="B187" s="11">
        <f>IFERROR(__xludf.DUMMYFUNCTION("""COMPUTED_VALUE"""),40360.0)</f>
        <v>40360</v>
      </c>
      <c r="C187" s="32">
        <f>IFERROR(__xludf.DUMMYFUNCTION("""COMPUTED_VALUE"""),187506.0)</f>
        <v>187506</v>
      </c>
      <c r="E187" s="11"/>
    </row>
    <row r="188">
      <c r="B188" s="11">
        <f>IFERROR(__xludf.DUMMYFUNCTION("""COMPUTED_VALUE"""),40330.0)</f>
        <v>40330</v>
      </c>
      <c r="C188" s="32">
        <f>IFERROR(__xludf.DUMMYFUNCTION("""COMPUTED_VALUE"""),185667.0)</f>
        <v>185667</v>
      </c>
      <c r="E188" s="11"/>
    </row>
    <row r="189">
      <c r="B189" s="11">
        <f>IFERROR(__xludf.DUMMYFUNCTION("""COMPUTED_VALUE"""),40299.0)</f>
        <v>40299</v>
      </c>
      <c r="C189" s="32">
        <f>IFERROR(__xludf.DUMMYFUNCTION("""COMPUTED_VALUE"""),189932.0)</f>
        <v>189932</v>
      </c>
      <c r="E189" s="11"/>
    </row>
    <row r="190">
      <c r="B190" s="11">
        <f>IFERROR(__xludf.DUMMYFUNCTION("""COMPUTED_VALUE"""),40269.0)</f>
        <v>40269</v>
      </c>
      <c r="C190" s="32">
        <f>IFERROR(__xludf.DUMMYFUNCTION("""COMPUTED_VALUE"""),182948.0)</f>
        <v>182948</v>
      </c>
      <c r="E190" s="11"/>
    </row>
    <row r="191">
      <c r="B191" s="11">
        <f>IFERROR(__xludf.DUMMYFUNCTION("""COMPUTED_VALUE"""),40238.0)</f>
        <v>40238</v>
      </c>
      <c r="C191" s="32">
        <f>IFERROR(__xludf.DUMMYFUNCTION("""COMPUTED_VALUE"""),182148.0)</f>
        <v>182148</v>
      </c>
      <c r="E191" s="11"/>
    </row>
    <row r="192">
      <c r="B192" s="11">
        <f>IFERROR(__xludf.DUMMYFUNCTION("""COMPUTED_VALUE"""),40210.0)</f>
        <v>40210</v>
      </c>
      <c r="C192" s="32">
        <f>IFERROR(__xludf.DUMMYFUNCTION("""COMPUTED_VALUE"""),180450.0)</f>
        <v>180450</v>
      </c>
      <c r="E192" s="11"/>
    </row>
    <row r="193">
      <c r="B193" s="11">
        <f>IFERROR(__xludf.DUMMYFUNCTION("""COMPUTED_VALUE"""),40179.0)</f>
        <v>40179</v>
      </c>
      <c r="C193" s="32">
        <f>IFERROR(__xludf.DUMMYFUNCTION("""COMPUTED_VALUE"""),181016.0)</f>
        <v>181016</v>
      </c>
      <c r="E193" s="11"/>
    </row>
    <row r="194">
      <c r="B194" s="11">
        <f>IFERROR(__xludf.DUMMYFUNCTION("""COMPUTED_VALUE"""),40148.0)</f>
        <v>40148</v>
      </c>
      <c r="C194" s="32">
        <f>IFERROR(__xludf.DUMMYFUNCTION("""COMPUTED_VALUE"""),160520.0)</f>
        <v>160520</v>
      </c>
      <c r="E194" s="11"/>
    </row>
    <row r="195">
      <c r="B195" s="11">
        <f>IFERROR(__xludf.DUMMYFUNCTION("""COMPUTED_VALUE"""),40118.0)</f>
        <v>40118</v>
      </c>
      <c r="C195" s="32">
        <f>IFERROR(__xludf.DUMMYFUNCTION("""COMPUTED_VALUE"""),160419.0)</f>
        <v>160419</v>
      </c>
      <c r="E195" s="11"/>
    </row>
    <row r="196">
      <c r="B196" s="11">
        <f>IFERROR(__xludf.DUMMYFUNCTION("""COMPUTED_VALUE"""),40087.0)</f>
        <v>40087</v>
      </c>
      <c r="C196" s="32">
        <f>IFERROR(__xludf.DUMMYFUNCTION("""COMPUTED_VALUE"""),161097.0)</f>
        <v>161097</v>
      </c>
      <c r="E196" s="11"/>
    </row>
    <row r="197">
      <c r="B197" s="11">
        <f>IFERROR(__xludf.DUMMYFUNCTION("""COMPUTED_VALUE"""),40057.0)</f>
        <v>40057</v>
      </c>
      <c r="C197" s="32">
        <f>IFERROR(__xludf.DUMMYFUNCTION("""COMPUTED_VALUE"""),158041.0)</f>
        <v>158041</v>
      </c>
      <c r="E197" s="11"/>
    </row>
    <row r="198">
      <c r="B198" s="11">
        <f>IFERROR(__xludf.DUMMYFUNCTION("""COMPUTED_VALUE"""),40026.0)</f>
        <v>40026</v>
      </c>
      <c r="C198" s="32">
        <f>IFERROR(__xludf.DUMMYFUNCTION("""COMPUTED_VALUE"""),157489.0)</f>
        <v>157489</v>
      </c>
      <c r="E198" s="11"/>
    </row>
    <row r="199">
      <c r="B199" s="11">
        <f>IFERROR(__xludf.DUMMYFUNCTION("""COMPUTED_VALUE"""),39995.0)</f>
        <v>39995</v>
      </c>
      <c r="C199" s="32">
        <f>IFERROR(__xludf.DUMMYFUNCTION("""COMPUTED_VALUE"""),153691.0)</f>
        <v>153691</v>
      </c>
      <c r="E199" s="11"/>
    </row>
    <row r="200">
      <c r="B200" s="11">
        <f>IFERROR(__xludf.DUMMYFUNCTION("""COMPUTED_VALUE"""),39965.0)</f>
        <v>39965</v>
      </c>
      <c r="C200" s="32">
        <f>IFERROR(__xludf.DUMMYFUNCTION("""COMPUTED_VALUE"""),147033.0)</f>
        <v>147033</v>
      </c>
      <c r="E200" s="11"/>
    </row>
    <row r="201">
      <c r="B201" s="11">
        <f>IFERROR(__xludf.DUMMYFUNCTION("""COMPUTED_VALUE"""),39934.0)</f>
        <v>39934</v>
      </c>
      <c r="C201" s="32">
        <f>IFERROR(__xludf.DUMMYFUNCTION("""COMPUTED_VALUE"""),149255.0)</f>
        <v>149255</v>
      </c>
      <c r="E201" s="11"/>
    </row>
    <row r="202">
      <c r="B202" s="11">
        <f>IFERROR(__xludf.DUMMYFUNCTION("""COMPUTED_VALUE"""),39904.0)</f>
        <v>39904</v>
      </c>
      <c r="C202" s="32">
        <f>IFERROR(__xludf.DUMMYFUNCTION("""COMPUTED_VALUE"""),147467.0)</f>
        <v>147467</v>
      </c>
      <c r="E202" s="11"/>
    </row>
    <row r="203">
      <c r="B203" s="11">
        <f>IFERROR(__xludf.DUMMYFUNCTION("""COMPUTED_VALUE"""),39873.0)</f>
        <v>39873</v>
      </c>
      <c r="C203" s="32">
        <f>IFERROR(__xludf.DUMMYFUNCTION("""COMPUTED_VALUE"""),146323.0)</f>
        <v>146323</v>
      </c>
      <c r="E203" s="11"/>
    </row>
    <row r="204">
      <c r="B204" s="11">
        <f>IFERROR(__xludf.DUMMYFUNCTION("""COMPUTED_VALUE"""),39845.0)</f>
        <v>39845</v>
      </c>
      <c r="C204" s="32">
        <f>IFERROR(__xludf.DUMMYFUNCTION("""COMPUTED_VALUE"""),148834.0)</f>
        <v>148834</v>
      </c>
      <c r="E204" s="11"/>
    </row>
    <row r="205">
      <c r="B205" s="11">
        <f>IFERROR(__xludf.DUMMYFUNCTION("""COMPUTED_VALUE"""),39814.0)</f>
        <v>39814</v>
      </c>
      <c r="C205" s="32">
        <f>IFERROR(__xludf.DUMMYFUNCTION("""COMPUTED_VALUE"""),151085.0)</f>
        <v>151085</v>
      </c>
      <c r="E205" s="11"/>
    </row>
    <row r="206">
      <c r="B206" s="11">
        <f>IFERROR(__xludf.DUMMYFUNCTION("""COMPUTED_VALUE"""),39783.0)</f>
        <v>39783</v>
      </c>
      <c r="C206" s="32">
        <f>IFERROR(__xludf.DUMMYFUNCTION("""COMPUTED_VALUE"""),173849.0)</f>
        <v>173849</v>
      </c>
      <c r="E206" s="11"/>
    </row>
    <row r="207">
      <c r="B207" s="11">
        <f>IFERROR(__xludf.DUMMYFUNCTION("""COMPUTED_VALUE"""),39753.0)</f>
        <v>39753</v>
      </c>
      <c r="C207" s="32">
        <f>IFERROR(__xludf.DUMMYFUNCTION("""COMPUTED_VALUE"""),181552.0)</f>
        <v>181552</v>
      </c>
      <c r="E207" s="11"/>
    </row>
    <row r="208">
      <c r="B208" s="11">
        <f>IFERROR(__xludf.DUMMYFUNCTION("""COMPUTED_VALUE"""),39722.0)</f>
        <v>39722</v>
      </c>
      <c r="C208" s="32">
        <f>IFERROR(__xludf.DUMMYFUNCTION("""COMPUTED_VALUE"""),191912.0)</f>
        <v>191912</v>
      </c>
      <c r="E208" s="11"/>
    </row>
    <row r="209">
      <c r="B209" s="11">
        <f>IFERROR(__xludf.DUMMYFUNCTION("""COMPUTED_VALUE"""),39692.0)</f>
        <v>39692</v>
      </c>
      <c r="C209" s="32">
        <f>IFERROR(__xludf.DUMMYFUNCTION("""COMPUTED_VALUE"""),215245.0)</f>
        <v>215245</v>
      </c>
      <c r="E209" s="11"/>
    </row>
    <row r="210">
      <c r="B210" s="11">
        <f>IFERROR(__xludf.DUMMYFUNCTION("""COMPUTED_VALUE"""),39661.0)</f>
        <v>39661</v>
      </c>
      <c r="C210" s="32">
        <f>IFERROR(__xludf.DUMMYFUNCTION("""COMPUTED_VALUE"""),214106.0)</f>
        <v>214106</v>
      </c>
      <c r="E210" s="11"/>
    </row>
    <row r="211">
      <c r="B211" s="11">
        <f>IFERROR(__xludf.DUMMYFUNCTION("""COMPUTED_VALUE"""),39630.0)</f>
        <v>39630</v>
      </c>
      <c r="C211" s="32">
        <f>IFERROR(__xludf.DUMMYFUNCTION("""COMPUTED_VALUE"""),220411.0)</f>
        <v>220411</v>
      </c>
      <c r="E211" s="11"/>
    </row>
    <row r="212">
      <c r="B212" s="11">
        <f>IFERROR(__xludf.DUMMYFUNCTION("""COMPUTED_VALUE"""),39600.0)</f>
        <v>39600</v>
      </c>
      <c r="C212" s="32">
        <f>IFERROR(__xludf.DUMMYFUNCTION("""COMPUTED_VALUE"""),229262.0)</f>
        <v>229262</v>
      </c>
      <c r="E212" s="11"/>
    </row>
    <row r="213">
      <c r="B213" s="11">
        <f>IFERROR(__xludf.DUMMYFUNCTION("""COMPUTED_VALUE"""),39569.0)</f>
        <v>39569</v>
      </c>
      <c r="C213" s="32">
        <f>IFERROR(__xludf.DUMMYFUNCTION("""COMPUTED_VALUE"""),227370.0)</f>
        <v>227370</v>
      </c>
      <c r="E213" s="11"/>
    </row>
    <row r="214">
      <c r="B214" s="11">
        <f>IFERROR(__xludf.DUMMYFUNCTION("""COMPUTED_VALUE"""),39539.0)</f>
        <v>39539</v>
      </c>
      <c r="C214" s="32">
        <f>IFERROR(__xludf.DUMMYFUNCTION("""COMPUTED_VALUE"""),231086.0)</f>
        <v>231086</v>
      </c>
      <c r="E214" s="11"/>
    </row>
    <row r="215">
      <c r="B215" s="11">
        <f>IFERROR(__xludf.DUMMYFUNCTION("""COMPUTED_VALUE"""),39508.0)</f>
        <v>39508</v>
      </c>
      <c r="C215" s="32">
        <f>IFERROR(__xludf.DUMMYFUNCTION("""COMPUTED_VALUE"""),234868.0)</f>
        <v>234868</v>
      </c>
      <c r="E215" s="11"/>
    </row>
    <row r="216">
      <c r="B216" s="11">
        <f>IFERROR(__xludf.DUMMYFUNCTION("""COMPUTED_VALUE"""),39479.0)</f>
        <v>39479</v>
      </c>
      <c r="C216" s="32">
        <f>IFERROR(__xludf.DUMMYFUNCTION("""COMPUTED_VALUE"""),235037.0)</f>
        <v>235037</v>
      </c>
      <c r="E216" s="11"/>
    </row>
    <row r="217">
      <c r="B217" s="11">
        <f>IFERROR(__xludf.DUMMYFUNCTION("""COMPUTED_VALUE"""),39448.0)</f>
        <v>39448</v>
      </c>
      <c r="C217" s="32">
        <f>IFERROR(__xludf.DUMMYFUNCTION("""COMPUTED_VALUE"""),239389.0)</f>
        <v>239389</v>
      </c>
      <c r="E217" s="11"/>
    </row>
    <row r="218">
      <c r="B218" s="11">
        <f>IFERROR(__xludf.DUMMYFUNCTION("""COMPUTED_VALUE"""),39417.0)</f>
        <v>39417</v>
      </c>
      <c r="C218" s="32">
        <f>IFERROR(__xludf.DUMMYFUNCTION("""COMPUTED_VALUE"""),244443.0)</f>
        <v>244443</v>
      </c>
      <c r="E218" s="11"/>
    </row>
    <row r="219">
      <c r="B219" s="11">
        <f>IFERROR(__xludf.DUMMYFUNCTION("""COMPUTED_VALUE"""),39387.0)</f>
        <v>39387</v>
      </c>
      <c r="C219" s="32">
        <f>IFERROR(__xludf.DUMMYFUNCTION("""COMPUTED_VALUE"""),227005.0)</f>
        <v>227005</v>
      </c>
      <c r="E219" s="11"/>
    </row>
    <row r="220">
      <c r="B220" s="11">
        <f>IFERROR(__xludf.DUMMYFUNCTION("""COMPUTED_VALUE"""),39356.0)</f>
        <v>39356</v>
      </c>
      <c r="C220" s="32">
        <f>IFERROR(__xludf.DUMMYFUNCTION("""COMPUTED_VALUE"""),230700.0)</f>
        <v>230700</v>
      </c>
      <c r="E220" s="11"/>
    </row>
    <row r="221">
      <c r="B221" s="11">
        <f>IFERROR(__xludf.DUMMYFUNCTION("""COMPUTED_VALUE"""),39326.0)</f>
        <v>39326</v>
      </c>
      <c r="C221" s="32">
        <f>IFERROR(__xludf.DUMMYFUNCTION("""COMPUTED_VALUE"""),226473.0)</f>
        <v>226473</v>
      </c>
      <c r="E221" s="11"/>
    </row>
    <row r="222">
      <c r="B222" s="11">
        <f>IFERROR(__xludf.DUMMYFUNCTION("""COMPUTED_VALUE"""),39295.0)</f>
        <v>39295</v>
      </c>
      <c r="C222" s="32">
        <f>IFERROR(__xludf.DUMMYFUNCTION("""COMPUTED_VALUE"""),235758.0)</f>
        <v>235758</v>
      </c>
      <c r="E222" s="11"/>
    </row>
    <row r="223">
      <c r="B223" s="11">
        <f>IFERROR(__xludf.DUMMYFUNCTION("""COMPUTED_VALUE"""),39264.0)</f>
        <v>39264</v>
      </c>
      <c r="C223" s="32">
        <f>IFERROR(__xludf.DUMMYFUNCTION("""COMPUTED_VALUE"""),233176.0)</f>
        <v>233176</v>
      </c>
      <c r="E223" s="11"/>
    </row>
    <row r="224">
      <c r="B224" s="11">
        <f>IFERROR(__xludf.DUMMYFUNCTION("""COMPUTED_VALUE"""),39234.0)</f>
        <v>39234</v>
      </c>
      <c r="C224" s="32">
        <f>IFERROR(__xludf.DUMMYFUNCTION("""COMPUTED_VALUE"""),228868.0)</f>
        <v>228868</v>
      </c>
      <c r="E224" s="11"/>
    </row>
    <row r="225">
      <c r="B225" s="11">
        <f>IFERROR(__xludf.DUMMYFUNCTION("""COMPUTED_VALUE"""),39203.0)</f>
        <v>39203</v>
      </c>
      <c r="C225" s="32">
        <f>IFERROR(__xludf.DUMMYFUNCTION("""COMPUTED_VALUE"""),228836.0)</f>
        <v>228836</v>
      </c>
      <c r="E225" s="11"/>
    </row>
    <row r="226">
      <c r="B226" s="11">
        <f>IFERROR(__xludf.DUMMYFUNCTION("""COMPUTED_VALUE"""),39173.0)</f>
        <v>39173</v>
      </c>
      <c r="C226" s="32">
        <f>IFERROR(__xludf.DUMMYFUNCTION("""COMPUTED_VALUE"""),233420.0)</f>
        <v>233420</v>
      </c>
      <c r="E226" s="11"/>
    </row>
    <row r="227">
      <c r="B227" s="11">
        <f>IFERROR(__xludf.DUMMYFUNCTION("""COMPUTED_VALUE"""),39142.0)</f>
        <v>39142</v>
      </c>
      <c r="C227" s="32">
        <f>IFERROR(__xludf.DUMMYFUNCTION("""COMPUTED_VALUE"""),229526.0)</f>
        <v>229526</v>
      </c>
      <c r="E227" s="11"/>
    </row>
    <row r="228">
      <c r="B228" s="11">
        <f>IFERROR(__xludf.DUMMYFUNCTION("""COMPUTED_VALUE"""),39114.0)</f>
        <v>39114</v>
      </c>
      <c r="C228" s="32">
        <f>IFERROR(__xludf.DUMMYFUNCTION("""COMPUTED_VALUE"""),220962.0)</f>
        <v>220962</v>
      </c>
      <c r="E228" s="11"/>
    </row>
    <row r="229">
      <c r="B229" s="11">
        <f>IFERROR(__xludf.DUMMYFUNCTION("""COMPUTED_VALUE"""),39083.0)</f>
        <v>39083</v>
      </c>
      <c r="C229" s="32">
        <f>IFERROR(__xludf.DUMMYFUNCTION("""COMPUTED_VALUE"""),222969.0)</f>
        <v>222969</v>
      </c>
      <c r="E229" s="11"/>
    </row>
    <row r="230">
      <c r="B230" s="11">
        <f>IFERROR(__xludf.DUMMYFUNCTION("""COMPUTED_VALUE"""),39052.0)</f>
        <v>39052</v>
      </c>
      <c r="C230" s="32">
        <f>IFERROR(__xludf.DUMMYFUNCTION("""COMPUTED_VALUE"""),229243.0)</f>
        <v>229243</v>
      </c>
      <c r="E230" s="11"/>
    </row>
    <row r="231">
      <c r="B231" s="11">
        <f>IFERROR(__xludf.DUMMYFUNCTION("""COMPUTED_VALUE"""),39022.0)</f>
        <v>39022</v>
      </c>
      <c r="C231" s="32">
        <f>IFERROR(__xludf.DUMMYFUNCTION("""COMPUTED_VALUE"""),224809.0)</f>
        <v>224809</v>
      </c>
      <c r="E231" s="11"/>
    </row>
    <row r="232">
      <c r="B232" s="11">
        <f>IFERROR(__xludf.DUMMYFUNCTION("""COMPUTED_VALUE"""),38991.0)</f>
        <v>38991</v>
      </c>
      <c r="C232" s="32">
        <f>IFERROR(__xludf.DUMMYFUNCTION("""COMPUTED_VALUE"""),216952.0)</f>
        <v>216952</v>
      </c>
      <c r="E232" s="11"/>
    </row>
    <row r="233">
      <c r="B233" s="11">
        <f>IFERROR(__xludf.DUMMYFUNCTION("""COMPUTED_VALUE"""),38961.0)</f>
        <v>38961</v>
      </c>
      <c r="C233" s="32">
        <f>IFERROR(__xludf.DUMMYFUNCTION("""COMPUTED_VALUE"""),234701.0)</f>
        <v>234701</v>
      </c>
      <c r="E233" s="11"/>
    </row>
    <row r="234">
      <c r="B234" s="11">
        <f>IFERROR(__xludf.DUMMYFUNCTION("""COMPUTED_VALUE"""),38930.0)</f>
        <v>38930</v>
      </c>
      <c r="C234" s="32">
        <f>IFERROR(__xludf.DUMMYFUNCTION("""COMPUTED_VALUE"""),210473.0)</f>
        <v>210473</v>
      </c>
      <c r="E234" s="11"/>
    </row>
    <row r="235">
      <c r="B235" s="11">
        <f>IFERROR(__xludf.DUMMYFUNCTION("""COMPUTED_VALUE"""),38899.0)</f>
        <v>38899</v>
      </c>
      <c r="C235" s="32">
        <f>IFERROR(__xludf.DUMMYFUNCTION("""COMPUTED_VALUE"""),209494.0)</f>
        <v>209494</v>
      </c>
      <c r="E235" s="11"/>
    </row>
    <row r="236">
      <c r="B236" s="11">
        <f>IFERROR(__xludf.DUMMYFUNCTION("""COMPUTED_VALUE"""),38869.0)</f>
        <v>38869</v>
      </c>
      <c r="C236" s="32">
        <f>IFERROR(__xludf.DUMMYFUNCTION("""COMPUTED_VALUE"""),221220.0)</f>
        <v>221220</v>
      </c>
      <c r="E236" s="11"/>
    </row>
    <row r="237">
      <c r="B237" s="11">
        <f>IFERROR(__xludf.DUMMYFUNCTION("""COMPUTED_VALUE"""),38838.0)</f>
        <v>38838</v>
      </c>
      <c r="C237" s="32">
        <f>IFERROR(__xludf.DUMMYFUNCTION("""COMPUTED_VALUE"""),215819.0)</f>
        <v>215819</v>
      </c>
      <c r="E237" s="11"/>
    </row>
    <row r="238">
      <c r="B238" s="11">
        <f>IFERROR(__xludf.DUMMYFUNCTION("""COMPUTED_VALUE"""),38808.0)</f>
        <v>38808</v>
      </c>
      <c r="C238" s="32">
        <f>IFERROR(__xludf.DUMMYFUNCTION("""COMPUTED_VALUE"""),214625.0)</f>
        <v>214625</v>
      </c>
      <c r="E238" s="11"/>
    </row>
    <row r="239">
      <c r="B239" s="11">
        <f>IFERROR(__xludf.DUMMYFUNCTION("""COMPUTED_VALUE"""),38777.0)</f>
        <v>38777</v>
      </c>
      <c r="C239" s="32">
        <f>IFERROR(__xludf.DUMMYFUNCTION("""COMPUTED_VALUE"""),227188.0)</f>
        <v>227188</v>
      </c>
      <c r="E239" s="11"/>
    </row>
    <row r="240">
      <c r="B240" s="11">
        <f>IFERROR(__xludf.DUMMYFUNCTION("""COMPUTED_VALUE"""),38749.0)</f>
        <v>38749</v>
      </c>
      <c r="C240" s="32">
        <f>IFERROR(__xludf.DUMMYFUNCTION("""COMPUTED_VALUE"""),219738.0)</f>
        <v>219738</v>
      </c>
      <c r="E240" s="11"/>
    </row>
    <row r="241">
      <c r="B241" s="11">
        <f>IFERROR(__xludf.DUMMYFUNCTION("""COMPUTED_VALUE"""),38718.0)</f>
        <v>38718</v>
      </c>
      <c r="C241" s="32">
        <f>IFERROR(__xludf.DUMMYFUNCTION("""COMPUTED_VALUE"""),209540.0)</f>
        <v>209540</v>
      </c>
      <c r="E241" s="11"/>
    </row>
    <row r="242">
      <c r="B242" s="11">
        <f>IFERROR(__xludf.DUMMYFUNCTION("""COMPUTED_VALUE"""),38687.0)</f>
        <v>38687</v>
      </c>
      <c r="C242" s="32">
        <f>IFERROR(__xludf.DUMMYFUNCTION("""COMPUTED_VALUE"""),221499.0)</f>
        <v>221499</v>
      </c>
      <c r="E242" s="11"/>
    </row>
    <row r="243">
      <c r="B243" s="11">
        <f>IFERROR(__xludf.DUMMYFUNCTION("""COMPUTED_VALUE"""),38657.0)</f>
        <v>38657</v>
      </c>
      <c r="C243" s="32">
        <f>IFERROR(__xludf.DUMMYFUNCTION("""COMPUTED_VALUE"""),220733.0)</f>
        <v>220733</v>
      </c>
      <c r="E243" s="11"/>
    </row>
    <row r="244">
      <c r="B244" s="11">
        <f>IFERROR(__xludf.DUMMYFUNCTION("""COMPUTED_VALUE"""),38626.0)</f>
        <v>38626</v>
      </c>
      <c r="C244" s="32">
        <f>IFERROR(__xludf.DUMMYFUNCTION("""COMPUTED_VALUE"""),209901.0)</f>
        <v>209901</v>
      </c>
      <c r="E244" s="11"/>
    </row>
    <row r="245">
      <c r="B245" s="11">
        <f>IFERROR(__xludf.DUMMYFUNCTION("""COMPUTED_VALUE"""),38596.0)</f>
        <v>38596</v>
      </c>
      <c r="C245" s="32">
        <f>IFERROR(__xludf.DUMMYFUNCTION("""COMPUTED_VALUE"""),203997.0)</f>
        <v>203997</v>
      </c>
      <c r="E245" s="11"/>
    </row>
    <row r="246">
      <c r="B246" s="11">
        <f>IFERROR(__xludf.DUMMYFUNCTION("""COMPUTED_VALUE"""),38565.0)</f>
        <v>38565</v>
      </c>
      <c r="C246" s="32">
        <f>IFERROR(__xludf.DUMMYFUNCTION("""COMPUTED_VALUE"""),204839.0)</f>
        <v>204839</v>
      </c>
      <c r="E246" s="11"/>
    </row>
    <row r="247">
      <c r="B247" s="11">
        <f>IFERROR(__xludf.DUMMYFUNCTION("""COMPUTED_VALUE"""),38534.0)</f>
        <v>38534</v>
      </c>
      <c r="C247" s="32">
        <f>IFERROR(__xludf.DUMMYFUNCTION("""COMPUTED_VALUE"""),194475.0)</f>
        <v>194475</v>
      </c>
      <c r="E247" s="11"/>
    </row>
    <row r="248">
      <c r="B248" s="11">
        <f>IFERROR(__xludf.DUMMYFUNCTION("""COMPUTED_VALUE"""),38504.0)</f>
        <v>38504</v>
      </c>
      <c r="C248" s="32">
        <f>IFERROR(__xludf.DUMMYFUNCTION("""COMPUTED_VALUE"""),210020.0)</f>
        <v>210020</v>
      </c>
      <c r="E248" s="11"/>
    </row>
    <row r="249">
      <c r="B249" s="11">
        <f>IFERROR(__xludf.DUMMYFUNCTION("""COMPUTED_VALUE"""),38473.0)</f>
        <v>38473</v>
      </c>
      <c r="C249" s="32">
        <f>IFERROR(__xludf.DUMMYFUNCTION("""COMPUTED_VALUE"""),206623.0)</f>
        <v>206623</v>
      </c>
      <c r="E249" s="11"/>
    </row>
    <row r="250">
      <c r="B250" s="11">
        <f>IFERROR(__xludf.DUMMYFUNCTION("""COMPUTED_VALUE"""),38443.0)</f>
        <v>38443</v>
      </c>
      <c r="C250" s="32">
        <f>IFERROR(__xludf.DUMMYFUNCTION("""COMPUTED_VALUE"""),194847.0)</f>
        <v>194847</v>
      </c>
      <c r="E250" s="11"/>
    </row>
    <row r="251">
      <c r="B251" s="11">
        <f>IFERROR(__xludf.DUMMYFUNCTION("""COMPUTED_VALUE"""),38412.0)</f>
        <v>38412</v>
      </c>
      <c r="C251" s="32">
        <f>IFERROR(__xludf.DUMMYFUNCTION("""COMPUTED_VALUE"""),186608.0)</f>
        <v>186608</v>
      </c>
      <c r="E251" s="11"/>
    </row>
    <row r="252">
      <c r="B252" s="11">
        <f>IFERROR(__xludf.DUMMYFUNCTION("""COMPUTED_VALUE"""),38384.0)</f>
        <v>38384</v>
      </c>
      <c r="C252" s="32">
        <f>IFERROR(__xludf.DUMMYFUNCTION("""COMPUTED_VALUE"""),196475.0)</f>
        <v>196475</v>
      </c>
      <c r="E252" s="11"/>
    </row>
    <row r="253">
      <c r="B253" s="11">
        <f>IFERROR(__xludf.DUMMYFUNCTION("""COMPUTED_VALUE"""),38353.0)</f>
        <v>38353</v>
      </c>
      <c r="C253" s="32">
        <f>IFERROR(__xludf.DUMMYFUNCTION("""COMPUTED_VALUE"""),194875.0)</f>
        <v>194875</v>
      </c>
      <c r="E253" s="11"/>
    </row>
    <row r="254">
      <c r="B254" s="11">
        <f>IFERROR(__xludf.DUMMYFUNCTION("""COMPUTED_VALUE"""),38322.0)</f>
        <v>38322</v>
      </c>
      <c r="C254" s="32">
        <f>IFERROR(__xludf.DUMMYFUNCTION("""COMPUTED_VALUE"""),193578.0)</f>
        <v>193578</v>
      </c>
      <c r="E254" s="11"/>
    </row>
    <row r="255">
      <c r="B255" s="11">
        <f>IFERROR(__xludf.DUMMYFUNCTION("""COMPUTED_VALUE"""),38292.0)</f>
        <v>38292</v>
      </c>
      <c r="C255" s="32">
        <f>IFERROR(__xludf.DUMMYFUNCTION("""COMPUTED_VALUE"""),192545.0)</f>
        <v>192545</v>
      </c>
      <c r="E255" s="11"/>
    </row>
    <row r="256">
      <c r="B256" s="11">
        <f>IFERROR(__xludf.DUMMYFUNCTION("""COMPUTED_VALUE"""),38261.0)</f>
        <v>38261</v>
      </c>
      <c r="C256" s="32">
        <f>IFERROR(__xludf.DUMMYFUNCTION("""COMPUTED_VALUE"""),185187.0)</f>
        <v>185187</v>
      </c>
      <c r="E256" s="11"/>
    </row>
    <row r="257">
      <c r="B257" s="11">
        <f>IFERROR(__xludf.DUMMYFUNCTION("""COMPUTED_VALUE"""),38231.0)</f>
        <v>38231</v>
      </c>
      <c r="C257" s="32">
        <f>IFERROR(__xludf.DUMMYFUNCTION("""COMPUTED_VALUE"""),188444.0)</f>
        <v>188444</v>
      </c>
      <c r="E257" s="11"/>
    </row>
    <row r="258">
      <c r="B258" s="11">
        <f>IFERROR(__xludf.DUMMYFUNCTION("""COMPUTED_VALUE"""),38200.0)</f>
        <v>38200</v>
      </c>
      <c r="C258" s="32">
        <f>IFERROR(__xludf.DUMMYFUNCTION("""COMPUTED_VALUE"""),183728.0)</f>
        <v>183728</v>
      </c>
      <c r="E258" s="11"/>
    </row>
    <row r="259">
      <c r="B259" s="11">
        <f>IFERROR(__xludf.DUMMYFUNCTION("""COMPUTED_VALUE"""),38169.0)</f>
        <v>38169</v>
      </c>
      <c r="C259" s="32">
        <f>IFERROR(__xludf.DUMMYFUNCTION("""COMPUTED_VALUE"""),186835.0)</f>
        <v>186835</v>
      </c>
      <c r="E259" s="11"/>
    </row>
    <row r="260">
      <c r="B260" s="11">
        <f>IFERROR(__xludf.DUMMYFUNCTION("""COMPUTED_VALUE"""),38139.0)</f>
        <v>38139</v>
      </c>
      <c r="C260" s="32">
        <f>IFERROR(__xludf.DUMMYFUNCTION("""COMPUTED_VALUE"""),185640.0)</f>
        <v>185640</v>
      </c>
      <c r="E260" s="11"/>
    </row>
    <row r="261">
      <c r="B261" s="11">
        <f>IFERROR(__xludf.DUMMYFUNCTION("""COMPUTED_VALUE"""),38108.0)</f>
        <v>38108</v>
      </c>
      <c r="C261" s="32">
        <f>IFERROR(__xludf.DUMMYFUNCTION("""COMPUTED_VALUE"""),183459.0)</f>
        <v>183459</v>
      </c>
      <c r="E261" s="11"/>
    </row>
    <row r="262">
      <c r="B262" s="11">
        <f>IFERROR(__xludf.DUMMYFUNCTION("""COMPUTED_VALUE"""),38078.0)</f>
        <v>38078</v>
      </c>
      <c r="C262" s="32">
        <f>IFERROR(__xludf.DUMMYFUNCTION("""COMPUTED_VALUE"""),184368.0)</f>
        <v>184368</v>
      </c>
      <c r="E262" s="11"/>
    </row>
    <row r="263">
      <c r="B263" s="11">
        <f>IFERROR(__xludf.DUMMYFUNCTION("""COMPUTED_VALUE"""),38047.0)</f>
        <v>38047</v>
      </c>
      <c r="C263" s="32">
        <f>IFERROR(__xludf.DUMMYFUNCTION("""COMPUTED_VALUE"""),190869.0)</f>
        <v>190869</v>
      </c>
      <c r="E263" s="11"/>
    </row>
    <row r="264">
      <c r="B264" s="11">
        <f>IFERROR(__xludf.DUMMYFUNCTION("""COMPUTED_VALUE"""),38018.0)</f>
        <v>38018</v>
      </c>
      <c r="C264" s="32">
        <f>IFERROR(__xludf.DUMMYFUNCTION("""COMPUTED_VALUE"""),181662.0)</f>
        <v>181662</v>
      </c>
      <c r="E264" s="11"/>
    </row>
    <row r="265">
      <c r="B265" s="11">
        <f>IFERROR(__xludf.DUMMYFUNCTION("""COMPUTED_VALUE"""),37987.0)</f>
        <v>37987</v>
      </c>
      <c r="C265" s="32">
        <f>IFERROR(__xludf.DUMMYFUNCTION("""COMPUTED_VALUE"""),178696.0)</f>
        <v>178696</v>
      </c>
      <c r="E265" s="11"/>
    </row>
    <row r="266">
      <c r="B266" s="11">
        <f>IFERROR(__xludf.DUMMYFUNCTION("""COMPUTED_VALUE"""),37956.0)</f>
        <v>37956</v>
      </c>
      <c r="C266" s="32">
        <f>IFERROR(__xludf.DUMMYFUNCTION("""COMPUTED_VALUE"""),181513.0)</f>
        <v>181513</v>
      </c>
      <c r="E266" s="11"/>
    </row>
    <row r="267">
      <c r="B267" s="11">
        <f>IFERROR(__xludf.DUMMYFUNCTION("""COMPUTED_VALUE"""),37926.0)</f>
        <v>37926</v>
      </c>
      <c r="C267" s="32">
        <f>IFERROR(__xludf.DUMMYFUNCTION("""COMPUTED_VALUE"""),181685.0)</f>
        <v>181685</v>
      </c>
      <c r="E267" s="11"/>
    </row>
    <row r="268">
      <c r="B268" s="11">
        <f>IFERROR(__xludf.DUMMYFUNCTION("""COMPUTED_VALUE"""),37895.0)</f>
        <v>37895</v>
      </c>
      <c r="C268" s="32">
        <f>IFERROR(__xludf.DUMMYFUNCTION("""COMPUTED_VALUE"""),183704.0)</f>
        <v>183704</v>
      </c>
      <c r="E268" s="11"/>
    </row>
    <row r="269">
      <c r="B269" s="11">
        <f>IFERROR(__xludf.DUMMYFUNCTION("""COMPUTED_VALUE"""),37865.0)</f>
        <v>37865</v>
      </c>
      <c r="C269" s="32">
        <f>IFERROR(__xludf.DUMMYFUNCTION("""COMPUTED_VALUE"""),178690.0)</f>
        <v>178690</v>
      </c>
      <c r="E269" s="11"/>
    </row>
    <row r="270">
      <c r="B270" s="11">
        <f>IFERROR(__xludf.DUMMYFUNCTION("""COMPUTED_VALUE"""),37834.0)</f>
        <v>37834</v>
      </c>
      <c r="C270" s="32">
        <f>IFERROR(__xludf.DUMMYFUNCTION("""COMPUTED_VALUE"""),173044.0)</f>
        <v>173044</v>
      </c>
      <c r="E270" s="11"/>
    </row>
    <row r="271">
      <c r="B271" s="11">
        <f>IFERROR(__xludf.DUMMYFUNCTION("""COMPUTED_VALUE"""),37803.0)</f>
        <v>37803</v>
      </c>
      <c r="C271" s="32">
        <f>IFERROR(__xludf.DUMMYFUNCTION("""COMPUTED_VALUE"""),173320.0)</f>
        <v>173320</v>
      </c>
      <c r="E271" s="11"/>
    </row>
    <row r="272">
      <c r="B272" s="11">
        <f>IFERROR(__xludf.DUMMYFUNCTION("""COMPUTED_VALUE"""),37773.0)</f>
        <v>37773</v>
      </c>
      <c r="C272" s="32">
        <f>IFERROR(__xludf.DUMMYFUNCTION("""COMPUTED_VALUE"""),173507.0)</f>
        <v>173507</v>
      </c>
      <c r="E272" s="11"/>
    </row>
    <row r="273">
      <c r="B273" s="11">
        <f>IFERROR(__xludf.DUMMYFUNCTION("""COMPUTED_VALUE"""),37742.0)</f>
        <v>37742</v>
      </c>
      <c r="C273" s="32">
        <f>IFERROR(__xludf.DUMMYFUNCTION("""COMPUTED_VALUE"""),171542.0)</f>
        <v>171542</v>
      </c>
      <c r="E273" s="11"/>
    </row>
    <row r="274">
      <c r="B274" s="11">
        <f>IFERROR(__xludf.DUMMYFUNCTION("""COMPUTED_VALUE"""),37712.0)</f>
        <v>37712</v>
      </c>
      <c r="C274" s="32">
        <f>IFERROR(__xludf.DUMMYFUNCTION("""COMPUTED_VALUE"""),169347.0)</f>
        <v>169347</v>
      </c>
      <c r="E274" s="11"/>
    </row>
    <row r="275">
      <c r="B275" s="11">
        <f>IFERROR(__xludf.DUMMYFUNCTION("""COMPUTED_VALUE"""),37681.0)</f>
        <v>37681</v>
      </c>
      <c r="C275" s="32">
        <f>IFERROR(__xludf.DUMMYFUNCTION("""COMPUTED_VALUE"""),172245.0)</f>
        <v>172245</v>
      </c>
      <c r="E275" s="11"/>
    </row>
    <row r="276">
      <c r="B276" s="11">
        <f>IFERROR(__xludf.DUMMYFUNCTION("""COMPUTED_VALUE"""),37653.0)</f>
        <v>37653</v>
      </c>
      <c r="C276" s="32">
        <f>IFERROR(__xludf.DUMMYFUNCTION("""COMPUTED_VALUE"""),174113.0)</f>
        <v>174113</v>
      </c>
      <c r="E276" s="11"/>
    </row>
    <row r="277">
      <c r="B277" s="11">
        <f>IFERROR(__xludf.DUMMYFUNCTION("""COMPUTED_VALUE"""),37622.0)</f>
        <v>37622</v>
      </c>
      <c r="C277" s="32">
        <f>IFERROR(__xludf.DUMMYFUNCTION("""COMPUTED_VALUE"""),169994.0)</f>
        <v>169994</v>
      </c>
      <c r="E277" s="11"/>
    </row>
    <row r="278">
      <c r="B278" s="11">
        <f>IFERROR(__xludf.DUMMYFUNCTION("""COMPUTED_VALUE"""),37591.0)</f>
        <v>37591</v>
      </c>
      <c r="C278" s="32">
        <f>IFERROR(__xludf.DUMMYFUNCTION("""COMPUTED_VALUE"""),163962.0)</f>
        <v>163962</v>
      </c>
      <c r="E278" s="11"/>
    </row>
    <row r="279">
      <c r="B279" s="11">
        <f>IFERROR(__xludf.DUMMYFUNCTION("""COMPUTED_VALUE"""),37561.0)</f>
        <v>37561</v>
      </c>
      <c r="C279" s="32">
        <f>IFERROR(__xludf.DUMMYFUNCTION("""COMPUTED_VALUE"""),170023.0)</f>
        <v>170023</v>
      </c>
      <c r="E279" s="11"/>
    </row>
    <row r="280">
      <c r="B280" s="11">
        <f>IFERROR(__xludf.DUMMYFUNCTION("""COMPUTED_VALUE"""),37530.0)</f>
        <v>37530</v>
      </c>
      <c r="C280" s="32">
        <f>IFERROR(__xludf.DUMMYFUNCTION("""COMPUTED_VALUE"""),169134.0)</f>
        <v>169134</v>
      </c>
      <c r="E280" s="11"/>
    </row>
    <row r="281">
      <c r="B281" s="11">
        <f>IFERROR(__xludf.DUMMYFUNCTION("""COMPUTED_VALUE"""),37500.0)</f>
        <v>37500</v>
      </c>
      <c r="C281" s="32">
        <f>IFERROR(__xludf.DUMMYFUNCTION("""COMPUTED_VALUE"""),166838.0)</f>
        <v>166838</v>
      </c>
      <c r="E281" s="11"/>
    </row>
    <row r="282">
      <c r="B282" s="11">
        <f>IFERROR(__xludf.DUMMYFUNCTION("""COMPUTED_VALUE"""),37469.0)</f>
        <v>37469</v>
      </c>
      <c r="C282" s="32">
        <f>IFERROR(__xludf.DUMMYFUNCTION("""COMPUTED_VALUE"""),177126.0)</f>
        <v>177126</v>
      </c>
      <c r="E282" s="11"/>
    </row>
    <row r="283">
      <c r="B283" s="11">
        <f>IFERROR(__xludf.DUMMYFUNCTION("""COMPUTED_VALUE"""),37438.0)</f>
        <v>37438</v>
      </c>
      <c r="C283" s="32">
        <f>IFERROR(__xludf.DUMMYFUNCTION("""COMPUTED_VALUE"""),174282.0)</f>
        <v>174282</v>
      </c>
      <c r="E283" s="11"/>
    </row>
    <row r="284">
      <c r="B284" s="11">
        <f>IFERROR(__xludf.DUMMYFUNCTION("""COMPUTED_VALUE"""),37408.0)</f>
        <v>37408</v>
      </c>
      <c r="C284" s="32">
        <f>IFERROR(__xludf.DUMMYFUNCTION("""COMPUTED_VALUE"""),166070.0)</f>
        <v>166070</v>
      </c>
      <c r="E284" s="11"/>
    </row>
    <row r="285">
      <c r="B285" s="11">
        <f>IFERROR(__xludf.DUMMYFUNCTION("""COMPUTED_VALUE"""),37377.0)</f>
        <v>37377</v>
      </c>
      <c r="C285" s="32">
        <f>IFERROR(__xludf.DUMMYFUNCTION("""COMPUTED_VALUE"""),171854.0)</f>
        <v>171854</v>
      </c>
      <c r="E285" s="11"/>
    </row>
    <row r="286">
      <c r="B286" s="11">
        <f>IFERROR(__xludf.DUMMYFUNCTION("""COMPUTED_VALUE"""),37347.0)</f>
        <v>37347</v>
      </c>
      <c r="C286" s="32">
        <f>IFERROR(__xludf.DUMMYFUNCTION("""COMPUTED_VALUE"""),171852.0)</f>
        <v>171852</v>
      </c>
      <c r="E286" s="11"/>
    </row>
    <row r="287">
      <c r="B287" s="11">
        <f>IFERROR(__xludf.DUMMYFUNCTION("""COMPUTED_VALUE"""),37316.0)</f>
        <v>37316</v>
      </c>
      <c r="C287" s="32">
        <f>IFERROR(__xludf.DUMMYFUNCTION("""COMPUTED_VALUE"""),167853.0)</f>
        <v>167853</v>
      </c>
      <c r="E287" s="11"/>
    </row>
    <row r="288">
      <c r="B288" s="11">
        <f>IFERROR(__xludf.DUMMYFUNCTION("""COMPUTED_VALUE"""),37288.0)</f>
        <v>37288</v>
      </c>
      <c r="C288" s="32">
        <f>IFERROR(__xludf.DUMMYFUNCTION("""COMPUTED_VALUE"""),172406.0)</f>
        <v>172406</v>
      </c>
      <c r="E288" s="11"/>
    </row>
    <row r="289">
      <c r="B289" s="11">
        <f>IFERROR(__xludf.DUMMYFUNCTION("""COMPUTED_VALUE"""),37257.0)</f>
        <v>37257</v>
      </c>
      <c r="C289" s="32">
        <f>IFERROR(__xludf.DUMMYFUNCTION("""COMPUTED_VALUE"""),163324.0)</f>
        <v>163324</v>
      </c>
      <c r="E289" s="11"/>
    </row>
    <row r="290">
      <c r="B290" s="11">
        <f>IFERROR(__xludf.DUMMYFUNCTION("""COMPUTED_VALUE"""),37226.0)</f>
        <v>37226</v>
      </c>
      <c r="C290" s="32">
        <f>IFERROR(__xludf.DUMMYFUNCTION("""COMPUTED_VALUE"""),165304.0)</f>
        <v>165304</v>
      </c>
      <c r="E290" s="11"/>
    </row>
    <row r="291">
      <c r="B291" s="11">
        <f>IFERROR(__xludf.DUMMYFUNCTION("""COMPUTED_VALUE"""),37196.0)</f>
        <v>37196</v>
      </c>
      <c r="C291" s="32">
        <f>IFERROR(__xludf.DUMMYFUNCTION("""COMPUTED_VALUE"""),163811.0)</f>
        <v>163811</v>
      </c>
      <c r="E291" s="11"/>
    </row>
    <row r="292">
      <c r="B292" s="11">
        <f>IFERROR(__xludf.DUMMYFUNCTION("""COMPUTED_VALUE"""),37165.0)</f>
        <v>37165</v>
      </c>
      <c r="C292" s="32">
        <f>IFERROR(__xludf.DUMMYFUNCTION("""COMPUTED_VALUE"""),171530.0)</f>
        <v>171530</v>
      </c>
      <c r="E292" s="11"/>
    </row>
    <row r="293">
      <c r="B293" s="11">
        <f>IFERROR(__xludf.DUMMYFUNCTION("""COMPUTED_VALUE"""),37135.0)</f>
        <v>37135</v>
      </c>
      <c r="C293" s="32">
        <f>IFERROR(__xludf.DUMMYFUNCTION("""COMPUTED_VALUE"""),164123.0)</f>
        <v>164123</v>
      </c>
      <c r="E293" s="11"/>
    </row>
    <row r="294">
      <c r="B294" s="11">
        <f>IFERROR(__xludf.DUMMYFUNCTION("""COMPUTED_VALUE"""),37104.0)</f>
        <v>37104</v>
      </c>
      <c r="C294" s="32">
        <f>IFERROR(__xludf.DUMMYFUNCTION("""COMPUTED_VALUE"""),170484.0)</f>
        <v>170484</v>
      </c>
      <c r="E294" s="11"/>
    </row>
    <row r="295">
      <c r="B295" s="11">
        <f>IFERROR(__xludf.DUMMYFUNCTION("""COMPUTED_VALUE"""),37073.0)</f>
        <v>37073</v>
      </c>
      <c r="C295" s="32">
        <f>IFERROR(__xludf.DUMMYFUNCTION("""COMPUTED_VALUE"""),170129.0)</f>
        <v>170129</v>
      </c>
      <c r="E295" s="11"/>
    </row>
    <row r="296">
      <c r="B296" s="11">
        <f>IFERROR(__xludf.DUMMYFUNCTION("""COMPUTED_VALUE"""),37043.0)</f>
        <v>37043</v>
      </c>
      <c r="C296" s="32">
        <f>IFERROR(__xludf.DUMMYFUNCTION("""COMPUTED_VALUE"""),176350.0)</f>
        <v>176350</v>
      </c>
      <c r="E296" s="11"/>
    </row>
    <row r="297">
      <c r="B297" s="11">
        <f>IFERROR(__xludf.DUMMYFUNCTION("""COMPUTED_VALUE"""),37012.0)</f>
        <v>37012</v>
      </c>
      <c r="C297" s="32">
        <f>IFERROR(__xludf.DUMMYFUNCTION("""COMPUTED_VALUE"""),177749.0)</f>
        <v>177749</v>
      </c>
      <c r="E297" s="11"/>
    </row>
    <row r="298">
      <c r="B298" s="11">
        <f>IFERROR(__xludf.DUMMYFUNCTION("""COMPUTED_VALUE"""),36982.0)</f>
        <v>36982</v>
      </c>
      <c r="C298" s="32">
        <f>IFERROR(__xludf.DUMMYFUNCTION("""COMPUTED_VALUE"""),171850.0)</f>
        <v>171850</v>
      </c>
      <c r="E298" s="11"/>
    </row>
    <row r="299">
      <c r="B299" s="11">
        <f>IFERROR(__xludf.DUMMYFUNCTION("""COMPUTED_VALUE"""),36951.0)</f>
        <v>36951</v>
      </c>
      <c r="C299" s="32">
        <f>IFERROR(__xludf.DUMMYFUNCTION("""COMPUTED_VALUE"""),182209.0)</f>
        <v>182209</v>
      </c>
      <c r="E299" s="11"/>
    </row>
    <row r="300">
      <c r="B300" s="11">
        <f>IFERROR(__xludf.DUMMYFUNCTION("""COMPUTED_VALUE"""),36923.0)</f>
        <v>36923</v>
      </c>
      <c r="C300" s="32">
        <f>IFERROR(__xludf.DUMMYFUNCTION("""COMPUTED_VALUE"""),180276.0)</f>
        <v>180276</v>
      </c>
      <c r="E300" s="11"/>
    </row>
    <row r="301">
      <c r="B301" s="11">
        <f>IFERROR(__xludf.DUMMYFUNCTION("""COMPUTED_VALUE"""),36892.0)</f>
        <v>36892</v>
      </c>
      <c r="C301" s="32">
        <f>IFERROR(__xludf.DUMMYFUNCTION("""COMPUTED_VALUE"""),177056.0)</f>
        <v>177056</v>
      </c>
      <c r="E301" s="11"/>
    </row>
    <row r="302">
      <c r="B302" s="11">
        <f>IFERROR(__xludf.DUMMYFUNCTION("""COMPUTED_VALUE"""),36861.0)</f>
        <v>36861</v>
      </c>
      <c r="C302" s="32">
        <f>IFERROR(__xludf.DUMMYFUNCTION("""COMPUTED_VALUE"""),188659.0)</f>
        <v>188659</v>
      </c>
      <c r="E302" s="11"/>
    </row>
    <row r="303">
      <c r="B303" s="11">
        <f>IFERROR(__xludf.DUMMYFUNCTION("""COMPUTED_VALUE"""),36831.0)</f>
        <v>36831</v>
      </c>
      <c r="C303" s="32">
        <f>IFERROR(__xludf.DUMMYFUNCTION("""COMPUTED_VALUE"""),189392.0)</f>
        <v>189392</v>
      </c>
      <c r="E303" s="11"/>
    </row>
    <row r="304">
      <c r="B304" s="11">
        <f>IFERROR(__xludf.DUMMYFUNCTION("""COMPUTED_VALUE"""),36800.0)</f>
        <v>36800</v>
      </c>
      <c r="C304" s="32">
        <f>IFERROR(__xludf.DUMMYFUNCTION("""COMPUTED_VALUE"""),186158.0)</f>
        <v>186158</v>
      </c>
      <c r="E304" s="11"/>
    </row>
    <row r="305">
      <c r="B305" s="11">
        <f>IFERROR(__xludf.DUMMYFUNCTION("""COMPUTED_VALUE"""),36770.0)</f>
        <v>36770</v>
      </c>
      <c r="C305" s="32">
        <f>IFERROR(__xludf.DUMMYFUNCTION("""COMPUTED_VALUE"""),199947.0)</f>
        <v>199947</v>
      </c>
      <c r="E305" s="11"/>
    </row>
    <row r="306">
      <c r="B306" s="11">
        <f>IFERROR(__xludf.DUMMYFUNCTION("""COMPUTED_VALUE"""),36739.0)</f>
        <v>36739</v>
      </c>
      <c r="C306" s="32">
        <f>IFERROR(__xludf.DUMMYFUNCTION("""COMPUTED_VALUE"""),188730.0)</f>
        <v>188730</v>
      </c>
      <c r="E306" s="11"/>
    </row>
    <row r="307">
      <c r="B307" s="11">
        <f>IFERROR(__xludf.DUMMYFUNCTION("""COMPUTED_VALUE"""),36708.0)</f>
        <v>36708</v>
      </c>
      <c r="C307" s="32">
        <f>IFERROR(__xludf.DUMMYFUNCTION("""COMPUTED_VALUE"""),189265.0)</f>
        <v>189265</v>
      </c>
      <c r="E307" s="11"/>
    </row>
    <row r="308">
      <c r="B308" s="11">
        <f>IFERROR(__xludf.DUMMYFUNCTION("""COMPUTED_VALUE"""),36678.0)</f>
        <v>36678</v>
      </c>
      <c r="C308" s="32">
        <f>IFERROR(__xludf.DUMMYFUNCTION("""COMPUTED_VALUE"""),219745.0)</f>
        <v>219745</v>
      </c>
      <c r="E308" s="11"/>
    </row>
    <row r="309">
      <c r="B309" s="11">
        <f>IFERROR(__xludf.DUMMYFUNCTION("""COMPUTED_VALUE"""),36647.0)</f>
        <v>36647</v>
      </c>
      <c r="C309" s="32">
        <f>IFERROR(__xludf.DUMMYFUNCTION("""COMPUTED_VALUE"""),188606.0)</f>
        <v>188606</v>
      </c>
      <c r="E309" s="11"/>
    </row>
    <row r="310">
      <c r="B310" s="11">
        <f>IFERROR(__xludf.DUMMYFUNCTION("""COMPUTED_VALUE"""),36617.0)</f>
        <v>36617</v>
      </c>
      <c r="C310" s="32">
        <f>IFERROR(__xludf.DUMMYFUNCTION("""COMPUTED_VALUE"""),195044.0)</f>
        <v>195044</v>
      </c>
      <c r="E310" s="11"/>
    </row>
    <row r="311">
      <c r="B311" s="11">
        <f>IFERROR(__xludf.DUMMYFUNCTION("""COMPUTED_VALUE"""),36586.0)</f>
        <v>36586</v>
      </c>
      <c r="C311" s="32">
        <f>IFERROR(__xludf.DUMMYFUNCTION("""COMPUTED_VALUE"""),192130.0)</f>
        <v>192130</v>
      </c>
      <c r="E311" s="11"/>
    </row>
    <row r="312">
      <c r="B312" s="11">
        <f>IFERROR(__xludf.DUMMYFUNCTION("""COMPUTED_VALUE"""),36557.0)</f>
        <v>36557</v>
      </c>
      <c r="C312" s="32">
        <f>IFERROR(__xludf.DUMMYFUNCTION("""COMPUTED_VALUE"""),183911.0)</f>
        <v>183911</v>
      </c>
      <c r="E312" s="11"/>
    </row>
    <row r="313">
      <c r="B313" s="11">
        <f>IFERROR(__xludf.DUMMYFUNCTION("""COMPUTED_VALUE"""),36526.0)</f>
        <v>36526</v>
      </c>
      <c r="C313" s="32">
        <f>IFERROR(__xludf.DUMMYFUNCTION("""COMPUTED_VALUE"""),201360.0)</f>
        <v>201360</v>
      </c>
      <c r="E313" s="11"/>
    </row>
    <row r="314">
      <c r="B314" s="11">
        <f>IFERROR(__xludf.DUMMYFUNCTION("""COMPUTED_VALUE"""),36495.0)</f>
        <v>36495</v>
      </c>
      <c r="C314" s="32">
        <f>IFERROR(__xludf.DUMMYFUNCTION("""COMPUTED_VALUE"""),196344.0)</f>
        <v>196344</v>
      </c>
      <c r="E314" s="11"/>
    </row>
    <row r="315">
      <c r="B315" s="11">
        <f>IFERROR(__xludf.DUMMYFUNCTION("""COMPUTED_VALUE"""),36465.0)</f>
        <v>36465</v>
      </c>
      <c r="C315" s="32">
        <f>IFERROR(__xludf.DUMMYFUNCTION("""COMPUTED_VALUE"""),186597.0)</f>
        <v>186597</v>
      </c>
      <c r="E315" s="11"/>
    </row>
    <row r="316">
      <c r="B316" s="11">
        <f>IFERROR(__xludf.DUMMYFUNCTION("""COMPUTED_VALUE"""),36434.0)</f>
        <v>36434</v>
      </c>
      <c r="C316" s="32">
        <f>IFERROR(__xludf.DUMMYFUNCTION("""COMPUTED_VALUE"""),194547.0)</f>
        <v>194547</v>
      </c>
      <c r="E316" s="11"/>
    </row>
    <row r="317">
      <c r="B317" s="11">
        <f>IFERROR(__xludf.DUMMYFUNCTION("""COMPUTED_VALUE"""),36404.0)</f>
        <v>36404</v>
      </c>
      <c r="C317" s="32">
        <f>IFERROR(__xludf.DUMMYFUNCTION("""COMPUTED_VALUE"""),188910.0)</f>
        <v>188910</v>
      </c>
      <c r="E317" s="11"/>
    </row>
    <row r="318">
      <c r="B318" s="11">
        <f>IFERROR(__xludf.DUMMYFUNCTION("""COMPUTED_VALUE"""),36373.0)</f>
        <v>36373</v>
      </c>
      <c r="C318" s="32">
        <f>IFERROR(__xludf.DUMMYFUNCTION("""COMPUTED_VALUE"""),189414.0)</f>
        <v>189414</v>
      </c>
      <c r="E318" s="11"/>
    </row>
    <row r="319">
      <c r="B319" s="11">
        <f>IFERROR(__xludf.DUMMYFUNCTION("""COMPUTED_VALUE"""),36342.0)</f>
        <v>36342</v>
      </c>
      <c r="C319" s="32">
        <f>IFERROR(__xludf.DUMMYFUNCTION("""COMPUTED_VALUE"""),189083.0)</f>
        <v>189083</v>
      </c>
      <c r="E319" s="11"/>
    </row>
    <row r="320">
      <c r="B320" s="11">
        <f>IFERROR(__xludf.DUMMYFUNCTION("""COMPUTED_VALUE"""),36312.0)</f>
        <v>36312</v>
      </c>
      <c r="C320" s="32">
        <f>IFERROR(__xludf.DUMMYFUNCTION("""COMPUTED_VALUE"""),182590.0)</f>
        <v>182590</v>
      </c>
      <c r="E320" s="11"/>
    </row>
    <row r="321">
      <c r="B321" s="11">
        <f>IFERROR(__xludf.DUMMYFUNCTION("""COMPUTED_VALUE"""),36281.0)</f>
        <v>36281</v>
      </c>
      <c r="C321" s="32">
        <f>IFERROR(__xludf.DUMMYFUNCTION("""COMPUTED_VALUE"""),185963.0)</f>
        <v>185963</v>
      </c>
      <c r="E321" s="11"/>
    </row>
    <row r="322">
      <c r="B322" s="11">
        <f>IFERROR(__xludf.DUMMYFUNCTION("""COMPUTED_VALUE"""),36251.0)</f>
        <v>36251</v>
      </c>
      <c r="C322" s="32">
        <f>IFERROR(__xludf.DUMMYFUNCTION("""COMPUTED_VALUE"""),182993.0)</f>
        <v>182993</v>
      </c>
      <c r="E322" s="11"/>
    </row>
    <row r="323">
      <c r="B323" s="11">
        <f>IFERROR(__xludf.DUMMYFUNCTION("""COMPUTED_VALUE"""),36220.0)</f>
        <v>36220</v>
      </c>
      <c r="C323" s="32">
        <f>IFERROR(__xludf.DUMMYFUNCTION("""COMPUTED_VALUE"""),184689.0)</f>
        <v>184689</v>
      </c>
      <c r="E323" s="11"/>
    </row>
    <row r="324">
      <c r="B324" s="11">
        <f>IFERROR(__xludf.DUMMYFUNCTION("""COMPUTED_VALUE"""),36192.0)</f>
        <v>36192</v>
      </c>
      <c r="C324" s="32">
        <f>IFERROR(__xludf.DUMMYFUNCTION("""COMPUTED_VALUE"""),185546.0)</f>
        <v>185546</v>
      </c>
      <c r="E324" s="11"/>
    </row>
    <row r="325">
      <c r="B325" s="11">
        <f>IFERROR(__xludf.DUMMYFUNCTION("""COMPUTED_VALUE"""),36161.0)</f>
        <v>36161</v>
      </c>
      <c r="C325" s="32">
        <f>IFERROR(__xludf.DUMMYFUNCTION("""COMPUTED_VALUE"""),186527.0)</f>
        <v>186527</v>
      </c>
      <c r="E325" s="11"/>
    </row>
    <row r="326">
      <c r="B326" s="11">
        <f>IFERROR(__xludf.DUMMYFUNCTION("""COMPUTED_VALUE"""),36130.0)</f>
        <v>36130</v>
      </c>
      <c r="C326" s="32">
        <f>IFERROR(__xludf.DUMMYFUNCTION("""COMPUTED_VALUE"""),178424.0)</f>
        <v>178424</v>
      </c>
      <c r="E326" s="11"/>
    </row>
    <row r="327">
      <c r="B327" s="11">
        <f>IFERROR(__xludf.DUMMYFUNCTION("""COMPUTED_VALUE"""),36100.0)</f>
        <v>36100</v>
      </c>
      <c r="C327" s="32">
        <f>IFERROR(__xludf.DUMMYFUNCTION("""COMPUTED_VALUE"""),182400.0)</f>
        <v>182400</v>
      </c>
      <c r="E327" s="11"/>
    </row>
    <row r="328">
      <c r="B328" s="11">
        <f>IFERROR(__xludf.DUMMYFUNCTION("""COMPUTED_VALUE"""),36069.0)</f>
        <v>36069</v>
      </c>
      <c r="C328" s="32">
        <f>IFERROR(__xludf.DUMMYFUNCTION("""COMPUTED_VALUE"""),178527.0)</f>
        <v>178527</v>
      </c>
      <c r="E328" s="11"/>
    </row>
    <row r="329">
      <c r="B329" s="11">
        <f>IFERROR(__xludf.DUMMYFUNCTION("""COMPUTED_VALUE"""),36039.0)</f>
        <v>36039</v>
      </c>
      <c r="C329" s="32">
        <f>IFERROR(__xludf.DUMMYFUNCTION("""COMPUTED_VALUE"""),181422.0)</f>
        <v>181422</v>
      </c>
      <c r="E329" s="11"/>
    </row>
    <row r="330">
      <c r="B330" s="11">
        <f>IFERROR(__xludf.DUMMYFUNCTION("""COMPUTED_VALUE"""),36008.0)</f>
        <v>36008</v>
      </c>
      <c r="C330" s="32">
        <f>IFERROR(__xludf.DUMMYFUNCTION("""COMPUTED_VALUE"""),179033.0)</f>
        <v>179033</v>
      </c>
      <c r="E330" s="11"/>
    </row>
    <row r="331">
      <c r="B331" s="11">
        <f>IFERROR(__xludf.DUMMYFUNCTION("""COMPUTED_VALUE"""),35977.0)</f>
        <v>35977</v>
      </c>
      <c r="C331" s="32">
        <f>IFERROR(__xludf.DUMMYFUNCTION("""COMPUTED_VALUE"""),170459.0)</f>
        <v>170459</v>
      </c>
      <c r="E331" s="11"/>
    </row>
    <row r="332">
      <c r="B332" s="11">
        <f>IFERROR(__xludf.DUMMYFUNCTION("""COMPUTED_VALUE"""),35947.0)</f>
        <v>35947</v>
      </c>
      <c r="C332" s="32">
        <f>IFERROR(__xludf.DUMMYFUNCTION("""COMPUTED_VALUE"""),172189.0)</f>
        <v>172189</v>
      </c>
      <c r="E332" s="11"/>
    </row>
    <row r="333">
      <c r="B333" s="11">
        <f>IFERROR(__xludf.DUMMYFUNCTION("""COMPUTED_VALUE"""),35916.0)</f>
        <v>35916</v>
      </c>
      <c r="C333" s="32">
        <f>IFERROR(__xludf.DUMMYFUNCTION("""COMPUTED_VALUE"""),180634.0)</f>
        <v>180634</v>
      </c>
      <c r="E333" s="11"/>
    </row>
    <row r="334">
      <c r="B334" s="11">
        <f>IFERROR(__xludf.DUMMYFUNCTION("""COMPUTED_VALUE"""),35886.0)</f>
        <v>35886</v>
      </c>
      <c r="C334" s="32">
        <f>IFERROR(__xludf.DUMMYFUNCTION("""COMPUTED_VALUE"""),180915.0)</f>
        <v>180915</v>
      </c>
      <c r="E334" s="11"/>
    </row>
    <row r="335">
      <c r="B335" s="11">
        <f>IFERROR(__xludf.DUMMYFUNCTION("""COMPUTED_VALUE"""),35855.0)</f>
        <v>35855</v>
      </c>
      <c r="C335" s="32">
        <f>IFERROR(__xludf.DUMMYFUNCTION("""COMPUTED_VALUE"""),176886.0)</f>
        <v>176886</v>
      </c>
      <c r="E335" s="11"/>
    </row>
    <row r="336">
      <c r="B336" s="11">
        <f>IFERROR(__xludf.DUMMYFUNCTION("""COMPUTED_VALUE"""),35827.0)</f>
        <v>35827</v>
      </c>
      <c r="C336" s="32">
        <f>IFERROR(__xludf.DUMMYFUNCTION("""COMPUTED_VALUE"""),181270.0)</f>
        <v>181270</v>
      </c>
      <c r="E336" s="11"/>
    </row>
    <row r="337">
      <c r="B337" s="11">
        <f>IFERROR(__xludf.DUMMYFUNCTION("""COMPUTED_VALUE"""),35796.0)</f>
        <v>35796</v>
      </c>
      <c r="C337" s="32">
        <f>IFERROR(__xludf.DUMMYFUNCTION("""COMPUTED_VALUE"""),174288.0)</f>
        <v>174288</v>
      </c>
      <c r="E337" s="11"/>
    </row>
    <row r="338">
      <c r="B338" s="11">
        <f>IFERROR(__xludf.DUMMYFUNCTION("""COMPUTED_VALUE"""),35765.0)</f>
        <v>35765</v>
      </c>
      <c r="C338" s="32">
        <f>IFERROR(__xludf.DUMMYFUNCTION("""COMPUTED_VALUE"""),173770.0)</f>
        <v>173770</v>
      </c>
      <c r="E338" s="11"/>
    </row>
    <row r="339">
      <c r="B339" s="11">
        <f>IFERROR(__xludf.DUMMYFUNCTION("""COMPUTED_VALUE"""),35735.0)</f>
        <v>35735</v>
      </c>
      <c r="C339" s="32">
        <f>IFERROR(__xludf.DUMMYFUNCTION("""COMPUTED_VALUE"""),191187.0)</f>
        <v>191187</v>
      </c>
      <c r="E339" s="11"/>
    </row>
    <row r="340">
      <c r="B340" s="11">
        <f>IFERROR(__xludf.DUMMYFUNCTION("""COMPUTED_VALUE"""),35704.0)</f>
        <v>35704</v>
      </c>
      <c r="C340" s="32">
        <f>IFERROR(__xludf.DUMMYFUNCTION("""COMPUTED_VALUE"""),177801.0)</f>
        <v>177801</v>
      </c>
      <c r="E340" s="11"/>
    </row>
    <row r="341">
      <c r="B341" s="11">
        <f>IFERROR(__xludf.DUMMYFUNCTION("""COMPUTED_VALUE"""),35674.0)</f>
        <v>35674</v>
      </c>
      <c r="C341" s="32">
        <f>IFERROR(__xludf.DUMMYFUNCTION("""COMPUTED_VALUE"""),177835.0)</f>
        <v>177835</v>
      </c>
      <c r="E341" s="11"/>
    </row>
    <row r="342">
      <c r="B342" s="11">
        <f>IFERROR(__xludf.DUMMYFUNCTION("""COMPUTED_VALUE"""),35643.0)</f>
        <v>35643</v>
      </c>
      <c r="C342" s="32">
        <f>IFERROR(__xludf.DUMMYFUNCTION("""COMPUTED_VALUE"""),177302.0)</f>
        <v>177302</v>
      </c>
      <c r="E342" s="11"/>
    </row>
    <row r="343">
      <c r="B343" s="11">
        <f>IFERROR(__xludf.DUMMYFUNCTION("""COMPUTED_VALUE"""),35612.0)</f>
        <v>35612</v>
      </c>
      <c r="C343" s="32">
        <f>IFERROR(__xludf.DUMMYFUNCTION("""COMPUTED_VALUE"""),178860.0)</f>
        <v>178860</v>
      </c>
      <c r="E343" s="11"/>
    </row>
    <row r="344">
      <c r="B344" s="11">
        <f>IFERROR(__xludf.DUMMYFUNCTION("""COMPUTED_VALUE"""),35582.0)</f>
        <v>35582</v>
      </c>
      <c r="C344" s="32">
        <f>IFERROR(__xludf.DUMMYFUNCTION("""COMPUTED_VALUE"""),174828.0)</f>
        <v>174828</v>
      </c>
      <c r="E344" s="11"/>
    </row>
    <row r="345">
      <c r="B345" s="11">
        <f>IFERROR(__xludf.DUMMYFUNCTION("""COMPUTED_VALUE"""),35551.0)</f>
        <v>35551</v>
      </c>
      <c r="C345" s="32">
        <f>IFERROR(__xludf.DUMMYFUNCTION("""COMPUTED_VALUE"""),168586.0)</f>
        <v>168586</v>
      </c>
      <c r="E345" s="11"/>
    </row>
    <row r="346">
      <c r="B346" s="11">
        <f>IFERROR(__xludf.DUMMYFUNCTION("""COMPUTED_VALUE"""),35521.0)</f>
        <v>35521</v>
      </c>
      <c r="C346" s="32">
        <f>IFERROR(__xludf.DUMMYFUNCTION("""COMPUTED_VALUE"""),174054.0)</f>
        <v>174054</v>
      </c>
      <c r="E346" s="11"/>
    </row>
    <row r="347">
      <c r="B347" s="11">
        <f>IFERROR(__xludf.DUMMYFUNCTION("""COMPUTED_VALUE"""),35490.0)</f>
        <v>35490</v>
      </c>
      <c r="C347" s="32">
        <f>IFERROR(__xludf.DUMMYFUNCTION("""COMPUTED_VALUE"""),167568.0)</f>
        <v>167568</v>
      </c>
      <c r="E347" s="11"/>
    </row>
    <row r="348">
      <c r="B348" s="11">
        <f>IFERROR(__xludf.DUMMYFUNCTION("""COMPUTED_VALUE"""),35462.0)</f>
        <v>35462</v>
      </c>
      <c r="C348" s="32">
        <f>IFERROR(__xludf.DUMMYFUNCTION("""COMPUTED_VALUE"""),170221.0)</f>
        <v>170221</v>
      </c>
      <c r="E348" s="11"/>
    </row>
    <row r="349">
      <c r="B349" s="11">
        <f>IFERROR(__xludf.DUMMYFUNCTION("""COMPUTED_VALUE"""),35431.0)</f>
        <v>35431</v>
      </c>
      <c r="C349" s="32">
        <f>IFERROR(__xludf.DUMMYFUNCTION("""COMPUTED_VALUE"""),161827.0)</f>
        <v>161827</v>
      </c>
      <c r="E349" s="11"/>
    </row>
    <row r="350">
      <c r="B350" s="11">
        <f>IFERROR(__xludf.DUMMYFUNCTION("""COMPUTED_VALUE"""),35400.0)</f>
        <v>35400</v>
      </c>
      <c r="C350" s="32">
        <f>IFERROR(__xludf.DUMMYFUNCTION("""COMPUTED_VALUE"""),162332.0)</f>
        <v>162332</v>
      </c>
      <c r="E350" s="11"/>
    </row>
    <row r="351">
      <c r="B351" s="11">
        <f>IFERROR(__xludf.DUMMYFUNCTION("""COMPUTED_VALUE"""),35370.0)</f>
        <v>35370</v>
      </c>
      <c r="C351" s="32">
        <f>IFERROR(__xludf.DUMMYFUNCTION("""COMPUTED_VALUE"""),170783.0)</f>
        <v>170783</v>
      </c>
      <c r="E351" s="11"/>
    </row>
    <row r="352">
      <c r="B352" s="11">
        <f>IFERROR(__xludf.DUMMYFUNCTION("""COMPUTED_VALUE"""),35339.0)</f>
        <v>35339</v>
      </c>
      <c r="C352" s="32">
        <f>IFERROR(__xludf.DUMMYFUNCTION("""COMPUTED_VALUE"""),165266.0)</f>
        <v>165266</v>
      </c>
      <c r="E352" s="11"/>
    </row>
    <row r="353">
      <c r="B353" s="11">
        <f>IFERROR(__xludf.DUMMYFUNCTION("""COMPUTED_VALUE"""),35309.0)</f>
        <v>35309</v>
      </c>
      <c r="C353" s="32">
        <f>IFERROR(__xludf.DUMMYFUNCTION("""COMPUTED_VALUE"""),165442.0)</f>
        <v>165442</v>
      </c>
      <c r="E353" s="11"/>
    </row>
    <row r="354">
      <c r="B354" s="11">
        <f>IFERROR(__xludf.DUMMYFUNCTION("""COMPUTED_VALUE"""),35278.0)</f>
        <v>35278</v>
      </c>
      <c r="C354" s="32">
        <f>IFERROR(__xludf.DUMMYFUNCTION("""COMPUTED_VALUE"""),157310.0)</f>
        <v>157310</v>
      </c>
      <c r="E354" s="11"/>
    </row>
    <row r="355">
      <c r="B355" s="11">
        <f>IFERROR(__xludf.DUMMYFUNCTION("""COMPUTED_VALUE"""),35247.0)</f>
        <v>35247</v>
      </c>
      <c r="C355" s="32">
        <f>IFERROR(__xludf.DUMMYFUNCTION("""COMPUTED_VALUE"""),163588.0)</f>
        <v>163588</v>
      </c>
      <c r="E355" s="11"/>
    </row>
    <row r="356">
      <c r="B356" s="11">
        <f>IFERROR(__xludf.DUMMYFUNCTION("""COMPUTED_VALUE"""),35217.0)</f>
        <v>35217</v>
      </c>
      <c r="C356" s="32">
        <f>IFERROR(__xludf.DUMMYFUNCTION("""COMPUTED_VALUE"""),164599.0)</f>
        <v>164599</v>
      </c>
      <c r="E356" s="11"/>
    </row>
    <row r="357">
      <c r="B357" s="11">
        <f>IFERROR(__xludf.DUMMYFUNCTION("""COMPUTED_VALUE"""),35186.0)</f>
        <v>35186</v>
      </c>
      <c r="C357" s="32">
        <f>IFERROR(__xludf.DUMMYFUNCTION("""COMPUTED_VALUE"""),164502.0)</f>
        <v>164502</v>
      </c>
      <c r="E357" s="11"/>
    </row>
    <row r="358">
      <c r="B358" s="11">
        <f>IFERROR(__xludf.DUMMYFUNCTION("""COMPUTED_VALUE"""),35156.0)</f>
        <v>35156</v>
      </c>
      <c r="C358" s="32">
        <f>IFERROR(__xludf.DUMMYFUNCTION("""COMPUTED_VALUE"""),156830.0)</f>
        <v>156830</v>
      </c>
      <c r="E358" s="11"/>
    </row>
    <row r="359">
      <c r="B359" s="11">
        <f>IFERROR(__xludf.DUMMYFUNCTION("""COMPUTED_VALUE"""),35125.0)</f>
        <v>35125</v>
      </c>
      <c r="C359" s="32">
        <f>IFERROR(__xludf.DUMMYFUNCTION("""COMPUTED_VALUE"""),164976.0)</f>
        <v>164976</v>
      </c>
      <c r="E359" s="11"/>
    </row>
    <row r="360">
      <c r="B360" s="11">
        <f>IFERROR(__xludf.DUMMYFUNCTION("""COMPUTED_VALUE"""),35096.0)</f>
        <v>35096</v>
      </c>
      <c r="C360" s="32">
        <f>IFERROR(__xludf.DUMMYFUNCTION("""COMPUTED_VALUE"""),150773.0)</f>
        <v>150773</v>
      </c>
      <c r="E360" s="11"/>
    </row>
    <row r="361">
      <c r="B361" s="11">
        <f>IFERROR(__xludf.DUMMYFUNCTION("""COMPUTED_VALUE"""),35065.0)</f>
        <v>35065</v>
      </c>
      <c r="C361" s="32">
        <f>IFERROR(__xludf.DUMMYFUNCTION("""COMPUTED_VALUE"""),155806.0)</f>
        <v>155806</v>
      </c>
      <c r="E361" s="11"/>
    </row>
    <row r="362">
      <c r="B362" s="11">
        <f>IFERROR(__xludf.DUMMYFUNCTION("""COMPUTED_VALUE"""),35034.0)</f>
        <v>35034</v>
      </c>
      <c r="C362" s="32">
        <f>IFERROR(__xludf.DUMMYFUNCTION("""COMPUTED_VALUE"""),163279.0)</f>
        <v>163279</v>
      </c>
      <c r="E362" s="11"/>
    </row>
    <row r="363">
      <c r="B363" s="11">
        <f>IFERROR(__xludf.DUMMYFUNCTION("""COMPUTED_VALUE"""),35004.0)</f>
        <v>35004</v>
      </c>
      <c r="C363" s="32">
        <f>IFERROR(__xludf.DUMMYFUNCTION("""COMPUTED_VALUE"""),156146.0)</f>
        <v>156146</v>
      </c>
      <c r="E363" s="11"/>
    </row>
    <row r="364">
      <c r="B364" s="11">
        <f>IFERROR(__xludf.DUMMYFUNCTION("""COMPUTED_VALUE"""),34973.0)</f>
        <v>34973</v>
      </c>
      <c r="C364" s="32">
        <f>IFERROR(__xludf.DUMMYFUNCTION("""COMPUTED_VALUE"""),155473.0)</f>
        <v>155473</v>
      </c>
      <c r="E364" s="11"/>
    </row>
    <row r="365">
      <c r="B365" s="11">
        <f>IFERROR(__xludf.DUMMYFUNCTION("""COMPUTED_VALUE"""),34943.0)</f>
        <v>34943</v>
      </c>
      <c r="C365" s="32">
        <f>IFERROR(__xludf.DUMMYFUNCTION("""COMPUTED_VALUE"""),160175.0)</f>
        <v>160175</v>
      </c>
      <c r="E365" s="11"/>
    </row>
    <row r="366">
      <c r="B366" s="11">
        <f>IFERROR(__xludf.DUMMYFUNCTION("""COMPUTED_VALUE"""),34912.0)</f>
        <v>34912</v>
      </c>
      <c r="C366" s="32">
        <f>IFERROR(__xludf.DUMMYFUNCTION("""COMPUTED_VALUE"""),154372.0)</f>
        <v>154372</v>
      </c>
      <c r="E366" s="11"/>
    </row>
    <row r="367">
      <c r="B367" s="11">
        <f>IFERROR(__xludf.DUMMYFUNCTION("""COMPUTED_VALUE"""),34881.0)</f>
        <v>34881</v>
      </c>
      <c r="C367" s="32">
        <f>IFERROR(__xludf.DUMMYFUNCTION("""COMPUTED_VALUE"""),148915.0)</f>
        <v>148915</v>
      </c>
      <c r="E367" s="11"/>
    </row>
    <row r="368">
      <c r="B368" s="11">
        <f>IFERROR(__xludf.DUMMYFUNCTION("""COMPUTED_VALUE"""),34851.0)</f>
        <v>34851</v>
      </c>
      <c r="C368" s="32">
        <f>IFERROR(__xludf.DUMMYFUNCTION("""COMPUTED_VALUE"""),150051.0)</f>
        <v>150051</v>
      </c>
      <c r="E368" s="11"/>
    </row>
    <row r="369">
      <c r="B369" s="11">
        <f>IFERROR(__xludf.DUMMYFUNCTION("""COMPUTED_VALUE"""),34820.0)</f>
        <v>34820</v>
      </c>
      <c r="C369" s="32">
        <f>IFERROR(__xludf.DUMMYFUNCTION("""COMPUTED_VALUE"""),152838.0)</f>
        <v>152838</v>
      </c>
      <c r="E369" s="11"/>
    </row>
    <row r="370">
      <c r="B370" s="11">
        <f>IFERROR(__xludf.DUMMYFUNCTION("""COMPUTED_VALUE"""),34790.0)</f>
        <v>34790</v>
      </c>
      <c r="C370" s="32">
        <f>IFERROR(__xludf.DUMMYFUNCTION("""COMPUTED_VALUE"""),151401.0)</f>
        <v>151401</v>
      </c>
      <c r="E370" s="11"/>
    </row>
    <row r="371">
      <c r="B371" s="11">
        <f>IFERROR(__xludf.DUMMYFUNCTION("""COMPUTED_VALUE"""),34759.0)</f>
        <v>34759</v>
      </c>
      <c r="C371" s="32">
        <f>IFERROR(__xludf.DUMMYFUNCTION("""COMPUTED_VALUE"""),152888.0)</f>
        <v>152888</v>
      </c>
      <c r="E371" s="11"/>
    </row>
    <row r="372">
      <c r="B372" s="11">
        <f>IFERROR(__xludf.DUMMYFUNCTION("""COMPUTED_VALUE"""),34731.0)</f>
        <v>34731</v>
      </c>
      <c r="C372" s="32">
        <f>IFERROR(__xludf.DUMMYFUNCTION("""COMPUTED_VALUE"""),153856.0)</f>
        <v>153856</v>
      </c>
      <c r="E372" s="11"/>
    </row>
    <row r="373">
      <c r="B373" s="11">
        <f>IFERROR(__xludf.DUMMYFUNCTION("""COMPUTED_VALUE"""),34700.0)</f>
        <v>34700</v>
      </c>
      <c r="C373" s="32">
        <f>IFERROR(__xludf.DUMMYFUNCTION("""COMPUTED_VALUE"""),150459.0)</f>
        <v>150459</v>
      </c>
      <c r="E373" s="11"/>
    </row>
    <row r="374">
      <c r="B374" s="11">
        <f>IFERROR(__xludf.DUMMYFUNCTION("""COMPUTED_VALUE"""),34669.0)</f>
        <v>34669</v>
      </c>
      <c r="C374" s="32">
        <f>IFERROR(__xludf.DUMMYFUNCTION("""COMPUTED_VALUE"""),152489.0)</f>
        <v>152489</v>
      </c>
      <c r="E374" s="11"/>
    </row>
    <row r="375">
      <c r="B375" s="11">
        <f>IFERROR(__xludf.DUMMYFUNCTION("""COMPUTED_VALUE"""),34639.0)</f>
        <v>34639</v>
      </c>
      <c r="C375" s="32">
        <f>IFERROR(__xludf.DUMMYFUNCTION("""COMPUTED_VALUE"""),150038.0)</f>
        <v>150038</v>
      </c>
      <c r="E375" s="11"/>
    </row>
    <row r="376">
      <c r="B376" s="11">
        <f>IFERROR(__xludf.DUMMYFUNCTION("""COMPUTED_VALUE"""),34608.0)</f>
        <v>34608</v>
      </c>
      <c r="C376" s="32">
        <f>IFERROR(__xludf.DUMMYFUNCTION("""COMPUTED_VALUE"""),149547.0)</f>
        <v>149547</v>
      </c>
      <c r="E376" s="11"/>
    </row>
    <row r="377">
      <c r="B377" s="11">
        <f>IFERROR(__xludf.DUMMYFUNCTION("""COMPUTED_VALUE"""),34578.0)</f>
        <v>34578</v>
      </c>
      <c r="C377" s="32">
        <f>IFERROR(__xludf.DUMMYFUNCTION("""COMPUTED_VALUE"""),145487.0)</f>
        <v>145487</v>
      </c>
      <c r="E377" s="11"/>
    </row>
    <row r="378">
      <c r="B378" s="11">
        <f>IFERROR(__xludf.DUMMYFUNCTION("""COMPUTED_VALUE"""),34547.0)</f>
        <v>34547</v>
      </c>
      <c r="C378" s="32">
        <f>IFERROR(__xludf.DUMMYFUNCTION("""COMPUTED_VALUE"""),145884.0)</f>
        <v>145884</v>
      </c>
      <c r="E378" s="11"/>
    </row>
    <row r="379">
      <c r="B379" s="11">
        <f>IFERROR(__xludf.DUMMYFUNCTION("""COMPUTED_VALUE"""),34516.0)</f>
        <v>34516</v>
      </c>
      <c r="C379" s="32">
        <f>IFERROR(__xludf.DUMMYFUNCTION("""COMPUTED_VALUE"""),145013.0)</f>
        <v>145013</v>
      </c>
      <c r="E379" s="11"/>
    </row>
    <row r="380">
      <c r="B380" s="11">
        <f>IFERROR(__xludf.DUMMYFUNCTION("""COMPUTED_VALUE"""),34486.0)</f>
        <v>34486</v>
      </c>
      <c r="C380" s="32">
        <f>IFERROR(__xludf.DUMMYFUNCTION("""COMPUTED_VALUE"""),145063.0)</f>
        <v>145063</v>
      </c>
      <c r="E380" s="11"/>
    </row>
    <row r="381">
      <c r="B381" s="11">
        <f>IFERROR(__xludf.DUMMYFUNCTION("""COMPUTED_VALUE"""),34455.0)</f>
        <v>34455</v>
      </c>
      <c r="C381" s="32">
        <f>IFERROR(__xludf.DUMMYFUNCTION("""COMPUTED_VALUE"""),142630.0)</f>
        <v>142630</v>
      </c>
      <c r="E381" s="11"/>
    </row>
    <row r="382">
      <c r="B382" s="11">
        <f>IFERROR(__xludf.DUMMYFUNCTION("""COMPUTED_VALUE"""),34425.0)</f>
        <v>34425</v>
      </c>
      <c r="C382" s="32">
        <f>IFERROR(__xludf.DUMMYFUNCTION("""COMPUTED_VALUE"""),140336.0)</f>
        <v>140336</v>
      </c>
      <c r="E382" s="11"/>
    </row>
    <row r="383">
      <c r="B383" s="11">
        <f>IFERROR(__xludf.DUMMYFUNCTION("""COMPUTED_VALUE"""),34394.0)</f>
        <v>34394</v>
      </c>
      <c r="C383" s="32">
        <f>IFERROR(__xludf.DUMMYFUNCTION("""COMPUTED_VALUE"""),136548.0)</f>
        <v>136548</v>
      </c>
      <c r="E383" s="11"/>
    </row>
    <row r="384">
      <c r="B384" s="11">
        <f>IFERROR(__xludf.DUMMYFUNCTION("""COMPUTED_VALUE"""),34366.0)</f>
        <v>34366</v>
      </c>
      <c r="C384" s="32">
        <f>IFERROR(__xludf.DUMMYFUNCTION("""COMPUTED_VALUE"""),137141.0)</f>
        <v>137141</v>
      </c>
      <c r="E384" s="11"/>
    </row>
    <row r="385">
      <c r="B385" s="11">
        <f>IFERROR(__xludf.DUMMYFUNCTION("""COMPUTED_VALUE"""),34335.0)</f>
        <v>34335</v>
      </c>
      <c r="C385" s="32">
        <f>IFERROR(__xludf.DUMMYFUNCTION("""COMPUTED_VALUE"""),138498.0)</f>
        <v>138498</v>
      </c>
      <c r="E385" s="11"/>
    </row>
    <row r="386">
      <c r="B386" s="11">
        <f>IFERROR(__xludf.DUMMYFUNCTION("""COMPUTED_VALUE"""),34304.0)</f>
        <v>34304</v>
      </c>
      <c r="C386" s="32">
        <f>IFERROR(__xludf.DUMMYFUNCTION("""COMPUTED_VALUE"""),133565.0)</f>
        <v>133565</v>
      </c>
      <c r="E386" s="11"/>
    </row>
    <row r="387">
      <c r="B387" s="11">
        <f>IFERROR(__xludf.DUMMYFUNCTION("""COMPUTED_VALUE"""),34274.0)</f>
        <v>34274</v>
      </c>
      <c r="C387" s="32">
        <f>IFERROR(__xludf.DUMMYFUNCTION("""COMPUTED_VALUE"""),130391.0)</f>
        <v>130391</v>
      </c>
      <c r="E387" s="11"/>
    </row>
    <row r="388">
      <c r="B388" s="11">
        <f>IFERROR(__xludf.DUMMYFUNCTION("""COMPUTED_VALUE"""),34243.0)</f>
        <v>34243</v>
      </c>
      <c r="C388" s="32">
        <f>IFERROR(__xludf.DUMMYFUNCTION("""COMPUTED_VALUE"""),133168.0)</f>
        <v>133168</v>
      </c>
      <c r="E388" s="11"/>
    </row>
    <row r="389">
      <c r="B389" s="11">
        <f>IFERROR(__xludf.DUMMYFUNCTION("""COMPUTED_VALUE"""),34213.0)</f>
        <v>34213</v>
      </c>
      <c r="C389" s="32">
        <f>IFERROR(__xludf.DUMMYFUNCTION("""COMPUTED_VALUE"""),127233.0)</f>
        <v>127233</v>
      </c>
      <c r="E389" s="11"/>
    </row>
    <row r="390">
      <c r="B390" s="11">
        <f>IFERROR(__xludf.DUMMYFUNCTION("""COMPUTED_VALUE"""),34182.0)</f>
        <v>34182</v>
      </c>
      <c r="C390" s="32">
        <f>IFERROR(__xludf.DUMMYFUNCTION("""COMPUTED_VALUE"""),129378.0)</f>
        <v>129378</v>
      </c>
      <c r="E390" s="11"/>
    </row>
    <row r="391">
      <c r="B391" s="11">
        <f>IFERROR(__xludf.DUMMYFUNCTION("""COMPUTED_VALUE"""),34151.0)</f>
        <v>34151</v>
      </c>
      <c r="C391" s="32">
        <f>IFERROR(__xludf.DUMMYFUNCTION("""COMPUTED_VALUE"""),128111.0)</f>
        <v>128111</v>
      </c>
      <c r="E391" s="11"/>
    </row>
    <row r="392">
      <c r="B392" s="11">
        <f>IFERROR(__xludf.DUMMYFUNCTION("""COMPUTED_VALUE"""),34121.0)</f>
        <v>34121</v>
      </c>
      <c r="C392" s="32">
        <f>IFERROR(__xludf.DUMMYFUNCTION("""COMPUTED_VALUE"""),130212.0)</f>
        <v>130212</v>
      </c>
      <c r="E392" s="11"/>
    </row>
    <row r="393">
      <c r="B393" s="11">
        <f>IFERROR(__xludf.DUMMYFUNCTION("""COMPUTED_VALUE"""),34090.0)</f>
        <v>34090</v>
      </c>
      <c r="C393" s="32">
        <f>IFERROR(__xludf.DUMMYFUNCTION("""COMPUTED_VALUE"""),126529.0)</f>
        <v>126529</v>
      </c>
      <c r="E393" s="11"/>
    </row>
    <row r="394">
      <c r="B394" s="11">
        <f>IFERROR(__xludf.DUMMYFUNCTION("""COMPUTED_VALUE"""),34060.0)</f>
        <v>34060</v>
      </c>
      <c r="C394" s="32">
        <f>IFERROR(__xludf.DUMMYFUNCTION("""COMPUTED_VALUE"""),127395.0)</f>
        <v>127395</v>
      </c>
      <c r="E394" s="11"/>
    </row>
    <row r="395">
      <c r="B395" s="11">
        <f>IFERROR(__xludf.DUMMYFUNCTION("""COMPUTED_VALUE"""),34029.0)</f>
        <v>34029</v>
      </c>
      <c r="C395" s="32">
        <f>IFERROR(__xludf.DUMMYFUNCTION("""COMPUTED_VALUE"""),126762.0)</f>
        <v>126762</v>
      </c>
      <c r="E395" s="11"/>
    </row>
    <row r="396">
      <c r="B396" s="11">
        <f>IFERROR(__xludf.DUMMYFUNCTION("""COMPUTED_VALUE"""),34001.0)</f>
        <v>34001</v>
      </c>
      <c r="C396" s="32">
        <f>IFERROR(__xludf.DUMMYFUNCTION("""COMPUTED_VALUE"""),128854.0)</f>
        <v>128854</v>
      </c>
      <c r="E396" s="11"/>
    </row>
    <row r="397">
      <c r="B397" s="11">
        <f>IFERROR(__xludf.DUMMYFUNCTION("""COMPUTED_VALUE"""),33970.0)</f>
        <v>33970</v>
      </c>
      <c r="C397" s="32">
        <f>IFERROR(__xludf.DUMMYFUNCTION("""COMPUTED_VALUE"""),121637.0)</f>
        <v>121637</v>
      </c>
      <c r="E397" s="11"/>
    </row>
    <row r="398">
      <c r="B398" s="11">
        <f>IFERROR(__xludf.DUMMYFUNCTION("""COMPUTED_VALUE"""),33939.0)</f>
        <v>33939</v>
      </c>
      <c r="C398" s="32">
        <f>IFERROR(__xludf.DUMMYFUNCTION("""COMPUTED_VALUE"""),126080.0)</f>
        <v>126080</v>
      </c>
      <c r="E398" s="11"/>
    </row>
    <row r="399">
      <c r="B399" s="11">
        <f>IFERROR(__xludf.DUMMYFUNCTION("""COMPUTED_VALUE"""),33909.0)</f>
        <v>33909</v>
      </c>
      <c r="C399" s="32">
        <f>IFERROR(__xludf.DUMMYFUNCTION("""COMPUTED_VALUE"""),122374.0)</f>
        <v>122374</v>
      </c>
      <c r="E399" s="11"/>
    </row>
    <row r="400">
      <c r="B400" s="11">
        <f>IFERROR(__xludf.DUMMYFUNCTION("""COMPUTED_VALUE"""),33878.0)</f>
        <v>33878</v>
      </c>
      <c r="C400" s="32">
        <f>IFERROR(__xludf.DUMMYFUNCTION("""COMPUTED_VALUE"""),127392.0)</f>
        <v>127392</v>
      </c>
      <c r="E400" s="11"/>
    </row>
    <row r="401">
      <c r="B401" s="11">
        <f>IFERROR(__xludf.DUMMYFUNCTION("""COMPUTED_VALUE"""),33848.0)</f>
        <v>33848</v>
      </c>
      <c r="C401" s="32">
        <f>IFERROR(__xludf.DUMMYFUNCTION("""COMPUTED_VALUE"""),120711.0)</f>
        <v>120711</v>
      </c>
      <c r="E401" s="11"/>
    </row>
    <row r="402">
      <c r="B402" s="11">
        <f>IFERROR(__xludf.DUMMYFUNCTION("""COMPUTED_VALUE"""),33817.0)</f>
        <v>33817</v>
      </c>
      <c r="C402" s="32">
        <f>IFERROR(__xludf.DUMMYFUNCTION("""COMPUTED_VALUE"""),120411.0)</f>
        <v>120411</v>
      </c>
      <c r="E402" s="11"/>
    </row>
    <row r="403">
      <c r="B403" s="11">
        <f>IFERROR(__xludf.DUMMYFUNCTION("""COMPUTED_VALUE"""),33786.0)</f>
        <v>33786</v>
      </c>
      <c r="C403" s="32">
        <f>IFERROR(__xludf.DUMMYFUNCTION("""COMPUTED_VALUE"""),122590.0)</f>
        <v>122590</v>
      </c>
      <c r="E403" s="11"/>
    </row>
    <row r="404">
      <c r="B404" s="11">
        <f>IFERROR(__xludf.DUMMYFUNCTION("""COMPUTED_VALUE"""),33756.0)</f>
        <v>33756</v>
      </c>
      <c r="C404" s="32">
        <f>IFERROR(__xludf.DUMMYFUNCTION("""COMPUTED_VALUE"""),122834.0)</f>
        <v>122834</v>
      </c>
      <c r="E404" s="11"/>
    </row>
    <row r="405">
      <c r="B405" s="11">
        <f>IFERROR(__xludf.DUMMYFUNCTION("""COMPUTED_VALUE"""),33725.0)</f>
        <v>33725</v>
      </c>
      <c r="C405" s="32">
        <f>IFERROR(__xludf.DUMMYFUNCTION("""COMPUTED_VALUE"""),125822.0)</f>
        <v>125822</v>
      </c>
      <c r="E405" s="11"/>
    </row>
    <row r="406">
      <c r="B406" s="11">
        <f>IFERROR(__xludf.DUMMYFUNCTION("""COMPUTED_VALUE"""),33695.0)</f>
        <v>33695</v>
      </c>
      <c r="C406" s="32">
        <f>IFERROR(__xludf.DUMMYFUNCTION("""COMPUTED_VALUE"""),124470.0)</f>
        <v>124470</v>
      </c>
      <c r="E406" s="11"/>
    </row>
    <row r="407">
      <c r="B407" s="11">
        <f>IFERROR(__xludf.DUMMYFUNCTION("""COMPUTED_VALUE"""),33664.0)</f>
        <v>33664</v>
      </c>
      <c r="C407" s="32">
        <f>IFERROR(__xludf.DUMMYFUNCTION("""COMPUTED_VALUE"""),120025.0)</f>
        <v>120025</v>
      </c>
      <c r="E407" s="11"/>
    </row>
    <row r="408">
      <c r="B408" s="11">
        <f>IFERROR(__xludf.DUMMYFUNCTION("""COMPUTED_VALUE"""),33635.0)</f>
        <v>33635</v>
      </c>
      <c r="C408" s="32">
        <f>IFERROR(__xludf.DUMMYFUNCTION("""COMPUTED_VALUE"""),114535.0)</f>
        <v>114535</v>
      </c>
      <c r="E408" s="11"/>
    </row>
    <row r="409">
      <c r="B409" s="11"/>
      <c r="C409" s="32"/>
      <c r="E409" s="11"/>
    </row>
    <row r="410">
      <c r="B410" s="11"/>
      <c r="C410" s="32"/>
      <c r="E410" s="11"/>
    </row>
    <row r="411">
      <c r="B411" s="11"/>
      <c r="C411" s="32"/>
      <c r="E411" s="11"/>
    </row>
    <row r="412">
      <c r="B412" s="11"/>
      <c r="C412" s="32"/>
      <c r="E412" s="11"/>
    </row>
    <row r="413">
      <c r="B413" s="11"/>
      <c r="C413" s="32"/>
      <c r="E413" s="11"/>
    </row>
    <row r="414">
      <c r="B414" s="11"/>
      <c r="C414" s="32"/>
      <c r="E414" s="11"/>
    </row>
    <row r="415">
      <c r="B415" s="11"/>
      <c r="C415" s="32"/>
      <c r="E415" s="11"/>
    </row>
    <row r="416">
      <c r="B416" s="11"/>
      <c r="C416" s="32"/>
      <c r="E416" s="11"/>
    </row>
    <row r="417">
      <c r="B417" s="11"/>
      <c r="C417" s="32"/>
      <c r="E417" s="11"/>
    </row>
    <row r="418">
      <c r="B418" s="11"/>
      <c r="C418" s="32"/>
      <c r="E418" s="11"/>
    </row>
    <row r="419">
      <c r="B419" s="11"/>
      <c r="C419" s="32"/>
      <c r="E419" s="11"/>
    </row>
    <row r="420">
      <c r="B420" s="11"/>
      <c r="C420" s="32"/>
      <c r="E420" s="11"/>
    </row>
    <row r="421">
      <c r="B421" s="11"/>
      <c r="C421" s="32"/>
      <c r="E421" s="11"/>
    </row>
    <row r="422">
      <c r="B422" s="11"/>
      <c r="C422" s="32"/>
      <c r="E422" s="11"/>
    </row>
    <row r="423">
      <c r="B423" s="11"/>
      <c r="C423" s="32"/>
      <c r="E423" s="11"/>
    </row>
    <row r="424">
      <c r="B424" s="11"/>
      <c r="C424" s="32"/>
      <c r="E424" s="11"/>
    </row>
    <row r="425">
      <c r="B425" s="11"/>
      <c r="C425" s="32"/>
      <c r="E425" s="11"/>
    </row>
    <row r="426">
      <c r="B426" s="11"/>
      <c r="C426" s="32"/>
      <c r="E426" s="11"/>
    </row>
    <row r="427">
      <c r="B427" s="11"/>
      <c r="C427" s="32"/>
      <c r="E427" s="11"/>
    </row>
    <row r="428">
      <c r="B428" s="11"/>
      <c r="C428" s="32"/>
      <c r="E428" s="11"/>
    </row>
    <row r="429">
      <c r="B429" s="11"/>
      <c r="C429" s="32"/>
      <c r="E429" s="11"/>
    </row>
    <row r="430">
      <c r="B430" s="11"/>
      <c r="C430" s="32"/>
      <c r="E430" s="11"/>
    </row>
    <row r="431">
      <c r="B431" s="11"/>
      <c r="C431" s="32"/>
      <c r="E431" s="11"/>
    </row>
    <row r="432">
      <c r="B432" s="11"/>
      <c r="C432" s="32"/>
      <c r="E432" s="11"/>
    </row>
    <row r="433">
      <c r="B433" s="11"/>
      <c r="C433" s="32"/>
      <c r="E433" s="11"/>
    </row>
    <row r="434">
      <c r="B434" s="11"/>
      <c r="C434" s="32"/>
      <c r="E434" s="11"/>
    </row>
    <row r="435">
      <c r="B435" s="11"/>
      <c r="C435" s="32"/>
      <c r="E435" s="11"/>
    </row>
    <row r="436">
      <c r="B436" s="11"/>
      <c r="C436" s="32"/>
      <c r="E436" s="11"/>
    </row>
    <row r="437">
      <c r="B437" s="11"/>
      <c r="C437" s="32"/>
      <c r="E437" s="11"/>
    </row>
    <row r="438">
      <c r="B438" s="11"/>
      <c r="C438" s="32"/>
      <c r="E438" s="11"/>
    </row>
    <row r="439">
      <c r="B439" s="11"/>
      <c r="C439" s="32"/>
      <c r="E439" s="11"/>
    </row>
    <row r="440">
      <c r="B440" s="11"/>
      <c r="C440" s="32"/>
      <c r="E440" s="11"/>
    </row>
    <row r="441">
      <c r="B441" s="11"/>
      <c r="C441" s="32"/>
      <c r="E441" s="11"/>
    </row>
    <row r="442">
      <c r="B442" s="11"/>
      <c r="C442" s="32"/>
      <c r="E442" s="11"/>
    </row>
    <row r="443">
      <c r="B443" s="11"/>
      <c r="C443" s="32"/>
      <c r="E443" s="11"/>
    </row>
    <row r="444">
      <c r="B444" s="11"/>
      <c r="C444" s="32"/>
      <c r="E444" s="11"/>
    </row>
    <row r="445">
      <c r="B445" s="11"/>
      <c r="C445" s="32"/>
      <c r="E445" s="11"/>
    </row>
    <row r="446">
      <c r="B446" s="11"/>
      <c r="C446" s="32"/>
      <c r="E446" s="11"/>
    </row>
    <row r="447">
      <c r="B447" s="11"/>
      <c r="C447" s="32"/>
      <c r="E447" s="11"/>
    </row>
    <row r="448">
      <c r="B448" s="11"/>
      <c r="C448" s="32"/>
      <c r="E448" s="11"/>
    </row>
    <row r="449">
      <c r="B449" s="11"/>
      <c r="C449" s="32"/>
      <c r="E449" s="11"/>
    </row>
    <row r="450">
      <c r="B450" s="11"/>
      <c r="C450" s="32"/>
      <c r="E450" s="11"/>
    </row>
    <row r="451">
      <c r="B451" s="11"/>
      <c r="C451" s="32"/>
      <c r="E451" s="11"/>
    </row>
    <row r="452">
      <c r="B452" s="11"/>
      <c r="C452" s="32"/>
      <c r="E452" s="11"/>
    </row>
    <row r="453">
      <c r="B453" s="11"/>
      <c r="C453" s="32"/>
      <c r="E453" s="11"/>
    </row>
    <row r="454">
      <c r="B454" s="11"/>
      <c r="C454" s="32"/>
      <c r="E454" s="11"/>
    </row>
    <row r="455">
      <c r="B455" s="11"/>
      <c r="C455" s="32"/>
      <c r="E455" s="11"/>
    </row>
    <row r="456">
      <c r="B456" s="11"/>
      <c r="C456" s="32"/>
      <c r="E456" s="11"/>
    </row>
    <row r="457">
      <c r="B457" s="11"/>
      <c r="C457" s="32"/>
      <c r="E457" s="11"/>
    </row>
    <row r="458">
      <c r="B458" s="11"/>
      <c r="C458" s="32"/>
      <c r="E458" s="11"/>
    </row>
    <row r="459">
      <c r="B459" s="11"/>
      <c r="C459" s="32"/>
      <c r="E459" s="11"/>
    </row>
    <row r="460">
      <c r="B460" s="11"/>
      <c r="C460" s="32"/>
      <c r="E460" s="11"/>
    </row>
    <row r="461">
      <c r="B461" s="11"/>
      <c r="C461" s="32"/>
      <c r="E461" s="11"/>
    </row>
    <row r="462">
      <c r="B462" s="11"/>
      <c r="C462" s="32"/>
      <c r="E462" s="11"/>
    </row>
    <row r="463">
      <c r="B463" s="11"/>
      <c r="C463" s="32"/>
      <c r="E463" s="11"/>
    </row>
    <row r="464">
      <c r="B464" s="11"/>
      <c r="C464" s="32"/>
      <c r="E464" s="11"/>
    </row>
    <row r="465">
      <c r="B465" s="11"/>
      <c r="C465" s="32"/>
      <c r="E465" s="11"/>
    </row>
    <row r="466">
      <c r="B466" s="11"/>
      <c r="C466" s="32"/>
      <c r="E466" s="11"/>
    </row>
    <row r="467">
      <c r="B467" s="11"/>
      <c r="C467" s="32"/>
      <c r="E467" s="11"/>
    </row>
    <row r="468">
      <c r="B468" s="11"/>
      <c r="C468" s="32"/>
      <c r="E468" s="11"/>
    </row>
    <row r="469">
      <c r="B469" s="11"/>
      <c r="C469" s="32"/>
      <c r="E469" s="11"/>
    </row>
    <row r="470">
      <c r="B470" s="11"/>
      <c r="C470" s="32"/>
      <c r="E470" s="11"/>
    </row>
    <row r="471">
      <c r="B471" s="11"/>
      <c r="C471" s="32"/>
      <c r="E471" s="11"/>
    </row>
    <row r="472">
      <c r="B472" s="11"/>
      <c r="C472" s="32"/>
      <c r="E472" s="11"/>
    </row>
    <row r="473">
      <c r="B473" s="11"/>
      <c r="C473" s="32"/>
      <c r="E473" s="11"/>
    </row>
    <row r="474">
      <c r="B474" s="11"/>
      <c r="C474" s="32"/>
      <c r="E474" s="11"/>
    </row>
    <row r="475">
      <c r="B475" s="11"/>
      <c r="C475" s="32"/>
      <c r="E475" s="11"/>
    </row>
    <row r="476">
      <c r="B476" s="11"/>
      <c r="C476" s="32"/>
      <c r="E476" s="11"/>
    </row>
    <row r="477">
      <c r="B477" s="11"/>
      <c r="C477" s="32"/>
      <c r="E477" s="11"/>
    </row>
    <row r="478">
      <c r="B478" s="11"/>
      <c r="C478" s="32"/>
      <c r="E478" s="11"/>
    </row>
    <row r="479">
      <c r="B479" s="11"/>
      <c r="C479" s="32"/>
      <c r="E479" s="11"/>
    </row>
    <row r="480">
      <c r="B480" s="11"/>
      <c r="C480" s="32"/>
      <c r="E480" s="11"/>
    </row>
    <row r="481">
      <c r="B481" s="11"/>
      <c r="C481" s="32"/>
      <c r="E481" s="11"/>
    </row>
    <row r="482">
      <c r="B482" s="11"/>
      <c r="C482" s="32"/>
      <c r="E482" s="11"/>
    </row>
    <row r="483">
      <c r="B483" s="11"/>
      <c r="C483" s="32"/>
      <c r="E483" s="11"/>
    </row>
    <row r="484">
      <c r="B484" s="11"/>
      <c r="C484" s="32"/>
      <c r="E484" s="11"/>
    </row>
    <row r="485">
      <c r="B485" s="11"/>
      <c r="C485" s="32"/>
      <c r="E485" s="11"/>
    </row>
    <row r="486">
      <c r="B486" s="11"/>
      <c r="C486" s="32"/>
      <c r="E486" s="11"/>
    </row>
    <row r="487">
      <c r="B487" s="11"/>
      <c r="C487" s="32"/>
      <c r="E487" s="11"/>
    </row>
    <row r="488">
      <c r="B488" s="11"/>
      <c r="C488" s="32"/>
      <c r="E488" s="11"/>
    </row>
    <row r="489">
      <c r="B489" s="11"/>
      <c r="C489" s="32"/>
      <c r="E489" s="11"/>
    </row>
    <row r="490">
      <c r="B490" s="11"/>
      <c r="C490" s="32"/>
      <c r="E490" s="11"/>
    </row>
    <row r="491">
      <c r="B491" s="11"/>
      <c r="C491" s="32"/>
      <c r="E491" s="11"/>
    </row>
    <row r="492">
      <c r="B492" s="11"/>
      <c r="C492" s="32"/>
      <c r="E492" s="11"/>
    </row>
    <row r="493">
      <c r="B493" s="11"/>
      <c r="C493" s="32"/>
      <c r="E493" s="11"/>
    </row>
    <row r="494">
      <c r="B494" s="11"/>
      <c r="C494" s="32"/>
      <c r="E494" s="11"/>
    </row>
    <row r="495">
      <c r="B495" s="11"/>
      <c r="C495" s="32"/>
      <c r="E495" s="11"/>
    </row>
    <row r="496">
      <c r="B496" s="11"/>
      <c r="C496" s="32"/>
      <c r="E496" s="11"/>
    </row>
    <row r="497">
      <c r="B497" s="11"/>
      <c r="C497" s="32"/>
      <c r="E497" s="11"/>
    </row>
    <row r="498">
      <c r="B498" s="11"/>
      <c r="C498" s="32"/>
      <c r="E498" s="11"/>
    </row>
    <row r="499">
      <c r="B499" s="11"/>
      <c r="C499" s="32"/>
      <c r="E499" s="11"/>
    </row>
    <row r="500">
      <c r="B500" s="11"/>
      <c r="C500" s="32"/>
      <c r="E500" s="11"/>
    </row>
    <row r="501">
      <c r="B501" s="11"/>
      <c r="C501" s="32"/>
      <c r="E501" s="11"/>
    </row>
    <row r="502">
      <c r="B502" s="11"/>
      <c r="C502" s="32"/>
      <c r="E502" s="11"/>
    </row>
    <row r="503">
      <c r="B503" s="11"/>
      <c r="C503" s="32"/>
      <c r="E503" s="11"/>
    </row>
    <row r="504">
      <c r="B504" s="11"/>
      <c r="C504" s="32"/>
      <c r="E504" s="11"/>
    </row>
    <row r="505">
      <c r="B505" s="11"/>
      <c r="C505" s="32"/>
      <c r="E505" s="11"/>
    </row>
    <row r="506">
      <c r="B506" s="11"/>
      <c r="C506" s="32"/>
      <c r="E506" s="11"/>
    </row>
    <row r="507">
      <c r="B507" s="11"/>
      <c r="C507" s="32"/>
      <c r="E507" s="11"/>
    </row>
    <row r="508">
      <c r="B508" s="11"/>
      <c r="C508" s="32"/>
      <c r="E508" s="11"/>
    </row>
    <row r="509">
      <c r="B509" s="11"/>
      <c r="C509" s="32"/>
      <c r="E509" s="11"/>
    </row>
    <row r="510">
      <c r="B510" s="11"/>
      <c r="C510" s="32"/>
      <c r="E510" s="11"/>
    </row>
    <row r="511">
      <c r="B511" s="11"/>
      <c r="C511" s="32"/>
      <c r="E511" s="11"/>
    </row>
    <row r="512">
      <c r="B512" s="11"/>
      <c r="C512" s="32"/>
      <c r="E512" s="11"/>
    </row>
    <row r="513">
      <c r="B513" s="11"/>
      <c r="C513" s="32"/>
      <c r="E513" s="11"/>
    </row>
    <row r="514">
      <c r="B514" s="11"/>
      <c r="C514" s="32"/>
      <c r="E514" s="11"/>
    </row>
    <row r="515">
      <c r="B515" s="11"/>
      <c r="C515" s="32"/>
      <c r="E515" s="11"/>
    </row>
    <row r="516">
      <c r="B516" s="11"/>
      <c r="C516" s="32"/>
      <c r="E516" s="11"/>
    </row>
    <row r="517">
      <c r="B517" s="11"/>
      <c r="C517" s="32"/>
      <c r="E517" s="11"/>
    </row>
    <row r="518">
      <c r="B518" s="11"/>
      <c r="C518" s="32"/>
      <c r="E518" s="11"/>
    </row>
    <row r="519">
      <c r="B519" s="11"/>
      <c r="C519" s="32"/>
      <c r="E519" s="11"/>
    </row>
    <row r="520">
      <c r="B520" s="11"/>
      <c r="C520" s="32"/>
      <c r="E520" s="11"/>
    </row>
    <row r="521">
      <c r="B521" s="11"/>
      <c r="C521" s="32"/>
      <c r="E521" s="11"/>
    </row>
    <row r="522">
      <c r="B522" s="11"/>
      <c r="C522" s="32"/>
      <c r="E522" s="11"/>
    </row>
    <row r="523">
      <c r="B523" s="11"/>
      <c r="C523" s="32"/>
      <c r="E523" s="11"/>
    </row>
    <row r="524">
      <c r="B524" s="11"/>
      <c r="C524" s="32"/>
      <c r="E524" s="11"/>
    </row>
    <row r="525">
      <c r="B525" s="11"/>
      <c r="C525" s="32"/>
      <c r="E525" s="11"/>
    </row>
    <row r="526">
      <c r="B526" s="11"/>
      <c r="C526" s="32"/>
      <c r="E526" s="11"/>
    </row>
    <row r="527">
      <c r="B527" s="11"/>
      <c r="C527" s="32"/>
      <c r="E527" s="11"/>
    </row>
    <row r="528">
      <c r="B528" s="11"/>
      <c r="C528" s="32"/>
      <c r="E528" s="11"/>
    </row>
    <row r="529">
      <c r="B529" s="11"/>
      <c r="C529" s="32"/>
      <c r="E529" s="11"/>
    </row>
    <row r="530">
      <c r="B530" s="11"/>
      <c r="C530" s="32"/>
      <c r="E530" s="11"/>
    </row>
    <row r="531">
      <c r="B531" s="11"/>
      <c r="C531" s="32"/>
      <c r="E531" s="11"/>
    </row>
    <row r="532">
      <c r="B532" s="11"/>
      <c r="C532" s="32"/>
      <c r="E532" s="11"/>
    </row>
    <row r="533">
      <c r="B533" s="11"/>
      <c r="C533" s="32"/>
      <c r="E533" s="11"/>
    </row>
    <row r="534">
      <c r="B534" s="11"/>
      <c r="C534" s="32"/>
      <c r="E534" s="11"/>
    </row>
    <row r="535">
      <c r="B535" s="11"/>
      <c r="C535" s="32"/>
      <c r="E535" s="11"/>
    </row>
    <row r="536">
      <c r="B536" s="11"/>
      <c r="C536" s="32"/>
      <c r="E536" s="11"/>
    </row>
    <row r="537">
      <c r="B537" s="11"/>
      <c r="C537" s="32"/>
      <c r="E537" s="11"/>
    </row>
    <row r="538">
      <c r="B538" s="11"/>
      <c r="C538" s="32"/>
      <c r="E538" s="11"/>
    </row>
    <row r="539">
      <c r="B539" s="11"/>
      <c r="C539" s="32"/>
      <c r="E539" s="11"/>
    </row>
    <row r="540">
      <c r="B540" s="11"/>
      <c r="C540" s="32"/>
      <c r="E540" s="11"/>
    </row>
    <row r="541">
      <c r="B541" s="11"/>
      <c r="C541" s="32"/>
      <c r="E541" s="11"/>
    </row>
    <row r="542">
      <c r="B542" s="11"/>
      <c r="C542" s="32"/>
      <c r="E542" s="11"/>
    </row>
    <row r="543">
      <c r="B543" s="11"/>
      <c r="C543" s="32"/>
      <c r="E543" s="11"/>
    </row>
    <row r="544">
      <c r="B544" s="11"/>
      <c r="C544" s="32"/>
      <c r="E544" s="11"/>
    </row>
    <row r="545">
      <c r="B545" s="11"/>
      <c r="C545" s="32"/>
      <c r="E545" s="11"/>
    </row>
    <row r="546">
      <c r="B546" s="11"/>
      <c r="C546" s="32"/>
      <c r="E546" s="11"/>
    </row>
    <row r="547">
      <c r="B547" s="11"/>
      <c r="C547" s="32"/>
      <c r="E547" s="11"/>
    </row>
    <row r="548">
      <c r="B548" s="11"/>
      <c r="C548" s="32"/>
      <c r="E548" s="11"/>
    </row>
    <row r="549">
      <c r="B549" s="11"/>
      <c r="C549" s="32"/>
      <c r="E549" s="11"/>
    </row>
    <row r="550">
      <c r="B550" s="11"/>
      <c r="C550" s="32"/>
      <c r="E550" s="11"/>
    </row>
    <row r="551">
      <c r="B551" s="11"/>
      <c r="C551" s="32"/>
      <c r="E551" s="11"/>
    </row>
    <row r="552">
      <c r="B552" s="11"/>
      <c r="C552" s="32"/>
      <c r="E552" s="11"/>
    </row>
    <row r="553">
      <c r="B553" s="11"/>
      <c r="C553" s="32"/>
      <c r="E553" s="11"/>
    </row>
    <row r="554">
      <c r="B554" s="11"/>
      <c r="C554" s="32"/>
      <c r="E554" s="11"/>
    </row>
    <row r="555">
      <c r="B555" s="11"/>
      <c r="C555" s="32"/>
      <c r="E555" s="11"/>
    </row>
    <row r="556">
      <c r="B556" s="11"/>
      <c r="C556" s="32"/>
      <c r="E556" s="11"/>
    </row>
    <row r="557">
      <c r="B557" s="11"/>
      <c r="C557" s="32"/>
      <c r="E557" s="11"/>
    </row>
    <row r="558">
      <c r="B558" s="11"/>
      <c r="C558" s="32"/>
      <c r="E558" s="11"/>
    </row>
    <row r="559">
      <c r="B559" s="11"/>
      <c r="C559" s="32"/>
      <c r="E559" s="11"/>
    </row>
    <row r="560">
      <c r="B560" s="11"/>
      <c r="C560" s="32"/>
      <c r="E560" s="11"/>
    </row>
    <row r="561">
      <c r="B561" s="11"/>
      <c r="C561" s="32"/>
      <c r="E561" s="11"/>
    </row>
    <row r="562">
      <c r="B562" s="11"/>
      <c r="C562" s="32"/>
      <c r="E562" s="11"/>
    </row>
    <row r="563">
      <c r="B563" s="11"/>
      <c r="C563" s="32"/>
      <c r="E563" s="11"/>
    </row>
    <row r="564">
      <c r="B564" s="11"/>
      <c r="C564" s="32"/>
      <c r="E564" s="11"/>
    </row>
    <row r="565">
      <c r="B565" s="11"/>
      <c r="C565" s="32"/>
      <c r="E565" s="11"/>
    </row>
    <row r="566">
      <c r="B566" s="11"/>
      <c r="C566" s="32"/>
      <c r="E566" s="11"/>
    </row>
    <row r="567">
      <c r="B567" s="11"/>
      <c r="C567" s="32"/>
      <c r="E567" s="11"/>
    </row>
    <row r="568">
      <c r="B568" s="11"/>
      <c r="C568" s="32"/>
      <c r="E568" s="11"/>
    </row>
    <row r="569">
      <c r="B569" s="11"/>
      <c r="C569" s="32"/>
      <c r="E569" s="11"/>
    </row>
    <row r="570">
      <c r="B570" s="11"/>
      <c r="C570" s="32"/>
      <c r="E570" s="11"/>
    </row>
    <row r="571">
      <c r="B571" s="11"/>
      <c r="C571" s="32"/>
      <c r="E571" s="11"/>
    </row>
    <row r="572">
      <c r="B572" s="11"/>
      <c r="C572" s="32"/>
      <c r="E572" s="11"/>
    </row>
    <row r="573">
      <c r="B573" s="11"/>
      <c r="C573" s="32"/>
      <c r="E573" s="11"/>
    </row>
    <row r="574">
      <c r="B574" s="11"/>
      <c r="C574" s="32"/>
      <c r="E574" s="11"/>
    </row>
    <row r="575">
      <c r="B575" s="11"/>
      <c r="C575" s="32"/>
      <c r="E575" s="11"/>
    </row>
    <row r="576">
      <c r="B576" s="11"/>
      <c r="C576" s="32"/>
      <c r="E576" s="11"/>
    </row>
    <row r="577">
      <c r="B577" s="11"/>
      <c r="C577" s="32"/>
      <c r="E577" s="11"/>
    </row>
    <row r="578">
      <c r="B578" s="11"/>
      <c r="C578" s="32"/>
      <c r="E578" s="11"/>
    </row>
    <row r="579">
      <c r="B579" s="11"/>
      <c r="C579" s="32"/>
      <c r="E579" s="11"/>
    </row>
    <row r="580">
      <c r="B580" s="11"/>
      <c r="C580" s="32"/>
      <c r="E580" s="11"/>
    </row>
    <row r="581">
      <c r="B581" s="11"/>
      <c r="C581" s="32"/>
      <c r="E581" s="11"/>
    </row>
    <row r="582">
      <c r="B582" s="11"/>
      <c r="C582" s="32"/>
      <c r="E582" s="11"/>
    </row>
    <row r="583">
      <c r="B583" s="11"/>
      <c r="C583" s="32"/>
      <c r="E583" s="11"/>
    </row>
    <row r="584">
      <c r="B584" s="11"/>
      <c r="C584" s="32"/>
      <c r="E584" s="11"/>
    </row>
    <row r="585">
      <c r="B585" s="11"/>
      <c r="C585" s="32"/>
      <c r="E585" s="11"/>
    </row>
    <row r="586">
      <c r="B586" s="11"/>
      <c r="C586" s="32"/>
      <c r="E586" s="11"/>
    </row>
    <row r="587">
      <c r="B587" s="11"/>
      <c r="C587" s="32"/>
      <c r="E587" s="11"/>
    </row>
    <row r="588">
      <c r="B588" s="11"/>
      <c r="C588" s="32"/>
      <c r="E588" s="11"/>
    </row>
    <row r="589">
      <c r="B589" s="11"/>
      <c r="C589" s="32"/>
      <c r="E589" s="11"/>
    </row>
    <row r="590">
      <c r="B590" s="11"/>
      <c r="C590" s="32"/>
      <c r="E590" s="11"/>
    </row>
    <row r="591">
      <c r="B591" s="11"/>
      <c r="C591" s="32"/>
      <c r="E591" s="11"/>
    </row>
    <row r="592">
      <c r="B592" s="11"/>
      <c r="C592" s="32"/>
      <c r="E592" s="11"/>
    </row>
    <row r="593">
      <c r="B593" s="11"/>
      <c r="C593" s="32"/>
      <c r="E593" s="11"/>
    </row>
    <row r="594">
      <c r="B594" s="11"/>
      <c r="C594" s="32"/>
      <c r="E594" s="11"/>
    </row>
    <row r="595">
      <c r="B595" s="11"/>
      <c r="C595" s="32"/>
      <c r="E595" s="11"/>
    </row>
    <row r="596">
      <c r="B596" s="11"/>
      <c r="C596" s="32"/>
      <c r="E596" s="11"/>
    </row>
    <row r="597">
      <c r="B597" s="11"/>
      <c r="C597" s="32"/>
      <c r="E597" s="11"/>
    </row>
    <row r="598">
      <c r="B598" s="11"/>
      <c r="C598" s="32"/>
      <c r="E598" s="11"/>
    </row>
    <row r="599">
      <c r="B599" s="11"/>
      <c r="C599" s="32"/>
      <c r="E599" s="11"/>
    </row>
    <row r="600">
      <c r="B600" s="11"/>
      <c r="C600" s="32"/>
      <c r="E600" s="11"/>
    </row>
    <row r="601">
      <c r="B601" s="11"/>
      <c r="C601" s="32"/>
      <c r="E601" s="11"/>
    </row>
    <row r="602">
      <c r="B602" s="11"/>
      <c r="C602" s="32"/>
      <c r="E602" s="11"/>
    </row>
    <row r="603">
      <c r="B603" s="11"/>
      <c r="C603" s="32"/>
      <c r="E603" s="11"/>
    </row>
    <row r="604">
      <c r="B604" s="11"/>
      <c r="C604" s="32"/>
      <c r="E604" s="11"/>
    </row>
    <row r="605">
      <c r="B605" s="11"/>
      <c r="C605" s="32"/>
      <c r="E605" s="11"/>
    </row>
    <row r="606">
      <c r="B606" s="11"/>
      <c r="C606" s="32"/>
      <c r="E606" s="11"/>
    </row>
    <row r="607">
      <c r="B607" s="11"/>
      <c r="C607" s="32"/>
      <c r="E607" s="11"/>
    </row>
    <row r="608">
      <c r="B608" s="11"/>
      <c r="C608" s="32"/>
      <c r="E608" s="11"/>
    </row>
    <row r="609">
      <c r="B609" s="11"/>
      <c r="C609" s="32"/>
      <c r="E609" s="11"/>
    </row>
    <row r="610">
      <c r="B610" s="11"/>
      <c r="C610" s="32"/>
      <c r="E610" s="11"/>
    </row>
    <row r="611">
      <c r="B611" s="11"/>
      <c r="C611" s="32"/>
      <c r="E611" s="11"/>
    </row>
    <row r="612">
      <c r="B612" s="11"/>
      <c r="C612" s="32"/>
      <c r="E612" s="11"/>
    </row>
    <row r="613">
      <c r="B613" s="11"/>
      <c r="C613" s="32"/>
      <c r="E613" s="11"/>
    </row>
    <row r="614">
      <c r="B614" s="11"/>
      <c r="C614" s="32"/>
      <c r="E614" s="11"/>
    </row>
    <row r="615">
      <c r="B615" s="11"/>
      <c r="C615" s="32"/>
      <c r="E615" s="11"/>
    </row>
    <row r="616">
      <c r="B616" s="11"/>
      <c r="C616" s="32"/>
      <c r="E616" s="11"/>
    </row>
    <row r="617">
      <c r="B617" s="11"/>
      <c r="C617" s="32"/>
      <c r="E617" s="11"/>
    </row>
    <row r="618">
      <c r="B618" s="11"/>
      <c r="C618" s="32"/>
      <c r="E618" s="11"/>
    </row>
    <row r="619">
      <c r="B619" s="11"/>
      <c r="C619" s="32"/>
      <c r="E619" s="11"/>
    </row>
    <row r="620">
      <c r="B620" s="11"/>
      <c r="C620" s="32"/>
      <c r="E620" s="11"/>
    </row>
    <row r="621">
      <c r="B621" s="11"/>
      <c r="C621" s="32"/>
      <c r="E621" s="11"/>
    </row>
    <row r="622">
      <c r="B622" s="11"/>
      <c r="C622" s="32"/>
      <c r="E622" s="11"/>
    </row>
    <row r="623">
      <c r="B623" s="11"/>
      <c r="C623" s="32"/>
      <c r="E623" s="11"/>
    </row>
    <row r="624">
      <c r="B624" s="11"/>
      <c r="C624" s="32"/>
      <c r="E624" s="11"/>
    </row>
    <row r="625">
      <c r="B625" s="11"/>
      <c r="C625" s="32"/>
      <c r="E625" s="11"/>
    </row>
    <row r="626">
      <c r="B626" s="11"/>
      <c r="C626" s="32"/>
      <c r="E626" s="11"/>
    </row>
    <row r="627">
      <c r="B627" s="11"/>
      <c r="C627" s="32"/>
      <c r="E627" s="11"/>
    </row>
    <row r="628">
      <c r="B628" s="11"/>
      <c r="C628" s="32"/>
      <c r="E628" s="11"/>
    </row>
    <row r="629">
      <c r="B629" s="11"/>
      <c r="C629" s="32"/>
      <c r="E629" s="11"/>
    </row>
    <row r="630">
      <c r="B630" s="11"/>
      <c r="C630" s="32"/>
      <c r="E630" s="11"/>
    </row>
    <row r="631">
      <c r="B631" s="11"/>
      <c r="C631" s="32"/>
      <c r="E631" s="11"/>
    </row>
    <row r="632">
      <c r="B632" s="11"/>
      <c r="C632" s="32"/>
      <c r="E632" s="11"/>
    </row>
    <row r="633">
      <c r="B633" s="11"/>
      <c r="C633" s="32"/>
      <c r="E633" s="11"/>
    </row>
    <row r="634">
      <c r="B634" s="11"/>
      <c r="C634" s="32"/>
      <c r="E634" s="11"/>
    </row>
    <row r="635">
      <c r="B635" s="11"/>
      <c r="C635" s="32"/>
      <c r="E635" s="11"/>
    </row>
    <row r="636">
      <c r="B636" s="11"/>
      <c r="C636" s="32"/>
      <c r="E636" s="11"/>
    </row>
    <row r="637">
      <c r="B637" s="11"/>
      <c r="C637" s="32"/>
      <c r="E637" s="11"/>
    </row>
    <row r="638">
      <c r="B638" s="11"/>
      <c r="C638" s="32"/>
      <c r="E638" s="11"/>
    </row>
    <row r="639">
      <c r="B639" s="11"/>
      <c r="C639" s="32"/>
      <c r="E639" s="11"/>
    </row>
    <row r="640">
      <c r="B640" s="11"/>
      <c r="C640" s="32"/>
      <c r="E640" s="11"/>
    </row>
    <row r="641">
      <c r="B641" s="11"/>
      <c r="C641" s="32"/>
      <c r="E641" s="11"/>
    </row>
    <row r="642">
      <c r="B642" s="11"/>
      <c r="C642" s="32"/>
      <c r="E642" s="11"/>
    </row>
    <row r="643">
      <c r="B643" s="11"/>
      <c r="C643" s="32"/>
      <c r="E643" s="11"/>
    </row>
    <row r="644">
      <c r="B644" s="11"/>
      <c r="C644" s="32"/>
      <c r="E644" s="11"/>
    </row>
    <row r="645">
      <c r="B645" s="11"/>
      <c r="C645" s="32"/>
      <c r="E645" s="11"/>
    </row>
    <row r="646">
      <c r="B646" s="11"/>
      <c r="C646" s="32"/>
      <c r="E646" s="11"/>
    </row>
    <row r="647">
      <c r="B647" s="11"/>
      <c r="C647" s="32"/>
      <c r="E647" s="11"/>
    </row>
    <row r="648">
      <c r="B648" s="11"/>
      <c r="C648" s="32"/>
      <c r="E648" s="11"/>
    </row>
    <row r="649">
      <c r="B649" s="11"/>
      <c r="C649" s="32"/>
      <c r="E649" s="11"/>
    </row>
    <row r="650">
      <c r="B650" s="11"/>
      <c r="C650" s="32"/>
      <c r="E650" s="11"/>
    </row>
    <row r="651">
      <c r="B651" s="11"/>
      <c r="C651" s="32"/>
      <c r="E651" s="11"/>
    </row>
    <row r="652">
      <c r="B652" s="11"/>
      <c r="C652" s="32"/>
      <c r="E652" s="11"/>
    </row>
    <row r="653">
      <c r="B653" s="11"/>
      <c r="C653" s="32"/>
      <c r="E653" s="11"/>
    </row>
    <row r="654">
      <c r="B654" s="11"/>
      <c r="C654" s="32"/>
      <c r="E654" s="11"/>
    </row>
    <row r="655">
      <c r="B655" s="11"/>
      <c r="C655" s="32"/>
      <c r="E655" s="11"/>
    </row>
    <row r="656">
      <c r="B656" s="11"/>
      <c r="C656" s="32"/>
      <c r="E656" s="11"/>
    </row>
    <row r="657">
      <c r="B657" s="11"/>
      <c r="C657" s="32"/>
      <c r="E657" s="11"/>
    </row>
    <row r="658">
      <c r="B658" s="11"/>
      <c r="C658" s="32"/>
      <c r="E658" s="11"/>
    </row>
    <row r="659">
      <c r="B659" s="11"/>
      <c r="C659" s="32"/>
      <c r="E659" s="11"/>
    </row>
    <row r="660">
      <c r="B660" s="11"/>
      <c r="C660" s="32"/>
      <c r="E660" s="11"/>
    </row>
    <row r="661">
      <c r="B661" s="11"/>
      <c r="C661" s="32"/>
      <c r="E661" s="11"/>
    </row>
    <row r="662">
      <c r="B662" s="11"/>
      <c r="C662" s="32"/>
      <c r="E662" s="11"/>
    </row>
    <row r="663">
      <c r="B663" s="11"/>
      <c r="C663" s="32"/>
      <c r="E663" s="11"/>
    </row>
    <row r="664">
      <c r="B664" s="11"/>
      <c r="C664" s="32"/>
      <c r="E664" s="11"/>
    </row>
    <row r="665">
      <c r="B665" s="11"/>
      <c r="C665" s="32"/>
      <c r="E665" s="11"/>
    </row>
    <row r="666">
      <c r="B666" s="11"/>
      <c r="C666" s="32"/>
      <c r="E666" s="11"/>
    </row>
    <row r="667">
      <c r="B667" s="11"/>
      <c r="C667" s="32"/>
      <c r="E667" s="11"/>
    </row>
    <row r="668">
      <c r="B668" s="11"/>
      <c r="C668" s="32"/>
      <c r="E668" s="11"/>
    </row>
    <row r="669">
      <c r="B669" s="11"/>
      <c r="C669" s="32"/>
      <c r="E669" s="11"/>
    </row>
    <row r="670">
      <c r="B670" s="11"/>
      <c r="C670" s="32"/>
      <c r="E670" s="11"/>
    </row>
    <row r="671">
      <c r="B671" s="11"/>
      <c r="C671" s="32"/>
      <c r="E671" s="11"/>
    </row>
    <row r="672">
      <c r="B672" s="11"/>
      <c r="C672" s="32"/>
      <c r="E672" s="11"/>
    </row>
    <row r="673">
      <c r="B673" s="11"/>
      <c r="C673" s="32"/>
      <c r="E673" s="11"/>
    </row>
    <row r="674">
      <c r="B674" s="11"/>
      <c r="C674" s="32"/>
      <c r="E674" s="11"/>
    </row>
    <row r="675">
      <c r="B675" s="11"/>
      <c r="C675" s="32"/>
      <c r="E675" s="11"/>
    </row>
    <row r="676">
      <c r="B676" s="11"/>
      <c r="C676" s="32"/>
      <c r="E676" s="11"/>
    </row>
    <row r="677">
      <c r="B677" s="11"/>
      <c r="C677" s="32"/>
      <c r="E677" s="11"/>
    </row>
    <row r="678">
      <c r="B678" s="11"/>
      <c r="C678" s="32"/>
      <c r="E678" s="11"/>
    </row>
    <row r="679">
      <c r="B679" s="11"/>
      <c r="C679" s="32"/>
      <c r="E679" s="11"/>
    </row>
    <row r="680">
      <c r="B680" s="11"/>
      <c r="C680" s="32"/>
      <c r="E680" s="11"/>
    </row>
    <row r="681">
      <c r="B681" s="11"/>
      <c r="C681" s="32"/>
      <c r="E681" s="11"/>
    </row>
    <row r="682">
      <c r="B682" s="11"/>
      <c r="C682" s="32"/>
      <c r="E682" s="11"/>
    </row>
    <row r="683">
      <c r="B683" s="11"/>
      <c r="C683" s="32"/>
      <c r="E683" s="11"/>
    </row>
    <row r="684">
      <c r="B684" s="11"/>
      <c r="C684" s="32"/>
      <c r="E684" s="11"/>
    </row>
    <row r="685">
      <c r="B685" s="11"/>
      <c r="C685" s="32"/>
      <c r="E685" s="11"/>
    </row>
    <row r="686">
      <c r="B686" s="11"/>
      <c r="C686" s="32"/>
      <c r="E686" s="11"/>
    </row>
    <row r="687">
      <c r="B687" s="11"/>
      <c r="C687" s="32"/>
      <c r="E687" s="11"/>
    </row>
    <row r="688">
      <c r="B688" s="11"/>
      <c r="C688" s="32"/>
      <c r="E688" s="11"/>
    </row>
    <row r="689">
      <c r="B689" s="11"/>
      <c r="C689" s="32"/>
      <c r="E689" s="11"/>
    </row>
    <row r="690">
      <c r="B690" s="11"/>
      <c r="C690" s="32"/>
      <c r="E690" s="11"/>
    </row>
    <row r="691">
      <c r="B691" s="11"/>
      <c r="C691" s="32"/>
      <c r="E691" s="11"/>
    </row>
    <row r="692">
      <c r="B692" s="11"/>
      <c r="C692" s="32"/>
      <c r="E692" s="11"/>
    </row>
    <row r="693">
      <c r="B693" s="11"/>
      <c r="C693" s="32"/>
      <c r="E693" s="11"/>
    </row>
    <row r="694">
      <c r="B694" s="11"/>
      <c r="C694" s="32"/>
      <c r="E694" s="11"/>
    </row>
    <row r="695">
      <c r="B695" s="11"/>
      <c r="C695" s="32"/>
      <c r="E695" s="11"/>
    </row>
    <row r="696">
      <c r="B696" s="11"/>
      <c r="C696" s="32"/>
      <c r="E696" s="11"/>
    </row>
    <row r="697">
      <c r="B697" s="11"/>
      <c r="C697" s="32"/>
      <c r="E697" s="11"/>
    </row>
    <row r="698">
      <c r="B698" s="11"/>
      <c r="C698" s="32"/>
      <c r="E698" s="11"/>
    </row>
    <row r="699">
      <c r="B699" s="11"/>
      <c r="C699" s="32"/>
      <c r="E699" s="11"/>
    </row>
    <row r="700">
      <c r="B700" s="11"/>
      <c r="C700" s="32"/>
      <c r="E700" s="11"/>
    </row>
    <row r="701">
      <c r="B701" s="11"/>
      <c r="C701" s="32"/>
      <c r="E701" s="11"/>
    </row>
    <row r="702">
      <c r="B702" s="11"/>
      <c r="C702" s="32"/>
      <c r="E702" s="11"/>
    </row>
    <row r="703">
      <c r="B703" s="11"/>
      <c r="C703" s="32"/>
      <c r="E703" s="11"/>
    </row>
    <row r="704">
      <c r="B704" s="11"/>
      <c r="C704" s="32"/>
      <c r="E704" s="11"/>
    </row>
    <row r="705">
      <c r="B705" s="11"/>
      <c r="C705" s="32"/>
      <c r="E705" s="11"/>
    </row>
    <row r="706">
      <c r="B706" s="11"/>
      <c r="C706" s="32"/>
      <c r="E706" s="11"/>
    </row>
    <row r="707">
      <c r="B707" s="11"/>
      <c r="C707" s="32"/>
      <c r="E707" s="11"/>
    </row>
    <row r="708">
      <c r="B708" s="11"/>
      <c r="C708" s="32"/>
      <c r="E708" s="11"/>
    </row>
    <row r="709">
      <c r="B709" s="11"/>
      <c r="C709" s="32"/>
      <c r="E709" s="11"/>
    </row>
    <row r="710">
      <c r="B710" s="11"/>
      <c r="C710" s="32"/>
      <c r="E710" s="11"/>
    </row>
    <row r="711">
      <c r="B711" s="11"/>
      <c r="C711" s="32"/>
      <c r="E711" s="11"/>
    </row>
    <row r="712">
      <c r="B712" s="11"/>
      <c r="C712" s="32"/>
      <c r="E712" s="11"/>
    </row>
    <row r="713">
      <c r="B713" s="11"/>
      <c r="C713" s="32"/>
      <c r="E713" s="11"/>
    </row>
    <row r="714">
      <c r="B714" s="11"/>
      <c r="C714" s="32"/>
      <c r="E714" s="11"/>
    </row>
    <row r="715">
      <c r="B715" s="11"/>
      <c r="C715" s="32"/>
      <c r="E715" s="11"/>
    </row>
    <row r="716">
      <c r="B716" s="11"/>
      <c r="C716" s="32"/>
      <c r="E716" s="11"/>
    </row>
    <row r="717">
      <c r="B717" s="11"/>
      <c r="C717" s="32"/>
      <c r="E717" s="11"/>
    </row>
    <row r="718">
      <c r="B718" s="11"/>
      <c r="C718" s="32"/>
      <c r="E718" s="11"/>
    </row>
    <row r="719">
      <c r="B719" s="11"/>
      <c r="C719" s="32"/>
      <c r="E719" s="11"/>
    </row>
    <row r="720">
      <c r="B720" s="11"/>
      <c r="C720" s="32"/>
      <c r="E720" s="11"/>
    </row>
    <row r="721">
      <c r="B721" s="11"/>
      <c r="C721" s="32"/>
      <c r="E721" s="11"/>
    </row>
    <row r="722">
      <c r="B722" s="11"/>
      <c r="C722" s="32"/>
      <c r="E722" s="11"/>
    </row>
    <row r="723">
      <c r="B723" s="11"/>
      <c r="C723" s="32"/>
      <c r="E723" s="11"/>
    </row>
    <row r="724">
      <c r="B724" s="11"/>
      <c r="C724" s="32"/>
      <c r="E724" s="11"/>
    </row>
    <row r="725">
      <c r="B725" s="11"/>
      <c r="C725" s="32"/>
      <c r="E725" s="11"/>
    </row>
    <row r="726">
      <c r="B726" s="11"/>
      <c r="C726" s="32"/>
      <c r="E726" s="11"/>
    </row>
    <row r="727">
      <c r="B727" s="11"/>
      <c r="C727" s="32"/>
      <c r="E727" s="11"/>
    </row>
    <row r="728">
      <c r="B728" s="11"/>
      <c r="C728" s="32"/>
      <c r="E728" s="11"/>
    </row>
    <row r="729">
      <c r="B729" s="11"/>
      <c r="C729" s="32"/>
      <c r="E729" s="11"/>
    </row>
    <row r="730">
      <c r="B730" s="11"/>
      <c r="C730" s="32"/>
      <c r="E730" s="11"/>
    </row>
    <row r="731">
      <c r="B731" s="11"/>
      <c r="C731" s="32"/>
      <c r="E731" s="11"/>
    </row>
    <row r="732">
      <c r="B732" s="11"/>
      <c r="C732" s="32"/>
      <c r="E732" s="11"/>
    </row>
    <row r="733">
      <c r="B733" s="11"/>
      <c r="C733" s="32"/>
      <c r="E733" s="11"/>
    </row>
    <row r="734">
      <c r="B734" s="11"/>
      <c r="C734" s="32"/>
      <c r="E734" s="11"/>
    </row>
    <row r="735">
      <c r="B735" s="11"/>
      <c r="C735" s="32"/>
      <c r="E735" s="11"/>
    </row>
    <row r="736">
      <c r="B736" s="11"/>
      <c r="C736" s="32"/>
      <c r="E736" s="11"/>
    </row>
    <row r="737">
      <c r="B737" s="11"/>
      <c r="C737" s="32"/>
      <c r="E737" s="11"/>
    </row>
    <row r="738">
      <c r="B738" s="11"/>
      <c r="C738" s="32"/>
      <c r="E738" s="11"/>
    </row>
    <row r="739">
      <c r="B739" s="11"/>
      <c r="C739" s="32"/>
      <c r="E739" s="11"/>
    </row>
    <row r="740">
      <c r="B740" s="11"/>
      <c r="C740" s="32"/>
      <c r="E740" s="11"/>
    </row>
    <row r="741">
      <c r="B741" s="11"/>
      <c r="C741" s="32"/>
      <c r="E741" s="11"/>
    </row>
    <row r="742">
      <c r="B742" s="11"/>
      <c r="C742" s="32"/>
      <c r="E742" s="11"/>
    </row>
    <row r="743">
      <c r="B743" s="11"/>
      <c r="C743" s="32"/>
      <c r="E743" s="11"/>
    </row>
    <row r="744">
      <c r="B744" s="11"/>
      <c r="C744" s="32"/>
      <c r="E744" s="11"/>
    </row>
    <row r="745">
      <c r="B745" s="11"/>
      <c r="C745" s="32"/>
      <c r="E745" s="11"/>
    </row>
    <row r="746">
      <c r="B746" s="11"/>
      <c r="C746" s="32"/>
      <c r="E746" s="11"/>
    </row>
    <row r="747">
      <c r="B747" s="11"/>
      <c r="C747" s="32"/>
      <c r="E747" s="11"/>
    </row>
    <row r="748">
      <c r="B748" s="11"/>
      <c r="C748" s="32"/>
      <c r="E748" s="11"/>
    </row>
    <row r="749">
      <c r="B749" s="11"/>
      <c r="C749" s="32"/>
      <c r="E749" s="11"/>
    </row>
    <row r="750">
      <c r="B750" s="11"/>
      <c r="C750" s="32"/>
      <c r="E750" s="11"/>
    </row>
    <row r="751">
      <c r="B751" s="11"/>
      <c r="C751" s="32"/>
      <c r="E751" s="11"/>
    </row>
    <row r="752">
      <c r="B752" s="11"/>
      <c r="C752" s="32"/>
      <c r="E752" s="11"/>
    </row>
    <row r="753">
      <c r="B753" s="11"/>
      <c r="C753" s="32"/>
      <c r="E753" s="11"/>
    </row>
    <row r="754">
      <c r="B754" s="11"/>
      <c r="C754" s="32"/>
      <c r="E754" s="11"/>
    </row>
    <row r="755">
      <c r="B755" s="11"/>
      <c r="C755" s="32"/>
      <c r="E755" s="11"/>
    </row>
    <row r="756">
      <c r="B756" s="11"/>
      <c r="C756" s="32"/>
      <c r="E756" s="11"/>
    </row>
    <row r="757">
      <c r="B757" s="11"/>
      <c r="C757" s="32"/>
      <c r="E757" s="11"/>
    </row>
    <row r="758">
      <c r="B758" s="11"/>
      <c r="C758" s="32"/>
      <c r="E758" s="11"/>
    </row>
    <row r="759">
      <c r="B759" s="11"/>
      <c r="C759" s="32"/>
      <c r="E759" s="11"/>
    </row>
    <row r="760">
      <c r="B760" s="11"/>
      <c r="C760" s="32"/>
      <c r="E760" s="11"/>
    </row>
    <row r="761">
      <c r="B761" s="11"/>
      <c r="C761" s="32"/>
      <c r="E761" s="11"/>
    </row>
    <row r="762">
      <c r="B762" s="11"/>
      <c r="C762" s="32"/>
      <c r="E762" s="11"/>
    </row>
    <row r="763">
      <c r="B763" s="11"/>
      <c r="C763" s="32"/>
      <c r="E763" s="11"/>
    </row>
    <row r="764">
      <c r="B764" s="11"/>
      <c r="C764" s="32"/>
      <c r="E764" s="11"/>
    </row>
    <row r="765">
      <c r="B765" s="11"/>
      <c r="C765" s="32"/>
      <c r="E765" s="11"/>
    </row>
    <row r="766">
      <c r="B766" s="11"/>
      <c r="C766" s="32"/>
      <c r="E766" s="11"/>
    </row>
    <row r="767">
      <c r="B767" s="11"/>
      <c r="C767" s="32"/>
      <c r="E767" s="11"/>
    </row>
    <row r="768">
      <c r="B768" s="11"/>
      <c r="C768" s="32"/>
      <c r="E768" s="11"/>
    </row>
    <row r="769">
      <c r="B769" s="11"/>
      <c r="C769" s="32"/>
      <c r="E769" s="11"/>
    </row>
    <row r="770">
      <c r="B770" s="11"/>
      <c r="C770" s="32"/>
      <c r="E770" s="11"/>
    </row>
    <row r="771">
      <c r="B771" s="11"/>
      <c r="C771" s="32"/>
      <c r="E771" s="11"/>
    </row>
    <row r="772">
      <c r="B772" s="11"/>
      <c r="C772" s="32"/>
      <c r="E772" s="11"/>
    </row>
    <row r="773">
      <c r="B773" s="11"/>
      <c r="C773" s="32"/>
      <c r="E773" s="11"/>
    </row>
    <row r="774">
      <c r="B774" s="11"/>
      <c r="C774" s="32"/>
      <c r="E774" s="11"/>
    </row>
    <row r="775">
      <c r="B775" s="11"/>
      <c r="C775" s="32"/>
      <c r="E775" s="11"/>
    </row>
    <row r="776">
      <c r="B776" s="11"/>
      <c r="C776" s="32"/>
      <c r="E776" s="11"/>
    </row>
    <row r="777">
      <c r="B777" s="11"/>
      <c r="C777" s="32"/>
      <c r="E777" s="11"/>
    </row>
    <row r="778">
      <c r="B778" s="11"/>
      <c r="C778" s="32"/>
      <c r="E778" s="11"/>
    </row>
    <row r="779">
      <c r="B779" s="11"/>
      <c r="C779" s="32"/>
      <c r="E779" s="11"/>
    </row>
    <row r="780">
      <c r="B780" s="11"/>
      <c r="C780" s="32"/>
      <c r="E780" s="11"/>
    </row>
    <row r="781">
      <c r="B781" s="11"/>
      <c r="C781" s="32"/>
      <c r="E781" s="11"/>
    </row>
    <row r="782">
      <c r="B782" s="11"/>
      <c r="C782" s="32"/>
      <c r="E782" s="11"/>
    </row>
    <row r="783">
      <c r="B783" s="11"/>
      <c r="C783" s="32"/>
      <c r="E783" s="11"/>
    </row>
    <row r="784">
      <c r="B784" s="11"/>
      <c r="C784" s="32"/>
      <c r="E784" s="11"/>
    </row>
    <row r="785">
      <c r="B785" s="11"/>
      <c r="C785" s="32"/>
      <c r="E785" s="11"/>
    </row>
    <row r="786">
      <c r="B786" s="11"/>
      <c r="C786" s="32"/>
      <c r="E786" s="11"/>
    </row>
    <row r="787">
      <c r="B787" s="11"/>
      <c r="C787" s="32"/>
      <c r="E787" s="11"/>
    </row>
    <row r="788">
      <c r="B788" s="11"/>
      <c r="C788" s="32"/>
      <c r="E788" s="11"/>
    </row>
    <row r="789">
      <c r="B789" s="11"/>
      <c r="C789" s="32"/>
      <c r="E789" s="11"/>
    </row>
    <row r="790">
      <c r="B790" s="11"/>
      <c r="C790" s="32"/>
      <c r="E790" s="11"/>
    </row>
    <row r="791">
      <c r="B791" s="11"/>
      <c r="C791" s="32"/>
      <c r="E791" s="11"/>
    </row>
    <row r="792">
      <c r="B792" s="11"/>
      <c r="C792" s="32"/>
      <c r="E792" s="11"/>
    </row>
    <row r="793">
      <c r="B793" s="11"/>
      <c r="C793" s="32"/>
      <c r="E793" s="11"/>
    </row>
    <row r="794">
      <c r="B794" s="11"/>
      <c r="C794" s="32"/>
      <c r="E794" s="11"/>
    </row>
    <row r="795">
      <c r="B795" s="11"/>
      <c r="C795" s="32"/>
      <c r="E795" s="11"/>
    </row>
    <row r="796">
      <c r="B796" s="11"/>
      <c r="C796" s="32"/>
      <c r="E796" s="11"/>
    </row>
    <row r="797">
      <c r="B797" s="11"/>
      <c r="C797" s="32"/>
      <c r="E797" s="11"/>
    </row>
    <row r="798">
      <c r="B798" s="11"/>
      <c r="C798" s="32"/>
      <c r="E798" s="11"/>
    </row>
    <row r="799">
      <c r="B799" s="11"/>
      <c r="C799" s="32"/>
      <c r="E799" s="11"/>
    </row>
    <row r="800">
      <c r="B800" s="11"/>
      <c r="C800" s="32"/>
      <c r="E800" s="11"/>
    </row>
    <row r="801">
      <c r="B801" s="11"/>
      <c r="C801" s="32"/>
      <c r="E801" s="11"/>
    </row>
    <row r="802">
      <c r="B802" s="11"/>
      <c r="C802" s="32"/>
      <c r="E802" s="11"/>
    </row>
    <row r="803">
      <c r="B803" s="11"/>
      <c r="C803" s="32"/>
      <c r="E803" s="11"/>
    </row>
    <row r="804">
      <c r="B804" s="11"/>
      <c r="C804" s="32"/>
      <c r="E804" s="11"/>
    </row>
    <row r="805">
      <c r="B805" s="11"/>
      <c r="C805" s="32"/>
      <c r="E805" s="11"/>
    </row>
    <row r="806">
      <c r="B806" s="11"/>
      <c r="C806" s="32"/>
      <c r="E806" s="11"/>
    </row>
    <row r="807">
      <c r="B807" s="11"/>
      <c r="C807" s="32"/>
      <c r="E807" s="11"/>
    </row>
    <row r="808">
      <c r="B808" s="11"/>
      <c r="C808" s="32"/>
      <c r="E808" s="11"/>
    </row>
    <row r="809">
      <c r="B809" s="11"/>
      <c r="C809" s="32"/>
      <c r="E809" s="11"/>
    </row>
    <row r="810">
      <c r="B810" s="11"/>
      <c r="C810" s="32"/>
      <c r="E810" s="11"/>
    </row>
    <row r="811">
      <c r="B811" s="11"/>
      <c r="C811" s="32"/>
      <c r="E811" s="11"/>
    </row>
    <row r="812">
      <c r="B812" s="11"/>
      <c r="C812" s="32"/>
      <c r="E812" s="11"/>
    </row>
    <row r="813">
      <c r="B813" s="11"/>
      <c r="C813" s="32"/>
      <c r="E813" s="11"/>
    </row>
    <row r="814">
      <c r="B814" s="11"/>
      <c r="C814" s="32"/>
      <c r="E814" s="11"/>
    </row>
    <row r="815">
      <c r="B815" s="11"/>
      <c r="C815" s="32"/>
      <c r="E815" s="11"/>
    </row>
    <row r="816">
      <c r="B816" s="11"/>
      <c r="C816" s="32"/>
      <c r="E816" s="11"/>
    </row>
    <row r="817">
      <c r="B817" s="11"/>
      <c r="C817" s="32"/>
      <c r="E817" s="11"/>
    </row>
    <row r="818">
      <c r="B818" s="11"/>
      <c r="C818" s="32"/>
      <c r="E818" s="11"/>
    </row>
    <row r="819">
      <c r="B819" s="11"/>
      <c r="C819" s="32"/>
      <c r="E819" s="11"/>
    </row>
    <row r="820">
      <c r="B820" s="11"/>
      <c r="C820" s="32"/>
      <c r="E820" s="11"/>
    </row>
    <row r="821">
      <c r="B821" s="11"/>
      <c r="C821" s="32"/>
      <c r="E821" s="11"/>
    </row>
    <row r="822">
      <c r="B822" s="11"/>
      <c r="C822" s="32"/>
      <c r="E822" s="11"/>
    </row>
    <row r="823">
      <c r="B823" s="11"/>
      <c r="C823" s="32"/>
      <c r="E823" s="11"/>
    </row>
    <row r="824">
      <c r="B824" s="11"/>
      <c r="C824" s="32"/>
      <c r="E824" s="11"/>
    </row>
    <row r="825">
      <c r="B825" s="11"/>
      <c r="C825" s="32"/>
      <c r="E825" s="11"/>
    </row>
    <row r="826">
      <c r="B826" s="11"/>
      <c r="C826" s="32"/>
      <c r="E826" s="11"/>
    </row>
    <row r="827">
      <c r="B827" s="11"/>
      <c r="C827" s="32"/>
      <c r="E827" s="11"/>
    </row>
    <row r="828">
      <c r="B828" s="11"/>
      <c r="C828" s="32"/>
      <c r="E828" s="11"/>
    </row>
    <row r="829">
      <c r="B829" s="11"/>
      <c r="C829" s="32"/>
      <c r="E829" s="11"/>
    </row>
    <row r="830">
      <c r="B830" s="11"/>
      <c r="C830" s="32"/>
      <c r="E830" s="11"/>
    </row>
    <row r="831">
      <c r="B831" s="11"/>
      <c r="C831" s="32"/>
      <c r="E831" s="11"/>
    </row>
    <row r="832">
      <c r="B832" s="11"/>
      <c r="C832" s="32"/>
      <c r="E832" s="11"/>
    </row>
    <row r="833">
      <c r="B833" s="11"/>
      <c r="C833" s="32"/>
      <c r="E833" s="11"/>
    </row>
    <row r="834">
      <c r="B834" s="11"/>
      <c r="C834" s="32"/>
      <c r="E834" s="11"/>
    </row>
    <row r="835">
      <c r="B835" s="11"/>
      <c r="C835" s="32"/>
      <c r="E835" s="11"/>
    </row>
    <row r="836">
      <c r="B836" s="11"/>
      <c r="C836" s="32"/>
      <c r="E836" s="11"/>
    </row>
    <row r="837">
      <c r="B837" s="11"/>
      <c r="C837" s="32"/>
      <c r="E837" s="11"/>
    </row>
    <row r="838">
      <c r="B838" s="11"/>
      <c r="C838" s="32"/>
      <c r="E838" s="11"/>
    </row>
    <row r="839">
      <c r="B839" s="11"/>
      <c r="C839" s="32"/>
      <c r="E839" s="11"/>
    </row>
    <row r="840">
      <c r="B840" s="11"/>
      <c r="C840" s="32"/>
      <c r="E840" s="11"/>
    </row>
    <row r="841">
      <c r="B841" s="11"/>
      <c r="C841" s="32"/>
      <c r="E841" s="11"/>
    </row>
    <row r="842">
      <c r="B842" s="11"/>
      <c r="C842" s="32"/>
      <c r="E842" s="11"/>
    </row>
    <row r="843">
      <c r="B843" s="11"/>
      <c r="C843" s="32"/>
      <c r="E843" s="11"/>
    </row>
    <row r="844">
      <c r="B844" s="11"/>
      <c r="C844" s="32"/>
      <c r="E844" s="11"/>
    </row>
    <row r="845">
      <c r="B845" s="11"/>
      <c r="C845" s="32"/>
      <c r="E845" s="11"/>
    </row>
    <row r="846">
      <c r="B846" s="11"/>
      <c r="C846" s="32"/>
      <c r="E846" s="11"/>
    </row>
    <row r="847">
      <c r="B847" s="11"/>
      <c r="C847" s="32"/>
      <c r="E847" s="11"/>
    </row>
    <row r="848">
      <c r="B848" s="11"/>
      <c r="C848" s="32"/>
      <c r="E848" s="11"/>
    </row>
    <row r="849">
      <c r="B849" s="11"/>
      <c r="C849" s="32"/>
      <c r="E849" s="11"/>
    </row>
    <row r="850">
      <c r="B850" s="11"/>
      <c r="C850" s="32"/>
      <c r="E850" s="11"/>
    </row>
    <row r="851">
      <c r="B851" s="11"/>
      <c r="C851" s="32"/>
      <c r="E851" s="11"/>
    </row>
    <row r="852">
      <c r="B852" s="11"/>
      <c r="C852" s="32"/>
      <c r="E852" s="11"/>
    </row>
    <row r="853">
      <c r="B853" s="11"/>
      <c r="C853" s="32"/>
      <c r="E853" s="11"/>
    </row>
    <row r="854">
      <c r="B854" s="11"/>
      <c r="C854" s="32"/>
      <c r="E854" s="11"/>
    </row>
    <row r="855">
      <c r="B855" s="11"/>
      <c r="C855" s="32"/>
      <c r="E855" s="11"/>
    </row>
    <row r="856">
      <c r="B856" s="11"/>
      <c r="C856" s="32"/>
      <c r="E856" s="11"/>
    </row>
    <row r="857">
      <c r="B857" s="11"/>
      <c r="C857" s="32"/>
      <c r="E857" s="11"/>
    </row>
    <row r="858">
      <c r="B858" s="11"/>
      <c r="C858" s="32"/>
      <c r="E858" s="11"/>
    </row>
    <row r="859">
      <c r="B859" s="11"/>
      <c r="C859" s="32"/>
      <c r="E859" s="11"/>
    </row>
    <row r="860">
      <c r="B860" s="11"/>
      <c r="C860" s="32"/>
      <c r="E860" s="11"/>
    </row>
    <row r="861">
      <c r="B861" s="11"/>
      <c r="C861" s="32"/>
      <c r="E861" s="11"/>
    </row>
    <row r="862">
      <c r="B862" s="11"/>
      <c r="C862" s="32"/>
      <c r="E862" s="11"/>
    </row>
    <row r="863">
      <c r="B863" s="11"/>
      <c r="C863" s="32"/>
      <c r="E863" s="11"/>
    </row>
    <row r="864">
      <c r="B864" s="11"/>
      <c r="C864" s="32"/>
      <c r="E864" s="11"/>
    </row>
    <row r="865">
      <c r="B865" s="11"/>
      <c r="C865" s="32"/>
      <c r="E865" s="11"/>
    </row>
    <row r="866">
      <c r="B866" s="11"/>
      <c r="C866" s="32"/>
      <c r="E866" s="11"/>
    </row>
    <row r="867">
      <c r="B867" s="11"/>
      <c r="C867" s="32"/>
      <c r="E867" s="11"/>
    </row>
    <row r="868">
      <c r="B868" s="11"/>
      <c r="C868" s="32"/>
      <c r="E868" s="11"/>
    </row>
    <row r="869">
      <c r="B869" s="11"/>
      <c r="C869" s="32"/>
      <c r="E869" s="11"/>
    </row>
    <row r="870">
      <c r="B870" s="11"/>
      <c r="C870" s="32"/>
      <c r="E870" s="11"/>
    </row>
    <row r="871">
      <c r="B871" s="11"/>
      <c r="C871" s="32"/>
      <c r="E871" s="11"/>
    </row>
    <row r="872">
      <c r="B872" s="11"/>
      <c r="C872" s="32"/>
      <c r="E872" s="11"/>
    </row>
    <row r="873">
      <c r="B873" s="11"/>
      <c r="C873" s="32"/>
      <c r="E873" s="11"/>
    </row>
    <row r="874">
      <c r="B874" s="11"/>
      <c r="C874" s="32"/>
      <c r="E874" s="11"/>
    </row>
    <row r="875">
      <c r="B875" s="11"/>
      <c r="C875" s="32"/>
      <c r="E875" s="11"/>
    </row>
    <row r="876">
      <c r="B876" s="11"/>
      <c r="C876" s="32"/>
      <c r="E876" s="11"/>
    </row>
    <row r="877">
      <c r="B877" s="11"/>
      <c r="C877" s="32"/>
      <c r="E877" s="11"/>
    </row>
    <row r="878">
      <c r="B878" s="11"/>
      <c r="C878" s="32"/>
      <c r="E878" s="11"/>
    </row>
    <row r="879">
      <c r="B879" s="11"/>
      <c r="C879" s="32"/>
      <c r="E879" s="11"/>
    </row>
    <row r="880">
      <c r="B880" s="11"/>
      <c r="C880" s="32"/>
      <c r="E880" s="11"/>
    </row>
    <row r="881">
      <c r="B881" s="11"/>
      <c r="C881" s="32"/>
      <c r="E881" s="11"/>
    </row>
    <row r="882">
      <c r="B882" s="11"/>
      <c r="C882" s="32"/>
      <c r="E882" s="11"/>
    </row>
    <row r="883">
      <c r="B883" s="11"/>
      <c r="C883" s="32"/>
      <c r="E883" s="11"/>
    </row>
    <row r="884">
      <c r="B884" s="11"/>
      <c r="C884" s="32"/>
      <c r="E884" s="11"/>
    </row>
    <row r="885">
      <c r="B885" s="11"/>
      <c r="C885" s="32"/>
      <c r="E885" s="11"/>
    </row>
    <row r="886">
      <c r="B886" s="11"/>
      <c r="C886" s="32"/>
      <c r="E886" s="11"/>
    </row>
    <row r="887">
      <c r="B887" s="11"/>
      <c r="C887" s="32"/>
      <c r="E887" s="11"/>
    </row>
    <row r="888">
      <c r="B888" s="11"/>
      <c r="C888" s="32"/>
      <c r="E888" s="11"/>
    </row>
    <row r="889">
      <c r="B889" s="11"/>
      <c r="C889" s="32"/>
      <c r="E889" s="11"/>
    </row>
    <row r="890">
      <c r="B890" s="11"/>
      <c r="C890" s="32"/>
      <c r="E890" s="11"/>
    </row>
    <row r="891">
      <c r="B891" s="11"/>
      <c r="C891" s="32"/>
      <c r="E891" s="11"/>
    </row>
    <row r="892">
      <c r="B892" s="11"/>
      <c r="C892" s="32"/>
      <c r="E892" s="11"/>
    </row>
    <row r="893">
      <c r="B893" s="11"/>
      <c r="C893" s="32"/>
      <c r="E893" s="11"/>
    </row>
    <row r="894">
      <c r="B894" s="11"/>
      <c r="C894" s="32"/>
      <c r="E894" s="11"/>
    </row>
    <row r="895">
      <c r="B895" s="11"/>
      <c r="C895" s="32"/>
      <c r="E895" s="11"/>
    </row>
    <row r="896">
      <c r="B896" s="11"/>
      <c r="C896" s="32"/>
      <c r="E896" s="11"/>
    </row>
    <row r="897">
      <c r="B897" s="11"/>
      <c r="C897" s="32"/>
      <c r="E897" s="11"/>
    </row>
    <row r="898">
      <c r="B898" s="11"/>
      <c r="C898" s="32"/>
      <c r="E898" s="11"/>
    </row>
    <row r="899">
      <c r="B899" s="11"/>
      <c r="C899" s="32"/>
      <c r="E899" s="11"/>
    </row>
    <row r="900">
      <c r="B900" s="11"/>
      <c r="C900" s="32"/>
      <c r="E900" s="11"/>
    </row>
    <row r="901">
      <c r="B901" s="11"/>
      <c r="C901" s="32"/>
      <c r="E901" s="11"/>
    </row>
    <row r="902">
      <c r="B902" s="11"/>
      <c r="C902" s="32"/>
      <c r="E902" s="11"/>
    </row>
    <row r="903">
      <c r="B903" s="11"/>
      <c r="C903" s="32"/>
      <c r="E903" s="11"/>
    </row>
    <row r="904">
      <c r="B904" s="11"/>
      <c r="C904" s="32"/>
      <c r="E904" s="11"/>
    </row>
    <row r="905">
      <c r="B905" s="11"/>
      <c r="C905" s="32"/>
      <c r="E905" s="11"/>
    </row>
    <row r="906">
      <c r="B906" s="11"/>
      <c r="C906" s="32"/>
      <c r="E906" s="11"/>
    </row>
    <row r="907">
      <c r="B907" s="11"/>
      <c r="C907" s="32"/>
      <c r="E907" s="11"/>
    </row>
    <row r="908">
      <c r="B908" s="11"/>
      <c r="C908" s="32"/>
      <c r="E908" s="11"/>
    </row>
    <row r="909">
      <c r="B909" s="11"/>
      <c r="C909" s="32"/>
      <c r="E909" s="11"/>
    </row>
    <row r="910">
      <c r="B910" s="11"/>
      <c r="C910" s="32"/>
      <c r="E910" s="11"/>
    </row>
    <row r="911">
      <c r="B911" s="11"/>
      <c r="C911" s="32"/>
      <c r="E911" s="11"/>
    </row>
    <row r="912">
      <c r="B912" s="11"/>
      <c r="C912" s="32"/>
      <c r="E912" s="11"/>
    </row>
    <row r="913">
      <c r="B913" s="11"/>
      <c r="C913" s="32"/>
      <c r="E913" s="11"/>
    </row>
    <row r="914">
      <c r="B914" s="11"/>
      <c r="C914" s="32"/>
      <c r="E914" s="11"/>
    </row>
    <row r="915">
      <c r="B915" s="11"/>
      <c r="C915" s="32"/>
      <c r="E915" s="11"/>
    </row>
    <row r="916">
      <c r="B916" s="11"/>
      <c r="C916" s="32"/>
      <c r="E916" s="11"/>
    </row>
    <row r="917">
      <c r="B917" s="11"/>
      <c r="C917" s="32"/>
      <c r="E917" s="11"/>
    </row>
    <row r="918">
      <c r="B918" s="11"/>
      <c r="C918" s="32"/>
      <c r="E918" s="11"/>
    </row>
    <row r="919">
      <c r="B919" s="11"/>
      <c r="C919" s="32"/>
      <c r="E919" s="11"/>
    </row>
    <row r="920">
      <c r="B920" s="11"/>
      <c r="C920" s="32"/>
      <c r="E920" s="11"/>
    </row>
    <row r="921">
      <c r="B921" s="11"/>
      <c r="C921" s="32"/>
      <c r="E921" s="11"/>
    </row>
    <row r="922">
      <c r="B922" s="11"/>
      <c r="C922" s="32"/>
      <c r="E922" s="11"/>
    </row>
    <row r="923">
      <c r="B923" s="11"/>
      <c r="C923" s="32"/>
      <c r="E923" s="11"/>
    </row>
    <row r="924">
      <c r="B924" s="11"/>
      <c r="C924" s="32"/>
      <c r="E924" s="11"/>
    </row>
    <row r="925">
      <c r="B925" s="11"/>
      <c r="C925" s="32"/>
      <c r="E925" s="11"/>
    </row>
    <row r="926">
      <c r="B926" s="11"/>
      <c r="C926" s="32"/>
      <c r="E926" s="11"/>
    </row>
    <row r="927">
      <c r="B927" s="11"/>
      <c r="C927" s="32"/>
      <c r="E927" s="11"/>
    </row>
    <row r="928">
      <c r="B928" s="11"/>
      <c r="C928" s="32"/>
      <c r="E928" s="11"/>
    </row>
    <row r="929">
      <c r="B929" s="11"/>
      <c r="C929" s="32"/>
      <c r="E929" s="11"/>
    </row>
    <row r="930">
      <c r="B930" s="11"/>
      <c r="C930" s="32"/>
      <c r="E930" s="11"/>
    </row>
    <row r="931">
      <c r="B931" s="11"/>
      <c r="C931" s="32"/>
      <c r="E931" s="11"/>
    </row>
    <row r="932">
      <c r="B932" s="11"/>
      <c r="C932" s="32"/>
      <c r="E932" s="11"/>
    </row>
    <row r="933">
      <c r="B933" s="11"/>
      <c r="C933" s="32"/>
      <c r="E933" s="11"/>
    </row>
    <row r="934">
      <c r="B934" s="11"/>
      <c r="C934" s="32"/>
      <c r="E934" s="11"/>
    </row>
    <row r="935">
      <c r="B935" s="11"/>
      <c r="C935" s="32"/>
      <c r="E935" s="11"/>
    </row>
    <row r="936">
      <c r="B936" s="11"/>
      <c r="C936" s="32"/>
      <c r="E936" s="11"/>
    </row>
    <row r="937">
      <c r="B937" s="11"/>
      <c r="C937" s="32"/>
      <c r="E937" s="11"/>
    </row>
    <row r="938">
      <c r="B938" s="11"/>
      <c r="C938" s="32"/>
      <c r="E938" s="11"/>
    </row>
    <row r="939">
      <c r="B939" s="11"/>
      <c r="C939" s="32"/>
      <c r="E939" s="11"/>
    </row>
    <row r="940">
      <c r="B940" s="11"/>
      <c r="C940" s="32"/>
      <c r="E940" s="11"/>
    </row>
    <row r="941">
      <c r="B941" s="11"/>
      <c r="C941" s="32"/>
      <c r="E941" s="11"/>
    </row>
    <row r="942">
      <c r="B942" s="11"/>
      <c r="C942" s="32"/>
      <c r="E942" s="11"/>
    </row>
    <row r="943">
      <c r="B943" s="11"/>
      <c r="C943" s="32"/>
      <c r="E943" s="11"/>
    </row>
    <row r="944">
      <c r="B944" s="11"/>
      <c r="C944" s="32"/>
      <c r="E944" s="11"/>
    </row>
    <row r="945">
      <c r="B945" s="11"/>
      <c r="C945" s="32"/>
      <c r="E945" s="11"/>
    </row>
    <row r="946">
      <c r="B946" s="11"/>
      <c r="C946" s="32"/>
      <c r="E946" s="11"/>
    </row>
    <row r="947">
      <c r="B947" s="11"/>
      <c r="C947" s="32"/>
      <c r="E947" s="11"/>
    </row>
    <row r="948">
      <c r="B948" s="11"/>
      <c r="C948" s="32"/>
      <c r="E948" s="11"/>
    </row>
    <row r="949">
      <c r="B949" s="11"/>
      <c r="C949" s="32"/>
      <c r="E949" s="11"/>
    </row>
    <row r="950">
      <c r="B950" s="11"/>
      <c r="C950" s="32"/>
      <c r="E950" s="11"/>
    </row>
    <row r="951">
      <c r="B951" s="11"/>
      <c r="C951" s="32"/>
      <c r="E951" s="11"/>
    </row>
    <row r="952">
      <c r="B952" s="11"/>
      <c r="C952" s="32"/>
      <c r="E952" s="11"/>
    </row>
    <row r="953">
      <c r="B953" s="11"/>
      <c r="C953" s="32"/>
      <c r="E953" s="11"/>
    </row>
    <row r="954">
      <c r="B954" s="11"/>
      <c r="C954" s="32"/>
      <c r="E954" s="11"/>
    </row>
    <row r="955">
      <c r="B955" s="11"/>
      <c r="C955" s="32"/>
      <c r="E955" s="11"/>
    </row>
    <row r="956">
      <c r="B956" s="11"/>
      <c r="C956" s="32"/>
      <c r="E956" s="11"/>
    </row>
    <row r="957">
      <c r="B957" s="11"/>
      <c r="C957" s="32"/>
      <c r="E957" s="11"/>
    </row>
    <row r="958">
      <c r="B958" s="11"/>
      <c r="C958" s="32"/>
      <c r="E958" s="11"/>
    </row>
    <row r="959">
      <c r="B959" s="11"/>
      <c r="C959" s="32"/>
      <c r="E959" s="11"/>
    </row>
    <row r="960">
      <c r="B960" s="11"/>
      <c r="C960" s="32"/>
      <c r="E960" s="11"/>
    </row>
    <row r="961">
      <c r="B961" s="11"/>
      <c r="C961" s="32"/>
      <c r="E961" s="11"/>
    </row>
    <row r="962">
      <c r="B962" s="11"/>
      <c r="C962" s="32"/>
      <c r="E962" s="11"/>
    </row>
    <row r="963">
      <c r="B963" s="11"/>
      <c r="C963" s="32"/>
      <c r="E963" s="11"/>
    </row>
    <row r="964">
      <c r="B964" s="11"/>
      <c r="C964" s="32"/>
      <c r="E964" s="11"/>
    </row>
    <row r="965">
      <c r="B965" s="11"/>
      <c r="C965" s="32"/>
      <c r="E965" s="11"/>
    </row>
    <row r="966">
      <c r="B966" s="11"/>
      <c r="C966" s="32"/>
      <c r="E966" s="11"/>
    </row>
    <row r="967">
      <c r="B967" s="11"/>
      <c r="C967" s="32"/>
      <c r="E967" s="11"/>
    </row>
    <row r="968">
      <c r="B968" s="11"/>
      <c r="C968" s="32"/>
      <c r="E968" s="11"/>
    </row>
    <row r="969">
      <c r="B969" s="11"/>
      <c r="C969" s="32"/>
      <c r="E969" s="11"/>
    </row>
    <row r="970">
      <c r="B970" s="11"/>
      <c r="C970" s="32"/>
      <c r="E970" s="11"/>
    </row>
    <row r="971">
      <c r="B971" s="11"/>
      <c r="C971" s="32"/>
      <c r="E971" s="11"/>
    </row>
    <row r="972">
      <c r="B972" s="11"/>
      <c r="C972" s="32"/>
      <c r="E972" s="11"/>
    </row>
    <row r="973">
      <c r="B973" s="11"/>
      <c r="C973" s="32"/>
      <c r="E973" s="11"/>
    </row>
    <row r="974">
      <c r="B974" s="11"/>
      <c r="C974" s="32"/>
      <c r="E974" s="11"/>
    </row>
    <row r="975">
      <c r="B975" s="11"/>
      <c r="C975" s="32"/>
      <c r="E975" s="11"/>
    </row>
    <row r="976">
      <c r="B976" s="11"/>
      <c r="C976" s="32"/>
      <c r="E976" s="11"/>
    </row>
    <row r="977">
      <c r="B977" s="11"/>
      <c r="C977" s="32"/>
      <c r="E977" s="11"/>
    </row>
    <row r="978">
      <c r="B978" s="11"/>
      <c r="C978" s="32"/>
      <c r="E978" s="11"/>
    </row>
    <row r="979">
      <c r="B979" s="11"/>
      <c r="C979" s="32"/>
      <c r="E979" s="11"/>
    </row>
    <row r="980">
      <c r="B980" s="11"/>
      <c r="C980" s="32"/>
      <c r="E980" s="11"/>
    </row>
    <row r="981">
      <c r="B981" s="11"/>
      <c r="C981" s="32"/>
      <c r="E981" s="11"/>
    </row>
    <row r="982">
      <c r="B982" s="11"/>
      <c r="C982" s="32"/>
      <c r="E982" s="11"/>
    </row>
    <row r="983">
      <c r="B983" s="11"/>
      <c r="C983" s="32"/>
      <c r="E983" s="11"/>
    </row>
    <row r="984">
      <c r="B984" s="11"/>
      <c r="C984" s="32"/>
      <c r="E984" s="11"/>
    </row>
    <row r="985">
      <c r="B985" s="11"/>
      <c r="C985" s="32"/>
      <c r="E985" s="11"/>
    </row>
    <row r="986">
      <c r="B986" s="11"/>
      <c r="C986" s="32"/>
      <c r="E986" s="11"/>
    </row>
    <row r="987">
      <c r="B987" s="11"/>
      <c r="C987" s="32"/>
      <c r="E987" s="11"/>
    </row>
    <row r="988">
      <c r="B988" s="11"/>
      <c r="C988" s="32"/>
      <c r="E988" s="11"/>
    </row>
    <row r="989">
      <c r="B989" s="11"/>
      <c r="C989" s="32"/>
      <c r="E989" s="11"/>
    </row>
    <row r="990">
      <c r="B990" s="11"/>
      <c r="C990" s="32"/>
      <c r="E990" s="11"/>
    </row>
    <row r="991">
      <c r="B991" s="11"/>
      <c r="C991" s="32"/>
      <c r="E991" s="11"/>
    </row>
    <row r="992">
      <c r="B992" s="11"/>
      <c r="C992" s="32"/>
      <c r="E992" s="11"/>
    </row>
    <row r="993">
      <c r="B993" s="11"/>
      <c r="C993" s="32"/>
      <c r="E993" s="11"/>
    </row>
    <row r="994">
      <c r="B994" s="11"/>
      <c r="C994" s="32"/>
      <c r="E994" s="11"/>
    </row>
    <row r="995">
      <c r="B995" s="11"/>
      <c r="C995" s="32"/>
      <c r="E995" s="11"/>
    </row>
    <row r="996">
      <c r="B996" s="11"/>
      <c r="C996" s="32"/>
      <c r="E996" s="11"/>
    </row>
    <row r="997">
      <c r="B997" s="11"/>
      <c r="C997" s="32"/>
      <c r="E997" s="11"/>
    </row>
    <row r="998">
      <c r="B998" s="11"/>
      <c r="C998" s="32"/>
      <c r="E998" s="11"/>
    </row>
    <row r="999">
      <c r="B999" s="11"/>
      <c r="C999" s="32"/>
      <c r="E999" s="11"/>
    </row>
    <row r="1000">
      <c r="B1000" s="11"/>
      <c r="C1000" s="32"/>
      <c r="E1000" s="11"/>
    </row>
    <row r="1001">
      <c r="B1001" s="11"/>
      <c r="C1001" s="32"/>
      <c r="E1001" s="11"/>
    </row>
    <row r="1002">
      <c r="B1002" s="11"/>
      <c r="C1002" s="32"/>
      <c r="E1002" s="1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71</v>
      </c>
      <c r="B1" s="11"/>
      <c r="E1" s="11"/>
    </row>
    <row r="2">
      <c r="B2" s="11"/>
      <c r="E2" s="11"/>
    </row>
    <row r="3">
      <c r="B3" s="11" t="str">
        <f>IFERROR(__xludf.DUMMYFUNCTION("SORT(IMPORTDATA(""https://fred.stlouisfed.org/graph/fredgraph.csv?id=INDPRO""),1,FALSE)"),"observation_date")</f>
        <v>observation_date</v>
      </c>
      <c r="C3" s="9" t="str">
        <f>IFERROR(__xludf.DUMMYFUNCTION("""COMPUTED_VALUE"""),"INDPRO")</f>
        <v>INDPRO</v>
      </c>
      <c r="E3" s="35" t="s">
        <v>67</v>
      </c>
      <c r="F3" s="6" t="s">
        <v>72</v>
      </c>
    </row>
    <row r="4">
      <c r="B4" s="11">
        <f>IFERROR(__xludf.DUMMYFUNCTION("""COMPUTED_VALUE"""),45962.0)</f>
        <v>45962</v>
      </c>
      <c r="C4" s="9">
        <f>IFERROR(__xludf.DUMMYFUNCTION("""COMPUTED_VALUE"""),101.7935)</f>
        <v>101.7935</v>
      </c>
      <c r="E4" s="28">
        <f>IFERROR(__xludf.DUMMYFUNCTION("QUERY(B:C, ""SELECT B, C WHERE B &gt;= DATE '"" &amp; TEXT(TODAY()-365*5, ""yyyy-MM-dd"") &amp; ""' ORDER BY B DESC"", 1)"),45962.0)</f>
        <v>45962</v>
      </c>
      <c r="F4" s="9">
        <f>IFERROR(__xludf.DUMMYFUNCTION("""COMPUTED_VALUE"""),101.7935)</f>
        <v>101.7935</v>
      </c>
    </row>
    <row r="5">
      <c r="B5" s="11">
        <f>IFERROR(__xludf.DUMMYFUNCTION("""COMPUTED_VALUE"""),45931.0)</f>
        <v>45931</v>
      </c>
      <c r="C5" s="9">
        <f>IFERROR(__xludf.DUMMYFUNCTION("""COMPUTED_VALUE"""),101.616)</f>
        <v>101.616</v>
      </c>
      <c r="E5" s="11">
        <f>IFERROR(__xludf.DUMMYFUNCTION("""COMPUTED_VALUE"""),45931.0)</f>
        <v>45931</v>
      </c>
      <c r="F5" s="9">
        <f>IFERROR(__xludf.DUMMYFUNCTION("""COMPUTED_VALUE"""),101.616)</f>
        <v>101.616</v>
      </c>
    </row>
    <row r="6">
      <c r="B6" s="11">
        <f>IFERROR(__xludf.DUMMYFUNCTION("""COMPUTED_VALUE"""),45901.0)</f>
        <v>45901</v>
      </c>
      <c r="C6" s="9">
        <f>IFERROR(__xludf.DUMMYFUNCTION("""COMPUTED_VALUE"""),101.6729)</f>
        <v>101.6729</v>
      </c>
      <c r="E6" s="11">
        <f>IFERROR(__xludf.DUMMYFUNCTION("""COMPUTED_VALUE"""),45901.0)</f>
        <v>45901</v>
      </c>
      <c r="F6" s="9">
        <f>IFERROR(__xludf.DUMMYFUNCTION("""COMPUTED_VALUE"""),101.6729)</f>
        <v>101.6729</v>
      </c>
    </row>
    <row r="7">
      <c r="B7" s="11">
        <f>IFERROR(__xludf.DUMMYFUNCTION("""COMPUTED_VALUE"""),45870.0)</f>
        <v>45870</v>
      </c>
      <c r="C7" s="9">
        <f>IFERROR(__xludf.DUMMYFUNCTION("""COMPUTED_VALUE"""),101.6019)</f>
        <v>101.6019</v>
      </c>
      <c r="E7" s="11">
        <f>IFERROR(__xludf.DUMMYFUNCTION("""COMPUTED_VALUE"""),45870.0)</f>
        <v>45870</v>
      </c>
      <c r="F7" s="9">
        <f>IFERROR(__xludf.DUMMYFUNCTION("""COMPUTED_VALUE"""),101.6019)</f>
        <v>101.6019</v>
      </c>
    </row>
    <row r="8">
      <c r="B8" s="11">
        <f>IFERROR(__xludf.DUMMYFUNCTION("""COMPUTED_VALUE"""),45839.0)</f>
        <v>45839</v>
      </c>
      <c r="C8" s="9">
        <f>IFERROR(__xludf.DUMMYFUNCTION("""COMPUTED_VALUE"""),101.8738)</f>
        <v>101.8738</v>
      </c>
      <c r="E8" s="11">
        <f>IFERROR(__xludf.DUMMYFUNCTION("""COMPUTED_VALUE"""),45839.0)</f>
        <v>45839</v>
      </c>
      <c r="F8" s="9">
        <f>IFERROR(__xludf.DUMMYFUNCTION("""COMPUTED_VALUE"""),101.8738)</f>
        <v>101.8738</v>
      </c>
    </row>
    <row r="9">
      <c r="B9" s="11">
        <f>IFERROR(__xludf.DUMMYFUNCTION("""COMPUTED_VALUE"""),45809.0)</f>
        <v>45809</v>
      </c>
      <c r="C9" s="9">
        <f>IFERROR(__xludf.DUMMYFUNCTION("""COMPUTED_VALUE"""),101.4785)</f>
        <v>101.4785</v>
      </c>
      <c r="E9" s="11">
        <f>IFERROR(__xludf.DUMMYFUNCTION("""COMPUTED_VALUE"""),45809.0)</f>
        <v>45809</v>
      </c>
      <c r="F9" s="9">
        <f>IFERROR(__xludf.DUMMYFUNCTION("""COMPUTED_VALUE"""),101.4785)</f>
        <v>101.4785</v>
      </c>
    </row>
    <row r="10">
      <c r="B10" s="11">
        <f>IFERROR(__xludf.DUMMYFUNCTION("""COMPUTED_VALUE"""),45778.0)</f>
        <v>45778</v>
      </c>
      <c r="C10" s="9">
        <f>IFERROR(__xludf.DUMMYFUNCTION("""COMPUTED_VALUE"""),100.9655)</f>
        <v>100.9655</v>
      </c>
      <c r="E10" s="11">
        <f>IFERROR(__xludf.DUMMYFUNCTION("""COMPUTED_VALUE"""),45778.0)</f>
        <v>45778</v>
      </c>
      <c r="F10" s="9">
        <f>IFERROR(__xludf.DUMMYFUNCTION("""COMPUTED_VALUE"""),100.9655)</f>
        <v>100.9655</v>
      </c>
    </row>
    <row r="11">
      <c r="B11" s="11">
        <f>IFERROR(__xludf.DUMMYFUNCTION("""COMPUTED_VALUE"""),45748.0)</f>
        <v>45748</v>
      </c>
      <c r="C11" s="9">
        <f>IFERROR(__xludf.DUMMYFUNCTION("""COMPUTED_VALUE"""),101.1279)</f>
        <v>101.1279</v>
      </c>
      <c r="E11" s="11">
        <f>IFERROR(__xludf.DUMMYFUNCTION("""COMPUTED_VALUE"""),45748.0)</f>
        <v>45748</v>
      </c>
      <c r="F11" s="9">
        <f>IFERROR(__xludf.DUMMYFUNCTION("""COMPUTED_VALUE"""),101.1279)</f>
        <v>101.1279</v>
      </c>
    </row>
    <row r="12">
      <c r="B12" s="11">
        <f>IFERROR(__xludf.DUMMYFUNCTION("""COMPUTED_VALUE"""),45717.0)</f>
        <v>45717</v>
      </c>
      <c r="C12" s="9">
        <f>IFERROR(__xludf.DUMMYFUNCTION("""COMPUTED_VALUE"""),101.0404)</f>
        <v>101.0404</v>
      </c>
      <c r="E12" s="11">
        <f>IFERROR(__xludf.DUMMYFUNCTION("""COMPUTED_VALUE"""),45717.0)</f>
        <v>45717</v>
      </c>
      <c r="F12" s="9">
        <f>IFERROR(__xludf.DUMMYFUNCTION("""COMPUTED_VALUE"""),101.0404)</f>
        <v>101.0404</v>
      </c>
    </row>
    <row r="13">
      <c r="B13" s="11">
        <f>IFERROR(__xludf.DUMMYFUNCTION("""COMPUTED_VALUE"""),45689.0)</f>
        <v>45689</v>
      </c>
      <c r="C13" s="9">
        <f>IFERROR(__xludf.DUMMYFUNCTION("""COMPUTED_VALUE"""),101.0993)</f>
        <v>101.0993</v>
      </c>
      <c r="E13" s="11">
        <f>IFERROR(__xludf.DUMMYFUNCTION("""COMPUTED_VALUE"""),45689.0)</f>
        <v>45689</v>
      </c>
      <c r="F13" s="9">
        <f>IFERROR(__xludf.DUMMYFUNCTION("""COMPUTED_VALUE"""),101.0993)</f>
        <v>101.0993</v>
      </c>
    </row>
    <row r="14">
      <c r="B14" s="11">
        <f>IFERROR(__xludf.DUMMYFUNCTION("""COMPUTED_VALUE"""),45658.0)</f>
        <v>45658</v>
      </c>
      <c r="C14" s="9">
        <f>IFERROR(__xludf.DUMMYFUNCTION("""COMPUTED_VALUE"""),100.0647)</f>
        <v>100.0647</v>
      </c>
      <c r="E14" s="11">
        <f>IFERROR(__xludf.DUMMYFUNCTION("""COMPUTED_VALUE"""),45658.0)</f>
        <v>45658</v>
      </c>
      <c r="F14" s="9">
        <f>IFERROR(__xludf.DUMMYFUNCTION("""COMPUTED_VALUE"""),100.0647)</f>
        <v>100.0647</v>
      </c>
    </row>
    <row r="15">
      <c r="B15" s="11">
        <f>IFERROR(__xludf.DUMMYFUNCTION("""COMPUTED_VALUE"""),45627.0)</f>
        <v>45627</v>
      </c>
      <c r="C15" s="9">
        <f>IFERROR(__xludf.DUMMYFUNCTION("""COMPUTED_VALUE"""),100.3273)</f>
        <v>100.3273</v>
      </c>
      <c r="E15" s="11">
        <f>IFERROR(__xludf.DUMMYFUNCTION("""COMPUTED_VALUE"""),45627.0)</f>
        <v>45627</v>
      </c>
      <c r="F15" s="9">
        <f>IFERROR(__xludf.DUMMYFUNCTION("""COMPUTED_VALUE"""),100.3273)</f>
        <v>100.3273</v>
      </c>
    </row>
    <row r="16">
      <c r="B16" s="11">
        <f>IFERROR(__xludf.DUMMYFUNCTION("""COMPUTED_VALUE"""),45597.0)</f>
        <v>45597</v>
      </c>
      <c r="C16" s="9">
        <f>IFERROR(__xludf.DUMMYFUNCTION("""COMPUTED_VALUE"""),99.2925)</f>
        <v>99.2925</v>
      </c>
      <c r="E16" s="11">
        <f>IFERROR(__xludf.DUMMYFUNCTION("""COMPUTED_VALUE"""),45597.0)</f>
        <v>45597</v>
      </c>
      <c r="F16" s="9">
        <f>IFERROR(__xludf.DUMMYFUNCTION("""COMPUTED_VALUE"""),99.2925)</f>
        <v>99.2925</v>
      </c>
    </row>
    <row r="17">
      <c r="B17" s="11">
        <f>IFERROR(__xludf.DUMMYFUNCTION("""COMPUTED_VALUE"""),45566.0)</f>
        <v>45566</v>
      </c>
      <c r="C17" s="9">
        <f>IFERROR(__xludf.DUMMYFUNCTION("""COMPUTED_VALUE"""),99.4695)</f>
        <v>99.4695</v>
      </c>
      <c r="E17" s="11">
        <f>IFERROR(__xludf.DUMMYFUNCTION("""COMPUTED_VALUE"""),45566.0)</f>
        <v>45566</v>
      </c>
      <c r="F17" s="9">
        <f>IFERROR(__xludf.DUMMYFUNCTION("""COMPUTED_VALUE"""),99.4695)</f>
        <v>99.4695</v>
      </c>
    </row>
    <row r="18">
      <c r="B18" s="11">
        <f>IFERROR(__xludf.DUMMYFUNCTION("""COMPUTED_VALUE"""),45536.0)</f>
        <v>45536</v>
      </c>
      <c r="C18" s="9">
        <f>IFERROR(__xludf.DUMMYFUNCTION("""COMPUTED_VALUE"""),99.8084)</f>
        <v>99.8084</v>
      </c>
      <c r="E18" s="11">
        <f>IFERROR(__xludf.DUMMYFUNCTION("""COMPUTED_VALUE"""),45536.0)</f>
        <v>45536</v>
      </c>
      <c r="F18" s="9">
        <f>IFERROR(__xludf.DUMMYFUNCTION("""COMPUTED_VALUE"""),99.8084)</f>
        <v>99.8084</v>
      </c>
    </row>
    <row r="19">
      <c r="B19" s="11">
        <f>IFERROR(__xludf.DUMMYFUNCTION("""COMPUTED_VALUE"""),45505.0)</f>
        <v>45505</v>
      </c>
      <c r="C19" s="9">
        <f>IFERROR(__xludf.DUMMYFUNCTION("""COMPUTED_VALUE"""),100.4309)</f>
        <v>100.4309</v>
      </c>
      <c r="E19" s="11">
        <f>IFERROR(__xludf.DUMMYFUNCTION("""COMPUTED_VALUE"""),45505.0)</f>
        <v>45505</v>
      </c>
      <c r="F19" s="9">
        <f>IFERROR(__xludf.DUMMYFUNCTION("""COMPUTED_VALUE"""),100.4309)</f>
        <v>100.4309</v>
      </c>
    </row>
    <row r="20">
      <c r="B20" s="11">
        <f>IFERROR(__xludf.DUMMYFUNCTION("""COMPUTED_VALUE"""),45474.0)</f>
        <v>45474</v>
      </c>
      <c r="C20" s="9">
        <f>IFERROR(__xludf.DUMMYFUNCTION("""COMPUTED_VALUE"""),99.9757)</f>
        <v>99.9757</v>
      </c>
      <c r="E20" s="11">
        <f>IFERROR(__xludf.DUMMYFUNCTION("""COMPUTED_VALUE"""),45474.0)</f>
        <v>45474</v>
      </c>
      <c r="F20" s="9">
        <f>IFERROR(__xludf.DUMMYFUNCTION("""COMPUTED_VALUE"""),99.9757)</f>
        <v>99.9757</v>
      </c>
    </row>
    <row r="21">
      <c r="B21" s="11">
        <f>IFERROR(__xludf.DUMMYFUNCTION("""COMPUTED_VALUE"""),45444.0)</f>
        <v>45444</v>
      </c>
      <c r="C21" s="9">
        <f>IFERROR(__xludf.DUMMYFUNCTION("""COMPUTED_VALUE"""),100.894)</f>
        <v>100.894</v>
      </c>
      <c r="E21" s="11">
        <f>IFERROR(__xludf.DUMMYFUNCTION("""COMPUTED_VALUE"""),45444.0)</f>
        <v>45444</v>
      </c>
      <c r="F21" s="9">
        <f>IFERROR(__xludf.DUMMYFUNCTION("""COMPUTED_VALUE"""),100.894)</f>
        <v>100.894</v>
      </c>
    </row>
    <row r="22">
      <c r="B22" s="11">
        <f>IFERROR(__xludf.DUMMYFUNCTION("""COMPUTED_VALUE"""),45413.0)</f>
        <v>45413</v>
      </c>
      <c r="C22" s="9">
        <f>IFERROR(__xludf.DUMMYFUNCTION("""COMPUTED_VALUE"""),100.863)</f>
        <v>100.863</v>
      </c>
      <c r="E22" s="11">
        <f>IFERROR(__xludf.DUMMYFUNCTION("""COMPUTED_VALUE"""),45413.0)</f>
        <v>45413</v>
      </c>
      <c r="F22" s="9">
        <f>IFERROR(__xludf.DUMMYFUNCTION("""COMPUTED_VALUE"""),100.863)</f>
        <v>100.863</v>
      </c>
    </row>
    <row r="23">
      <c r="B23" s="11">
        <f>IFERROR(__xludf.DUMMYFUNCTION("""COMPUTED_VALUE"""),45383.0)</f>
        <v>45383</v>
      </c>
      <c r="C23" s="9">
        <f>IFERROR(__xludf.DUMMYFUNCTION("""COMPUTED_VALUE"""),100.2434)</f>
        <v>100.2434</v>
      </c>
      <c r="E23" s="11">
        <f>IFERROR(__xludf.DUMMYFUNCTION("""COMPUTED_VALUE"""),45383.0)</f>
        <v>45383</v>
      </c>
      <c r="F23" s="9">
        <f>IFERROR(__xludf.DUMMYFUNCTION("""COMPUTED_VALUE"""),100.2434)</f>
        <v>100.2434</v>
      </c>
    </row>
    <row r="24">
      <c r="B24" s="11">
        <f>IFERROR(__xludf.DUMMYFUNCTION("""COMPUTED_VALUE"""),45352.0)</f>
        <v>45352</v>
      </c>
      <c r="C24" s="9">
        <f>IFERROR(__xludf.DUMMYFUNCTION("""COMPUTED_VALUE"""),100.4575)</f>
        <v>100.4575</v>
      </c>
      <c r="E24" s="11">
        <f>IFERROR(__xludf.DUMMYFUNCTION("""COMPUTED_VALUE"""),45352.0)</f>
        <v>45352</v>
      </c>
      <c r="F24" s="9">
        <f>IFERROR(__xludf.DUMMYFUNCTION("""COMPUTED_VALUE"""),100.4575)</f>
        <v>100.4575</v>
      </c>
    </row>
    <row r="25">
      <c r="B25" s="11">
        <f>IFERROR(__xludf.DUMMYFUNCTION("""COMPUTED_VALUE"""),45323.0)</f>
        <v>45323</v>
      </c>
      <c r="C25" s="9">
        <f>IFERROR(__xludf.DUMMYFUNCTION("""COMPUTED_VALUE"""),100.285)</f>
        <v>100.285</v>
      </c>
      <c r="E25" s="11">
        <f>IFERROR(__xludf.DUMMYFUNCTION("""COMPUTED_VALUE"""),45323.0)</f>
        <v>45323</v>
      </c>
      <c r="F25" s="9">
        <f>IFERROR(__xludf.DUMMYFUNCTION("""COMPUTED_VALUE"""),100.285)</f>
        <v>100.285</v>
      </c>
    </row>
    <row r="26">
      <c r="B26" s="11">
        <f>IFERROR(__xludf.DUMMYFUNCTION("""COMPUTED_VALUE"""),45292.0)</f>
        <v>45292</v>
      </c>
      <c r="C26" s="9">
        <f>IFERROR(__xludf.DUMMYFUNCTION("""COMPUTED_VALUE"""),99.2223)</f>
        <v>99.2223</v>
      </c>
      <c r="E26" s="11">
        <f>IFERROR(__xludf.DUMMYFUNCTION("""COMPUTED_VALUE"""),45292.0)</f>
        <v>45292</v>
      </c>
      <c r="F26" s="9">
        <f>IFERROR(__xludf.DUMMYFUNCTION("""COMPUTED_VALUE"""),99.2223)</f>
        <v>99.2223</v>
      </c>
    </row>
    <row r="27">
      <c r="B27" s="11">
        <f>IFERROR(__xludf.DUMMYFUNCTION("""COMPUTED_VALUE"""),45261.0)</f>
        <v>45261</v>
      </c>
      <c r="C27" s="9">
        <f>IFERROR(__xludf.DUMMYFUNCTION("""COMPUTED_VALUE"""),100.6031)</f>
        <v>100.6031</v>
      </c>
      <c r="E27" s="11">
        <f>IFERROR(__xludf.DUMMYFUNCTION("""COMPUTED_VALUE"""),45261.0)</f>
        <v>45261</v>
      </c>
      <c r="F27" s="9">
        <f>IFERROR(__xludf.DUMMYFUNCTION("""COMPUTED_VALUE"""),100.6031)</f>
        <v>100.6031</v>
      </c>
    </row>
    <row r="28">
      <c r="B28" s="11">
        <f>IFERROR(__xludf.DUMMYFUNCTION("""COMPUTED_VALUE"""),45231.0)</f>
        <v>45231</v>
      </c>
      <c r="C28" s="9">
        <f>IFERROR(__xludf.DUMMYFUNCTION("""COMPUTED_VALUE"""),100.8639)</f>
        <v>100.8639</v>
      </c>
      <c r="E28" s="11">
        <f>IFERROR(__xludf.DUMMYFUNCTION("""COMPUTED_VALUE"""),45231.0)</f>
        <v>45231</v>
      </c>
      <c r="F28" s="9">
        <f>IFERROR(__xludf.DUMMYFUNCTION("""COMPUTED_VALUE"""),100.8639)</f>
        <v>100.8639</v>
      </c>
    </row>
    <row r="29">
      <c r="B29" s="11">
        <f>IFERROR(__xludf.DUMMYFUNCTION("""COMPUTED_VALUE"""),45200.0)</f>
        <v>45200</v>
      </c>
      <c r="C29" s="9">
        <f>IFERROR(__xludf.DUMMYFUNCTION("""COMPUTED_VALUE"""),100.4689)</f>
        <v>100.4689</v>
      </c>
      <c r="E29" s="11">
        <f>IFERROR(__xludf.DUMMYFUNCTION("""COMPUTED_VALUE"""),45200.0)</f>
        <v>45200</v>
      </c>
      <c r="F29" s="9">
        <f>IFERROR(__xludf.DUMMYFUNCTION("""COMPUTED_VALUE"""),100.4689)</f>
        <v>100.4689</v>
      </c>
    </row>
    <row r="30">
      <c r="B30" s="11">
        <f>IFERROR(__xludf.DUMMYFUNCTION("""COMPUTED_VALUE"""),45170.0)</f>
        <v>45170</v>
      </c>
      <c r="C30" s="9">
        <f>IFERROR(__xludf.DUMMYFUNCTION("""COMPUTED_VALUE"""),101.0211)</f>
        <v>101.0211</v>
      </c>
      <c r="E30" s="11">
        <f>IFERROR(__xludf.DUMMYFUNCTION("""COMPUTED_VALUE"""),45170.0)</f>
        <v>45170</v>
      </c>
      <c r="F30" s="9">
        <f>IFERROR(__xludf.DUMMYFUNCTION("""COMPUTED_VALUE"""),101.0211)</f>
        <v>101.0211</v>
      </c>
    </row>
    <row r="31">
      <c r="B31" s="11">
        <f>IFERROR(__xludf.DUMMYFUNCTION("""COMPUTED_VALUE"""),45139.0)</f>
        <v>45139</v>
      </c>
      <c r="C31" s="9">
        <f>IFERROR(__xludf.DUMMYFUNCTION("""COMPUTED_VALUE"""),100.8393)</f>
        <v>100.8393</v>
      </c>
      <c r="E31" s="11">
        <f>IFERROR(__xludf.DUMMYFUNCTION("""COMPUTED_VALUE"""),45139.0)</f>
        <v>45139</v>
      </c>
      <c r="F31" s="9">
        <f>IFERROR(__xludf.DUMMYFUNCTION("""COMPUTED_VALUE"""),100.8393)</f>
        <v>100.8393</v>
      </c>
    </row>
    <row r="32">
      <c r="B32" s="11">
        <f>IFERROR(__xludf.DUMMYFUNCTION("""COMPUTED_VALUE"""),45108.0)</f>
        <v>45108</v>
      </c>
      <c r="C32" s="9">
        <f>IFERROR(__xludf.DUMMYFUNCTION("""COMPUTED_VALUE"""),100.9067)</f>
        <v>100.9067</v>
      </c>
      <c r="E32" s="11">
        <f>IFERROR(__xludf.DUMMYFUNCTION("""COMPUTED_VALUE"""),45108.0)</f>
        <v>45108</v>
      </c>
      <c r="F32" s="9">
        <f>IFERROR(__xludf.DUMMYFUNCTION("""COMPUTED_VALUE"""),100.9067)</f>
        <v>100.9067</v>
      </c>
    </row>
    <row r="33">
      <c r="B33" s="11">
        <f>IFERROR(__xludf.DUMMYFUNCTION("""COMPUTED_VALUE"""),45078.0)</f>
        <v>45078</v>
      </c>
      <c r="C33" s="9">
        <f>IFERROR(__xludf.DUMMYFUNCTION("""COMPUTED_VALUE"""),100.1196)</f>
        <v>100.1196</v>
      </c>
      <c r="E33" s="11">
        <f>IFERROR(__xludf.DUMMYFUNCTION("""COMPUTED_VALUE"""),45078.0)</f>
        <v>45078</v>
      </c>
      <c r="F33" s="9">
        <f>IFERROR(__xludf.DUMMYFUNCTION("""COMPUTED_VALUE"""),100.1196)</f>
        <v>100.1196</v>
      </c>
    </row>
    <row r="34">
      <c r="B34" s="11">
        <f>IFERROR(__xludf.DUMMYFUNCTION("""COMPUTED_VALUE"""),45047.0)</f>
        <v>45047</v>
      </c>
      <c r="C34" s="9">
        <f>IFERROR(__xludf.DUMMYFUNCTION("""COMPUTED_VALUE"""),100.9286)</f>
        <v>100.9286</v>
      </c>
      <c r="E34" s="11">
        <f>IFERROR(__xludf.DUMMYFUNCTION("""COMPUTED_VALUE"""),45047.0)</f>
        <v>45047</v>
      </c>
      <c r="F34" s="9">
        <f>IFERROR(__xludf.DUMMYFUNCTION("""COMPUTED_VALUE"""),100.9286)</f>
        <v>100.9286</v>
      </c>
    </row>
    <row r="35">
      <c r="B35" s="11">
        <f>IFERROR(__xludf.DUMMYFUNCTION("""COMPUTED_VALUE"""),45017.0)</f>
        <v>45017</v>
      </c>
      <c r="C35" s="9">
        <f>IFERROR(__xludf.DUMMYFUNCTION("""COMPUTED_VALUE"""),101.253)</f>
        <v>101.253</v>
      </c>
      <c r="E35" s="11">
        <f>IFERROR(__xludf.DUMMYFUNCTION("""COMPUTED_VALUE"""),45017.0)</f>
        <v>45017</v>
      </c>
      <c r="F35" s="9">
        <f>IFERROR(__xludf.DUMMYFUNCTION("""COMPUTED_VALUE"""),101.253)</f>
        <v>101.253</v>
      </c>
    </row>
    <row r="36">
      <c r="B36" s="11">
        <f>IFERROR(__xludf.DUMMYFUNCTION("""COMPUTED_VALUE"""),44986.0)</f>
        <v>44986</v>
      </c>
      <c r="C36" s="9">
        <f>IFERROR(__xludf.DUMMYFUNCTION("""COMPUTED_VALUE"""),101.0205)</f>
        <v>101.0205</v>
      </c>
      <c r="E36" s="11">
        <f>IFERROR(__xludf.DUMMYFUNCTION("""COMPUTED_VALUE"""),44986.0)</f>
        <v>44986</v>
      </c>
      <c r="F36" s="9">
        <f>IFERROR(__xludf.DUMMYFUNCTION("""COMPUTED_VALUE"""),101.0205)</f>
        <v>101.0205</v>
      </c>
    </row>
    <row r="37">
      <c r="B37" s="11">
        <f>IFERROR(__xludf.DUMMYFUNCTION("""COMPUTED_VALUE"""),44958.0)</f>
        <v>44958</v>
      </c>
      <c r="C37" s="9">
        <f>IFERROR(__xludf.DUMMYFUNCTION("""COMPUTED_VALUE"""),100.6416)</f>
        <v>100.6416</v>
      </c>
      <c r="E37" s="11">
        <f>IFERROR(__xludf.DUMMYFUNCTION("""COMPUTED_VALUE"""),44958.0)</f>
        <v>44958</v>
      </c>
      <c r="F37" s="9">
        <f>IFERROR(__xludf.DUMMYFUNCTION("""COMPUTED_VALUE"""),100.6416)</f>
        <v>100.6416</v>
      </c>
    </row>
    <row r="38">
      <c r="B38" s="11">
        <f>IFERROR(__xludf.DUMMYFUNCTION("""COMPUTED_VALUE"""),44927.0)</f>
        <v>44927</v>
      </c>
      <c r="C38" s="9">
        <f>IFERROR(__xludf.DUMMYFUNCTION("""COMPUTED_VALUE"""),100.505)</f>
        <v>100.505</v>
      </c>
      <c r="E38" s="11">
        <f>IFERROR(__xludf.DUMMYFUNCTION("""COMPUTED_VALUE"""),44927.0)</f>
        <v>44927</v>
      </c>
      <c r="F38" s="9">
        <f>IFERROR(__xludf.DUMMYFUNCTION("""COMPUTED_VALUE"""),100.505)</f>
        <v>100.505</v>
      </c>
    </row>
    <row r="39">
      <c r="B39" s="11">
        <f>IFERROR(__xludf.DUMMYFUNCTION("""COMPUTED_VALUE"""),44896.0)</f>
        <v>44896</v>
      </c>
      <c r="C39" s="9">
        <f>IFERROR(__xludf.DUMMYFUNCTION("""COMPUTED_VALUE"""),99.7664)</f>
        <v>99.7664</v>
      </c>
      <c r="E39" s="11">
        <f>IFERROR(__xludf.DUMMYFUNCTION("""COMPUTED_VALUE"""),44896.0)</f>
        <v>44896</v>
      </c>
      <c r="F39" s="9">
        <f>IFERROR(__xludf.DUMMYFUNCTION("""COMPUTED_VALUE"""),99.7664)</f>
        <v>99.7664</v>
      </c>
    </row>
    <row r="40">
      <c r="B40" s="11">
        <f>IFERROR(__xludf.DUMMYFUNCTION("""COMPUTED_VALUE"""),44866.0)</f>
        <v>44866</v>
      </c>
      <c r="C40" s="9">
        <f>IFERROR(__xludf.DUMMYFUNCTION("""COMPUTED_VALUE"""),100.9552)</f>
        <v>100.9552</v>
      </c>
      <c r="E40" s="11">
        <f>IFERROR(__xludf.DUMMYFUNCTION("""COMPUTED_VALUE"""),44866.0)</f>
        <v>44866</v>
      </c>
      <c r="F40" s="9">
        <f>IFERROR(__xludf.DUMMYFUNCTION("""COMPUTED_VALUE"""),100.9552)</f>
        <v>100.9552</v>
      </c>
    </row>
    <row r="41">
      <c r="B41" s="11">
        <f>IFERROR(__xludf.DUMMYFUNCTION("""COMPUTED_VALUE"""),44835.0)</f>
        <v>44835</v>
      </c>
      <c r="C41" s="9">
        <f>IFERROR(__xludf.DUMMYFUNCTION("""COMPUTED_VALUE"""),101.2529)</f>
        <v>101.2529</v>
      </c>
      <c r="E41" s="11">
        <f>IFERROR(__xludf.DUMMYFUNCTION("""COMPUTED_VALUE"""),44835.0)</f>
        <v>44835</v>
      </c>
      <c r="F41" s="9">
        <f>IFERROR(__xludf.DUMMYFUNCTION("""COMPUTED_VALUE"""),101.2529)</f>
        <v>101.2529</v>
      </c>
    </row>
    <row r="42">
      <c r="B42" s="11">
        <f>IFERROR(__xludf.DUMMYFUNCTION("""COMPUTED_VALUE"""),44805.0)</f>
        <v>44805</v>
      </c>
      <c r="C42" s="9">
        <f>IFERROR(__xludf.DUMMYFUNCTION("""COMPUTED_VALUE"""),101.2918)</f>
        <v>101.2918</v>
      </c>
      <c r="E42" s="11">
        <f>IFERROR(__xludf.DUMMYFUNCTION("""COMPUTED_VALUE"""),44805.0)</f>
        <v>44805</v>
      </c>
      <c r="F42" s="9">
        <f>IFERROR(__xludf.DUMMYFUNCTION("""COMPUTED_VALUE"""),101.2918)</f>
        <v>101.2918</v>
      </c>
    </row>
    <row r="43">
      <c r="B43" s="11">
        <f>IFERROR(__xludf.DUMMYFUNCTION("""COMPUTED_VALUE"""),44774.0)</f>
        <v>44774</v>
      </c>
      <c r="C43" s="9">
        <f>IFERROR(__xludf.DUMMYFUNCTION("""COMPUTED_VALUE"""),101.0963)</f>
        <v>101.0963</v>
      </c>
      <c r="E43" s="11">
        <f>IFERROR(__xludf.DUMMYFUNCTION("""COMPUTED_VALUE"""),44774.0)</f>
        <v>44774</v>
      </c>
      <c r="F43" s="9">
        <f>IFERROR(__xludf.DUMMYFUNCTION("""COMPUTED_VALUE"""),101.0963)</f>
        <v>101.0963</v>
      </c>
    </row>
    <row r="44">
      <c r="B44" s="11">
        <f>IFERROR(__xludf.DUMMYFUNCTION("""COMPUTED_VALUE"""),44743.0)</f>
        <v>44743</v>
      </c>
      <c r="C44" s="9">
        <f>IFERROR(__xludf.DUMMYFUNCTION("""COMPUTED_VALUE"""),101.223)</f>
        <v>101.223</v>
      </c>
      <c r="E44" s="11">
        <f>IFERROR(__xludf.DUMMYFUNCTION("""COMPUTED_VALUE"""),44743.0)</f>
        <v>44743</v>
      </c>
      <c r="F44" s="9">
        <f>IFERROR(__xludf.DUMMYFUNCTION("""COMPUTED_VALUE"""),101.223)</f>
        <v>101.223</v>
      </c>
    </row>
    <row r="45">
      <c r="B45" s="11">
        <f>IFERROR(__xludf.DUMMYFUNCTION("""COMPUTED_VALUE"""),44713.0)</f>
        <v>44713</v>
      </c>
      <c r="C45" s="9">
        <f>IFERROR(__xludf.DUMMYFUNCTION("""COMPUTED_VALUE"""),101.018)</f>
        <v>101.018</v>
      </c>
      <c r="E45" s="11">
        <f>IFERROR(__xludf.DUMMYFUNCTION("""COMPUTED_VALUE"""),44713.0)</f>
        <v>44713</v>
      </c>
      <c r="F45" s="9">
        <f>IFERROR(__xludf.DUMMYFUNCTION("""COMPUTED_VALUE"""),101.018)</f>
        <v>101.018</v>
      </c>
    </row>
    <row r="46">
      <c r="B46" s="11">
        <f>IFERROR(__xludf.DUMMYFUNCTION("""COMPUTED_VALUE"""),44682.0)</f>
        <v>44682</v>
      </c>
      <c r="C46" s="9">
        <f>IFERROR(__xludf.DUMMYFUNCTION("""COMPUTED_VALUE"""),101.3335)</f>
        <v>101.3335</v>
      </c>
      <c r="E46" s="11">
        <f>IFERROR(__xludf.DUMMYFUNCTION("""COMPUTED_VALUE"""),44682.0)</f>
        <v>44682</v>
      </c>
      <c r="F46" s="9">
        <f>IFERROR(__xludf.DUMMYFUNCTION("""COMPUTED_VALUE"""),101.3335)</f>
        <v>101.3335</v>
      </c>
    </row>
    <row r="47">
      <c r="B47" s="11">
        <f>IFERROR(__xludf.DUMMYFUNCTION("""COMPUTED_VALUE"""),44652.0)</f>
        <v>44652</v>
      </c>
      <c r="C47" s="9">
        <f>IFERROR(__xludf.DUMMYFUNCTION("""COMPUTED_VALUE"""),101.44)</f>
        <v>101.44</v>
      </c>
      <c r="E47" s="11">
        <f>IFERROR(__xludf.DUMMYFUNCTION("""COMPUTED_VALUE"""),44652.0)</f>
        <v>44652</v>
      </c>
      <c r="F47" s="9">
        <f>IFERROR(__xludf.DUMMYFUNCTION("""COMPUTED_VALUE"""),101.44)</f>
        <v>101.44</v>
      </c>
    </row>
    <row r="48">
      <c r="B48" s="11">
        <f>IFERROR(__xludf.DUMMYFUNCTION("""COMPUTED_VALUE"""),44621.0)</f>
        <v>44621</v>
      </c>
      <c r="C48" s="9">
        <f>IFERROR(__xludf.DUMMYFUNCTION("""COMPUTED_VALUE"""),101.3907)</f>
        <v>101.3907</v>
      </c>
      <c r="E48" s="11">
        <f>IFERROR(__xludf.DUMMYFUNCTION("""COMPUTED_VALUE"""),44621.0)</f>
        <v>44621</v>
      </c>
      <c r="F48" s="9">
        <f>IFERROR(__xludf.DUMMYFUNCTION("""COMPUTED_VALUE"""),101.3907)</f>
        <v>101.3907</v>
      </c>
    </row>
    <row r="49">
      <c r="B49" s="11">
        <f>IFERROR(__xludf.DUMMYFUNCTION("""COMPUTED_VALUE"""),44593.0)</f>
        <v>44593</v>
      </c>
      <c r="C49" s="9">
        <f>IFERROR(__xludf.DUMMYFUNCTION("""COMPUTED_VALUE"""),100.8064)</f>
        <v>100.8064</v>
      </c>
      <c r="E49" s="11">
        <f>IFERROR(__xludf.DUMMYFUNCTION("""COMPUTED_VALUE"""),44593.0)</f>
        <v>44593</v>
      </c>
      <c r="F49" s="9">
        <f>IFERROR(__xludf.DUMMYFUNCTION("""COMPUTED_VALUE"""),100.8064)</f>
        <v>100.8064</v>
      </c>
    </row>
    <row r="50">
      <c r="B50" s="11">
        <f>IFERROR(__xludf.DUMMYFUNCTION("""COMPUTED_VALUE"""),44562.0)</f>
        <v>44562</v>
      </c>
      <c r="C50" s="9">
        <f>IFERROR(__xludf.DUMMYFUNCTION("""COMPUTED_VALUE"""),100.1856)</f>
        <v>100.1856</v>
      </c>
      <c r="E50" s="11">
        <f>IFERROR(__xludf.DUMMYFUNCTION("""COMPUTED_VALUE"""),44562.0)</f>
        <v>44562</v>
      </c>
      <c r="F50" s="9">
        <f>IFERROR(__xludf.DUMMYFUNCTION("""COMPUTED_VALUE"""),100.1856)</f>
        <v>100.1856</v>
      </c>
    </row>
    <row r="51">
      <c r="B51" s="11">
        <f>IFERROR(__xludf.DUMMYFUNCTION("""COMPUTED_VALUE"""),44531.0)</f>
        <v>44531</v>
      </c>
      <c r="C51" s="9">
        <f>IFERROR(__xludf.DUMMYFUNCTION("""COMPUTED_VALUE"""),100.5726)</f>
        <v>100.5726</v>
      </c>
      <c r="E51" s="11">
        <f>IFERROR(__xludf.DUMMYFUNCTION("""COMPUTED_VALUE"""),44531.0)</f>
        <v>44531</v>
      </c>
      <c r="F51" s="9">
        <f>IFERROR(__xludf.DUMMYFUNCTION("""COMPUTED_VALUE"""),100.5726)</f>
        <v>100.5726</v>
      </c>
    </row>
    <row r="52">
      <c r="B52" s="11">
        <f>IFERROR(__xludf.DUMMYFUNCTION("""COMPUTED_VALUE"""),44501.0)</f>
        <v>44501</v>
      </c>
      <c r="C52" s="9">
        <f>IFERROR(__xludf.DUMMYFUNCTION("""COMPUTED_VALUE"""),100.8654)</f>
        <v>100.8654</v>
      </c>
      <c r="E52" s="11">
        <f>IFERROR(__xludf.DUMMYFUNCTION("""COMPUTED_VALUE"""),44501.0)</f>
        <v>44501</v>
      </c>
      <c r="F52" s="9">
        <f>IFERROR(__xludf.DUMMYFUNCTION("""COMPUTED_VALUE"""),100.8654)</f>
        <v>100.8654</v>
      </c>
    </row>
    <row r="53">
      <c r="B53" s="11">
        <f>IFERROR(__xludf.DUMMYFUNCTION("""COMPUTED_VALUE"""),44470.0)</f>
        <v>44470</v>
      </c>
      <c r="C53" s="9">
        <f>IFERROR(__xludf.DUMMYFUNCTION("""COMPUTED_VALUE"""),100.1861)</f>
        <v>100.1861</v>
      </c>
      <c r="E53" s="11">
        <f>IFERROR(__xludf.DUMMYFUNCTION("""COMPUTED_VALUE"""),44470.0)</f>
        <v>44470</v>
      </c>
      <c r="F53" s="9">
        <f>IFERROR(__xludf.DUMMYFUNCTION("""COMPUTED_VALUE"""),100.1861)</f>
        <v>100.1861</v>
      </c>
    </row>
    <row r="54">
      <c r="B54" s="11">
        <f>IFERROR(__xludf.DUMMYFUNCTION("""COMPUTED_VALUE"""),44440.0)</f>
        <v>44440</v>
      </c>
      <c r="C54" s="9">
        <f>IFERROR(__xludf.DUMMYFUNCTION("""COMPUTED_VALUE"""),98.8579)</f>
        <v>98.8579</v>
      </c>
      <c r="E54" s="11">
        <f>IFERROR(__xludf.DUMMYFUNCTION("""COMPUTED_VALUE"""),44440.0)</f>
        <v>44440</v>
      </c>
      <c r="F54" s="9">
        <f>IFERROR(__xludf.DUMMYFUNCTION("""COMPUTED_VALUE"""),98.8579)</f>
        <v>98.8579</v>
      </c>
    </row>
    <row r="55">
      <c r="B55" s="11">
        <f>IFERROR(__xludf.DUMMYFUNCTION("""COMPUTED_VALUE"""),44409.0)</f>
        <v>44409</v>
      </c>
      <c r="C55" s="9">
        <f>IFERROR(__xludf.DUMMYFUNCTION("""COMPUTED_VALUE"""),100.0437)</f>
        <v>100.0437</v>
      </c>
      <c r="E55" s="11">
        <f>IFERROR(__xludf.DUMMYFUNCTION("""COMPUTED_VALUE"""),44409.0)</f>
        <v>44409</v>
      </c>
      <c r="F55" s="9">
        <f>IFERROR(__xludf.DUMMYFUNCTION("""COMPUTED_VALUE"""),100.0437)</f>
        <v>100.0437</v>
      </c>
    </row>
    <row r="56">
      <c r="B56" s="11">
        <f>IFERROR(__xludf.DUMMYFUNCTION("""COMPUTED_VALUE"""),44378.0)</f>
        <v>44378</v>
      </c>
      <c r="C56" s="9">
        <f>IFERROR(__xludf.DUMMYFUNCTION("""COMPUTED_VALUE"""),100.2519)</f>
        <v>100.2519</v>
      </c>
      <c r="E56" s="11">
        <f>IFERROR(__xludf.DUMMYFUNCTION("""COMPUTED_VALUE"""),44378.0)</f>
        <v>44378</v>
      </c>
      <c r="F56" s="9">
        <f>IFERROR(__xludf.DUMMYFUNCTION("""COMPUTED_VALUE"""),100.2519)</f>
        <v>100.2519</v>
      </c>
    </row>
    <row r="57">
      <c r="B57" s="11">
        <f>IFERROR(__xludf.DUMMYFUNCTION("""COMPUTED_VALUE"""),44348.0)</f>
        <v>44348</v>
      </c>
      <c r="C57" s="9">
        <f>IFERROR(__xludf.DUMMYFUNCTION("""COMPUTED_VALUE"""),99.7987)</f>
        <v>99.7987</v>
      </c>
      <c r="E57" s="11">
        <f>IFERROR(__xludf.DUMMYFUNCTION("""COMPUTED_VALUE"""),44348.0)</f>
        <v>44348</v>
      </c>
      <c r="F57" s="9">
        <f>IFERROR(__xludf.DUMMYFUNCTION("""COMPUTED_VALUE"""),99.7987)</f>
        <v>99.7987</v>
      </c>
    </row>
    <row r="58">
      <c r="B58" s="11">
        <f>IFERROR(__xludf.DUMMYFUNCTION("""COMPUTED_VALUE"""),44317.0)</f>
        <v>44317</v>
      </c>
      <c r="C58" s="9">
        <f>IFERROR(__xludf.DUMMYFUNCTION("""COMPUTED_VALUE"""),99.4333)</f>
        <v>99.4333</v>
      </c>
      <c r="E58" s="11">
        <f>IFERROR(__xludf.DUMMYFUNCTION("""COMPUTED_VALUE"""),44317.0)</f>
        <v>44317</v>
      </c>
      <c r="F58" s="9">
        <f>IFERROR(__xludf.DUMMYFUNCTION("""COMPUTED_VALUE"""),99.4333)</f>
        <v>99.4333</v>
      </c>
    </row>
    <row r="59">
      <c r="B59" s="11">
        <f>IFERROR(__xludf.DUMMYFUNCTION("""COMPUTED_VALUE"""),44287.0)</f>
        <v>44287</v>
      </c>
      <c r="C59" s="9">
        <f>IFERROR(__xludf.DUMMYFUNCTION("""COMPUTED_VALUE"""),98.5587)</f>
        <v>98.5587</v>
      </c>
      <c r="E59" s="11">
        <f>IFERROR(__xludf.DUMMYFUNCTION("""COMPUTED_VALUE"""),44287.0)</f>
        <v>44287</v>
      </c>
      <c r="F59" s="9">
        <f>IFERROR(__xludf.DUMMYFUNCTION("""COMPUTED_VALUE"""),98.5587)</f>
        <v>98.5587</v>
      </c>
    </row>
    <row r="60">
      <c r="B60" s="11">
        <f>IFERROR(__xludf.DUMMYFUNCTION("""COMPUTED_VALUE"""),44256.0)</f>
        <v>44256</v>
      </c>
      <c r="C60" s="9">
        <f>IFERROR(__xludf.DUMMYFUNCTION("""COMPUTED_VALUE"""),98.3856)</f>
        <v>98.3856</v>
      </c>
      <c r="E60" s="11">
        <f>IFERROR(__xludf.DUMMYFUNCTION("""COMPUTED_VALUE"""),44256.0)</f>
        <v>44256</v>
      </c>
      <c r="F60" s="9">
        <f>IFERROR(__xludf.DUMMYFUNCTION("""COMPUTED_VALUE"""),98.3856)</f>
        <v>98.3856</v>
      </c>
    </row>
    <row r="61">
      <c r="B61" s="11">
        <f>IFERROR(__xludf.DUMMYFUNCTION("""COMPUTED_VALUE"""),44228.0)</f>
        <v>44228</v>
      </c>
      <c r="C61" s="9">
        <f>IFERROR(__xludf.DUMMYFUNCTION("""COMPUTED_VALUE"""),95.6149)</f>
        <v>95.6149</v>
      </c>
      <c r="E61" s="11">
        <f>IFERROR(__xludf.DUMMYFUNCTION("""COMPUTED_VALUE"""),44228.0)</f>
        <v>44228</v>
      </c>
      <c r="F61" s="9">
        <f>IFERROR(__xludf.DUMMYFUNCTION("""COMPUTED_VALUE"""),95.6149)</f>
        <v>95.6149</v>
      </c>
    </row>
    <row r="62">
      <c r="B62" s="11">
        <f>IFERROR(__xludf.DUMMYFUNCTION("""COMPUTED_VALUE"""),44197.0)</f>
        <v>44197</v>
      </c>
      <c r="C62" s="9">
        <f>IFERROR(__xludf.DUMMYFUNCTION("""COMPUTED_VALUE"""),98.8822)</f>
        <v>98.8822</v>
      </c>
      <c r="E62" s="11"/>
    </row>
    <row r="63">
      <c r="B63" s="11">
        <f>IFERROR(__xludf.DUMMYFUNCTION("""COMPUTED_VALUE"""),44166.0)</f>
        <v>44166</v>
      </c>
      <c r="C63" s="9">
        <f>IFERROR(__xludf.DUMMYFUNCTION("""COMPUTED_VALUE"""),98.363)</f>
        <v>98.363</v>
      </c>
      <c r="E63" s="11"/>
    </row>
    <row r="64">
      <c r="B64" s="11">
        <f>IFERROR(__xludf.DUMMYFUNCTION("""COMPUTED_VALUE"""),44136.0)</f>
        <v>44136</v>
      </c>
      <c r="C64" s="9">
        <f>IFERROR(__xludf.DUMMYFUNCTION("""COMPUTED_VALUE"""),97.0816)</f>
        <v>97.0816</v>
      </c>
      <c r="E64" s="11"/>
    </row>
    <row r="65">
      <c r="B65" s="11">
        <f>IFERROR(__xludf.DUMMYFUNCTION("""COMPUTED_VALUE"""),44105.0)</f>
        <v>44105</v>
      </c>
      <c r="C65" s="9">
        <f>IFERROR(__xludf.DUMMYFUNCTION("""COMPUTED_VALUE"""),96.7394)</f>
        <v>96.7394</v>
      </c>
      <c r="E65" s="11"/>
    </row>
    <row r="66">
      <c r="B66" s="11">
        <f>IFERROR(__xludf.DUMMYFUNCTION("""COMPUTED_VALUE"""),44075.0)</f>
        <v>44075</v>
      </c>
      <c r="C66" s="9">
        <f>IFERROR(__xludf.DUMMYFUNCTION("""COMPUTED_VALUE"""),95.9669)</f>
        <v>95.9669</v>
      </c>
      <c r="E66" s="11"/>
    </row>
    <row r="67">
      <c r="B67" s="11">
        <f>IFERROR(__xludf.DUMMYFUNCTION("""COMPUTED_VALUE"""),44044.0)</f>
        <v>44044</v>
      </c>
      <c r="C67" s="9">
        <f>IFERROR(__xludf.DUMMYFUNCTION("""COMPUTED_VALUE"""),95.9549)</f>
        <v>95.9549</v>
      </c>
      <c r="E67" s="11"/>
    </row>
    <row r="68">
      <c r="B68" s="11">
        <f>IFERROR(__xludf.DUMMYFUNCTION("""COMPUTED_VALUE"""),44013.0)</f>
        <v>44013</v>
      </c>
      <c r="C68" s="9">
        <f>IFERROR(__xludf.DUMMYFUNCTION("""COMPUTED_VALUE"""),95.0256)</f>
        <v>95.0256</v>
      </c>
      <c r="E68" s="11"/>
    </row>
    <row r="69">
      <c r="B69" s="11">
        <f>IFERROR(__xludf.DUMMYFUNCTION("""COMPUTED_VALUE"""),43983.0)</f>
        <v>43983</v>
      </c>
      <c r="C69" s="9">
        <f>IFERROR(__xludf.DUMMYFUNCTION("""COMPUTED_VALUE"""),91.5934)</f>
        <v>91.5934</v>
      </c>
      <c r="E69" s="11"/>
    </row>
    <row r="70">
      <c r="B70" s="11">
        <f>IFERROR(__xludf.DUMMYFUNCTION("""COMPUTED_VALUE"""),43952.0)</f>
        <v>43952</v>
      </c>
      <c r="C70" s="9">
        <f>IFERROR(__xludf.DUMMYFUNCTION("""COMPUTED_VALUE"""),85.9604)</f>
        <v>85.9604</v>
      </c>
      <c r="E70" s="11"/>
    </row>
    <row r="71">
      <c r="B71" s="11">
        <f>IFERROR(__xludf.DUMMYFUNCTION("""COMPUTED_VALUE"""),43922.0)</f>
        <v>43922</v>
      </c>
      <c r="C71" s="9">
        <f>IFERROR(__xludf.DUMMYFUNCTION("""COMPUTED_VALUE"""),84.5619)</f>
        <v>84.5619</v>
      </c>
      <c r="E71" s="11"/>
    </row>
    <row r="72">
      <c r="B72" s="11">
        <f>IFERROR(__xludf.DUMMYFUNCTION("""COMPUTED_VALUE"""),43891.0)</f>
        <v>43891</v>
      </c>
      <c r="C72" s="9">
        <f>IFERROR(__xludf.DUMMYFUNCTION("""COMPUTED_VALUE"""),97.4078)</f>
        <v>97.4078</v>
      </c>
      <c r="E72" s="11"/>
    </row>
    <row r="73">
      <c r="B73" s="11">
        <f>IFERROR(__xludf.DUMMYFUNCTION("""COMPUTED_VALUE"""),43862.0)</f>
        <v>43862</v>
      </c>
      <c r="C73" s="9">
        <f>IFERROR(__xludf.DUMMYFUNCTION("""COMPUTED_VALUE"""),101.3735)</f>
        <v>101.3735</v>
      </c>
      <c r="E73" s="11"/>
    </row>
    <row r="74">
      <c r="B74" s="11">
        <f>IFERROR(__xludf.DUMMYFUNCTION("""COMPUTED_VALUE"""),43831.0)</f>
        <v>43831</v>
      </c>
      <c r="C74" s="9">
        <f>IFERROR(__xludf.DUMMYFUNCTION("""COMPUTED_VALUE"""),101.0338)</f>
        <v>101.0338</v>
      </c>
      <c r="E74" s="11"/>
    </row>
    <row r="75">
      <c r="B75" s="11">
        <f>IFERROR(__xludf.DUMMYFUNCTION("""COMPUTED_VALUE"""),43800.0)</f>
        <v>43800</v>
      </c>
      <c r="C75" s="9">
        <f>IFERROR(__xludf.DUMMYFUNCTION("""COMPUTED_VALUE"""),101.7003)</f>
        <v>101.7003</v>
      </c>
      <c r="E75" s="11"/>
    </row>
    <row r="76">
      <c r="B76" s="11">
        <f>IFERROR(__xludf.DUMMYFUNCTION("""COMPUTED_VALUE"""),43770.0)</f>
        <v>43770</v>
      </c>
      <c r="C76" s="9">
        <f>IFERROR(__xludf.DUMMYFUNCTION("""COMPUTED_VALUE"""),101.9372)</f>
        <v>101.9372</v>
      </c>
      <c r="E76" s="11"/>
    </row>
    <row r="77">
      <c r="B77" s="11">
        <f>IFERROR(__xludf.DUMMYFUNCTION("""COMPUTED_VALUE"""),43739.0)</f>
        <v>43739</v>
      </c>
      <c r="C77" s="9">
        <f>IFERROR(__xludf.DUMMYFUNCTION("""COMPUTED_VALUE"""),101.4281)</f>
        <v>101.4281</v>
      </c>
      <c r="E77" s="11"/>
    </row>
    <row r="78">
      <c r="B78" s="11">
        <f>IFERROR(__xludf.DUMMYFUNCTION("""COMPUTED_VALUE"""),43709.0)</f>
        <v>43709</v>
      </c>
      <c r="C78" s="9">
        <f>IFERROR(__xludf.DUMMYFUNCTION("""COMPUTED_VALUE"""),102.2917)</f>
        <v>102.2917</v>
      </c>
      <c r="E78" s="11"/>
    </row>
    <row r="79">
      <c r="B79" s="11">
        <f>IFERROR(__xludf.DUMMYFUNCTION("""COMPUTED_VALUE"""),43678.0)</f>
        <v>43678</v>
      </c>
      <c r="C79" s="9">
        <f>IFERROR(__xludf.DUMMYFUNCTION("""COMPUTED_VALUE"""),102.639)</f>
        <v>102.639</v>
      </c>
      <c r="E79" s="11"/>
    </row>
    <row r="80">
      <c r="B80" s="11">
        <f>IFERROR(__xludf.DUMMYFUNCTION("""COMPUTED_VALUE"""),43647.0)</f>
        <v>43647</v>
      </c>
      <c r="C80" s="9">
        <f>IFERROR(__xludf.DUMMYFUNCTION("""COMPUTED_VALUE"""),101.9408)</f>
        <v>101.9408</v>
      </c>
      <c r="E80" s="11"/>
    </row>
    <row r="81">
      <c r="B81" s="11">
        <f>IFERROR(__xludf.DUMMYFUNCTION("""COMPUTED_VALUE"""),43617.0)</f>
        <v>43617</v>
      </c>
      <c r="C81" s="9">
        <f>IFERROR(__xludf.DUMMYFUNCTION("""COMPUTED_VALUE"""),102.4375)</f>
        <v>102.4375</v>
      </c>
      <c r="E81" s="11"/>
    </row>
    <row r="82">
      <c r="B82" s="11">
        <f>IFERROR(__xludf.DUMMYFUNCTION("""COMPUTED_VALUE"""),43586.0)</f>
        <v>43586</v>
      </c>
      <c r="C82" s="9">
        <f>IFERROR(__xludf.DUMMYFUNCTION("""COMPUTED_VALUE"""),102.392)</f>
        <v>102.392</v>
      </c>
      <c r="E82" s="11"/>
    </row>
    <row r="83">
      <c r="B83" s="11">
        <f>IFERROR(__xludf.DUMMYFUNCTION("""COMPUTED_VALUE"""),43556.0)</f>
        <v>43556</v>
      </c>
      <c r="C83" s="9">
        <f>IFERROR(__xludf.DUMMYFUNCTION("""COMPUTED_VALUE"""),102.274)</f>
        <v>102.274</v>
      </c>
      <c r="E83" s="11"/>
    </row>
    <row r="84">
      <c r="B84" s="11">
        <f>IFERROR(__xludf.DUMMYFUNCTION("""COMPUTED_VALUE"""),43525.0)</f>
        <v>43525</v>
      </c>
      <c r="C84" s="9">
        <f>IFERROR(__xludf.DUMMYFUNCTION("""COMPUTED_VALUE"""),102.8757)</f>
        <v>102.8757</v>
      </c>
      <c r="E84" s="11"/>
    </row>
    <row r="85">
      <c r="B85" s="11">
        <f>IFERROR(__xludf.DUMMYFUNCTION("""COMPUTED_VALUE"""),43497.0)</f>
        <v>43497</v>
      </c>
      <c r="C85" s="9">
        <f>IFERROR(__xludf.DUMMYFUNCTION("""COMPUTED_VALUE"""),102.8371)</f>
        <v>102.8371</v>
      </c>
      <c r="E85" s="11"/>
    </row>
    <row r="86">
      <c r="B86" s="11">
        <f>IFERROR(__xludf.DUMMYFUNCTION("""COMPUTED_VALUE"""),43466.0)</f>
        <v>43466</v>
      </c>
      <c r="C86" s="9">
        <f>IFERROR(__xludf.DUMMYFUNCTION("""COMPUTED_VALUE"""),103.4021)</f>
        <v>103.4021</v>
      </c>
      <c r="E86" s="11"/>
    </row>
    <row r="87">
      <c r="B87" s="11">
        <f>IFERROR(__xludf.DUMMYFUNCTION("""COMPUTED_VALUE"""),43435.0)</f>
        <v>43435</v>
      </c>
      <c r="C87" s="9">
        <f>IFERROR(__xludf.DUMMYFUNCTION("""COMPUTED_VALUE"""),104.0936)</f>
        <v>104.0936</v>
      </c>
      <c r="E87" s="11"/>
    </row>
    <row r="88">
      <c r="B88" s="11">
        <f>IFERROR(__xludf.DUMMYFUNCTION("""COMPUTED_VALUE"""),43405.0)</f>
        <v>43405</v>
      </c>
      <c r="C88" s="9">
        <f>IFERROR(__xludf.DUMMYFUNCTION("""COMPUTED_VALUE"""),104.0681)</f>
        <v>104.0681</v>
      </c>
      <c r="E88" s="11"/>
    </row>
    <row r="89">
      <c r="B89" s="11">
        <f>IFERROR(__xludf.DUMMYFUNCTION("""COMPUTED_VALUE"""),43374.0)</f>
        <v>43374</v>
      </c>
      <c r="C89" s="9">
        <f>IFERROR(__xludf.DUMMYFUNCTION("""COMPUTED_VALUE"""),103.9856)</f>
        <v>103.9856</v>
      </c>
      <c r="E89" s="11"/>
    </row>
    <row r="90">
      <c r="B90" s="11">
        <f>IFERROR(__xludf.DUMMYFUNCTION("""COMPUTED_VALUE"""),43344.0)</f>
        <v>43344</v>
      </c>
      <c r="C90" s="9">
        <f>IFERROR(__xludf.DUMMYFUNCTION("""COMPUTED_VALUE"""),104.1004)</f>
        <v>104.1004</v>
      </c>
      <c r="E90" s="11"/>
    </row>
    <row r="91">
      <c r="B91" s="11">
        <f>IFERROR(__xludf.DUMMYFUNCTION("""COMPUTED_VALUE"""),43313.0)</f>
        <v>43313</v>
      </c>
      <c r="C91" s="9">
        <f>IFERROR(__xludf.DUMMYFUNCTION("""COMPUTED_VALUE"""),104.0327)</f>
        <v>104.0327</v>
      </c>
      <c r="E91" s="11"/>
    </row>
    <row r="92">
      <c r="B92" s="11">
        <f>IFERROR(__xludf.DUMMYFUNCTION("""COMPUTED_VALUE"""),43282.0)</f>
        <v>43282</v>
      </c>
      <c r="C92" s="9">
        <f>IFERROR(__xludf.DUMMYFUNCTION("""COMPUTED_VALUE"""),103.3646)</f>
        <v>103.3646</v>
      </c>
      <c r="E92" s="11"/>
    </row>
    <row r="93">
      <c r="B93" s="11">
        <f>IFERROR(__xludf.DUMMYFUNCTION("""COMPUTED_VALUE"""),43252.0)</f>
        <v>43252</v>
      </c>
      <c r="C93" s="9">
        <f>IFERROR(__xludf.DUMMYFUNCTION("""COMPUTED_VALUE"""),103.198)</f>
        <v>103.198</v>
      </c>
      <c r="E93" s="11"/>
    </row>
    <row r="94">
      <c r="B94" s="11">
        <f>IFERROR(__xludf.DUMMYFUNCTION("""COMPUTED_VALUE"""),43221.0)</f>
        <v>43221</v>
      </c>
      <c r="C94" s="9">
        <f>IFERROR(__xludf.DUMMYFUNCTION("""COMPUTED_VALUE"""),102.4024)</f>
        <v>102.4024</v>
      </c>
      <c r="E94" s="11"/>
    </row>
    <row r="95">
      <c r="B95" s="11">
        <f>IFERROR(__xludf.DUMMYFUNCTION("""COMPUTED_VALUE"""),43191.0)</f>
        <v>43191</v>
      </c>
      <c r="C95" s="9">
        <f>IFERROR(__xludf.DUMMYFUNCTION("""COMPUTED_VALUE"""),103.3329)</f>
        <v>103.3329</v>
      </c>
      <c r="E95" s="11"/>
    </row>
    <row r="96">
      <c r="B96" s="11">
        <f>IFERROR(__xludf.DUMMYFUNCTION("""COMPUTED_VALUE"""),43160.0)</f>
        <v>43160</v>
      </c>
      <c r="C96" s="9">
        <f>IFERROR(__xludf.DUMMYFUNCTION("""COMPUTED_VALUE"""),102.2067)</f>
        <v>102.2067</v>
      </c>
      <c r="E96" s="11"/>
    </row>
    <row r="97">
      <c r="B97" s="11">
        <f>IFERROR(__xludf.DUMMYFUNCTION("""COMPUTED_VALUE"""),43132.0)</f>
        <v>43132</v>
      </c>
      <c r="C97" s="9">
        <f>IFERROR(__xludf.DUMMYFUNCTION("""COMPUTED_VALUE"""),101.7085)</f>
        <v>101.7085</v>
      </c>
      <c r="E97" s="11"/>
    </row>
    <row r="98">
      <c r="B98" s="11">
        <f>IFERROR(__xludf.DUMMYFUNCTION("""COMPUTED_VALUE"""),43101.0)</f>
        <v>43101</v>
      </c>
      <c r="C98" s="9">
        <f>IFERROR(__xludf.DUMMYFUNCTION("""COMPUTED_VALUE"""),101.4625)</f>
        <v>101.4625</v>
      </c>
      <c r="E98" s="11"/>
    </row>
    <row r="99">
      <c r="B99" s="11">
        <f>IFERROR(__xludf.DUMMYFUNCTION("""COMPUTED_VALUE"""),43070.0)</f>
        <v>43070</v>
      </c>
      <c r="C99" s="9">
        <f>IFERROR(__xludf.DUMMYFUNCTION("""COMPUTED_VALUE"""),101.4644)</f>
        <v>101.4644</v>
      </c>
      <c r="E99" s="11"/>
    </row>
    <row r="100">
      <c r="B100" s="11">
        <f>IFERROR(__xludf.DUMMYFUNCTION("""COMPUTED_VALUE"""),43040.0)</f>
        <v>43040</v>
      </c>
      <c r="C100" s="9">
        <f>IFERROR(__xludf.DUMMYFUNCTION("""COMPUTED_VALUE"""),101.2664)</f>
        <v>101.2664</v>
      </c>
      <c r="E100" s="11"/>
    </row>
    <row r="101">
      <c r="B101" s="11">
        <f>IFERROR(__xludf.DUMMYFUNCTION("""COMPUTED_VALUE"""),43009.0)</f>
        <v>43009</v>
      </c>
      <c r="C101" s="9">
        <f>IFERROR(__xludf.DUMMYFUNCTION("""COMPUTED_VALUE"""),101.0247)</f>
        <v>101.0247</v>
      </c>
      <c r="E101" s="11"/>
    </row>
    <row r="102">
      <c r="B102" s="11">
        <f>IFERROR(__xludf.DUMMYFUNCTION("""COMPUTED_VALUE"""),42979.0)</f>
        <v>42979</v>
      </c>
      <c r="C102" s="9">
        <f>IFERROR(__xludf.DUMMYFUNCTION("""COMPUTED_VALUE"""),99.7954)</f>
        <v>99.7954</v>
      </c>
      <c r="E102" s="11"/>
    </row>
    <row r="103">
      <c r="B103" s="11">
        <f>IFERROR(__xludf.DUMMYFUNCTION("""COMPUTED_VALUE"""),42948.0)</f>
        <v>42948</v>
      </c>
      <c r="C103" s="9">
        <f>IFERROR(__xludf.DUMMYFUNCTION("""COMPUTED_VALUE"""),99.6925)</f>
        <v>99.6925</v>
      </c>
      <c r="E103" s="11"/>
    </row>
    <row r="104">
      <c r="B104" s="11">
        <f>IFERROR(__xludf.DUMMYFUNCTION("""COMPUTED_VALUE"""),42917.0)</f>
        <v>42917</v>
      </c>
      <c r="C104" s="9">
        <f>IFERROR(__xludf.DUMMYFUNCTION("""COMPUTED_VALUE"""),100.1068)</f>
        <v>100.1068</v>
      </c>
      <c r="E104" s="11"/>
    </row>
    <row r="105">
      <c r="B105" s="11">
        <f>IFERROR(__xludf.DUMMYFUNCTION("""COMPUTED_VALUE"""),42887.0)</f>
        <v>42887</v>
      </c>
      <c r="C105" s="9">
        <f>IFERROR(__xludf.DUMMYFUNCTION("""COMPUTED_VALUE"""),100.3471)</f>
        <v>100.3471</v>
      </c>
      <c r="E105" s="11"/>
    </row>
    <row r="106">
      <c r="B106" s="11">
        <f>IFERROR(__xludf.DUMMYFUNCTION("""COMPUTED_VALUE"""),42856.0)</f>
        <v>42856</v>
      </c>
      <c r="C106" s="9">
        <f>IFERROR(__xludf.DUMMYFUNCTION("""COMPUTED_VALUE"""),100.1408)</f>
        <v>100.1408</v>
      </c>
      <c r="E106" s="11"/>
    </row>
    <row r="107">
      <c r="B107" s="11">
        <f>IFERROR(__xludf.DUMMYFUNCTION("""COMPUTED_VALUE"""),42826.0)</f>
        <v>42826</v>
      </c>
      <c r="C107" s="9">
        <f>IFERROR(__xludf.DUMMYFUNCTION("""COMPUTED_VALUE"""),100.0224)</f>
        <v>100.0224</v>
      </c>
      <c r="E107" s="11"/>
    </row>
    <row r="108">
      <c r="B108" s="11">
        <f>IFERROR(__xludf.DUMMYFUNCTION("""COMPUTED_VALUE"""),42795.0)</f>
        <v>42795</v>
      </c>
      <c r="C108" s="9">
        <f>IFERROR(__xludf.DUMMYFUNCTION("""COMPUTED_VALUE"""),99.0137)</f>
        <v>99.0137</v>
      </c>
      <c r="E108" s="11"/>
    </row>
    <row r="109">
      <c r="B109" s="11">
        <f>IFERROR(__xludf.DUMMYFUNCTION("""COMPUTED_VALUE"""),42767.0)</f>
        <v>42767</v>
      </c>
      <c r="C109" s="9">
        <f>IFERROR(__xludf.DUMMYFUNCTION("""COMPUTED_VALUE"""),98.3646)</f>
        <v>98.3646</v>
      </c>
      <c r="E109" s="11"/>
    </row>
    <row r="110">
      <c r="B110" s="11">
        <f>IFERROR(__xludf.DUMMYFUNCTION("""COMPUTED_VALUE"""),42736.0)</f>
        <v>42736</v>
      </c>
      <c r="C110" s="9">
        <f>IFERROR(__xludf.DUMMYFUNCTION("""COMPUTED_VALUE"""),98.7611)</f>
        <v>98.7611</v>
      </c>
      <c r="E110" s="11"/>
    </row>
    <row r="111">
      <c r="B111" s="11">
        <f>IFERROR(__xludf.DUMMYFUNCTION("""COMPUTED_VALUE"""),42705.0)</f>
        <v>42705</v>
      </c>
      <c r="C111" s="9">
        <f>IFERROR(__xludf.DUMMYFUNCTION("""COMPUTED_VALUE"""),99.0214)</f>
        <v>99.0214</v>
      </c>
      <c r="E111" s="11"/>
    </row>
    <row r="112">
      <c r="B112" s="11">
        <f>IFERROR(__xludf.DUMMYFUNCTION("""COMPUTED_VALUE"""),42675.0)</f>
        <v>42675</v>
      </c>
      <c r="C112" s="9">
        <f>IFERROR(__xludf.DUMMYFUNCTION("""COMPUTED_VALUE"""),98.3491)</f>
        <v>98.3491</v>
      </c>
      <c r="E112" s="11"/>
    </row>
    <row r="113">
      <c r="B113" s="11">
        <f>IFERROR(__xludf.DUMMYFUNCTION("""COMPUTED_VALUE"""),42644.0)</f>
        <v>42644</v>
      </c>
      <c r="C113" s="9">
        <f>IFERROR(__xludf.DUMMYFUNCTION("""COMPUTED_VALUE"""),98.7611)</f>
        <v>98.7611</v>
      </c>
      <c r="E113" s="11"/>
    </row>
    <row r="114">
      <c r="B114" s="11">
        <f>IFERROR(__xludf.DUMMYFUNCTION("""COMPUTED_VALUE"""),42614.0)</f>
        <v>42614</v>
      </c>
      <c r="C114" s="9">
        <f>IFERROR(__xludf.DUMMYFUNCTION("""COMPUTED_VALUE"""),98.7457)</f>
        <v>98.7457</v>
      </c>
      <c r="E114" s="11"/>
    </row>
    <row r="115">
      <c r="B115" s="11">
        <f>IFERROR(__xludf.DUMMYFUNCTION("""COMPUTED_VALUE"""),42583.0)</f>
        <v>42583</v>
      </c>
      <c r="C115" s="9">
        <f>IFERROR(__xludf.DUMMYFUNCTION("""COMPUTED_VALUE"""),98.85)</f>
        <v>98.85</v>
      </c>
      <c r="E115" s="11"/>
    </row>
    <row r="116">
      <c r="B116" s="11">
        <f>IFERROR(__xludf.DUMMYFUNCTION("""COMPUTED_VALUE"""),42552.0)</f>
        <v>42552</v>
      </c>
      <c r="C116" s="9">
        <f>IFERROR(__xludf.DUMMYFUNCTION("""COMPUTED_VALUE"""),98.9992)</f>
        <v>98.9992</v>
      </c>
      <c r="E116" s="11"/>
    </row>
    <row r="117">
      <c r="B117" s="11">
        <f>IFERROR(__xludf.DUMMYFUNCTION("""COMPUTED_VALUE"""),42522.0)</f>
        <v>42522</v>
      </c>
      <c r="C117" s="9">
        <f>IFERROR(__xludf.DUMMYFUNCTION("""COMPUTED_VALUE"""),98.8833)</f>
        <v>98.8833</v>
      </c>
      <c r="E117" s="11"/>
    </row>
    <row r="118">
      <c r="B118" s="11">
        <f>IFERROR(__xludf.DUMMYFUNCTION("""COMPUTED_VALUE"""),42491.0)</f>
        <v>42491</v>
      </c>
      <c r="C118" s="9">
        <f>IFERROR(__xludf.DUMMYFUNCTION("""COMPUTED_VALUE"""),98.4184)</f>
        <v>98.4184</v>
      </c>
      <c r="E118" s="11"/>
    </row>
    <row r="119">
      <c r="B119" s="11">
        <f>IFERROR(__xludf.DUMMYFUNCTION("""COMPUTED_VALUE"""),42461.0)</f>
        <v>42461</v>
      </c>
      <c r="C119" s="9">
        <f>IFERROR(__xludf.DUMMYFUNCTION("""COMPUTED_VALUE"""),98.6421)</f>
        <v>98.6421</v>
      </c>
      <c r="E119" s="11"/>
    </row>
    <row r="120">
      <c r="B120" s="11">
        <f>IFERROR(__xludf.DUMMYFUNCTION("""COMPUTED_VALUE"""),42430.0)</f>
        <v>42430</v>
      </c>
      <c r="C120" s="9">
        <f>IFERROR(__xludf.DUMMYFUNCTION("""COMPUTED_VALUE"""),98.3096)</f>
        <v>98.3096</v>
      </c>
      <c r="E120" s="11"/>
    </row>
    <row r="121">
      <c r="B121" s="11">
        <f>IFERROR(__xludf.DUMMYFUNCTION("""COMPUTED_VALUE"""),42401.0)</f>
        <v>42401</v>
      </c>
      <c r="C121" s="9">
        <f>IFERROR(__xludf.DUMMYFUNCTION("""COMPUTED_VALUE"""),99.0445)</f>
        <v>99.0445</v>
      </c>
      <c r="E121" s="11"/>
    </row>
    <row r="122">
      <c r="B122" s="11">
        <f>IFERROR(__xludf.DUMMYFUNCTION("""COMPUTED_VALUE"""),42370.0)</f>
        <v>42370</v>
      </c>
      <c r="C122" s="9">
        <f>IFERROR(__xludf.DUMMYFUNCTION("""COMPUTED_VALUE"""),99.5607)</f>
        <v>99.5607</v>
      </c>
      <c r="E122" s="11"/>
    </row>
    <row r="123">
      <c r="B123" s="11">
        <f>IFERROR(__xludf.DUMMYFUNCTION("""COMPUTED_VALUE"""),42339.0)</f>
        <v>42339</v>
      </c>
      <c r="C123" s="9">
        <f>IFERROR(__xludf.DUMMYFUNCTION("""COMPUTED_VALUE"""),99.0417)</f>
        <v>99.0417</v>
      </c>
      <c r="E123" s="11"/>
    </row>
    <row r="124">
      <c r="B124" s="11">
        <f>IFERROR(__xludf.DUMMYFUNCTION("""COMPUTED_VALUE"""),42309.0)</f>
        <v>42309</v>
      </c>
      <c r="C124" s="9">
        <f>IFERROR(__xludf.DUMMYFUNCTION("""COMPUTED_VALUE"""),99.5298)</f>
        <v>99.5298</v>
      </c>
      <c r="E124" s="11"/>
    </row>
    <row r="125">
      <c r="B125" s="11">
        <f>IFERROR(__xludf.DUMMYFUNCTION("""COMPUTED_VALUE"""),42278.0)</f>
        <v>42278</v>
      </c>
      <c r="C125" s="9">
        <f>IFERROR(__xludf.DUMMYFUNCTION("""COMPUTED_VALUE"""),100.2675)</f>
        <v>100.2675</v>
      </c>
      <c r="E125" s="11"/>
    </row>
    <row r="126">
      <c r="B126" s="11">
        <f>IFERROR(__xludf.DUMMYFUNCTION("""COMPUTED_VALUE"""),42248.0)</f>
        <v>42248</v>
      </c>
      <c r="C126" s="9">
        <f>IFERROR(__xludf.DUMMYFUNCTION("""COMPUTED_VALUE"""),100.7547)</f>
        <v>100.7547</v>
      </c>
      <c r="E126" s="11"/>
    </row>
    <row r="127">
      <c r="B127" s="11">
        <f>IFERROR(__xludf.DUMMYFUNCTION("""COMPUTED_VALUE"""),42217.0)</f>
        <v>42217</v>
      </c>
      <c r="C127" s="9">
        <f>IFERROR(__xludf.DUMMYFUNCTION("""COMPUTED_VALUE"""),101.0367)</f>
        <v>101.0367</v>
      </c>
      <c r="E127" s="11"/>
    </row>
    <row r="128">
      <c r="B128" s="11">
        <f>IFERROR(__xludf.DUMMYFUNCTION("""COMPUTED_VALUE"""),42186.0)</f>
        <v>42186</v>
      </c>
      <c r="C128" s="9">
        <f>IFERROR(__xludf.DUMMYFUNCTION("""COMPUTED_VALUE"""),101.2228)</f>
        <v>101.2228</v>
      </c>
      <c r="E128" s="11"/>
    </row>
    <row r="129">
      <c r="B129" s="11">
        <f>IFERROR(__xludf.DUMMYFUNCTION("""COMPUTED_VALUE"""),42156.0)</f>
        <v>42156</v>
      </c>
      <c r="C129" s="9">
        <f>IFERROR(__xludf.DUMMYFUNCTION("""COMPUTED_VALUE"""),100.571)</f>
        <v>100.571</v>
      </c>
      <c r="E129" s="11"/>
    </row>
    <row r="130">
      <c r="B130" s="11">
        <f>IFERROR(__xludf.DUMMYFUNCTION("""COMPUTED_VALUE"""),42125.0)</f>
        <v>42125</v>
      </c>
      <c r="C130" s="9">
        <f>IFERROR(__xludf.DUMMYFUNCTION("""COMPUTED_VALUE"""),100.8883)</f>
        <v>100.8883</v>
      </c>
      <c r="E130" s="11"/>
    </row>
    <row r="131">
      <c r="B131" s="11">
        <f>IFERROR(__xludf.DUMMYFUNCTION("""COMPUTED_VALUE"""),42095.0)</f>
        <v>42095</v>
      </c>
      <c r="C131" s="9">
        <f>IFERROR(__xludf.DUMMYFUNCTION("""COMPUTED_VALUE"""),101.3355)</f>
        <v>101.3355</v>
      </c>
      <c r="E131" s="11"/>
    </row>
    <row r="132">
      <c r="B132" s="11">
        <f>IFERROR(__xludf.DUMMYFUNCTION("""COMPUTED_VALUE"""),42064.0)</f>
        <v>42064</v>
      </c>
      <c r="C132" s="9">
        <f>IFERROR(__xludf.DUMMYFUNCTION("""COMPUTED_VALUE"""),101.8914)</f>
        <v>101.8914</v>
      </c>
      <c r="E132" s="11"/>
    </row>
    <row r="133">
      <c r="B133" s="11">
        <f>IFERROR(__xludf.DUMMYFUNCTION("""COMPUTED_VALUE"""),42036.0)</f>
        <v>42036</v>
      </c>
      <c r="C133" s="9">
        <f>IFERROR(__xludf.DUMMYFUNCTION("""COMPUTED_VALUE"""),102.2335)</f>
        <v>102.2335</v>
      </c>
      <c r="E133" s="11"/>
    </row>
    <row r="134">
      <c r="B134" s="11">
        <f>IFERROR(__xludf.DUMMYFUNCTION("""COMPUTED_VALUE"""),42005.0)</f>
        <v>42005</v>
      </c>
      <c r="C134" s="9">
        <f>IFERROR(__xludf.DUMMYFUNCTION("""COMPUTED_VALUE"""),102.8905)</f>
        <v>102.8905</v>
      </c>
      <c r="E134" s="11"/>
    </row>
    <row r="135">
      <c r="B135" s="11">
        <f>IFERROR(__xludf.DUMMYFUNCTION("""COMPUTED_VALUE"""),41974.0)</f>
        <v>41974</v>
      </c>
      <c r="C135" s="9">
        <f>IFERROR(__xludf.DUMMYFUNCTION("""COMPUTED_VALUE"""),103.7044)</f>
        <v>103.7044</v>
      </c>
      <c r="E135" s="11"/>
    </row>
    <row r="136">
      <c r="B136" s="11">
        <f>IFERROR(__xludf.DUMMYFUNCTION("""COMPUTED_VALUE"""),41944.0)</f>
        <v>41944</v>
      </c>
      <c r="C136" s="9">
        <f>IFERROR(__xludf.DUMMYFUNCTION("""COMPUTED_VALUE"""),103.7126)</f>
        <v>103.7126</v>
      </c>
      <c r="E136" s="11"/>
    </row>
    <row r="137">
      <c r="B137" s="11">
        <f>IFERROR(__xludf.DUMMYFUNCTION("""COMPUTED_VALUE"""),41913.0)</f>
        <v>41913</v>
      </c>
      <c r="C137" s="9">
        <f>IFERROR(__xludf.DUMMYFUNCTION("""COMPUTED_VALUE"""),103.0764)</f>
        <v>103.0764</v>
      </c>
      <c r="E137" s="11"/>
    </row>
    <row r="138">
      <c r="B138" s="11">
        <f>IFERROR(__xludf.DUMMYFUNCTION("""COMPUTED_VALUE"""),41883.0)</f>
        <v>41883</v>
      </c>
      <c r="C138" s="9">
        <f>IFERROR(__xludf.DUMMYFUNCTION("""COMPUTED_VALUE"""),103.0641)</f>
        <v>103.0641</v>
      </c>
      <c r="E138" s="11"/>
    </row>
    <row r="139">
      <c r="B139" s="11">
        <f>IFERROR(__xludf.DUMMYFUNCTION("""COMPUTED_VALUE"""),41852.0)</f>
        <v>41852</v>
      </c>
      <c r="C139" s="9">
        <f>IFERROR(__xludf.DUMMYFUNCTION("""COMPUTED_VALUE"""),102.7688)</f>
        <v>102.7688</v>
      </c>
      <c r="E139" s="11"/>
    </row>
    <row r="140">
      <c r="B140" s="11">
        <f>IFERROR(__xludf.DUMMYFUNCTION("""COMPUTED_VALUE"""),41821.0)</f>
        <v>41821</v>
      </c>
      <c r="C140" s="9">
        <f>IFERROR(__xludf.DUMMYFUNCTION("""COMPUTED_VALUE"""),102.9632)</f>
        <v>102.9632</v>
      </c>
      <c r="E140" s="11"/>
    </row>
    <row r="141">
      <c r="B141" s="11">
        <f>IFERROR(__xludf.DUMMYFUNCTION("""COMPUTED_VALUE"""),41791.0)</f>
        <v>41791</v>
      </c>
      <c r="C141" s="9">
        <f>IFERROR(__xludf.DUMMYFUNCTION("""COMPUTED_VALUE"""),102.735)</f>
        <v>102.735</v>
      </c>
      <c r="E141" s="11"/>
    </row>
    <row r="142">
      <c r="B142" s="11">
        <f>IFERROR(__xludf.DUMMYFUNCTION("""COMPUTED_VALUE"""),41760.0)</f>
        <v>41760</v>
      </c>
      <c r="C142" s="9">
        <f>IFERROR(__xludf.DUMMYFUNCTION("""COMPUTED_VALUE"""),102.3836)</f>
        <v>102.3836</v>
      </c>
      <c r="E142" s="11"/>
    </row>
    <row r="143">
      <c r="B143" s="11">
        <f>IFERROR(__xludf.DUMMYFUNCTION("""COMPUTED_VALUE"""),41730.0)</f>
        <v>41730</v>
      </c>
      <c r="C143" s="9">
        <f>IFERROR(__xludf.DUMMYFUNCTION("""COMPUTED_VALUE"""),101.9928)</f>
        <v>101.9928</v>
      </c>
      <c r="E143" s="11"/>
    </row>
    <row r="144">
      <c r="B144" s="11">
        <f>IFERROR(__xludf.DUMMYFUNCTION("""COMPUTED_VALUE"""),41699.0)</f>
        <v>41699</v>
      </c>
      <c r="C144" s="9">
        <f>IFERROR(__xludf.DUMMYFUNCTION("""COMPUTED_VALUE"""),101.8942)</f>
        <v>101.8942</v>
      </c>
      <c r="E144" s="11"/>
    </row>
    <row r="145">
      <c r="B145" s="11">
        <f>IFERROR(__xludf.DUMMYFUNCTION("""COMPUTED_VALUE"""),41671.0)</f>
        <v>41671</v>
      </c>
      <c r="C145" s="9">
        <f>IFERROR(__xludf.DUMMYFUNCTION("""COMPUTED_VALUE"""),100.9168)</f>
        <v>100.9168</v>
      </c>
      <c r="E145" s="11"/>
    </row>
    <row r="146">
      <c r="B146" s="11">
        <f>IFERROR(__xludf.DUMMYFUNCTION("""COMPUTED_VALUE"""),41640.0)</f>
        <v>41640</v>
      </c>
      <c r="C146" s="9">
        <f>IFERROR(__xludf.DUMMYFUNCTION("""COMPUTED_VALUE"""),100.1599)</f>
        <v>100.1599</v>
      </c>
      <c r="E146" s="11"/>
    </row>
    <row r="147">
      <c r="B147" s="11">
        <f>IFERROR(__xludf.DUMMYFUNCTION("""COMPUTED_VALUE"""),41609.0)</f>
        <v>41609</v>
      </c>
      <c r="C147" s="9">
        <f>IFERROR(__xludf.DUMMYFUNCTION("""COMPUTED_VALUE"""),100.5175)</f>
        <v>100.5175</v>
      </c>
      <c r="E147" s="11"/>
    </row>
    <row r="148">
      <c r="B148" s="11">
        <f>IFERROR(__xludf.DUMMYFUNCTION("""COMPUTED_VALUE"""),41579.0)</f>
        <v>41579</v>
      </c>
      <c r="C148" s="9">
        <f>IFERROR(__xludf.DUMMYFUNCTION("""COMPUTED_VALUE"""),100.3158)</f>
        <v>100.3158</v>
      </c>
      <c r="E148" s="11"/>
    </row>
    <row r="149">
      <c r="B149" s="11">
        <f>IFERROR(__xludf.DUMMYFUNCTION("""COMPUTED_VALUE"""),41548.0)</f>
        <v>41548</v>
      </c>
      <c r="C149" s="9">
        <f>IFERROR(__xludf.DUMMYFUNCTION("""COMPUTED_VALUE"""),100.082)</f>
        <v>100.082</v>
      </c>
      <c r="E149" s="11"/>
    </row>
    <row r="150">
      <c r="B150" s="11">
        <f>IFERROR(__xludf.DUMMYFUNCTION("""COMPUTED_VALUE"""),41518.0)</f>
        <v>41518</v>
      </c>
      <c r="C150" s="9">
        <f>IFERROR(__xludf.DUMMYFUNCTION("""COMPUTED_VALUE"""),100.161)</f>
        <v>100.161</v>
      </c>
      <c r="E150" s="11"/>
    </row>
    <row r="151">
      <c r="B151" s="11">
        <f>IFERROR(__xludf.DUMMYFUNCTION("""COMPUTED_VALUE"""),41487.0)</f>
        <v>41487</v>
      </c>
      <c r="C151" s="9">
        <f>IFERROR(__xludf.DUMMYFUNCTION("""COMPUTED_VALUE"""),99.6543)</f>
        <v>99.6543</v>
      </c>
      <c r="E151" s="11"/>
    </row>
    <row r="152">
      <c r="B152" s="11">
        <f>IFERROR(__xludf.DUMMYFUNCTION("""COMPUTED_VALUE"""),41456.0)</f>
        <v>41456</v>
      </c>
      <c r="C152" s="9">
        <f>IFERROR(__xludf.DUMMYFUNCTION("""COMPUTED_VALUE"""),99.0814)</f>
        <v>99.0814</v>
      </c>
      <c r="E152" s="11"/>
    </row>
    <row r="153">
      <c r="B153" s="11">
        <f>IFERROR(__xludf.DUMMYFUNCTION("""COMPUTED_VALUE"""),41426.0)</f>
        <v>41426</v>
      </c>
      <c r="C153" s="9">
        <f>IFERROR(__xludf.DUMMYFUNCTION("""COMPUTED_VALUE"""),99.3897)</f>
        <v>99.3897</v>
      </c>
      <c r="E153" s="11"/>
    </row>
    <row r="154">
      <c r="B154" s="11">
        <f>IFERROR(__xludf.DUMMYFUNCTION("""COMPUTED_VALUE"""),41395.0)</f>
        <v>41395</v>
      </c>
      <c r="C154" s="9">
        <f>IFERROR(__xludf.DUMMYFUNCTION("""COMPUTED_VALUE"""),99.1839)</f>
        <v>99.1839</v>
      </c>
      <c r="E154" s="11"/>
    </row>
    <row r="155">
      <c r="B155" s="11">
        <f>IFERROR(__xludf.DUMMYFUNCTION("""COMPUTED_VALUE"""),41365.0)</f>
        <v>41365</v>
      </c>
      <c r="C155" s="9">
        <f>IFERROR(__xludf.DUMMYFUNCTION("""COMPUTED_VALUE"""),99.1065)</f>
        <v>99.1065</v>
      </c>
      <c r="E155" s="11"/>
    </row>
    <row r="156">
      <c r="B156" s="11">
        <f>IFERROR(__xludf.DUMMYFUNCTION("""COMPUTED_VALUE"""),41334.0)</f>
        <v>41334</v>
      </c>
      <c r="C156" s="9">
        <f>IFERROR(__xludf.DUMMYFUNCTION("""COMPUTED_VALUE"""),99.1921)</f>
        <v>99.1921</v>
      </c>
      <c r="E156" s="11"/>
    </row>
    <row r="157">
      <c r="B157" s="11">
        <f>IFERROR(__xludf.DUMMYFUNCTION("""COMPUTED_VALUE"""),41306.0)</f>
        <v>41306</v>
      </c>
      <c r="C157" s="9">
        <f>IFERROR(__xludf.DUMMYFUNCTION("""COMPUTED_VALUE"""),98.7941)</f>
        <v>98.7941</v>
      </c>
      <c r="E157" s="11"/>
    </row>
    <row r="158">
      <c r="B158" s="11">
        <f>IFERROR(__xludf.DUMMYFUNCTION("""COMPUTED_VALUE"""),41275.0)</f>
        <v>41275</v>
      </c>
      <c r="C158" s="9">
        <f>IFERROR(__xludf.DUMMYFUNCTION("""COMPUTED_VALUE"""),98.3342)</f>
        <v>98.3342</v>
      </c>
      <c r="E158" s="11"/>
    </row>
    <row r="159">
      <c r="B159" s="11">
        <f>IFERROR(__xludf.DUMMYFUNCTION("""COMPUTED_VALUE"""),41244.0)</f>
        <v>41244</v>
      </c>
      <c r="C159" s="9">
        <f>IFERROR(__xludf.DUMMYFUNCTION("""COMPUTED_VALUE"""),98.3101)</f>
        <v>98.3101</v>
      </c>
      <c r="E159" s="11"/>
    </row>
    <row r="160">
      <c r="B160" s="11">
        <f>IFERROR(__xludf.DUMMYFUNCTION("""COMPUTED_VALUE"""),41214.0)</f>
        <v>41214</v>
      </c>
      <c r="C160" s="9">
        <f>IFERROR(__xludf.DUMMYFUNCTION("""COMPUTED_VALUE"""),98.0777)</f>
        <v>98.0777</v>
      </c>
      <c r="E160" s="11"/>
    </row>
    <row r="161">
      <c r="B161" s="11">
        <f>IFERROR(__xludf.DUMMYFUNCTION("""COMPUTED_VALUE"""),41183.0)</f>
        <v>41183</v>
      </c>
      <c r="C161" s="9">
        <f>IFERROR(__xludf.DUMMYFUNCTION("""COMPUTED_VALUE"""),97.7193)</f>
        <v>97.7193</v>
      </c>
      <c r="E161" s="11"/>
    </row>
    <row r="162">
      <c r="B162" s="11">
        <f>IFERROR(__xludf.DUMMYFUNCTION("""COMPUTED_VALUE"""),41153.0)</f>
        <v>41153</v>
      </c>
      <c r="C162" s="9">
        <f>IFERROR(__xludf.DUMMYFUNCTION("""COMPUTED_VALUE"""),97.381)</f>
        <v>97.381</v>
      </c>
      <c r="E162" s="11"/>
    </row>
    <row r="163">
      <c r="B163" s="11">
        <f>IFERROR(__xludf.DUMMYFUNCTION("""COMPUTED_VALUE"""),41122.0)</f>
        <v>41122</v>
      </c>
      <c r="C163" s="9">
        <f>IFERROR(__xludf.DUMMYFUNCTION("""COMPUTED_VALUE"""),97.4525)</f>
        <v>97.4525</v>
      </c>
      <c r="E163" s="11"/>
    </row>
    <row r="164">
      <c r="B164" s="11">
        <f>IFERROR(__xludf.DUMMYFUNCTION("""COMPUTED_VALUE"""),41091.0)</f>
        <v>41091</v>
      </c>
      <c r="C164" s="9">
        <f>IFERROR(__xludf.DUMMYFUNCTION("""COMPUTED_VALUE"""),97.8713)</f>
        <v>97.8713</v>
      </c>
      <c r="E164" s="11"/>
    </row>
    <row r="165">
      <c r="B165" s="11">
        <f>IFERROR(__xludf.DUMMYFUNCTION("""COMPUTED_VALUE"""),41061.0)</f>
        <v>41061</v>
      </c>
      <c r="C165" s="9">
        <f>IFERROR(__xludf.DUMMYFUNCTION("""COMPUTED_VALUE"""),97.6663)</f>
        <v>97.6663</v>
      </c>
      <c r="E165" s="11"/>
    </row>
    <row r="166">
      <c r="B166" s="11">
        <f>IFERROR(__xludf.DUMMYFUNCTION("""COMPUTED_VALUE"""),41030.0)</f>
        <v>41030</v>
      </c>
      <c r="C166" s="9">
        <f>IFERROR(__xludf.DUMMYFUNCTION("""COMPUTED_VALUE"""),97.6609)</f>
        <v>97.6609</v>
      </c>
      <c r="E166" s="11"/>
    </row>
    <row r="167">
      <c r="B167" s="11">
        <f>IFERROR(__xludf.DUMMYFUNCTION("""COMPUTED_VALUE"""),41000.0)</f>
        <v>41000</v>
      </c>
      <c r="C167" s="9">
        <f>IFERROR(__xludf.DUMMYFUNCTION("""COMPUTED_VALUE"""),97.4359)</f>
        <v>97.4359</v>
      </c>
      <c r="E167" s="11"/>
    </row>
    <row r="168">
      <c r="B168" s="11">
        <f>IFERROR(__xludf.DUMMYFUNCTION("""COMPUTED_VALUE"""),40969.0)</f>
        <v>40969</v>
      </c>
      <c r="C168" s="9">
        <f>IFERROR(__xludf.DUMMYFUNCTION("""COMPUTED_VALUE"""),96.74)</f>
        <v>96.74</v>
      </c>
      <c r="E168" s="11"/>
    </row>
    <row r="169">
      <c r="B169" s="11">
        <f>IFERROR(__xludf.DUMMYFUNCTION("""COMPUTED_VALUE"""),40940.0)</f>
        <v>40940</v>
      </c>
      <c r="C169" s="9">
        <f>IFERROR(__xludf.DUMMYFUNCTION("""COMPUTED_VALUE"""),97.2435)</f>
        <v>97.2435</v>
      </c>
      <c r="E169" s="11"/>
    </row>
    <row r="170">
      <c r="B170" s="11">
        <f>IFERROR(__xludf.DUMMYFUNCTION("""COMPUTED_VALUE"""),40909.0)</f>
        <v>40909</v>
      </c>
      <c r="C170" s="9">
        <f>IFERROR(__xludf.DUMMYFUNCTION("""COMPUTED_VALUE"""),96.9318)</f>
        <v>96.9318</v>
      </c>
      <c r="E170" s="11"/>
    </row>
    <row r="171">
      <c r="B171" s="11">
        <f>IFERROR(__xludf.DUMMYFUNCTION("""COMPUTED_VALUE"""),40878.0)</f>
        <v>40878</v>
      </c>
      <c r="C171" s="9">
        <f>IFERROR(__xludf.DUMMYFUNCTION("""COMPUTED_VALUE"""),96.3571)</f>
        <v>96.3571</v>
      </c>
      <c r="E171" s="11"/>
    </row>
    <row r="172">
      <c r="B172" s="11">
        <f>IFERROR(__xludf.DUMMYFUNCTION("""COMPUTED_VALUE"""),40848.0)</f>
        <v>40848</v>
      </c>
      <c r="C172" s="9">
        <f>IFERROR(__xludf.DUMMYFUNCTION("""COMPUTED_VALUE"""),95.8485)</f>
        <v>95.8485</v>
      </c>
      <c r="E172" s="11"/>
    </row>
    <row r="173">
      <c r="B173" s="11">
        <f>IFERROR(__xludf.DUMMYFUNCTION("""COMPUTED_VALUE"""),40817.0)</f>
        <v>40817</v>
      </c>
      <c r="C173" s="9">
        <f>IFERROR(__xludf.DUMMYFUNCTION("""COMPUTED_VALUE"""),95.8568)</f>
        <v>95.8568</v>
      </c>
      <c r="E173" s="11"/>
    </row>
    <row r="174">
      <c r="B174" s="11">
        <f>IFERROR(__xludf.DUMMYFUNCTION("""COMPUTED_VALUE"""),40787.0)</f>
        <v>40787</v>
      </c>
      <c r="C174" s="9">
        <f>IFERROR(__xludf.DUMMYFUNCTION("""COMPUTED_VALUE"""),95.1961)</f>
        <v>95.1961</v>
      </c>
      <c r="E174" s="11"/>
    </row>
    <row r="175">
      <c r="B175" s="11">
        <f>IFERROR(__xludf.DUMMYFUNCTION("""COMPUTED_VALUE"""),40756.0)</f>
        <v>40756</v>
      </c>
      <c r="C175" s="9">
        <f>IFERROR(__xludf.DUMMYFUNCTION("""COMPUTED_VALUE"""),95.2749)</f>
        <v>95.2749</v>
      </c>
      <c r="E175" s="11"/>
    </row>
    <row r="176">
      <c r="B176" s="11">
        <f>IFERROR(__xludf.DUMMYFUNCTION("""COMPUTED_VALUE"""),40725.0)</f>
        <v>40725</v>
      </c>
      <c r="C176" s="9">
        <f>IFERROR(__xludf.DUMMYFUNCTION("""COMPUTED_VALUE"""),94.636)</f>
        <v>94.636</v>
      </c>
      <c r="E176" s="11"/>
    </row>
    <row r="177">
      <c r="B177" s="11">
        <f>IFERROR(__xludf.DUMMYFUNCTION("""COMPUTED_VALUE"""),40695.0)</f>
        <v>40695</v>
      </c>
      <c r="C177" s="9">
        <f>IFERROR(__xludf.DUMMYFUNCTION("""COMPUTED_VALUE"""),94.172)</f>
        <v>94.172</v>
      </c>
      <c r="E177" s="11"/>
    </row>
    <row r="178">
      <c r="B178" s="11">
        <f>IFERROR(__xludf.DUMMYFUNCTION("""COMPUTED_VALUE"""),40664.0)</f>
        <v>40664</v>
      </c>
      <c r="C178" s="9">
        <f>IFERROR(__xludf.DUMMYFUNCTION("""COMPUTED_VALUE"""),93.888)</f>
        <v>93.888</v>
      </c>
      <c r="E178" s="11"/>
    </row>
    <row r="179">
      <c r="B179" s="11">
        <f>IFERROR(__xludf.DUMMYFUNCTION("""COMPUTED_VALUE"""),40634.0)</f>
        <v>40634</v>
      </c>
      <c r="C179" s="9">
        <f>IFERROR(__xludf.DUMMYFUNCTION("""COMPUTED_VALUE"""),93.7749)</f>
        <v>93.7749</v>
      </c>
      <c r="E179" s="11"/>
    </row>
    <row r="180">
      <c r="B180" s="11">
        <f>IFERROR(__xludf.DUMMYFUNCTION("""COMPUTED_VALUE"""),40603.0)</f>
        <v>40603</v>
      </c>
      <c r="C180" s="9">
        <f>IFERROR(__xludf.DUMMYFUNCTION("""COMPUTED_VALUE"""),94.0788)</f>
        <v>94.0788</v>
      </c>
      <c r="E180" s="11"/>
    </row>
    <row r="181">
      <c r="B181" s="11">
        <f>IFERROR(__xludf.DUMMYFUNCTION("""COMPUTED_VALUE"""),40575.0)</f>
        <v>40575</v>
      </c>
      <c r="C181" s="9">
        <f>IFERROR(__xludf.DUMMYFUNCTION("""COMPUTED_VALUE"""),93.1102)</f>
        <v>93.1102</v>
      </c>
      <c r="E181" s="11"/>
    </row>
    <row r="182">
      <c r="B182" s="11">
        <f>IFERROR(__xludf.DUMMYFUNCTION("""COMPUTED_VALUE"""),40544.0)</f>
        <v>40544</v>
      </c>
      <c r="C182" s="9">
        <f>IFERROR(__xludf.DUMMYFUNCTION("""COMPUTED_VALUE"""),93.4814)</f>
        <v>93.4814</v>
      </c>
      <c r="E182" s="11"/>
    </row>
    <row r="183">
      <c r="B183" s="11">
        <f>IFERROR(__xludf.DUMMYFUNCTION("""COMPUTED_VALUE"""),40513.0)</f>
        <v>40513</v>
      </c>
      <c r="C183" s="9">
        <f>IFERROR(__xludf.DUMMYFUNCTION("""COMPUTED_VALUE"""),93.6787)</f>
        <v>93.6787</v>
      </c>
      <c r="E183" s="11"/>
    </row>
    <row r="184">
      <c r="B184" s="11">
        <f>IFERROR(__xludf.DUMMYFUNCTION("""COMPUTED_VALUE"""),40483.0)</f>
        <v>40483</v>
      </c>
      <c r="C184" s="9">
        <f>IFERROR(__xludf.DUMMYFUNCTION("""COMPUTED_VALUE"""),92.7709)</f>
        <v>92.7709</v>
      </c>
      <c r="E184" s="11"/>
    </row>
    <row r="185">
      <c r="B185" s="11">
        <f>IFERROR(__xludf.DUMMYFUNCTION("""COMPUTED_VALUE"""),40452.0)</f>
        <v>40452</v>
      </c>
      <c r="C185" s="9">
        <f>IFERROR(__xludf.DUMMYFUNCTION("""COMPUTED_VALUE"""),92.6903)</f>
        <v>92.6903</v>
      </c>
      <c r="E185" s="11"/>
    </row>
    <row r="186">
      <c r="B186" s="11">
        <f>IFERROR(__xludf.DUMMYFUNCTION("""COMPUTED_VALUE"""),40422.0)</f>
        <v>40422</v>
      </c>
      <c r="C186" s="9">
        <f>IFERROR(__xludf.DUMMYFUNCTION("""COMPUTED_VALUE"""),92.9537)</f>
        <v>92.9537</v>
      </c>
      <c r="E186" s="11"/>
    </row>
    <row r="187">
      <c r="B187" s="11">
        <f>IFERROR(__xludf.DUMMYFUNCTION("""COMPUTED_VALUE"""),40391.0)</f>
        <v>40391</v>
      </c>
      <c r="C187" s="9">
        <f>IFERROR(__xludf.DUMMYFUNCTION("""COMPUTED_VALUE"""),92.6805)</f>
        <v>92.6805</v>
      </c>
      <c r="E187" s="11"/>
    </row>
    <row r="188">
      <c r="B188" s="11">
        <f>IFERROR(__xludf.DUMMYFUNCTION("""COMPUTED_VALUE"""),40360.0)</f>
        <v>40360</v>
      </c>
      <c r="C188" s="9">
        <f>IFERROR(__xludf.DUMMYFUNCTION("""COMPUTED_VALUE"""),92.3421)</f>
        <v>92.3421</v>
      </c>
      <c r="E188" s="11"/>
    </row>
    <row r="189">
      <c r="B189" s="11">
        <f>IFERROR(__xludf.DUMMYFUNCTION("""COMPUTED_VALUE"""),40330.0)</f>
        <v>40330</v>
      </c>
      <c r="C189" s="9">
        <f>IFERROR(__xludf.DUMMYFUNCTION("""COMPUTED_VALUE"""),91.9928)</f>
        <v>91.9928</v>
      </c>
      <c r="E189" s="11"/>
    </row>
    <row r="190">
      <c r="B190" s="11">
        <f>IFERROR(__xludf.DUMMYFUNCTION("""COMPUTED_VALUE"""),40299.0)</f>
        <v>40299</v>
      </c>
      <c r="C190" s="9">
        <f>IFERROR(__xludf.DUMMYFUNCTION("""COMPUTED_VALUE"""),91.823)</f>
        <v>91.823</v>
      </c>
      <c r="E190" s="11"/>
    </row>
    <row r="191">
      <c r="B191" s="11">
        <f>IFERROR(__xludf.DUMMYFUNCTION("""COMPUTED_VALUE"""),40269.0)</f>
        <v>40269</v>
      </c>
      <c r="C191" s="9">
        <f>IFERROR(__xludf.DUMMYFUNCTION("""COMPUTED_VALUE"""),90.5991)</f>
        <v>90.5991</v>
      </c>
      <c r="E191" s="11"/>
    </row>
    <row r="192">
      <c r="B192" s="11">
        <f>IFERROR(__xludf.DUMMYFUNCTION("""COMPUTED_VALUE"""),40238.0)</f>
        <v>40238</v>
      </c>
      <c r="C192" s="9">
        <f>IFERROR(__xludf.DUMMYFUNCTION("""COMPUTED_VALUE"""),90.2928)</f>
        <v>90.2928</v>
      </c>
      <c r="E192" s="11"/>
    </row>
    <row r="193">
      <c r="B193" s="11">
        <f>IFERROR(__xludf.DUMMYFUNCTION("""COMPUTED_VALUE"""),40210.0)</f>
        <v>40210</v>
      </c>
      <c r="C193" s="9">
        <f>IFERROR(__xludf.DUMMYFUNCTION("""COMPUTED_VALUE"""),89.6779)</f>
        <v>89.6779</v>
      </c>
      <c r="E193" s="11"/>
    </row>
    <row r="194">
      <c r="B194" s="11">
        <f>IFERROR(__xludf.DUMMYFUNCTION("""COMPUTED_VALUE"""),40179.0)</f>
        <v>40179</v>
      </c>
      <c r="C194" s="9">
        <f>IFERROR(__xludf.DUMMYFUNCTION("""COMPUTED_VALUE"""),89.3426)</f>
        <v>89.3426</v>
      </c>
      <c r="E194" s="11"/>
    </row>
    <row r="195">
      <c r="B195" s="11">
        <f>IFERROR(__xludf.DUMMYFUNCTION("""COMPUTED_VALUE"""),40148.0)</f>
        <v>40148</v>
      </c>
      <c r="C195" s="9">
        <f>IFERROR(__xludf.DUMMYFUNCTION("""COMPUTED_VALUE"""),88.3793)</f>
        <v>88.3793</v>
      </c>
      <c r="E195" s="11"/>
    </row>
    <row r="196">
      <c r="B196" s="11">
        <f>IFERROR(__xludf.DUMMYFUNCTION("""COMPUTED_VALUE"""),40118.0)</f>
        <v>40118</v>
      </c>
      <c r="C196" s="9">
        <f>IFERROR(__xludf.DUMMYFUNCTION("""COMPUTED_VALUE"""),88.0221)</f>
        <v>88.0221</v>
      </c>
      <c r="E196" s="11"/>
    </row>
    <row r="197">
      <c r="B197" s="11">
        <f>IFERROR(__xludf.DUMMYFUNCTION("""COMPUTED_VALUE"""),40087.0)</f>
        <v>40087</v>
      </c>
      <c r="C197" s="9">
        <f>IFERROR(__xludf.DUMMYFUNCTION("""COMPUTED_VALUE"""),87.6419)</f>
        <v>87.6419</v>
      </c>
      <c r="E197" s="11"/>
    </row>
    <row r="198">
      <c r="B198" s="11">
        <f>IFERROR(__xludf.DUMMYFUNCTION("""COMPUTED_VALUE"""),40057.0)</f>
        <v>40057</v>
      </c>
      <c r="C198" s="9">
        <f>IFERROR(__xludf.DUMMYFUNCTION("""COMPUTED_VALUE"""),87.4063)</f>
        <v>87.4063</v>
      </c>
      <c r="E198" s="11"/>
    </row>
    <row r="199">
      <c r="B199" s="11">
        <f>IFERROR(__xludf.DUMMYFUNCTION("""COMPUTED_VALUE"""),40026.0)</f>
        <v>40026</v>
      </c>
      <c r="C199" s="9">
        <f>IFERROR(__xludf.DUMMYFUNCTION("""COMPUTED_VALUE"""),86.6426)</f>
        <v>86.6426</v>
      </c>
      <c r="E199" s="11"/>
    </row>
    <row r="200">
      <c r="B200" s="11">
        <f>IFERROR(__xludf.DUMMYFUNCTION("""COMPUTED_VALUE"""),39995.0)</f>
        <v>39995</v>
      </c>
      <c r="C200" s="9">
        <f>IFERROR(__xludf.DUMMYFUNCTION("""COMPUTED_VALUE"""),85.7027)</f>
        <v>85.7027</v>
      </c>
      <c r="E200" s="11"/>
    </row>
    <row r="201">
      <c r="B201" s="11">
        <f>IFERROR(__xludf.DUMMYFUNCTION("""COMPUTED_VALUE"""),39965.0)</f>
        <v>39965</v>
      </c>
      <c r="C201" s="9">
        <f>IFERROR(__xludf.DUMMYFUNCTION("""COMPUTED_VALUE"""),84.7459)</f>
        <v>84.7459</v>
      </c>
      <c r="E201" s="11"/>
    </row>
    <row r="202">
      <c r="B202" s="11">
        <f>IFERROR(__xludf.DUMMYFUNCTION("""COMPUTED_VALUE"""),39934.0)</f>
        <v>39934</v>
      </c>
      <c r="C202" s="9">
        <f>IFERROR(__xludf.DUMMYFUNCTION("""COMPUTED_VALUE"""),85.0665)</f>
        <v>85.0665</v>
      </c>
      <c r="E202" s="11"/>
    </row>
    <row r="203">
      <c r="B203" s="11">
        <f>IFERROR(__xludf.DUMMYFUNCTION("""COMPUTED_VALUE"""),39904.0)</f>
        <v>39904</v>
      </c>
      <c r="C203" s="9">
        <f>IFERROR(__xludf.DUMMYFUNCTION("""COMPUTED_VALUE"""),85.9344)</f>
        <v>85.9344</v>
      </c>
      <c r="E203" s="11"/>
    </row>
    <row r="204">
      <c r="B204" s="11">
        <f>IFERROR(__xludf.DUMMYFUNCTION("""COMPUTED_VALUE"""),39873.0)</f>
        <v>39873</v>
      </c>
      <c r="C204" s="9">
        <f>IFERROR(__xludf.DUMMYFUNCTION("""COMPUTED_VALUE"""),86.6528)</f>
        <v>86.6528</v>
      </c>
      <c r="E204" s="11"/>
    </row>
    <row r="205">
      <c r="B205" s="11">
        <f>IFERROR(__xludf.DUMMYFUNCTION("""COMPUTED_VALUE"""),39845.0)</f>
        <v>39845</v>
      </c>
      <c r="C205" s="9">
        <f>IFERROR(__xludf.DUMMYFUNCTION("""COMPUTED_VALUE"""),88.031)</f>
        <v>88.031</v>
      </c>
      <c r="E205" s="11"/>
    </row>
    <row r="206">
      <c r="B206" s="11">
        <f>IFERROR(__xludf.DUMMYFUNCTION("""COMPUTED_VALUE"""),39814.0)</f>
        <v>39814</v>
      </c>
      <c r="C206" s="9">
        <f>IFERROR(__xludf.DUMMYFUNCTION("""COMPUTED_VALUE"""),88.57)</f>
        <v>88.57</v>
      </c>
      <c r="E206" s="11"/>
    </row>
    <row r="207">
      <c r="B207" s="11">
        <f>IFERROR(__xludf.DUMMYFUNCTION("""COMPUTED_VALUE"""),39783.0)</f>
        <v>39783</v>
      </c>
      <c r="C207" s="9">
        <f>IFERROR(__xludf.DUMMYFUNCTION("""COMPUTED_VALUE"""),90.8357)</f>
        <v>90.8357</v>
      </c>
      <c r="E207" s="11"/>
    </row>
    <row r="208">
      <c r="B208" s="11">
        <f>IFERROR(__xludf.DUMMYFUNCTION("""COMPUTED_VALUE"""),39753.0)</f>
        <v>39753</v>
      </c>
      <c r="C208" s="9">
        <f>IFERROR(__xludf.DUMMYFUNCTION("""COMPUTED_VALUE"""),93.4715)</f>
        <v>93.4715</v>
      </c>
      <c r="E208" s="11"/>
    </row>
    <row r="209">
      <c r="B209" s="11">
        <f>IFERROR(__xludf.DUMMYFUNCTION("""COMPUTED_VALUE"""),39722.0)</f>
        <v>39722</v>
      </c>
      <c r="C209" s="9">
        <f>IFERROR(__xludf.DUMMYFUNCTION("""COMPUTED_VALUE"""),94.7219)</f>
        <v>94.7219</v>
      </c>
      <c r="E209" s="11"/>
    </row>
    <row r="210">
      <c r="B210" s="11">
        <f>IFERROR(__xludf.DUMMYFUNCTION("""COMPUTED_VALUE"""),39692.0)</f>
        <v>39692</v>
      </c>
      <c r="C210" s="9">
        <f>IFERROR(__xludf.DUMMYFUNCTION("""COMPUTED_VALUE"""),93.7895)</f>
        <v>93.7895</v>
      </c>
      <c r="E210" s="11"/>
    </row>
    <row r="211">
      <c r="B211" s="11">
        <f>IFERROR(__xludf.DUMMYFUNCTION("""COMPUTED_VALUE"""),39661.0)</f>
        <v>39661</v>
      </c>
      <c r="C211" s="9">
        <f>IFERROR(__xludf.DUMMYFUNCTION("""COMPUTED_VALUE"""),98.1111)</f>
        <v>98.1111</v>
      </c>
      <c r="E211" s="11"/>
    </row>
    <row r="212">
      <c r="B212" s="11">
        <f>IFERROR(__xludf.DUMMYFUNCTION("""COMPUTED_VALUE"""),39630.0)</f>
        <v>39630</v>
      </c>
      <c r="C212" s="9">
        <f>IFERROR(__xludf.DUMMYFUNCTION("""COMPUTED_VALUE"""),99.676)</f>
        <v>99.676</v>
      </c>
      <c r="E212" s="11"/>
    </row>
    <row r="213">
      <c r="B213" s="11">
        <f>IFERROR(__xludf.DUMMYFUNCTION("""COMPUTED_VALUE"""),39600.0)</f>
        <v>39600</v>
      </c>
      <c r="C213" s="9">
        <f>IFERROR(__xludf.DUMMYFUNCTION("""COMPUTED_VALUE"""),100.0335)</f>
        <v>100.0335</v>
      </c>
      <c r="E213" s="11"/>
    </row>
    <row r="214">
      <c r="B214" s="11">
        <f>IFERROR(__xludf.DUMMYFUNCTION("""COMPUTED_VALUE"""),39569.0)</f>
        <v>39569</v>
      </c>
      <c r="C214" s="9">
        <f>IFERROR(__xludf.DUMMYFUNCTION("""COMPUTED_VALUE"""),100.2674)</f>
        <v>100.2674</v>
      </c>
      <c r="E214" s="11"/>
    </row>
    <row r="215">
      <c r="B215" s="11">
        <f>IFERROR(__xludf.DUMMYFUNCTION("""COMPUTED_VALUE"""),39539.0)</f>
        <v>39539</v>
      </c>
      <c r="C215" s="9">
        <f>IFERROR(__xludf.DUMMYFUNCTION("""COMPUTED_VALUE"""),100.8785)</f>
        <v>100.8785</v>
      </c>
      <c r="E215" s="11"/>
    </row>
    <row r="216">
      <c r="B216" s="11">
        <f>IFERROR(__xludf.DUMMYFUNCTION("""COMPUTED_VALUE"""),39508.0)</f>
        <v>39508</v>
      </c>
      <c r="C216" s="9">
        <f>IFERROR(__xludf.DUMMYFUNCTION("""COMPUTED_VALUE"""),101.5336)</f>
        <v>101.5336</v>
      </c>
      <c r="E216" s="11"/>
    </row>
    <row r="217">
      <c r="B217" s="11">
        <f>IFERROR(__xludf.DUMMYFUNCTION("""COMPUTED_VALUE"""),39479.0)</f>
        <v>39479</v>
      </c>
      <c r="C217" s="9">
        <f>IFERROR(__xludf.DUMMYFUNCTION("""COMPUTED_VALUE"""),101.8438)</f>
        <v>101.8438</v>
      </c>
      <c r="E217" s="11"/>
    </row>
    <row r="218">
      <c r="B218" s="11">
        <f>IFERROR(__xludf.DUMMYFUNCTION("""COMPUTED_VALUE"""),39448.0)</f>
        <v>39448</v>
      </c>
      <c r="C218" s="9">
        <f>IFERROR(__xludf.DUMMYFUNCTION("""COMPUTED_VALUE"""),102.2448)</f>
        <v>102.2448</v>
      </c>
      <c r="E218" s="11"/>
    </row>
    <row r="219">
      <c r="B219" s="11">
        <f>IFERROR(__xludf.DUMMYFUNCTION("""COMPUTED_VALUE"""),39417.0)</f>
        <v>39417</v>
      </c>
      <c r="C219" s="9">
        <f>IFERROR(__xludf.DUMMYFUNCTION("""COMPUTED_VALUE"""),102.3803)</f>
        <v>102.3803</v>
      </c>
      <c r="E219" s="11"/>
    </row>
    <row r="220">
      <c r="B220" s="11">
        <f>IFERROR(__xludf.DUMMYFUNCTION("""COMPUTED_VALUE"""),39387.0)</f>
        <v>39387</v>
      </c>
      <c r="C220" s="9">
        <f>IFERROR(__xludf.DUMMYFUNCTION("""COMPUTED_VALUE"""),102.3446)</f>
        <v>102.3446</v>
      </c>
      <c r="E220" s="11"/>
    </row>
    <row r="221">
      <c r="B221" s="11">
        <f>IFERROR(__xludf.DUMMYFUNCTION("""COMPUTED_VALUE"""),39356.0)</f>
        <v>39356</v>
      </c>
      <c r="C221" s="9">
        <f>IFERROR(__xludf.DUMMYFUNCTION("""COMPUTED_VALUE"""),101.8015)</f>
        <v>101.8015</v>
      </c>
      <c r="E221" s="11"/>
    </row>
    <row r="222">
      <c r="B222" s="11">
        <f>IFERROR(__xludf.DUMMYFUNCTION("""COMPUTED_VALUE"""),39326.0)</f>
        <v>39326</v>
      </c>
      <c r="C222" s="9">
        <f>IFERROR(__xludf.DUMMYFUNCTION("""COMPUTED_VALUE"""),102.0894)</f>
        <v>102.0894</v>
      </c>
      <c r="E222" s="11"/>
    </row>
    <row r="223">
      <c r="B223" s="11">
        <f>IFERROR(__xludf.DUMMYFUNCTION("""COMPUTED_VALUE"""),39295.0)</f>
        <v>39295</v>
      </c>
      <c r="C223" s="9">
        <f>IFERROR(__xludf.DUMMYFUNCTION("""COMPUTED_VALUE"""),101.863)</f>
        <v>101.863</v>
      </c>
      <c r="E223" s="11"/>
    </row>
    <row r="224">
      <c r="B224" s="11">
        <f>IFERROR(__xludf.DUMMYFUNCTION("""COMPUTED_VALUE"""),39264.0)</f>
        <v>39264</v>
      </c>
      <c r="C224" s="9">
        <f>IFERROR(__xludf.DUMMYFUNCTION("""COMPUTED_VALUE"""),101.6672)</f>
        <v>101.6672</v>
      </c>
      <c r="E224" s="11"/>
    </row>
    <row r="225">
      <c r="B225" s="11">
        <f>IFERROR(__xludf.DUMMYFUNCTION("""COMPUTED_VALUE"""),39234.0)</f>
        <v>39234</v>
      </c>
      <c r="C225" s="9">
        <f>IFERROR(__xludf.DUMMYFUNCTION("""COMPUTED_VALUE"""),101.7893)</f>
        <v>101.7893</v>
      </c>
      <c r="E225" s="11"/>
    </row>
    <row r="226">
      <c r="B226" s="11">
        <f>IFERROR(__xludf.DUMMYFUNCTION("""COMPUTED_VALUE"""),39203.0)</f>
        <v>39203</v>
      </c>
      <c r="C226" s="9">
        <f>IFERROR(__xludf.DUMMYFUNCTION("""COMPUTED_VALUE"""),101.7306)</f>
        <v>101.7306</v>
      </c>
      <c r="E226" s="11"/>
    </row>
    <row r="227">
      <c r="B227" s="11">
        <f>IFERROR(__xludf.DUMMYFUNCTION("""COMPUTED_VALUE"""),39173.0)</f>
        <v>39173</v>
      </c>
      <c r="C227" s="9">
        <f>IFERROR(__xludf.DUMMYFUNCTION("""COMPUTED_VALUE"""),101.6334)</f>
        <v>101.6334</v>
      </c>
      <c r="E227" s="11"/>
    </row>
    <row r="228">
      <c r="B228" s="11">
        <f>IFERROR(__xludf.DUMMYFUNCTION("""COMPUTED_VALUE"""),39142.0)</f>
        <v>39142</v>
      </c>
      <c r="C228" s="9">
        <f>IFERROR(__xludf.DUMMYFUNCTION("""COMPUTED_VALUE"""),100.9547)</f>
        <v>100.9547</v>
      </c>
      <c r="E228" s="11"/>
    </row>
    <row r="229">
      <c r="B229" s="11">
        <f>IFERROR(__xludf.DUMMYFUNCTION("""COMPUTED_VALUE"""),39114.0)</f>
        <v>39114</v>
      </c>
      <c r="C229" s="9">
        <f>IFERROR(__xludf.DUMMYFUNCTION("""COMPUTED_VALUE"""),100.7753)</f>
        <v>100.7753</v>
      </c>
      <c r="E229" s="11"/>
    </row>
    <row r="230">
      <c r="B230" s="11">
        <f>IFERROR(__xludf.DUMMYFUNCTION("""COMPUTED_VALUE"""),39083.0)</f>
        <v>39083</v>
      </c>
      <c r="C230" s="9">
        <f>IFERROR(__xludf.DUMMYFUNCTION("""COMPUTED_VALUE"""),99.8346)</f>
        <v>99.8346</v>
      </c>
      <c r="E230" s="11"/>
    </row>
    <row r="231">
      <c r="B231" s="11">
        <f>IFERROR(__xludf.DUMMYFUNCTION("""COMPUTED_VALUE"""),39052.0)</f>
        <v>39052</v>
      </c>
      <c r="C231" s="9">
        <f>IFERROR(__xludf.DUMMYFUNCTION("""COMPUTED_VALUE"""),100.1735)</f>
        <v>100.1735</v>
      </c>
      <c r="E231" s="11"/>
    </row>
    <row r="232">
      <c r="B232" s="11">
        <f>IFERROR(__xludf.DUMMYFUNCTION("""COMPUTED_VALUE"""),39022.0)</f>
        <v>39022</v>
      </c>
      <c r="C232" s="9">
        <f>IFERROR(__xludf.DUMMYFUNCTION("""COMPUTED_VALUE"""),99.1627)</f>
        <v>99.1627</v>
      </c>
      <c r="E232" s="11"/>
    </row>
    <row r="233">
      <c r="B233" s="11">
        <f>IFERROR(__xludf.DUMMYFUNCTION("""COMPUTED_VALUE"""),38991.0)</f>
        <v>38991</v>
      </c>
      <c r="C233" s="9">
        <f>IFERROR(__xludf.DUMMYFUNCTION("""COMPUTED_VALUE"""),99.2044)</f>
        <v>99.2044</v>
      </c>
      <c r="E233" s="11"/>
    </row>
    <row r="234">
      <c r="B234" s="11">
        <f>IFERROR(__xludf.DUMMYFUNCTION("""COMPUTED_VALUE"""),38961.0)</f>
        <v>38961</v>
      </c>
      <c r="C234" s="9">
        <f>IFERROR(__xludf.DUMMYFUNCTION("""COMPUTED_VALUE"""),99.3183)</f>
        <v>99.3183</v>
      </c>
      <c r="E234" s="11"/>
    </row>
    <row r="235">
      <c r="B235" s="11">
        <f>IFERROR(__xludf.DUMMYFUNCTION("""COMPUTED_VALUE"""),38930.0)</f>
        <v>38930</v>
      </c>
      <c r="C235" s="9">
        <f>IFERROR(__xludf.DUMMYFUNCTION("""COMPUTED_VALUE"""),99.4836)</f>
        <v>99.4836</v>
      </c>
      <c r="E235" s="11"/>
    </row>
    <row r="236">
      <c r="B236" s="11">
        <f>IFERROR(__xludf.DUMMYFUNCTION("""COMPUTED_VALUE"""),38899.0)</f>
        <v>38899</v>
      </c>
      <c r="C236" s="9">
        <f>IFERROR(__xludf.DUMMYFUNCTION("""COMPUTED_VALUE"""),99.0489)</f>
        <v>99.0489</v>
      </c>
      <c r="E236" s="11"/>
    </row>
    <row r="237">
      <c r="B237" s="11">
        <f>IFERROR(__xludf.DUMMYFUNCTION("""COMPUTED_VALUE"""),38869.0)</f>
        <v>38869</v>
      </c>
      <c r="C237" s="9">
        <f>IFERROR(__xludf.DUMMYFUNCTION("""COMPUTED_VALUE"""),99.0997)</f>
        <v>99.0997</v>
      </c>
      <c r="E237" s="11"/>
    </row>
    <row r="238">
      <c r="B238" s="11">
        <f>IFERROR(__xludf.DUMMYFUNCTION("""COMPUTED_VALUE"""),38838.0)</f>
        <v>38838</v>
      </c>
      <c r="C238" s="9">
        <f>IFERROR(__xludf.DUMMYFUNCTION("""COMPUTED_VALUE"""),98.7869)</f>
        <v>98.7869</v>
      </c>
      <c r="E238" s="11"/>
    </row>
    <row r="239">
      <c r="B239" s="11">
        <f>IFERROR(__xludf.DUMMYFUNCTION("""COMPUTED_VALUE"""),38808.0)</f>
        <v>38808</v>
      </c>
      <c r="C239" s="9">
        <f>IFERROR(__xludf.DUMMYFUNCTION("""COMPUTED_VALUE"""),98.7618)</f>
        <v>98.7618</v>
      </c>
      <c r="E239" s="11"/>
    </row>
    <row r="240">
      <c r="B240" s="11">
        <f>IFERROR(__xludf.DUMMYFUNCTION("""COMPUTED_VALUE"""),38777.0)</f>
        <v>38777</v>
      </c>
      <c r="C240" s="9">
        <f>IFERROR(__xludf.DUMMYFUNCTION("""COMPUTED_VALUE"""),98.4628)</f>
        <v>98.4628</v>
      </c>
      <c r="E240" s="11"/>
    </row>
    <row r="241">
      <c r="B241" s="11">
        <f>IFERROR(__xludf.DUMMYFUNCTION("""COMPUTED_VALUE"""),38749.0)</f>
        <v>38749</v>
      </c>
      <c r="C241" s="9">
        <f>IFERROR(__xludf.DUMMYFUNCTION("""COMPUTED_VALUE"""),98.2413)</f>
        <v>98.2413</v>
      </c>
      <c r="E241" s="11"/>
    </row>
    <row r="242">
      <c r="B242" s="11">
        <f>IFERROR(__xludf.DUMMYFUNCTION("""COMPUTED_VALUE"""),38718.0)</f>
        <v>38718</v>
      </c>
      <c r="C242" s="9">
        <f>IFERROR(__xludf.DUMMYFUNCTION("""COMPUTED_VALUE"""),98.1999)</f>
        <v>98.1999</v>
      </c>
      <c r="E242" s="11"/>
    </row>
    <row r="243">
      <c r="B243" s="11">
        <f>IFERROR(__xludf.DUMMYFUNCTION("""COMPUTED_VALUE"""),38687.0)</f>
        <v>38687</v>
      </c>
      <c r="C243" s="9">
        <f>IFERROR(__xludf.DUMMYFUNCTION("""COMPUTED_VALUE"""),98.0452)</f>
        <v>98.0452</v>
      </c>
      <c r="E243" s="11"/>
    </row>
    <row r="244">
      <c r="B244" s="11">
        <f>IFERROR(__xludf.DUMMYFUNCTION("""COMPUTED_VALUE"""),38657.0)</f>
        <v>38657</v>
      </c>
      <c r="C244" s="9">
        <f>IFERROR(__xludf.DUMMYFUNCTION("""COMPUTED_VALUE"""),97.5414)</f>
        <v>97.5414</v>
      </c>
      <c r="E244" s="11"/>
    </row>
    <row r="245">
      <c r="B245" s="11">
        <f>IFERROR(__xludf.DUMMYFUNCTION("""COMPUTED_VALUE"""),38626.0)</f>
        <v>38626</v>
      </c>
      <c r="C245" s="9">
        <f>IFERROR(__xludf.DUMMYFUNCTION("""COMPUTED_VALUE"""),96.4572)</f>
        <v>96.4572</v>
      </c>
      <c r="E245" s="11"/>
    </row>
    <row r="246">
      <c r="B246" s="11">
        <f>IFERROR(__xludf.DUMMYFUNCTION("""COMPUTED_VALUE"""),38596.0)</f>
        <v>38596</v>
      </c>
      <c r="C246" s="9">
        <f>IFERROR(__xludf.DUMMYFUNCTION("""COMPUTED_VALUE"""),95.3005)</f>
        <v>95.3005</v>
      </c>
      <c r="E246" s="11"/>
    </row>
    <row r="247">
      <c r="B247" s="11">
        <f>IFERROR(__xludf.DUMMYFUNCTION("""COMPUTED_VALUE"""),38565.0)</f>
        <v>38565</v>
      </c>
      <c r="C247" s="9">
        <f>IFERROR(__xludf.DUMMYFUNCTION("""COMPUTED_VALUE"""),97.1833)</f>
        <v>97.1833</v>
      </c>
      <c r="E247" s="11"/>
    </row>
    <row r="248">
      <c r="B248" s="11">
        <f>IFERROR(__xludf.DUMMYFUNCTION("""COMPUTED_VALUE"""),38534.0)</f>
        <v>38534</v>
      </c>
      <c r="C248" s="9">
        <f>IFERROR(__xludf.DUMMYFUNCTION("""COMPUTED_VALUE"""),96.8676)</f>
        <v>96.8676</v>
      </c>
      <c r="E248" s="11"/>
    </row>
    <row r="249">
      <c r="B249" s="11">
        <f>IFERROR(__xludf.DUMMYFUNCTION("""COMPUTED_VALUE"""),38504.0)</f>
        <v>38504</v>
      </c>
      <c r="C249" s="9">
        <f>IFERROR(__xludf.DUMMYFUNCTION("""COMPUTED_VALUE"""),97.1753)</f>
        <v>97.1753</v>
      </c>
      <c r="E249" s="11"/>
    </row>
    <row r="250">
      <c r="B250" s="11">
        <f>IFERROR(__xludf.DUMMYFUNCTION("""COMPUTED_VALUE"""),38473.0)</f>
        <v>38473</v>
      </c>
      <c r="C250" s="9">
        <f>IFERROR(__xludf.DUMMYFUNCTION("""COMPUTED_VALUE"""),96.7402)</f>
        <v>96.7402</v>
      </c>
      <c r="E250" s="11"/>
    </row>
    <row r="251">
      <c r="B251" s="11">
        <f>IFERROR(__xludf.DUMMYFUNCTION("""COMPUTED_VALUE"""),38443.0)</f>
        <v>38443</v>
      </c>
      <c r="C251" s="9">
        <f>IFERROR(__xludf.DUMMYFUNCTION("""COMPUTED_VALUE"""),96.6532)</f>
        <v>96.6532</v>
      </c>
      <c r="E251" s="11"/>
    </row>
    <row r="252">
      <c r="B252" s="11">
        <f>IFERROR(__xludf.DUMMYFUNCTION("""COMPUTED_VALUE"""),38412.0)</f>
        <v>38412</v>
      </c>
      <c r="C252" s="9">
        <f>IFERROR(__xludf.DUMMYFUNCTION("""COMPUTED_VALUE"""),96.4456)</f>
        <v>96.4456</v>
      </c>
      <c r="E252" s="11"/>
    </row>
    <row r="253">
      <c r="B253" s="11">
        <f>IFERROR(__xludf.DUMMYFUNCTION("""COMPUTED_VALUE"""),38384.0)</f>
        <v>38384</v>
      </c>
      <c r="C253" s="9">
        <f>IFERROR(__xludf.DUMMYFUNCTION("""COMPUTED_VALUE"""),96.5761)</f>
        <v>96.5761</v>
      </c>
      <c r="E253" s="11"/>
    </row>
    <row r="254">
      <c r="B254" s="11">
        <f>IFERROR(__xludf.DUMMYFUNCTION("""COMPUTED_VALUE"""),38353.0)</f>
        <v>38353</v>
      </c>
      <c r="C254" s="9">
        <f>IFERROR(__xludf.DUMMYFUNCTION("""COMPUTED_VALUE"""),95.8801)</f>
        <v>95.8801</v>
      </c>
      <c r="E254" s="11"/>
    </row>
    <row r="255">
      <c r="B255" s="11">
        <f>IFERROR(__xludf.DUMMYFUNCTION("""COMPUTED_VALUE"""),38322.0)</f>
        <v>38322</v>
      </c>
      <c r="C255" s="9">
        <f>IFERROR(__xludf.DUMMYFUNCTION("""COMPUTED_VALUE"""),95.5365)</f>
        <v>95.5365</v>
      </c>
      <c r="E255" s="11"/>
    </row>
    <row r="256">
      <c r="B256" s="11">
        <f>IFERROR(__xludf.DUMMYFUNCTION("""COMPUTED_VALUE"""),38292.0)</f>
        <v>38292</v>
      </c>
      <c r="C256" s="9">
        <f>IFERROR(__xludf.DUMMYFUNCTION("""COMPUTED_VALUE"""),94.7813)</f>
        <v>94.7813</v>
      </c>
      <c r="E256" s="11"/>
    </row>
    <row r="257">
      <c r="B257" s="11">
        <f>IFERROR(__xludf.DUMMYFUNCTION("""COMPUTED_VALUE"""),38261.0)</f>
        <v>38261</v>
      </c>
      <c r="C257" s="9">
        <f>IFERROR(__xludf.DUMMYFUNCTION("""COMPUTED_VALUE"""),94.5465)</f>
        <v>94.5465</v>
      </c>
      <c r="E257" s="11"/>
    </row>
    <row r="258">
      <c r="B258" s="11">
        <f>IFERROR(__xludf.DUMMYFUNCTION("""COMPUTED_VALUE"""),38231.0)</f>
        <v>38231</v>
      </c>
      <c r="C258" s="9">
        <f>IFERROR(__xludf.DUMMYFUNCTION("""COMPUTED_VALUE"""),93.7467)</f>
        <v>93.7467</v>
      </c>
      <c r="E258" s="11"/>
    </row>
    <row r="259">
      <c r="B259" s="11">
        <f>IFERROR(__xludf.DUMMYFUNCTION("""COMPUTED_VALUE"""),38200.0)</f>
        <v>38200</v>
      </c>
      <c r="C259" s="9">
        <f>IFERROR(__xludf.DUMMYFUNCTION("""COMPUTED_VALUE"""),93.6277)</f>
        <v>93.6277</v>
      </c>
      <c r="E259" s="11"/>
    </row>
    <row r="260">
      <c r="B260" s="11">
        <f>IFERROR(__xludf.DUMMYFUNCTION("""COMPUTED_VALUE"""),38169.0)</f>
        <v>38169</v>
      </c>
      <c r="C260" s="9">
        <f>IFERROR(__xludf.DUMMYFUNCTION("""COMPUTED_VALUE"""),93.5649)</f>
        <v>93.5649</v>
      </c>
      <c r="E260" s="11"/>
    </row>
    <row r="261">
      <c r="B261" s="11">
        <f>IFERROR(__xludf.DUMMYFUNCTION("""COMPUTED_VALUE"""),38139.0)</f>
        <v>38139</v>
      </c>
      <c r="C261" s="9">
        <f>IFERROR(__xludf.DUMMYFUNCTION("""COMPUTED_VALUE"""),92.871)</f>
        <v>92.871</v>
      </c>
      <c r="E261" s="11"/>
    </row>
    <row r="262">
      <c r="B262" s="11">
        <f>IFERROR(__xludf.DUMMYFUNCTION("""COMPUTED_VALUE"""),38108.0)</f>
        <v>38108</v>
      </c>
      <c r="C262" s="9">
        <f>IFERROR(__xludf.DUMMYFUNCTION("""COMPUTED_VALUE"""),93.6013)</f>
        <v>93.6013</v>
      </c>
      <c r="E262" s="11"/>
    </row>
    <row r="263">
      <c r="B263" s="11">
        <f>IFERROR(__xludf.DUMMYFUNCTION("""COMPUTED_VALUE"""),38078.0)</f>
        <v>38078</v>
      </c>
      <c r="C263" s="9">
        <f>IFERROR(__xludf.DUMMYFUNCTION("""COMPUTED_VALUE"""),92.93)</f>
        <v>92.93</v>
      </c>
      <c r="E263" s="11"/>
    </row>
    <row r="264">
      <c r="B264" s="11">
        <f>IFERROR(__xludf.DUMMYFUNCTION("""COMPUTED_VALUE"""),38047.0)</f>
        <v>38047</v>
      </c>
      <c r="C264" s="9">
        <f>IFERROR(__xludf.DUMMYFUNCTION("""COMPUTED_VALUE"""),92.5861)</f>
        <v>92.5861</v>
      </c>
      <c r="E264" s="11"/>
    </row>
    <row r="265">
      <c r="B265" s="11">
        <f>IFERROR(__xludf.DUMMYFUNCTION("""COMPUTED_VALUE"""),38018.0)</f>
        <v>38018</v>
      </c>
      <c r="C265" s="9">
        <f>IFERROR(__xludf.DUMMYFUNCTION("""COMPUTED_VALUE"""),92.958)</f>
        <v>92.958</v>
      </c>
      <c r="E265" s="11"/>
    </row>
    <row r="266">
      <c r="B266" s="11">
        <f>IFERROR(__xludf.DUMMYFUNCTION("""COMPUTED_VALUE"""),37987.0)</f>
        <v>37987</v>
      </c>
      <c r="C266" s="9">
        <f>IFERROR(__xludf.DUMMYFUNCTION("""COMPUTED_VALUE"""),92.4006)</f>
        <v>92.4006</v>
      </c>
      <c r="E266" s="11"/>
    </row>
    <row r="267">
      <c r="B267" s="11">
        <f>IFERROR(__xludf.DUMMYFUNCTION("""COMPUTED_VALUE"""),37956.0)</f>
        <v>37956</v>
      </c>
      <c r="C267" s="9">
        <f>IFERROR(__xludf.DUMMYFUNCTION("""COMPUTED_VALUE"""),92.2602)</f>
        <v>92.2602</v>
      </c>
      <c r="E267" s="11"/>
    </row>
    <row r="268">
      <c r="B268" s="11">
        <f>IFERROR(__xludf.DUMMYFUNCTION("""COMPUTED_VALUE"""),37926.0)</f>
        <v>37926</v>
      </c>
      <c r="C268" s="9">
        <f>IFERROR(__xludf.DUMMYFUNCTION("""COMPUTED_VALUE"""),92.2329)</f>
        <v>92.2329</v>
      </c>
      <c r="E268" s="11"/>
    </row>
    <row r="269">
      <c r="B269" s="11">
        <f>IFERROR(__xludf.DUMMYFUNCTION("""COMPUTED_VALUE"""),37895.0)</f>
        <v>37895</v>
      </c>
      <c r="C269" s="9">
        <f>IFERROR(__xludf.DUMMYFUNCTION("""COMPUTED_VALUE"""),91.6186)</f>
        <v>91.6186</v>
      </c>
      <c r="E269" s="11"/>
    </row>
    <row r="270">
      <c r="B270" s="11">
        <f>IFERROR(__xludf.DUMMYFUNCTION("""COMPUTED_VALUE"""),37865.0)</f>
        <v>37865</v>
      </c>
      <c r="C270" s="9">
        <f>IFERROR(__xludf.DUMMYFUNCTION("""COMPUTED_VALUE"""),91.5059)</f>
        <v>91.5059</v>
      </c>
      <c r="E270" s="11"/>
    </row>
    <row r="271">
      <c r="B271" s="11">
        <f>IFERROR(__xludf.DUMMYFUNCTION("""COMPUTED_VALUE"""),37834.0)</f>
        <v>37834</v>
      </c>
      <c r="C271" s="9">
        <f>IFERROR(__xludf.DUMMYFUNCTION("""COMPUTED_VALUE"""),90.9197)</f>
        <v>90.9197</v>
      </c>
      <c r="E271" s="11"/>
    </row>
    <row r="272">
      <c r="B272" s="11">
        <f>IFERROR(__xludf.DUMMYFUNCTION("""COMPUTED_VALUE"""),37803.0)</f>
        <v>37803</v>
      </c>
      <c r="C272" s="9">
        <f>IFERROR(__xludf.DUMMYFUNCTION("""COMPUTED_VALUE"""),91.1185)</f>
        <v>91.1185</v>
      </c>
      <c r="E272" s="11"/>
    </row>
    <row r="273">
      <c r="B273" s="11">
        <f>IFERROR(__xludf.DUMMYFUNCTION("""COMPUTED_VALUE"""),37773.0)</f>
        <v>37773</v>
      </c>
      <c r="C273" s="9">
        <f>IFERROR(__xludf.DUMMYFUNCTION("""COMPUTED_VALUE"""),90.6527)</f>
        <v>90.6527</v>
      </c>
      <c r="E273" s="11"/>
    </row>
    <row r="274">
      <c r="B274" s="11">
        <f>IFERROR(__xludf.DUMMYFUNCTION("""COMPUTED_VALUE"""),37742.0)</f>
        <v>37742</v>
      </c>
      <c r="C274" s="9">
        <f>IFERROR(__xludf.DUMMYFUNCTION("""COMPUTED_VALUE"""),90.537)</f>
        <v>90.537</v>
      </c>
      <c r="E274" s="11"/>
    </row>
    <row r="275">
      <c r="B275" s="11">
        <f>IFERROR(__xludf.DUMMYFUNCTION("""COMPUTED_VALUE"""),37712.0)</f>
        <v>37712</v>
      </c>
      <c r="C275" s="9">
        <f>IFERROR(__xludf.DUMMYFUNCTION("""COMPUTED_VALUE"""),90.5617)</f>
        <v>90.5617</v>
      </c>
      <c r="E275" s="11"/>
    </row>
    <row r="276">
      <c r="B276" s="11">
        <f>IFERROR(__xludf.DUMMYFUNCTION("""COMPUTED_VALUE"""),37681.0)</f>
        <v>37681</v>
      </c>
      <c r="C276" s="9">
        <f>IFERROR(__xludf.DUMMYFUNCTION("""COMPUTED_VALUE"""),91.1044)</f>
        <v>91.1044</v>
      </c>
      <c r="E276" s="11"/>
    </row>
    <row r="277">
      <c r="B277" s="11">
        <f>IFERROR(__xludf.DUMMYFUNCTION("""COMPUTED_VALUE"""),37653.0)</f>
        <v>37653</v>
      </c>
      <c r="C277" s="9">
        <f>IFERROR(__xludf.DUMMYFUNCTION("""COMPUTED_VALUE"""),91.3445)</f>
        <v>91.3445</v>
      </c>
      <c r="E277" s="11"/>
    </row>
    <row r="278">
      <c r="B278" s="11">
        <f>IFERROR(__xludf.DUMMYFUNCTION("""COMPUTED_VALUE"""),37622.0)</f>
        <v>37622</v>
      </c>
      <c r="C278" s="9">
        <f>IFERROR(__xludf.DUMMYFUNCTION("""COMPUTED_VALUE"""),91.2361)</f>
        <v>91.2361</v>
      </c>
      <c r="E278" s="11"/>
    </row>
    <row r="279">
      <c r="B279" s="11">
        <f>IFERROR(__xludf.DUMMYFUNCTION("""COMPUTED_VALUE"""),37591.0)</f>
        <v>37591</v>
      </c>
      <c r="C279" s="9">
        <f>IFERROR(__xludf.DUMMYFUNCTION("""COMPUTED_VALUE"""),90.4652)</f>
        <v>90.4652</v>
      </c>
      <c r="E279" s="11"/>
    </row>
    <row r="280">
      <c r="B280" s="11">
        <f>IFERROR(__xludf.DUMMYFUNCTION("""COMPUTED_VALUE"""),37561.0)</f>
        <v>37561</v>
      </c>
      <c r="C280" s="9">
        <f>IFERROR(__xludf.DUMMYFUNCTION("""COMPUTED_VALUE"""),90.9711)</f>
        <v>90.9711</v>
      </c>
      <c r="E280" s="11"/>
    </row>
    <row r="281">
      <c r="B281" s="11">
        <f>IFERROR(__xludf.DUMMYFUNCTION("""COMPUTED_VALUE"""),37530.0)</f>
        <v>37530</v>
      </c>
      <c r="C281" s="9">
        <f>IFERROR(__xludf.DUMMYFUNCTION("""COMPUTED_VALUE"""),90.4643)</f>
        <v>90.4643</v>
      </c>
      <c r="E281" s="11"/>
    </row>
    <row r="282">
      <c r="B282" s="11">
        <f>IFERROR(__xludf.DUMMYFUNCTION("""COMPUTED_VALUE"""),37500.0)</f>
        <v>37500</v>
      </c>
      <c r="C282" s="9">
        <f>IFERROR(__xludf.DUMMYFUNCTION("""COMPUTED_VALUE"""),90.6531)</f>
        <v>90.6531</v>
      </c>
      <c r="E282" s="11"/>
    </row>
    <row r="283">
      <c r="B283" s="11">
        <f>IFERROR(__xludf.DUMMYFUNCTION("""COMPUTED_VALUE"""),37469.0)</f>
        <v>37469</v>
      </c>
      <c r="C283" s="9">
        <f>IFERROR(__xludf.DUMMYFUNCTION("""COMPUTED_VALUE"""),90.5762)</f>
        <v>90.5762</v>
      </c>
      <c r="E283" s="11"/>
    </row>
    <row r="284">
      <c r="B284" s="11">
        <f>IFERROR(__xludf.DUMMYFUNCTION("""COMPUTED_VALUE"""),37438.0)</f>
        <v>37438</v>
      </c>
      <c r="C284" s="9">
        <f>IFERROR(__xludf.DUMMYFUNCTION("""COMPUTED_VALUE"""),90.6769)</f>
        <v>90.6769</v>
      </c>
      <c r="E284" s="11"/>
    </row>
    <row r="285">
      <c r="B285" s="11">
        <f>IFERROR(__xludf.DUMMYFUNCTION("""COMPUTED_VALUE"""),37408.0)</f>
        <v>37408</v>
      </c>
      <c r="C285" s="9">
        <f>IFERROR(__xludf.DUMMYFUNCTION("""COMPUTED_VALUE"""),90.7061)</f>
        <v>90.7061</v>
      </c>
      <c r="E285" s="11"/>
    </row>
    <row r="286">
      <c r="B286" s="11">
        <f>IFERROR(__xludf.DUMMYFUNCTION("""COMPUTED_VALUE"""),37377.0)</f>
        <v>37377</v>
      </c>
      <c r="C286" s="9">
        <f>IFERROR(__xludf.DUMMYFUNCTION("""COMPUTED_VALUE"""),89.964)</f>
        <v>89.964</v>
      </c>
      <c r="E286" s="11"/>
    </row>
    <row r="287">
      <c r="B287" s="11">
        <f>IFERROR(__xludf.DUMMYFUNCTION("""COMPUTED_VALUE"""),37347.0)</f>
        <v>37347</v>
      </c>
      <c r="C287" s="9">
        <f>IFERROR(__xludf.DUMMYFUNCTION("""COMPUTED_VALUE"""),89.604)</f>
        <v>89.604</v>
      </c>
      <c r="E287" s="11"/>
    </row>
    <row r="288">
      <c r="B288" s="11">
        <f>IFERROR(__xludf.DUMMYFUNCTION("""COMPUTED_VALUE"""),37316.0)</f>
        <v>37316</v>
      </c>
      <c r="C288" s="9">
        <f>IFERROR(__xludf.DUMMYFUNCTION("""COMPUTED_VALUE"""),89.1686)</f>
        <v>89.1686</v>
      </c>
      <c r="E288" s="11"/>
    </row>
    <row r="289">
      <c r="B289" s="11">
        <f>IFERROR(__xludf.DUMMYFUNCTION("""COMPUTED_VALUE"""),37288.0)</f>
        <v>37288</v>
      </c>
      <c r="C289" s="9">
        <f>IFERROR(__xludf.DUMMYFUNCTION("""COMPUTED_VALUE"""),88.5278)</f>
        <v>88.5278</v>
      </c>
      <c r="E289" s="11"/>
    </row>
    <row r="290">
      <c r="B290" s="11">
        <f>IFERROR(__xludf.DUMMYFUNCTION("""COMPUTED_VALUE"""),37257.0)</f>
        <v>37257</v>
      </c>
      <c r="C290" s="9">
        <f>IFERROR(__xludf.DUMMYFUNCTION("""COMPUTED_VALUE"""),88.5176)</f>
        <v>88.5176</v>
      </c>
      <c r="E290" s="11"/>
    </row>
    <row r="291">
      <c r="B291" s="11">
        <f>IFERROR(__xludf.DUMMYFUNCTION("""COMPUTED_VALUE"""),37226.0)</f>
        <v>37226</v>
      </c>
      <c r="C291" s="9">
        <f>IFERROR(__xludf.DUMMYFUNCTION("""COMPUTED_VALUE"""),87.9324)</f>
        <v>87.9324</v>
      </c>
      <c r="E291" s="11"/>
    </row>
    <row r="292">
      <c r="B292" s="11">
        <f>IFERROR(__xludf.DUMMYFUNCTION("""COMPUTED_VALUE"""),37196.0)</f>
        <v>37196</v>
      </c>
      <c r="C292" s="9">
        <f>IFERROR(__xludf.DUMMYFUNCTION("""COMPUTED_VALUE"""),87.97)</f>
        <v>87.97</v>
      </c>
      <c r="E292" s="11"/>
    </row>
    <row r="293">
      <c r="B293" s="11">
        <f>IFERROR(__xludf.DUMMYFUNCTION("""COMPUTED_VALUE"""),37165.0)</f>
        <v>37165</v>
      </c>
      <c r="C293" s="9">
        <f>IFERROR(__xludf.DUMMYFUNCTION("""COMPUTED_VALUE"""),88.5052)</f>
        <v>88.5052</v>
      </c>
      <c r="E293" s="11"/>
    </row>
    <row r="294">
      <c r="B294" s="11">
        <f>IFERROR(__xludf.DUMMYFUNCTION("""COMPUTED_VALUE"""),37135.0)</f>
        <v>37135</v>
      </c>
      <c r="C294" s="9">
        <f>IFERROR(__xludf.DUMMYFUNCTION("""COMPUTED_VALUE"""),88.7485)</f>
        <v>88.7485</v>
      </c>
      <c r="E294" s="11"/>
    </row>
    <row r="295">
      <c r="B295" s="11">
        <f>IFERROR(__xludf.DUMMYFUNCTION("""COMPUTED_VALUE"""),37104.0)</f>
        <v>37104</v>
      </c>
      <c r="C295" s="9">
        <f>IFERROR(__xludf.DUMMYFUNCTION("""COMPUTED_VALUE"""),89.2003)</f>
        <v>89.2003</v>
      </c>
      <c r="E295" s="11"/>
    </row>
    <row r="296">
      <c r="B296" s="11">
        <f>IFERROR(__xludf.DUMMYFUNCTION("""COMPUTED_VALUE"""),37073.0)</f>
        <v>37073</v>
      </c>
      <c r="C296" s="9">
        <f>IFERROR(__xludf.DUMMYFUNCTION("""COMPUTED_VALUE"""),89.3028)</f>
        <v>89.3028</v>
      </c>
      <c r="E296" s="11"/>
    </row>
    <row r="297">
      <c r="B297" s="11">
        <f>IFERROR(__xludf.DUMMYFUNCTION("""COMPUTED_VALUE"""),37043.0)</f>
        <v>37043</v>
      </c>
      <c r="C297" s="9">
        <f>IFERROR(__xludf.DUMMYFUNCTION("""COMPUTED_VALUE"""),89.8784)</f>
        <v>89.8784</v>
      </c>
      <c r="E297" s="11"/>
    </row>
    <row r="298">
      <c r="B298" s="11">
        <f>IFERROR(__xludf.DUMMYFUNCTION("""COMPUTED_VALUE"""),37012.0)</f>
        <v>37012</v>
      </c>
      <c r="C298" s="9">
        <f>IFERROR(__xludf.DUMMYFUNCTION("""COMPUTED_VALUE"""),90.3555)</f>
        <v>90.3555</v>
      </c>
      <c r="E298" s="11"/>
    </row>
    <row r="299">
      <c r="B299" s="11">
        <f>IFERROR(__xludf.DUMMYFUNCTION("""COMPUTED_VALUE"""),36982.0)</f>
        <v>36982</v>
      </c>
      <c r="C299" s="9">
        <f>IFERROR(__xludf.DUMMYFUNCTION("""COMPUTED_VALUE"""),90.7891)</f>
        <v>90.7891</v>
      </c>
      <c r="E299" s="11"/>
    </row>
    <row r="300">
      <c r="B300" s="11">
        <f>IFERROR(__xludf.DUMMYFUNCTION("""COMPUTED_VALUE"""),36951.0)</f>
        <v>36951</v>
      </c>
      <c r="C300" s="9">
        <f>IFERROR(__xludf.DUMMYFUNCTION("""COMPUTED_VALUE"""),91.1162)</f>
        <v>91.1162</v>
      </c>
      <c r="E300" s="11"/>
    </row>
    <row r="301">
      <c r="B301" s="11">
        <f>IFERROR(__xludf.DUMMYFUNCTION("""COMPUTED_VALUE"""),36923.0)</f>
        <v>36923</v>
      </c>
      <c r="C301" s="9">
        <f>IFERROR(__xludf.DUMMYFUNCTION("""COMPUTED_VALUE"""),91.3034)</f>
        <v>91.3034</v>
      </c>
      <c r="E301" s="11"/>
    </row>
    <row r="302">
      <c r="B302" s="11">
        <f>IFERROR(__xludf.DUMMYFUNCTION("""COMPUTED_VALUE"""),36892.0)</f>
        <v>36892</v>
      </c>
      <c r="C302" s="9">
        <f>IFERROR(__xludf.DUMMYFUNCTION("""COMPUTED_VALUE"""),91.902)</f>
        <v>91.902</v>
      </c>
      <c r="E302" s="11"/>
    </row>
    <row r="303">
      <c r="B303" s="11">
        <f>IFERROR(__xludf.DUMMYFUNCTION("""COMPUTED_VALUE"""),36861.0)</f>
        <v>36861</v>
      </c>
      <c r="C303" s="9">
        <f>IFERROR(__xludf.DUMMYFUNCTION("""COMPUTED_VALUE"""),92.3415)</f>
        <v>92.3415</v>
      </c>
      <c r="E303" s="11"/>
    </row>
    <row r="304">
      <c r="B304" s="11">
        <f>IFERROR(__xludf.DUMMYFUNCTION("""COMPUTED_VALUE"""),36831.0)</f>
        <v>36831</v>
      </c>
      <c r="C304" s="9">
        <f>IFERROR(__xludf.DUMMYFUNCTION("""COMPUTED_VALUE"""),92.6438)</f>
        <v>92.6438</v>
      </c>
      <c r="E304" s="11"/>
    </row>
    <row r="305">
      <c r="B305" s="11">
        <f>IFERROR(__xludf.DUMMYFUNCTION("""COMPUTED_VALUE"""),36800.0)</f>
        <v>36800</v>
      </c>
      <c r="C305" s="9">
        <f>IFERROR(__xludf.DUMMYFUNCTION("""COMPUTED_VALUE"""),92.6179)</f>
        <v>92.6179</v>
      </c>
      <c r="E305" s="11"/>
    </row>
    <row r="306">
      <c r="B306" s="11">
        <f>IFERROR(__xludf.DUMMYFUNCTION("""COMPUTED_VALUE"""),36770.0)</f>
        <v>36770</v>
      </c>
      <c r="C306" s="9">
        <f>IFERROR(__xludf.DUMMYFUNCTION("""COMPUTED_VALUE"""),92.9792)</f>
        <v>92.9792</v>
      </c>
      <c r="E306" s="11"/>
    </row>
    <row r="307">
      <c r="B307" s="11">
        <f>IFERROR(__xludf.DUMMYFUNCTION("""COMPUTED_VALUE"""),36739.0)</f>
        <v>36739</v>
      </c>
      <c r="C307" s="9">
        <f>IFERROR(__xludf.DUMMYFUNCTION("""COMPUTED_VALUE"""),92.5521)</f>
        <v>92.5521</v>
      </c>
      <c r="E307" s="11"/>
    </row>
    <row r="308">
      <c r="B308" s="11">
        <f>IFERROR(__xludf.DUMMYFUNCTION("""COMPUTED_VALUE"""),36708.0)</f>
        <v>36708</v>
      </c>
      <c r="C308" s="9">
        <f>IFERROR(__xludf.DUMMYFUNCTION("""COMPUTED_VALUE"""),92.8048)</f>
        <v>92.8048</v>
      </c>
      <c r="E308" s="11"/>
    </row>
    <row r="309">
      <c r="B309" s="11">
        <f>IFERROR(__xludf.DUMMYFUNCTION("""COMPUTED_VALUE"""),36678.0)</f>
        <v>36678</v>
      </c>
      <c r="C309" s="9">
        <f>IFERROR(__xludf.DUMMYFUNCTION("""COMPUTED_VALUE"""),92.9862)</f>
        <v>92.9862</v>
      </c>
      <c r="E309" s="11"/>
    </row>
    <row r="310">
      <c r="B310" s="11">
        <f>IFERROR(__xludf.DUMMYFUNCTION("""COMPUTED_VALUE"""),36647.0)</f>
        <v>36647</v>
      </c>
      <c r="C310" s="9">
        <f>IFERROR(__xludf.DUMMYFUNCTION("""COMPUTED_VALUE"""),92.9499)</f>
        <v>92.9499</v>
      </c>
      <c r="E310" s="11"/>
    </row>
    <row r="311">
      <c r="B311" s="11">
        <f>IFERROR(__xludf.DUMMYFUNCTION("""COMPUTED_VALUE"""),36617.0)</f>
        <v>36617</v>
      </c>
      <c r="C311" s="9">
        <f>IFERROR(__xludf.DUMMYFUNCTION("""COMPUTED_VALUE"""),92.6989)</f>
        <v>92.6989</v>
      </c>
      <c r="E311" s="11"/>
    </row>
    <row r="312">
      <c r="B312" s="11">
        <f>IFERROR(__xludf.DUMMYFUNCTION("""COMPUTED_VALUE"""),36586.0)</f>
        <v>36586</v>
      </c>
      <c r="C312" s="9">
        <f>IFERROR(__xludf.DUMMYFUNCTION("""COMPUTED_VALUE"""),92.1504)</f>
        <v>92.1504</v>
      </c>
      <c r="E312" s="11"/>
    </row>
    <row r="313">
      <c r="B313" s="11">
        <f>IFERROR(__xludf.DUMMYFUNCTION("""COMPUTED_VALUE"""),36557.0)</f>
        <v>36557</v>
      </c>
      <c r="C313" s="9">
        <f>IFERROR(__xludf.DUMMYFUNCTION("""COMPUTED_VALUE"""),91.8239)</f>
        <v>91.8239</v>
      </c>
      <c r="E313" s="11"/>
    </row>
    <row r="314">
      <c r="B314" s="11">
        <f>IFERROR(__xludf.DUMMYFUNCTION("""COMPUTED_VALUE"""),36526.0)</f>
        <v>36526</v>
      </c>
      <c r="C314" s="9">
        <f>IFERROR(__xludf.DUMMYFUNCTION("""COMPUTED_VALUE"""),91.538)</f>
        <v>91.538</v>
      </c>
      <c r="E314" s="11"/>
    </row>
    <row r="315">
      <c r="B315" s="11">
        <f>IFERROR(__xludf.DUMMYFUNCTION("""COMPUTED_VALUE"""),36495.0)</f>
        <v>36495</v>
      </c>
      <c r="C315" s="9">
        <f>IFERROR(__xludf.DUMMYFUNCTION("""COMPUTED_VALUE"""),91.6634)</f>
        <v>91.6634</v>
      </c>
      <c r="E315" s="11"/>
    </row>
    <row r="316">
      <c r="B316" s="11">
        <f>IFERROR(__xludf.DUMMYFUNCTION("""COMPUTED_VALUE"""),36465.0)</f>
        <v>36465</v>
      </c>
      <c r="C316" s="9">
        <f>IFERROR(__xludf.DUMMYFUNCTION("""COMPUTED_VALUE"""),90.9618)</f>
        <v>90.9618</v>
      </c>
      <c r="E316" s="11"/>
    </row>
    <row r="317">
      <c r="B317" s="11">
        <f>IFERROR(__xludf.DUMMYFUNCTION("""COMPUTED_VALUE"""),36434.0)</f>
        <v>36434</v>
      </c>
      <c r="C317" s="9">
        <f>IFERROR(__xludf.DUMMYFUNCTION("""COMPUTED_VALUE"""),90.523)</f>
        <v>90.523</v>
      </c>
      <c r="E317" s="11"/>
    </row>
    <row r="318">
      <c r="B318" s="11">
        <f>IFERROR(__xludf.DUMMYFUNCTION("""COMPUTED_VALUE"""),36404.0)</f>
        <v>36404</v>
      </c>
      <c r="C318" s="9">
        <f>IFERROR(__xludf.DUMMYFUNCTION("""COMPUTED_VALUE"""),89.4299)</f>
        <v>89.4299</v>
      </c>
      <c r="E318" s="11"/>
    </row>
    <row r="319">
      <c r="B319" s="11">
        <f>IFERROR(__xludf.DUMMYFUNCTION("""COMPUTED_VALUE"""),36373.0)</f>
        <v>36373</v>
      </c>
      <c r="C319" s="9">
        <f>IFERROR(__xludf.DUMMYFUNCTION("""COMPUTED_VALUE"""),89.7924)</f>
        <v>89.7924</v>
      </c>
      <c r="E319" s="11"/>
    </row>
    <row r="320">
      <c r="B320" s="11">
        <f>IFERROR(__xludf.DUMMYFUNCTION("""COMPUTED_VALUE"""),36342.0)</f>
        <v>36342</v>
      </c>
      <c r="C320" s="9">
        <f>IFERROR(__xludf.DUMMYFUNCTION("""COMPUTED_VALUE"""),89.4333)</f>
        <v>89.4333</v>
      </c>
      <c r="E320" s="11"/>
    </row>
    <row r="321">
      <c r="B321" s="11">
        <f>IFERROR(__xludf.DUMMYFUNCTION("""COMPUTED_VALUE"""),36312.0)</f>
        <v>36312</v>
      </c>
      <c r="C321" s="9">
        <f>IFERROR(__xludf.DUMMYFUNCTION("""COMPUTED_VALUE"""),88.9188)</f>
        <v>88.9188</v>
      </c>
      <c r="E321" s="11"/>
    </row>
    <row r="322">
      <c r="B322" s="11">
        <f>IFERROR(__xludf.DUMMYFUNCTION("""COMPUTED_VALUE"""),36281.0)</f>
        <v>36281</v>
      </c>
      <c r="C322" s="9">
        <f>IFERROR(__xludf.DUMMYFUNCTION("""COMPUTED_VALUE"""),88.9886)</f>
        <v>88.9886</v>
      </c>
      <c r="E322" s="11"/>
    </row>
    <row r="323">
      <c r="B323" s="11">
        <f>IFERROR(__xludf.DUMMYFUNCTION("""COMPUTED_VALUE"""),36251.0)</f>
        <v>36251</v>
      </c>
      <c r="C323" s="9">
        <f>IFERROR(__xludf.DUMMYFUNCTION("""COMPUTED_VALUE"""),88.4295)</f>
        <v>88.4295</v>
      </c>
      <c r="E323" s="11"/>
    </row>
    <row r="324">
      <c r="B324" s="11">
        <f>IFERROR(__xludf.DUMMYFUNCTION("""COMPUTED_VALUE"""),36220.0)</f>
        <v>36220</v>
      </c>
      <c r="C324" s="9">
        <f>IFERROR(__xludf.DUMMYFUNCTION("""COMPUTED_VALUE"""),88.2267)</f>
        <v>88.2267</v>
      </c>
      <c r="E324" s="11"/>
    </row>
    <row r="325">
      <c r="B325" s="11">
        <f>IFERROR(__xludf.DUMMYFUNCTION("""COMPUTED_VALUE"""),36192.0)</f>
        <v>36192</v>
      </c>
      <c r="C325" s="9">
        <f>IFERROR(__xludf.DUMMYFUNCTION("""COMPUTED_VALUE"""),88.027)</f>
        <v>88.027</v>
      </c>
      <c r="E325" s="11"/>
    </row>
    <row r="326">
      <c r="B326" s="11">
        <f>IFERROR(__xludf.DUMMYFUNCTION("""COMPUTED_VALUE"""),36161.0)</f>
        <v>36161</v>
      </c>
      <c r="C326" s="9">
        <f>IFERROR(__xludf.DUMMYFUNCTION("""COMPUTED_VALUE"""),87.4949)</f>
        <v>87.4949</v>
      </c>
      <c r="E326" s="11"/>
    </row>
    <row r="327">
      <c r="B327" s="11">
        <f>IFERROR(__xludf.DUMMYFUNCTION("""COMPUTED_VALUE"""),36130.0)</f>
        <v>36130</v>
      </c>
      <c r="C327" s="9">
        <f>IFERROR(__xludf.DUMMYFUNCTION("""COMPUTED_VALUE"""),87.1185)</f>
        <v>87.1185</v>
      </c>
      <c r="E327" s="11"/>
    </row>
    <row r="328">
      <c r="B328" s="11">
        <f>IFERROR(__xludf.DUMMYFUNCTION("""COMPUTED_VALUE"""),36100.0)</f>
        <v>36100</v>
      </c>
      <c r="C328" s="9">
        <f>IFERROR(__xludf.DUMMYFUNCTION("""COMPUTED_VALUE"""),86.7256)</f>
        <v>86.7256</v>
      </c>
      <c r="E328" s="11"/>
    </row>
    <row r="329">
      <c r="B329" s="11">
        <f>IFERROR(__xludf.DUMMYFUNCTION("""COMPUTED_VALUE"""),36069.0)</f>
        <v>36069</v>
      </c>
      <c r="C329" s="9">
        <f>IFERROR(__xludf.DUMMYFUNCTION("""COMPUTED_VALUE"""),86.7914)</f>
        <v>86.7914</v>
      </c>
      <c r="E329" s="11"/>
    </row>
    <row r="330">
      <c r="B330" s="11">
        <f>IFERROR(__xludf.DUMMYFUNCTION("""COMPUTED_VALUE"""),36039.0)</f>
        <v>36039</v>
      </c>
      <c r="C330" s="9">
        <f>IFERROR(__xludf.DUMMYFUNCTION("""COMPUTED_VALUE"""),86.2021)</f>
        <v>86.2021</v>
      </c>
      <c r="E330" s="11"/>
    </row>
    <row r="331">
      <c r="B331" s="11">
        <f>IFERROR(__xludf.DUMMYFUNCTION("""COMPUTED_VALUE"""),36008.0)</f>
        <v>36008</v>
      </c>
      <c r="C331" s="9">
        <f>IFERROR(__xludf.DUMMYFUNCTION("""COMPUTED_VALUE"""),86.248)</f>
        <v>86.248</v>
      </c>
      <c r="E331" s="11"/>
    </row>
    <row r="332">
      <c r="B332" s="11">
        <f>IFERROR(__xludf.DUMMYFUNCTION("""COMPUTED_VALUE"""),35977.0)</f>
        <v>35977</v>
      </c>
      <c r="C332" s="9">
        <f>IFERROR(__xludf.DUMMYFUNCTION("""COMPUTED_VALUE"""),84.4986)</f>
        <v>84.4986</v>
      </c>
      <c r="E332" s="11"/>
    </row>
    <row r="333">
      <c r="B333" s="11">
        <f>IFERROR(__xludf.DUMMYFUNCTION("""COMPUTED_VALUE"""),35947.0)</f>
        <v>35947</v>
      </c>
      <c r="C333" s="9">
        <f>IFERROR(__xludf.DUMMYFUNCTION("""COMPUTED_VALUE"""),84.8248)</f>
        <v>84.8248</v>
      </c>
      <c r="E333" s="11"/>
    </row>
    <row r="334">
      <c r="B334" s="11">
        <f>IFERROR(__xludf.DUMMYFUNCTION("""COMPUTED_VALUE"""),35916.0)</f>
        <v>35916</v>
      </c>
      <c r="C334" s="9">
        <f>IFERROR(__xludf.DUMMYFUNCTION("""COMPUTED_VALUE"""),85.3367)</f>
        <v>85.3367</v>
      </c>
      <c r="E334" s="11"/>
    </row>
    <row r="335">
      <c r="B335" s="11">
        <f>IFERROR(__xludf.DUMMYFUNCTION("""COMPUTED_VALUE"""),35886.0)</f>
        <v>35886</v>
      </c>
      <c r="C335" s="9">
        <f>IFERROR(__xludf.DUMMYFUNCTION("""COMPUTED_VALUE"""),84.7779)</f>
        <v>84.7779</v>
      </c>
      <c r="E335" s="11"/>
    </row>
    <row r="336">
      <c r="B336" s="11">
        <f>IFERROR(__xludf.DUMMYFUNCTION("""COMPUTED_VALUE"""),35855.0)</f>
        <v>35855</v>
      </c>
      <c r="C336" s="9">
        <f>IFERROR(__xludf.DUMMYFUNCTION("""COMPUTED_VALUE"""),84.488)</f>
        <v>84.488</v>
      </c>
      <c r="E336" s="11"/>
    </row>
    <row r="337">
      <c r="B337" s="11">
        <f>IFERROR(__xludf.DUMMYFUNCTION("""COMPUTED_VALUE"""),35827.0)</f>
        <v>35827</v>
      </c>
      <c r="C337" s="9">
        <f>IFERROR(__xludf.DUMMYFUNCTION("""COMPUTED_VALUE"""),84.4583)</f>
        <v>84.4583</v>
      </c>
      <c r="E337" s="11"/>
    </row>
    <row r="338">
      <c r="B338" s="11">
        <f>IFERROR(__xludf.DUMMYFUNCTION("""COMPUTED_VALUE"""),35796.0)</f>
        <v>35796</v>
      </c>
      <c r="C338" s="9">
        <f>IFERROR(__xludf.DUMMYFUNCTION("""COMPUTED_VALUE"""),84.3218)</f>
        <v>84.3218</v>
      </c>
      <c r="E338" s="11"/>
    </row>
    <row r="339">
      <c r="B339" s="11">
        <f>IFERROR(__xludf.DUMMYFUNCTION("""COMPUTED_VALUE"""),35765.0)</f>
        <v>35765</v>
      </c>
      <c r="C339" s="9">
        <f>IFERROR(__xludf.DUMMYFUNCTION("""COMPUTED_VALUE"""),83.9538)</f>
        <v>83.9538</v>
      </c>
      <c r="E339" s="11"/>
    </row>
    <row r="340">
      <c r="B340" s="11">
        <f>IFERROR(__xludf.DUMMYFUNCTION("""COMPUTED_VALUE"""),35735.0)</f>
        <v>35735</v>
      </c>
      <c r="C340" s="9">
        <f>IFERROR(__xludf.DUMMYFUNCTION("""COMPUTED_VALUE"""),83.5978)</f>
        <v>83.5978</v>
      </c>
      <c r="E340" s="11"/>
    </row>
    <row r="341">
      <c r="B341" s="11">
        <f>IFERROR(__xludf.DUMMYFUNCTION("""COMPUTED_VALUE"""),35704.0)</f>
        <v>35704</v>
      </c>
      <c r="C341" s="9">
        <f>IFERROR(__xludf.DUMMYFUNCTION("""COMPUTED_VALUE"""),82.9446)</f>
        <v>82.9446</v>
      </c>
      <c r="E341" s="11"/>
    </row>
    <row r="342">
      <c r="B342" s="11">
        <f>IFERROR(__xludf.DUMMYFUNCTION("""COMPUTED_VALUE"""),35674.0)</f>
        <v>35674</v>
      </c>
      <c r="C342" s="9">
        <f>IFERROR(__xludf.DUMMYFUNCTION("""COMPUTED_VALUE"""),82.2156)</f>
        <v>82.2156</v>
      </c>
      <c r="E342" s="11"/>
    </row>
    <row r="343">
      <c r="B343" s="11">
        <f>IFERROR(__xludf.DUMMYFUNCTION("""COMPUTED_VALUE"""),35643.0)</f>
        <v>35643</v>
      </c>
      <c r="C343" s="9">
        <f>IFERROR(__xludf.DUMMYFUNCTION("""COMPUTED_VALUE"""),81.4694)</f>
        <v>81.4694</v>
      </c>
      <c r="E343" s="11"/>
    </row>
    <row r="344">
      <c r="B344" s="11">
        <f>IFERROR(__xludf.DUMMYFUNCTION("""COMPUTED_VALUE"""),35612.0)</f>
        <v>35612</v>
      </c>
      <c r="C344" s="9">
        <f>IFERROR(__xludf.DUMMYFUNCTION("""COMPUTED_VALUE"""),80.6624)</f>
        <v>80.6624</v>
      </c>
      <c r="E344" s="11"/>
    </row>
    <row r="345">
      <c r="B345" s="11">
        <f>IFERROR(__xludf.DUMMYFUNCTION("""COMPUTED_VALUE"""),35582.0)</f>
        <v>35582</v>
      </c>
      <c r="C345" s="9">
        <f>IFERROR(__xludf.DUMMYFUNCTION("""COMPUTED_VALUE"""),79.9792)</f>
        <v>79.9792</v>
      </c>
      <c r="E345" s="11"/>
    </row>
    <row r="346">
      <c r="B346" s="11">
        <f>IFERROR(__xludf.DUMMYFUNCTION("""COMPUTED_VALUE"""),35551.0)</f>
        <v>35551</v>
      </c>
      <c r="C346" s="9">
        <f>IFERROR(__xludf.DUMMYFUNCTION("""COMPUTED_VALUE"""),79.6133)</f>
        <v>79.6133</v>
      </c>
      <c r="E346" s="11"/>
    </row>
    <row r="347">
      <c r="B347" s="11">
        <f>IFERROR(__xludf.DUMMYFUNCTION("""COMPUTED_VALUE"""),35521.0)</f>
        <v>35521</v>
      </c>
      <c r="C347" s="9">
        <f>IFERROR(__xludf.DUMMYFUNCTION("""COMPUTED_VALUE"""),79.1747)</f>
        <v>79.1747</v>
      </c>
      <c r="E347" s="11"/>
    </row>
    <row r="348">
      <c r="B348" s="11">
        <f>IFERROR(__xludf.DUMMYFUNCTION("""COMPUTED_VALUE"""),35490.0)</f>
        <v>35490</v>
      </c>
      <c r="C348" s="9">
        <f>IFERROR(__xludf.DUMMYFUNCTION("""COMPUTED_VALUE"""),79.082)</f>
        <v>79.082</v>
      </c>
      <c r="E348" s="11"/>
    </row>
    <row r="349">
      <c r="B349" s="11">
        <f>IFERROR(__xludf.DUMMYFUNCTION("""COMPUTED_VALUE"""),35462.0)</f>
        <v>35462</v>
      </c>
      <c r="C349" s="9">
        <f>IFERROR(__xludf.DUMMYFUNCTION("""COMPUTED_VALUE"""),78.5833)</f>
        <v>78.5833</v>
      </c>
      <c r="E349" s="11"/>
    </row>
    <row r="350">
      <c r="B350" s="11">
        <f>IFERROR(__xludf.DUMMYFUNCTION("""COMPUTED_VALUE"""),35431.0)</f>
        <v>35431</v>
      </c>
      <c r="C350" s="9">
        <f>IFERROR(__xludf.DUMMYFUNCTION("""COMPUTED_VALUE"""),77.6562)</f>
        <v>77.6562</v>
      </c>
      <c r="E350" s="11"/>
    </row>
    <row r="351">
      <c r="B351" s="11">
        <f>IFERROR(__xludf.DUMMYFUNCTION("""COMPUTED_VALUE"""),35400.0)</f>
        <v>35400</v>
      </c>
      <c r="C351" s="9">
        <f>IFERROR(__xludf.DUMMYFUNCTION("""COMPUTED_VALUE"""),77.5333)</f>
        <v>77.5333</v>
      </c>
      <c r="E351" s="11"/>
    </row>
    <row r="352">
      <c r="B352" s="11">
        <f>IFERROR(__xludf.DUMMYFUNCTION("""COMPUTED_VALUE"""),35370.0)</f>
        <v>35370</v>
      </c>
      <c r="C352" s="9">
        <f>IFERROR(__xludf.DUMMYFUNCTION("""COMPUTED_VALUE"""),77.0397)</f>
        <v>77.0397</v>
      </c>
      <c r="E352" s="11"/>
    </row>
    <row r="353">
      <c r="B353" s="11">
        <f>IFERROR(__xludf.DUMMYFUNCTION("""COMPUTED_VALUE"""),35339.0)</f>
        <v>35339</v>
      </c>
      <c r="C353" s="9">
        <f>IFERROR(__xludf.DUMMYFUNCTION("""COMPUTED_VALUE"""),76.3384)</f>
        <v>76.3384</v>
      </c>
      <c r="E353" s="11"/>
    </row>
    <row r="354">
      <c r="B354" s="11">
        <f>IFERROR(__xludf.DUMMYFUNCTION("""COMPUTED_VALUE"""),35309.0)</f>
        <v>35309</v>
      </c>
      <c r="C354" s="9">
        <f>IFERROR(__xludf.DUMMYFUNCTION("""COMPUTED_VALUE"""),76.3158)</f>
        <v>76.3158</v>
      </c>
      <c r="E354" s="11"/>
    </row>
    <row r="355">
      <c r="B355" s="11">
        <f>IFERROR(__xludf.DUMMYFUNCTION("""COMPUTED_VALUE"""),35278.0)</f>
        <v>35278</v>
      </c>
      <c r="C355" s="9">
        <f>IFERROR(__xludf.DUMMYFUNCTION("""COMPUTED_VALUE"""),75.8411)</f>
        <v>75.8411</v>
      </c>
      <c r="E355" s="11"/>
    </row>
    <row r="356">
      <c r="B356" s="11">
        <f>IFERROR(__xludf.DUMMYFUNCTION("""COMPUTED_VALUE"""),35247.0)</f>
        <v>35247</v>
      </c>
      <c r="C356" s="9">
        <f>IFERROR(__xludf.DUMMYFUNCTION("""COMPUTED_VALUE"""),75.4549)</f>
        <v>75.4549</v>
      </c>
      <c r="E356" s="11"/>
    </row>
    <row r="357">
      <c r="B357" s="11">
        <f>IFERROR(__xludf.DUMMYFUNCTION("""COMPUTED_VALUE"""),35217.0)</f>
        <v>35217</v>
      </c>
      <c r="C357" s="9">
        <f>IFERROR(__xludf.DUMMYFUNCTION("""COMPUTED_VALUE"""),75.4433)</f>
        <v>75.4433</v>
      </c>
      <c r="E357" s="11"/>
    </row>
    <row r="358">
      <c r="B358" s="11">
        <f>IFERROR(__xludf.DUMMYFUNCTION("""COMPUTED_VALUE"""),35186.0)</f>
        <v>35186</v>
      </c>
      <c r="C358" s="9">
        <f>IFERROR(__xludf.DUMMYFUNCTION("""COMPUTED_VALUE"""),74.8726)</f>
        <v>74.8726</v>
      </c>
      <c r="E358" s="11"/>
    </row>
    <row r="359">
      <c r="B359" s="11">
        <f>IFERROR(__xludf.DUMMYFUNCTION("""COMPUTED_VALUE"""),35156.0)</f>
        <v>35156</v>
      </c>
      <c r="C359" s="9">
        <f>IFERROR(__xludf.DUMMYFUNCTION("""COMPUTED_VALUE"""),74.3172)</f>
        <v>74.3172</v>
      </c>
      <c r="E359" s="11"/>
    </row>
    <row r="360">
      <c r="B360" s="11">
        <f>IFERROR(__xludf.DUMMYFUNCTION("""COMPUTED_VALUE"""),35125.0)</f>
        <v>35125</v>
      </c>
      <c r="C360" s="9">
        <f>IFERROR(__xludf.DUMMYFUNCTION("""COMPUTED_VALUE"""),73.585)</f>
        <v>73.585</v>
      </c>
      <c r="E360" s="11"/>
    </row>
    <row r="361">
      <c r="B361" s="11">
        <f>IFERROR(__xludf.DUMMYFUNCTION("""COMPUTED_VALUE"""),35096.0)</f>
        <v>35096</v>
      </c>
      <c r="C361" s="9">
        <f>IFERROR(__xludf.DUMMYFUNCTION("""COMPUTED_VALUE"""),73.6752)</f>
        <v>73.6752</v>
      </c>
      <c r="E361" s="11"/>
    </row>
    <row r="362">
      <c r="B362" s="11">
        <f>IFERROR(__xludf.DUMMYFUNCTION("""COMPUTED_VALUE"""),35065.0)</f>
        <v>35065</v>
      </c>
      <c r="C362" s="9">
        <f>IFERROR(__xludf.DUMMYFUNCTION("""COMPUTED_VALUE"""),72.6125)</f>
        <v>72.6125</v>
      </c>
      <c r="E362" s="11"/>
    </row>
    <row r="363">
      <c r="B363" s="11">
        <f>IFERROR(__xludf.DUMMYFUNCTION("""COMPUTED_VALUE"""),35034.0)</f>
        <v>35034</v>
      </c>
      <c r="C363" s="9">
        <f>IFERROR(__xludf.DUMMYFUNCTION("""COMPUTED_VALUE"""),73.0305)</f>
        <v>73.0305</v>
      </c>
      <c r="E363" s="11"/>
    </row>
    <row r="364">
      <c r="B364" s="11">
        <f>IFERROR(__xludf.DUMMYFUNCTION("""COMPUTED_VALUE"""),35004.0)</f>
        <v>35004</v>
      </c>
      <c r="C364" s="9">
        <f>IFERROR(__xludf.DUMMYFUNCTION("""COMPUTED_VALUE"""),72.7779)</f>
        <v>72.7779</v>
      </c>
      <c r="E364" s="11"/>
    </row>
    <row r="365">
      <c r="B365" s="11">
        <f>IFERROR(__xludf.DUMMYFUNCTION("""COMPUTED_VALUE"""),34973.0)</f>
        <v>34973</v>
      </c>
      <c r="C365" s="9">
        <f>IFERROR(__xludf.DUMMYFUNCTION("""COMPUTED_VALUE"""),72.5866)</f>
        <v>72.5866</v>
      </c>
      <c r="E365" s="11"/>
    </row>
    <row r="366">
      <c r="B366" s="11">
        <f>IFERROR(__xludf.DUMMYFUNCTION("""COMPUTED_VALUE"""),34943.0)</f>
        <v>34943</v>
      </c>
      <c r="C366" s="9">
        <f>IFERROR(__xludf.DUMMYFUNCTION("""COMPUTED_VALUE"""),72.7144)</f>
        <v>72.7144</v>
      </c>
      <c r="E366" s="11"/>
    </row>
    <row r="367">
      <c r="B367" s="11">
        <f>IFERROR(__xludf.DUMMYFUNCTION("""COMPUTED_VALUE"""),34912.0)</f>
        <v>34912</v>
      </c>
      <c r="C367" s="9">
        <f>IFERROR(__xludf.DUMMYFUNCTION("""COMPUTED_VALUE"""),72.4223)</f>
        <v>72.4223</v>
      </c>
      <c r="E367" s="11"/>
    </row>
    <row r="368">
      <c r="B368" s="11">
        <f>IFERROR(__xludf.DUMMYFUNCTION("""COMPUTED_VALUE"""),34881.0)</f>
        <v>34881</v>
      </c>
      <c r="C368" s="9">
        <f>IFERROR(__xludf.DUMMYFUNCTION("""COMPUTED_VALUE"""),71.4748)</f>
        <v>71.4748</v>
      </c>
      <c r="E368" s="11"/>
    </row>
    <row r="369">
      <c r="B369" s="11">
        <f>IFERROR(__xludf.DUMMYFUNCTION("""COMPUTED_VALUE"""),34851.0)</f>
        <v>34851</v>
      </c>
      <c r="C369" s="9">
        <f>IFERROR(__xludf.DUMMYFUNCTION("""COMPUTED_VALUE"""),71.7749)</f>
        <v>71.7749</v>
      </c>
      <c r="E369" s="11"/>
    </row>
    <row r="370">
      <c r="B370" s="11">
        <f>IFERROR(__xludf.DUMMYFUNCTION("""COMPUTED_VALUE"""),34820.0)</f>
        <v>34820</v>
      </c>
      <c r="C370" s="9">
        <f>IFERROR(__xludf.DUMMYFUNCTION("""COMPUTED_VALUE"""),71.5378)</f>
        <v>71.5378</v>
      </c>
      <c r="E370" s="11"/>
    </row>
    <row r="371">
      <c r="B371" s="11">
        <f>IFERROR(__xludf.DUMMYFUNCTION("""COMPUTED_VALUE"""),34790.0)</f>
        <v>34790</v>
      </c>
      <c r="C371" s="9">
        <f>IFERROR(__xludf.DUMMYFUNCTION("""COMPUTED_VALUE"""),71.1882)</f>
        <v>71.1882</v>
      </c>
      <c r="E371" s="11"/>
    </row>
    <row r="372">
      <c r="B372" s="11">
        <f>IFERROR(__xludf.DUMMYFUNCTION("""COMPUTED_VALUE"""),34759.0)</f>
        <v>34759</v>
      </c>
      <c r="C372" s="9">
        <f>IFERROR(__xludf.DUMMYFUNCTION("""COMPUTED_VALUE"""),71.3113)</f>
        <v>71.3113</v>
      </c>
      <c r="E372" s="11"/>
    </row>
    <row r="373">
      <c r="B373" s="11">
        <f>IFERROR(__xludf.DUMMYFUNCTION("""COMPUTED_VALUE"""),34731.0)</f>
        <v>34731</v>
      </c>
      <c r="C373" s="9">
        <f>IFERROR(__xludf.DUMMYFUNCTION("""COMPUTED_VALUE"""),71.193)</f>
        <v>71.193</v>
      </c>
      <c r="E373" s="11"/>
    </row>
    <row r="374">
      <c r="B374" s="11">
        <f>IFERROR(__xludf.DUMMYFUNCTION("""COMPUTED_VALUE"""),34700.0)</f>
        <v>34700</v>
      </c>
      <c r="C374" s="9">
        <f>IFERROR(__xludf.DUMMYFUNCTION("""COMPUTED_VALUE"""),71.2734)</f>
        <v>71.2734</v>
      </c>
      <c r="E374" s="11"/>
    </row>
    <row r="375">
      <c r="B375" s="11">
        <f>IFERROR(__xludf.DUMMYFUNCTION("""COMPUTED_VALUE"""),34669.0)</f>
        <v>34669</v>
      </c>
      <c r="C375" s="9">
        <f>IFERROR(__xludf.DUMMYFUNCTION("""COMPUTED_VALUE"""),71.1523)</f>
        <v>71.1523</v>
      </c>
      <c r="E375" s="11"/>
    </row>
    <row r="376">
      <c r="B376" s="11">
        <f>IFERROR(__xludf.DUMMYFUNCTION("""COMPUTED_VALUE"""),34639.0)</f>
        <v>34639</v>
      </c>
      <c r="C376" s="9">
        <f>IFERROR(__xludf.DUMMYFUNCTION("""COMPUTED_VALUE"""),70.4326)</f>
        <v>70.4326</v>
      </c>
      <c r="E376" s="11"/>
    </row>
    <row r="377">
      <c r="B377" s="11">
        <f>IFERROR(__xludf.DUMMYFUNCTION("""COMPUTED_VALUE"""),34608.0)</f>
        <v>34608</v>
      </c>
      <c r="C377" s="9">
        <f>IFERROR(__xludf.DUMMYFUNCTION("""COMPUTED_VALUE"""),69.9544)</f>
        <v>69.9544</v>
      </c>
      <c r="E377" s="11"/>
    </row>
    <row r="378">
      <c r="B378" s="11">
        <f>IFERROR(__xludf.DUMMYFUNCTION("""COMPUTED_VALUE"""),34578.0)</f>
        <v>34578</v>
      </c>
      <c r="C378" s="9">
        <f>IFERROR(__xludf.DUMMYFUNCTION("""COMPUTED_VALUE"""),69.3961)</f>
        <v>69.3961</v>
      </c>
      <c r="E378" s="11"/>
    </row>
    <row r="379">
      <c r="B379" s="11">
        <f>IFERROR(__xludf.DUMMYFUNCTION("""COMPUTED_VALUE"""),34547.0)</f>
        <v>34547</v>
      </c>
      <c r="C379" s="9">
        <f>IFERROR(__xludf.DUMMYFUNCTION("""COMPUTED_VALUE"""),69.1785)</f>
        <v>69.1785</v>
      </c>
      <c r="E379" s="11"/>
    </row>
    <row r="380">
      <c r="B380" s="11">
        <f>IFERROR(__xludf.DUMMYFUNCTION("""COMPUTED_VALUE"""),34516.0)</f>
        <v>34516</v>
      </c>
      <c r="C380" s="9">
        <f>IFERROR(__xludf.DUMMYFUNCTION("""COMPUTED_VALUE"""),68.7178)</f>
        <v>68.7178</v>
      </c>
      <c r="E380" s="11"/>
    </row>
    <row r="381">
      <c r="B381" s="11">
        <f>IFERROR(__xludf.DUMMYFUNCTION("""COMPUTED_VALUE"""),34486.0)</f>
        <v>34486</v>
      </c>
      <c r="C381" s="9">
        <f>IFERROR(__xludf.DUMMYFUNCTION("""COMPUTED_VALUE"""),68.6265)</f>
        <v>68.6265</v>
      </c>
      <c r="E381" s="11"/>
    </row>
    <row r="382">
      <c r="B382" s="11">
        <f>IFERROR(__xludf.DUMMYFUNCTION("""COMPUTED_VALUE"""),34455.0)</f>
        <v>34455</v>
      </c>
      <c r="C382" s="9">
        <f>IFERROR(__xludf.DUMMYFUNCTION("""COMPUTED_VALUE"""),68.1663)</f>
        <v>68.1663</v>
      </c>
      <c r="E382" s="11"/>
    </row>
    <row r="383">
      <c r="B383" s="11">
        <f>IFERROR(__xludf.DUMMYFUNCTION("""COMPUTED_VALUE"""),34425.0)</f>
        <v>34425</v>
      </c>
      <c r="C383" s="9">
        <f>IFERROR(__xludf.DUMMYFUNCTION("""COMPUTED_VALUE"""),67.8541)</f>
        <v>67.8541</v>
      </c>
      <c r="E383" s="11"/>
    </row>
    <row r="384">
      <c r="B384" s="11">
        <f>IFERROR(__xludf.DUMMYFUNCTION("""COMPUTED_VALUE"""),34394.0)</f>
        <v>34394</v>
      </c>
      <c r="C384" s="9">
        <f>IFERROR(__xludf.DUMMYFUNCTION("""COMPUTED_VALUE"""),67.4552)</f>
        <v>67.4552</v>
      </c>
      <c r="E384" s="11"/>
    </row>
    <row r="385">
      <c r="B385" s="11">
        <f>IFERROR(__xludf.DUMMYFUNCTION("""COMPUTED_VALUE"""),34366.0)</f>
        <v>34366</v>
      </c>
      <c r="C385" s="9">
        <f>IFERROR(__xludf.DUMMYFUNCTION("""COMPUTED_VALUE"""),66.774)</f>
        <v>66.774</v>
      </c>
      <c r="E385" s="11"/>
    </row>
    <row r="386">
      <c r="B386" s="11">
        <f>IFERROR(__xludf.DUMMYFUNCTION("""COMPUTED_VALUE"""),34335.0)</f>
        <v>34335</v>
      </c>
      <c r="C386" s="9">
        <f>IFERROR(__xludf.DUMMYFUNCTION("""COMPUTED_VALUE"""),66.7351)</f>
        <v>66.7351</v>
      </c>
      <c r="E386" s="11"/>
    </row>
    <row r="387">
      <c r="B387" s="11">
        <f>IFERROR(__xludf.DUMMYFUNCTION("""COMPUTED_VALUE"""),34304.0)</f>
        <v>34304</v>
      </c>
      <c r="C387" s="9">
        <f>IFERROR(__xludf.DUMMYFUNCTION("""COMPUTED_VALUE"""),66.5436)</f>
        <v>66.5436</v>
      </c>
      <c r="E387" s="11"/>
    </row>
    <row r="388">
      <c r="B388" s="11">
        <f>IFERROR(__xludf.DUMMYFUNCTION("""COMPUTED_VALUE"""),34274.0)</f>
        <v>34274</v>
      </c>
      <c r="C388" s="9">
        <f>IFERROR(__xludf.DUMMYFUNCTION("""COMPUTED_VALUE"""),66.1518)</f>
        <v>66.1518</v>
      </c>
      <c r="E388" s="11"/>
    </row>
    <row r="389">
      <c r="B389" s="11">
        <f>IFERROR(__xludf.DUMMYFUNCTION("""COMPUTED_VALUE"""),34243.0)</f>
        <v>34243</v>
      </c>
      <c r="C389" s="9">
        <f>IFERROR(__xludf.DUMMYFUNCTION("""COMPUTED_VALUE"""),65.8509)</f>
        <v>65.8509</v>
      </c>
      <c r="E389" s="11"/>
    </row>
    <row r="390">
      <c r="B390" s="11">
        <f>IFERROR(__xludf.DUMMYFUNCTION("""COMPUTED_VALUE"""),34213.0)</f>
        <v>34213</v>
      </c>
      <c r="C390" s="9">
        <f>IFERROR(__xludf.DUMMYFUNCTION("""COMPUTED_VALUE"""),65.3717)</f>
        <v>65.3717</v>
      </c>
      <c r="E390" s="11"/>
    </row>
    <row r="391">
      <c r="B391" s="11">
        <f>IFERROR(__xludf.DUMMYFUNCTION("""COMPUTED_VALUE"""),34182.0)</f>
        <v>34182</v>
      </c>
      <c r="C391" s="9">
        <f>IFERROR(__xludf.DUMMYFUNCTION("""COMPUTED_VALUE"""),65.0267)</f>
        <v>65.0267</v>
      </c>
      <c r="E391" s="11"/>
    </row>
    <row r="392">
      <c r="B392" s="11">
        <f>IFERROR(__xludf.DUMMYFUNCTION("""COMPUTED_VALUE"""),34151.0)</f>
        <v>34151</v>
      </c>
      <c r="C392" s="9">
        <f>IFERROR(__xludf.DUMMYFUNCTION("""COMPUTED_VALUE"""),65.1052)</f>
        <v>65.1052</v>
      </c>
      <c r="E392" s="11"/>
    </row>
    <row r="393">
      <c r="B393" s="11">
        <f>IFERROR(__xludf.DUMMYFUNCTION("""COMPUTED_VALUE"""),34121.0)</f>
        <v>34121</v>
      </c>
      <c r="C393" s="9">
        <f>IFERROR(__xludf.DUMMYFUNCTION("""COMPUTED_VALUE"""),64.9301)</f>
        <v>64.9301</v>
      </c>
      <c r="E393" s="11"/>
    </row>
    <row r="394">
      <c r="B394" s="11">
        <f>IFERROR(__xludf.DUMMYFUNCTION("""COMPUTED_VALUE"""),34090.0)</f>
        <v>34090</v>
      </c>
      <c r="C394" s="9">
        <f>IFERROR(__xludf.DUMMYFUNCTION("""COMPUTED_VALUE"""),64.784)</f>
        <v>64.784</v>
      </c>
      <c r="E394" s="11"/>
    </row>
    <row r="395">
      <c r="B395" s="11">
        <f>IFERROR(__xludf.DUMMYFUNCTION("""COMPUTED_VALUE"""),34060.0)</f>
        <v>34060</v>
      </c>
      <c r="C395" s="9">
        <f>IFERROR(__xludf.DUMMYFUNCTION("""COMPUTED_VALUE"""),65.0301)</f>
        <v>65.0301</v>
      </c>
      <c r="E395" s="11"/>
    </row>
    <row r="396">
      <c r="B396" s="11">
        <f>IFERROR(__xludf.DUMMYFUNCTION("""COMPUTED_VALUE"""),34029.0)</f>
        <v>34029</v>
      </c>
      <c r="C396" s="9">
        <f>IFERROR(__xludf.DUMMYFUNCTION("""COMPUTED_VALUE"""),64.8522)</f>
        <v>64.8522</v>
      </c>
      <c r="E396" s="11"/>
    </row>
    <row r="397">
      <c r="B397" s="11">
        <f>IFERROR(__xludf.DUMMYFUNCTION("""COMPUTED_VALUE"""),34001.0)</f>
        <v>34001</v>
      </c>
      <c r="C397" s="9">
        <f>IFERROR(__xludf.DUMMYFUNCTION("""COMPUTED_VALUE"""),64.9089)</f>
        <v>64.9089</v>
      </c>
      <c r="E397" s="11"/>
    </row>
    <row r="398">
      <c r="B398" s="11">
        <f>IFERROR(__xludf.DUMMYFUNCTION("""COMPUTED_VALUE"""),33970.0)</f>
        <v>33970</v>
      </c>
      <c r="C398" s="9">
        <f>IFERROR(__xludf.DUMMYFUNCTION("""COMPUTED_VALUE"""),64.5978)</f>
        <v>64.5978</v>
      </c>
      <c r="E398" s="11"/>
    </row>
    <row r="399">
      <c r="B399" s="11">
        <f>IFERROR(__xludf.DUMMYFUNCTION("""COMPUTED_VALUE"""),33939.0)</f>
        <v>33939</v>
      </c>
      <c r="C399" s="9">
        <f>IFERROR(__xludf.DUMMYFUNCTION("""COMPUTED_VALUE"""),64.3507)</f>
        <v>64.3507</v>
      </c>
      <c r="E399" s="11"/>
    </row>
    <row r="400">
      <c r="B400" s="11">
        <f>IFERROR(__xludf.DUMMYFUNCTION("""COMPUTED_VALUE"""),33909.0)</f>
        <v>33909</v>
      </c>
      <c r="C400" s="9">
        <f>IFERROR(__xludf.DUMMYFUNCTION("""COMPUTED_VALUE"""),64.2422)</f>
        <v>64.2422</v>
      </c>
      <c r="E400" s="11"/>
    </row>
    <row r="401">
      <c r="B401" s="11">
        <f>IFERROR(__xludf.DUMMYFUNCTION("""COMPUTED_VALUE"""),33878.0)</f>
        <v>33878</v>
      </c>
      <c r="C401" s="9">
        <f>IFERROR(__xludf.DUMMYFUNCTION("""COMPUTED_VALUE"""),63.9995)</f>
        <v>63.9995</v>
      </c>
      <c r="E401" s="11"/>
    </row>
    <row r="402">
      <c r="B402" s="11">
        <f>IFERROR(__xludf.DUMMYFUNCTION("""COMPUTED_VALUE"""),33848.0)</f>
        <v>33848</v>
      </c>
      <c r="C402" s="9">
        <f>IFERROR(__xludf.DUMMYFUNCTION("""COMPUTED_VALUE"""),63.5703)</f>
        <v>63.5703</v>
      </c>
      <c r="E402" s="11"/>
    </row>
    <row r="403">
      <c r="B403" s="11">
        <f>IFERROR(__xludf.DUMMYFUNCTION("""COMPUTED_VALUE"""),33817.0)</f>
        <v>33817</v>
      </c>
      <c r="C403" s="9">
        <f>IFERROR(__xludf.DUMMYFUNCTION("""COMPUTED_VALUE"""),63.3613)</f>
        <v>63.3613</v>
      </c>
      <c r="E403" s="11"/>
    </row>
    <row r="404">
      <c r="B404" s="11">
        <f>IFERROR(__xludf.DUMMYFUNCTION("""COMPUTED_VALUE"""),33786.0)</f>
        <v>33786</v>
      </c>
      <c r="C404" s="9">
        <f>IFERROR(__xludf.DUMMYFUNCTION("""COMPUTED_VALUE"""),63.7176)</f>
        <v>63.7176</v>
      </c>
      <c r="E404" s="11"/>
    </row>
    <row r="405">
      <c r="B405" s="11">
        <f>IFERROR(__xludf.DUMMYFUNCTION("""COMPUTED_VALUE"""),33756.0)</f>
        <v>33756</v>
      </c>
      <c r="C405" s="9">
        <f>IFERROR(__xludf.DUMMYFUNCTION("""COMPUTED_VALUE"""),63.1363)</f>
        <v>63.1363</v>
      </c>
      <c r="E405" s="11"/>
    </row>
    <row r="406">
      <c r="B406" s="11">
        <f>IFERROR(__xludf.DUMMYFUNCTION("""COMPUTED_VALUE"""),33725.0)</f>
        <v>33725</v>
      </c>
      <c r="C406" s="9">
        <f>IFERROR(__xludf.DUMMYFUNCTION("""COMPUTED_VALUE"""),63.104)</f>
        <v>63.104</v>
      </c>
      <c r="E406" s="11"/>
    </row>
    <row r="407">
      <c r="B407" s="11">
        <f>IFERROR(__xludf.DUMMYFUNCTION("""COMPUTED_VALUE"""),33695.0)</f>
        <v>33695</v>
      </c>
      <c r="C407" s="9">
        <f>IFERROR(__xludf.DUMMYFUNCTION("""COMPUTED_VALUE"""),62.897)</f>
        <v>62.897</v>
      </c>
      <c r="E407" s="11"/>
    </row>
    <row r="408">
      <c r="B408" s="11">
        <f>IFERROR(__xludf.DUMMYFUNCTION("""COMPUTED_VALUE"""),33664.0)</f>
        <v>33664</v>
      </c>
      <c r="C408" s="9">
        <f>IFERROR(__xludf.DUMMYFUNCTION("""COMPUTED_VALUE"""),62.4232)</f>
        <v>62.4232</v>
      </c>
      <c r="E408" s="11"/>
    </row>
    <row r="409">
      <c r="B409" s="11">
        <f>IFERROR(__xludf.DUMMYFUNCTION("""COMPUTED_VALUE"""),33635.0)</f>
        <v>33635</v>
      </c>
      <c r="C409" s="9">
        <f>IFERROR(__xludf.DUMMYFUNCTION("""COMPUTED_VALUE"""),61.8955)</f>
        <v>61.8955</v>
      </c>
      <c r="E409" s="11"/>
    </row>
    <row r="410">
      <c r="B410" s="11">
        <f>IFERROR(__xludf.DUMMYFUNCTION("""COMPUTED_VALUE"""),33604.0)</f>
        <v>33604</v>
      </c>
      <c r="C410" s="9">
        <f>IFERROR(__xludf.DUMMYFUNCTION("""COMPUTED_VALUE"""),61.4616)</f>
        <v>61.4616</v>
      </c>
      <c r="E410" s="11"/>
    </row>
    <row r="411">
      <c r="B411" s="11">
        <f>IFERROR(__xludf.DUMMYFUNCTION("""COMPUTED_VALUE"""),33573.0)</f>
        <v>33573</v>
      </c>
      <c r="C411" s="9">
        <f>IFERROR(__xludf.DUMMYFUNCTION("""COMPUTED_VALUE"""),61.7852)</f>
        <v>61.7852</v>
      </c>
      <c r="E411" s="11"/>
    </row>
    <row r="412">
      <c r="B412" s="11">
        <f>IFERROR(__xludf.DUMMYFUNCTION("""COMPUTED_VALUE"""),33543.0)</f>
        <v>33543</v>
      </c>
      <c r="C412" s="9">
        <f>IFERROR(__xludf.DUMMYFUNCTION("""COMPUTED_VALUE"""),62.0871)</f>
        <v>62.0871</v>
      </c>
      <c r="E412" s="11"/>
    </row>
    <row r="413">
      <c r="B413" s="11">
        <f>IFERROR(__xludf.DUMMYFUNCTION("""COMPUTED_VALUE"""),33512.0)</f>
        <v>33512</v>
      </c>
      <c r="C413" s="9">
        <f>IFERROR(__xludf.DUMMYFUNCTION("""COMPUTED_VALUE"""),62.1855)</f>
        <v>62.1855</v>
      </c>
      <c r="E413" s="11"/>
    </row>
    <row r="414">
      <c r="B414" s="11">
        <f>IFERROR(__xludf.DUMMYFUNCTION("""COMPUTED_VALUE"""),33482.0)</f>
        <v>33482</v>
      </c>
      <c r="C414" s="9">
        <f>IFERROR(__xludf.DUMMYFUNCTION("""COMPUTED_VALUE"""),62.2195)</f>
        <v>62.2195</v>
      </c>
      <c r="E414" s="11"/>
    </row>
    <row r="415">
      <c r="B415" s="11">
        <f>IFERROR(__xludf.DUMMYFUNCTION("""COMPUTED_VALUE"""),33451.0)</f>
        <v>33451</v>
      </c>
      <c r="C415" s="9">
        <f>IFERROR(__xludf.DUMMYFUNCTION("""COMPUTED_VALUE"""),61.7298)</f>
        <v>61.7298</v>
      </c>
      <c r="E415" s="11"/>
    </row>
    <row r="416">
      <c r="B416" s="11">
        <f>IFERROR(__xludf.DUMMYFUNCTION("""COMPUTED_VALUE"""),33420.0)</f>
        <v>33420</v>
      </c>
      <c r="C416" s="9">
        <f>IFERROR(__xludf.DUMMYFUNCTION("""COMPUTED_VALUE"""),61.7305)</f>
        <v>61.7305</v>
      </c>
      <c r="E416" s="11"/>
    </row>
    <row r="417">
      <c r="B417" s="11">
        <f>IFERROR(__xludf.DUMMYFUNCTION("""COMPUTED_VALUE"""),33390.0)</f>
        <v>33390</v>
      </c>
      <c r="C417" s="9">
        <f>IFERROR(__xludf.DUMMYFUNCTION("""COMPUTED_VALUE"""),61.5581)</f>
        <v>61.5581</v>
      </c>
      <c r="E417" s="11"/>
    </row>
    <row r="418">
      <c r="B418" s="11">
        <f>IFERROR(__xludf.DUMMYFUNCTION("""COMPUTED_VALUE"""),33359.0)</f>
        <v>33359</v>
      </c>
      <c r="C418" s="9">
        <f>IFERROR(__xludf.DUMMYFUNCTION("""COMPUTED_VALUE"""),61.0633)</f>
        <v>61.0633</v>
      </c>
      <c r="E418" s="11"/>
    </row>
    <row r="419">
      <c r="B419" s="11">
        <f>IFERROR(__xludf.DUMMYFUNCTION("""COMPUTED_VALUE"""),33329.0)</f>
        <v>33329</v>
      </c>
      <c r="C419" s="9">
        <f>IFERROR(__xludf.DUMMYFUNCTION("""COMPUTED_VALUE"""),60.4938)</f>
        <v>60.4938</v>
      </c>
      <c r="E419" s="11"/>
    </row>
    <row r="420">
      <c r="B420" s="11">
        <f>IFERROR(__xludf.DUMMYFUNCTION("""COMPUTED_VALUE"""),33298.0)</f>
        <v>33298</v>
      </c>
      <c r="C420" s="9">
        <f>IFERROR(__xludf.DUMMYFUNCTION("""COMPUTED_VALUE"""),60.3346)</f>
        <v>60.3346</v>
      </c>
      <c r="E420" s="11"/>
    </row>
    <row r="421">
      <c r="B421" s="11">
        <f>IFERROR(__xludf.DUMMYFUNCTION("""COMPUTED_VALUE"""),33270.0)</f>
        <v>33270</v>
      </c>
      <c r="C421" s="9">
        <f>IFERROR(__xludf.DUMMYFUNCTION("""COMPUTED_VALUE"""),60.6838)</f>
        <v>60.6838</v>
      </c>
      <c r="E421" s="11"/>
    </row>
    <row r="422">
      <c r="B422" s="11">
        <f>IFERROR(__xludf.DUMMYFUNCTION("""COMPUTED_VALUE"""),33239.0)</f>
        <v>33239</v>
      </c>
      <c r="C422" s="9">
        <f>IFERROR(__xludf.DUMMYFUNCTION("""COMPUTED_VALUE"""),61.1355)</f>
        <v>61.1355</v>
      </c>
      <c r="E422" s="11"/>
    </row>
    <row r="423">
      <c r="B423" s="11">
        <f>IFERROR(__xludf.DUMMYFUNCTION("""COMPUTED_VALUE"""),33208.0)</f>
        <v>33208</v>
      </c>
      <c r="C423" s="9">
        <f>IFERROR(__xludf.DUMMYFUNCTION("""COMPUTED_VALUE"""),61.3352)</f>
        <v>61.3352</v>
      </c>
      <c r="E423" s="11"/>
    </row>
    <row r="424">
      <c r="B424" s="11">
        <f>IFERROR(__xludf.DUMMYFUNCTION("""COMPUTED_VALUE"""),33178.0)</f>
        <v>33178</v>
      </c>
      <c r="C424" s="9">
        <f>IFERROR(__xludf.DUMMYFUNCTION("""COMPUTED_VALUE"""),61.7887)</f>
        <v>61.7887</v>
      </c>
      <c r="E424" s="11"/>
    </row>
    <row r="425">
      <c r="B425" s="11">
        <f>IFERROR(__xludf.DUMMYFUNCTION("""COMPUTED_VALUE"""),33147.0)</f>
        <v>33147</v>
      </c>
      <c r="C425" s="9">
        <f>IFERROR(__xludf.DUMMYFUNCTION("""COMPUTED_VALUE"""),62.5845)</f>
        <v>62.5845</v>
      </c>
      <c r="E425" s="11"/>
    </row>
    <row r="426">
      <c r="B426" s="11">
        <f>IFERROR(__xludf.DUMMYFUNCTION("""COMPUTED_VALUE"""),33117.0)</f>
        <v>33117</v>
      </c>
      <c r="C426" s="9">
        <f>IFERROR(__xludf.DUMMYFUNCTION("""COMPUTED_VALUE"""),62.9523)</f>
        <v>62.9523</v>
      </c>
      <c r="E426" s="11"/>
    </row>
    <row r="427">
      <c r="B427" s="11">
        <f>IFERROR(__xludf.DUMMYFUNCTION("""COMPUTED_VALUE"""),33086.0)</f>
        <v>33086</v>
      </c>
      <c r="C427" s="9">
        <f>IFERROR(__xludf.DUMMYFUNCTION("""COMPUTED_VALUE"""),62.9475)</f>
        <v>62.9475</v>
      </c>
      <c r="E427" s="11"/>
    </row>
    <row r="428">
      <c r="B428" s="11">
        <f>IFERROR(__xludf.DUMMYFUNCTION("""COMPUTED_VALUE"""),33055.0)</f>
        <v>33055</v>
      </c>
      <c r="C428" s="9">
        <f>IFERROR(__xludf.DUMMYFUNCTION("""COMPUTED_VALUE"""),62.7284)</f>
        <v>62.7284</v>
      </c>
      <c r="E428" s="11"/>
    </row>
    <row r="429">
      <c r="B429" s="11">
        <f>IFERROR(__xludf.DUMMYFUNCTION("""COMPUTED_VALUE"""),33025.0)</f>
        <v>33025</v>
      </c>
      <c r="C429" s="9">
        <f>IFERROR(__xludf.DUMMYFUNCTION("""COMPUTED_VALUE"""),62.8382)</f>
        <v>62.8382</v>
      </c>
      <c r="E429" s="11"/>
    </row>
    <row r="430">
      <c r="B430" s="11">
        <f>IFERROR(__xludf.DUMMYFUNCTION("""COMPUTED_VALUE"""),32994.0)</f>
        <v>32994</v>
      </c>
      <c r="C430" s="9">
        <f>IFERROR(__xludf.DUMMYFUNCTION("""COMPUTED_VALUE"""),62.6258)</f>
        <v>62.6258</v>
      </c>
      <c r="E430" s="11"/>
    </row>
    <row r="431">
      <c r="B431" s="11">
        <f>IFERROR(__xludf.DUMMYFUNCTION("""COMPUTED_VALUE"""),32964.0)</f>
        <v>32964</v>
      </c>
      <c r="C431" s="9">
        <f>IFERROR(__xludf.DUMMYFUNCTION("""COMPUTED_VALUE"""),62.4359)</f>
        <v>62.4359</v>
      </c>
      <c r="E431" s="11"/>
    </row>
    <row r="432">
      <c r="B432" s="11">
        <f>IFERROR(__xludf.DUMMYFUNCTION("""COMPUTED_VALUE"""),32933.0)</f>
        <v>32933</v>
      </c>
      <c r="C432" s="9">
        <f>IFERROR(__xludf.DUMMYFUNCTION("""COMPUTED_VALUE"""),62.5999)</f>
        <v>62.5999</v>
      </c>
      <c r="E432" s="11"/>
    </row>
    <row r="433">
      <c r="B433" s="11">
        <f>IFERROR(__xludf.DUMMYFUNCTION("""COMPUTED_VALUE"""),32905.0)</f>
        <v>32905</v>
      </c>
      <c r="C433" s="9">
        <f>IFERROR(__xludf.DUMMYFUNCTION("""COMPUTED_VALUE"""),62.2896)</f>
        <v>62.2896</v>
      </c>
      <c r="E433" s="11"/>
    </row>
    <row r="434">
      <c r="B434" s="11">
        <f>IFERROR(__xludf.DUMMYFUNCTION("""COMPUTED_VALUE"""),32874.0)</f>
        <v>32874</v>
      </c>
      <c r="C434" s="9">
        <f>IFERROR(__xludf.DUMMYFUNCTION("""COMPUTED_VALUE"""),61.729)</f>
        <v>61.729</v>
      </c>
      <c r="E434" s="11"/>
    </row>
    <row r="435">
      <c r="B435" s="11">
        <f>IFERROR(__xludf.DUMMYFUNCTION("""COMPUTED_VALUE"""),32843.0)</f>
        <v>32843</v>
      </c>
      <c r="C435" s="9">
        <f>IFERROR(__xludf.DUMMYFUNCTION("""COMPUTED_VALUE"""),62.0428)</f>
        <v>62.0428</v>
      </c>
      <c r="E435" s="11"/>
    </row>
    <row r="436">
      <c r="B436" s="11">
        <f>IFERROR(__xludf.DUMMYFUNCTION("""COMPUTED_VALUE"""),32813.0)</f>
        <v>32813</v>
      </c>
      <c r="C436" s="9">
        <f>IFERROR(__xludf.DUMMYFUNCTION("""COMPUTED_VALUE"""),61.7044)</f>
        <v>61.7044</v>
      </c>
      <c r="E436" s="11"/>
    </row>
    <row r="437">
      <c r="B437" s="11">
        <f>IFERROR(__xludf.DUMMYFUNCTION("""COMPUTED_VALUE"""),32782.0)</f>
        <v>32782</v>
      </c>
      <c r="C437" s="9">
        <f>IFERROR(__xludf.DUMMYFUNCTION("""COMPUTED_VALUE"""),61.4966)</f>
        <v>61.4966</v>
      </c>
      <c r="E437" s="11"/>
    </row>
    <row r="438">
      <c r="B438" s="11">
        <f>IFERROR(__xludf.DUMMYFUNCTION("""COMPUTED_VALUE"""),32752.0)</f>
        <v>32752</v>
      </c>
      <c r="C438" s="9">
        <f>IFERROR(__xludf.DUMMYFUNCTION("""COMPUTED_VALUE"""),61.5796)</f>
        <v>61.5796</v>
      </c>
      <c r="E438" s="11"/>
    </row>
    <row r="439">
      <c r="B439" s="11">
        <f>IFERROR(__xludf.DUMMYFUNCTION("""COMPUTED_VALUE"""),32721.0)</f>
        <v>32721</v>
      </c>
      <c r="C439" s="9">
        <f>IFERROR(__xludf.DUMMYFUNCTION("""COMPUTED_VALUE"""),61.7732)</f>
        <v>61.7732</v>
      </c>
      <c r="E439" s="11"/>
    </row>
    <row r="440">
      <c r="B440" s="11">
        <f>IFERROR(__xludf.DUMMYFUNCTION("""COMPUTED_VALUE"""),32690.0)</f>
        <v>32690</v>
      </c>
      <c r="C440" s="9">
        <f>IFERROR(__xludf.DUMMYFUNCTION("""COMPUTED_VALUE"""),61.1738)</f>
        <v>61.1738</v>
      </c>
      <c r="E440" s="11"/>
    </row>
    <row r="441">
      <c r="B441" s="11">
        <f>IFERROR(__xludf.DUMMYFUNCTION("""COMPUTED_VALUE"""),32660.0)</f>
        <v>32660</v>
      </c>
      <c r="C441" s="9">
        <f>IFERROR(__xludf.DUMMYFUNCTION("""COMPUTED_VALUE"""),61.7697)</f>
        <v>61.7697</v>
      </c>
      <c r="E441" s="11"/>
    </row>
    <row r="442">
      <c r="B442" s="11">
        <f>IFERROR(__xludf.DUMMYFUNCTION("""COMPUTED_VALUE"""),32629.0)</f>
        <v>32629</v>
      </c>
      <c r="C442" s="9">
        <f>IFERROR(__xludf.DUMMYFUNCTION("""COMPUTED_VALUE"""),61.7744)</f>
        <v>61.7744</v>
      </c>
      <c r="E442" s="11"/>
    </row>
    <row r="443">
      <c r="B443" s="11">
        <f>IFERROR(__xludf.DUMMYFUNCTION("""COMPUTED_VALUE"""),32599.0)</f>
        <v>32599</v>
      </c>
      <c r="C443" s="9">
        <f>IFERROR(__xludf.DUMMYFUNCTION("""COMPUTED_VALUE"""),62.1276)</f>
        <v>62.1276</v>
      </c>
      <c r="E443" s="11"/>
    </row>
    <row r="444">
      <c r="B444" s="11">
        <f>IFERROR(__xludf.DUMMYFUNCTION("""COMPUTED_VALUE"""),32568.0)</f>
        <v>32568</v>
      </c>
      <c r="C444" s="9">
        <f>IFERROR(__xludf.DUMMYFUNCTION("""COMPUTED_VALUE"""),62.1369)</f>
        <v>62.1369</v>
      </c>
      <c r="E444" s="11"/>
    </row>
    <row r="445">
      <c r="B445" s="11">
        <f>IFERROR(__xludf.DUMMYFUNCTION("""COMPUTED_VALUE"""),32540.0)</f>
        <v>32540</v>
      </c>
      <c r="C445" s="9">
        <f>IFERROR(__xludf.DUMMYFUNCTION("""COMPUTED_VALUE"""),61.9819)</f>
        <v>61.9819</v>
      </c>
      <c r="E445" s="11"/>
    </row>
    <row r="446">
      <c r="B446" s="11">
        <f>IFERROR(__xludf.DUMMYFUNCTION("""COMPUTED_VALUE"""),32509.0)</f>
        <v>32509</v>
      </c>
      <c r="C446" s="9">
        <f>IFERROR(__xludf.DUMMYFUNCTION("""COMPUTED_VALUE"""),62.2574)</f>
        <v>62.2574</v>
      </c>
      <c r="E446" s="11"/>
    </row>
    <row r="447">
      <c r="B447" s="11">
        <f>IFERROR(__xludf.DUMMYFUNCTION("""COMPUTED_VALUE"""),32478.0)</f>
        <v>32478</v>
      </c>
      <c r="C447" s="9">
        <f>IFERROR(__xludf.DUMMYFUNCTION("""COMPUTED_VALUE"""),62.0743)</f>
        <v>62.0743</v>
      </c>
      <c r="E447" s="11"/>
    </row>
    <row r="448">
      <c r="B448" s="11">
        <f>IFERROR(__xludf.DUMMYFUNCTION("""COMPUTED_VALUE"""),32448.0)</f>
        <v>32448</v>
      </c>
      <c r="C448" s="9">
        <f>IFERROR(__xludf.DUMMYFUNCTION("""COMPUTED_VALUE"""),61.7944)</f>
        <v>61.7944</v>
      </c>
      <c r="E448" s="11"/>
    </row>
    <row r="449">
      <c r="B449" s="11">
        <f>IFERROR(__xludf.DUMMYFUNCTION("""COMPUTED_VALUE"""),32417.0)</f>
        <v>32417</v>
      </c>
      <c r="C449" s="9">
        <f>IFERROR(__xludf.DUMMYFUNCTION("""COMPUTED_VALUE"""),61.6453)</f>
        <v>61.6453</v>
      </c>
      <c r="E449" s="11"/>
    </row>
    <row r="450">
      <c r="B450" s="11">
        <f>IFERROR(__xludf.DUMMYFUNCTION("""COMPUTED_VALUE"""),32387.0)</f>
        <v>32387</v>
      </c>
      <c r="C450" s="9">
        <f>IFERROR(__xludf.DUMMYFUNCTION("""COMPUTED_VALUE"""),61.3807)</f>
        <v>61.3807</v>
      </c>
      <c r="E450" s="11"/>
    </row>
    <row r="451">
      <c r="B451" s="11">
        <f>IFERROR(__xludf.DUMMYFUNCTION("""COMPUTED_VALUE"""),32356.0)</f>
        <v>32356</v>
      </c>
      <c r="C451" s="9">
        <f>IFERROR(__xludf.DUMMYFUNCTION("""COMPUTED_VALUE"""),61.5731)</f>
        <v>61.5731</v>
      </c>
      <c r="E451" s="11"/>
    </row>
    <row r="452">
      <c r="B452" s="11">
        <f>IFERROR(__xludf.DUMMYFUNCTION("""COMPUTED_VALUE"""),32325.0)</f>
        <v>32325</v>
      </c>
      <c r="C452" s="9">
        <f>IFERROR(__xludf.DUMMYFUNCTION("""COMPUTED_VALUE"""),61.2659)</f>
        <v>61.2659</v>
      </c>
      <c r="E452" s="11"/>
    </row>
    <row r="453">
      <c r="B453" s="11">
        <f>IFERROR(__xludf.DUMMYFUNCTION("""COMPUTED_VALUE"""),32295.0)</f>
        <v>32295</v>
      </c>
      <c r="C453" s="9">
        <f>IFERROR(__xludf.DUMMYFUNCTION("""COMPUTED_VALUE"""),61.2569)</f>
        <v>61.2569</v>
      </c>
      <c r="E453" s="11"/>
    </row>
    <row r="454">
      <c r="B454" s="11">
        <f>IFERROR(__xludf.DUMMYFUNCTION("""COMPUTED_VALUE"""),32264.0)</f>
        <v>32264</v>
      </c>
      <c r="C454" s="9">
        <f>IFERROR(__xludf.DUMMYFUNCTION("""COMPUTED_VALUE"""),61.0797)</f>
        <v>61.0797</v>
      </c>
      <c r="E454" s="11"/>
    </row>
    <row r="455">
      <c r="B455" s="11">
        <f>IFERROR(__xludf.DUMMYFUNCTION("""COMPUTED_VALUE"""),32234.0)</f>
        <v>32234</v>
      </c>
      <c r="C455" s="9">
        <f>IFERROR(__xludf.DUMMYFUNCTION("""COMPUTED_VALUE"""),61.2031)</f>
        <v>61.2031</v>
      </c>
      <c r="E455" s="11"/>
    </row>
    <row r="456">
      <c r="B456" s="11">
        <f>IFERROR(__xludf.DUMMYFUNCTION("""COMPUTED_VALUE"""),32203.0)</f>
        <v>32203</v>
      </c>
      <c r="C456" s="9">
        <f>IFERROR(__xludf.DUMMYFUNCTION("""COMPUTED_VALUE"""),60.8501)</f>
        <v>60.8501</v>
      </c>
      <c r="E456" s="11"/>
    </row>
    <row r="457">
      <c r="B457" s="11">
        <f>IFERROR(__xludf.DUMMYFUNCTION("""COMPUTED_VALUE"""),32174.0)</f>
        <v>32174</v>
      </c>
      <c r="C457" s="9">
        <f>IFERROR(__xludf.DUMMYFUNCTION("""COMPUTED_VALUE"""),60.7003)</f>
        <v>60.7003</v>
      </c>
      <c r="E457" s="11"/>
    </row>
    <row r="458">
      <c r="B458" s="11">
        <f>IFERROR(__xludf.DUMMYFUNCTION("""COMPUTED_VALUE"""),32143.0)</f>
        <v>32143</v>
      </c>
      <c r="C458" s="9">
        <f>IFERROR(__xludf.DUMMYFUNCTION("""COMPUTED_VALUE"""),60.3976)</f>
        <v>60.3976</v>
      </c>
      <c r="E458" s="11"/>
    </row>
    <row r="459">
      <c r="B459" s="11">
        <f>IFERROR(__xludf.DUMMYFUNCTION("""COMPUTED_VALUE"""),32112.0)</f>
        <v>32112</v>
      </c>
      <c r="C459" s="9">
        <f>IFERROR(__xludf.DUMMYFUNCTION("""COMPUTED_VALUE"""),60.4095)</f>
        <v>60.4095</v>
      </c>
      <c r="E459" s="11"/>
    </row>
    <row r="460">
      <c r="B460" s="11">
        <f>IFERROR(__xludf.DUMMYFUNCTION("""COMPUTED_VALUE"""),32082.0)</f>
        <v>32082</v>
      </c>
      <c r="C460" s="9">
        <f>IFERROR(__xludf.DUMMYFUNCTION("""COMPUTED_VALUE"""),60.0726)</f>
        <v>60.0726</v>
      </c>
      <c r="E460" s="11"/>
    </row>
    <row r="461">
      <c r="B461" s="11">
        <f>IFERROR(__xludf.DUMMYFUNCTION("""COMPUTED_VALUE"""),32051.0)</f>
        <v>32051</v>
      </c>
      <c r="C461" s="9">
        <f>IFERROR(__xludf.DUMMYFUNCTION("""COMPUTED_VALUE"""),59.781)</f>
        <v>59.781</v>
      </c>
      <c r="E461" s="11"/>
    </row>
    <row r="462">
      <c r="B462" s="11">
        <f>IFERROR(__xludf.DUMMYFUNCTION("""COMPUTED_VALUE"""),32021.0)</f>
        <v>32021</v>
      </c>
      <c r="C462" s="9">
        <f>IFERROR(__xludf.DUMMYFUNCTION("""COMPUTED_VALUE"""),58.9951)</f>
        <v>58.9951</v>
      </c>
      <c r="E462" s="11"/>
    </row>
    <row r="463">
      <c r="B463" s="11">
        <f>IFERROR(__xludf.DUMMYFUNCTION("""COMPUTED_VALUE"""),31990.0)</f>
        <v>31990</v>
      </c>
      <c r="C463" s="9">
        <f>IFERROR(__xludf.DUMMYFUNCTION("""COMPUTED_VALUE"""),58.7636)</f>
        <v>58.7636</v>
      </c>
      <c r="E463" s="11"/>
    </row>
    <row r="464">
      <c r="B464" s="11">
        <f>IFERROR(__xludf.DUMMYFUNCTION("""COMPUTED_VALUE"""),31959.0)</f>
        <v>31959</v>
      </c>
      <c r="C464" s="9">
        <f>IFERROR(__xludf.DUMMYFUNCTION("""COMPUTED_VALUE"""),58.3258)</f>
        <v>58.3258</v>
      </c>
      <c r="E464" s="11"/>
    </row>
    <row r="465">
      <c r="B465" s="11">
        <f>IFERROR(__xludf.DUMMYFUNCTION("""COMPUTED_VALUE"""),31929.0)</f>
        <v>31929</v>
      </c>
      <c r="C465" s="9">
        <f>IFERROR(__xludf.DUMMYFUNCTION("""COMPUTED_VALUE"""),57.9307)</f>
        <v>57.9307</v>
      </c>
      <c r="E465" s="11"/>
    </row>
    <row r="466">
      <c r="B466" s="11">
        <f>IFERROR(__xludf.DUMMYFUNCTION("""COMPUTED_VALUE"""),31898.0)</f>
        <v>31898</v>
      </c>
      <c r="C466" s="9">
        <f>IFERROR(__xludf.DUMMYFUNCTION("""COMPUTED_VALUE"""),57.6322)</f>
        <v>57.6322</v>
      </c>
      <c r="E466" s="11"/>
    </row>
    <row r="467">
      <c r="B467" s="11">
        <f>IFERROR(__xludf.DUMMYFUNCTION("""COMPUTED_VALUE"""),31868.0)</f>
        <v>31868</v>
      </c>
      <c r="C467" s="9">
        <f>IFERROR(__xludf.DUMMYFUNCTION("""COMPUTED_VALUE"""),57.2701)</f>
        <v>57.2701</v>
      </c>
      <c r="E467" s="11"/>
    </row>
    <row r="468">
      <c r="B468" s="11">
        <f>IFERROR(__xludf.DUMMYFUNCTION("""COMPUTED_VALUE"""),31837.0)</f>
        <v>31837</v>
      </c>
      <c r="C468" s="9">
        <f>IFERROR(__xludf.DUMMYFUNCTION("""COMPUTED_VALUE"""),56.9098)</f>
        <v>56.9098</v>
      </c>
      <c r="E468" s="11"/>
    </row>
    <row r="469">
      <c r="B469" s="11">
        <f>IFERROR(__xludf.DUMMYFUNCTION("""COMPUTED_VALUE"""),31809.0)</f>
        <v>31809</v>
      </c>
      <c r="C469" s="9">
        <f>IFERROR(__xludf.DUMMYFUNCTION("""COMPUTED_VALUE"""),56.8275)</f>
        <v>56.8275</v>
      </c>
      <c r="E469" s="11"/>
    </row>
    <row r="470">
      <c r="B470" s="11">
        <f>IFERROR(__xludf.DUMMYFUNCTION("""COMPUTED_VALUE"""),31778.0)</f>
        <v>31778</v>
      </c>
      <c r="C470" s="9">
        <f>IFERROR(__xludf.DUMMYFUNCTION("""COMPUTED_VALUE"""),56.0882)</f>
        <v>56.0882</v>
      </c>
      <c r="E470" s="11"/>
    </row>
    <row r="471">
      <c r="B471" s="11">
        <f>IFERROR(__xludf.DUMMYFUNCTION("""COMPUTED_VALUE"""),31747.0)</f>
        <v>31747</v>
      </c>
      <c r="C471" s="9">
        <f>IFERROR(__xludf.DUMMYFUNCTION("""COMPUTED_VALUE"""),56.2845)</f>
        <v>56.2845</v>
      </c>
      <c r="E471" s="11"/>
    </row>
    <row r="472">
      <c r="B472" s="11">
        <f>IFERROR(__xludf.DUMMYFUNCTION("""COMPUTED_VALUE"""),31717.0)</f>
        <v>31717</v>
      </c>
      <c r="C472" s="9">
        <f>IFERROR(__xludf.DUMMYFUNCTION("""COMPUTED_VALUE"""),55.7557)</f>
        <v>55.7557</v>
      </c>
      <c r="E472" s="11"/>
    </row>
    <row r="473">
      <c r="B473" s="11">
        <f>IFERROR(__xludf.DUMMYFUNCTION("""COMPUTED_VALUE"""),31686.0)</f>
        <v>31686</v>
      </c>
      <c r="C473" s="9">
        <f>IFERROR(__xludf.DUMMYFUNCTION("""COMPUTED_VALUE"""),55.5332)</f>
        <v>55.5332</v>
      </c>
      <c r="E473" s="11"/>
    </row>
    <row r="474">
      <c r="B474" s="11">
        <f>IFERROR(__xludf.DUMMYFUNCTION("""COMPUTED_VALUE"""),31656.0)</f>
        <v>31656</v>
      </c>
      <c r="C474" s="9">
        <f>IFERROR(__xludf.DUMMYFUNCTION("""COMPUTED_VALUE"""),55.2975)</f>
        <v>55.2975</v>
      </c>
      <c r="E474" s="11"/>
    </row>
    <row r="475">
      <c r="B475" s="11">
        <f>IFERROR(__xludf.DUMMYFUNCTION("""COMPUTED_VALUE"""),31625.0)</f>
        <v>31625</v>
      </c>
      <c r="C475" s="9">
        <f>IFERROR(__xludf.DUMMYFUNCTION("""COMPUTED_VALUE"""),55.1567)</f>
        <v>55.1567</v>
      </c>
      <c r="E475" s="11"/>
    </row>
    <row r="476">
      <c r="B476" s="11">
        <f>IFERROR(__xludf.DUMMYFUNCTION("""COMPUTED_VALUE"""),31594.0)</f>
        <v>31594</v>
      </c>
      <c r="C476" s="9">
        <f>IFERROR(__xludf.DUMMYFUNCTION("""COMPUTED_VALUE"""),55.2592)</f>
        <v>55.2592</v>
      </c>
      <c r="E476" s="11"/>
    </row>
    <row r="477">
      <c r="B477" s="11">
        <f>IFERROR(__xludf.DUMMYFUNCTION("""COMPUTED_VALUE"""),31564.0)</f>
        <v>31564</v>
      </c>
      <c r="C477" s="9">
        <f>IFERROR(__xludf.DUMMYFUNCTION("""COMPUTED_VALUE"""),54.9005)</f>
        <v>54.9005</v>
      </c>
      <c r="E477" s="11"/>
    </row>
    <row r="478">
      <c r="B478" s="11">
        <f>IFERROR(__xludf.DUMMYFUNCTION("""COMPUTED_VALUE"""),31533.0)</f>
        <v>31533</v>
      </c>
      <c r="C478" s="9">
        <f>IFERROR(__xludf.DUMMYFUNCTION("""COMPUTED_VALUE"""),55.1226)</f>
        <v>55.1226</v>
      </c>
      <c r="E478" s="11"/>
    </row>
    <row r="479">
      <c r="B479" s="11">
        <f>IFERROR(__xludf.DUMMYFUNCTION("""COMPUTED_VALUE"""),31503.0)</f>
        <v>31503</v>
      </c>
      <c r="C479" s="9">
        <f>IFERROR(__xludf.DUMMYFUNCTION("""COMPUTED_VALUE"""),55.0413)</f>
        <v>55.0413</v>
      </c>
      <c r="E479" s="11"/>
    </row>
    <row r="480">
      <c r="B480" s="11">
        <f>IFERROR(__xludf.DUMMYFUNCTION("""COMPUTED_VALUE"""),31472.0)</f>
        <v>31472</v>
      </c>
      <c r="C480" s="9">
        <f>IFERROR(__xludf.DUMMYFUNCTION("""COMPUTED_VALUE"""),54.9625)</f>
        <v>54.9625</v>
      </c>
      <c r="E480" s="11"/>
    </row>
    <row r="481">
      <c r="B481" s="11">
        <f>IFERROR(__xludf.DUMMYFUNCTION("""COMPUTED_VALUE"""),31444.0)</f>
        <v>31444</v>
      </c>
      <c r="C481" s="9">
        <f>IFERROR(__xludf.DUMMYFUNCTION("""COMPUTED_VALUE"""),55.3568)</f>
        <v>55.3568</v>
      </c>
      <c r="E481" s="11"/>
    </row>
    <row r="482">
      <c r="B482" s="11">
        <f>IFERROR(__xludf.DUMMYFUNCTION("""COMPUTED_VALUE"""),31413.0)</f>
        <v>31413</v>
      </c>
      <c r="C482" s="9">
        <f>IFERROR(__xludf.DUMMYFUNCTION("""COMPUTED_VALUE"""),55.7481)</f>
        <v>55.7481</v>
      </c>
      <c r="E482" s="11"/>
    </row>
    <row r="483">
      <c r="B483" s="11">
        <f>IFERROR(__xludf.DUMMYFUNCTION("""COMPUTED_VALUE"""),31382.0)</f>
        <v>31382</v>
      </c>
      <c r="C483" s="9">
        <f>IFERROR(__xludf.DUMMYFUNCTION("""COMPUTED_VALUE"""),55.4412)</f>
        <v>55.4412</v>
      </c>
      <c r="E483" s="11"/>
    </row>
    <row r="484">
      <c r="B484" s="11">
        <f>IFERROR(__xludf.DUMMYFUNCTION("""COMPUTED_VALUE"""),31352.0)</f>
        <v>31352</v>
      </c>
      <c r="C484" s="9">
        <f>IFERROR(__xludf.DUMMYFUNCTION("""COMPUTED_VALUE"""),54.9124)</f>
        <v>54.9124</v>
      </c>
      <c r="E484" s="11"/>
    </row>
    <row r="485">
      <c r="B485" s="11">
        <f>IFERROR(__xludf.DUMMYFUNCTION("""COMPUTED_VALUE"""),31321.0)</f>
        <v>31321</v>
      </c>
      <c r="C485" s="9">
        <f>IFERROR(__xludf.DUMMYFUNCTION("""COMPUTED_VALUE"""),54.7199)</f>
        <v>54.7199</v>
      </c>
      <c r="E485" s="11"/>
    </row>
    <row r="486">
      <c r="B486" s="11">
        <f>IFERROR(__xludf.DUMMYFUNCTION("""COMPUTED_VALUE"""),31291.0)</f>
        <v>31291</v>
      </c>
      <c r="C486" s="9">
        <f>IFERROR(__xludf.DUMMYFUNCTION("""COMPUTED_VALUE"""),54.8906)</f>
        <v>54.8906</v>
      </c>
      <c r="E486" s="11"/>
    </row>
    <row r="487">
      <c r="B487" s="11">
        <f>IFERROR(__xludf.DUMMYFUNCTION("""COMPUTED_VALUE"""),31260.0)</f>
        <v>31260</v>
      </c>
      <c r="C487" s="9">
        <f>IFERROR(__xludf.DUMMYFUNCTION("""COMPUTED_VALUE"""),54.7055)</f>
        <v>54.7055</v>
      </c>
      <c r="E487" s="11"/>
    </row>
    <row r="488">
      <c r="B488" s="11">
        <f>IFERROR(__xludf.DUMMYFUNCTION("""COMPUTED_VALUE"""),31229.0)</f>
        <v>31229</v>
      </c>
      <c r="C488" s="9">
        <f>IFERROR(__xludf.DUMMYFUNCTION("""COMPUTED_VALUE"""),54.5396)</f>
        <v>54.5396</v>
      </c>
      <c r="E488" s="11"/>
    </row>
    <row r="489">
      <c r="B489" s="11">
        <f>IFERROR(__xludf.DUMMYFUNCTION("""COMPUTED_VALUE"""),31199.0)</f>
        <v>31199</v>
      </c>
      <c r="C489" s="9">
        <f>IFERROR(__xludf.DUMMYFUNCTION("""COMPUTED_VALUE"""),54.7989)</f>
        <v>54.7989</v>
      </c>
      <c r="E489" s="11"/>
    </row>
    <row r="490">
      <c r="B490" s="11">
        <f>IFERROR(__xludf.DUMMYFUNCTION("""COMPUTED_VALUE"""),31168.0)</f>
        <v>31168</v>
      </c>
      <c r="C490" s="9">
        <f>IFERROR(__xludf.DUMMYFUNCTION("""COMPUTED_VALUE"""),54.8255)</f>
        <v>54.8255</v>
      </c>
      <c r="E490" s="11"/>
    </row>
    <row r="491">
      <c r="B491" s="11">
        <f>IFERROR(__xludf.DUMMYFUNCTION("""COMPUTED_VALUE"""),31138.0)</f>
        <v>31138</v>
      </c>
      <c r="C491" s="9">
        <f>IFERROR(__xludf.DUMMYFUNCTION("""COMPUTED_VALUE"""),54.7459)</f>
        <v>54.7459</v>
      </c>
      <c r="E491" s="11"/>
    </row>
    <row r="492">
      <c r="B492" s="11">
        <f>IFERROR(__xludf.DUMMYFUNCTION("""COMPUTED_VALUE"""),31107.0)</f>
        <v>31107</v>
      </c>
      <c r="C492" s="9">
        <f>IFERROR(__xludf.DUMMYFUNCTION("""COMPUTED_VALUE"""),54.8653)</f>
        <v>54.8653</v>
      </c>
      <c r="E492" s="11"/>
    </row>
    <row r="493">
      <c r="B493" s="11">
        <f>IFERROR(__xludf.DUMMYFUNCTION("""COMPUTED_VALUE"""),31079.0)</f>
        <v>31079</v>
      </c>
      <c r="C493" s="9">
        <f>IFERROR(__xludf.DUMMYFUNCTION("""COMPUTED_VALUE"""),54.7825)</f>
        <v>54.7825</v>
      </c>
      <c r="E493" s="11"/>
    </row>
    <row r="494">
      <c r="B494" s="11">
        <f>IFERROR(__xludf.DUMMYFUNCTION("""COMPUTED_VALUE"""),31048.0)</f>
        <v>31048</v>
      </c>
      <c r="C494" s="9">
        <f>IFERROR(__xludf.DUMMYFUNCTION("""COMPUTED_VALUE"""),54.6322)</f>
        <v>54.6322</v>
      </c>
      <c r="E494" s="11"/>
    </row>
    <row r="495">
      <c r="B495" s="11">
        <f>IFERROR(__xludf.DUMMYFUNCTION("""COMPUTED_VALUE"""),31017.0)</f>
        <v>31017</v>
      </c>
      <c r="C495" s="9">
        <f>IFERROR(__xludf.DUMMYFUNCTION("""COMPUTED_VALUE"""),54.6416)</f>
        <v>54.6416</v>
      </c>
      <c r="E495" s="11"/>
    </row>
    <row r="496">
      <c r="B496" s="11">
        <f>IFERROR(__xludf.DUMMYFUNCTION("""COMPUTED_VALUE"""),30987.0)</f>
        <v>30987</v>
      </c>
      <c r="C496" s="9">
        <f>IFERROR(__xludf.DUMMYFUNCTION("""COMPUTED_VALUE"""),54.624)</f>
        <v>54.624</v>
      </c>
      <c r="E496" s="11"/>
    </row>
    <row r="497">
      <c r="B497" s="11">
        <f>IFERROR(__xludf.DUMMYFUNCTION("""COMPUTED_VALUE"""),30956.0)</f>
        <v>30956</v>
      </c>
      <c r="C497" s="9">
        <f>IFERROR(__xludf.DUMMYFUNCTION("""COMPUTED_VALUE"""),54.4406)</f>
        <v>54.4406</v>
      </c>
      <c r="E497" s="11"/>
    </row>
    <row r="498">
      <c r="B498" s="11">
        <f>IFERROR(__xludf.DUMMYFUNCTION("""COMPUTED_VALUE"""),30926.0)</f>
        <v>30926</v>
      </c>
      <c r="C498" s="9">
        <f>IFERROR(__xludf.DUMMYFUNCTION("""COMPUTED_VALUE"""),54.4466)</f>
        <v>54.4466</v>
      </c>
      <c r="E498" s="11"/>
    </row>
    <row r="499">
      <c r="B499" s="11">
        <f>IFERROR(__xludf.DUMMYFUNCTION("""COMPUTED_VALUE"""),30895.0)</f>
        <v>30895</v>
      </c>
      <c r="C499" s="9">
        <f>IFERROR(__xludf.DUMMYFUNCTION("""COMPUTED_VALUE"""),54.6083)</f>
        <v>54.6083</v>
      </c>
      <c r="E499" s="11"/>
    </row>
    <row r="500">
      <c r="B500" s="11">
        <f>IFERROR(__xludf.DUMMYFUNCTION("""COMPUTED_VALUE"""),30864.0)</f>
        <v>30864</v>
      </c>
      <c r="C500" s="9">
        <f>IFERROR(__xludf.DUMMYFUNCTION("""COMPUTED_VALUE"""),54.5521)</f>
        <v>54.5521</v>
      </c>
      <c r="E500" s="11"/>
    </row>
    <row r="501">
      <c r="B501" s="11">
        <f>IFERROR(__xludf.DUMMYFUNCTION("""COMPUTED_VALUE"""),30834.0)</f>
        <v>30834</v>
      </c>
      <c r="C501" s="9">
        <f>IFERROR(__xludf.DUMMYFUNCTION("""COMPUTED_VALUE"""),54.4014)</f>
        <v>54.4014</v>
      </c>
      <c r="E501" s="11"/>
    </row>
    <row r="502">
      <c r="B502" s="11">
        <f>IFERROR(__xludf.DUMMYFUNCTION("""COMPUTED_VALUE"""),30803.0)</f>
        <v>30803</v>
      </c>
      <c r="C502" s="9">
        <f>IFERROR(__xludf.DUMMYFUNCTION("""COMPUTED_VALUE"""),54.2026)</f>
        <v>54.2026</v>
      </c>
      <c r="E502" s="11"/>
    </row>
    <row r="503">
      <c r="B503" s="11">
        <f>IFERROR(__xludf.DUMMYFUNCTION("""COMPUTED_VALUE"""),30773.0)</f>
        <v>30773</v>
      </c>
      <c r="C503" s="9">
        <f>IFERROR(__xludf.DUMMYFUNCTION("""COMPUTED_VALUE"""),53.91)</f>
        <v>53.91</v>
      </c>
      <c r="E503" s="11"/>
    </row>
    <row r="504">
      <c r="B504" s="11">
        <f>IFERROR(__xludf.DUMMYFUNCTION("""COMPUTED_VALUE"""),30742.0)</f>
        <v>30742</v>
      </c>
      <c r="C504" s="9">
        <f>IFERROR(__xludf.DUMMYFUNCTION("""COMPUTED_VALUE"""),53.5929)</f>
        <v>53.5929</v>
      </c>
      <c r="E504" s="11"/>
    </row>
    <row r="505">
      <c r="B505" s="11">
        <f>IFERROR(__xludf.DUMMYFUNCTION("""COMPUTED_VALUE"""),30713.0)</f>
        <v>30713</v>
      </c>
      <c r="C505" s="9">
        <f>IFERROR(__xludf.DUMMYFUNCTION("""COMPUTED_VALUE"""),53.3318)</f>
        <v>53.3318</v>
      </c>
      <c r="E505" s="11"/>
    </row>
    <row r="506">
      <c r="B506" s="11">
        <f>IFERROR(__xludf.DUMMYFUNCTION("""COMPUTED_VALUE"""),30682.0)</f>
        <v>30682</v>
      </c>
      <c r="C506" s="9">
        <f>IFERROR(__xludf.DUMMYFUNCTION("""COMPUTED_VALUE"""),53.0985)</f>
        <v>53.0985</v>
      </c>
      <c r="E506" s="11"/>
    </row>
    <row r="507">
      <c r="B507" s="11">
        <f>IFERROR(__xludf.DUMMYFUNCTION("""COMPUTED_VALUE"""),30651.0)</f>
        <v>30651</v>
      </c>
      <c r="C507" s="9">
        <f>IFERROR(__xludf.DUMMYFUNCTION("""COMPUTED_VALUE"""),52.0594)</f>
        <v>52.0594</v>
      </c>
      <c r="E507" s="11"/>
    </row>
    <row r="508">
      <c r="B508" s="11">
        <f>IFERROR(__xludf.DUMMYFUNCTION("""COMPUTED_VALUE"""),30621.0)</f>
        <v>30621</v>
      </c>
      <c r="C508" s="9">
        <f>IFERROR(__xludf.DUMMYFUNCTION("""COMPUTED_VALUE"""),51.7993)</f>
        <v>51.7993</v>
      </c>
      <c r="E508" s="11"/>
    </row>
    <row r="509">
      <c r="B509" s="11">
        <f>IFERROR(__xludf.DUMMYFUNCTION("""COMPUTED_VALUE"""),30590.0)</f>
        <v>30590</v>
      </c>
      <c r="C509" s="9">
        <f>IFERROR(__xludf.DUMMYFUNCTION("""COMPUTED_VALUE"""),51.5693)</f>
        <v>51.5693</v>
      </c>
      <c r="E509" s="11"/>
    </row>
    <row r="510">
      <c r="B510" s="11">
        <f>IFERROR(__xludf.DUMMYFUNCTION("""COMPUTED_VALUE"""),30560.0)</f>
        <v>30560</v>
      </c>
      <c r="C510" s="9">
        <f>IFERROR(__xludf.DUMMYFUNCTION("""COMPUTED_VALUE"""),51.178)</f>
        <v>51.178</v>
      </c>
      <c r="E510" s="11"/>
    </row>
    <row r="511">
      <c r="B511" s="11">
        <f>IFERROR(__xludf.DUMMYFUNCTION("""COMPUTED_VALUE"""),30529.0)</f>
        <v>30529</v>
      </c>
      <c r="C511" s="9">
        <f>IFERROR(__xludf.DUMMYFUNCTION("""COMPUTED_VALUE"""),50.4443)</f>
        <v>50.4443</v>
      </c>
      <c r="E511" s="11"/>
    </row>
    <row r="512">
      <c r="B512" s="11">
        <f>IFERROR(__xludf.DUMMYFUNCTION("""COMPUTED_VALUE"""),30498.0)</f>
        <v>30498</v>
      </c>
      <c r="C512" s="9">
        <f>IFERROR(__xludf.DUMMYFUNCTION("""COMPUTED_VALUE"""),49.8546)</f>
        <v>49.8546</v>
      </c>
      <c r="E512" s="11"/>
    </row>
    <row r="513">
      <c r="B513" s="11">
        <f>IFERROR(__xludf.DUMMYFUNCTION("""COMPUTED_VALUE"""),30468.0)</f>
        <v>30468</v>
      </c>
      <c r="C513" s="9">
        <f>IFERROR(__xludf.DUMMYFUNCTION("""COMPUTED_VALUE"""),49.123)</f>
        <v>49.123</v>
      </c>
      <c r="E513" s="11"/>
    </row>
    <row r="514">
      <c r="B514" s="11">
        <f>IFERROR(__xludf.DUMMYFUNCTION("""COMPUTED_VALUE"""),30437.0)</f>
        <v>30437</v>
      </c>
      <c r="C514" s="9">
        <f>IFERROR(__xludf.DUMMYFUNCTION("""COMPUTED_VALUE"""),48.8239)</f>
        <v>48.8239</v>
      </c>
      <c r="E514" s="11"/>
    </row>
    <row r="515">
      <c r="B515" s="11">
        <f>IFERROR(__xludf.DUMMYFUNCTION("""COMPUTED_VALUE"""),30407.0)</f>
        <v>30407</v>
      </c>
      <c r="C515" s="9">
        <f>IFERROR(__xludf.DUMMYFUNCTION("""COMPUTED_VALUE"""),48.5311)</f>
        <v>48.5311</v>
      </c>
      <c r="E515" s="11"/>
    </row>
    <row r="516">
      <c r="B516" s="11">
        <f>IFERROR(__xludf.DUMMYFUNCTION("""COMPUTED_VALUE"""),30376.0)</f>
        <v>30376</v>
      </c>
      <c r="C516" s="9">
        <f>IFERROR(__xludf.DUMMYFUNCTION("""COMPUTED_VALUE"""),47.9244)</f>
        <v>47.9244</v>
      </c>
      <c r="E516" s="11"/>
    </row>
    <row r="517">
      <c r="B517" s="11">
        <f>IFERROR(__xludf.DUMMYFUNCTION("""COMPUTED_VALUE"""),30348.0)</f>
        <v>30348</v>
      </c>
      <c r="C517" s="9">
        <f>IFERROR(__xludf.DUMMYFUNCTION("""COMPUTED_VALUE"""),47.5233)</f>
        <v>47.5233</v>
      </c>
      <c r="E517" s="11"/>
    </row>
    <row r="518">
      <c r="B518" s="11">
        <f>IFERROR(__xludf.DUMMYFUNCTION("""COMPUTED_VALUE"""),30317.0)</f>
        <v>30317</v>
      </c>
      <c r="C518" s="9">
        <f>IFERROR(__xludf.DUMMYFUNCTION("""COMPUTED_VALUE"""),47.8234)</f>
        <v>47.8234</v>
      </c>
      <c r="E518" s="11"/>
    </row>
    <row r="519">
      <c r="B519" s="11">
        <f>IFERROR(__xludf.DUMMYFUNCTION("""COMPUTED_VALUE"""),30286.0)</f>
        <v>30286</v>
      </c>
      <c r="C519" s="9">
        <f>IFERROR(__xludf.DUMMYFUNCTION("""COMPUTED_VALUE"""),46.9485)</f>
        <v>46.9485</v>
      </c>
      <c r="E519" s="11"/>
    </row>
    <row r="520">
      <c r="B520" s="11">
        <f>IFERROR(__xludf.DUMMYFUNCTION("""COMPUTED_VALUE"""),30256.0)</f>
        <v>30256</v>
      </c>
      <c r="C520" s="9">
        <f>IFERROR(__xludf.DUMMYFUNCTION("""COMPUTED_VALUE"""),47.283)</f>
        <v>47.283</v>
      </c>
      <c r="E520" s="11"/>
    </row>
    <row r="521">
      <c r="B521" s="11">
        <f>IFERROR(__xludf.DUMMYFUNCTION("""COMPUTED_VALUE"""),30225.0)</f>
        <v>30225</v>
      </c>
      <c r="C521" s="9">
        <f>IFERROR(__xludf.DUMMYFUNCTION("""COMPUTED_VALUE"""),47.4371)</f>
        <v>47.4371</v>
      </c>
      <c r="E521" s="11"/>
    </row>
    <row r="522">
      <c r="B522" s="11">
        <f>IFERROR(__xludf.DUMMYFUNCTION("""COMPUTED_VALUE"""),30195.0)</f>
        <v>30195</v>
      </c>
      <c r="C522" s="9">
        <f>IFERROR(__xludf.DUMMYFUNCTION("""COMPUTED_VALUE"""),47.9008)</f>
        <v>47.9008</v>
      </c>
      <c r="E522" s="11"/>
    </row>
    <row r="523">
      <c r="B523" s="11">
        <f>IFERROR(__xludf.DUMMYFUNCTION("""COMPUTED_VALUE"""),30164.0)</f>
        <v>30164</v>
      </c>
      <c r="C523" s="9">
        <f>IFERROR(__xludf.DUMMYFUNCTION("""COMPUTED_VALUE"""),48.0192)</f>
        <v>48.0192</v>
      </c>
      <c r="E523" s="11"/>
    </row>
    <row r="524">
      <c r="B524" s="11">
        <f>IFERROR(__xludf.DUMMYFUNCTION("""COMPUTED_VALUE"""),30133.0)</f>
        <v>30133</v>
      </c>
      <c r="C524" s="9">
        <f>IFERROR(__xludf.DUMMYFUNCTION("""COMPUTED_VALUE"""),48.4616)</f>
        <v>48.4616</v>
      </c>
      <c r="E524" s="11"/>
    </row>
    <row r="525">
      <c r="B525" s="11">
        <f>IFERROR(__xludf.DUMMYFUNCTION("""COMPUTED_VALUE"""),30103.0)</f>
        <v>30103</v>
      </c>
      <c r="C525" s="9">
        <f>IFERROR(__xludf.DUMMYFUNCTION("""COMPUTED_VALUE"""),48.6214)</f>
        <v>48.6214</v>
      </c>
      <c r="E525" s="11"/>
    </row>
    <row r="526">
      <c r="B526" s="11">
        <f>IFERROR(__xludf.DUMMYFUNCTION("""COMPUTED_VALUE"""),30072.0)</f>
        <v>30072</v>
      </c>
      <c r="C526" s="9">
        <f>IFERROR(__xludf.DUMMYFUNCTION("""COMPUTED_VALUE"""),48.7483)</f>
        <v>48.7483</v>
      </c>
      <c r="E526" s="11"/>
    </row>
    <row r="527">
      <c r="B527" s="11">
        <f>IFERROR(__xludf.DUMMYFUNCTION("""COMPUTED_VALUE"""),30042.0)</f>
        <v>30042</v>
      </c>
      <c r="C527" s="9">
        <f>IFERROR(__xludf.DUMMYFUNCTION("""COMPUTED_VALUE"""),49.075)</f>
        <v>49.075</v>
      </c>
      <c r="E527" s="11"/>
    </row>
    <row r="528">
      <c r="B528" s="11">
        <f>IFERROR(__xludf.DUMMYFUNCTION("""COMPUTED_VALUE"""),30011.0)</f>
        <v>30011</v>
      </c>
      <c r="C528" s="9">
        <f>IFERROR(__xludf.DUMMYFUNCTION("""COMPUTED_VALUE"""),49.5323)</f>
        <v>49.5323</v>
      </c>
      <c r="E528" s="11"/>
    </row>
    <row r="529">
      <c r="B529" s="11">
        <f>IFERROR(__xludf.DUMMYFUNCTION("""COMPUTED_VALUE"""),29983.0)</f>
        <v>29983</v>
      </c>
      <c r="C529" s="9">
        <f>IFERROR(__xludf.DUMMYFUNCTION("""COMPUTED_VALUE"""),49.8636)</f>
        <v>49.8636</v>
      </c>
      <c r="E529" s="11"/>
    </row>
    <row r="530">
      <c r="B530" s="11">
        <f>IFERROR(__xludf.DUMMYFUNCTION("""COMPUTED_VALUE"""),29952.0)</f>
        <v>29952</v>
      </c>
      <c r="C530" s="9">
        <f>IFERROR(__xludf.DUMMYFUNCTION("""COMPUTED_VALUE"""),48.8685)</f>
        <v>48.8685</v>
      </c>
      <c r="E530" s="11"/>
    </row>
    <row r="531">
      <c r="B531" s="11">
        <f>IFERROR(__xludf.DUMMYFUNCTION("""COMPUTED_VALUE"""),29921.0)</f>
        <v>29921</v>
      </c>
      <c r="C531" s="9">
        <f>IFERROR(__xludf.DUMMYFUNCTION("""COMPUTED_VALUE"""),49.8987)</f>
        <v>49.8987</v>
      </c>
      <c r="E531" s="11"/>
    </row>
    <row r="532">
      <c r="B532" s="11">
        <f>IFERROR(__xludf.DUMMYFUNCTION("""COMPUTED_VALUE"""),29891.0)</f>
        <v>29891</v>
      </c>
      <c r="C532" s="9">
        <f>IFERROR(__xludf.DUMMYFUNCTION("""COMPUTED_VALUE"""),50.435)</f>
        <v>50.435</v>
      </c>
      <c r="E532" s="11"/>
    </row>
    <row r="533">
      <c r="B533" s="11">
        <f>IFERROR(__xludf.DUMMYFUNCTION("""COMPUTED_VALUE"""),29860.0)</f>
        <v>29860</v>
      </c>
      <c r="C533" s="9">
        <f>IFERROR(__xludf.DUMMYFUNCTION("""COMPUTED_VALUE"""),51.0281)</f>
        <v>51.0281</v>
      </c>
      <c r="E533" s="11"/>
    </row>
    <row r="534">
      <c r="B534" s="11">
        <f>IFERROR(__xludf.DUMMYFUNCTION("""COMPUTED_VALUE"""),29830.0)</f>
        <v>29830</v>
      </c>
      <c r="C534" s="9">
        <f>IFERROR(__xludf.DUMMYFUNCTION("""COMPUTED_VALUE"""),51.4337)</f>
        <v>51.4337</v>
      </c>
      <c r="E534" s="11"/>
    </row>
    <row r="535">
      <c r="B535" s="11">
        <f>IFERROR(__xludf.DUMMYFUNCTION("""COMPUTED_VALUE"""),29799.0)</f>
        <v>29799</v>
      </c>
      <c r="C535" s="9">
        <f>IFERROR(__xludf.DUMMYFUNCTION("""COMPUTED_VALUE"""),51.6826)</f>
        <v>51.6826</v>
      </c>
      <c r="E535" s="11"/>
    </row>
    <row r="536">
      <c r="B536" s="11">
        <f>IFERROR(__xludf.DUMMYFUNCTION("""COMPUTED_VALUE"""),29768.0)</f>
        <v>29768</v>
      </c>
      <c r="C536" s="9">
        <f>IFERROR(__xludf.DUMMYFUNCTION("""COMPUTED_VALUE"""),51.7471)</f>
        <v>51.7471</v>
      </c>
      <c r="E536" s="11"/>
    </row>
    <row r="537">
      <c r="B537" s="11">
        <f>IFERROR(__xludf.DUMMYFUNCTION("""COMPUTED_VALUE"""),29738.0)</f>
        <v>29738</v>
      </c>
      <c r="C537" s="9">
        <f>IFERROR(__xludf.DUMMYFUNCTION("""COMPUTED_VALUE"""),51.4101)</f>
        <v>51.4101</v>
      </c>
      <c r="E537" s="11"/>
    </row>
    <row r="538">
      <c r="B538" s="11">
        <f>IFERROR(__xludf.DUMMYFUNCTION("""COMPUTED_VALUE"""),29707.0)</f>
        <v>29707</v>
      </c>
      <c r="C538" s="9">
        <f>IFERROR(__xludf.DUMMYFUNCTION("""COMPUTED_VALUE"""),51.1495)</f>
        <v>51.1495</v>
      </c>
      <c r="E538" s="11"/>
    </row>
    <row r="539">
      <c r="B539" s="11">
        <f>IFERROR(__xludf.DUMMYFUNCTION("""COMPUTED_VALUE"""),29677.0)</f>
        <v>29677</v>
      </c>
      <c r="C539" s="9">
        <f>IFERROR(__xludf.DUMMYFUNCTION("""COMPUTED_VALUE"""),50.858)</f>
        <v>50.858</v>
      </c>
      <c r="E539" s="11"/>
    </row>
    <row r="540">
      <c r="B540" s="11">
        <f>IFERROR(__xludf.DUMMYFUNCTION("""COMPUTED_VALUE"""),29646.0)</f>
        <v>29646</v>
      </c>
      <c r="C540" s="9">
        <f>IFERROR(__xludf.DUMMYFUNCTION("""COMPUTED_VALUE"""),51.0826)</f>
        <v>51.0826</v>
      </c>
      <c r="E540" s="11"/>
    </row>
    <row r="541">
      <c r="B541" s="11">
        <f>IFERROR(__xludf.DUMMYFUNCTION("""COMPUTED_VALUE"""),29618.0)</f>
        <v>29618</v>
      </c>
      <c r="C541" s="9">
        <f>IFERROR(__xludf.DUMMYFUNCTION("""COMPUTED_VALUE"""),50.824)</f>
        <v>50.824</v>
      </c>
      <c r="E541" s="11"/>
    </row>
    <row r="542">
      <c r="B542" s="11">
        <f>IFERROR(__xludf.DUMMYFUNCTION("""COMPUTED_VALUE"""),29587.0)</f>
        <v>29587</v>
      </c>
      <c r="C542" s="9">
        <f>IFERROR(__xludf.DUMMYFUNCTION("""COMPUTED_VALUE"""),51.0415)</f>
        <v>51.0415</v>
      </c>
      <c r="E542" s="11"/>
    </row>
    <row r="543">
      <c r="B543" s="11">
        <f>IFERROR(__xludf.DUMMYFUNCTION("""COMPUTED_VALUE"""),29556.0)</f>
        <v>29556</v>
      </c>
      <c r="C543" s="9">
        <f>IFERROR(__xludf.DUMMYFUNCTION("""COMPUTED_VALUE"""),51.3708)</f>
        <v>51.3708</v>
      </c>
      <c r="E543" s="11"/>
    </row>
    <row r="544">
      <c r="B544" s="11">
        <f>IFERROR(__xludf.DUMMYFUNCTION("""COMPUTED_VALUE"""),29526.0)</f>
        <v>29526</v>
      </c>
      <c r="C544" s="9">
        <f>IFERROR(__xludf.DUMMYFUNCTION("""COMPUTED_VALUE"""),51.0311)</f>
        <v>51.0311</v>
      </c>
      <c r="E544" s="11"/>
    </row>
    <row r="545">
      <c r="B545" s="11">
        <f>IFERROR(__xludf.DUMMYFUNCTION("""COMPUTED_VALUE"""),29495.0)</f>
        <v>29495</v>
      </c>
      <c r="C545" s="9">
        <f>IFERROR(__xludf.DUMMYFUNCTION("""COMPUTED_VALUE"""),50.1908)</f>
        <v>50.1908</v>
      </c>
      <c r="E545" s="11"/>
    </row>
    <row r="546">
      <c r="B546" s="11">
        <f>IFERROR(__xludf.DUMMYFUNCTION("""COMPUTED_VALUE"""),29465.0)</f>
        <v>29465</v>
      </c>
      <c r="C546" s="9">
        <f>IFERROR(__xludf.DUMMYFUNCTION("""COMPUTED_VALUE"""),49.5608)</f>
        <v>49.5608</v>
      </c>
      <c r="E546" s="11"/>
    </row>
    <row r="547">
      <c r="B547" s="11">
        <f>IFERROR(__xludf.DUMMYFUNCTION("""COMPUTED_VALUE"""),29434.0)</f>
        <v>29434</v>
      </c>
      <c r="C547" s="9">
        <f>IFERROR(__xludf.DUMMYFUNCTION("""COMPUTED_VALUE"""),48.7563)</f>
        <v>48.7563</v>
      </c>
      <c r="E547" s="11"/>
    </row>
    <row r="548">
      <c r="B548" s="11">
        <f>IFERROR(__xludf.DUMMYFUNCTION("""COMPUTED_VALUE"""),29403.0)</f>
        <v>29403</v>
      </c>
      <c r="C548" s="9">
        <f>IFERROR(__xludf.DUMMYFUNCTION("""COMPUTED_VALUE"""),48.6039)</f>
        <v>48.6039</v>
      </c>
      <c r="E548" s="11"/>
    </row>
    <row r="549">
      <c r="B549" s="11">
        <f>IFERROR(__xludf.DUMMYFUNCTION("""COMPUTED_VALUE"""),29373.0)</f>
        <v>29373</v>
      </c>
      <c r="C549" s="9">
        <f>IFERROR(__xludf.DUMMYFUNCTION("""COMPUTED_VALUE"""),48.9482)</f>
        <v>48.9482</v>
      </c>
      <c r="E549" s="11"/>
    </row>
    <row r="550">
      <c r="B550" s="11">
        <f>IFERROR(__xludf.DUMMYFUNCTION("""COMPUTED_VALUE"""),29342.0)</f>
        <v>29342</v>
      </c>
      <c r="C550" s="9">
        <f>IFERROR(__xludf.DUMMYFUNCTION("""COMPUTED_VALUE"""),49.589)</f>
        <v>49.589</v>
      </c>
      <c r="E550" s="11"/>
    </row>
    <row r="551">
      <c r="B551" s="11">
        <f>IFERROR(__xludf.DUMMYFUNCTION("""COMPUTED_VALUE"""),29312.0)</f>
        <v>29312</v>
      </c>
      <c r="C551" s="9">
        <f>IFERROR(__xludf.DUMMYFUNCTION("""COMPUTED_VALUE"""),50.8397)</f>
        <v>50.8397</v>
      </c>
      <c r="E551" s="11"/>
    </row>
    <row r="552">
      <c r="B552" s="11">
        <f>IFERROR(__xludf.DUMMYFUNCTION("""COMPUTED_VALUE"""),29281.0)</f>
        <v>29281</v>
      </c>
      <c r="C552" s="9">
        <f>IFERROR(__xludf.DUMMYFUNCTION("""COMPUTED_VALUE"""),51.87)</f>
        <v>51.87</v>
      </c>
      <c r="E552" s="11"/>
    </row>
    <row r="553">
      <c r="B553" s="11">
        <f>IFERROR(__xludf.DUMMYFUNCTION("""COMPUTED_VALUE"""),29252.0)</f>
        <v>29252</v>
      </c>
      <c r="C553" s="9">
        <f>IFERROR(__xludf.DUMMYFUNCTION("""COMPUTED_VALUE"""),52.082)</f>
        <v>52.082</v>
      </c>
      <c r="E553" s="11"/>
    </row>
    <row r="554">
      <c r="B554" s="11">
        <f>IFERROR(__xludf.DUMMYFUNCTION("""COMPUTED_VALUE"""),29221.0)</f>
        <v>29221</v>
      </c>
      <c r="C554" s="9">
        <f>IFERROR(__xludf.DUMMYFUNCTION("""COMPUTED_VALUE"""),52.0679)</f>
        <v>52.0679</v>
      </c>
      <c r="E554" s="11"/>
    </row>
    <row r="555">
      <c r="B555" s="11">
        <f>IFERROR(__xludf.DUMMYFUNCTION("""COMPUTED_VALUE"""),29190.0)</f>
        <v>29190</v>
      </c>
      <c r="C555" s="9">
        <f>IFERROR(__xludf.DUMMYFUNCTION("""COMPUTED_VALUE"""),51.7878)</f>
        <v>51.7878</v>
      </c>
      <c r="E555" s="11"/>
    </row>
    <row r="556">
      <c r="B556" s="11">
        <f>IFERROR(__xludf.DUMMYFUNCTION("""COMPUTED_VALUE"""),29160.0)</f>
        <v>29160</v>
      </c>
      <c r="C556" s="9">
        <f>IFERROR(__xludf.DUMMYFUNCTION("""COMPUTED_VALUE"""),51.7531)</f>
        <v>51.7531</v>
      </c>
      <c r="E556" s="11"/>
    </row>
    <row r="557">
      <c r="B557" s="11">
        <f>IFERROR(__xludf.DUMMYFUNCTION("""COMPUTED_VALUE"""),29129.0)</f>
        <v>29129</v>
      </c>
      <c r="C557" s="9">
        <f>IFERROR(__xludf.DUMMYFUNCTION("""COMPUTED_VALUE"""),51.8334)</f>
        <v>51.8334</v>
      </c>
      <c r="E557" s="11"/>
    </row>
    <row r="558">
      <c r="B558" s="11">
        <f>IFERROR(__xludf.DUMMYFUNCTION("""COMPUTED_VALUE"""),29099.0)</f>
        <v>29099</v>
      </c>
      <c r="C558" s="9">
        <f>IFERROR(__xludf.DUMMYFUNCTION("""COMPUTED_VALUE"""),51.4597)</f>
        <v>51.4597</v>
      </c>
      <c r="E558" s="11"/>
    </row>
    <row r="559">
      <c r="B559" s="11">
        <f>IFERROR(__xludf.DUMMYFUNCTION("""COMPUTED_VALUE"""),29068.0)</f>
        <v>29068</v>
      </c>
      <c r="C559" s="9">
        <f>IFERROR(__xludf.DUMMYFUNCTION("""COMPUTED_VALUE"""),51.4684)</f>
        <v>51.4684</v>
      </c>
      <c r="E559" s="11"/>
    </row>
    <row r="560">
      <c r="B560" s="11">
        <f>IFERROR(__xludf.DUMMYFUNCTION("""COMPUTED_VALUE"""),29037.0)</f>
        <v>29037</v>
      </c>
      <c r="C560" s="9">
        <f>IFERROR(__xludf.DUMMYFUNCTION("""COMPUTED_VALUE"""),51.8097)</f>
        <v>51.8097</v>
      </c>
      <c r="E560" s="11"/>
    </row>
    <row r="561">
      <c r="B561" s="11">
        <f>IFERROR(__xludf.DUMMYFUNCTION("""COMPUTED_VALUE"""),29007.0)</f>
        <v>29007</v>
      </c>
      <c r="C561" s="9">
        <f>IFERROR(__xludf.DUMMYFUNCTION("""COMPUTED_VALUE"""),51.8965)</f>
        <v>51.8965</v>
      </c>
      <c r="E561" s="11"/>
    </row>
    <row r="562">
      <c r="B562" s="11">
        <f>IFERROR(__xludf.DUMMYFUNCTION("""COMPUTED_VALUE"""),28976.0)</f>
        <v>28976</v>
      </c>
      <c r="C562" s="9">
        <f>IFERROR(__xludf.DUMMYFUNCTION("""COMPUTED_VALUE"""),51.8856)</f>
        <v>51.8856</v>
      </c>
      <c r="E562" s="11"/>
    </row>
    <row r="563">
      <c r="B563" s="11">
        <f>IFERROR(__xludf.DUMMYFUNCTION("""COMPUTED_VALUE"""),28946.0)</f>
        <v>28946</v>
      </c>
      <c r="C563" s="9">
        <f>IFERROR(__xludf.DUMMYFUNCTION("""COMPUTED_VALUE"""),51.4193)</f>
        <v>51.4193</v>
      </c>
      <c r="E563" s="11"/>
    </row>
    <row r="564">
      <c r="B564" s="11">
        <f>IFERROR(__xludf.DUMMYFUNCTION("""COMPUTED_VALUE"""),28915.0)</f>
        <v>28915</v>
      </c>
      <c r="C564" s="9">
        <f>IFERROR(__xludf.DUMMYFUNCTION("""COMPUTED_VALUE"""),52.0446)</f>
        <v>52.0446</v>
      </c>
      <c r="E564" s="11"/>
    </row>
    <row r="565">
      <c r="B565" s="11">
        <f>IFERROR(__xludf.DUMMYFUNCTION("""COMPUTED_VALUE"""),28887.0)</f>
        <v>28887</v>
      </c>
      <c r="C565" s="9">
        <f>IFERROR(__xludf.DUMMYFUNCTION("""COMPUTED_VALUE"""),51.8752)</f>
        <v>51.8752</v>
      </c>
      <c r="E565" s="11"/>
    </row>
    <row r="566">
      <c r="B566" s="11">
        <f>IFERROR(__xludf.DUMMYFUNCTION("""COMPUTED_VALUE"""),28856.0)</f>
        <v>28856</v>
      </c>
      <c r="C566" s="9">
        <f>IFERROR(__xludf.DUMMYFUNCTION("""COMPUTED_VALUE"""),51.6278)</f>
        <v>51.6278</v>
      </c>
      <c r="E566" s="11"/>
    </row>
    <row r="567">
      <c r="B567" s="11">
        <f>IFERROR(__xludf.DUMMYFUNCTION("""COMPUTED_VALUE"""),28825.0)</f>
        <v>28825</v>
      </c>
      <c r="C567" s="9">
        <f>IFERROR(__xludf.DUMMYFUNCTION("""COMPUTED_VALUE"""),51.909)</f>
        <v>51.909</v>
      </c>
      <c r="E567" s="11"/>
    </row>
    <row r="568">
      <c r="B568" s="11">
        <f>IFERROR(__xludf.DUMMYFUNCTION("""COMPUTED_VALUE"""),28795.0)</f>
        <v>28795</v>
      </c>
      <c r="C568" s="9">
        <f>IFERROR(__xludf.DUMMYFUNCTION("""COMPUTED_VALUE"""),51.6514)</f>
        <v>51.6514</v>
      </c>
      <c r="E568" s="11"/>
    </row>
    <row r="569">
      <c r="B569" s="11">
        <f>IFERROR(__xludf.DUMMYFUNCTION("""COMPUTED_VALUE"""),28764.0)</f>
        <v>28764</v>
      </c>
      <c r="C569" s="9">
        <f>IFERROR(__xludf.DUMMYFUNCTION("""COMPUTED_VALUE"""),51.2559)</f>
        <v>51.2559</v>
      </c>
      <c r="E569" s="11"/>
    </row>
    <row r="570">
      <c r="B570" s="11">
        <f>IFERROR(__xludf.DUMMYFUNCTION("""COMPUTED_VALUE"""),28734.0)</f>
        <v>28734</v>
      </c>
      <c r="C570" s="9">
        <f>IFERROR(__xludf.DUMMYFUNCTION("""COMPUTED_VALUE"""),50.8744)</f>
        <v>50.8744</v>
      </c>
      <c r="E570" s="11"/>
    </row>
    <row r="571">
      <c r="B571" s="11">
        <f>IFERROR(__xludf.DUMMYFUNCTION("""COMPUTED_VALUE"""),28703.0)</f>
        <v>28703</v>
      </c>
      <c r="C571" s="9">
        <f>IFERROR(__xludf.DUMMYFUNCTION("""COMPUTED_VALUE"""),50.7458)</f>
        <v>50.7458</v>
      </c>
      <c r="E571" s="11"/>
    </row>
    <row r="572">
      <c r="B572" s="11">
        <f>IFERROR(__xludf.DUMMYFUNCTION("""COMPUTED_VALUE"""),28672.0)</f>
        <v>28672</v>
      </c>
      <c r="C572" s="9">
        <f>IFERROR(__xludf.DUMMYFUNCTION("""COMPUTED_VALUE"""),50.5384)</f>
        <v>50.5384</v>
      </c>
      <c r="E572" s="11"/>
    </row>
    <row r="573">
      <c r="B573" s="11">
        <f>IFERROR(__xludf.DUMMYFUNCTION("""COMPUTED_VALUE"""),28642.0)</f>
        <v>28642</v>
      </c>
      <c r="C573" s="9">
        <f>IFERROR(__xludf.DUMMYFUNCTION("""COMPUTED_VALUE"""),50.5801)</f>
        <v>50.5801</v>
      </c>
      <c r="E573" s="11"/>
    </row>
    <row r="574">
      <c r="B574" s="11">
        <f>IFERROR(__xludf.DUMMYFUNCTION("""COMPUTED_VALUE"""),28611.0)</f>
        <v>28611</v>
      </c>
      <c r="C574" s="9">
        <f>IFERROR(__xludf.DUMMYFUNCTION("""COMPUTED_VALUE"""),50.254)</f>
        <v>50.254</v>
      </c>
      <c r="E574" s="11"/>
    </row>
    <row r="575">
      <c r="B575" s="11">
        <f>IFERROR(__xludf.DUMMYFUNCTION("""COMPUTED_VALUE"""),28581.0)</f>
        <v>28581</v>
      </c>
      <c r="C575" s="9">
        <f>IFERROR(__xludf.DUMMYFUNCTION("""COMPUTED_VALUE"""),50.0206)</f>
        <v>50.0206</v>
      </c>
      <c r="E575" s="11"/>
    </row>
    <row r="576">
      <c r="B576" s="11">
        <f>IFERROR(__xludf.DUMMYFUNCTION("""COMPUTED_VALUE"""),28550.0)</f>
        <v>28550</v>
      </c>
      <c r="C576" s="9">
        <f>IFERROR(__xludf.DUMMYFUNCTION("""COMPUTED_VALUE"""),49.0265)</f>
        <v>49.0265</v>
      </c>
      <c r="E576" s="11"/>
    </row>
    <row r="577">
      <c r="B577" s="11">
        <f>IFERROR(__xludf.DUMMYFUNCTION("""COMPUTED_VALUE"""),28522.0)</f>
        <v>28522</v>
      </c>
      <c r="C577" s="9">
        <f>IFERROR(__xludf.DUMMYFUNCTION("""COMPUTED_VALUE"""),48.1044)</f>
        <v>48.1044</v>
      </c>
      <c r="E577" s="11"/>
    </row>
    <row r="578">
      <c r="B578" s="11">
        <f>IFERROR(__xludf.DUMMYFUNCTION("""COMPUTED_VALUE"""),28491.0)</f>
        <v>28491</v>
      </c>
      <c r="C578" s="9">
        <f>IFERROR(__xludf.DUMMYFUNCTION("""COMPUTED_VALUE"""),47.8481)</f>
        <v>47.8481</v>
      </c>
      <c r="E578" s="11"/>
    </row>
    <row r="579">
      <c r="B579" s="11">
        <f>IFERROR(__xludf.DUMMYFUNCTION("""COMPUTED_VALUE"""),28460.0)</f>
        <v>28460</v>
      </c>
      <c r="C579" s="9">
        <f>IFERROR(__xludf.DUMMYFUNCTION("""COMPUTED_VALUE"""),48.5629)</f>
        <v>48.5629</v>
      </c>
      <c r="E579" s="11"/>
    </row>
    <row r="580">
      <c r="B580" s="11">
        <f>IFERROR(__xludf.DUMMYFUNCTION("""COMPUTED_VALUE"""),28430.0)</f>
        <v>28430</v>
      </c>
      <c r="C580" s="9">
        <f>IFERROR(__xludf.DUMMYFUNCTION("""COMPUTED_VALUE"""),48.4761)</f>
        <v>48.4761</v>
      </c>
      <c r="E580" s="11"/>
    </row>
    <row r="581">
      <c r="B581" s="11">
        <f>IFERROR(__xludf.DUMMYFUNCTION("""COMPUTED_VALUE"""),28399.0)</f>
        <v>28399</v>
      </c>
      <c r="C581" s="9">
        <f>IFERROR(__xludf.DUMMYFUNCTION("""COMPUTED_VALUE"""),48.3871)</f>
        <v>48.3871</v>
      </c>
      <c r="E581" s="11"/>
    </row>
    <row r="582">
      <c r="B582" s="11">
        <f>IFERROR(__xludf.DUMMYFUNCTION("""COMPUTED_VALUE"""),28369.0)</f>
        <v>28369</v>
      </c>
      <c r="C582" s="9">
        <f>IFERROR(__xludf.DUMMYFUNCTION("""COMPUTED_VALUE"""),48.3189)</f>
        <v>48.3189</v>
      </c>
      <c r="E582" s="11"/>
    </row>
    <row r="583">
      <c r="B583" s="11">
        <f>IFERROR(__xludf.DUMMYFUNCTION("""COMPUTED_VALUE"""),28338.0)</f>
        <v>28338</v>
      </c>
      <c r="C583" s="9">
        <f>IFERROR(__xludf.DUMMYFUNCTION("""COMPUTED_VALUE"""),48.1205)</f>
        <v>48.1205</v>
      </c>
      <c r="E583" s="11"/>
    </row>
    <row r="584">
      <c r="B584" s="11">
        <f>IFERROR(__xludf.DUMMYFUNCTION("""COMPUTED_VALUE"""),28307.0)</f>
        <v>28307</v>
      </c>
      <c r="C584" s="9">
        <f>IFERROR(__xludf.DUMMYFUNCTION("""COMPUTED_VALUE"""),48.073)</f>
        <v>48.073</v>
      </c>
      <c r="E584" s="11"/>
    </row>
    <row r="585">
      <c r="B585" s="11">
        <f>IFERROR(__xludf.DUMMYFUNCTION("""COMPUTED_VALUE"""),28277.0)</f>
        <v>28277</v>
      </c>
      <c r="C585" s="9">
        <f>IFERROR(__xludf.DUMMYFUNCTION("""COMPUTED_VALUE"""),48.0116)</f>
        <v>48.0116</v>
      </c>
      <c r="E585" s="11"/>
    </row>
    <row r="586">
      <c r="B586" s="11">
        <f>IFERROR(__xludf.DUMMYFUNCTION("""COMPUTED_VALUE"""),28246.0)</f>
        <v>28246</v>
      </c>
      <c r="C586" s="9">
        <f>IFERROR(__xludf.DUMMYFUNCTION("""COMPUTED_VALUE"""),47.6411)</f>
        <v>47.6411</v>
      </c>
      <c r="E586" s="11"/>
    </row>
    <row r="587">
      <c r="B587" s="11">
        <f>IFERROR(__xludf.DUMMYFUNCTION("""COMPUTED_VALUE"""),28216.0)</f>
        <v>28216</v>
      </c>
      <c r="C587" s="9">
        <f>IFERROR(__xludf.DUMMYFUNCTION("""COMPUTED_VALUE"""),47.2684)</f>
        <v>47.2684</v>
      </c>
      <c r="E587" s="11"/>
    </row>
    <row r="588">
      <c r="B588" s="11">
        <f>IFERROR(__xludf.DUMMYFUNCTION("""COMPUTED_VALUE"""),28185.0)</f>
        <v>28185</v>
      </c>
      <c r="C588" s="9">
        <f>IFERROR(__xludf.DUMMYFUNCTION("""COMPUTED_VALUE"""),46.8185)</f>
        <v>46.8185</v>
      </c>
      <c r="E588" s="11"/>
    </row>
    <row r="589">
      <c r="B589" s="11">
        <f>IFERROR(__xludf.DUMMYFUNCTION("""COMPUTED_VALUE"""),28157.0)</f>
        <v>28157</v>
      </c>
      <c r="C589" s="9">
        <f>IFERROR(__xludf.DUMMYFUNCTION("""COMPUTED_VALUE"""),46.2277)</f>
        <v>46.2277</v>
      </c>
      <c r="E589" s="11"/>
    </row>
    <row r="590">
      <c r="B590" s="11">
        <f>IFERROR(__xludf.DUMMYFUNCTION("""COMPUTED_VALUE"""),28126.0)</f>
        <v>28126</v>
      </c>
      <c r="C590" s="9">
        <f>IFERROR(__xludf.DUMMYFUNCTION("""COMPUTED_VALUE"""),45.5087)</f>
        <v>45.5087</v>
      </c>
      <c r="E590" s="11"/>
    </row>
    <row r="591">
      <c r="B591" s="11">
        <f>IFERROR(__xludf.DUMMYFUNCTION("""COMPUTED_VALUE"""),28095.0)</f>
        <v>28095</v>
      </c>
      <c r="C591" s="9">
        <f>IFERROR(__xludf.DUMMYFUNCTION("""COMPUTED_VALUE"""),45.8294)</f>
        <v>45.8294</v>
      </c>
      <c r="E591" s="11"/>
    </row>
    <row r="592">
      <c r="B592" s="11">
        <f>IFERROR(__xludf.DUMMYFUNCTION("""COMPUTED_VALUE"""),28065.0)</f>
        <v>28065</v>
      </c>
      <c r="C592" s="9">
        <f>IFERROR(__xludf.DUMMYFUNCTION("""COMPUTED_VALUE"""),45.3392)</f>
        <v>45.3392</v>
      </c>
      <c r="E592" s="11"/>
    </row>
    <row r="593">
      <c r="B593" s="11">
        <f>IFERROR(__xludf.DUMMYFUNCTION("""COMPUTED_VALUE"""),28034.0)</f>
        <v>28034</v>
      </c>
      <c r="C593" s="9">
        <f>IFERROR(__xludf.DUMMYFUNCTION("""COMPUTED_VALUE"""),44.6585)</f>
        <v>44.6585</v>
      </c>
      <c r="E593" s="11"/>
    </row>
    <row r="594">
      <c r="B594" s="11">
        <f>IFERROR(__xludf.DUMMYFUNCTION("""COMPUTED_VALUE"""),28004.0)</f>
        <v>28004</v>
      </c>
      <c r="C594" s="9">
        <f>IFERROR(__xludf.DUMMYFUNCTION("""COMPUTED_VALUE"""),44.6721)</f>
        <v>44.6721</v>
      </c>
      <c r="E594" s="11"/>
    </row>
    <row r="595">
      <c r="B595" s="11">
        <f>IFERROR(__xludf.DUMMYFUNCTION("""COMPUTED_VALUE"""),27973.0)</f>
        <v>27973</v>
      </c>
      <c r="C595" s="9">
        <f>IFERROR(__xludf.DUMMYFUNCTION("""COMPUTED_VALUE"""),44.5182)</f>
        <v>44.5182</v>
      </c>
      <c r="E595" s="11"/>
    </row>
    <row r="596">
      <c r="B596" s="11">
        <f>IFERROR(__xludf.DUMMYFUNCTION("""COMPUTED_VALUE"""),27942.0)</f>
        <v>27942</v>
      </c>
      <c r="C596" s="9">
        <f>IFERROR(__xludf.DUMMYFUNCTION("""COMPUTED_VALUE"""),44.2141)</f>
        <v>44.2141</v>
      </c>
      <c r="E596" s="11"/>
    </row>
    <row r="597">
      <c r="B597" s="11">
        <f>IFERROR(__xludf.DUMMYFUNCTION("""COMPUTED_VALUE"""),27912.0)</f>
        <v>27912</v>
      </c>
      <c r="C597" s="9">
        <f>IFERROR(__xludf.DUMMYFUNCTION("""COMPUTED_VALUE"""),43.9637)</f>
        <v>43.9637</v>
      </c>
      <c r="E597" s="11"/>
    </row>
    <row r="598">
      <c r="B598" s="11">
        <f>IFERROR(__xludf.DUMMYFUNCTION("""COMPUTED_VALUE"""),27881.0)</f>
        <v>27881</v>
      </c>
      <c r="C598" s="9">
        <f>IFERROR(__xludf.DUMMYFUNCTION("""COMPUTED_VALUE"""),43.9186)</f>
        <v>43.9186</v>
      </c>
      <c r="E598" s="11"/>
    </row>
    <row r="599">
      <c r="B599" s="11">
        <f>IFERROR(__xludf.DUMMYFUNCTION("""COMPUTED_VALUE"""),27851.0)</f>
        <v>27851</v>
      </c>
      <c r="C599" s="9">
        <f>IFERROR(__xludf.DUMMYFUNCTION("""COMPUTED_VALUE"""),43.7327)</f>
        <v>43.7327</v>
      </c>
      <c r="E599" s="11"/>
    </row>
    <row r="600">
      <c r="B600" s="11">
        <f>IFERROR(__xludf.DUMMYFUNCTION("""COMPUTED_VALUE"""),27820.0)</f>
        <v>27820</v>
      </c>
      <c r="C600" s="9">
        <f>IFERROR(__xludf.DUMMYFUNCTION("""COMPUTED_VALUE"""),43.5168)</f>
        <v>43.5168</v>
      </c>
      <c r="E600" s="11"/>
    </row>
    <row r="601">
      <c r="B601" s="11">
        <f>IFERROR(__xludf.DUMMYFUNCTION("""COMPUTED_VALUE"""),27791.0)</f>
        <v>27791</v>
      </c>
      <c r="C601" s="9">
        <f>IFERROR(__xludf.DUMMYFUNCTION("""COMPUTED_VALUE"""),43.4229)</f>
        <v>43.4229</v>
      </c>
      <c r="E601" s="11"/>
    </row>
    <row r="602">
      <c r="B602" s="11">
        <f>IFERROR(__xludf.DUMMYFUNCTION("""COMPUTED_VALUE"""),27760.0)</f>
        <v>27760</v>
      </c>
      <c r="C602" s="9">
        <f>IFERROR(__xludf.DUMMYFUNCTION("""COMPUTED_VALUE"""),43.0012)</f>
        <v>43.0012</v>
      </c>
      <c r="E602" s="11"/>
    </row>
    <row r="603">
      <c r="B603" s="11">
        <f>IFERROR(__xludf.DUMMYFUNCTION("""COMPUTED_VALUE"""),27729.0)</f>
        <v>27729</v>
      </c>
      <c r="C603" s="9">
        <f>IFERROR(__xludf.DUMMYFUNCTION("""COMPUTED_VALUE"""),42.4414)</f>
        <v>42.4414</v>
      </c>
      <c r="E603" s="11"/>
    </row>
    <row r="604">
      <c r="B604" s="11">
        <f>IFERROR(__xludf.DUMMYFUNCTION("""COMPUTED_VALUE"""),27699.0)</f>
        <v>27699</v>
      </c>
      <c r="C604" s="9">
        <f>IFERROR(__xludf.DUMMYFUNCTION("""COMPUTED_VALUE"""),41.8697)</f>
        <v>41.8697</v>
      </c>
      <c r="E604" s="11"/>
    </row>
    <row r="605">
      <c r="B605" s="11">
        <f>IFERROR(__xludf.DUMMYFUNCTION("""COMPUTED_VALUE"""),27668.0)</f>
        <v>27668</v>
      </c>
      <c r="C605" s="9">
        <f>IFERROR(__xludf.DUMMYFUNCTION("""COMPUTED_VALUE"""),41.8135)</f>
        <v>41.8135</v>
      </c>
      <c r="E605" s="11"/>
    </row>
    <row r="606">
      <c r="B606" s="11">
        <f>IFERROR(__xludf.DUMMYFUNCTION("""COMPUTED_VALUE"""),27638.0)</f>
        <v>27638</v>
      </c>
      <c r="C606" s="9">
        <f>IFERROR(__xludf.DUMMYFUNCTION("""COMPUTED_VALUE"""),41.6304)</f>
        <v>41.6304</v>
      </c>
      <c r="E606" s="11"/>
    </row>
    <row r="607">
      <c r="B607" s="11">
        <f>IFERROR(__xludf.DUMMYFUNCTION("""COMPUTED_VALUE"""),27607.0)</f>
        <v>27607</v>
      </c>
      <c r="C607" s="9">
        <f>IFERROR(__xludf.DUMMYFUNCTION("""COMPUTED_VALUE"""),41.0998)</f>
        <v>41.0998</v>
      </c>
      <c r="E607" s="11"/>
    </row>
    <row r="608">
      <c r="B608" s="11">
        <f>IFERROR(__xludf.DUMMYFUNCTION("""COMPUTED_VALUE"""),27576.0)</f>
        <v>27576</v>
      </c>
      <c r="C608" s="9">
        <f>IFERROR(__xludf.DUMMYFUNCTION("""COMPUTED_VALUE"""),40.6994)</f>
        <v>40.6994</v>
      </c>
      <c r="E608" s="11"/>
    </row>
    <row r="609">
      <c r="B609" s="11">
        <f>IFERROR(__xludf.DUMMYFUNCTION("""COMPUTED_VALUE"""),27546.0)</f>
        <v>27546</v>
      </c>
      <c r="C609" s="9">
        <f>IFERROR(__xludf.DUMMYFUNCTION("""COMPUTED_VALUE"""),40.2772)</f>
        <v>40.2772</v>
      </c>
      <c r="E609" s="11"/>
    </row>
    <row r="610">
      <c r="B610" s="11">
        <f>IFERROR(__xludf.DUMMYFUNCTION("""COMPUTED_VALUE"""),27515.0)</f>
        <v>27515</v>
      </c>
      <c r="C610" s="9">
        <f>IFERROR(__xludf.DUMMYFUNCTION("""COMPUTED_VALUE"""),40.0253)</f>
        <v>40.0253</v>
      </c>
      <c r="E610" s="11"/>
    </row>
    <row r="611">
      <c r="B611" s="11">
        <f>IFERROR(__xludf.DUMMYFUNCTION("""COMPUTED_VALUE"""),27485.0)</f>
        <v>27485</v>
      </c>
      <c r="C611" s="9">
        <f>IFERROR(__xludf.DUMMYFUNCTION("""COMPUTED_VALUE"""),40.1573)</f>
        <v>40.1573</v>
      </c>
      <c r="E611" s="11"/>
    </row>
    <row r="612">
      <c r="B612" s="11">
        <f>IFERROR(__xludf.DUMMYFUNCTION("""COMPUTED_VALUE"""),27454.0)</f>
        <v>27454</v>
      </c>
      <c r="C612" s="9">
        <f>IFERROR(__xludf.DUMMYFUNCTION("""COMPUTED_VALUE"""),40.0638)</f>
        <v>40.0638</v>
      </c>
      <c r="E612" s="11"/>
    </row>
    <row r="613">
      <c r="B613" s="11">
        <f>IFERROR(__xludf.DUMMYFUNCTION("""COMPUTED_VALUE"""),27426.0)</f>
        <v>27426</v>
      </c>
      <c r="C613" s="9">
        <f>IFERROR(__xludf.DUMMYFUNCTION("""COMPUTED_VALUE"""),40.5165)</f>
        <v>40.5165</v>
      </c>
      <c r="E613" s="11"/>
    </row>
    <row r="614">
      <c r="B614" s="11">
        <f>IFERROR(__xludf.DUMMYFUNCTION("""COMPUTED_VALUE"""),27395.0)</f>
        <v>27395</v>
      </c>
      <c r="C614" s="9">
        <f>IFERROR(__xludf.DUMMYFUNCTION("""COMPUTED_VALUE"""),41.4676)</f>
        <v>41.4676</v>
      </c>
      <c r="E614" s="11"/>
    </row>
    <row r="615">
      <c r="B615" s="11">
        <f>IFERROR(__xludf.DUMMYFUNCTION("""COMPUTED_VALUE"""),27364.0)</f>
        <v>27364</v>
      </c>
      <c r="C615" s="9">
        <f>IFERROR(__xludf.DUMMYFUNCTION("""COMPUTED_VALUE"""),42.0533)</f>
        <v>42.0533</v>
      </c>
      <c r="E615" s="11"/>
    </row>
    <row r="616">
      <c r="B616" s="11">
        <f>IFERROR(__xludf.DUMMYFUNCTION("""COMPUTED_VALUE"""),27334.0)</f>
        <v>27334</v>
      </c>
      <c r="C616" s="9">
        <f>IFERROR(__xludf.DUMMYFUNCTION("""COMPUTED_VALUE"""),43.6278)</f>
        <v>43.6278</v>
      </c>
      <c r="E616" s="11"/>
    </row>
    <row r="617">
      <c r="B617" s="11">
        <f>IFERROR(__xludf.DUMMYFUNCTION("""COMPUTED_VALUE"""),27303.0)</f>
        <v>27303</v>
      </c>
      <c r="C617" s="9">
        <f>IFERROR(__xludf.DUMMYFUNCTION("""COMPUTED_VALUE"""),45.1133)</f>
        <v>45.1133</v>
      </c>
      <c r="E617" s="11"/>
    </row>
    <row r="618">
      <c r="B618" s="11">
        <f>IFERROR(__xludf.DUMMYFUNCTION("""COMPUTED_VALUE"""),27273.0)</f>
        <v>27273</v>
      </c>
      <c r="C618" s="9">
        <f>IFERROR(__xludf.DUMMYFUNCTION("""COMPUTED_VALUE"""),45.2365)</f>
        <v>45.2365</v>
      </c>
      <c r="E618" s="11"/>
    </row>
    <row r="619">
      <c r="B619" s="11">
        <f>IFERROR(__xludf.DUMMYFUNCTION("""COMPUTED_VALUE"""),27242.0)</f>
        <v>27242</v>
      </c>
      <c r="C619" s="9">
        <f>IFERROR(__xludf.DUMMYFUNCTION("""COMPUTED_VALUE"""),45.2366)</f>
        <v>45.2366</v>
      </c>
      <c r="E619" s="11"/>
    </row>
    <row r="620">
      <c r="B620" s="11">
        <f>IFERROR(__xludf.DUMMYFUNCTION("""COMPUTED_VALUE"""),27211.0)</f>
        <v>27211</v>
      </c>
      <c r="C620" s="9">
        <f>IFERROR(__xludf.DUMMYFUNCTION("""COMPUTED_VALUE"""),45.7221)</f>
        <v>45.7221</v>
      </c>
      <c r="E620" s="11"/>
    </row>
    <row r="621">
      <c r="B621" s="11">
        <f>IFERROR(__xludf.DUMMYFUNCTION("""COMPUTED_VALUE"""),27181.0)</f>
        <v>27181</v>
      </c>
      <c r="C621" s="9">
        <f>IFERROR(__xludf.DUMMYFUNCTION("""COMPUTED_VALUE"""),45.6238)</f>
        <v>45.6238</v>
      </c>
      <c r="E621" s="11"/>
    </row>
    <row r="622">
      <c r="B622" s="11">
        <f>IFERROR(__xludf.DUMMYFUNCTION("""COMPUTED_VALUE"""),27150.0)</f>
        <v>27150</v>
      </c>
      <c r="C622" s="9">
        <f>IFERROR(__xludf.DUMMYFUNCTION("""COMPUTED_VALUE"""),45.7044)</f>
        <v>45.7044</v>
      </c>
      <c r="E622" s="11"/>
    </row>
    <row r="623">
      <c r="B623" s="11">
        <f>IFERROR(__xludf.DUMMYFUNCTION("""COMPUTED_VALUE"""),27120.0)</f>
        <v>27120</v>
      </c>
      <c r="C623" s="9">
        <f>IFERROR(__xludf.DUMMYFUNCTION("""COMPUTED_VALUE"""),45.3451)</f>
        <v>45.3451</v>
      </c>
      <c r="E623" s="11"/>
    </row>
    <row r="624">
      <c r="B624" s="11">
        <f>IFERROR(__xludf.DUMMYFUNCTION("""COMPUTED_VALUE"""),27089.0)</f>
        <v>27089</v>
      </c>
      <c r="C624" s="9">
        <f>IFERROR(__xludf.DUMMYFUNCTION("""COMPUTED_VALUE"""),45.4777)</f>
        <v>45.4777</v>
      </c>
      <c r="E624" s="11"/>
    </row>
    <row r="625">
      <c r="B625" s="11">
        <f>IFERROR(__xludf.DUMMYFUNCTION("""COMPUTED_VALUE"""),27061.0)</f>
        <v>27061</v>
      </c>
      <c r="C625" s="9">
        <f>IFERROR(__xludf.DUMMYFUNCTION("""COMPUTED_VALUE"""),45.4759)</f>
        <v>45.4759</v>
      </c>
      <c r="E625" s="11"/>
    </row>
    <row r="626">
      <c r="B626" s="11">
        <f>IFERROR(__xludf.DUMMYFUNCTION("""COMPUTED_VALUE"""),27030.0)</f>
        <v>27030</v>
      </c>
      <c r="C626" s="9">
        <f>IFERROR(__xludf.DUMMYFUNCTION("""COMPUTED_VALUE"""),45.6204)</f>
        <v>45.6204</v>
      </c>
      <c r="E626" s="11"/>
    </row>
    <row r="627">
      <c r="B627" s="11">
        <f>IFERROR(__xludf.DUMMYFUNCTION("""COMPUTED_VALUE"""),26999.0)</f>
        <v>26999</v>
      </c>
      <c r="C627" s="9">
        <f>IFERROR(__xludf.DUMMYFUNCTION("""COMPUTED_VALUE"""),45.923)</f>
        <v>45.923</v>
      </c>
      <c r="E627" s="11"/>
    </row>
    <row r="628">
      <c r="B628" s="11">
        <f>IFERROR(__xludf.DUMMYFUNCTION("""COMPUTED_VALUE"""),26969.0)</f>
        <v>26969</v>
      </c>
      <c r="C628" s="9">
        <f>IFERROR(__xludf.DUMMYFUNCTION("""COMPUTED_VALUE"""),46.0553)</f>
        <v>46.0553</v>
      </c>
      <c r="E628" s="11"/>
    </row>
    <row r="629">
      <c r="B629" s="11">
        <f>IFERROR(__xludf.DUMMYFUNCTION("""COMPUTED_VALUE"""),26938.0)</f>
        <v>26938</v>
      </c>
      <c r="C629" s="9">
        <f>IFERROR(__xludf.DUMMYFUNCTION("""COMPUTED_VALUE"""),45.847)</f>
        <v>45.847</v>
      </c>
      <c r="E629" s="11"/>
    </row>
    <row r="630">
      <c r="B630" s="11">
        <f>IFERROR(__xludf.DUMMYFUNCTION("""COMPUTED_VALUE"""),26908.0)</f>
        <v>26908</v>
      </c>
      <c r="C630" s="9">
        <f>IFERROR(__xludf.DUMMYFUNCTION("""COMPUTED_VALUE"""),45.4624)</f>
        <v>45.4624</v>
      </c>
      <c r="E630" s="11"/>
    </row>
    <row r="631">
      <c r="B631" s="11">
        <f>IFERROR(__xludf.DUMMYFUNCTION("""COMPUTED_VALUE"""),26877.0)</f>
        <v>26877</v>
      </c>
      <c r="C631" s="9">
        <f>IFERROR(__xludf.DUMMYFUNCTION("""COMPUTED_VALUE"""),45.1019)</f>
        <v>45.1019</v>
      </c>
      <c r="E631" s="11"/>
    </row>
    <row r="632">
      <c r="B632" s="11">
        <f>IFERROR(__xludf.DUMMYFUNCTION("""COMPUTED_VALUE"""),26846.0)</f>
        <v>26846</v>
      </c>
      <c r="C632" s="9">
        <f>IFERROR(__xludf.DUMMYFUNCTION("""COMPUTED_VALUE"""),45.1636)</f>
        <v>45.1636</v>
      </c>
      <c r="E632" s="11"/>
    </row>
    <row r="633">
      <c r="B633" s="11">
        <f>IFERROR(__xludf.DUMMYFUNCTION("""COMPUTED_VALUE"""),26816.0)</f>
        <v>26816</v>
      </c>
      <c r="C633" s="9">
        <f>IFERROR(__xludf.DUMMYFUNCTION("""COMPUTED_VALUE"""),45.0035)</f>
        <v>45.0035</v>
      </c>
      <c r="E633" s="11"/>
    </row>
    <row r="634">
      <c r="B634" s="11">
        <f>IFERROR(__xludf.DUMMYFUNCTION("""COMPUTED_VALUE"""),26785.0)</f>
        <v>26785</v>
      </c>
      <c r="C634" s="9">
        <f>IFERROR(__xludf.DUMMYFUNCTION("""COMPUTED_VALUE"""),44.9429)</f>
        <v>44.9429</v>
      </c>
      <c r="E634" s="11"/>
    </row>
    <row r="635">
      <c r="B635" s="11">
        <f>IFERROR(__xludf.DUMMYFUNCTION("""COMPUTED_VALUE"""),26755.0)</f>
        <v>26755</v>
      </c>
      <c r="C635" s="9">
        <f>IFERROR(__xludf.DUMMYFUNCTION("""COMPUTED_VALUE"""),44.6387)</f>
        <v>44.6387</v>
      </c>
      <c r="E635" s="11"/>
    </row>
    <row r="636">
      <c r="B636" s="11">
        <f>IFERROR(__xludf.DUMMYFUNCTION("""COMPUTED_VALUE"""),26724.0)</f>
        <v>26724</v>
      </c>
      <c r="C636" s="9">
        <f>IFERROR(__xludf.DUMMYFUNCTION("""COMPUTED_VALUE"""),44.7045)</f>
        <v>44.7045</v>
      </c>
      <c r="E636" s="11"/>
    </row>
    <row r="637">
      <c r="B637" s="11">
        <f>IFERROR(__xludf.DUMMYFUNCTION("""COMPUTED_VALUE"""),26696.0)</f>
        <v>26696</v>
      </c>
      <c r="C637" s="9">
        <f>IFERROR(__xludf.DUMMYFUNCTION("""COMPUTED_VALUE"""),44.6827)</f>
        <v>44.6827</v>
      </c>
      <c r="E637" s="11"/>
    </row>
    <row r="638">
      <c r="B638" s="11">
        <f>IFERROR(__xludf.DUMMYFUNCTION("""COMPUTED_VALUE"""),26665.0)</f>
        <v>26665</v>
      </c>
      <c r="C638" s="9">
        <f>IFERROR(__xludf.DUMMYFUNCTION("""COMPUTED_VALUE"""),44.0529)</f>
        <v>44.0529</v>
      </c>
      <c r="E638" s="11"/>
    </row>
    <row r="639">
      <c r="B639" s="11">
        <f>IFERROR(__xludf.DUMMYFUNCTION("""COMPUTED_VALUE"""),26634.0)</f>
        <v>26634</v>
      </c>
      <c r="C639" s="9">
        <f>IFERROR(__xludf.DUMMYFUNCTION("""COMPUTED_VALUE"""),43.7367)</f>
        <v>43.7367</v>
      </c>
      <c r="E639" s="11"/>
    </row>
    <row r="640">
      <c r="B640" s="11">
        <f>IFERROR(__xludf.DUMMYFUNCTION("""COMPUTED_VALUE"""),26604.0)</f>
        <v>26604</v>
      </c>
      <c r="C640" s="9">
        <f>IFERROR(__xludf.DUMMYFUNCTION("""COMPUTED_VALUE"""),43.2548)</f>
        <v>43.2548</v>
      </c>
      <c r="E640" s="11"/>
    </row>
    <row r="641">
      <c r="B641" s="11">
        <f>IFERROR(__xludf.DUMMYFUNCTION("""COMPUTED_VALUE"""),26573.0)</f>
        <v>26573</v>
      </c>
      <c r="C641" s="9">
        <f>IFERROR(__xludf.DUMMYFUNCTION("""COMPUTED_VALUE"""),42.7494)</f>
        <v>42.7494</v>
      </c>
      <c r="E641" s="11"/>
    </row>
    <row r="642">
      <c r="B642" s="11">
        <f>IFERROR(__xludf.DUMMYFUNCTION("""COMPUTED_VALUE"""),26543.0)</f>
        <v>26543</v>
      </c>
      <c r="C642" s="9">
        <f>IFERROR(__xludf.DUMMYFUNCTION("""COMPUTED_VALUE"""),42.2132)</f>
        <v>42.2132</v>
      </c>
      <c r="E642" s="11"/>
    </row>
    <row r="643">
      <c r="B643" s="11">
        <f>IFERROR(__xludf.DUMMYFUNCTION("""COMPUTED_VALUE"""),26512.0)</f>
        <v>26512</v>
      </c>
      <c r="C643" s="9">
        <f>IFERROR(__xludf.DUMMYFUNCTION("""COMPUTED_VALUE"""),41.879)</f>
        <v>41.879</v>
      </c>
      <c r="E643" s="11"/>
    </row>
    <row r="644">
      <c r="B644" s="11">
        <f>IFERROR(__xludf.DUMMYFUNCTION("""COMPUTED_VALUE"""),26481.0)</f>
        <v>26481</v>
      </c>
      <c r="C644" s="9">
        <f>IFERROR(__xludf.DUMMYFUNCTION("""COMPUTED_VALUE"""),41.3035)</f>
        <v>41.3035</v>
      </c>
      <c r="E644" s="11"/>
    </row>
    <row r="645">
      <c r="B645" s="11">
        <f>IFERROR(__xludf.DUMMYFUNCTION("""COMPUTED_VALUE"""),26451.0)</f>
        <v>26451</v>
      </c>
      <c r="C645" s="9">
        <f>IFERROR(__xludf.DUMMYFUNCTION("""COMPUTED_VALUE"""),41.3497)</f>
        <v>41.3497</v>
      </c>
      <c r="E645" s="11"/>
    </row>
    <row r="646">
      <c r="B646" s="11">
        <f>IFERROR(__xludf.DUMMYFUNCTION("""COMPUTED_VALUE"""),26420.0)</f>
        <v>26420</v>
      </c>
      <c r="C646" s="9">
        <f>IFERROR(__xludf.DUMMYFUNCTION("""COMPUTED_VALUE"""),41.2405)</f>
        <v>41.2405</v>
      </c>
      <c r="E646" s="11"/>
    </row>
    <row r="647">
      <c r="B647" s="11">
        <f>IFERROR(__xludf.DUMMYFUNCTION("""COMPUTED_VALUE"""),26390.0)</f>
        <v>26390</v>
      </c>
      <c r="C647" s="9">
        <f>IFERROR(__xludf.DUMMYFUNCTION("""COMPUTED_VALUE"""),41.2348)</f>
        <v>41.2348</v>
      </c>
      <c r="E647" s="11"/>
    </row>
    <row r="648">
      <c r="B648" s="11">
        <f>IFERROR(__xludf.DUMMYFUNCTION("""COMPUTED_VALUE"""),26359.0)</f>
        <v>26359</v>
      </c>
      <c r="C648" s="9">
        <f>IFERROR(__xludf.DUMMYFUNCTION("""COMPUTED_VALUE"""),40.8263)</f>
        <v>40.8263</v>
      </c>
      <c r="E648" s="11"/>
    </row>
    <row r="649">
      <c r="B649" s="11">
        <f>IFERROR(__xludf.DUMMYFUNCTION("""COMPUTED_VALUE"""),26330.0)</f>
        <v>26330</v>
      </c>
      <c r="C649" s="9">
        <f>IFERROR(__xludf.DUMMYFUNCTION("""COMPUTED_VALUE"""),40.5459)</f>
        <v>40.5459</v>
      </c>
      <c r="E649" s="11"/>
    </row>
    <row r="650">
      <c r="B650" s="11">
        <f>IFERROR(__xludf.DUMMYFUNCTION("""COMPUTED_VALUE"""),26299.0)</f>
        <v>26299</v>
      </c>
      <c r="C650" s="9">
        <f>IFERROR(__xludf.DUMMYFUNCTION("""COMPUTED_VALUE"""),40.1408)</f>
        <v>40.1408</v>
      </c>
      <c r="E650" s="11"/>
    </row>
    <row r="651">
      <c r="B651" s="11">
        <f>IFERROR(__xludf.DUMMYFUNCTION("""COMPUTED_VALUE"""),26268.0)</f>
        <v>26268</v>
      </c>
      <c r="C651" s="9">
        <f>IFERROR(__xludf.DUMMYFUNCTION("""COMPUTED_VALUE"""),39.2035)</f>
        <v>39.2035</v>
      </c>
      <c r="E651" s="11"/>
    </row>
    <row r="652">
      <c r="B652" s="11">
        <f>IFERROR(__xludf.DUMMYFUNCTION("""COMPUTED_VALUE"""),26238.0)</f>
        <v>26238</v>
      </c>
      <c r="C652" s="9">
        <f>IFERROR(__xludf.DUMMYFUNCTION("""COMPUTED_VALUE"""),38.7561)</f>
        <v>38.7561</v>
      </c>
      <c r="E652" s="11"/>
    </row>
    <row r="653">
      <c r="B653" s="11">
        <f>IFERROR(__xludf.DUMMYFUNCTION("""COMPUTED_VALUE"""),26207.0)</f>
        <v>26207</v>
      </c>
      <c r="C653" s="9">
        <f>IFERROR(__xludf.DUMMYFUNCTION("""COMPUTED_VALUE"""),38.5924)</f>
        <v>38.5924</v>
      </c>
      <c r="E653" s="11"/>
    </row>
    <row r="654">
      <c r="B654" s="11">
        <f>IFERROR(__xludf.DUMMYFUNCTION("""COMPUTED_VALUE"""),26177.0)</f>
        <v>26177</v>
      </c>
      <c r="C654" s="9">
        <f>IFERROR(__xludf.DUMMYFUNCTION("""COMPUTED_VALUE"""),38.3056)</f>
        <v>38.3056</v>
      </c>
      <c r="E654" s="11"/>
    </row>
    <row r="655">
      <c r="B655" s="11">
        <f>IFERROR(__xludf.DUMMYFUNCTION("""COMPUTED_VALUE"""),26146.0)</f>
        <v>26146</v>
      </c>
      <c r="C655" s="9">
        <f>IFERROR(__xludf.DUMMYFUNCTION("""COMPUTED_VALUE"""),37.693)</f>
        <v>37.693</v>
      </c>
      <c r="E655" s="11"/>
    </row>
    <row r="656">
      <c r="B656" s="11">
        <f>IFERROR(__xludf.DUMMYFUNCTION("""COMPUTED_VALUE"""),26115.0)</f>
        <v>26115</v>
      </c>
      <c r="C656" s="9">
        <f>IFERROR(__xludf.DUMMYFUNCTION("""COMPUTED_VALUE"""),37.9131)</f>
        <v>37.9131</v>
      </c>
      <c r="E656" s="11"/>
    </row>
    <row r="657">
      <c r="B657" s="11">
        <f>IFERROR(__xludf.DUMMYFUNCTION("""COMPUTED_VALUE"""),26085.0)</f>
        <v>26085</v>
      </c>
      <c r="C657" s="9">
        <f>IFERROR(__xludf.DUMMYFUNCTION("""COMPUTED_VALUE"""),38.0234)</f>
        <v>38.0234</v>
      </c>
      <c r="E657" s="11"/>
    </row>
    <row r="658">
      <c r="B658" s="11">
        <f>IFERROR(__xludf.DUMMYFUNCTION("""COMPUTED_VALUE"""),26054.0)</f>
        <v>26054</v>
      </c>
      <c r="C658" s="9">
        <f>IFERROR(__xludf.DUMMYFUNCTION("""COMPUTED_VALUE"""),37.8646)</f>
        <v>37.8646</v>
      </c>
      <c r="E658" s="11"/>
    </row>
    <row r="659">
      <c r="B659" s="11">
        <f>IFERROR(__xludf.DUMMYFUNCTION("""COMPUTED_VALUE"""),26024.0)</f>
        <v>26024</v>
      </c>
      <c r="C659" s="9">
        <f>IFERROR(__xludf.DUMMYFUNCTION("""COMPUTED_VALUE"""),37.6735)</f>
        <v>37.6735</v>
      </c>
      <c r="E659" s="11"/>
    </row>
    <row r="660">
      <c r="B660" s="11">
        <f>IFERROR(__xludf.DUMMYFUNCTION("""COMPUTED_VALUE"""),25993.0)</f>
        <v>25993</v>
      </c>
      <c r="C660" s="9">
        <f>IFERROR(__xludf.DUMMYFUNCTION("""COMPUTED_VALUE"""),37.4631)</f>
        <v>37.4631</v>
      </c>
      <c r="E660" s="11"/>
    </row>
    <row r="661">
      <c r="B661" s="11">
        <f>IFERROR(__xludf.DUMMYFUNCTION("""COMPUTED_VALUE"""),25965.0)</f>
        <v>25965</v>
      </c>
      <c r="C661" s="9">
        <f>IFERROR(__xludf.DUMMYFUNCTION("""COMPUTED_VALUE"""),37.5037)</f>
        <v>37.5037</v>
      </c>
      <c r="E661" s="11"/>
    </row>
    <row r="662">
      <c r="B662" s="11">
        <f>IFERROR(__xludf.DUMMYFUNCTION("""COMPUTED_VALUE"""),25934.0)</f>
        <v>25934</v>
      </c>
      <c r="C662" s="9">
        <f>IFERROR(__xludf.DUMMYFUNCTION("""COMPUTED_VALUE"""),37.5753)</f>
        <v>37.5753</v>
      </c>
      <c r="E662" s="11"/>
    </row>
    <row r="663">
      <c r="B663" s="11">
        <f>IFERROR(__xludf.DUMMYFUNCTION("""COMPUTED_VALUE"""),25903.0)</f>
        <v>25903</v>
      </c>
      <c r="C663" s="9">
        <f>IFERROR(__xludf.DUMMYFUNCTION("""COMPUTED_VALUE"""),37.2885)</f>
        <v>37.2885</v>
      </c>
      <c r="E663" s="11"/>
    </row>
    <row r="664">
      <c r="B664" s="11">
        <f>IFERROR(__xludf.DUMMYFUNCTION("""COMPUTED_VALUE"""),25873.0)</f>
        <v>25873</v>
      </c>
      <c r="C664" s="9">
        <f>IFERROR(__xludf.DUMMYFUNCTION("""COMPUTED_VALUE"""),36.4514)</f>
        <v>36.4514</v>
      </c>
      <c r="E664" s="11"/>
    </row>
    <row r="665">
      <c r="B665" s="11">
        <f>IFERROR(__xludf.DUMMYFUNCTION("""COMPUTED_VALUE"""),25842.0)</f>
        <v>25842</v>
      </c>
      <c r="C665" s="9">
        <f>IFERROR(__xludf.DUMMYFUNCTION("""COMPUTED_VALUE"""),36.6735)</f>
        <v>36.6735</v>
      </c>
      <c r="E665" s="11"/>
    </row>
    <row r="666">
      <c r="B666" s="11">
        <f>IFERROR(__xludf.DUMMYFUNCTION("""COMPUTED_VALUE"""),25812.0)</f>
        <v>25812</v>
      </c>
      <c r="C666" s="9">
        <f>IFERROR(__xludf.DUMMYFUNCTION("""COMPUTED_VALUE"""),37.4221)</f>
        <v>37.4221</v>
      </c>
      <c r="E666" s="11"/>
    </row>
    <row r="667">
      <c r="B667" s="11">
        <f>IFERROR(__xludf.DUMMYFUNCTION("""COMPUTED_VALUE"""),25781.0)</f>
        <v>25781</v>
      </c>
      <c r="C667" s="9">
        <f>IFERROR(__xludf.DUMMYFUNCTION("""COMPUTED_VALUE"""),37.6818)</f>
        <v>37.6818</v>
      </c>
      <c r="E667" s="11"/>
    </row>
    <row r="668">
      <c r="B668" s="11">
        <f>IFERROR(__xludf.DUMMYFUNCTION("""COMPUTED_VALUE"""),25750.0)</f>
        <v>25750</v>
      </c>
      <c r="C668" s="9">
        <f>IFERROR(__xludf.DUMMYFUNCTION("""COMPUTED_VALUE"""),37.7491)</f>
        <v>37.7491</v>
      </c>
      <c r="E668" s="11"/>
    </row>
    <row r="669">
      <c r="B669" s="11">
        <f>IFERROR(__xludf.DUMMYFUNCTION("""COMPUTED_VALUE"""),25720.0)</f>
        <v>25720</v>
      </c>
      <c r="C669" s="9">
        <f>IFERROR(__xludf.DUMMYFUNCTION("""COMPUTED_VALUE"""),37.6567)</f>
        <v>37.6567</v>
      </c>
      <c r="E669" s="11"/>
    </row>
    <row r="670">
      <c r="B670" s="11">
        <f>IFERROR(__xludf.DUMMYFUNCTION("""COMPUTED_VALUE"""),25689.0)</f>
        <v>25689</v>
      </c>
      <c r="C670" s="9">
        <f>IFERROR(__xludf.DUMMYFUNCTION("""COMPUTED_VALUE"""),37.7789)</f>
        <v>37.7789</v>
      </c>
      <c r="E670" s="11"/>
    </row>
    <row r="671">
      <c r="B671" s="11">
        <f>IFERROR(__xludf.DUMMYFUNCTION("""COMPUTED_VALUE"""),25659.0)</f>
        <v>25659</v>
      </c>
      <c r="C671" s="9">
        <f>IFERROR(__xludf.DUMMYFUNCTION("""COMPUTED_VALUE"""),37.823)</f>
        <v>37.823</v>
      </c>
      <c r="E671" s="11"/>
    </row>
    <row r="672">
      <c r="B672" s="11">
        <f>IFERROR(__xludf.DUMMYFUNCTION("""COMPUTED_VALUE"""),25628.0)</f>
        <v>25628</v>
      </c>
      <c r="C672" s="9">
        <f>IFERROR(__xludf.DUMMYFUNCTION("""COMPUTED_VALUE"""),37.9205)</f>
        <v>37.9205</v>
      </c>
      <c r="E672" s="11"/>
    </row>
    <row r="673">
      <c r="B673" s="11">
        <f>IFERROR(__xludf.DUMMYFUNCTION("""COMPUTED_VALUE"""),25600.0)</f>
        <v>25600</v>
      </c>
      <c r="C673" s="9">
        <f>IFERROR(__xludf.DUMMYFUNCTION("""COMPUTED_VALUE"""),37.9698)</f>
        <v>37.9698</v>
      </c>
      <c r="E673" s="11"/>
    </row>
    <row r="674">
      <c r="B674" s="11">
        <f>IFERROR(__xludf.DUMMYFUNCTION("""COMPUTED_VALUE"""),25569.0)</f>
        <v>25569</v>
      </c>
      <c r="C674" s="9">
        <f>IFERROR(__xludf.DUMMYFUNCTION("""COMPUTED_VALUE"""),37.9948)</f>
        <v>37.9948</v>
      </c>
      <c r="E674" s="11"/>
    </row>
    <row r="675">
      <c r="B675" s="11">
        <f>IFERROR(__xludf.DUMMYFUNCTION("""COMPUTED_VALUE"""),25538.0)</f>
        <v>25538</v>
      </c>
      <c r="C675" s="9">
        <f>IFERROR(__xludf.DUMMYFUNCTION("""COMPUTED_VALUE"""),38.7116)</f>
        <v>38.7116</v>
      </c>
      <c r="E675" s="11"/>
    </row>
    <row r="676">
      <c r="B676" s="11">
        <f>IFERROR(__xludf.DUMMYFUNCTION("""COMPUTED_VALUE"""),25508.0)</f>
        <v>25508</v>
      </c>
      <c r="C676" s="9">
        <f>IFERROR(__xludf.DUMMYFUNCTION("""COMPUTED_VALUE"""),38.8158)</f>
        <v>38.8158</v>
      </c>
      <c r="E676" s="11"/>
    </row>
    <row r="677">
      <c r="B677" s="11">
        <f>IFERROR(__xludf.DUMMYFUNCTION("""COMPUTED_VALUE"""),25477.0)</f>
        <v>25477</v>
      </c>
      <c r="C677" s="9">
        <f>IFERROR(__xludf.DUMMYFUNCTION("""COMPUTED_VALUE"""),39.1852)</f>
        <v>39.1852</v>
      </c>
      <c r="E677" s="11"/>
    </row>
    <row r="678">
      <c r="B678" s="11">
        <f>IFERROR(__xludf.DUMMYFUNCTION("""COMPUTED_VALUE"""),25447.0)</f>
        <v>25447</v>
      </c>
      <c r="C678" s="9">
        <f>IFERROR(__xludf.DUMMYFUNCTION("""COMPUTED_VALUE"""),39.1737)</f>
        <v>39.1737</v>
      </c>
      <c r="E678" s="11"/>
    </row>
    <row r="679">
      <c r="B679" s="11">
        <f>IFERROR(__xludf.DUMMYFUNCTION("""COMPUTED_VALUE"""),25416.0)</f>
        <v>25416</v>
      </c>
      <c r="C679" s="9">
        <f>IFERROR(__xludf.DUMMYFUNCTION("""COMPUTED_VALUE"""),39.1825)</f>
        <v>39.1825</v>
      </c>
      <c r="E679" s="11"/>
    </row>
    <row r="680">
      <c r="B680" s="11">
        <f>IFERROR(__xludf.DUMMYFUNCTION("""COMPUTED_VALUE"""),25385.0)</f>
        <v>25385</v>
      </c>
      <c r="C680" s="9">
        <f>IFERROR(__xludf.DUMMYFUNCTION("""COMPUTED_VALUE"""),39.0927)</f>
        <v>39.0927</v>
      </c>
      <c r="E680" s="11"/>
    </row>
    <row r="681">
      <c r="B681" s="11">
        <f>IFERROR(__xludf.DUMMYFUNCTION("""COMPUTED_VALUE"""),25355.0)</f>
        <v>25355</v>
      </c>
      <c r="C681" s="9">
        <f>IFERROR(__xludf.DUMMYFUNCTION("""COMPUTED_VALUE"""),38.8874)</f>
        <v>38.8874</v>
      </c>
      <c r="E681" s="11"/>
    </row>
    <row r="682">
      <c r="B682" s="11">
        <f>IFERROR(__xludf.DUMMYFUNCTION("""COMPUTED_VALUE"""),25324.0)</f>
        <v>25324</v>
      </c>
      <c r="C682" s="9">
        <f>IFERROR(__xludf.DUMMYFUNCTION("""COMPUTED_VALUE"""),38.5111)</f>
        <v>38.5111</v>
      </c>
      <c r="E682" s="11"/>
    </row>
    <row r="683">
      <c r="B683" s="11">
        <f>IFERROR(__xludf.DUMMYFUNCTION("""COMPUTED_VALUE"""),25294.0)</f>
        <v>25294</v>
      </c>
      <c r="C683" s="9">
        <f>IFERROR(__xludf.DUMMYFUNCTION("""COMPUTED_VALUE"""),38.6573)</f>
        <v>38.6573</v>
      </c>
      <c r="E683" s="11"/>
    </row>
    <row r="684">
      <c r="B684" s="11">
        <f>IFERROR(__xludf.DUMMYFUNCTION("""COMPUTED_VALUE"""),25263.0)</f>
        <v>25263</v>
      </c>
      <c r="C684" s="9">
        <f>IFERROR(__xludf.DUMMYFUNCTION("""COMPUTED_VALUE"""),38.8)</f>
        <v>38.8</v>
      </c>
      <c r="E684" s="11"/>
    </row>
    <row r="685">
      <c r="B685" s="11">
        <f>IFERROR(__xludf.DUMMYFUNCTION("""COMPUTED_VALUE"""),25235.0)</f>
        <v>25235</v>
      </c>
      <c r="C685" s="9">
        <f>IFERROR(__xludf.DUMMYFUNCTION("""COMPUTED_VALUE"""),38.4981)</f>
        <v>38.4981</v>
      </c>
      <c r="E685" s="11"/>
    </row>
    <row r="686">
      <c r="B686" s="11">
        <f>IFERROR(__xludf.DUMMYFUNCTION("""COMPUTED_VALUE"""),25204.0)</f>
        <v>25204</v>
      </c>
      <c r="C686" s="9">
        <f>IFERROR(__xludf.DUMMYFUNCTION("""COMPUTED_VALUE"""),38.2533)</f>
        <v>38.2533</v>
      </c>
      <c r="E686" s="11"/>
    </row>
    <row r="687">
      <c r="B687" s="11">
        <f>IFERROR(__xludf.DUMMYFUNCTION("""COMPUTED_VALUE"""),25173.0)</f>
        <v>25173</v>
      </c>
      <c r="C687" s="9">
        <f>IFERROR(__xludf.DUMMYFUNCTION("""COMPUTED_VALUE"""),38.0233)</f>
        <v>38.0233</v>
      </c>
      <c r="E687" s="11"/>
    </row>
    <row r="688">
      <c r="B688" s="11">
        <f>IFERROR(__xludf.DUMMYFUNCTION("""COMPUTED_VALUE"""),25143.0)</f>
        <v>25143</v>
      </c>
      <c r="C688" s="9">
        <f>IFERROR(__xludf.DUMMYFUNCTION("""COMPUTED_VALUE"""),37.9036)</f>
        <v>37.9036</v>
      </c>
      <c r="E688" s="11"/>
    </row>
    <row r="689">
      <c r="B689" s="11">
        <f>IFERROR(__xludf.DUMMYFUNCTION("""COMPUTED_VALUE"""),25112.0)</f>
        <v>25112</v>
      </c>
      <c r="C689" s="9">
        <f>IFERROR(__xludf.DUMMYFUNCTION("""COMPUTED_VALUE"""),37.4196)</f>
        <v>37.4196</v>
      </c>
      <c r="E689" s="11"/>
    </row>
    <row r="690">
      <c r="B690" s="11">
        <f>IFERROR(__xludf.DUMMYFUNCTION("""COMPUTED_VALUE"""),25082.0)</f>
        <v>25082</v>
      </c>
      <c r="C690" s="9">
        <f>IFERROR(__xludf.DUMMYFUNCTION("""COMPUTED_VALUE"""),37.3454)</f>
        <v>37.3454</v>
      </c>
      <c r="E690" s="11"/>
    </row>
    <row r="691">
      <c r="B691" s="11">
        <f>IFERROR(__xludf.DUMMYFUNCTION("""COMPUTED_VALUE"""),25051.0)</f>
        <v>25051</v>
      </c>
      <c r="C691" s="9">
        <f>IFERROR(__xludf.DUMMYFUNCTION("""COMPUTED_VALUE"""),37.2045)</f>
        <v>37.2045</v>
      </c>
      <c r="E691" s="11"/>
    </row>
    <row r="692">
      <c r="B692" s="11">
        <f>IFERROR(__xludf.DUMMYFUNCTION("""COMPUTED_VALUE"""),25020.0)</f>
        <v>25020</v>
      </c>
      <c r="C692" s="9">
        <f>IFERROR(__xludf.DUMMYFUNCTION("""COMPUTED_VALUE"""),37.101)</f>
        <v>37.101</v>
      </c>
      <c r="E692" s="11"/>
    </row>
    <row r="693">
      <c r="B693" s="11">
        <f>IFERROR(__xludf.DUMMYFUNCTION("""COMPUTED_VALUE"""),24990.0)</f>
        <v>24990</v>
      </c>
      <c r="C693" s="9">
        <f>IFERROR(__xludf.DUMMYFUNCTION("""COMPUTED_VALUE"""),37.158)</f>
        <v>37.158</v>
      </c>
      <c r="E693" s="11"/>
    </row>
    <row r="694">
      <c r="B694" s="11">
        <f>IFERROR(__xludf.DUMMYFUNCTION("""COMPUTED_VALUE"""),24959.0)</f>
        <v>24959</v>
      </c>
      <c r="C694" s="9">
        <f>IFERROR(__xludf.DUMMYFUNCTION("""COMPUTED_VALUE"""),37.022)</f>
        <v>37.022</v>
      </c>
      <c r="E694" s="11"/>
    </row>
    <row r="695">
      <c r="B695" s="11">
        <f>IFERROR(__xludf.DUMMYFUNCTION("""COMPUTED_VALUE"""),24929.0)</f>
        <v>24929</v>
      </c>
      <c r="C695" s="9">
        <f>IFERROR(__xludf.DUMMYFUNCTION("""COMPUTED_VALUE"""),36.6113)</f>
        <v>36.6113</v>
      </c>
      <c r="E695" s="11"/>
    </row>
    <row r="696">
      <c r="B696" s="11">
        <f>IFERROR(__xludf.DUMMYFUNCTION("""COMPUTED_VALUE"""),24898.0)</f>
        <v>24898</v>
      </c>
      <c r="C696" s="9">
        <f>IFERROR(__xludf.DUMMYFUNCTION("""COMPUTED_VALUE"""),36.5584)</f>
        <v>36.5584</v>
      </c>
      <c r="E696" s="11"/>
    </row>
    <row r="697">
      <c r="B697" s="11">
        <f>IFERROR(__xludf.DUMMYFUNCTION("""COMPUTED_VALUE"""),24869.0)</f>
        <v>24869</v>
      </c>
      <c r="C697" s="9">
        <f>IFERROR(__xludf.DUMMYFUNCTION("""COMPUTED_VALUE"""),36.4446)</f>
        <v>36.4446</v>
      </c>
      <c r="E697" s="11"/>
    </row>
    <row r="698">
      <c r="B698" s="11">
        <f>IFERROR(__xludf.DUMMYFUNCTION("""COMPUTED_VALUE"""),24838.0)</f>
        <v>24838</v>
      </c>
      <c r="C698" s="9">
        <f>IFERROR(__xludf.DUMMYFUNCTION("""COMPUTED_VALUE"""),36.3145)</f>
        <v>36.3145</v>
      </c>
      <c r="E698" s="11"/>
    </row>
    <row r="699">
      <c r="B699" s="11">
        <f>IFERROR(__xludf.DUMMYFUNCTION("""COMPUTED_VALUE"""),24807.0)</f>
        <v>24807</v>
      </c>
      <c r="C699" s="9">
        <f>IFERROR(__xludf.DUMMYFUNCTION("""COMPUTED_VALUE"""),36.3536)</f>
        <v>36.3536</v>
      </c>
      <c r="E699" s="11"/>
    </row>
    <row r="700">
      <c r="B700" s="11">
        <f>IFERROR(__xludf.DUMMYFUNCTION("""COMPUTED_VALUE"""),24777.0)</f>
        <v>24777</v>
      </c>
      <c r="C700" s="9">
        <f>IFERROR(__xludf.DUMMYFUNCTION("""COMPUTED_VALUE"""),35.9663)</f>
        <v>35.9663</v>
      </c>
      <c r="E700" s="11"/>
    </row>
    <row r="701">
      <c r="B701" s="11">
        <f>IFERROR(__xludf.DUMMYFUNCTION("""COMPUTED_VALUE"""),24746.0)</f>
        <v>24746</v>
      </c>
      <c r="C701" s="9">
        <f>IFERROR(__xludf.DUMMYFUNCTION("""COMPUTED_VALUE"""),35.4591)</f>
        <v>35.4591</v>
      </c>
      <c r="E701" s="11"/>
    </row>
    <row r="702">
      <c r="B702" s="11">
        <f>IFERROR(__xludf.DUMMYFUNCTION("""COMPUTED_VALUE"""),24716.0)</f>
        <v>24716</v>
      </c>
      <c r="C702" s="9">
        <f>IFERROR(__xludf.DUMMYFUNCTION("""COMPUTED_VALUE"""),35.1727)</f>
        <v>35.1727</v>
      </c>
      <c r="E702" s="11"/>
    </row>
    <row r="703">
      <c r="B703" s="11">
        <f>IFERROR(__xludf.DUMMYFUNCTION("""COMPUTED_VALUE"""),24685.0)</f>
        <v>24685</v>
      </c>
      <c r="C703" s="9">
        <f>IFERROR(__xludf.DUMMYFUNCTION("""COMPUTED_VALUE"""),35.2299)</f>
        <v>35.2299</v>
      </c>
      <c r="E703" s="11"/>
    </row>
    <row r="704">
      <c r="B704" s="11">
        <f>IFERROR(__xludf.DUMMYFUNCTION("""COMPUTED_VALUE"""),24654.0)</f>
        <v>24654</v>
      </c>
      <c r="C704" s="9">
        <f>IFERROR(__xludf.DUMMYFUNCTION("""COMPUTED_VALUE"""),34.5676)</f>
        <v>34.5676</v>
      </c>
      <c r="E704" s="11"/>
    </row>
    <row r="705">
      <c r="B705" s="11">
        <f>IFERROR(__xludf.DUMMYFUNCTION("""COMPUTED_VALUE"""),24624.0)</f>
        <v>24624</v>
      </c>
      <c r="C705" s="9">
        <f>IFERROR(__xludf.DUMMYFUNCTION("""COMPUTED_VALUE"""),34.6465)</f>
        <v>34.6465</v>
      </c>
      <c r="E705" s="11"/>
    </row>
    <row r="706">
      <c r="B706" s="11">
        <f>IFERROR(__xludf.DUMMYFUNCTION("""COMPUTED_VALUE"""),24593.0)</f>
        <v>24593</v>
      </c>
      <c r="C706" s="9">
        <f>IFERROR(__xludf.DUMMYFUNCTION("""COMPUTED_VALUE"""),34.6508)</f>
        <v>34.6508</v>
      </c>
      <c r="E706" s="11"/>
    </row>
    <row r="707">
      <c r="B707" s="11">
        <f>IFERROR(__xludf.DUMMYFUNCTION("""COMPUTED_VALUE"""),24563.0)</f>
        <v>24563</v>
      </c>
      <c r="C707" s="9">
        <f>IFERROR(__xludf.DUMMYFUNCTION("""COMPUTED_VALUE"""),34.9558)</f>
        <v>34.9558</v>
      </c>
      <c r="E707" s="11"/>
    </row>
    <row r="708">
      <c r="B708" s="11">
        <f>IFERROR(__xludf.DUMMYFUNCTION("""COMPUTED_VALUE"""),24532.0)</f>
        <v>24532</v>
      </c>
      <c r="C708" s="9">
        <f>IFERROR(__xludf.DUMMYFUNCTION("""COMPUTED_VALUE"""),34.6292)</f>
        <v>34.6292</v>
      </c>
      <c r="E708" s="11"/>
    </row>
    <row r="709">
      <c r="B709" s="11">
        <f>IFERROR(__xludf.DUMMYFUNCTION("""COMPUTED_VALUE"""),24504.0)</f>
        <v>24504</v>
      </c>
      <c r="C709" s="9">
        <f>IFERROR(__xludf.DUMMYFUNCTION("""COMPUTED_VALUE"""),34.8255)</f>
        <v>34.8255</v>
      </c>
      <c r="E709" s="11"/>
    </row>
    <row r="710">
      <c r="B710" s="11">
        <f>IFERROR(__xludf.DUMMYFUNCTION("""COMPUTED_VALUE"""),24473.0)</f>
        <v>24473</v>
      </c>
      <c r="C710" s="9">
        <f>IFERROR(__xludf.DUMMYFUNCTION("""COMPUTED_VALUE"""),35.225)</f>
        <v>35.225</v>
      </c>
      <c r="E710" s="11"/>
    </row>
    <row r="711">
      <c r="B711" s="11">
        <f>IFERROR(__xludf.DUMMYFUNCTION("""COMPUTED_VALUE"""),24442.0)</f>
        <v>24442</v>
      </c>
      <c r="C711" s="9">
        <f>IFERROR(__xludf.DUMMYFUNCTION("""COMPUTED_VALUE"""),35.0596)</f>
        <v>35.0596</v>
      </c>
      <c r="E711" s="11"/>
    </row>
    <row r="712">
      <c r="B712" s="11">
        <f>IFERROR(__xludf.DUMMYFUNCTION("""COMPUTED_VALUE"""),24412.0)</f>
        <v>24412</v>
      </c>
      <c r="C712" s="9">
        <f>IFERROR(__xludf.DUMMYFUNCTION("""COMPUTED_VALUE"""),34.9788)</f>
        <v>34.9788</v>
      </c>
      <c r="E712" s="11"/>
    </row>
    <row r="713">
      <c r="B713" s="11">
        <f>IFERROR(__xludf.DUMMYFUNCTION("""COMPUTED_VALUE"""),24381.0)</f>
        <v>24381</v>
      </c>
      <c r="C713" s="9">
        <f>IFERROR(__xludf.DUMMYFUNCTION("""COMPUTED_VALUE"""),35.2212)</f>
        <v>35.2212</v>
      </c>
      <c r="E713" s="11"/>
    </row>
    <row r="714">
      <c r="B714" s="11">
        <f>IFERROR(__xludf.DUMMYFUNCTION("""COMPUTED_VALUE"""),24351.0)</f>
        <v>24351</v>
      </c>
      <c r="C714" s="9">
        <f>IFERROR(__xludf.DUMMYFUNCTION("""COMPUTED_VALUE"""),34.9789)</f>
        <v>34.9789</v>
      </c>
      <c r="E714" s="11"/>
    </row>
    <row r="715">
      <c r="B715" s="11">
        <f>IFERROR(__xludf.DUMMYFUNCTION("""COMPUTED_VALUE"""),24320.0)</f>
        <v>24320</v>
      </c>
      <c r="C715" s="9">
        <f>IFERROR(__xludf.DUMMYFUNCTION("""COMPUTED_VALUE"""),34.6557)</f>
        <v>34.6557</v>
      </c>
      <c r="E715" s="11"/>
    </row>
    <row r="716">
      <c r="B716" s="11">
        <f>IFERROR(__xludf.DUMMYFUNCTION("""COMPUTED_VALUE"""),24289.0)</f>
        <v>24289</v>
      </c>
      <c r="C716" s="9">
        <f>IFERROR(__xludf.DUMMYFUNCTION("""COMPUTED_VALUE"""),34.6288)</f>
        <v>34.6288</v>
      </c>
      <c r="E716" s="11"/>
    </row>
    <row r="717">
      <c r="B717" s="11">
        <f>IFERROR(__xludf.DUMMYFUNCTION("""COMPUTED_VALUE"""),24259.0)</f>
        <v>24259</v>
      </c>
      <c r="C717" s="9">
        <f>IFERROR(__xludf.DUMMYFUNCTION("""COMPUTED_VALUE"""),34.4403)</f>
        <v>34.4403</v>
      </c>
      <c r="E717" s="11"/>
    </row>
    <row r="718">
      <c r="B718" s="11">
        <f>IFERROR(__xludf.DUMMYFUNCTION("""COMPUTED_VALUE"""),24228.0)</f>
        <v>24228</v>
      </c>
      <c r="C718" s="9">
        <f>IFERROR(__xludf.DUMMYFUNCTION("""COMPUTED_VALUE"""),34.2787)</f>
        <v>34.2787</v>
      </c>
      <c r="E718" s="11"/>
    </row>
    <row r="719">
      <c r="B719" s="11">
        <f>IFERROR(__xludf.DUMMYFUNCTION("""COMPUTED_VALUE"""),24198.0)</f>
        <v>24198</v>
      </c>
      <c r="C719" s="9">
        <f>IFERROR(__xludf.DUMMYFUNCTION("""COMPUTED_VALUE"""),33.9556)</f>
        <v>33.9556</v>
      </c>
      <c r="E719" s="11"/>
    </row>
    <row r="720">
      <c r="B720" s="11">
        <f>IFERROR(__xludf.DUMMYFUNCTION("""COMPUTED_VALUE"""),24167.0)</f>
        <v>24167</v>
      </c>
      <c r="C720" s="9">
        <f>IFERROR(__xludf.DUMMYFUNCTION("""COMPUTED_VALUE"""),33.9018)</f>
        <v>33.9018</v>
      </c>
      <c r="E720" s="11"/>
    </row>
    <row r="721">
      <c r="B721" s="11">
        <f>IFERROR(__xludf.DUMMYFUNCTION("""COMPUTED_VALUE"""),24139.0)</f>
        <v>24139</v>
      </c>
      <c r="C721" s="9">
        <f>IFERROR(__xludf.DUMMYFUNCTION("""COMPUTED_VALUE"""),33.444)</f>
        <v>33.444</v>
      </c>
      <c r="E721" s="11"/>
    </row>
    <row r="722">
      <c r="B722" s="11">
        <f>IFERROR(__xludf.DUMMYFUNCTION("""COMPUTED_VALUE"""),24108.0)</f>
        <v>24108</v>
      </c>
      <c r="C722" s="9">
        <f>IFERROR(__xludf.DUMMYFUNCTION("""COMPUTED_VALUE"""),33.2286)</f>
        <v>33.2286</v>
      </c>
      <c r="E722" s="11"/>
    </row>
    <row r="723">
      <c r="B723" s="11">
        <f>IFERROR(__xludf.DUMMYFUNCTION("""COMPUTED_VALUE"""),24077.0)</f>
        <v>24077</v>
      </c>
      <c r="C723" s="9">
        <f>IFERROR(__xludf.DUMMYFUNCTION("""COMPUTED_VALUE"""),32.9054)</f>
        <v>32.9054</v>
      </c>
      <c r="E723" s="11"/>
    </row>
    <row r="724">
      <c r="B724" s="11">
        <f>IFERROR(__xludf.DUMMYFUNCTION("""COMPUTED_VALUE"""),24047.0)</f>
        <v>24047</v>
      </c>
      <c r="C724" s="9">
        <f>IFERROR(__xludf.DUMMYFUNCTION("""COMPUTED_VALUE"""),32.5015)</f>
        <v>32.5015</v>
      </c>
      <c r="E724" s="11"/>
    </row>
    <row r="725">
      <c r="B725" s="11">
        <f>IFERROR(__xludf.DUMMYFUNCTION("""COMPUTED_VALUE"""),24016.0)</f>
        <v>24016</v>
      </c>
      <c r="C725" s="9">
        <f>IFERROR(__xludf.DUMMYFUNCTION("""COMPUTED_VALUE"""),32.3669)</f>
        <v>32.3669</v>
      </c>
      <c r="E725" s="11"/>
    </row>
    <row r="726">
      <c r="B726" s="11">
        <f>IFERROR(__xludf.DUMMYFUNCTION("""COMPUTED_VALUE"""),23986.0)</f>
        <v>23986</v>
      </c>
      <c r="C726" s="9">
        <f>IFERROR(__xludf.DUMMYFUNCTION("""COMPUTED_VALUE"""),32.0438)</f>
        <v>32.0438</v>
      </c>
      <c r="E726" s="11"/>
    </row>
    <row r="727">
      <c r="B727" s="11">
        <f>IFERROR(__xludf.DUMMYFUNCTION("""COMPUTED_VALUE"""),23955.0)</f>
        <v>23955</v>
      </c>
      <c r="C727" s="9">
        <f>IFERROR(__xludf.DUMMYFUNCTION("""COMPUTED_VALUE"""),31.963)</f>
        <v>31.963</v>
      </c>
      <c r="E727" s="11"/>
    </row>
    <row r="728">
      <c r="B728" s="11">
        <f>IFERROR(__xludf.DUMMYFUNCTION("""COMPUTED_VALUE"""),23924.0)</f>
        <v>23924</v>
      </c>
      <c r="C728" s="9">
        <f>IFERROR(__xludf.DUMMYFUNCTION("""COMPUTED_VALUE"""),31.8283)</f>
        <v>31.8283</v>
      </c>
      <c r="E728" s="11"/>
    </row>
    <row r="729">
      <c r="B729" s="11">
        <f>IFERROR(__xludf.DUMMYFUNCTION("""COMPUTED_VALUE"""),23894.0)</f>
        <v>23894</v>
      </c>
      <c r="C729" s="9">
        <f>IFERROR(__xludf.DUMMYFUNCTION("""COMPUTED_VALUE"""),31.5321)</f>
        <v>31.5321</v>
      </c>
      <c r="E729" s="11"/>
    </row>
    <row r="730">
      <c r="B730" s="11">
        <f>IFERROR(__xludf.DUMMYFUNCTION("""COMPUTED_VALUE"""),23863.0)</f>
        <v>23863</v>
      </c>
      <c r="C730" s="9">
        <f>IFERROR(__xludf.DUMMYFUNCTION("""COMPUTED_VALUE"""),31.2898)</f>
        <v>31.2898</v>
      </c>
      <c r="E730" s="11"/>
    </row>
    <row r="731">
      <c r="B731" s="11">
        <f>IFERROR(__xludf.DUMMYFUNCTION("""COMPUTED_VALUE"""),23833.0)</f>
        <v>23833</v>
      </c>
      <c r="C731" s="9">
        <f>IFERROR(__xludf.DUMMYFUNCTION("""COMPUTED_VALUE"""),31.0474)</f>
        <v>31.0474</v>
      </c>
      <c r="E731" s="11"/>
    </row>
    <row r="732">
      <c r="B732" s="11">
        <f>IFERROR(__xludf.DUMMYFUNCTION("""COMPUTED_VALUE"""),23802.0)</f>
        <v>23802</v>
      </c>
      <c r="C732" s="9">
        <f>IFERROR(__xludf.DUMMYFUNCTION("""COMPUTED_VALUE"""),30.9128)</f>
        <v>30.9128</v>
      </c>
      <c r="E732" s="11"/>
    </row>
    <row r="733">
      <c r="B733" s="11">
        <f>IFERROR(__xludf.DUMMYFUNCTION("""COMPUTED_VALUE"""),23774.0)</f>
        <v>23774</v>
      </c>
      <c r="C733" s="9">
        <f>IFERROR(__xludf.DUMMYFUNCTION("""COMPUTED_VALUE"""),30.5089)</f>
        <v>30.5089</v>
      </c>
      <c r="E733" s="11"/>
    </row>
    <row r="734">
      <c r="B734" s="11">
        <f>IFERROR(__xludf.DUMMYFUNCTION("""COMPUTED_VALUE"""),23743.0)</f>
        <v>23743</v>
      </c>
      <c r="C734" s="9">
        <f>IFERROR(__xludf.DUMMYFUNCTION("""COMPUTED_VALUE"""),30.3204)</f>
        <v>30.3204</v>
      </c>
      <c r="E734" s="11"/>
    </row>
    <row r="735">
      <c r="B735" s="11">
        <f>IFERROR(__xludf.DUMMYFUNCTION("""COMPUTED_VALUE"""),23712.0)</f>
        <v>23712</v>
      </c>
      <c r="C735" s="9">
        <f>IFERROR(__xludf.DUMMYFUNCTION("""COMPUTED_VALUE"""),29.9973)</f>
        <v>29.9973</v>
      </c>
      <c r="E735" s="11"/>
    </row>
    <row r="736">
      <c r="B736" s="11">
        <f>IFERROR(__xludf.DUMMYFUNCTION("""COMPUTED_VALUE"""),23682.0)</f>
        <v>23682</v>
      </c>
      <c r="C736" s="9">
        <f>IFERROR(__xludf.DUMMYFUNCTION("""COMPUTED_VALUE"""),29.6472)</f>
        <v>29.6472</v>
      </c>
      <c r="E736" s="11"/>
    </row>
    <row r="737">
      <c r="B737" s="11">
        <f>IFERROR(__xludf.DUMMYFUNCTION("""COMPUTED_VALUE"""),23651.0)</f>
        <v>23651</v>
      </c>
      <c r="C737" s="9">
        <f>IFERROR(__xludf.DUMMYFUNCTION("""COMPUTED_VALUE"""),28.7586)</f>
        <v>28.7586</v>
      </c>
      <c r="E737" s="11"/>
    </row>
    <row r="738">
      <c r="B738" s="11">
        <f>IFERROR(__xludf.DUMMYFUNCTION("""COMPUTED_VALUE"""),23621.0)</f>
        <v>23621</v>
      </c>
      <c r="C738" s="9">
        <f>IFERROR(__xludf.DUMMYFUNCTION("""COMPUTED_VALUE"""),29.1625)</f>
        <v>29.1625</v>
      </c>
      <c r="E738" s="11"/>
    </row>
    <row r="739">
      <c r="B739" s="11">
        <f>IFERROR(__xludf.DUMMYFUNCTION("""COMPUTED_VALUE"""),23590.0)</f>
        <v>23590</v>
      </c>
      <c r="C739" s="9">
        <f>IFERROR(__xludf.DUMMYFUNCTION("""COMPUTED_VALUE"""),29.0548)</f>
        <v>29.0548</v>
      </c>
      <c r="E739" s="11"/>
    </row>
    <row r="740">
      <c r="B740" s="11">
        <f>IFERROR(__xludf.DUMMYFUNCTION("""COMPUTED_VALUE"""),23559.0)</f>
        <v>23559</v>
      </c>
      <c r="C740" s="9">
        <f>IFERROR(__xludf.DUMMYFUNCTION("""COMPUTED_VALUE"""),28.8663)</f>
        <v>28.8663</v>
      </c>
      <c r="E740" s="11"/>
    </row>
    <row r="741">
      <c r="B741" s="11">
        <f>IFERROR(__xludf.DUMMYFUNCTION("""COMPUTED_VALUE"""),23529.0)</f>
        <v>23529</v>
      </c>
      <c r="C741" s="9">
        <f>IFERROR(__xludf.DUMMYFUNCTION("""COMPUTED_VALUE"""),28.6778)</f>
        <v>28.6778</v>
      </c>
      <c r="E741" s="11"/>
    </row>
    <row r="742">
      <c r="B742" s="11">
        <f>IFERROR(__xludf.DUMMYFUNCTION("""COMPUTED_VALUE"""),23498.0)</f>
        <v>23498</v>
      </c>
      <c r="C742" s="9">
        <f>IFERROR(__xludf.DUMMYFUNCTION("""COMPUTED_VALUE"""),28.597)</f>
        <v>28.597</v>
      </c>
      <c r="E742" s="11"/>
    </row>
    <row r="743">
      <c r="B743" s="11">
        <f>IFERROR(__xludf.DUMMYFUNCTION("""COMPUTED_VALUE"""),23468.0)</f>
        <v>23468</v>
      </c>
      <c r="C743" s="9">
        <f>IFERROR(__xludf.DUMMYFUNCTION("""COMPUTED_VALUE"""),28.4355)</f>
        <v>28.4355</v>
      </c>
      <c r="E743" s="11"/>
    </row>
    <row r="744">
      <c r="B744" s="11">
        <f>IFERROR(__xludf.DUMMYFUNCTION("""COMPUTED_VALUE"""),23437.0)</f>
        <v>23437</v>
      </c>
      <c r="C744" s="9">
        <f>IFERROR(__xludf.DUMMYFUNCTION("""COMPUTED_VALUE"""),27.9777)</f>
        <v>27.9777</v>
      </c>
      <c r="E744" s="11"/>
    </row>
    <row r="745">
      <c r="B745" s="11">
        <f>IFERROR(__xludf.DUMMYFUNCTION("""COMPUTED_VALUE"""),23408.0)</f>
        <v>23408</v>
      </c>
      <c r="C745" s="9">
        <f>IFERROR(__xludf.DUMMYFUNCTION("""COMPUTED_VALUE"""),27.9777)</f>
        <v>27.9777</v>
      </c>
      <c r="E745" s="11"/>
    </row>
    <row r="746">
      <c r="B746" s="11">
        <f>IFERROR(__xludf.DUMMYFUNCTION("""COMPUTED_VALUE"""),23377.0)</f>
        <v>23377</v>
      </c>
      <c r="C746" s="9">
        <f>IFERROR(__xludf.DUMMYFUNCTION("""COMPUTED_VALUE"""),27.7892)</f>
        <v>27.7892</v>
      </c>
      <c r="E746" s="11"/>
    </row>
    <row r="747">
      <c r="B747" s="11">
        <f>IFERROR(__xludf.DUMMYFUNCTION("""COMPUTED_VALUE"""),23346.0)</f>
        <v>23346</v>
      </c>
      <c r="C747" s="9">
        <f>IFERROR(__xludf.DUMMYFUNCTION("""COMPUTED_VALUE"""),27.5469)</f>
        <v>27.5469</v>
      </c>
      <c r="E747" s="11"/>
    </row>
    <row r="748">
      <c r="B748" s="11">
        <f>IFERROR(__xludf.DUMMYFUNCTION("""COMPUTED_VALUE"""),23316.0)</f>
        <v>23316</v>
      </c>
      <c r="C748" s="9">
        <f>IFERROR(__xludf.DUMMYFUNCTION("""COMPUTED_VALUE"""),27.6007)</f>
        <v>27.6007</v>
      </c>
      <c r="E748" s="11"/>
    </row>
    <row r="749">
      <c r="B749" s="11">
        <f>IFERROR(__xludf.DUMMYFUNCTION("""COMPUTED_VALUE"""),23285.0)</f>
        <v>23285</v>
      </c>
      <c r="C749" s="9">
        <f>IFERROR(__xludf.DUMMYFUNCTION("""COMPUTED_VALUE"""),27.4661)</f>
        <v>27.4661</v>
      </c>
      <c r="E749" s="11"/>
    </row>
    <row r="750">
      <c r="B750" s="11">
        <f>IFERROR(__xludf.DUMMYFUNCTION("""COMPUTED_VALUE"""),23255.0)</f>
        <v>23255</v>
      </c>
      <c r="C750" s="9">
        <f>IFERROR(__xludf.DUMMYFUNCTION("""COMPUTED_VALUE"""),27.2776)</f>
        <v>27.2776</v>
      </c>
      <c r="E750" s="11"/>
    </row>
    <row r="751">
      <c r="B751" s="11">
        <f>IFERROR(__xludf.DUMMYFUNCTION("""COMPUTED_VALUE"""),23224.0)</f>
        <v>23224</v>
      </c>
      <c r="C751" s="9">
        <f>IFERROR(__xludf.DUMMYFUNCTION("""COMPUTED_VALUE"""),27.0083)</f>
        <v>27.0083</v>
      </c>
      <c r="E751" s="11"/>
    </row>
    <row r="752">
      <c r="B752" s="11">
        <f>IFERROR(__xludf.DUMMYFUNCTION("""COMPUTED_VALUE"""),23193.0)</f>
        <v>23193</v>
      </c>
      <c r="C752" s="9">
        <f>IFERROR(__xludf.DUMMYFUNCTION("""COMPUTED_VALUE"""),26.9545)</f>
        <v>26.9545</v>
      </c>
      <c r="E752" s="11"/>
    </row>
    <row r="753">
      <c r="B753" s="11">
        <f>IFERROR(__xludf.DUMMYFUNCTION("""COMPUTED_VALUE"""),23163.0)</f>
        <v>23163</v>
      </c>
      <c r="C753" s="9">
        <f>IFERROR(__xludf.DUMMYFUNCTION("""COMPUTED_VALUE"""),27.0622)</f>
        <v>27.0622</v>
      </c>
      <c r="E753" s="11"/>
    </row>
    <row r="754">
      <c r="B754" s="11">
        <f>IFERROR(__xludf.DUMMYFUNCTION("""COMPUTED_VALUE"""),23132.0)</f>
        <v>23132</v>
      </c>
      <c r="C754" s="9">
        <f>IFERROR(__xludf.DUMMYFUNCTION("""COMPUTED_VALUE"""),26.9814)</f>
        <v>26.9814</v>
      </c>
      <c r="E754" s="11"/>
    </row>
    <row r="755">
      <c r="B755" s="11">
        <f>IFERROR(__xludf.DUMMYFUNCTION("""COMPUTED_VALUE"""),23102.0)</f>
        <v>23102</v>
      </c>
      <c r="C755" s="9">
        <f>IFERROR(__xludf.DUMMYFUNCTION("""COMPUTED_VALUE"""),26.6582)</f>
        <v>26.6582</v>
      </c>
      <c r="E755" s="11"/>
    </row>
    <row r="756">
      <c r="B756" s="11">
        <f>IFERROR(__xludf.DUMMYFUNCTION("""COMPUTED_VALUE"""),23071.0)</f>
        <v>23071</v>
      </c>
      <c r="C756" s="9">
        <f>IFERROR(__xludf.DUMMYFUNCTION("""COMPUTED_VALUE"""),26.4159)</f>
        <v>26.4159</v>
      </c>
      <c r="E756" s="11"/>
    </row>
    <row r="757">
      <c r="B757" s="11">
        <f>IFERROR(__xludf.DUMMYFUNCTION("""COMPUTED_VALUE"""),23043.0)</f>
        <v>23043</v>
      </c>
      <c r="C757" s="9">
        <f>IFERROR(__xludf.DUMMYFUNCTION("""COMPUTED_VALUE"""),26.2544)</f>
        <v>26.2544</v>
      </c>
      <c r="E757" s="11"/>
    </row>
    <row r="758">
      <c r="B758" s="11">
        <f>IFERROR(__xludf.DUMMYFUNCTION("""COMPUTED_VALUE"""),23012.0)</f>
        <v>23012</v>
      </c>
      <c r="C758" s="9">
        <f>IFERROR(__xludf.DUMMYFUNCTION("""COMPUTED_VALUE"""),25.9581)</f>
        <v>25.9581</v>
      </c>
      <c r="E758" s="11"/>
    </row>
    <row r="759">
      <c r="B759" s="11">
        <f>IFERROR(__xludf.DUMMYFUNCTION("""COMPUTED_VALUE"""),22981.0)</f>
        <v>22981</v>
      </c>
      <c r="C759" s="9">
        <f>IFERROR(__xludf.DUMMYFUNCTION("""COMPUTED_VALUE"""),25.7696)</f>
        <v>25.7696</v>
      </c>
      <c r="E759" s="11"/>
    </row>
    <row r="760">
      <c r="B760" s="11">
        <f>IFERROR(__xludf.DUMMYFUNCTION("""COMPUTED_VALUE"""),22951.0)</f>
        <v>22951</v>
      </c>
      <c r="C760" s="9">
        <f>IFERROR(__xludf.DUMMYFUNCTION("""COMPUTED_VALUE"""),25.7696)</f>
        <v>25.7696</v>
      </c>
      <c r="E760" s="11"/>
    </row>
    <row r="761">
      <c r="B761" s="11">
        <f>IFERROR(__xludf.DUMMYFUNCTION("""COMPUTED_VALUE"""),22920.0)</f>
        <v>22920</v>
      </c>
      <c r="C761" s="9">
        <f>IFERROR(__xludf.DUMMYFUNCTION("""COMPUTED_VALUE"""),25.6619)</f>
        <v>25.6619</v>
      </c>
      <c r="E761" s="11"/>
    </row>
    <row r="762">
      <c r="B762" s="11">
        <f>IFERROR(__xludf.DUMMYFUNCTION("""COMPUTED_VALUE"""),22890.0)</f>
        <v>22890</v>
      </c>
      <c r="C762" s="9">
        <f>IFERROR(__xludf.DUMMYFUNCTION("""COMPUTED_VALUE"""),25.635)</f>
        <v>25.635</v>
      </c>
      <c r="E762" s="11"/>
    </row>
    <row r="763">
      <c r="B763" s="11">
        <f>IFERROR(__xludf.DUMMYFUNCTION("""COMPUTED_VALUE"""),22859.0)</f>
        <v>22859</v>
      </c>
      <c r="C763" s="9">
        <f>IFERROR(__xludf.DUMMYFUNCTION("""COMPUTED_VALUE"""),25.4734)</f>
        <v>25.4734</v>
      </c>
      <c r="E763" s="11"/>
    </row>
    <row r="764">
      <c r="B764" s="11">
        <f>IFERROR(__xludf.DUMMYFUNCTION("""COMPUTED_VALUE"""),22828.0)</f>
        <v>22828</v>
      </c>
      <c r="C764" s="9">
        <f>IFERROR(__xludf.DUMMYFUNCTION("""COMPUTED_VALUE"""),25.4465)</f>
        <v>25.4465</v>
      </c>
      <c r="E764" s="11"/>
    </row>
    <row r="765">
      <c r="B765" s="11">
        <f>IFERROR(__xludf.DUMMYFUNCTION("""COMPUTED_VALUE"""),22798.0)</f>
        <v>22798</v>
      </c>
      <c r="C765" s="9">
        <f>IFERROR(__xludf.DUMMYFUNCTION("""COMPUTED_VALUE"""),25.2042)</f>
        <v>25.2042</v>
      </c>
      <c r="E765" s="11"/>
    </row>
    <row r="766">
      <c r="B766" s="11">
        <f>IFERROR(__xludf.DUMMYFUNCTION("""COMPUTED_VALUE"""),22767.0)</f>
        <v>22767</v>
      </c>
      <c r="C766" s="9">
        <f>IFERROR(__xludf.DUMMYFUNCTION("""COMPUTED_VALUE"""),25.258)</f>
        <v>25.258</v>
      </c>
      <c r="E766" s="11"/>
    </row>
    <row r="767">
      <c r="B767" s="11">
        <f>IFERROR(__xludf.DUMMYFUNCTION("""COMPUTED_VALUE"""),22737.0)</f>
        <v>22737</v>
      </c>
      <c r="C767" s="9">
        <f>IFERROR(__xludf.DUMMYFUNCTION("""COMPUTED_VALUE"""),25.285)</f>
        <v>25.285</v>
      </c>
      <c r="E767" s="11"/>
    </row>
    <row r="768">
      <c r="B768" s="11">
        <f>IFERROR(__xludf.DUMMYFUNCTION("""COMPUTED_VALUE"""),22706.0)</f>
        <v>22706</v>
      </c>
      <c r="C768" s="9">
        <f>IFERROR(__xludf.DUMMYFUNCTION("""COMPUTED_VALUE"""),25.2311)</f>
        <v>25.2311</v>
      </c>
      <c r="E768" s="11"/>
    </row>
    <row r="769">
      <c r="B769" s="11">
        <f>IFERROR(__xludf.DUMMYFUNCTION("""COMPUTED_VALUE"""),22678.0)</f>
        <v>22678</v>
      </c>
      <c r="C769" s="9">
        <f>IFERROR(__xludf.DUMMYFUNCTION("""COMPUTED_VALUE"""),25.0964)</f>
        <v>25.0964</v>
      </c>
      <c r="E769" s="11"/>
    </row>
    <row r="770">
      <c r="B770" s="11">
        <f>IFERROR(__xludf.DUMMYFUNCTION("""COMPUTED_VALUE"""),22647.0)</f>
        <v>22647</v>
      </c>
      <c r="C770" s="9">
        <f>IFERROR(__xludf.DUMMYFUNCTION("""COMPUTED_VALUE"""),24.6925)</f>
        <v>24.6925</v>
      </c>
      <c r="E770" s="11"/>
    </row>
    <row r="771">
      <c r="B771" s="11">
        <f>IFERROR(__xludf.DUMMYFUNCTION("""COMPUTED_VALUE"""),22616.0)</f>
        <v>22616</v>
      </c>
      <c r="C771" s="9">
        <f>IFERROR(__xludf.DUMMYFUNCTION("""COMPUTED_VALUE"""),24.908)</f>
        <v>24.908</v>
      </c>
      <c r="E771" s="11"/>
    </row>
    <row r="772">
      <c r="B772" s="11">
        <f>IFERROR(__xludf.DUMMYFUNCTION("""COMPUTED_VALUE"""),22586.0)</f>
        <v>22586</v>
      </c>
      <c r="C772" s="9">
        <f>IFERROR(__xludf.DUMMYFUNCTION("""COMPUTED_VALUE"""),24.6926)</f>
        <v>24.6926</v>
      </c>
      <c r="E772" s="11"/>
    </row>
    <row r="773">
      <c r="B773" s="11">
        <f>IFERROR(__xludf.DUMMYFUNCTION("""COMPUTED_VALUE"""),22555.0)</f>
        <v>22555</v>
      </c>
      <c r="C773" s="9">
        <f>IFERROR(__xludf.DUMMYFUNCTION("""COMPUTED_VALUE"""),24.3156)</f>
        <v>24.3156</v>
      </c>
      <c r="E773" s="11"/>
    </row>
    <row r="774">
      <c r="B774" s="11">
        <f>IFERROR(__xludf.DUMMYFUNCTION("""COMPUTED_VALUE"""),22525.0)</f>
        <v>22525</v>
      </c>
      <c r="C774" s="9">
        <f>IFERROR(__xludf.DUMMYFUNCTION("""COMPUTED_VALUE"""),23.8578)</f>
        <v>23.8578</v>
      </c>
      <c r="E774" s="11"/>
    </row>
    <row r="775">
      <c r="B775" s="11">
        <f>IFERROR(__xludf.DUMMYFUNCTION("""COMPUTED_VALUE"""),22494.0)</f>
        <v>22494</v>
      </c>
      <c r="C775" s="9">
        <f>IFERROR(__xludf.DUMMYFUNCTION("""COMPUTED_VALUE"""),23.8847)</f>
        <v>23.8847</v>
      </c>
      <c r="E775" s="11"/>
    </row>
    <row r="776">
      <c r="B776" s="11">
        <f>IFERROR(__xludf.DUMMYFUNCTION("""COMPUTED_VALUE"""),22463.0)</f>
        <v>22463</v>
      </c>
      <c r="C776" s="9">
        <f>IFERROR(__xludf.DUMMYFUNCTION("""COMPUTED_VALUE"""),23.6693)</f>
        <v>23.6693</v>
      </c>
      <c r="E776" s="11"/>
    </row>
    <row r="777">
      <c r="B777" s="11">
        <f>IFERROR(__xludf.DUMMYFUNCTION("""COMPUTED_VALUE"""),22433.0)</f>
        <v>22433</v>
      </c>
      <c r="C777" s="9">
        <f>IFERROR(__xludf.DUMMYFUNCTION("""COMPUTED_VALUE"""),23.4)</f>
        <v>23.4</v>
      </c>
      <c r="E777" s="11"/>
    </row>
    <row r="778">
      <c r="B778" s="11">
        <f>IFERROR(__xludf.DUMMYFUNCTION("""COMPUTED_VALUE"""),22402.0)</f>
        <v>22402</v>
      </c>
      <c r="C778" s="9">
        <f>IFERROR(__xludf.DUMMYFUNCTION("""COMPUTED_VALUE"""),23.0769)</f>
        <v>23.0769</v>
      </c>
      <c r="E778" s="11"/>
    </row>
    <row r="779">
      <c r="B779" s="11">
        <f>IFERROR(__xludf.DUMMYFUNCTION("""COMPUTED_VALUE"""),22372.0)</f>
        <v>22372</v>
      </c>
      <c r="C779" s="9">
        <f>IFERROR(__xludf.DUMMYFUNCTION("""COMPUTED_VALUE"""),22.7268)</f>
        <v>22.7268</v>
      </c>
      <c r="E779" s="11"/>
    </row>
    <row r="780">
      <c r="B780" s="11">
        <f>IFERROR(__xludf.DUMMYFUNCTION("""COMPUTED_VALUE"""),22341.0)</f>
        <v>22341</v>
      </c>
      <c r="C780" s="9">
        <f>IFERROR(__xludf.DUMMYFUNCTION("""COMPUTED_VALUE"""),22.2691)</f>
        <v>22.2691</v>
      </c>
      <c r="E780" s="11"/>
    </row>
    <row r="781">
      <c r="B781" s="11">
        <f>IFERROR(__xludf.DUMMYFUNCTION("""COMPUTED_VALUE"""),22313.0)</f>
        <v>22313</v>
      </c>
      <c r="C781" s="9">
        <f>IFERROR(__xludf.DUMMYFUNCTION("""COMPUTED_VALUE"""),22.1344)</f>
        <v>22.1344</v>
      </c>
      <c r="E781" s="11"/>
    </row>
    <row r="782">
      <c r="B782" s="11">
        <f>IFERROR(__xludf.DUMMYFUNCTION("""COMPUTED_VALUE"""),22282.0)</f>
        <v>22282</v>
      </c>
      <c r="C782" s="9">
        <f>IFERROR(__xludf.DUMMYFUNCTION("""COMPUTED_VALUE"""),22.1613)</f>
        <v>22.1613</v>
      </c>
      <c r="E782" s="11"/>
    </row>
    <row r="783">
      <c r="B783" s="11">
        <f>IFERROR(__xludf.DUMMYFUNCTION("""COMPUTED_VALUE"""),22251.0)</f>
        <v>22251</v>
      </c>
      <c r="C783" s="9">
        <f>IFERROR(__xludf.DUMMYFUNCTION("""COMPUTED_VALUE"""),22.1344)</f>
        <v>22.1344</v>
      </c>
      <c r="E783" s="11"/>
    </row>
    <row r="784">
      <c r="B784" s="11">
        <f>IFERROR(__xludf.DUMMYFUNCTION("""COMPUTED_VALUE"""),22221.0)</f>
        <v>22221</v>
      </c>
      <c r="C784" s="9">
        <f>IFERROR(__xludf.DUMMYFUNCTION("""COMPUTED_VALUE"""),22.5653)</f>
        <v>22.5653</v>
      </c>
      <c r="E784" s="11"/>
    </row>
    <row r="785">
      <c r="B785" s="11">
        <f>IFERROR(__xludf.DUMMYFUNCTION("""COMPUTED_VALUE"""),22190.0)</f>
        <v>22190</v>
      </c>
      <c r="C785" s="9">
        <f>IFERROR(__xludf.DUMMYFUNCTION("""COMPUTED_VALUE"""),22.8884)</f>
        <v>22.8884</v>
      </c>
      <c r="E785" s="11"/>
    </row>
    <row r="786">
      <c r="B786" s="11">
        <f>IFERROR(__xludf.DUMMYFUNCTION("""COMPUTED_VALUE"""),22160.0)</f>
        <v>22160</v>
      </c>
      <c r="C786" s="9">
        <f>IFERROR(__xludf.DUMMYFUNCTION("""COMPUTED_VALUE"""),22.9153)</f>
        <v>22.9153</v>
      </c>
      <c r="E786" s="11"/>
    </row>
    <row r="787">
      <c r="B787" s="11">
        <f>IFERROR(__xludf.DUMMYFUNCTION("""COMPUTED_VALUE"""),22129.0)</f>
        <v>22129</v>
      </c>
      <c r="C787" s="9">
        <f>IFERROR(__xludf.DUMMYFUNCTION("""COMPUTED_VALUE"""),23.1577)</f>
        <v>23.1577</v>
      </c>
      <c r="E787" s="11"/>
    </row>
    <row r="788">
      <c r="B788" s="11">
        <f>IFERROR(__xludf.DUMMYFUNCTION("""COMPUTED_VALUE"""),22098.0)</f>
        <v>22098</v>
      </c>
      <c r="C788" s="9">
        <f>IFERROR(__xludf.DUMMYFUNCTION("""COMPUTED_VALUE"""),23.1846)</f>
        <v>23.1846</v>
      </c>
      <c r="E788" s="11"/>
    </row>
    <row r="789">
      <c r="B789" s="11">
        <f>IFERROR(__xludf.DUMMYFUNCTION("""COMPUTED_VALUE"""),22068.0)</f>
        <v>22068</v>
      </c>
      <c r="C789" s="9">
        <f>IFERROR(__xludf.DUMMYFUNCTION("""COMPUTED_VALUE"""),23.2654)</f>
        <v>23.2654</v>
      </c>
      <c r="E789" s="11"/>
    </row>
    <row r="790">
      <c r="B790" s="11">
        <f>IFERROR(__xludf.DUMMYFUNCTION("""COMPUTED_VALUE"""),22037.0)</f>
        <v>22037</v>
      </c>
      <c r="C790" s="9">
        <f>IFERROR(__xludf.DUMMYFUNCTION("""COMPUTED_VALUE"""),23.5616)</f>
        <v>23.5616</v>
      </c>
      <c r="E790" s="11"/>
    </row>
    <row r="791">
      <c r="B791" s="11">
        <f>IFERROR(__xludf.DUMMYFUNCTION("""COMPUTED_VALUE"""),22007.0)</f>
        <v>22007</v>
      </c>
      <c r="C791" s="9">
        <f>IFERROR(__xludf.DUMMYFUNCTION("""COMPUTED_VALUE"""),23.5885)</f>
        <v>23.5885</v>
      </c>
      <c r="E791" s="11"/>
    </row>
    <row r="792">
      <c r="B792" s="11">
        <f>IFERROR(__xludf.DUMMYFUNCTION("""COMPUTED_VALUE"""),21976.0)</f>
        <v>21976</v>
      </c>
      <c r="C792" s="9">
        <f>IFERROR(__xludf.DUMMYFUNCTION("""COMPUTED_VALUE"""),23.777)</f>
        <v>23.777</v>
      </c>
      <c r="E792" s="11"/>
    </row>
    <row r="793">
      <c r="B793" s="11">
        <f>IFERROR(__xludf.DUMMYFUNCTION("""COMPUTED_VALUE"""),21947.0)</f>
        <v>21947</v>
      </c>
      <c r="C793" s="9">
        <f>IFERROR(__xludf.DUMMYFUNCTION("""COMPUTED_VALUE"""),23.9924)</f>
        <v>23.9924</v>
      </c>
      <c r="E793" s="11"/>
    </row>
    <row r="794">
      <c r="B794" s="11">
        <f>IFERROR(__xludf.DUMMYFUNCTION("""COMPUTED_VALUE"""),21916.0)</f>
        <v>21916</v>
      </c>
      <c r="C794" s="9">
        <f>IFERROR(__xludf.DUMMYFUNCTION("""COMPUTED_VALUE"""),24.2078)</f>
        <v>24.2078</v>
      </c>
      <c r="E794" s="11"/>
    </row>
    <row r="795">
      <c r="B795" s="11">
        <f>IFERROR(__xludf.DUMMYFUNCTION("""COMPUTED_VALUE"""),21885.0)</f>
        <v>21885</v>
      </c>
      <c r="C795" s="9">
        <f>IFERROR(__xludf.DUMMYFUNCTION("""COMPUTED_VALUE"""),23.5885)</f>
        <v>23.5885</v>
      </c>
      <c r="E795" s="11"/>
    </row>
    <row r="796">
      <c r="B796" s="11">
        <f>IFERROR(__xludf.DUMMYFUNCTION("""COMPUTED_VALUE"""),21855.0)</f>
        <v>21855</v>
      </c>
      <c r="C796" s="9">
        <f>IFERROR(__xludf.DUMMYFUNCTION("""COMPUTED_VALUE"""),22.2152)</f>
        <v>22.2152</v>
      </c>
      <c r="E796" s="11"/>
    </row>
    <row r="797">
      <c r="B797" s="11">
        <f>IFERROR(__xludf.DUMMYFUNCTION("""COMPUTED_VALUE"""),21824.0)</f>
        <v>21824</v>
      </c>
      <c r="C797" s="9">
        <f>IFERROR(__xludf.DUMMYFUNCTION("""COMPUTED_VALUE"""),22.0806)</f>
        <v>22.0806</v>
      </c>
      <c r="E797" s="11"/>
    </row>
    <row r="798">
      <c r="B798" s="11">
        <f>IFERROR(__xludf.DUMMYFUNCTION("""COMPUTED_VALUE"""),21794.0)</f>
        <v>21794</v>
      </c>
      <c r="C798" s="9">
        <f>IFERROR(__xludf.DUMMYFUNCTION("""COMPUTED_VALUE"""),22.2421)</f>
        <v>22.2421</v>
      </c>
      <c r="E798" s="11"/>
    </row>
    <row r="799">
      <c r="B799" s="11">
        <f>IFERROR(__xludf.DUMMYFUNCTION("""COMPUTED_VALUE"""),21763.0)</f>
        <v>21763</v>
      </c>
      <c r="C799" s="9">
        <f>IFERROR(__xludf.DUMMYFUNCTION("""COMPUTED_VALUE"""),22.2691)</f>
        <v>22.2691</v>
      </c>
      <c r="E799" s="11"/>
    </row>
    <row r="800">
      <c r="B800" s="11">
        <f>IFERROR(__xludf.DUMMYFUNCTION("""COMPUTED_VALUE"""),21732.0)</f>
        <v>21732</v>
      </c>
      <c r="C800" s="9">
        <f>IFERROR(__xludf.DUMMYFUNCTION("""COMPUTED_VALUE"""),23.05)</f>
        <v>23.05</v>
      </c>
      <c r="E800" s="11"/>
    </row>
    <row r="801">
      <c r="B801" s="11">
        <f>IFERROR(__xludf.DUMMYFUNCTION("""COMPUTED_VALUE"""),21702.0)</f>
        <v>21702</v>
      </c>
      <c r="C801" s="9">
        <f>IFERROR(__xludf.DUMMYFUNCTION("""COMPUTED_VALUE"""),23.6155)</f>
        <v>23.6155</v>
      </c>
      <c r="E801" s="11"/>
    </row>
    <row r="802">
      <c r="B802" s="11">
        <f>IFERROR(__xludf.DUMMYFUNCTION("""COMPUTED_VALUE"""),21671.0)</f>
        <v>21671</v>
      </c>
      <c r="C802" s="9">
        <f>IFERROR(__xludf.DUMMYFUNCTION("""COMPUTED_VALUE"""),23.5885)</f>
        <v>23.5885</v>
      </c>
      <c r="E802" s="11"/>
    </row>
    <row r="803">
      <c r="B803" s="11">
        <f>IFERROR(__xludf.DUMMYFUNCTION("""COMPUTED_VALUE"""),21641.0)</f>
        <v>21641</v>
      </c>
      <c r="C803" s="9">
        <f>IFERROR(__xludf.DUMMYFUNCTION("""COMPUTED_VALUE"""),23.2384)</f>
        <v>23.2384</v>
      </c>
      <c r="E803" s="11"/>
    </row>
    <row r="804">
      <c r="B804" s="11">
        <f>IFERROR(__xludf.DUMMYFUNCTION("""COMPUTED_VALUE"""),21610.0)</f>
        <v>21610</v>
      </c>
      <c r="C804" s="9">
        <f>IFERROR(__xludf.DUMMYFUNCTION("""COMPUTED_VALUE"""),22.7538)</f>
        <v>22.7538</v>
      </c>
      <c r="E804" s="11"/>
    </row>
    <row r="805">
      <c r="B805" s="11">
        <f>IFERROR(__xludf.DUMMYFUNCTION("""COMPUTED_VALUE"""),21582.0)</f>
        <v>21582</v>
      </c>
      <c r="C805" s="9">
        <f>IFERROR(__xludf.DUMMYFUNCTION("""COMPUTED_VALUE"""),22.4306)</f>
        <v>22.4306</v>
      </c>
      <c r="E805" s="11"/>
    </row>
    <row r="806">
      <c r="B806" s="11">
        <f>IFERROR(__xludf.DUMMYFUNCTION("""COMPUTED_VALUE"""),21551.0)</f>
        <v>21551</v>
      </c>
      <c r="C806" s="9">
        <f>IFERROR(__xludf.DUMMYFUNCTION("""COMPUTED_VALUE"""),21.9998)</f>
        <v>21.9998</v>
      </c>
      <c r="E806" s="11"/>
    </row>
    <row r="807">
      <c r="B807" s="11">
        <f>IFERROR(__xludf.DUMMYFUNCTION("""COMPUTED_VALUE"""),21520.0)</f>
        <v>21520</v>
      </c>
      <c r="C807" s="9">
        <f>IFERROR(__xludf.DUMMYFUNCTION("""COMPUTED_VALUE"""),21.6767)</f>
        <v>21.6767</v>
      </c>
      <c r="E807" s="11"/>
    </row>
    <row r="808">
      <c r="B808" s="11">
        <f>IFERROR(__xludf.DUMMYFUNCTION("""COMPUTED_VALUE"""),21490.0)</f>
        <v>21490</v>
      </c>
      <c r="C808" s="9">
        <f>IFERROR(__xludf.DUMMYFUNCTION("""COMPUTED_VALUE"""),21.6497)</f>
        <v>21.6497</v>
      </c>
      <c r="E808" s="11"/>
    </row>
    <row r="809">
      <c r="B809" s="11">
        <f>IFERROR(__xludf.DUMMYFUNCTION("""COMPUTED_VALUE"""),21459.0)</f>
        <v>21459</v>
      </c>
      <c r="C809" s="9">
        <f>IFERROR(__xludf.DUMMYFUNCTION("""COMPUTED_VALUE"""),21.0304)</f>
        <v>21.0304</v>
      </c>
      <c r="E809" s="11"/>
    </row>
    <row r="810">
      <c r="B810" s="11">
        <f>IFERROR(__xludf.DUMMYFUNCTION("""COMPUTED_VALUE"""),21429.0)</f>
        <v>21429</v>
      </c>
      <c r="C810" s="9">
        <f>IFERROR(__xludf.DUMMYFUNCTION("""COMPUTED_VALUE"""),20.7881)</f>
        <v>20.7881</v>
      </c>
      <c r="E810" s="11"/>
    </row>
    <row r="811">
      <c r="B811" s="11">
        <f>IFERROR(__xludf.DUMMYFUNCTION("""COMPUTED_VALUE"""),21398.0)</f>
        <v>21398</v>
      </c>
      <c r="C811" s="9">
        <f>IFERROR(__xludf.DUMMYFUNCTION("""COMPUTED_VALUE"""),20.5995)</f>
        <v>20.5995</v>
      </c>
      <c r="E811" s="11"/>
    </row>
    <row r="812">
      <c r="B812" s="11">
        <f>IFERROR(__xludf.DUMMYFUNCTION("""COMPUTED_VALUE"""),21367.0)</f>
        <v>21367</v>
      </c>
      <c r="C812" s="9">
        <f>IFERROR(__xludf.DUMMYFUNCTION("""COMPUTED_VALUE"""),20.1956)</f>
        <v>20.1956</v>
      </c>
      <c r="E812" s="11"/>
    </row>
    <row r="813">
      <c r="B813" s="11">
        <f>IFERROR(__xludf.DUMMYFUNCTION("""COMPUTED_VALUE"""),21337.0)</f>
        <v>21337</v>
      </c>
      <c r="C813" s="9">
        <f>IFERROR(__xludf.DUMMYFUNCTION("""COMPUTED_VALUE"""),19.8994)</f>
        <v>19.8994</v>
      </c>
      <c r="E813" s="11"/>
    </row>
    <row r="814">
      <c r="B814" s="11">
        <f>IFERROR(__xludf.DUMMYFUNCTION("""COMPUTED_VALUE"""),21306.0)</f>
        <v>21306</v>
      </c>
      <c r="C814" s="9">
        <f>IFERROR(__xludf.DUMMYFUNCTION("""COMPUTED_VALUE"""),19.3878)</f>
        <v>19.3878</v>
      </c>
      <c r="E814" s="11"/>
    </row>
    <row r="815">
      <c r="B815" s="11">
        <f>IFERROR(__xludf.DUMMYFUNCTION("""COMPUTED_VALUE"""),21276.0)</f>
        <v>21276</v>
      </c>
      <c r="C815" s="9">
        <f>IFERROR(__xludf.DUMMYFUNCTION("""COMPUTED_VALUE"""),19.1993)</f>
        <v>19.1993</v>
      </c>
      <c r="E815" s="11"/>
    </row>
    <row r="816">
      <c r="B816" s="11">
        <f>IFERROR(__xludf.DUMMYFUNCTION("""COMPUTED_VALUE"""),21245.0)</f>
        <v>21245</v>
      </c>
      <c r="C816" s="9">
        <f>IFERROR(__xludf.DUMMYFUNCTION("""COMPUTED_VALUE"""),19.5225)</f>
        <v>19.5225</v>
      </c>
      <c r="E816" s="11"/>
    </row>
    <row r="817">
      <c r="B817" s="11">
        <f>IFERROR(__xludf.DUMMYFUNCTION("""COMPUTED_VALUE"""),21217.0)</f>
        <v>21217</v>
      </c>
      <c r="C817" s="9">
        <f>IFERROR(__xludf.DUMMYFUNCTION("""COMPUTED_VALUE"""),19.7648)</f>
        <v>19.7648</v>
      </c>
      <c r="E817" s="11"/>
    </row>
    <row r="818">
      <c r="B818" s="11">
        <f>IFERROR(__xludf.DUMMYFUNCTION("""COMPUTED_VALUE"""),21186.0)</f>
        <v>21186</v>
      </c>
      <c r="C818" s="9">
        <f>IFERROR(__xludf.DUMMYFUNCTION("""COMPUTED_VALUE"""),20.1956)</f>
        <v>20.1956</v>
      </c>
      <c r="E818" s="11"/>
    </row>
    <row r="819">
      <c r="B819" s="11">
        <f>IFERROR(__xludf.DUMMYFUNCTION("""COMPUTED_VALUE"""),21155.0)</f>
        <v>21155</v>
      </c>
      <c r="C819" s="9">
        <f>IFERROR(__xludf.DUMMYFUNCTION("""COMPUTED_VALUE"""),20.5726)</f>
        <v>20.5726</v>
      </c>
      <c r="E819" s="11"/>
    </row>
    <row r="820">
      <c r="B820" s="11">
        <f>IFERROR(__xludf.DUMMYFUNCTION("""COMPUTED_VALUE"""),21125.0)</f>
        <v>21125</v>
      </c>
      <c r="C820" s="9">
        <f>IFERROR(__xludf.DUMMYFUNCTION("""COMPUTED_VALUE"""),20.9765)</f>
        <v>20.9765</v>
      </c>
      <c r="E820" s="11"/>
    </row>
    <row r="821">
      <c r="B821" s="11">
        <f>IFERROR(__xludf.DUMMYFUNCTION("""COMPUTED_VALUE"""),21094.0)</f>
        <v>21094</v>
      </c>
      <c r="C821" s="9">
        <f>IFERROR(__xludf.DUMMYFUNCTION("""COMPUTED_VALUE"""),21.4882)</f>
        <v>21.4882</v>
      </c>
      <c r="E821" s="11"/>
    </row>
    <row r="822">
      <c r="B822" s="11">
        <f>IFERROR(__xludf.DUMMYFUNCTION("""COMPUTED_VALUE"""),21064.0)</f>
        <v>21064</v>
      </c>
      <c r="C822" s="9">
        <f>IFERROR(__xludf.DUMMYFUNCTION("""COMPUTED_VALUE"""),21.8113)</f>
        <v>21.8113</v>
      </c>
      <c r="E822" s="11"/>
    </row>
    <row r="823">
      <c r="B823" s="11">
        <f>IFERROR(__xludf.DUMMYFUNCTION("""COMPUTED_VALUE"""),21033.0)</f>
        <v>21033</v>
      </c>
      <c r="C823" s="9">
        <f>IFERROR(__xludf.DUMMYFUNCTION("""COMPUTED_VALUE"""),21.9998)</f>
        <v>21.9998</v>
      </c>
      <c r="E823" s="11"/>
    </row>
    <row r="824">
      <c r="B824" s="11">
        <f>IFERROR(__xludf.DUMMYFUNCTION("""COMPUTED_VALUE"""),21002.0)</f>
        <v>21002</v>
      </c>
      <c r="C824" s="9">
        <f>IFERROR(__xludf.DUMMYFUNCTION("""COMPUTED_VALUE"""),21.9998)</f>
        <v>21.9998</v>
      </c>
      <c r="E824" s="11"/>
    </row>
    <row r="825">
      <c r="B825" s="11">
        <f>IFERROR(__xludf.DUMMYFUNCTION("""COMPUTED_VALUE"""),20972.0)</f>
        <v>20972</v>
      </c>
      <c r="C825" s="9">
        <f>IFERROR(__xludf.DUMMYFUNCTION("""COMPUTED_VALUE"""),21.8652)</f>
        <v>21.8652</v>
      </c>
      <c r="E825" s="11"/>
    </row>
    <row r="826">
      <c r="B826" s="11">
        <f>IFERROR(__xludf.DUMMYFUNCTION("""COMPUTED_VALUE"""),20941.0)</f>
        <v>20941</v>
      </c>
      <c r="C826" s="9">
        <f>IFERROR(__xludf.DUMMYFUNCTION("""COMPUTED_VALUE"""),21.8113)</f>
        <v>21.8113</v>
      </c>
      <c r="E826" s="11"/>
    </row>
    <row r="827">
      <c r="B827" s="11">
        <f>IFERROR(__xludf.DUMMYFUNCTION("""COMPUTED_VALUE"""),20911.0)</f>
        <v>20911</v>
      </c>
      <c r="C827" s="9">
        <f>IFERROR(__xludf.DUMMYFUNCTION("""COMPUTED_VALUE"""),21.8921)</f>
        <v>21.8921</v>
      </c>
      <c r="E827" s="11"/>
    </row>
    <row r="828">
      <c r="B828" s="11">
        <f>IFERROR(__xludf.DUMMYFUNCTION("""COMPUTED_VALUE"""),20880.0)</f>
        <v>20880</v>
      </c>
      <c r="C828" s="9">
        <f>IFERROR(__xludf.DUMMYFUNCTION("""COMPUTED_VALUE"""),22.1883)</f>
        <v>22.1883</v>
      </c>
      <c r="E828" s="11"/>
    </row>
    <row r="829">
      <c r="B829" s="11">
        <f>IFERROR(__xludf.DUMMYFUNCTION("""COMPUTED_VALUE"""),20852.0)</f>
        <v>20852</v>
      </c>
      <c r="C829" s="9">
        <f>IFERROR(__xludf.DUMMYFUNCTION("""COMPUTED_VALUE"""),22.2152)</f>
        <v>22.2152</v>
      </c>
      <c r="E829" s="11"/>
    </row>
    <row r="830">
      <c r="B830" s="11">
        <f>IFERROR(__xludf.DUMMYFUNCTION("""COMPUTED_VALUE"""),20821.0)</f>
        <v>20821</v>
      </c>
      <c r="C830" s="9">
        <f>IFERROR(__xludf.DUMMYFUNCTION("""COMPUTED_VALUE"""),21.9998)</f>
        <v>21.9998</v>
      </c>
      <c r="E830" s="11"/>
    </row>
    <row r="831">
      <c r="B831" s="11">
        <f>IFERROR(__xludf.DUMMYFUNCTION("""COMPUTED_VALUE"""),20790.0)</f>
        <v>20790</v>
      </c>
      <c r="C831" s="9">
        <f>IFERROR(__xludf.DUMMYFUNCTION("""COMPUTED_VALUE"""),22.0806)</f>
        <v>22.0806</v>
      </c>
      <c r="E831" s="11"/>
    </row>
    <row r="832">
      <c r="B832" s="11">
        <f>IFERROR(__xludf.DUMMYFUNCTION("""COMPUTED_VALUE"""),20760.0)</f>
        <v>20760</v>
      </c>
      <c r="C832" s="9">
        <f>IFERROR(__xludf.DUMMYFUNCTION("""COMPUTED_VALUE"""),21.7574)</f>
        <v>21.7574</v>
      </c>
      <c r="E832" s="11"/>
    </row>
    <row r="833">
      <c r="B833" s="11">
        <f>IFERROR(__xludf.DUMMYFUNCTION("""COMPUTED_VALUE"""),20729.0)</f>
        <v>20729</v>
      </c>
      <c r="C833" s="9">
        <f>IFERROR(__xludf.DUMMYFUNCTION("""COMPUTED_VALUE"""),21.9459)</f>
        <v>21.9459</v>
      </c>
      <c r="E833" s="11"/>
    </row>
    <row r="834">
      <c r="B834" s="11">
        <f>IFERROR(__xludf.DUMMYFUNCTION("""COMPUTED_VALUE"""),20699.0)</f>
        <v>20699</v>
      </c>
      <c r="C834" s="9">
        <f>IFERROR(__xludf.DUMMYFUNCTION("""COMPUTED_VALUE"""),21.7574)</f>
        <v>21.7574</v>
      </c>
      <c r="E834" s="11"/>
    </row>
    <row r="835">
      <c r="B835" s="11">
        <f>IFERROR(__xludf.DUMMYFUNCTION("""COMPUTED_VALUE"""),20668.0)</f>
        <v>20668</v>
      </c>
      <c r="C835" s="9">
        <f>IFERROR(__xludf.DUMMYFUNCTION("""COMPUTED_VALUE"""),21.2727)</f>
        <v>21.2727</v>
      </c>
      <c r="E835" s="11"/>
    </row>
    <row r="836">
      <c r="B836" s="11">
        <f>IFERROR(__xludf.DUMMYFUNCTION("""COMPUTED_VALUE"""),20637.0)</f>
        <v>20637</v>
      </c>
      <c r="C836" s="9">
        <f>IFERROR(__xludf.DUMMYFUNCTION("""COMPUTED_VALUE"""),20.438)</f>
        <v>20.438</v>
      </c>
      <c r="E836" s="11"/>
    </row>
    <row r="837">
      <c r="B837" s="11">
        <f>IFERROR(__xludf.DUMMYFUNCTION("""COMPUTED_VALUE"""),20607.0)</f>
        <v>20607</v>
      </c>
      <c r="C837" s="9">
        <f>IFERROR(__xludf.DUMMYFUNCTION("""COMPUTED_VALUE"""),21.0843)</f>
        <v>21.0843</v>
      </c>
      <c r="E837" s="11"/>
    </row>
    <row r="838">
      <c r="B838" s="11">
        <f>IFERROR(__xludf.DUMMYFUNCTION("""COMPUTED_VALUE"""),20576.0)</f>
        <v>20576</v>
      </c>
      <c r="C838" s="9">
        <f>IFERROR(__xludf.DUMMYFUNCTION("""COMPUTED_VALUE"""),21.2728)</f>
        <v>21.2728</v>
      </c>
      <c r="E838" s="11"/>
    </row>
    <row r="839">
      <c r="B839" s="11">
        <f>IFERROR(__xludf.DUMMYFUNCTION("""COMPUTED_VALUE"""),20546.0)</f>
        <v>20546</v>
      </c>
      <c r="C839" s="9">
        <f>IFERROR(__xludf.DUMMYFUNCTION("""COMPUTED_VALUE"""),21.4612)</f>
        <v>21.4612</v>
      </c>
      <c r="E839" s="11"/>
    </row>
    <row r="840">
      <c r="B840" s="11">
        <f>IFERROR(__xludf.DUMMYFUNCTION("""COMPUTED_VALUE"""),20515.0)</f>
        <v>20515</v>
      </c>
      <c r="C840" s="9">
        <f>IFERROR(__xludf.DUMMYFUNCTION("""COMPUTED_VALUE"""),21.2997)</f>
        <v>21.2997</v>
      </c>
      <c r="E840" s="11"/>
    </row>
    <row r="841">
      <c r="B841" s="11">
        <f>IFERROR(__xludf.DUMMYFUNCTION("""COMPUTED_VALUE"""),20486.0)</f>
        <v>20486</v>
      </c>
      <c r="C841" s="9">
        <f>IFERROR(__xludf.DUMMYFUNCTION("""COMPUTED_VALUE"""),21.2997)</f>
        <v>21.2997</v>
      </c>
      <c r="E841" s="11"/>
    </row>
    <row r="842">
      <c r="B842" s="11">
        <f>IFERROR(__xludf.DUMMYFUNCTION("""COMPUTED_VALUE"""),20455.0)</f>
        <v>20455</v>
      </c>
      <c r="C842" s="9">
        <f>IFERROR(__xludf.DUMMYFUNCTION("""COMPUTED_VALUE"""),21.4882)</f>
        <v>21.4882</v>
      </c>
      <c r="E842" s="11"/>
    </row>
    <row r="843">
      <c r="B843" s="11">
        <f>IFERROR(__xludf.DUMMYFUNCTION("""COMPUTED_VALUE"""),20424.0)</f>
        <v>20424</v>
      </c>
      <c r="C843" s="9">
        <f>IFERROR(__xludf.DUMMYFUNCTION("""COMPUTED_VALUE"""),21.3535)</f>
        <v>21.3535</v>
      </c>
      <c r="E843" s="11"/>
    </row>
    <row r="844">
      <c r="B844" s="11">
        <f>IFERROR(__xludf.DUMMYFUNCTION("""COMPUTED_VALUE"""),20394.0)</f>
        <v>20394</v>
      </c>
      <c r="C844" s="9">
        <f>IFERROR(__xludf.DUMMYFUNCTION("""COMPUTED_VALUE"""),21.2727)</f>
        <v>21.2727</v>
      </c>
      <c r="E844" s="11"/>
    </row>
    <row r="845">
      <c r="B845" s="11">
        <f>IFERROR(__xludf.DUMMYFUNCTION("""COMPUTED_VALUE"""),20363.0)</f>
        <v>20363</v>
      </c>
      <c r="C845" s="9">
        <f>IFERROR(__xludf.DUMMYFUNCTION("""COMPUTED_VALUE"""),21.2189)</f>
        <v>21.2189</v>
      </c>
      <c r="E845" s="11"/>
    </row>
    <row r="846">
      <c r="B846" s="11">
        <f>IFERROR(__xludf.DUMMYFUNCTION("""COMPUTED_VALUE"""),20333.0)</f>
        <v>20333</v>
      </c>
      <c r="C846" s="9">
        <f>IFERROR(__xludf.DUMMYFUNCTION("""COMPUTED_VALUE"""),20.8688)</f>
        <v>20.8688</v>
      </c>
      <c r="E846" s="11"/>
    </row>
    <row r="847">
      <c r="B847" s="11">
        <f>IFERROR(__xludf.DUMMYFUNCTION("""COMPUTED_VALUE"""),20302.0)</f>
        <v>20302</v>
      </c>
      <c r="C847" s="9">
        <f>IFERROR(__xludf.DUMMYFUNCTION("""COMPUTED_VALUE"""),20.7342)</f>
        <v>20.7342</v>
      </c>
      <c r="E847" s="11"/>
    </row>
    <row r="848">
      <c r="B848" s="11">
        <f>IFERROR(__xludf.DUMMYFUNCTION("""COMPUTED_VALUE"""),20271.0)</f>
        <v>20271</v>
      </c>
      <c r="C848" s="9">
        <f>IFERROR(__xludf.DUMMYFUNCTION("""COMPUTED_VALUE"""),20.7611)</f>
        <v>20.7611</v>
      </c>
      <c r="E848" s="11"/>
    </row>
    <row r="849">
      <c r="B849" s="11">
        <f>IFERROR(__xludf.DUMMYFUNCTION("""COMPUTED_VALUE"""),20241.0)</f>
        <v>20241</v>
      </c>
      <c r="C849" s="9">
        <f>IFERROR(__xludf.DUMMYFUNCTION("""COMPUTED_VALUE"""),20.5996)</f>
        <v>20.5996</v>
      </c>
      <c r="E849" s="11"/>
    </row>
    <row r="850">
      <c r="B850" s="11">
        <f>IFERROR(__xludf.DUMMYFUNCTION("""COMPUTED_VALUE"""),20210.0)</f>
        <v>20210</v>
      </c>
      <c r="C850" s="9">
        <f>IFERROR(__xludf.DUMMYFUNCTION("""COMPUTED_VALUE"""),20.5726)</f>
        <v>20.5726</v>
      </c>
      <c r="E850" s="11"/>
    </row>
    <row r="851">
      <c r="B851" s="11">
        <f>IFERROR(__xludf.DUMMYFUNCTION("""COMPUTED_VALUE"""),20180.0)</f>
        <v>20180</v>
      </c>
      <c r="C851" s="9">
        <f>IFERROR(__xludf.DUMMYFUNCTION("""COMPUTED_VALUE"""),20.2495)</f>
        <v>20.2495</v>
      </c>
      <c r="E851" s="11"/>
    </row>
    <row r="852">
      <c r="B852" s="11">
        <f>IFERROR(__xludf.DUMMYFUNCTION("""COMPUTED_VALUE"""),20149.0)</f>
        <v>20149</v>
      </c>
      <c r="C852" s="9">
        <f>IFERROR(__xludf.DUMMYFUNCTION("""COMPUTED_VALUE"""),20.0071)</f>
        <v>20.0071</v>
      </c>
      <c r="E852" s="11"/>
    </row>
    <row r="853">
      <c r="B853" s="11">
        <f>IFERROR(__xludf.DUMMYFUNCTION("""COMPUTED_VALUE"""),20121.0)</f>
        <v>20121</v>
      </c>
      <c r="C853" s="9">
        <f>IFERROR(__xludf.DUMMYFUNCTION("""COMPUTED_VALUE"""),19.5494)</f>
        <v>19.5494</v>
      </c>
      <c r="E853" s="11"/>
    </row>
    <row r="854">
      <c r="B854" s="11">
        <f>IFERROR(__xludf.DUMMYFUNCTION("""COMPUTED_VALUE"""),20090.0)</f>
        <v>20090</v>
      </c>
      <c r="C854" s="9">
        <f>IFERROR(__xludf.DUMMYFUNCTION("""COMPUTED_VALUE"""),19.307)</f>
        <v>19.307</v>
      </c>
      <c r="E854" s="11"/>
    </row>
    <row r="855">
      <c r="B855" s="11">
        <f>IFERROR(__xludf.DUMMYFUNCTION("""COMPUTED_VALUE"""),20059.0)</f>
        <v>20059</v>
      </c>
      <c r="C855" s="9">
        <f>IFERROR(__xludf.DUMMYFUNCTION("""COMPUTED_VALUE"""),18.8762)</f>
        <v>18.8762</v>
      </c>
      <c r="E855" s="11"/>
    </row>
    <row r="856">
      <c r="B856" s="11">
        <f>IFERROR(__xludf.DUMMYFUNCTION("""COMPUTED_VALUE"""),20029.0)</f>
        <v>20029</v>
      </c>
      <c r="C856" s="9">
        <f>IFERROR(__xludf.DUMMYFUNCTION("""COMPUTED_VALUE"""),18.6338)</f>
        <v>18.6338</v>
      </c>
      <c r="E856" s="11"/>
    </row>
    <row r="857">
      <c r="B857" s="11">
        <f>IFERROR(__xludf.DUMMYFUNCTION("""COMPUTED_VALUE"""),19998.0)</f>
        <v>19998</v>
      </c>
      <c r="C857" s="9">
        <f>IFERROR(__xludf.DUMMYFUNCTION("""COMPUTED_VALUE"""),18.3377)</f>
        <v>18.3377</v>
      </c>
      <c r="E857" s="11"/>
    </row>
    <row r="858">
      <c r="B858" s="11">
        <f>IFERROR(__xludf.DUMMYFUNCTION("""COMPUTED_VALUE"""),19968.0)</f>
        <v>19968</v>
      </c>
      <c r="C858" s="9">
        <f>IFERROR(__xludf.DUMMYFUNCTION("""COMPUTED_VALUE"""),18.1222)</f>
        <v>18.1222</v>
      </c>
      <c r="E858" s="11"/>
    </row>
    <row r="859">
      <c r="B859" s="11">
        <f>IFERROR(__xludf.DUMMYFUNCTION("""COMPUTED_VALUE"""),19937.0)</f>
        <v>19937</v>
      </c>
      <c r="C859" s="9">
        <f>IFERROR(__xludf.DUMMYFUNCTION("""COMPUTED_VALUE"""),18.0953)</f>
        <v>18.0953</v>
      </c>
      <c r="E859" s="11"/>
    </row>
    <row r="860">
      <c r="B860" s="11">
        <f>IFERROR(__xludf.DUMMYFUNCTION("""COMPUTED_VALUE"""),19906.0)</f>
        <v>19906</v>
      </c>
      <c r="C860" s="9">
        <f>IFERROR(__xludf.DUMMYFUNCTION("""COMPUTED_VALUE"""),18.1222)</f>
        <v>18.1222</v>
      </c>
      <c r="E860" s="11"/>
    </row>
    <row r="861">
      <c r="B861" s="11">
        <f>IFERROR(__xludf.DUMMYFUNCTION("""COMPUTED_VALUE"""),19876.0)</f>
        <v>19876</v>
      </c>
      <c r="C861" s="9">
        <f>IFERROR(__xludf.DUMMYFUNCTION("""COMPUTED_VALUE"""),18.0953)</f>
        <v>18.0953</v>
      </c>
      <c r="E861" s="11"/>
    </row>
    <row r="862">
      <c r="B862" s="11">
        <f>IFERROR(__xludf.DUMMYFUNCTION("""COMPUTED_VALUE"""),19845.0)</f>
        <v>19845</v>
      </c>
      <c r="C862" s="9">
        <f>IFERROR(__xludf.DUMMYFUNCTION("""COMPUTED_VALUE"""),18.0414)</f>
        <v>18.0414</v>
      </c>
      <c r="E862" s="11"/>
    </row>
    <row r="863">
      <c r="B863" s="11">
        <f>IFERROR(__xludf.DUMMYFUNCTION("""COMPUTED_VALUE"""),19815.0)</f>
        <v>19815</v>
      </c>
      <c r="C863" s="9">
        <f>IFERROR(__xludf.DUMMYFUNCTION("""COMPUTED_VALUE"""),17.9337)</f>
        <v>17.9337</v>
      </c>
      <c r="E863" s="11"/>
    </row>
    <row r="864">
      <c r="B864" s="11">
        <f>IFERROR(__xludf.DUMMYFUNCTION("""COMPUTED_VALUE"""),19784.0)</f>
        <v>19784</v>
      </c>
      <c r="C864" s="9">
        <f>IFERROR(__xludf.DUMMYFUNCTION("""COMPUTED_VALUE"""),18.0414)</f>
        <v>18.0414</v>
      </c>
      <c r="E864" s="11"/>
    </row>
    <row r="865">
      <c r="B865" s="11">
        <f>IFERROR(__xludf.DUMMYFUNCTION("""COMPUTED_VALUE"""),19756.0)</f>
        <v>19756</v>
      </c>
      <c r="C865" s="9">
        <f>IFERROR(__xludf.DUMMYFUNCTION("""COMPUTED_VALUE"""),18.1492)</f>
        <v>18.1492</v>
      </c>
      <c r="E865" s="11"/>
    </row>
    <row r="866">
      <c r="B866" s="11">
        <f>IFERROR(__xludf.DUMMYFUNCTION("""COMPUTED_VALUE"""),19725.0)</f>
        <v>19725</v>
      </c>
      <c r="C866" s="9">
        <f>IFERROR(__xludf.DUMMYFUNCTION("""COMPUTED_VALUE"""),18.0953)</f>
        <v>18.0953</v>
      </c>
      <c r="E866" s="11"/>
    </row>
    <row r="867">
      <c r="B867" s="11">
        <f>IFERROR(__xludf.DUMMYFUNCTION("""COMPUTED_VALUE"""),19694.0)</f>
        <v>19694</v>
      </c>
      <c r="C867" s="9">
        <f>IFERROR(__xludf.DUMMYFUNCTION("""COMPUTED_VALUE"""),18.2299)</f>
        <v>18.2299</v>
      </c>
      <c r="E867" s="11"/>
    </row>
    <row r="868">
      <c r="B868" s="11">
        <f>IFERROR(__xludf.DUMMYFUNCTION("""COMPUTED_VALUE"""),19664.0)</f>
        <v>19664</v>
      </c>
      <c r="C868" s="9">
        <f>IFERROR(__xludf.DUMMYFUNCTION("""COMPUTED_VALUE"""),18.6877)</f>
        <v>18.6877</v>
      </c>
      <c r="E868" s="11"/>
    </row>
    <row r="869">
      <c r="B869" s="11">
        <f>IFERROR(__xludf.DUMMYFUNCTION("""COMPUTED_VALUE"""),19633.0)</f>
        <v>19633</v>
      </c>
      <c r="C869" s="9">
        <f>IFERROR(__xludf.DUMMYFUNCTION("""COMPUTED_VALUE"""),19.1455)</f>
        <v>19.1455</v>
      </c>
      <c r="E869" s="11"/>
    </row>
    <row r="870">
      <c r="B870" s="11">
        <f>IFERROR(__xludf.DUMMYFUNCTION("""COMPUTED_VALUE"""),19603.0)</f>
        <v>19603</v>
      </c>
      <c r="C870" s="9">
        <f>IFERROR(__xludf.DUMMYFUNCTION("""COMPUTED_VALUE"""),19.307)</f>
        <v>19.307</v>
      </c>
      <c r="E870" s="11"/>
    </row>
    <row r="871">
      <c r="B871" s="11">
        <f>IFERROR(__xludf.DUMMYFUNCTION("""COMPUTED_VALUE"""),19572.0)</f>
        <v>19572</v>
      </c>
      <c r="C871" s="9">
        <f>IFERROR(__xludf.DUMMYFUNCTION("""COMPUTED_VALUE"""),19.7109)</f>
        <v>19.7109</v>
      </c>
      <c r="E871" s="11"/>
    </row>
    <row r="872">
      <c r="B872" s="11">
        <f>IFERROR(__xludf.DUMMYFUNCTION("""COMPUTED_VALUE"""),19541.0)</f>
        <v>19541</v>
      </c>
      <c r="C872" s="9">
        <f>IFERROR(__xludf.DUMMYFUNCTION("""COMPUTED_VALUE"""),19.8187)</f>
        <v>19.8187</v>
      </c>
      <c r="E872" s="11"/>
    </row>
    <row r="873">
      <c r="B873" s="11">
        <f>IFERROR(__xludf.DUMMYFUNCTION("""COMPUTED_VALUE"""),19511.0)</f>
        <v>19511</v>
      </c>
      <c r="C873" s="9">
        <f>IFERROR(__xludf.DUMMYFUNCTION("""COMPUTED_VALUE"""),19.5763)</f>
        <v>19.5763</v>
      </c>
      <c r="E873" s="11"/>
    </row>
    <row r="874">
      <c r="B874" s="11">
        <f>IFERROR(__xludf.DUMMYFUNCTION("""COMPUTED_VALUE"""),19480.0)</f>
        <v>19480</v>
      </c>
      <c r="C874" s="9">
        <f>IFERROR(__xludf.DUMMYFUNCTION("""COMPUTED_VALUE"""),19.6571)</f>
        <v>19.6571</v>
      </c>
      <c r="E874" s="11"/>
    </row>
    <row r="875">
      <c r="B875" s="11">
        <f>IFERROR(__xludf.DUMMYFUNCTION("""COMPUTED_VALUE"""),19450.0)</f>
        <v>19450</v>
      </c>
      <c r="C875" s="9">
        <f>IFERROR(__xludf.DUMMYFUNCTION("""COMPUTED_VALUE"""),19.5494)</f>
        <v>19.5494</v>
      </c>
      <c r="E875" s="11"/>
    </row>
    <row r="876">
      <c r="B876" s="11">
        <f>IFERROR(__xludf.DUMMYFUNCTION("""COMPUTED_VALUE"""),19419.0)</f>
        <v>19419</v>
      </c>
      <c r="C876" s="9">
        <f>IFERROR(__xludf.DUMMYFUNCTION("""COMPUTED_VALUE"""),19.4686)</f>
        <v>19.4686</v>
      </c>
      <c r="E876" s="11"/>
    </row>
    <row r="877">
      <c r="B877" s="11">
        <f>IFERROR(__xludf.DUMMYFUNCTION("""COMPUTED_VALUE"""),19391.0)</f>
        <v>19391</v>
      </c>
      <c r="C877" s="9">
        <f>IFERROR(__xludf.DUMMYFUNCTION("""COMPUTED_VALUE"""),19.307)</f>
        <v>19.307</v>
      </c>
      <c r="E877" s="11"/>
    </row>
    <row r="878">
      <c r="B878" s="11">
        <f>IFERROR(__xludf.DUMMYFUNCTION("""COMPUTED_VALUE"""),19360.0)</f>
        <v>19360</v>
      </c>
      <c r="C878" s="9">
        <f>IFERROR(__xludf.DUMMYFUNCTION("""COMPUTED_VALUE"""),19.1993)</f>
        <v>19.1993</v>
      </c>
      <c r="E878" s="11"/>
    </row>
    <row r="879">
      <c r="B879" s="11">
        <f>IFERROR(__xludf.DUMMYFUNCTION("""COMPUTED_VALUE"""),19329.0)</f>
        <v>19329</v>
      </c>
      <c r="C879" s="9">
        <f>IFERROR(__xludf.DUMMYFUNCTION("""COMPUTED_VALUE"""),19.1455)</f>
        <v>19.1455</v>
      </c>
      <c r="E879" s="11"/>
    </row>
    <row r="880">
      <c r="B880" s="11">
        <f>IFERROR(__xludf.DUMMYFUNCTION("""COMPUTED_VALUE"""),19299.0)</f>
        <v>19299</v>
      </c>
      <c r="C880" s="9">
        <f>IFERROR(__xludf.DUMMYFUNCTION("""COMPUTED_VALUE"""),19.0378)</f>
        <v>19.0378</v>
      </c>
      <c r="E880" s="11"/>
    </row>
    <row r="881">
      <c r="B881" s="11">
        <f>IFERROR(__xludf.DUMMYFUNCTION("""COMPUTED_VALUE"""),19268.0)</f>
        <v>19268</v>
      </c>
      <c r="C881" s="9">
        <f>IFERROR(__xludf.DUMMYFUNCTION("""COMPUTED_VALUE"""),18.6608)</f>
        <v>18.6608</v>
      </c>
      <c r="E881" s="11"/>
    </row>
    <row r="882">
      <c r="B882" s="11">
        <f>IFERROR(__xludf.DUMMYFUNCTION("""COMPUTED_VALUE"""),19238.0)</f>
        <v>19238</v>
      </c>
      <c r="C882" s="9">
        <f>IFERROR(__xludf.DUMMYFUNCTION("""COMPUTED_VALUE"""),18.4723)</f>
        <v>18.4723</v>
      </c>
      <c r="E882" s="11"/>
    </row>
    <row r="883">
      <c r="B883" s="11">
        <f>IFERROR(__xludf.DUMMYFUNCTION("""COMPUTED_VALUE"""),19207.0)</f>
        <v>19207</v>
      </c>
      <c r="C883" s="9">
        <f>IFERROR(__xludf.DUMMYFUNCTION("""COMPUTED_VALUE"""),17.826)</f>
        <v>17.826</v>
      </c>
      <c r="E883" s="11"/>
    </row>
    <row r="884">
      <c r="B884" s="11">
        <f>IFERROR(__xludf.DUMMYFUNCTION("""COMPUTED_VALUE"""),19176.0)</f>
        <v>19176</v>
      </c>
      <c r="C884" s="9">
        <f>IFERROR(__xludf.DUMMYFUNCTION("""COMPUTED_VALUE"""),16.7489)</f>
        <v>16.7489</v>
      </c>
      <c r="E884" s="11"/>
    </row>
    <row r="885">
      <c r="B885" s="11">
        <f>IFERROR(__xludf.DUMMYFUNCTION("""COMPUTED_VALUE"""),19146.0)</f>
        <v>19146</v>
      </c>
      <c r="C885" s="9">
        <f>IFERROR(__xludf.DUMMYFUNCTION("""COMPUTED_VALUE"""),17.0182)</f>
        <v>17.0182</v>
      </c>
      <c r="E885" s="11"/>
    </row>
    <row r="886">
      <c r="B886" s="11">
        <f>IFERROR(__xludf.DUMMYFUNCTION("""COMPUTED_VALUE"""),19115.0)</f>
        <v>19115</v>
      </c>
      <c r="C886" s="9">
        <f>IFERROR(__xludf.DUMMYFUNCTION("""COMPUTED_VALUE"""),17.1798)</f>
        <v>17.1798</v>
      </c>
      <c r="E886" s="11"/>
    </row>
    <row r="887">
      <c r="B887" s="11">
        <f>IFERROR(__xludf.DUMMYFUNCTION("""COMPUTED_VALUE"""),19085.0)</f>
        <v>19085</v>
      </c>
      <c r="C887" s="9">
        <f>IFERROR(__xludf.DUMMYFUNCTION("""COMPUTED_VALUE"""),17.3413)</f>
        <v>17.3413</v>
      </c>
      <c r="E887" s="11"/>
    </row>
    <row r="888">
      <c r="B888" s="11">
        <f>IFERROR(__xludf.DUMMYFUNCTION("""COMPUTED_VALUE"""),19054.0)</f>
        <v>19054</v>
      </c>
      <c r="C888" s="9">
        <f>IFERROR(__xludf.DUMMYFUNCTION("""COMPUTED_VALUE"""),17.5029)</f>
        <v>17.5029</v>
      </c>
      <c r="E888" s="11"/>
    </row>
    <row r="889">
      <c r="B889" s="11">
        <f>IFERROR(__xludf.DUMMYFUNCTION("""COMPUTED_VALUE"""),19025.0)</f>
        <v>19025</v>
      </c>
      <c r="C889" s="9">
        <f>IFERROR(__xludf.DUMMYFUNCTION("""COMPUTED_VALUE"""),17.449)</f>
        <v>17.449</v>
      </c>
      <c r="E889" s="11"/>
    </row>
    <row r="890">
      <c r="B890" s="11">
        <f>IFERROR(__xludf.DUMMYFUNCTION("""COMPUTED_VALUE"""),18994.0)</f>
        <v>18994</v>
      </c>
      <c r="C890" s="9">
        <f>IFERROR(__xludf.DUMMYFUNCTION("""COMPUTED_VALUE"""),17.3413)</f>
        <v>17.3413</v>
      </c>
      <c r="E890" s="11"/>
    </row>
    <row r="891">
      <c r="B891" s="11">
        <f>IFERROR(__xludf.DUMMYFUNCTION("""COMPUTED_VALUE"""),18963.0)</f>
        <v>18963</v>
      </c>
      <c r="C891" s="9">
        <f>IFERROR(__xludf.DUMMYFUNCTION("""COMPUTED_VALUE"""),17.1528)</f>
        <v>17.1528</v>
      </c>
      <c r="E891" s="11"/>
    </row>
    <row r="892">
      <c r="B892" s="11">
        <f>IFERROR(__xludf.DUMMYFUNCTION("""COMPUTED_VALUE"""),18933.0)</f>
        <v>18933</v>
      </c>
      <c r="C892" s="9">
        <f>IFERROR(__xludf.DUMMYFUNCTION("""COMPUTED_VALUE"""),17.0451)</f>
        <v>17.0451</v>
      </c>
      <c r="E892" s="11"/>
    </row>
    <row r="893">
      <c r="B893" s="11">
        <f>IFERROR(__xludf.DUMMYFUNCTION("""COMPUTED_VALUE"""),18902.0)</f>
        <v>18902</v>
      </c>
      <c r="C893" s="9">
        <f>IFERROR(__xludf.DUMMYFUNCTION("""COMPUTED_VALUE"""),16.9105)</f>
        <v>16.9105</v>
      </c>
      <c r="E893" s="11"/>
    </row>
    <row r="894">
      <c r="B894" s="11">
        <f>IFERROR(__xludf.DUMMYFUNCTION("""COMPUTED_VALUE"""),18872.0)</f>
        <v>18872</v>
      </c>
      <c r="C894" s="9">
        <f>IFERROR(__xludf.DUMMYFUNCTION("""COMPUTED_VALUE"""),16.9374)</f>
        <v>16.9374</v>
      </c>
      <c r="E894" s="11"/>
    </row>
    <row r="895">
      <c r="B895" s="11">
        <f>IFERROR(__xludf.DUMMYFUNCTION("""COMPUTED_VALUE"""),18841.0)</f>
        <v>18841</v>
      </c>
      <c r="C895" s="9">
        <f>IFERROR(__xludf.DUMMYFUNCTION("""COMPUTED_VALUE"""),16.8297)</f>
        <v>16.8297</v>
      </c>
      <c r="E895" s="11"/>
    </row>
    <row r="896">
      <c r="B896" s="11">
        <f>IFERROR(__xludf.DUMMYFUNCTION("""COMPUTED_VALUE"""),18810.0)</f>
        <v>18810</v>
      </c>
      <c r="C896" s="9">
        <f>IFERROR(__xludf.DUMMYFUNCTION("""COMPUTED_VALUE"""),16.9913)</f>
        <v>16.9913</v>
      </c>
      <c r="E896" s="11"/>
    </row>
    <row r="897">
      <c r="B897" s="11">
        <f>IFERROR(__xludf.DUMMYFUNCTION("""COMPUTED_VALUE"""),18780.0)</f>
        <v>18780</v>
      </c>
      <c r="C897" s="9">
        <f>IFERROR(__xludf.DUMMYFUNCTION("""COMPUTED_VALUE"""),17.2605)</f>
        <v>17.2605</v>
      </c>
      <c r="E897" s="11"/>
    </row>
    <row r="898">
      <c r="B898" s="11">
        <f>IFERROR(__xludf.DUMMYFUNCTION("""COMPUTED_VALUE"""),18749.0)</f>
        <v>18749</v>
      </c>
      <c r="C898" s="9">
        <f>IFERROR(__xludf.DUMMYFUNCTION("""COMPUTED_VALUE"""),17.3413)</f>
        <v>17.3413</v>
      </c>
      <c r="E898" s="11"/>
    </row>
    <row r="899">
      <c r="B899" s="11">
        <f>IFERROR(__xludf.DUMMYFUNCTION("""COMPUTED_VALUE"""),18719.0)</f>
        <v>18719</v>
      </c>
      <c r="C899" s="9">
        <f>IFERROR(__xludf.DUMMYFUNCTION("""COMPUTED_VALUE"""),17.3952)</f>
        <v>17.3952</v>
      </c>
      <c r="E899" s="11"/>
    </row>
    <row r="900">
      <c r="B900" s="11">
        <f>IFERROR(__xludf.DUMMYFUNCTION("""COMPUTED_VALUE"""),18688.0)</f>
        <v>18688</v>
      </c>
      <c r="C900" s="9">
        <f>IFERROR(__xludf.DUMMYFUNCTION("""COMPUTED_VALUE"""),17.3682)</f>
        <v>17.3682</v>
      </c>
      <c r="E900" s="11"/>
    </row>
    <row r="901">
      <c r="B901" s="11">
        <f>IFERROR(__xludf.DUMMYFUNCTION("""COMPUTED_VALUE"""),18660.0)</f>
        <v>18660</v>
      </c>
      <c r="C901" s="9">
        <f>IFERROR(__xludf.DUMMYFUNCTION("""COMPUTED_VALUE"""),17.2875)</f>
        <v>17.2875</v>
      </c>
      <c r="E901" s="11"/>
    </row>
    <row r="902">
      <c r="B902" s="11">
        <f>IFERROR(__xludf.DUMMYFUNCTION("""COMPUTED_VALUE"""),18629.0)</f>
        <v>18629</v>
      </c>
      <c r="C902" s="9">
        <f>IFERROR(__xludf.DUMMYFUNCTION("""COMPUTED_VALUE"""),17.1797)</f>
        <v>17.1797</v>
      </c>
      <c r="E902" s="11"/>
    </row>
    <row r="903">
      <c r="B903" s="11">
        <f>IFERROR(__xludf.DUMMYFUNCTION("""COMPUTED_VALUE"""),18598.0)</f>
        <v>18598</v>
      </c>
      <c r="C903" s="9">
        <f>IFERROR(__xludf.DUMMYFUNCTION("""COMPUTED_VALUE"""),17.1259)</f>
        <v>17.1259</v>
      </c>
      <c r="E903" s="11"/>
    </row>
    <row r="904">
      <c r="B904" s="11">
        <f>IFERROR(__xludf.DUMMYFUNCTION("""COMPUTED_VALUE"""),18568.0)</f>
        <v>18568</v>
      </c>
      <c r="C904" s="9">
        <f>IFERROR(__xludf.DUMMYFUNCTION("""COMPUTED_VALUE"""),16.8297)</f>
        <v>16.8297</v>
      </c>
      <c r="E904" s="11"/>
    </row>
    <row r="905">
      <c r="B905" s="11">
        <f>IFERROR(__xludf.DUMMYFUNCTION("""COMPUTED_VALUE"""),18537.0)</f>
        <v>18537</v>
      </c>
      <c r="C905" s="9">
        <f>IFERROR(__xludf.DUMMYFUNCTION("""COMPUTED_VALUE"""),16.8566)</f>
        <v>16.8566</v>
      </c>
      <c r="E905" s="11"/>
    </row>
    <row r="906">
      <c r="B906" s="11">
        <f>IFERROR(__xludf.DUMMYFUNCTION("""COMPUTED_VALUE"""),18507.0)</f>
        <v>18507</v>
      </c>
      <c r="C906" s="9">
        <f>IFERROR(__xludf.DUMMYFUNCTION("""COMPUTED_VALUE"""),16.7489)</f>
        <v>16.7489</v>
      </c>
      <c r="E906" s="11"/>
    </row>
    <row r="907">
      <c r="B907" s="11">
        <f>IFERROR(__xludf.DUMMYFUNCTION("""COMPUTED_VALUE"""),18476.0)</f>
        <v>18476</v>
      </c>
      <c r="C907" s="9">
        <f>IFERROR(__xludf.DUMMYFUNCTION("""COMPUTED_VALUE"""),16.8566)</f>
        <v>16.8566</v>
      </c>
      <c r="E907" s="11"/>
    </row>
    <row r="908">
      <c r="B908" s="11">
        <f>IFERROR(__xludf.DUMMYFUNCTION("""COMPUTED_VALUE"""),18445.0)</f>
        <v>18445</v>
      </c>
      <c r="C908" s="9">
        <f>IFERROR(__xludf.DUMMYFUNCTION("""COMPUTED_VALUE"""),16.345)</f>
        <v>16.345</v>
      </c>
      <c r="E908" s="11"/>
    </row>
    <row r="909">
      <c r="B909" s="11">
        <f>IFERROR(__xludf.DUMMYFUNCTION("""COMPUTED_VALUE"""),18415.0)</f>
        <v>18415</v>
      </c>
      <c r="C909" s="9">
        <f>IFERROR(__xludf.DUMMYFUNCTION("""COMPUTED_VALUE"""),15.8334)</f>
        <v>15.8334</v>
      </c>
      <c r="E909" s="11"/>
    </row>
    <row r="910">
      <c r="B910" s="11">
        <f>IFERROR(__xludf.DUMMYFUNCTION("""COMPUTED_VALUE"""),18384.0)</f>
        <v>18384</v>
      </c>
      <c r="C910" s="9">
        <f>IFERROR(__xludf.DUMMYFUNCTION("""COMPUTED_VALUE"""),15.3756)</f>
        <v>15.3756</v>
      </c>
      <c r="E910" s="11"/>
    </row>
    <row r="911">
      <c r="B911" s="11">
        <f>IFERROR(__xludf.DUMMYFUNCTION("""COMPUTED_VALUE"""),18354.0)</f>
        <v>18354</v>
      </c>
      <c r="C911" s="9">
        <f>IFERROR(__xludf.DUMMYFUNCTION("""COMPUTED_VALUE"""),15.0255)</f>
        <v>15.0255</v>
      </c>
      <c r="E911" s="11"/>
    </row>
    <row r="912">
      <c r="B912" s="11">
        <f>IFERROR(__xludf.DUMMYFUNCTION("""COMPUTED_VALUE"""),18323.0)</f>
        <v>18323</v>
      </c>
      <c r="C912" s="9">
        <f>IFERROR(__xludf.DUMMYFUNCTION("""COMPUTED_VALUE"""),14.5409)</f>
        <v>14.5409</v>
      </c>
      <c r="E912" s="11"/>
    </row>
    <row r="913">
      <c r="B913" s="11">
        <f>IFERROR(__xludf.DUMMYFUNCTION("""COMPUTED_VALUE"""),18295.0)</f>
        <v>18295</v>
      </c>
      <c r="C913" s="9">
        <f>IFERROR(__xludf.DUMMYFUNCTION("""COMPUTED_VALUE"""),14.0831)</f>
        <v>14.0831</v>
      </c>
      <c r="E913" s="11"/>
    </row>
    <row r="914">
      <c r="B914" s="11">
        <f>IFERROR(__xludf.DUMMYFUNCTION("""COMPUTED_VALUE"""),18264.0)</f>
        <v>18264</v>
      </c>
      <c r="C914" s="9">
        <f>IFERROR(__xludf.DUMMYFUNCTION("""COMPUTED_VALUE"""),14.0292)</f>
        <v>14.0292</v>
      </c>
      <c r="E914" s="11"/>
    </row>
    <row r="915">
      <c r="B915" s="11">
        <f>IFERROR(__xludf.DUMMYFUNCTION("""COMPUTED_VALUE"""),18233.0)</f>
        <v>18233</v>
      </c>
      <c r="C915" s="9">
        <f>IFERROR(__xludf.DUMMYFUNCTION("""COMPUTED_VALUE"""),13.7869)</f>
        <v>13.7869</v>
      </c>
      <c r="E915" s="11"/>
    </row>
    <row r="916">
      <c r="B916" s="11">
        <f>IFERROR(__xludf.DUMMYFUNCTION("""COMPUTED_VALUE"""),18203.0)</f>
        <v>18203</v>
      </c>
      <c r="C916" s="9">
        <f>IFERROR(__xludf.DUMMYFUNCTION("""COMPUTED_VALUE"""),13.5446)</f>
        <v>13.5446</v>
      </c>
      <c r="E916" s="11"/>
    </row>
    <row r="917">
      <c r="B917" s="11">
        <f>IFERROR(__xludf.DUMMYFUNCTION("""COMPUTED_VALUE"""),18172.0)</f>
        <v>18172</v>
      </c>
      <c r="C917" s="9">
        <f>IFERROR(__xludf.DUMMYFUNCTION("""COMPUTED_VALUE"""),13.1945)</f>
        <v>13.1945</v>
      </c>
      <c r="E917" s="11"/>
    </row>
    <row r="918">
      <c r="B918" s="11">
        <f>IFERROR(__xludf.DUMMYFUNCTION("""COMPUTED_VALUE"""),18142.0)</f>
        <v>18142</v>
      </c>
      <c r="C918" s="9">
        <f>IFERROR(__xludf.DUMMYFUNCTION("""COMPUTED_VALUE"""),13.7061)</f>
        <v>13.7061</v>
      </c>
      <c r="E918" s="11"/>
    </row>
    <row r="919">
      <c r="B919" s="11">
        <f>IFERROR(__xludf.DUMMYFUNCTION("""COMPUTED_VALUE"""),18111.0)</f>
        <v>18111</v>
      </c>
      <c r="C919" s="9">
        <f>IFERROR(__xludf.DUMMYFUNCTION("""COMPUTED_VALUE"""),13.5715)</f>
        <v>13.5715</v>
      </c>
      <c r="E919" s="11"/>
    </row>
    <row r="920">
      <c r="B920" s="11">
        <f>IFERROR(__xludf.DUMMYFUNCTION("""COMPUTED_VALUE"""),18080.0)</f>
        <v>18080</v>
      </c>
      <c r="C920" s="9">
        <f>IFERROR(__xludf.DUMMYFUNCTION("""COMPUTED_VALUE"""),13.4368)</f>
        <v>13.4368</v>
      </c>
      <c r="E920" s="11"/>
    </row>
    <row r="921">
      <c r="B921" s="11">
        <f>IFERROR(__xludf.DUMMYFUNCTION("""COMPUTED_VALUE"""),18050.0)</f>
        <v>18050</v>
      </c>
      <c r="C921" s="9">
        <f>IFERROR(__xludf.DUMMYFUNCTION("""COMPUTED_VALUE"""),13.4638)</f>
        <v>13.4638</v>
      </c>
      <c r="E921" s="11"/>
    </row>
    <row r="922">
      <c r="B922" s="11">
        <f>IFERROR(__xludf.DUMMYFUNCTION("""COMPUTED_VALUE"""),18019.0)</f>
        <v>18019</v>
      </c>
      <c r="C922" s="9">
        <f>IFERROR(__xludf.DUMMYFUNCTION("""COMPUTED_VALUE"""),13.4907)</f>
        <v>13.4907</v>
      </c>
      <c r="E922" s="11"/>
    </row>
    <row r="923">
      <c r="B923" s="11">
        <f>IFERROR(__xludf.DUMMYFUNCTION("""COMPUTED_VALUE"""),17989.0)</f>
        <v>17989</v>
      </c>
      <c r="C923" s="9">
        <f>IFERROR(__xludf.DUMMYFUNCTION("""COMPUTED_VALUE"""),13.6792)</f>
        <v>13.6792</v>
      </c>
      <c r="E923" s="11"/>
    </row>
    <row r="924">
      <c r="B924" s="11">
        <f>IFERROR(__xludf.DUMMYFUNCTION("""COMPUTED_VALUE"""),17958.0)</f>
        <v>17958</v>
      </c>
      <c r="C924" s="9">
        <f>IFERROR(__xludf.DUMMYFUNCTION("""COMPUTED_VALUE"""),13.76)</f>
        <v>13.76</v>
      </c>
      <c r="E924" s="11"/>
    </row>
    <row r="925">
      <c r="B925" s="11">
        <f>IFERROR(__xludf.DUMMYFUNCTION("""COMPUTED_VALUE"""),17930.0)</f>
        <v>17930</v>
      </c>
      <c r="C925" s="9">
        <f>IFERROR(__xludf.DUMMYFUNCTION("""COMPUTED_VALUE"""),14.0292)</f>
        <v>14.0292</v>
      </c>
      <c r="E925" s="11"/>
    </row>
    <row r="926">
      <c r="B926" s="11">
        <f>IFERROR(__xludf.DUMMYFUNCTION("""COMPUTED_VALUE"""),17899.0)</f>
        <v>17899</v>
      </c>
      <c r="C926" s="9">
        <f>IFERROR(__xludf.DUMMYFUNCTION("""COMPUTED_VALUE"""),14.1639)</f>
        <v>14.1639</v>
      </c>
      <c r="E926" s="11"/>
    </row>
    <row r="927">
      <c r="B927" s="11">
        <f>IFERROR(__xludf.DUMMYFUNCTION("""COMPUTED_VALUE"""),17868.0)</f>
        <v>17868</v>
      </c>
      <c r="C927" s="9">
        <f>IFERROR(__xludf.DUMMYFUNCTION("""COMPUTED_VALUE"""),14.2985)</f>
        <v>14.2985</v>
      </c>
      <c r="E927" s="11"/>
    </row>
    <row r="928">
      <c r="B928" s="11">
        <f>IFERROR(__xludf.DUMMYFUNCTION("""COMPUTED_VALUE"""),17838.0)</f>
        <v>17838</v>
      </c>
      <c r="C928" s="9">
        <f>IFERROR(__xludf.DUMMYFUNCTION("""COMPUTED_VALUE"""),14.4332)</f>
        <v>14.4332</v>
      </c>
      <c r="E928" s="11"/>
    </row>
    <row r="929">
      <c r="B929" s="11">
        <f>IFERROR(__xludf.DUMMYFUNCTION("""COMPUTED_VALUE"""),17807.0)</f>
        <v>17807</v>
      </c>
      <c r="C929" s="9">
        <f>IFERROR(__xludf.DUMMYFUNCTION("""COMPUTED_VALUE"""),14.6217)</f>
        <v>14.6217</v>
      </c>
      <c r="E929" s="11"/>
    </row>
    <row r="930">
      <c r="B930" s="11">
        <f>IFERROR(__xludf.DUMMYFUNCTION("""COMPUTED_VALUE"""),17777.0)</f>
        <v>17777</v>
      </c>
      <c r="C930" s="9">
        <f>IFERROR(__xludf.DUMMYFUNCTION("""COMPUTED_VALUE"""),14.5139)</f>
        <v>14.5139</v>
      </c>
      <c r="E930" s="11"/>
    </row>
    <row r="931">
      <c r="B931" s="11">
        <f>IFERROR(__xludf.DUMMYFUNCTION("""COMPUTED_VALUE"""),17746.0)</f>
        <v>17746</v>
      </c>
      <c r="C931" s="9">
        <f>IFERROR(__xludf.DUMMYFUNCTION("""COMPUTED_VALUE"""),14.6216)</f>
        <v>14.6216</v>
      </c>
      <c r="E931" s="11"/>
    </row>
    <row r="932">
      <c r="B932" s="11">
        <f>IFERROR(__xludf.DUMMYFUNCTION("""COMPUTED_VALUE"""),17715.0)</f>
        <v>17715</v>
      </c>
      <c r="C932" s="9">
        <f>IFERROR(__xludf.DUMMYFUNCTION("""COMPUTED_VALUE"""),14.6755)</f>
        <v>14.6755</v>
      </c>
      <c r="E932" s="11"/>
    </row>
    <row r="933">
      <c r="B933" s="11">
        <f>IFERROR(__xludf.DUMMYFUNCTION("""COMPUTED_VALUE"""),17685.0)</f>
        <v>17685</v>
      </c>
      <c r="C933" s="9">
        <f>IFERROR(__xludf.DUMMYFUNCTION("""COMPUTED_VALUE"""),14.6755)</f>
        <v>14.6755</v>
      </c>
      <c r="E933" s="11"/>
    </row>
    <row r="934">
      <c r="B934" s="11">
        <f>IFERROR(__xludf.DUMMYFUNCTION("""COMPUTED_VALUE"""),17654.0)</f>
        <v>17654</v>
      </c>
      <c r="C934" s="9">
        <f>IFERROR(__xludf.DUMMYFUNCTION("""COMPUTED_VALUE"""),14.487)</f>
        <v>14.487</v>
      </c>
      <c r="E934" s="11"/>
    </row>
    <row r="935">
      <c r="B935" s="11">
        <f>IFERROR(__xludf.DUMMYFUNCTION("""COMPUTED_VALUE"""),17624.0)</f>
        <v>17624</v>
      </c>
      <c r="C935" s="9">
        <f>IFERROR(__xludf.DUMMYFUNCTION("""COMPUTED_VALUE"""),14.2447)</f>
        <v>14.2447</v>
      </c>
      <c r="E935" s="11"/>
    </row>
    <row r="936">
      <c r="B936" s="11">
        <f>IFERROR(__xludf.DUMMYFUNCTION("""COMPUTED_VALUE"""),17593.0)</f>
        <v>17593</v>
      </c>
      <c r="C936" s="9">
        <f>IFERROR(__xludf.DUMMYFUNCTION("""COMPUTED_VALUE"""),14.2177)</f>
        <v>14.2177</v>
      </c>
      <c r="E936" s="11"/>
    </row>
    <row r="937">
      <c r="B937" s="11">
        <f>IFERROR(__xludf.DUMMYFUNCTION("""COMPUTED_VALUE"""),17564.0)</f>
        <v>17564</v>
      </c>
      <c r="C937" s="9">
        <f>IFERROR(__xludf.DUMMYFUNCTION("""COMPUTED_VALUE"""),14.3793)</f>
        <v>14.3793</v>
      </c>
      <c r="E937" s="11"/>
    </row>
    <row r="938">
      <c r="B938" s="11">
        <f>IFERROR(__xludf.DUMMYFUNCTION("""COMPUTED_VALUE"""),17533.0)</f>
        <v>17533</v>
      </c>
      <c r="C938" s="9">
        <f>IFERROR(__xludf.DUMMYFUNCTION("""COMPUTED_VALUE"""),14.3524)</f>
        <v>14.3524</v>
      </c>
      <c r="E938" s="11"/>
    </row>
    <row r="939">
      <c r="B939" s="11">
        <f>IFERROR(__xludf.DUMMYFUNCTION("""COMPUTED_VALUE"""),17502.0)</f>
        <v>17502</v>
      </c>
      <c r="C939" s="9">
        <f>IFERROR(__xludf.DUMMYFUNCTION("""COMPUTED_VALUE"""),14.2716)</f>
        <v>14.2716</v>
      </c>
      <c r="E939" s="11"/>
    </row>
    <row r="940">
      <c r="B940" s="11">
        <f>IFERROR(__xludf.DUMMYFUNCTION("""COMPUTED_VALUE"""),17472.0)</f>
        <v>17472</v>
      </c>
      <c r="C940" s="9">
        <f>IFERROR(__xludf.DUMMYFUNCTION("""COMPUTED_VALUE"""),14.2177)</f>
        <v>14.2177</v>
      </c>
      <c r="E940" s="11"/>
    </row>
    <row r="941">
      <c r="B941" s="11">
        <f>IFERROR(__xludf.DUMMYFUNCTION("""COMPUTED_VALUE"""),17441.0)</f>
        <v>17441</v>
      </c>
      <c r="C941" s="9">
        <f>IFERROR(__xludf.DUMMYFUNCTION("""COMPUTED_VALUE"""),14.0292)</f>
        <v>14.0292</v>
      </c>
      <c r="E941" s="11"/>
    </row>
    <row r="942">
      <c r="B942" s="11">
        <f>IFERROR(__xludf.DUMMYFUNCTION("""COMPUTED_VALUE"""),17411.0)</f>
        <v>17411</v>
      </c>
      <c r="C942" s="9">
        <f>IFERROR(__xludf.DUMMYFUNCTION("""COMPUTED_VALUE"""),13.8946)</f>
        <v>13.8946</v>
      </c>
      <c r="E942" s="11"/>
    </row>
    <row r="943">
      <c r="B943" s="11">
        <f>IFERROR(__xludf.DUMMYFUNCTION("""COMPUTED_VALUE"""),17380.0)</f>
        <v>17380</v>
      </c>
      <c r="C943" s="9">
        <f>IFERROR(__xludf.DUMMYFUNCTION("""COMPUTED_VALUE"""),13.7869)</f>
        <v>13.7869</v>
      </c>
      <c r="E943" s="11"/>
    </row>
    <row r="944">
      <c r="B944" s="11">
        <f>IFERROR(__xludf.DUMMYFUNCTION("""COMPUTED_VALUE"""),17349.0)</f>
        <v>17349</v>
      </c>
      <c r="C944" s="9">
        <f>IFERROR(__xludf.DUMMYFUNCTION("""COMPUTED_VALUE"""),13.7061)</f>
        <v>13.7061</v>
      </c>
      <c r="E944" s="11"/>
    </row>
    <row r="945">
      <c r="B945" s="11">
        <f>IFERROR(__xludf.DUMMYFUNCTION("""COMPUTED_VALUE"""),17319.0)</f>
        <v>17319</v>
      </c>
      <c r="C945" s="9">
        <f>IFERROR(__xludf.DUMMYFUNCTION("""COMPUTED_VALUE"""),13.7869)</f>
        <v>13.7869</v>
      </c>
      <c r="E945" s="11"/>
    </row>
    <row r="946">
      <c r="B946" s="11">
        <f>IFERROR(__xludf.DUMMYFUNCTION("""COMPUTED_VALUE"""),17288.0)</f>
        <v>17288</v>
      </c>
      <c r="C946" s="9">
        <f>IFERROR(__xludf.DUMMYFUNCTION("""COMPUTED_VALUE"""),13.7869)</f>
        <v>13.7869</v>
      </c>
      <c r="E946" s="11"/>
    </row>
    <row r="947">
      <c r="B947" s="11">
        <f>IFERROR(__xludf.DUMMYFUNCTION("""COMPUTED_VALUE"""),17258.0)</f>
        <v>17258</v>
      </c>
      <c r="C947" s="9">
        <f>IFERROR(__xludf.DUMMYFUNCTION("""COMPUTED_VALUE"""),13.733)</f>
        <v>13.733</v>
      </c>
      <c r="E947" s="11"/>
    </row>
    <row r="948">
      <c r="B948" s="11">
        <f>IFERROR(__xludf.DUMMYFUNCTION("""COMPUTED_VALUE"""),17227.0)</f>
        <v>17227</v>
      </c>
      <c r="C948" s="9">
        <f>IFERROR(__xludf.DUMMYFUNCTION("""COMPUTED_VALUE"""),13.8407)</f>
        <v>13.8407</v>
      </c>
      <c r="E948" s="11"/>
    </row>
    <row r="949">
      <c r="B949" s="11">
        <f>IFERROR(__xludf.DUMMYFUNCTION("""COMPUTED_VALUE"""),17199.0)</f>
        <v>17199</v>
      </c>
      <c r="C949" s="9">
        <f>IFERROR(__xludf.DUMMYFUNCTION("""COMPUTED_VALUE"""),13.76)</f>
        <v>13.76</v>
      </c>
      <c r="E949" s="11"/>
    </row>
    <row r="950">
      <c r="B950" s="11">
        <f>IFERROR(__xludf.DUMMYFUNCTION("""COMPUTED_VALUE"""),17168.0)</f>
        <v>17168</v>
      </c>
      <c r="C950" s="9">
        <f>IFERROR(__xludf.DUMMYFUNCTION("""COMPUTED_VALUE"""),13.6792)</f>
        <v>13.6792</v>
      </c>
      <c r="E950" s="11"/>
    </row>
    <row r="951">
      <c r="B951" s="11">
        <f>IFERROR(__xludf.DUMMYFUNCTION("""COMPUTED_VALUE"""),17137.0)</f>
        <v>17137</v>
      </c>
      <c r="C951" s="9">
        <f>IFERROR(__xludf.DUMMYFUNCTION("""COMPUTED_VALUE"""),13.5176)</f>
        <v>13.5176</v>
      </c>
      <c r="E951" s="11"/>
    </row>
    <row r="952">
      <c r="B952" s="11">
        <f>IFERROR(__xludf.DUMMYFUNCTION("""COMPUTED_VALUE"""),17107.0)</f>
        <v>17107</v>
      </c>
      <c r="C952" s="9">
        <f>IFERROR(__xludf.DUMMYFUNCTION("""COMPUTED_VALUE"""),13.4368)</f>
        <v>13.4368</v>
      </c>
      <c r="E952" s="11"/>
    </row>
    <row r="953">
      <c r="B953" s="11">
        <f>IFERROR(__xludf.DUMMYFUNCTION("""COMPUTED_VALUE"""),17076.0)</f>
        <v>17076</v>
      </c>
      <c r="C953" s="9">
        <f>IFERROR(__xludf.DUMMYFUNCTION("""COMPUTED_VALUE"""),13.356)</f>
        <v>13.356</v>
      </c>
      <c r="E953" s="11"/>
    </row>
    <row r="954">
      <c r="B954" s="11">
        <f>IFERROR(__xludf.DUMMYFUNCTION("""COMPUTED_VALUE"""),17046.0)</f>
        <v>17046</v>
      </c>
      <c r="C954" s="9">
        <f>IFERROR(__xludf.DUMMYFUNCTION("""COMPUTED_VALUE"""),13.1137)</f>
        <v>13.1137</v>
      </c>
      <c r="E954" s="11"/>
    </row>
    <row r="955">
      <c r="B955" s="11">
        <f>IFERROR(__xludf.DUMMYFUNCTION("""COMPUTED_VALUE"""),17015.0)</f>
        <v>17015</v>
      </c>
      <c r="C955" s="9">
        <f>IFERROR(__xludf.DUMMYFUNCTION("""COMPUTED_VALUE"""),12.8714)</f>
        <v>12.8714</v>
      </c>
      <c r="E955" s="11"/>
    </row>
    <row r="956">
      <c r="B956" s="11">
        <f>IFERROR(__xludf.DUMMYFUNCTION("""COMPUTED_VALUE"""),16984.0)</f>
        <v>16984</v>
      </c>
      <c r="C956" s="9">
        <f>IFERROR(__xludf.DUMMYFUNCTION("""COMPUTED_VALUE"""),12.4136)</f>
        <v>12.4136</v>
      </c>
      <c r="E956" s="11"/>
    </row>
    <row r="957">
      <c r="B957" s="11">
        <f>IFERROR(__xludf.DUMMYFUNCTION("""COMPUTED_VALUE"""),16954.0)</f>
        <v>16954</v>
      </c>
      <c r="C957" s="9">
        <f>IFERROR(__xludf.DUMMYFUNCTION("""COMPUTED_VALUE"""),12.0097)</f>
        <v>12.0097</v>
      </c>
      <c r="E957" s="11"/>
    </row>
    <row r="958">
      <c r="B958" s="11">
        <f>IFERROR(__xludf.DUMMYFUNCTION("""COMPUTED_VALUE"""),16923.0)</f>
        <v>16923</v>
      </c>
      <c r="C958" s="9">
        <f>IFERROR(__xludf.DUMMYFUNCTION("""COMPUTED_VALUE"""),11.3096)</f>
        <v>11.3096</v>
      </c>
      <c r="E958" s="11"/>
    </row>
    <row r="959">
      <c r="B959" s="11">
        <f>IFERROR(__xludf.DUMMYFUNCTION("""COMPUTED_VALUE"""),16893.0)</f>
        <v>16893</v>
      </c>
      <c r="C959" s="9">
        <f>IFERROR(__xludf.DUMMYFUNCTION("""COMPUTED_VALUE"""),11.7404)</f>
        <v>11.7404</v>
      </c>
      <c r="E959" s="11"/>
    </row>
    <row r="960">
      <c r="B960" s="11">
        <f>IFERROR(__xludf.DUMMYFUNCTION("""COMPUTED_VALUE"""),16862.0)</f>
        <v>16862</v>
      </c>
      <c r="C960" s="9">
        <f>IFERROR(__xludf.DUMMYFUNCTION("""COMPUTED_VALUE"""),11.9558)</f>
        <v>11.9558</v>
      </c>
      <c r="E960" s="11"/>
    </row>
    <row r="961">
      <c r="B961" s="11">
        <f>IFERROR(__xludf.DUMMYFUNCTION("""COMPUTED_VALUE"""),16834.0)</f>
        <v>16834</v>
      </c>
      <c r="C961" s="9">
        <f>IFERROR(__xludf.DUMMYFUNCTION("""COMPUTED_VALUE"""),10.8249)</f>
        <v>10.8249</v>
      </c>
      <c r="E961" s="11"/>
    </row>
    <row r="962">
      <c r="B962" s="11">
        <f>IFERROR(__xludf.DUMMYFUNCTION("""COMPUTED_VALUE"""),16803.0)</f>
        <v>16803</v>
      </c>
      <c r="C962" s="9">
        <f>IFERROR(__xludf.DUMMYFUNCTION("""COMPUTED_VALUE"""),11.3903)</f>
        <v>11.3903</v>
      </c>
      <c r="E962" s="11"/>
    </row>
    <row r="963">
      <c r="B963" s="11">
        <f>IFERROR(__xludf.DUMMYFUNCTION("""COMPUTED_VALUE"""),16772.0)</f>
        <v>16772</v>
      </c>
      <c r="C963" s="9">
        <f>IFERROR(__xludf.DUMMYFUNCTION("""COMPUTED_VALUE"""),12.0635)</f>
        <v>12.0635</v>
      </c>
      <c r="E963" s="11"/>
    </row>
    <row r="964">
      <c r="B964" s="11">
        <f>IFERROR(__xludf.DUMMYFUNCTION("""COMPUTED_VALUE"""),16742.0)</f>
        <v>16742</v>
      </c>
      <c r="C964" s="9">
        <f>IFERROR(__xludf.DUMMYFUNCTION("""COMPUTED_VALUE"""),12.0097)</f>
        <v>12.0097</v>
      </c>
      <c r="E964" s="11"/>
    </row>
    <row r="965">
      <c r="B965" s="11">
        <f>IFERROR(__xludf.DUMMYFUNCTION("""COMPUTED_VALUE"""),16711.0)</f>
        <v>16711</v>
      </c>
      <c r="C965" s="9">
        <f>IFERROR(__xludf.DUMMYFUNCTION("""COMPUTED_VALUE"""),11.5788)</f>
        <v>11.5788</v>
      </c>
      <c r="E965" s="11"/>
    </row>
    <row r="966">
      <c r="B966" s="11">
        <f>IFERROR(__xludf.DUMMYFUNCTION("""COMPUTED_VALUE"""),16681.0)</f>
        <v>16681</v>
      </c>
      <c r="C966" s="9">
        <f>IFERROR(__xludf.DUMMYFUNCTION("""COMPUTED_VALUE"""),12.0635)</f>
        <v>12.0635</v>
      </c>
      <c r="E966" s="11"/>
    </row>
    <row r="967">
      <c r="B967" s="11">
        <f>IFERROR(__xludf.DUMMYFUNCTION("""COMPUTED_VALUE"""),16650.0)</f>
        <v>16650</v>
      </c>
      <c r="C967" s="9">
        <f>IFERROR(__xludf.DUMMYFUNCTION("""COMPUTED_VALUE"""),13.2483)</f>
        <v>13.2483</v>
      </c>
      <c r="E967" s="11"/>
    </row>
    <row r="968">
      <c r="B968" s="11">
        <f>IFERROR(__xludf.DUMMYFUNCTION("""COMPUTED_VALUE"""),16619.0)</f>
        <v>16619</v>
      </c>
      <c r="C968" s="9">
        <f>IFERROR(__xludf.DUMMYFUNCTION("""COMPUTED_VALUE"""),14.7832)</f>
        <v>14.7832</v>
      </c>
      <c r="E968" s="11"/>
    </row>
    <row r="969">
      <c r="B969" s="11">
        <f>IFERROR(__xludf.DUMMYFUNCTION("""COMPUTED_VALUE"""),16589.0)</f>
        <v>16589</v>
      </c>
      <c r="C969" s="9">
        <f>IFERROR(__xludf.DUMMYFUNCTION("""COMPUTED_VALUE"""),15.1333)</f>
        <v>15.1333</v>
      </c>
      <c r="E969" s="11"/>
    </row>
    <row r="970">
      <c r="B970" s="11">
        <f>IFERROR(__xludf.DUMMYFUNCTION("""COMPUTED_VALUE"""),16558.0)</f>
        <v>16558</v>
      </c>
      <c r="C970" s="9">
        <f>IFERROR(__xludf.DUMMYFUNCTION("""COMPUTED_VALUE"""),15.4833)</f>
        <v>15.4833</v>
      </c>
      <c r="E970" s="11"/>
    </row>
    <row r="971">
      <c r="B971" s="11">
        <f>IFERROR(__xludf.DUMMYFUNCTION("""COMPUTED_VALUE"""),16528.0)</f>
        <v>16528</v>
      </c>
      <c r="C971" s="9">
        <f>IFERROR(__xludf.DUMMYFUNCTION("""COMPUTED_VALUE"""),15.9142)</f>
        <v>15.9142</v>
      </c>
      <c r="E971" s="11"/>
    </row>
    <row r="972">
      <c r="B972" s="11">
        <f>IFERROR(__xludf.DUMMYFUNCTION("""COMPUTED_VALUE"""),16497.0)</f>
        <v>16497</v>
      </c>
      <c r="C972" s="9">
        <f>IFERROR(__xludf.DUMMYFUNCTION("""COMPUTED_VALUE"""),16.2104)</f>
        <v>16.2104</v>
      </c>
      <c r="E972" s="11"/>
    </row>
    <row r="973">
      <c r="B973" s="11">
        <f>IFERROR(__xludf.DUMMYFUNCTION("""COMPUTED_VALUE"""),16469.0)</f>
        <v>16469</v>
      </c>
      <c r="C973" s="9">
        <f>IFERROR(__xludf.DUMMYFUNCTION("""COMPUTED_VALUE"""),16.3181)</f>
        <v>16.3181</v>
      </c>
      <c r="E973" s="11"/>
    </row>
    <row r="974">
      <c r="B974" s="11">
        <f>IFERROR(__xludf.DUMMYFUNCTION("""COMPUTED_VALUE"""),16438.0)</f>
        <v>16438</v>
      </c>
      <c r="C974" s="9">
        <f>IFERROR(__xludf.DUMMYFUNCTION("""COMPUTED_VALUE"""),16.3719)</f>
        <v>16.3719</v>
      </c>
      <c r="E974" s="11"/>
    </row>
    <row r="975">
      <c r="B975" s="11">
        <f>IFERROR(__xludf.DUMMYFUNCTION("""COMPUTED_VALUE"""),16407.0)</f>
        <v>16407</v>
      </c>
      <c r="C975" s="9">
        <f>IFERROR(__xludf.DUMMYFUNCTION("""COMPUTED_VALUE"""),16.5335)</f>
        <v>16.5335</v>
      </c>
      <c r="E975" s="11"/>
    </row>
    <row r="976">
      <c r="B976" s="11">
        <f>IFERROR(__xludf.DUMMYFUNCTION("""COMPUTED_VALUE"""),16377.0)</f>
        <v>16377</v>
      </c>
      <c r="C976" s="9">
        <f>IFERROR(__xludf.DUMMYFUNCTION("""COMPUTED_VALUE"""),16.5873)</f>
        <v>16.5873</v>
      </c>
      <c r="E976" s="11"/>
    </row>
    <row r="977">
      <c r="B977" s="11">
        <f>IFERROR(__xludf.DUMMYFUNCTION("""COMPUTED_VALUE"""),16346.0)</f>
        <v>16346</v>
      </c>
      <c r="C977" s="9">
        <f>IFERROR(__xludf.DUMMYFUNCTION("""COMPUTED_VALUE"""),16.722)</f>
        <v>16.722</v>
      </c>
      <c r="E977" s="11"/>
    </row>
    <row r="978">
      <c r="B978" s="11">
        <f>IFERROR(__xludf.DUMMYFUNCTION("""COMPUTED_VALUE"""),16316.0)</f>
        <v>16316</v>
      </c>
      <c r="C978" s="9">
        <f>IFERROR(__xludf.DUMMYFUNCTION("""COMPUTED_VALUE"""),16.6681)</f>
        <v>16.6681</v>
      </c>
      <c r="E978" s="11"/>
    </row>
    <row r="979">
      <c r="B979" s="11">
        <f>IFERROR(__xludf.DUMMYFUNCTION("""COMPUTED_VALUE"""),16285.0)</f>
        <v>16285</v>
      </c>
      <c r="C979" s="9">
        <f>IFERROR(__xludf.DUMMYFUNCTION("""COMPUTED_VALUE"""),16.7758)</f>
        <v>16.7758</v>
      </c>
      <c r="E979" s="11"/>
    </row>
    <row r="980">
      <c r="B980" s="11">
        <f>IFERROR(__xludf.DUMMYFUNCTION("""COMPUTED_VALUE"""),16254.0)</f>
        <v>16254</v>
      </c>
      <c r="C980" s="9">
        <f>IFERROR(__xludf.DUMMYFUNCTION("""COMPUTED_VALUE"""),16.5604)</f>
        <v>16.5604</v>
      </c>
      <c r="E980" s="11"/>
    </row>
    <row r="981">
      <c r="B981" s="11">
        <f>IFERROR(__xludf.DUMMYFUNCTION("""COMPUTED_VALUE"""),16224.0)</f>
        <v>16224</v>
      </c>
      <c r="C981" s="9">
        <f>IFERROR(__xludf.DUMMYFUNCTION("""COMPUTED_VALUE"""),16.5874)</f>
        <v>16.5874</v>
      </c>
      <c r="E981" s="11"/>
    </row>
    <row r="982">
      <c r="B982" s="11">
        <f>IFERROR(__xludf.DUMMYFUNCTION("""COMPUTED_VALUE"""),16193.0)</f>
        <v>16193</v>
      </c>
      <c r="C982" s="9">
        <f>IFERROR(__xludf.DUMMYFUNCTION("""COMPUTED_VALUE"""),16.6412)</f>
        <v>16.6412</v>
      </c>
      <c r="E982" s="11"/>
    </row>
    <row r="983">
      <c r="B983" s="11">
        <f>IFERROR(__xludf.DUMMYFUNCTION("""COMPUTED_VALUE"""),16163.0)</f>
        <v>16163</v>
      </c>
      <c r="C983" s="9">
        <f>IFERROR(__xludf.DUMMYFUNCTION("""COMPUTED_VALUE"""),16.7489)</f>
        <v>16.7489</v>
      </c>
      <c r="E983" s="11"/>
    </row>
    <row r="984">
      <c r="B984" s="11">
        <f>IFERROR(__xludf.DUMMYFUNCTION("""COMPUTED_VALUE"""),16132.0)</f>
        <v>16132</v>
      </c>
      <c r="C984" s="9">
        <f>IFERROR(__xludf.DUMMYFUNCTION("""COMPUTED_VALUE"""),16.7489)</f>
        <v>16.7489</v>
      </c>
      <c r="E984" s="11"/>
    </row>
    <row r="985">
      <c r="B985" s="11">
        <f>IFERROR(__xludf.DUMMYFUNCTION("""COMPUTED_VALUE"""),16103.0)</f>
        <v>16103</v>
      </c>
      <c r="C985" s="9">
        <f>IFERROR(__xludf.DUMMYFUNCTION("""COMPUTED_VALUE"""),16.7758)</f>
        <v>16.7758</v>
      </c>
      <c r="E985" s="11"/>
    </row>
    <row r="986">
      <c r="B986" s="11">
        <f>IFERROR(__xludf.DUMMYFUNCTION("""COMPUTED_VALUE"""),16072.0)</f>
        <v>16072</v>
      </c>
      <c r="C986" s="9">
        <f>IFERROR(__xludf.DUMMYFUNCTION("""COMPUTED_VALUE"""),16.6412)</f>
        <v>16.6412</v>
      </c>
      <c r="E986" s="11"/>
    </row>
    <row r="987">
      <c r="B987" s="11">
        <f>IFERROR(__xludf.DUMMYFUNCTION("""COMPUTED_VALUE"""),16041.0)</f>
        <v>16041</v>
      </c>
      <c r="C987" s="9">
        <f>IFERROR(__xludf.DUMMYFUNCTION("""COMPUTED_VALUE"""),16.4527)</f>
        <v>16.4527</v>
      </c>
      <c r="E987" s="11"/>
    </row>
    <row r="988">
      <c r="B988" s="11">
        <f>IFERROR(__xludf.DUMMYFUNCTION("""COMPUTED_VALUE"""),16011.0)</f>
        <v>16011</v>
      </c>
      <c r="C988" s="9">
        <f>IFERROR(__xludf.DUMMYFUNCTION("""COMPUTED_VALUE"""),16.6681)</f>
        <v>16.6681</v>
      </c>
      <c r="E988" s="11"/>
    </row>
    <row r="989">
      <c r="B989" s="11">
        <f>IFERROR(__xludf.DUMMYFUNCTION("""COMPUTED_VALUE"""),15980.0)</f>
        <v>15980</v>
      </c>
      <c r="C989" s="9">
        <f>IFERROR(__xludf.DUMMYFUNCTION("""COMPUTED_VALUE"""),16.4527)</f>
        <v>16.4527</v>
      </c>
      <c r="E989" s="11"/>
    </row>
    <row r="990">
      <c r="B990" s="11">
        <f>IFERROR(__xludf.DUMMYFUNCTION("""COMPUTED_VALUE"""),15950.0)</f>
        <v>15950</v>
      </c>
      <c r="C990" s="9">
        <f>IFERROR(__xludf.DUMMYFUNCTION("""COMPUTED_VALUE"""),16.2104)</f>
        <v>16.2104</v>
      </c>
      <c r="E990" s="11"/>
    </row>
    <row r="991">
      <c r="B991" s="11">
        <f>IFERROR(__xludf.DUMMYFUNCTION("""COMPUTED_VALUE"""),15919.0)</f>
        <v>15919</v>
      </c>
      <c r="C991" s="9">
        <f>IFERROR(__xludf.DUMMYFUNCTION("""COMPUTED_VALUE"""),15.8064)</f>
        <v>15.8064</v>
      </c>
      <c r="E991" s="11"/>
    </row>
    <row r="992">
      <c r="B992" s="11">
        <f>IFERROR(__xludf.DUMMYFUNCTION("""COMPUTED_VALUE"""),15888.0)</f>
        <v>15888</v>
      </c>
      <c r="C992" s="9">
        <f>IFERROR(__xludf.DUMMYFUNCTION("""COMPUTED_VALUE"""),15.4833)</f>
        <v>15.4833</v>
      </c>
      <c r="E992" s="11"/>
    </row>
    <row r="993">
      <c r="B993" s="11">
        <f>IFERROR(__xludf.DUMMYFUNCTION("""COMPUTED_VALUE"""),15858.0)</f>
        <v>15858</v>
      </c>
      <c r="C993" s="9">
        <f>IFERROR(__xludf.DUMMYFUNCTION("""COMPUTED_VALUE"""),15.0256)</f>
        <v>15.0256</v>
      </c>
      <c r="E993" s="11"/>
    </row>
    <row r="994">
      <c r="B994" s="11">
        <f>IFERROR(__xludf.DUMMYFUNCTION("""COMPUTED_VALUE"""),15827.0)</f>
        <v>15827</v>
      </c>
      <c r="C994" s="9">
        <f>IFERROR(__xludf.DUMMYFUNCTION("""COMPUTED_VALUE"""),15.1063)</f>
        <v>15.1063</v>
      </c>
      <c r="E994" s="11"/>
    </row>
    <row r="995">
      <c r="B995" s="11">
        <f>IFERROR(__xludf.DUMMYFUNCTION("""COMPUTED_VALUE"""),15797.0)</f>
        <v>15797</v>
      </c>
      <c r="C995" s="9">
        <f>IFERROR(__xludf.DUMMYFUNCTION("""COMPUTED_VALUE"""),14.9986)</f>
        <v>14.9986</v>
      </c>
      <c r="E995" s="11"/>
    </row>
    <row r="996">
      <c r="B996" s="11">
        <f>IFERROR(__xludf.DUMMYFUNCTION("""COMPUTED_VALUE"""),15766.0)</f>
        <v>15766</v>
      </c>
      <c r="C996" s="9">
        <f>IFERROR(__xludf.DUMMYFUNCTION("""COMPUTED_VALUE"""),14.8102)</f>
        <v>14.8102</v>
      </c>
      <c r="E996" s="11"/>
    </row>
    <row r="997">
      <c r="B997" s="11">
        <f>IFERROR(__xludf.DUMMYFUNCTION("""COMPUTED_VALUE"""),15738.0)</f>
        <v>15738</v>
      </c>
      <c r="C997" s="9">
        <f>IFERROR(__xludf.DUMMYFUNCTION("""COMPUTED_VALUE"""),14.7024)</f>
        <v>14.7024</v>
      </c>
      <c r="E997" s="11"/>
    </row>
    <row r="998">
      <c r="B998" s="11">
        <f>IFERROR(__xludf.DUMMYFUNCTION("""COMPUTED_VALUE"""),15707.0)</f>
        <v>15707</v>
      </c>
      <c r="C998" s="9">
        <f>IFERROR(__xludf.DUMMYFUNCTION("""COMPUTED_VALUE"""),14.3255)</f>
        <v>14.3255</v>
      </c>
      <c r="E998" s="11"/>
    </row>
    <row r="999">
      <c r="B999" s="11">
        <f>IFERROR(__xludf.DUMMYFUNCTION("""COMPUTED_VALUE"""),15676.0)</f>
        <v>15676</v>
      </c>
      <c r="C999" s="9">
        <f>IFERROR(__xludf.DUMMYFUNCTION("""COMPUTED_VALUE"""),14.1908)</f>
        <v>14.1908</v>
      </c>
      <c r="E999" s="11"/>
    </row>
    <row r="1000">
      <c r="B1000" s="11">
        <f>IFERROR(__xludf.DUMMYFUNCTION("""COMPUTED_VALUE"""),15646.0)</f>
        <v>15646</v>
      </c>
      <c r="C1000" s="9">
        <f>IFERROR(__xludf.DUMMYFUNCTION("""COMPUTED_VALUE"""),13.8677)</f>
        <v>13.8677</v>
      </c>
      <c r="E1000" s="11"/>
    </row>
    <row r="1001">
      <c r="B1001" s="11">
        <f>IFERROR(__xludf.DUMMYFUNCTION("""COMPUTED_VALUE"""),15615.0)</f>
        <v>15615</v>
      </c>
      <c r="C1001" s="9">
        <f>IFERROR(__xludf.DUMMYFUNCTION("""COMPUTED_VALUE"""),13.5445)</f>
        <v>13.5445</v>
      </c>
      <c r="E1001" s="11"/>
    </row>
    <row r="1002">
      <c r="B1002" s="11">
        <f>IFERROR(__xludf.DUMMYFUNCTION("""COMPUTED_VALUE"""),15585.0)</f>
        <v>15585</v>
      </c>
      <c r="C1002" s="9">
        <f>IFERROR(__xludf.DUMMYFUNCTION("""COMPUTED_VALUE"""),13.1137)</f>
        <v>13.1137</v>
      </c>
      <c r="E1002" s="11"/>
    </row>
    <row r="1003">
      <c r="B1003" s="11">
        <f>IFERROR(__xludf.DUMMYFUNCTION("""COMPUTED_VALUE"""),15554.0)</f>
        <v>15554</v>
      </c>
      <c r="C1003" s="9">
        <f>IFERROR(__xludf.DUMMYFUNCTION("""COMPUTED_VALUE"""),12.8175)</f>
        <v>12.8175</v>
      </c>
      <c r="E1003" s="11"/>
    </row>
    <row r="1004">
      <c r="B1004" s="11">
        <f>IFERROR(__xludf.DUMMYFUNCTION("""COMPUTED_VALUE"""),15523.0)</f>
        <v>15523</v>
      </c>
      <c r="C1004" s="9">
        <f>IFERROR(__xludf.DUMMYFUNCTION("""COMPUTED_VALUE"""),12.4405)</f>
        <v>12.4405</v>
      </c>
      <c r="E1004" s="11"/>
    </row>
    <row r="1005">
      <c r="B1005" s="11">
        <f>IFERROR(__xludf.DUMMYFUNCTION("""COMPUTED_VALUE"""),15493.0)</f>
        <v>15493</v>
      </c>
      <c r="C1005" s="9">
        <f>IFERROR(__xludf.DUMMYFUNCTION("""COMPUTED_VALUE"""),12.1443)</f>
        <v>12.1443</v>
      </c>
      <c r="E1005" s="11"/>
    </row>
    <row r="1006">
      <c r="B1006" s="11">
        <f>IFERROR(__xludf.DUMMYFUNCTION("""COMPUTED_VALUE"""),15462.0)</f>
        <v>15462</v>
      </c>
      <c r="C1006" s="9">
        <f>IFERROR(__xludf.DUMMYFUNCTION("""COMPUTED_VALUE"""),12.1174)</f>
        <v>12.1174</v>
      </c>
      <c r="E1006" s="11"/>
    </row>
    <row r="1007">
      <c r="B1007" s="11">
        <f>IFERROR(__xludf.DUMMYFUNCTION("""COMPUTED_VALUE"""),15432.0)</f>
        <v>15432</v>
      </c>
      <c r="C1007" s="9">
        <f>IFERROR(__xludf.DUMMYFUNCTION("""COMPUTED_VALUE"""),12.0905)</f>
        <v>12.0905</v>
      </c>
      <c r="E1007" s="11"/>
    </row>
    <row r="1008">
      <c r="B1008" s="11">
        <f>IFERROR(__xludf.DUMMYFUNCTION("""COMPUTED_VALUE"""),15401.0)</f>
        <v>15401</v>
      </c>
      <c r="C1008" s="9">
        <f>IFERROR(__xludf.DUMMYFUNCTION("""COMPUTED_VALUE"""),12.4405)</f>
        <v>12.4405</v>
      </c>
      <c r="E1008" s="11"/>
    </row>
    <row r="1009">
      <c r="B1009" s="11">
        <f>IFERROR(__xludf.DUMMYFUNCTION("""COMPUTED_VALUE"""),15373.0)</f>
        <v>15373</v>
      </c>
      <c r="C1009" s="9">
        <f>IFERROR(__xludf.DUMMYFUNCTION("""COMPUTED_VALUE"""),12.3059)</f>
        <v>12.3059</v>
      </c>
      <c r="E1009" s="11"/>
    </row>
    <row r="1010">
      <c r="B1010" s="11">
        <f>IFERROR(__xludf.DUMMYFUNCTION("""COMPUTED_VALUE"""),15342.0)</f>
        <v>15342</v>
      </c>
      <c r="C1010" s="9">
        <f>IFERROR(__xludf.DUMMYFUNCTION("""COMPUTED_VALUE"""),12.0905)</f>
        <v>12.0905</v>
      </c>
      <c r="E1010" s="11"/>
    </row>
    <row r="1011">
      <c r="B1011" s="11">
        <f>IFERROR(__xludf.DUMMYFUNCTION("""COMPUTED_VALUE"""),15311.0)</f>
        <v>15311</v>
      </c>
      <c r="C1011" s="9">
        <f>IFERROR(__xludf.DUMMYFUNCTION("""COMPUTED_VALUE"""),11.8481)</f>
        <v>11.8481</v>
      </c>
      <c r="E1011" s="11"/>
    </row>
    <row r="1012">
      <c r="B1012" s="11">
        <f>IFERROR(__xludf.DUMMYFUNCTION("""COMPUTED_VALUE"""),15281.0)</f>
        <v>15281</v>
      </c>
      <c r="C1012" s="9">
        <f>IFERROR(__xludf.DUMMYFUNCTION("""COMPUTED_VALUE"""),11.6596)</f>
        <v>11.6596</v>
      </c>
      <c r="E1012" s="11"/>
    </row>
    <row r="1013">
      <c r="B1013" s="11">
        <f>IFERROR(__xludf.DUMMYFUNCTION("""COMPUTED_VALUE"""),15250.0)</f>
        <v>15250</v>
      </c>
      <c r="C1013" s="9">
        <f>IFERROR(__xludf.DUMMYFUNCTION("""COMPUTED_VALUE"""),11.6058)</f>
        <v>11.6058</v>
      </c>
      <c r="E1013" s="11"/>
    </row>
    <row r="1014">
      <c r="B1014" s="11">
        <f>IFERROR(__xludf.DUMMYFUNCTION("""COMPUTED_VALUE"""),15220.0)</f>
        <v>15220</v>
      </c>
      <c r="C1014" s="9">
        <f>IFERROR(__xludf.DUMMYFUNCTION("""COMPUTED_VALUE"""),11.4981)</f>
        <v>11.4981</v>
      </c>
      <c r="E1014" s="11"/>
    </row>
    <row r="1015">
      <c r="B1015" s="11">
        <f>IFERROR(__xludf.DUMMYFUNCTION("""COMPUTED_VALUE"""),15189.0)</f>
        <v>15189</v>
      </c>
      <c r="C1015" s="9">
        <f>IFERROR(__xludf.DUMMYFUNCTION("""COMPUTED_VALUE"""),11.4981)</f>
        <v>11.4981</v>
      </c>
      <c r="E1015" s="11"/>
    </row>
    <row r="1016">
      <c r="B1016" s="11">
        <f>IFERROR(__xludf.DUMMYFUNCTION("""COMPUTED_VALUE"""),15158.0)</f>
        <v>15158</v>
      </c>
      <c r="C1016" s="9">
        <f>IFERROR(__xludf.DUMMYFUNCTION("""COMPUTED_VALUE"""),11.3634)</f>
        <v>11.3634</v>
      </c>
      <c r="E1016" s="11"/>
    </row>
    <row r="1017">
      <c r="B1017" s="11">
        <f>IFERROR(__xludf.DUMMYFUNCTION("""COMPUTED_VALUE"""),15128.0)</f>
        <v>15128</v>
      </c>
      <c r="C1017" s="9">
        <f>IFERROR(__xludf.DUMMYFUNCTION("""COMPUTED_VALUE"""),11.2288)</f>
        <v>11.2288</v>
      </c>
      <c r="E1017" s="11"/>
    </row>
    <row r="1018">
      <c r="B1018" s="11">
        <f>IFERROR(__xludf.DUMMYFUNCTION("""COMPUTED_VALUE"""),15097.0)</f>
        <v>15097</v>
      </c>
      <c r="C1018" s="9">
        <f>IFERROR(__xludf.DUMMYFUNCTION("""COMPUTED_VALUE"""),11.148)</f>
        <v>11.148</v>
      </c>
      <c r="E1018" s="11"/>
    </row>
    <row r="1019">
      <c r="B1019" s="11">
        <f>IFERROR(__xludf.DUMMYFUNCTION("""COMPUTED_VALUE"""),15067.0)</f>
        <v>15067</v>
      </c>
      <c r="C1019" s="9">
        <f>IFERROR(__xludf.DUMMYFUNCTION("""COMPUTED_VALUE"""),10.6633)</f>
        <v>10.6633</v>
      </c>
      <c r="E1019" s="11"/>
    </row>
    <row r="1020">
      <c r="B1020" s="11">
        <f>IFERROR(__xludf.DUMMYFUNCTION("""COMPUTED_VALUE"""),15036.0)</f>
        <v>15036</v>
      </c>
      <c r="C1020" s="9">
        <f>IFERROR(__xludf.DUMMYFUNCTION("""COMPUTED_VALUE"""),10.6364)</f>
        <v>10.6364</v>
      </c>
      <c r="E1020" s="11"/>
    </row>
    <row r="1021">
      <c r="B1021" s="11">
        <f>IFERROR(__xludf.DUMMYFUNCTION("""COMPUTED_VALUE"""),15008.0)</f>
        <v>15008</v>
      </c>
      <c r="C1021" s="9">
        <f>IFERROR(__xludf.DUMMYFUNCTION("""COMPUTED_VALUE"""),10.3132)</f>
        <v>10.3132</v>
      </c>
      <c r="E1021" s="11"/>
    </row>
    <row r="1022">
      <c r="B1022" s="11">
        <f>IFERROR(__xludf.DUMMYFUNCTION("""COMPUTED_VALUE"""),14977.0)</f>
        <v>14977</v>
      </c>
      <c r="C1022" s="9">
        <f>IFERROR(__xludf.DUMMYFUNCTION("""COMPUTED_VALUE"""),10.017)</f>
        <v>10.017</v>
      </c>
      <c r="E1022" s="11"/>
    </row>
    <row r="1023">
      <c r="B1023" s="11">
        <f>IFERROR(__xludf.DUMMYFUNCTION("""COMPUTED_VALUE"""),14946.0)</f>
        <v>14946</v>
      </c>
      <c r="C1023" s="9">
        <f>IFERROR(__xludf.DUMMYFUNCTION("""COMPUTED_VALUE"""),9.7747)</f>
        <v>9.7747</v>
      </c>
      <c r="E1023" s="11"/>
    </row>
    <row r="1024">
      <c r="B1024" s="11">
        <f>IFERROR(__xludf.DUMMYFUNCTION("""COMPUTED_VALUE"""),14916.0)</f>
        <v>14916</v>
      </c>
      <c r="C1024" s="9">
        <f>IFERROR(__xludf.DUMMYFUNCTION("""COMPUTED_VALUE"""),9.4516)</f>
        <v>9.4516</v>
      </c>
      <c r="E1024" s="11"/>
    </row>
    <row r="1025">
      <c r="B1025" s="11">
        <f>IFERROR(__xludf.DUMMYFUNCTION("""COMPUTED_VALUE"""),14885.0)</f>
        <v>14885</v>
      </c>
      <c r="C1025" s="9">
        <f>IFERROR(__xludf.DUMMYFUNCTION("""COMPUTED_VALUE"""),9.2361)</f>
        <v>9.2361</v>
      </c>
      <c r="E1025" s="11"/>
    </row>
    <row r="1026">
      <c r="B1026" s="11">
        <f>IFERROR(__xludf.DUMMYFUNCTION("""COMPUTED_VALUE"""),14855.0)</f>
        <v>14855</v>
      </c>
      <c r="C1026" s="9">
        <f>IFERROR(__xludf.DUMMYFUNCTION("""COMPUTED_VALUE"""),9.1015)</f>
        <v>9.1015</v>
      </c>
      <c r="E1026" s="11"/>
    </row>
    <row r="1027">
      <c r="B1027" s="11">
        <f>IFERROR(__xludf.DUMMYFUNCTION("""COMPUTED_VALUE"""),14824.0)</f>
        <v>14824</v>
      </c>
      <c r="C1027" s="9">
        <f>IFERROR(__xludf.DUMMYFUNCTION("""COMPUTED_VALUE"""),8.913)</f>
        <v>8.913</v>
      </c>
      <c r="E1027" s="11"/>
    </row>
    <row r="1028">
      <c r="B1028" s="11">
        <f>IFERROR(__xludf.DUMMYFUNCTION("""COMPUTED_VALUE"""),14793.0)</f>
        <v>14793</v>
      </c>
      <c r="C1028" s="9">
        <f>IFERROR(__xludf.DUMMYFUNCTION("""COMPUTED_VALUE"""),8.8592)</f>
        <v>8.8592</v>
      </c>
      <c r="E1028" s="11"/>
    </row>
    <row r="1029">
      <c r="B1029" s="11">
        <f>IFERROR(__xludf.DUMMYFUNCTION("""COMPUTED_VALUE"""),14763.0)</f>
        <v>14763</v>
      </c>
      <c r="C1029" s="9">
        <f>IFERROR(__xludf.DUMMYFUNCTION("""COMPUTED_VALUE"""),8.7514)</f>
        <v>8.7514</v>
      </c>
      <c r="E1029" s="11"/>
    </row>
    <row r="1030">
      <c r="B1030" s="11">
        <f>IFERROR(__xludf.DUMMYFUNCTION("""COMPUTED_VALUE"""),14732.0)</f>
        <v>14732</v>
      </c>
      <c r="C1030" s="9">
        <f>IFERROR(__xludf.DUMMYFUNCTION("""COMPUTED_VALUE"""),8.4822)</f>
        <v>8.4822</v>
      </c>
      <c r="E1030" s="11"/>
    </row>
    <row r="1031">
      <c r="B1031" s="11">
        <f>IFERROR(__xludf.DUMMYFUNCTION("""COMPUTED_VALUE"""),14702.0)</f>
        <v>14702</v>
      </c>
      <c r="C1031" s="9">
        <f>IFERROR(__xludf.DUMMYFUNCTION("""COMPUTED_VALUE"""),8.2398)</f>
        <v>8.2398</v>
      </c>
      <c r="E1031" s="11"/>
    </row>
    <row r="1032">
      <c r="B1032" s="11">
        <f>IFERROR(__xludf.DUMMYFUNCTION("""COMPUTED_VALUE"""),14671.0)</f>
        <v>14671</v>
      </c>
      <c r="C1032" s="9">
        <f>IFERROR(__xludf.DUMMYFUNCTION("""COMPUTED_VALUE"""),8.0783)</f>
        <v>8.0783</v>
      </c>
      <c r="E1032" s="11"/>
    </row>
    <row r="1033">
      <c r="B1033" s="11">
        <f>IFERROR(__xludf.DUMMYFUNCTION("""COMPUTED_VALUE"""),14642.0)</f>
        <v>14642</v>
      </c>
      <c r="C1033" s="9">
        <f>IFERROR(__xludf.DUMMYFUNCTION("""COMPUTED_VALUE"""),8.2667)</f>
        <v>8.2667</v>
      </c>
      <c r="E1033" s="11"/>
    </row>
    <row r="1034">
      <c r="B1034" s="11">
        <f>IFERROR(__xludf.DUMMYFUNCTION("""COMPUTED_VALUE"""),14611.0)</f>
        <v>14611</v>
      </c>
      <c r="C1034" s="9">
        <f>IFERROR(__xludf.DUMMYFUNCTION("""COMPUTED_VALUE"""),8.536)</f>
        <v>8.536</v>
      </c>
      <c r="E1034" s="11"/>
    </row>
    <row r="1035">
      <c r="B1035" s="11">
        <f>IFERROR(__xludf.DUMMYFUNCTION("""COMPUTED_VALUE"""),14580.0)</f>
        <v>14580</v>
      </c>
      <c r="C1035" s="9">
        <f>IFERROR(__xludf.DUMMYFUNCTION("""COMPUTED_VALUE"""),8.6437)</f>
        <v>8.6437</v>
      </c>
      <c r="E1035" s="11"/>
    </row>
    <row r="1036">
      <c r="B1036" s="11">
        <f>IFERROR(__xludf.DUMMYFUNCTION("""COMPUTED_VALUE"""),14550.0)</f>
        <v>14550</v>
      </c>
      <c r="C1036" s="9">
        <f>IFERROR(__xludf.DUMMYFUNCTION("""COMPUTED_VALUE"""),8.6437)</f>
        <v>8.6437</v>
      </c>
      <c r="E1036" s="11"/>
    </row>
    <row r="1037">
      <c r="B1037" s="11">
        <f>IFERROR(__xludf.DUMMYFUNCTION("""COMPUTED_VALUE"""),14519.0)</f>
        <v>14519</v>
      </c>
      <c r="C1037" s="9">
        <f>IFERROR(__xludf.DUMMYFUNCTION("""COMPUTED_VALUE"""),8.4283)</f>
        <v>8.4283</v>
      </c>
      <c r="E1037" s="11"/>
    </row>
    <row r="1038">
      <c r="B1038" s="11">
        <f>IFERROR(__xludf.DUMMYFUNCTION("""COMPUTED_VALUE"""),14489.0)</f>
        <v>14489</v>
      </c>
      <c r="C1038" s="9">
        <f>IFERROR(__xludf.DUMMYFUNCTION("""COMPUTED_VALUE"""),8.0244)</f>
        <v>8.0244</v>
      </c>
      <c r="E1038" s="11"/>
    </row>
    <row r="1039">
      <c r="B1039" s="11">
        <f>IFERROR(__xludf.DUMMYFUNCTION("""COMPUTED_VALUE"""),14458.0)</f>
        <v>14458</v>
      </c>
      <c r="C1039" s="9">
        <f>IFERROR(__xludf.DUMMYFUNCTION("""COMPUTED_VALUE"""),7.5666)</f>
        <v>7.5666</v>
      </c>
      <c r="E1039" s="11"/>
    </row>
    <row r="1040">
      <c r="B1040" s="11">
        <f>IFERROR(__xludf.DUMMYFUNCTION("""COMPUTED_VALUE"""),14427.0)</f>
        <v>14427</v>
      </c>
      <c r="C1040" s="9">
        <f>IFERROR(__xludf.DUMMYFUNCTION("""COMPUTED_VALUE"""),7.4589)</f>
        <v>7.4589</v>
      </c>
      <c r="E1040" s="11"/>
    </row>
    <row r="1041">
      <c r="B1041" s="11">
        <f>IFERROR(__xludf.DUMMYFUNCTION("""COMPUTED_VALUE"""),14397.0)</f>
        <v>14397</v>
      </c>
      <c r="C1041" s="9">
        <f>IFERROR(__xludf.DUMMYFUNCTION("""COMPUTED_VALUE"""),7.2435)</f>
        <v>7.2435</v>
      </c>
      <c r="E1041" s="11"/>
    </row>
    <row r="1042">
      <c r="B1042" s="11">
        <f>IFERROR(__xludf.DUMMYFUNCTION("""COMPUTED_VALUE"""),14366.0)</f>
        <v>14366</v>
      </c>
      <c r="C1042" s="9">
        <f>IFERROR(__xludf.DUMMYFUNCTION("""COMPUTED_VALUE"""),7.0819)</f>
        <v>7.0819</v>
      </c>
      <c r="E1042" s="11"/>
    </row>
    <row r="1043">
      <c r="B1043" s="11">
        <f>IFERROR(__xludf.DUMMYFUNCTION("""COMPUTED_VALUE"""),14336.0)</f>
        <v>14336</v>
      </c>
      <c r="C1043" s="9">
        <f>IFERROR(__xludf.DUMMYFUNCTION("""COMPUTED_VALUE"""),7.1089)</f>
        <v>7.1089</v>
      </c>
      <c r="E1043" s="11"/>
    </row>
    <row r="1044">
      <c r="B1044" s="11">
        <f>IFERROR(__xludf.DUMMYFUNCTION("""COMPUTED_VALUE"""),14305.0)</f>
        <v>14305</v>
      </c>
      <c r="C1044" s="9">
        <f>IFERROR(__xludf.DUMMYFUNCTION("""COMPUTED_VALUE"""),7.1358)</f>
        <v>7.1358</v>
      </c>
      <c r="E1044" s="11"/>
    </row>
    <row r="1045">
      <c r="B1045" s="11">
        <f>IFERROR(__xludf.DUMMYFUNCTION("""COMPUTED_VALUE"""),14277.0)</f>
        <v>14277</v>
      </c>
      <c r="C1045" s="9">
        <f>IFERROR(__xludf.DUMMYFUNCTION("""COMPUTED_VALUE"""),7.1089)</f>
        <v>7.1089</v>
      </c>
      <c r="E1045" s="11"/>
    </row>
    <row r="1046">
      <c r="B1046" s="11">
        <f>IFERROR(__xludf.DUMMYFUNCTION("""COMPUTED_VALUE"""),14246.0)</f>
        <v>14246</v>
      </c>
      <c r="C1046" s="9">
        <f>IFERROR(__xludf.DUMMYFUNCTION("""COMPUTED_VALUE"""),7.055)</f>
        <v>7.055</v>
      </c>
      <c r="E1046" s="11"/>
    </row>
    <row r="1047">
      <c r="B1047" s="11">
        <f>IFERROR(__xludf.DUMMYFUNCTION("""COMPUTED_VALUE"""),14215.0)</f>
        <v>14215</v>
      </c>
      <c r="C1047" s="9">
        <f>IFERROR(__xludf.DUMMYFUNCTION("""COMPUTED_VALUE"""),7.055)</f>
        <v>7.055</v>
      </c>
      <c r="E1047" s="11"/>
    </row>
    <row r="1048">
      <c r="B1048" s="11">
        <f>IFERROR(__xludf.DUMMYFUNCTION("""COMPUTED_VALUE"""),14185.0)</f>
        <v>14185</v>
      </c>
      <c r="C1048" s="9">
        <f>IFERROR(__xludf.DUMMYFUNCTION("""COMPUTED_VALUE"""),6.9742)</f>
        <v>6.9742</v>
      </c>
      <c r="E1048" s="11"/>
    </row>
    <row r="1049">
      <c r="B1049" s="11">
        <f>IFERROR(__xludf.DUMMYFUNCTION("""COMPUTED_VALUE"""),14154.0)</f>
        <v>14154</v>
      </c>
      <c r="C1049" s="9">
        <f>IFERROR(__xludf.DUMMYFUNCTION("""COMPUTED_VALUE"""),6.705)</f>
        <v>6.705</v>
      </c>
      <c r="E1049" s="11"/>
    </row>
    <row r="1050">
      <c r="B1050" s="11">
        <f>IFERROR(__xludf.DUMMYFUNCTION("""COMPUTED_VALUE"""),14124.0)</f>
        <v>14124</v>
      </c>
      <c r="C1050" s="9">
        <f>IFERROR(__xludf.DUMMYFUNCTION("""COMPUTED_VALUE"""),6.5434)</f>
        <v>6.5434</v>
      </c>
      <c r="E1050" s="11"/>
    </row>
    <row r="1051">
      <c r="B1051" s="11">
        <f>IFERROR(__xludf.DUMMYFUNCTION("""COMPUTED_VALUE"""),14093.0)</f>
        <v>14093</v>
      </c>
      <c r="C1051" s="9">
        <f>IFERROR(__xludf.DUMMYFUNCTION("""COMPUTED_VALUE"""),6.3549)</f>
        <v>6.3549</v>
      </c>
      <c r="E1051" s="11"/>
    </row>
    <row r="1052">
      <c r="B1052" s="11">
        <f>IFERROR(__xludf.DUMMYFUNCTION("""COMPUTED_VALUE"""),14062.0)</f>
        <v>14062</v>
      </c>
      <c r="C1052" s="9">
        <f>IFERROR(__xludf.DUMMYFUNCTION("""COMPUTED_VALUE"""),6.0318)</f>
        <v>6.0318</v>
      </c>
      <c r="E1052" s="11"/>
    </row>
    <row r="1053">
      <c r="B1053" s="11">
        <f>IFERROR(__xludf.DUMMYFUNCTION("""COMPUTED_VALUE"""),14032.0)</f>
        <v>14032</v>
      </c>
      <c r="C1053" s="9">
        <f>IFERROR(__xludf.DUMMYFUNCTION("""COMPUTED_VALUE"""),5.7086)</f>
        <v>5.7086</v>
      </c>
      <c r="E1053" s="11"/>
    </row>
    <row r="1054">
      <c r="B1054" s="11">
        <f>IFERROR(__xludf.DUMMYFUNCTION("""COMPUTED_VALUE"""),14001.0)</f>
        <v>14001</v>
      </c>
      <c r="C1054" s="9">
        <f>IFERROR(__xludf.DUMMYFUNCTION("""COMPUTED_VALUE"""),5.6548)</f>
        <v>5.6548</v>
      </c>
      <c r="E1054" s="11"/>
    </row>
    <row r="1055">
      <c r="B1055" s="11">
        <f>IFERROR(__xludf.DUMMYFUNCTION("""COMPUTED_VALUE"""),13971.0)</f>
        <v>13971</v>
      </c>
      <c r="C1055" s="9">
        <f>IFERROR(__xludf.DUMMYFUNCTION("""COMPUTED_VALUE"""),5.7894)</f>
        <v>5.7894</v>
      </c>
      <c r="E1055" s="11"/>
    </row>
    <row r="1056">
      <c r="B1056" s="11">
        <f>IFERROR(__xludf.DUMMYFUNCTION("""COMPUTED_VALUE"""),13940.0)</f>
        <v>13940</v>
      </c>
      <c r="C1056" s="9">
        <f>IFERROR(__xludf.DUMMYFUNCTION("""COMPUTED_VALUE"""),5.8971)</f>
        <v>5.8971</v>
      </c>
      <c r="E1056" s="11"/>
    </row>
    <row r="1057">
      <c r="B1057" s="11">
        <f>IFERROR(__xludf.DUMMYFUNCTION("""COMPUTED_VALUE"""),13912.0)</f>
        <v>13912</v>
      </c>
      <c r="C1057" s="9">
        <f>IFERROR(__xludf.DUMMYFUNCTION("""COMPUTED_VALUE"""),5.8971)</f>
        <v>5.8971</v>
      </c>
      <c r="E1057" s="11"/>
    </row>
    <row r="1058">
      <c r="B1058" s="11">
        <f>IFERROR(__xludf.DUMMYFUNCTION("""COMPUTED_VALUE"""),13881.0)</f>
        <v>13881</v>
      </c>
      <c r="C1058" s="9">
        <f>IFERROR(__xludf.DUMMYFUNCTION("""COMPUTED_VALUE"""),5.951)</f>
        <v>5.951</v>
      </c>
      <c r="E1058" s="11"/>
    </row>
    <row r="1059">
      <c r="B1059" s="11">
        <f>IFERROR(__xludf.DUMMYFUNCTION("""COMPUTED_VALUE"""),13850.0)</f>
        <v>13850</v>
      </c>
      <c r="C1059" s="9">
        <f>IFERROR(__xludf.DUMMYFUNCTION("""COMPUTED_VALUE"""),6.0856)</f>
        <v>6.0856</v>
      </c>
      <c r="E1059" s="11"/>
    </row>
    <row r="1060">
      <c r="B1060" s="11">
        <f>IFERROR(__xludf.DUMMYFUNCTION("""COMPUTED_VALUE"""),13820.0)</f>
        <v>13820</v>
      </c>
      <c r="C1060" s="9">
        <f>IFERROR(__xludf.DUMMYFUNCTION("""COMPUTED_VALUE"""),6.678)</f>
        <v>6.678</v>
      </c>
      <c r="E1060" s="11"/>
    </row>
    <row r="1061">
      <c r="B1061" s="11">
        <f>IFERROR(__xludf.DUMMYFUNCTION("""COMPUTED_VALUE"""),13789.0)</f>
        <v>13789</v>
      </c>
      <c r="C1061" s="9">
        <f>IFERROR(__xludf.DUMMYFUNCTION("""COMPUTED_VALUE"""),7.4051)</f>
        <v>7.4051</v>
      </c>
      <c r="E1061" s="11"/>
    </row>
    <row r="1062">
      <c r="B1062" s="11">
        <f>IFERROR(__xludf.DUMMYFUNCTION("""COMPUTED_VALUE"""),13759.0)</f>
        <v>13759</v>
      </c>
      <c r="C1062" s="9">
        <f>IFERROR(__xludf.DUMMYFUNCTION("""COMPUTED_VALUE"""),7.9975)</f>
        <v>7.9975</v>
      </c>
      <c r="E1062" s="11"/>
    </row>
    <row r="1063">
      <c r="B1063" s="11">
        <f>IFERROR(__xludf.DUMMYFUNCTION("""COMPUTED_VALUE"""),13728.0)</f>
        <v>13728</v>
      </c>
      <c r="C1063" s="9">
        <f>IFERROR(__xludf.DUMMYFUNCTION("""COMPUTED_VALUE"""),8.2667)</f>
        <v>8.2667</v>
      </c>
      <c r="E1063" s="11"/>
    </row>
    <row r="1064">
      <c r="B1064" s="11">
        <f>IFERROR(__xludf.DUMMYFUNCTION("""COMPUTED_VALUE"""),13697.0)</f>
        <v>13697</v>
      </c>
      <c r="C1064" s="9">
        <f>IFERROR(__xludf.DUMMYFUNCTION("""COMPUTED_VALUE"""),8.3206)</f>
        <v>8.3206</v>
      </c>
      <c r="E1064" s="11"/>
    </row>
    <row r="1065">
      <c r="B1065" s="11">
        <f>IFERROR(__xludf.DUMMYFUNCTION("""COMPUTED_VALUE"""),13667.0)</f>
        <v>13667</v>
      </c>
      <c r="C1065" s="9">
        <f>IFERROR(__xludf.DUMMYFUNCTION("""COMPUTED_VALUE"""),8.2667)</f>
        <v>8.2667</v>
      </c>
      <c r="E1065" s="11"/>
    </row>
    <row r="1066">
      <c r="B1066" s="11">
        <f>IFERROR(__xludf.DUMMYFUNCTION("""COMPUTED_VALUE"""),13636.0)</f>
        <v>13636</v>
      </c>
      <c r="C1066" s="9">
        <f>IFERROR(__xludf.DUMMYFUNCTION("""COMPUTED_VALUE"""),8.3745)</f>
        <v>8.3745</v>
      </c>
      <c r="E1066" s="11"/>
    </row>
    <row r="1067">
      <c r="B1067" s="11">
        <f>IFERROR(__xludf.DUMMYFUNCTION("""COMPUTED_VALUE"""),13606.0)</f>
        <v>13606</v>
      </c>
      <c r="C1067" s="9">
        <f>IFERROR(__xludf.DUMMYFUNCTION("""COMPUTED_VALUE"""),8.3475)</f>
        <v>8.3475</v>
      </c>
      <c r="E1067" s="11"/>
    </row>
    <row r="1068">
      <c r="B1068" s="11">
        <f>IFERROR(__xludf.DUMMYFUNCTION("""COMPUTED_VALUE"""),13575.0)</f>
        <v>13575</v>
      </c>
      <c r="C1068" s="9">
        <f>IFERROR(__xludf.DUMMYFUNCTION("""COMPUTED_VALUE"""),8.3475)</f>
        <v>8.3475</v>
      </c>
      <c r="E1068" s="11"/>
    </row>
    <row r="1069">
      <c r="B1069" s="11">
        <f>IFERROR(__xludf.DUMMYFUNCTION("""COMPUTED_VALUE"""),13547.0)</f>
        <v>13547</v>
      </c>
      <c r="C1069" s="9">
        <f>IFERROR(__xludf.DUMMYFUNCTION("""COMPUTED_VALUE"""),8.159)</f>
        <v>8.159</v>
      </c>
      <c r="E1069" s="11"/>
    </row>
    <row r="1070">
      <c r="B1070" s="11">
        <f>IFERROR(__xludf.DUMMYFUNCTION("""COMPUTED_VALUE"""),13516.0)</f>
        <v>13516</v>
      </c>
      <c r="C1070" s="9">
        <f>IFERROR(__xludf.DUMMYFUNCTION("""COMPUTED_VALUE"""),8.0513)</f>
        <v>8.0513</v>
      </c>
      <c r="E1070" s="11"/>
    </row>
    <row r="1071">
      <c r="B1071" s="11">
        <f>IFERROR(__xludf.DUMMYFUNCTION("""COMPUTED_VALUE"""),13485.0)</f>
        <v>13485</v>
      </c>
      <c r="C1071" s="9">
        <f>IFERROR(__xludf.DUMMYFUNCTION("""COMPUTED_VALUE"""),8.0783)</f>
        <v>8.0783</v>
      </c>
      <c r="E1071" s="11"/>
    </row>
    <row r="1072">
      <c r="B1072" s="11">
        <f>IFERROR(__xludf.DUMMYFUNCTION("""COMPUTED_VALUE"""),13455.0)</f>
        <v>13455</v>
      </c>
      <c r="C1072" s="9">
        <f>IFERROR(__xludf.DUMMYFUNCTION("""COMPUTED_VALUE"""),7.8359)</f>
        <v>7.8359</v>
      </c>
      <c r="E1072" s="11"/>
    </row>
    <row r="1073">
      <c r="B1073" s="11">
        <f>IFERROR(__xludf.DUMMYFUNCTION("""COMPUTED_VALUE"""),13424.0)</f>
        <v>13424</v>
      </c>
      <c r="C1073" s="9">
        <f>IFERROR(__xludf.DUMMYFUNCTION("""COMPUTED_VALUE"""),7.6205)</f>
        <v>7.6205</v>
      </c>
      <c r="E1073" s="11"/>
    </row>
    <row r="1074">
      <c r="B1074" s="11">
        <f>IFERROR(__xludf.DUMMYFUNCTION("""COMPUTED_VALUE"""),13394.0)</f>
        <v>13394</v>
      </c>
      <c r="C1074" s="9">
        <f>IFERROR(__xludf.DUMMYFUNCTION("""COMPUTED_VALUE"""),7.5128)</f>
        <v>7.5128</v>
      </c>
      <c r="E1074" s="11"/>
    </row>
    <row r="1075">
      <c r="B1075" s="11">
        <f>IFERROR(__xludf.DUMMYFUNCTION("""COMPUTED_VALUE"""),13363.0)</f>
        <v>13363</v>
      </c>
      <c r="C1075" s="9">
        <f>IFERROR(__xludf.DUMMYFUNCTION("""COMPUTED_VALUE"""),7.3781)</f>
        <v>7.3781</v>
      </c>
      <c r="E1075" s="11"/>
    </row>
    <row r="1076">
      <c r="B1076" s="11">
        <f>IFERROR(__xludf.DUMMYFUNCTION("""COMPUTED_VALUE"""),13332.0)</f>
        <v>13332</v>
      </c>
      <c r="C1076" s="9">
        <f>IFERROR(__xludf.DUMMYFUNCTION("""COMPUTED_VALUE"""),7.2704)</f>
        <v>7.2704</v>
      </c>
      <c r="E1076" s="11"/>
    </row>
    <row r="1077">
      <c r="B1077" s="11">
        <f>IFERROR(__xludf.DUMMYFUNCTION("""COMPUTED_VALUE"""),13302.0)</f>
        <v>13302</v>
      </c>
      <c r="C1077" s="9">
        <f>IFERROR(__xludf.DUMMYFUNCTION("""COMPUTED_VALUE"""),7.1358)</f>
        <v>7.1358</v>
      </c>
      <c r="E1077" s="11"/>
    </row>
    <row r="1078">
      <c r="B1078" s="11">
        <f>IFERROR(__xludf.DUMMYFUNCTION("""COMPUTED_VALUE"""),13271.0)</f>
        <v>13271</v>
      </c>
      <c r="C1078" s="9">
        <f>IFERROR(__xludf.DUMMYFUNCTION("""COMPUTED_VALUE"""),7.0012)</f>
        <v>7.0012</v>
      </c>
      <c r="E1078" s="11"/>
    </row>
    <row r="1079">
      <c r="B1079" s="11">
        <f>IFERROR(__xludf.DUMMYFUNCTION("""COMPUTED_VALUE"""),13241.0)</f>
        <v>13241</v>
      </c>
      <c r="C1079" s="9">
        <f>IFERROR(__xludf.DUMMYFUNCTION("""COMPUTED_VALUE"""),6.8665)</f>
        <v>6.8665</v>
      </c>
      <c r="E1079" s="11"/>
    </row>
    <row r="1080">
      <c r="B1080" s="11">
        <f>IFERROR(__xludf.DUMMYFUNCTION("""COMPUTED_VALUE"""),13210.0)</f>
        <v>13210</v>
      </c>
      <c r="C1080" s="9">
        <f>IFERROR(__xludf.DUMMYFUNCTION("""COMPUTED_VALUE"""),6.4626)</f>
        <v>6.4626</v>
      </c>
      <c r="E1080" s="11"/>
    </row>
    <row r="1081">
      <c r="B1081" s="11">
        <f>IFERROR(__xludf.DUMMYFUNCTION("""COMPUTED_VALUE"""),13181.0)</f>
        <v>13181</v>
      </c>
      <c r="C1081" s="9">
        <f>IFERROR(__xludf.DUMMYFUNCTION("""COMPUTED_VALUE"""),6.3818)</f>
        <v>6.3818</v>
      </c>
      <c r="E1081" s="11"/>
    </row>
    <row r="1082">
      <c r="B1082" s="11">
        <f>IFERROR(__xludf.DUMMYFUNCTION("""COMPUTED_VALUE"""),13150.0)</f>
        <v>13150</v>
      </c>
      <c r="C1082" s="9">
        <f>IFERROR(__xludf.DUMMYFUNCTION("""COMPUTED_VALUE"""),6.5434)</f>
        <v>6.5434</v>
      </c>
      <c r="E1082" s="11"/>
    </row>
    <row r="1083">
      <c r="B1083" s="11">
        <f>IFERROR(__xludf.DUMMYFUNCTION("""COMPUTED_VALUE"""),13119.0)</f>
        <v>13119</v>
      </c>
      <c r="C1083" s="9">
        <f>IFERROR(__xludf.DUMMYFUNCTION("""COMPUTED_VALUE"""),6.6511)</f>
        <v>6.6511</v>
      </c>
      <c r="E1083" s="11"/>
    </row>
    <row r="1084">
      <c r="B1084" s="11">
        <f>IFERROR(__xludf.DUMMYFUNCTION("""COMPUTED_VALUE"""),13089.0)</f>
        <v>13089</v>
      </c>
      <c r="C1084" s="9">
        <f>IFERROR(__xludf.DUMMYFUNCTION("""COMPUTED_VALUE"""),6.5703)</f>
        <v>6.5703</v>
      </c>
      <c r="E1084" s="11"/>
    </row>
    <row r="1085">
      <c r="B1085" s="11">
        <f>IFERROR(__xludf.DUMMYFUNCTION("""COMPUTED_VALUE"""),13058.0)</f>
        <v>13058</v>
      </c>
      <c r="C1085" s="9">
        <f>IFERROR(__xludf.DUMMYFUNCTION("""COMPUTED_VALUE"""),6.4357)</f>
        <v>6.4357</v>
      </c>
      <c r="E1085" s="11"/>
    </row>
    <row r="1086">
      <c r="B1086" s="11">
        <f>IFERROR(__xludf.DUMMYFUNCTION("""COMPUTED_VALUE"""),13028.0)</f>
        <v>13028</v>
      </c>
      <c r="C1086" s="9">
        <f>IFERROR(__xludf.DUMMYFUNCTION("""COMPUTED_VALUE"""),6.2472)</f>
        <v>6.2472</v>
      </c>
      <c r="E1086" s="11"/>
    </row>
    <row r="1087">
      <c r="B1087" s="11">
        <f>IFERROR(__xludf.DUMMYFUNCTION("""COMPUTED_VALUE"""),12997.0)</f>
        <v>12997</v>
      </c>
      <c r="C1087" s="9">
        <f>IFERROR(__xludf.DUMMYFUNCTION("""COMPUTED_VALUE"""),6.0856)</f>
        <v>6.0856</v>
      </c>
      <c r="E1087" s="11"/>
    </row>
    <row r="1088">
      <c r="B1088" s="11">
        <f>IFERROR(__xludf.DUMMYFUNCTION("""COMPUTED_VALUE"""),12966.0)</f>
        <v>12966</v>
      </c>
      <c r="C1088" s="9">
        <f>IFERROR(__xludf.DUMMYFUNCTION("""COMPUTED_VALUE"""),5.8702)</f>
        <v>5.8702</v>
      </c>
      <c r="E1088" s="11"/>
    </row>
    <row r="1089">
      <c r="B1089" s="11">
        <f>IFERROR(__xludf.DUMMYFUNCTION("""COMPUTED_VALUE"""),12936.0)</f>
        <v>12936</v>
      </c>
      <c r="C1089" s="9">
        <f>IFERROR(__xludf.DUMMYFUNCTION("""COMPUTED_VALUE"""),5.8702)</f>
        <v>5.8702</v>
      </c>
      <c r="E1089" s="11"/>
    </row>
    <row r="1090">
      <c r="B1090" s="11">
        <f>IFERROR(__xludf.DUMMYFUNCTION("""COMPUTED_VALUE"""),12905.0)</f>
        <v>12905</v>
      </c>
      <c r="C1090" s="9">
        <f>IFERROR(__xludf.DUMMYFUNCTION("""COMPUTED_VALUE"""),5.7894)</f>
        <v>5.7894</v>
      </c>
      <c r="E1090" s="11"/>
    </row>
    <row r="1091">
      <c r="B1091" s="11">
        <f>IFERROR(__xludf.DUMMYFUNCTION("""COMPUTED_VALUE"""),12875.0)</f>
        <v>12875</v>
      </c>
      <c r="C1091" s="9">
        <f>IFERROR(__xludf.DUMMYFUNCTION("""COMPUTED_VALUE"""),5.7894)</f>
        <v>5.7894</v>
      </c>
      <c r="E1091" s="11"/>
    </row>
    <row r="1092">
      <c r="B1092" s="11">
        <f>IFERROR(__xludf.DUMMYFUNCTION("""COMPUTED_VALUE"""),12844.0)</f>
        <v>12844</v>
      </c>
      <c r="C1092" s="9">
        <f>IFERROR(__xludf.DUMMYFUNCTION("""COMPUTED_VALUE"""),5.8971)</f>
        <v>5.8971</v>
      </c>
      <c r="E1092" s="11"/>
    </row>
    <row r="1093">
      <c r="B1093" s="11">
        <f>IFERROR(__xludf.DUMMYFUNCTION("""COMPUTED_VALUE"""),12816.0)</f>
        <v>12816</v>
      </c>
      <c r="C1093" s="9">
        <f>IFERROR(__xludf.DUMMYFUNCTION("""COMPUTED_VALUE"""),5.9241)</f>
        <v>5.9241</v>
      </c>
      <c r="E1093" s="11"/>
    </row>
    <row r="1094">
      <c r="B1094" s="11">
        <f>IFERROR(__xludf.DUMMYFUNCTION("""COMPUTED_VALUE"""),12785.0)</f>
        <v>12785</v>
      </c>
      <c r="C1094" s="9">
        <f>IFERROR(__xludf.DUMMYFUNCTION("""COMPUTED_VALUE"""),5.8163)</f>
        <v>5.8163</v>
      </c>
      <c r="E1094" s="11"/>
    </row>
    <row r="1095">
      <c r="B1095" s="11">
        <f>IFERROR(__xludf.DUMMYFUNCTION("""COMPUTED_VALUE"""),12754.0)</f>
        <v>12754</v>
      </c>
      <c r="C1095" s="9">
        <f>IFERROR(__xludf.DUMMYFUNCTION("""COMPUTED_VALUE"""),5.3855)</f>
        <v>5.3855</v>
      </c>
      <c r="E1095" s="11"/>
    </row>
    <row r="1096">
      <c r="B1096" s="11">
        <f>IFERROR(__xludf.DUMMYFUNCTION("""COMPUTED_VALUE"""),12724.0)</f>
        <v>12724</v>
      </c>
      <c r="C1096" s="9">
        <f>IFERROR(__xludf.DUMMYFUNCTION("""COMPUTED_VALUE"""),5.0624)</f>
        <v>5.0624</v>
      </c>
      <c r="E1096" s="11"/>
    </row>
    <row r="1097">
      <c r="B1097" s="11">
        <f>IFERROR(__xludf.DUMMYFUNCTION("""COMPUTED_VALUE"""),12693.0)</f>
        <v>12693</v>
      </c>
      <c r="C1097" s="9">
        <f>IFERROR(__xludf.DUMMYFUNCTION("""COMPUTED_VALUE"""),5.0085)</f>
        <v>5.0085</v>
      </c>
      <c r="E1097" s="11"/>
    </row>
    <row r="1098">
      <c r="B1098" s="11">
        <f>IFERROR(__xludf.DUMMYFUNCTION("""COMPUTED_VALUE"""),12663.0)</f>
        <v>12663</v>
      </c>
      <c r="C1098" s="9">
        <f>IFERROR(__xludf.DUMMYFUNCTION("""COMPUTED_VALUE"""),4.7931)</f>
        <v>4.7931</v>
      </c>
      <c r="E1098" s="11"/>
    </row>
    <row r="1099">
      <c r="B1099" s="11">
        <f>IFERROR(__xludf.DUMMYFUNCTION("""COMPUTED_VALUE"""),12632.0)</f>
        <v>12632</v>
      </c>
      <c r="C1099" s="9">
        <f>IFERROR(__xludf.DUMMYFUNCTION("""COMPUTED_VALUE"""),5.0893)</f>
        <v>5.0893</v>
      </c>
      <c r="E1099" s="11"/>
    </row>
    <row r="1100">
      <c r="B1100" s="11">
        <f>IFERROR(__xludf.DUMMYFUNCTION("""COMPUTED_VALUE"""),12601.0)</f>
        <v>12601</v>
      </c>
      <c r="C1100" s="9">
        <f>IFERROR(__xludf.DUMMYFUNCTION("""COMPUTED_VALUE"""),5.1432)</f>
        <v>5.1432</v>
      </c>
      <c r="E1100" s="11"/>
    </row>
    <row r="1101">
      <c r="B1101" s="11">
        <f>IFERROR(__xludf.DUMMYFUNCTION("""COMPUTED_VALUE"""),12571.0)</f>
        <v>12571</v>
      </c>
      <c r="C1101" s="9">
        <f>IFERROR(__xludf.DUMMYFUNCTION("""COMPUTED_VALUE"""),5.5201)</f>
        <v>5.5201</v>
      </c>
      <c r="E1101" s="11"/>
    </row>
    <row r="1102">
      <c r="B1102" s="11">
        <f>IFERROR(__xludf.DUMMYFUNCTION("""COMPUTED_VALUE"""),12540.0)</f>
        <v>12540</v>
      </c>
      <c r="C1102" s="9">
        <f>IFERROR(__xludf.DUMMYFUNCTION("""COMPUTED_VALUE"""),5.6278)</f>
        <v>5.6278</v>
      </c>
      <c r="E1102" s="11"/>
    </row>
    <row r="1103">
      <c r="B1103" s="11">
        <f>IFERROR(__xludf.DUMMYFUNCTION("""COMPUTED_VALUE"""),12510.0)</f>
        <v>12510</v>
      </c>
      <c r="C1103" s="9">
        <f>IFERROR(__xludf.DUMMYFUNCTION("""COMPUTED_VALUE"""),5.5201)</f>
        <v>5.5201</v>
      </c>
      <c r="E1103" s="11"/>
    </row>
    <row r="1104">
      <c r="B1104" s="11">
        <f>IFERROR(__xludf.DUMMYFUNCTION("""COMPUTED_VALUE"""),12479.0)</f>
        <v>12479</v>
      </c>
      <c r="C1104" s="9">
        <f>IFERROR(__xludf.DUMMYFUNCTION("""COMPUTED_VALUE"""),5.5201)</f>
        <v>5.5201</v>
      </c>
      <c r="E1104" s="11"/>
    </row>
    <row r="1105">
      <c r="B1105" s="11">
        <f>IFERROR(__xludf.DUMMYFUNCTION("""COMPUTED_VALUE"""),12451.0)</f>
        <v>12451</v>
      </c>
      <c r="C1105" s="9">
        <f>IFERROR(__xludf.DUMMYFUNCTION("""COMPUTED_VALUE"""),5.2778)</f>
        <v>5.2778</v>
      </c>
      <c r="E1105" s="11"/>
    </row>
    <row r="1106">
      <c r="B1106" s="11">
        <f>IFERROR(__xludf.DUMMYFUNCTION("""COMPUTED_VALUE"""),12420.0)</f>
        <v>12420</v>
      </c>
      <c r="C1106" s="9">
        <f>IFERROR(__xludf.DUMMYFUNCTION("""COMPUTED_VALUE"""),5.0354)</f>
        <v>5.0354</v>
      </c>
      <c r="E1106" s="11"/>
    </row>
    <row r="1107">
      <c r="B1107" s="11">
        <f>IFERROR(__xludf.DUMMYFUNCTION("""COMPUTED_VALUE"""),12389.0)</f>
        <v>12389</v>
      </c>
      <c r="C1107" s="9">
        <f>IFERROR(__xludf.DUMMYFUNCTION("""COMPUTED_VALUE"""),4.8739)</f>
        <v>4.8739</v>
      </c>
      <c r="E1107" s="11"/>
    </row>
    <row r="1108">
      <c r="B1108" s="11">
        <f>IFERROR(__xludf.DUMMYFUNCTION("""COMPUTED_VALUE"""),12359.0)</f>
        <v>12359</v>
      </c>
      <c r="C1108" s="9">
        <f>IFERROR(__xludf.DUMMYFUNCTION("""COMPUTED_VALUE"""),4.847)</f>
        <v>4.847</v>
      </c>
      <c r="E1108" s="11"/>
    </row>
    <row r="1109">
      <c r="B1109" s="11">
        <f>IFERROR(__xludf.DUMMYFUNCTION("""COMPUTED_VALUE"""),12328.0)</f>
        <v>12328</v>
      </c>
      <c r="C1109" s="9">
        <f>IFERROR(__xludf.DUMMYFUNCTION("""COMPUTED_VALUE"""),5.1432)</f>
        <v>5.1432</v>
      </c>
      <c r="E1109" s="11"/>
    </row>
    <row r="1110">
      <c r="B1110" s="11">
        <f>IFERROR(__xludf.DUMMYFUNCTION("""COMPUTED_VALUE"""),12298.0)</f>
        <v>12298</v>
      </c>
      <c r="C1110" s="9">
        <f>IFERROR(__xludf.DUMMYFUNCTION("""COMPUTED_VALUE"""),5.4124)</f>
        <v>5.4124</v>
      </c>
      <c r="E1110" s="11"/>
    </row>
    <row r="1111">
      <c r="B1111" s="11">
        <f>IFERROR(__xludf.DUMMYFUNCTION("""COMPUTED_VALUE"""),12267.0)</f>
        <v>12267</v>
      </c>
      <c r="C1111" s="9">
        <f>IFERROR(__xludf.DUMMYFUNCTION("""COMPUTED_VALUE"""),5.7356)</f>
        <v>5.7356</v>
      </c>
      <c r="E1111" s="11"/>
    </row>
    <row r="1112">
      <c r="B1112" s="11">
        <f>IFERROR(__xludf.DUMMYFUNCTION("""COMPUTED_VALUE"""),12236.0)</f>
        <v>12236</v>
      </c>
      <c r="C1112" s="9">
        <f>IFERROR(__xludf.DUMMYFUNCTION("""COMPUTED_VALUE"""),5.9779)</f>
        <v>5.9779</v>
      </c>
      <c r="E1112" s="11"/>
    </row>
    <row r="1113">
      <c r="B1113" s="11">
        <f>IFERROR(__xludf.DUMMYFUNCTION("""COMPUTED_VALUE"""),12206.0)</f>
        <v>12206</v>
      </c>
      <c r="C1113" s="9">
        <f>IFERROR(__xludf.DUMMYFUNCTION("""COMPUTED_VALUE"""),5.4663)</f>
        <v>5.4663</v>
      </c>
      <c r="E1113" s="11"/>
    </row>
    <row r="1114">
      <c r="B1114" s="11">
        <f>IFERROR(__xludf.DUMMYFUNCTION("""COMPUTED_VALUE"""),12175.0)</f>
        <v>12175</v>
      </c>
      <c r="C1114" s="9">
        <f>IFERROR(__xludf.DUMMYFUNCTION("""COMPUTED_VALUE"""),4.7392)</f>
        <v>4.7392</v>
      </c>
      <c r="E1114" s="11"/>
    </row>
    <row r="1115">
      <c r="B1115" s="11">
        <f>IFERROR(__xludf.DUMMYFUNCTION("""COMPUTED_VALUE"""),12145.0)</f>
        <v>12145</v>
      </c>
      <c r="C1115" s="9">
        <f>IFERROR(__xludf.DUMMYFUNCTION("""COMPUTED_VALUE"""),4.0661)</f>
        <v>4.0661</v>
      </c>
      <c r="E1115" s="11"/>
    </row>
    <row r="1116">
      <c r="B1116" s="11">
        <f>IFERROR(__xludf.DUMMYFUNCTION("""COMPUTED_VALUE"""),12114.0)</f>
        <v>12114</v>
      </c>
      <c r="C1116" s="9">
        <f>IFERROR(__xludf.DUMMYFUNCTION("""COMPUTED_VALUE"""),3.7968)</f>
        <v>3.7968</v>
      </c>
      <c r="E1116" s="11"/>
    </row>
    <row r="1117">
      <c r="B1117" s="11">
        <f>IFERROR(__xludf.DUMMYFUNCTION("""COMPUTED_VALUE"""),12086.0)</f>
        <v>12086</v>
      </c>
      <c r="C1117" s="9">
        <f>IFERROR(__xludf.DUMMYFUNCTION("""COMPUTED_VALUE"""),4.0391)</f>
        <v>4.0391</v>
      </c>
      <c r="E1117" s="11"/>
    </row>
    <row r="1118">
      <c r="B1118" s="11">
        <f>IFERROR(__xludf.DUMMYFUNCTION("""COMPUTED_VALUE"""),12055.0)</f>
        <v>12055</v>
      </c>
      <c r="C1118" s="9">
        <f>IFERROR(__xludf.DUMMYFUNCTION("""COMPUTED_VALUE"""),4.0122)</f>
        <v>4.0122</v>
      </c>
      <c r="E1118" s="11"/>
    </row>
    <row r="1119">
      <c r="B1119" s="11">
        <f>IFERROR(__xludf.DUMMYFUNCTION("""COMPUTED_VALUE"""),12024.0)</f>
        <v>12024</v>
      </c>
      <c r="C1119" s="9">
        <f>IFERROR(__xludf.DUMMYFUNCTION("""COMPUTED_VALUE"""),4.093)</f>
        <v>4.093</v>
      </c>
      <c r="E1119" s="11"/>
    </row>
    <row r="1120">
      <c r="B1120" s="11">
        <f>IFERROR(__xludf.DUMMYFUNCTION("""COMPUTED_VALUE"""),11994.0)</f>
        <v>11994</v>
      </c>
      <c r="C1120" s="9">
        <f>IFERROR(__xludf.DUMMYFUNCTION("""COMPUTED_VALUE"""),4.1738)</f>
        <v>4.1738</v>
      </c>
      <c r="E1120" s="11"/>
    </row>
    <row r="1121">
      <c r="B1121" s="11">
        <f>IFERROR(__xludf.DUMMYFUNCTION("""COMPUTED_VALUE"""),11963.0)</f>
        <v>11963</v>
      </c>
      <c r="C1121" s="9">
        <f>IFERROR(__xludf.DUMMYFUNCTION("""COMPUTED_VALUE"""),4.1738)</f>
        <v>4.1738</v>
      </c>
      <c r="E1121" s="11"/>
    </row>
    <row r="1122">
      <c r="B1122" s="11">
        <f>IFERROR(__xludf.DUMMYFUNCTION("""COMPUTED_VALUE"""),11933.0)</f>
        <v>11933</v>
      </c>
      <c r="C1122" s="9">
        <f>IFERROR(__xludf.DUMMYFUNCTION("""COMPUTED_VALUE"""),4.0391)</f>
        <v>4.0391</v>
      </c>
      <c r="E1122" s="11"/>
    </row>
    <row r="1123">
      <c r="B1123" s="11">
        <f>IFERROR(__xludf.DUMMYFUNCTION("""COMPUTED_VALUE"""),11902.0)</f>
        <v>11902</v>
      </c>
      <c r="C1123" s="9">
        <f>IFERROR(__xludf.DUMMYFUNCTION("""COMPUTED_VALUE"""),3.7968)</f>
        <v>3.7968</v>
      </c>
      <c r="E1123" s="11"/>
    </row>
    <row r="1124">
      <c r="B1124" s="11">
        <f>IFERROR(__xludf.DUMMYFUNCTION("""COMPUTED_VALUE"""),11871.0)</f>
        <v>11871</v>
      </c>
      <c r="C1124" s="9">
        <f>IFERROR(__xludf.DUMMYFUNCTION("""COMPUTED_VALUE"""),3.6891)</f>
        <v>3.6891</v>
      </c>
      <c r="E1124" s="11"/>
    </row>
    <row r="1125">
      <c r="B1125" s="11">
        <f>IFERROR(__xludf.DUMMYFUNCTION("""COMPUTED_VALUE"""),11841.0)</f>
        <v>11841</v>
      </c>
      <c r="C1125" s="9">
        <f>IFERROR(__xludf.DUMMYFUNCTION("""COMPUTED_VALUE"""),3.7968)</f>
        <v>3.7968</v>
      </c>
      <c r="E1125" s="11"/>
    </row>
    <row r="1126">
      <c r="B1126" s="11">
        <f>IFERROR(__xludf.DUMMYFUNCTION("""COMPUTED_VALUE"""),11810.0)</f>
        <v>11810</v>
      </c>
      <c r="C1126" s="9">
        <f>IFERROR(__xludf.DUMMYFUNCTION("""COMPUTED_VALUE"""),3.9314)</f>
        <v>3.9314</v>
      </c>
      <c r="E1126" s="11"/>
    </row>
    <row r="1127">
      <c r="B1127" s="11">
        <f>IFERROR(__xludf.DUMMYFUNCTION("""COMPUTED_VALUE"""),11780.0)</f>
        <v>11780</v>
      </c>
      <c r="C1127" s="9">
        <f>IFERROR(__xludf.DUMMYFUNCTION("""COMPUTED_VALUE"""),4.0661)</f>
        <v>4.0661</v>
      </c>
      <c r="E1127" s="11"/>
    </row>
    <row r="1128">
      <c r="B1128" s="11">
        <f>IFERROR(__xludf.DUMMYFUNCTION("""COMPUTED_VALUE"""),11749.0)</f>
        <v>11749</v>
      </c>
      <c r="C1128" s="9">
        <f>IFERROR(__xludf.DUMMYFUNCTION("""COMPUTED_VALUE"""),4.3623)</f>
        <v>4.3623</v>
      </c>
      <c r="E1128" s="11"/>
    </row>
    <row r="1129">
      <c r="B1129" s="11">
        <f>IFERROR(__xludf.DUMMYFUNCTION("""COMPUTED_VALUE"""),11720.0)</f>
        <v>11720</v>
      </c>
      <c r="C1129" s="9">
        <f>IFERROR(__xludf.DUMMYFUNCTION("""COMPUTED_VALUE"""),4.4161)</f>
        <v>4.4161</v>
      </c>
      <c r="E1129" s="11"/>
    </row>
    <row r="1130">
      <c r="B1130" s="11">
        <f>IFERROR(__xludf.DUMMYFUNCTION("""COMPUTED_VALUE"""),11689.0)</f>
        <v>11689</v>
      </c>
      <c r="C1130" s="9">
        <f>IFERROR(__xludf.DUMMYFUNCTION("""COMPUTED_VALUE"""),4.5238)</f>
        <v>4.5238</v>
      </c>
      <c r="E1130" s="11"/>
    </row>
    <row r="1131">
      <c r="B1131" s="11">
        <f>IFERROR(__xludf.DUMMYFUNCTION("""COMPUTED_VALUE"""),11658.0)</f>
        <v>11658</v>
      </c>
      <c r="C1131" s="9">
        <f>IFERROR(__xludf.DUMMYFUNCTION("""COMPUTED_VALUE"""),4.6585)</f>
        <v>4.6585</v>
      </c>
      <c r="E1131" s="11"/>
    </row>
    <row r="1132">
      <c r="B1132" s="11">
        <f>IFERROR(__xludf.DUMMYFUNCTION("""COMPUTED_VALUE"""),11628.0)</f>
        <v>11628</v>
      </c>
      <c r="C1132" s="9">
        <f>IFERROR(__xludf.DUMMYFUNCTION("""COMPUTED_VALUE"""),4.6854)</f>
        <v>4.6854</v>
      </c>
      <c r="E1132" s="11"/>
    </row>
    <row r="1133">
      <c r="B1133" s="11">
        <f>IFERROR(__xludf.DUMMYFUNCTION("""COMPUTED_VALUE"""),11597.0)</f>
        <v>11597</v>
      </c>
      <c r="C1133" s="9">
        <f>IFERROR(__xludf.DUMMYFUNCTION("""COMPUTED_VALUE"""),4.7392)</f>
        <v>4.7392</v>
      </c>
      <c r="E1133" s="11"/>
    </row>
    <row r="1134">
      <c r="B1134" s="11">
        <f>IFERROR(__xludf.DUMMYFUNCTION("""COMPUTED_VALUE"""),11567.0)</f>
        <v>11567</v>
      </c>
      <c r="C1134" s="9">
        <f>IFERROR(__xludf.DUMMYFUNCTION("""COMPUTED_VALUE"""),4.9277)</f>
        <v>4.9277</v>
      </c>
      <c r="E1134" s="11"/>
    </row>
    <row r="1135">
      <c r="B1135" s="11">
        <f>IFERROR(__xludf.DUMMYFUNCTION("""COMPUTED_VALUE"""),11536.0)</f>
        <v>11536</v>
      </c>
      <c r="C1135" s="9">
        <f>IFERROR(__xludf.DUMMYFUNCTION("""COMPUTED_VALUE"""),5.1701)</f>
        <v>5.1701</v>
      </c>
      <c r="E1135" s="11"/>
    </row>
    <row r="1136">
      <c r="B1136" s="11">
        <f>IFERROR(__xludf.DUMMYFUNCTION("""COMPUTED_VALUE"""),11505.0)</f>
        <v>11505</v>
      </c>
      <c r="C1136" s="9">
        <f>IFERROR(__xludf.DUMMYFUNCTION("""COMPUTED_VALUE"""),5.3586)</f>
        <v>5.3586</v>
      </c>
      <c r="E1136" s="11"/>
    </row>
    <row r="1137">
      <c r="B1137" s="11">
        <f>IFERROR(__xludf.DUMMYFUNCTION("""COMPUTED_VALUE"""),11475.0)</f>
        <v>11475</v>
      </c>
      <c r="C1137" s="9">
        <f>IFERROR(__xludf.DUMMYFUNCTION("""COMPUTED_VALUE"""),5.4394)</f>
        <v>5.4394</v>
      </c>
      <c r="E1137" s="11"/>
    </row>
    <row r="1138">
      <c r="B1138" s="11">
        <f>IFERROR(__xludf.DUMMYFUNCTION("""COMPUTED_VALUE"""),11444.0)</f>
        <v>11444</v>
      </c>
      <c r="C1138" s="9">
        <f>IFERROR(__xludf.DUMMYFUNCTION("""COMPUTED_VALUE"""),5.574)</f>
        <v>5.574</v>
      </c>
      <c r="E1138" s="11"/>
    </row>
    <row r="1139">
      <c r="B1139" s="11">
        <f>IFERROR(__xludf.DUMMYFUNCTION("""COMPUTED_VALUE"""),11414.0)</f>
        <v>11414</v>
      </c>
      <c r="C1139" s="9">
        <f>IFERROR(__xludf.DUMMYFUNCTION("""COMPUTED_VALUE"""),5.6548)</f>
        <v>5.6548</v>
      </c>
      <c r="E1139" s="11"/>
    </row>
    <row r="1140">
      <c r="B1140" s="11">
        <f>IFERROR(__xludf.DUMMYFUNCTION("""COMPUTED_VALUE"""),11383.0)</f>
        <v>11383</v>
      </c>
      <c r="C1140" s="9">
        <f>IFERROR(__xludf.DUMMYFUNCTION("""COMPUTED_VALUE"""),5.6279)</f>
        <v>5.6279</v>
      </c>
      <c r="E1140" s="11"/>
    </row>
    <row r="1141">
      <c r="B1141" s="11">
        <f>IFERROR(__xludf.DUMMYFUNCTION("""COMPUTED_VALUE"""),11355.0)</f>
        <v>11355</v>
      </c>
      <c r="C1141" s="9">
        <f>IFERROR(__xludf.DUMMYFUNCTION("""COMPUTED_VALUE"""),5.5201)</f>
        <v>5.5201</v>
      </c>
      <c r="E1141" s="11"/>
    </row>
    <row r="1142">
      <c r="B1142" s="11">
        <f>IFERROR(__xludf.DUMMYFUNCTION("""COMPUTED_VALUE"""),11324.0)</f>
        <v>11324</v>
      </c>
      <c r="C1142" s="9">
        <f>IFERROR(__xludf.DUMMYFUNCTION("""COMPUTED_VALUE"""),5.4932)</f>
        <v>5.4932</v>
      </c>
      <c r="E1142" s="11"/>
    </row>
    <row r="1143">
      <c r="B1143" s="11">
        <f>IFERROR(__xludf.DUMMYFUNCTION("""COMPUTED_VALUE"""),11293.0)</f>
        <v>11293</v>
      </c>
      <c r="C1143" s="9">
        <f>IFERROR(__xludf.DUMMYFUNCTION("""COMPUTED_VALUE"""),5.5201)</f>
        <v>5.5201</v>
      </c>
      <c r="E1143" s="11"/>
    </row>
    <row r="1144">
      <c r="B1144" s="11">
        <f>IFERROR(__xludf.DUMMYFUNCTION("""COMPUTED_VALUE"""),11263.0)</f>
        <v>11263</v>
      </c>
      <c r="C1144" s="9">
        <f>IFERROR(__xludf.DUMMYFUNCTION("""COMPUTED_VALUE"""),5.6548)</f>
        <v>5.6548</v>
      </c>
      <c r="E1144" s="11"/>
    </row>
    <row r="1145">
      <c r="B1145" s="11">
        <f>IFERROR(__xludf.DUMMYFUNCTION("""COMPUTED_VALUE"""),11232.0)</f>
        <v>11232</v>
      </c>
      <c r="C1145" s="9">
        <f>IFERROR(__xludf.DUMMYFUNCTION("""COMPUTED_VALUE"""),5.7894)</f>
        <v>5.7894</v>
      </c>
      <c r="E1145" s="11"/>
    </row>
    <row r="1146">
      <c r="B1146" s="11">
        <f>IFERROR(__xludf.DUMMYFUNCTION("""COMPUTED_VALUE"""),11202.0)</f>
        <v>11202</v>
      </c>
      <c r="C1146" s="9">
        <f>IFERROR(__xludf.DUMMYFUNCTION("""COMPUTED_VALUE"""),5.951)</f>
        <v>5.951</v>
      </c>
      <c r="E1146" s="11"/>
    </row>
    <row r="1147">
      <c r="B1147" s="11">
        <f>IFERROR(__xludf.DUMMYFUNCTION("""COMPUTED_VALUE"""),11171.0)</f>
        <v>11171</v>
      </c>
      <c r="C1147" s="9">
        <f>IFERROR(__xludf.DUMMYFUNCTION("""COMPUTED_VALUE"""),6.0587)</f>
        <v>6.0587</v>
      </c>
      <c r="E1147" s="11"/>
    </row>
    <row r="1148">
      <c r="B1148" s="11">
        <f>IFERROR(__xludf.DUMMYFUNCTION("""COMPUTED_VALUE"""),11140.0)</f>
        <v>11140</v>
      </c>
      <c r="C1148" s="9">
        <f>IFERROR(__xludf.DUMMYFUNCTION("""COMPUTED_VALUE"""),6.1933)</f>
        <v>6.1933</v>
      </c>
      <c r="E1148" s="11"/>
    </row>
    <row r="1149">
      <c r="B1149" s="11">
        <f>IFERROR(__xludf.DUMMYFUNCTION("""COMPUTED_VALUE"""),11110.0)</f>
        <v>11110</v>
      </c>
      <c r="C1149" s="9">
        <f>IFERROR(__xludf.DUMMYFUNCTION("""COMPUTED_VALUE"""),6.4895)</f>
        <v>6.4895</v>
      </c>
      <c r="E1149" s="11"/>
    </row>
    <row r="1150">
      <c r="B1150" s="11">
        <f>IFERROR(__xludf.DUMMYFUNCTION("""COMPUTED_VALUE"""),11079.0)</f>
        <v>11079</v>
      </c>
      <c r="C1150" s="9">
        <f>IFERROR(__xludf.DUMMYFUNCTION("""COMPUTED_VALUE"""),6.678)</f>
        <v>6.678</v>
      </c>
      <c r="E1150" s="11"/>
    </row>
    <row r="1151">
      <c r="B1151" s="11">
        <f>IFERROR(__xludf.DUMMYFUNCTION("""COMPUTED_VALUE"""),11049.0)</f>
        <v>11049</v>
      </c>
      <c r="C1151" s="9">
        <f>IFERROR(__xludf.DUMMYFUNCTION("""COMPUTED_VALUE"""),6.7857)</f>
        <v>6.7857</v>
      </c>
      <c r="E1151" s="11"/>
    </row>
    <row r="1152">
      <c r="B1152" s="11">
        <f>IFERROR(__xludf.DUMMYFUNCTION("""COMPUTED_VALUE"""),11018.0)</f>
        <v>11018</v>
      </c>
      <c r="C1152" s="9">
        <f>IFERROR(__xludf.DUMMYFUNCTION("""COMPUTED_VALUE"""),6.8396)</f>
        <v>6.8396</v>
      </c>
      <c r="E1152" s="11"/>
    </row>
    <row r="1153">
      <c r="B1153" s="11">
        <f>IFERROR(__xludf.DUMMYFUNCTION("""COMPUTED_VALUE"""),10990.0)</f>
        <v>10990</v>
      </c>
      <c r="C1153" s="9">
        <f>IFERROR(__xludf.DUMMYFUNCTION("""COMPUTED_VALUE"""),6.9473)</f>
        <v>6.9473</v>
      </c>
      <c r="E1153" s="11"/>
    </row>
    <row r="1154">
      <c r="B1154" s="11">
        <f>IFERROR(__xludf.DUMMYFUNCTION("""COMPUTED_VALUE"""),10959.0)</f>
        <v>10959</v>
      </c>
      <c r="C1154" s="9">
        <f>IFERROR(__xludf.DUMMYFUNCTION("""COMPUTED_VALUE"""),6.9742)</f>
        <v>6.9742</v>
      </c>
      <c r="E1154" s="11"/>
    </row>
    <row r="1155">
      <c r="B1155" s="11">
        <f>IFERROR(__xludf.DUMMYFUNCTION("""COMPUTED_VALUE"""),10928.0)</f>
        <v>10928</v>
      </c>
      <c r="C1155" s="9">
        <f>IFERROR(__xludf.DUMMYFUNCTION("""COMPUTED_VALUE"""),6.9742)</f>
        <v>6.9742</v>
      </c>
      <c r="E1155" s="11"/>
    </row>
    <row r="1156">
      <c r="B1156" s="11">
        <f>IFERROR(__xludf.DUMMYFUNCTION("""COMPUTED_VALUE"""),10898.0)</f>
        <v>10898</v>
      </c>
      <c r="C1156" s="9">
        <f>IFERROR(__xludf.DUMMYFUNCTION("""COMPUTED_VALUE"""),7.2974)</f>
        <v>7.2974</v>
      </c>
      <c r="E1156" s="11"/>
    </row>
    <row r="1157">
      <c r="B1157" s="11">
        <f>IFERROR(__xludf.DUMMYFUNCTION("""COMPUTED_VALUE"""),10867.0)</f>
        <v>10867</v>
      </c>
      <c r="C1157" s="9">
        <f>IFERROR(__xludf.DUMMYFUNCTION("""COMPUTED_VALUE"""),7.6743)</f>
        <v>7.6743</v>
      </c>
      <c r="E1157" s="11"/>
    </row>
    <row r="1158">
      <c r="B1158" s="11">
        <f>IFERROR(__xludf.DUMMYFUNCTION("""COMPUTED_VALUE"""),10837.0)</f>
        <v>10837</v>
      </c>
      <c r="C1158" s="9">
        <f>IFERROR(__xludf.DUMMYFUNCTION("""COMPUTED_VALUE"""),7.809)</f>
        <v>7.809</v>
      </c>
      <c r="E1158" s="11"/>
    </row>
    <row r="1159">
      <c r="B1159" s="11">
        <f>IFERROR(__xludf.DUMMYFUNCTION("""COMPUTED_VALUE"""),10806.0)</f>
        <v>10806</v>
      </c>
      <c r="C1159" s="9">
        <f>IFERROR(__xludf.DUMMYFUNCTION("""COMPUTED_VALUE"""),7.8628)</f>
        <v>7.8628</v>
      </c>
      <c r="E1159" s="11"/>
    </row>
    <row r="1160">
      <c r="B1160" s="11">
        <f>IFERROR(__xludf.DUMMYFUNCTION("""COMPUTED_VALUE"""),10775.0)</f>
        <v>10775</v>
      </c>
      <c r="C1160" s="9">
        <f>IFERROR(__xludf.DUMMYFUNCTION("""COMPUTED_VALUE"""),7.9436)</f>
        <v>7.9436</v>
      </c>
      <c r="E1160" s="11"/>
    </row>
    <row r="1161">
      <c r="B1161" s="11">
        <f>IFERROR(__xludf.DUMMYFUNCTION("""COMPUTED_VALUE"""),10745.0)</f>
        <v>10745</v>
      </c>
      <c r="C1161" s="9">
        <f>IFERROR(__xludf.DUMMYFUNCTION("""COMPUTED_VALUE"""),7.8359)</f>
        <v>7.8359</v>
      </c>
      <c r="E1161" s="11"/>
    </row>
    <row r="1162">
      <c r="B1162" s="11">
        <f>IFERROR(__xludf.DUMMYFUNCTION("""COMPUTED_VALUE"""),10714.0)</f>
        <v>10714</v>
      </c>
      <c r="C1162" s="9">
        <f>IFERROR(__xludf.DUMMYFUNCTION("""COMPUTED_VALUE"""),7.7821)</f>
        <v>7.7821</v>
      </c>
      <c r="E1162" s="11"/>
    </row>
    <row r="1163">
      <c r="B1163" s="11">
        <f>IFERROR(__xludf.DUMMYFUNCTION("""COMPUTED_VALUE"""),10684.0)</f>
        <v>10684</v>
      </c>
      <c r="C1163" s="9">
        <f>IFERROR(__xludf.DUMMYFUNCTION("""COMPUTED_VALUE"""),7.6474)</f>
        <v>7.6474</v>
      </c>
      <c r="E1163" s="11"/>
    </row>
    <row r="1164">
      <c r="B1164" s="11">
        <f>IFERROR(__xludf.DUMMYFUNCTION("""COMPUTED_VALUE"""),10653.0)</f>
        <v>10653</v>
      </c>
      <c r="C1164" s="9">
        <f>IFERROR(__xludf.DUMMYFUNCTION("""COMPUTED_VALUE"""),7.5128)</f>
        <v>7.5128</v>
      </c>
      <c r="E1164" s="11"/>
    </row>
    <row r="1165">
      <c r="B1165" s="11">
        <f>IFERROR(__xludf.DUMMYFUNCTION("""COMPUTED_VALUE"""),10625.0)</f>
        <v>10625</v>
      </c>
      <c r="C1165" s="9">
        <f>IFERROR(__xludf.DUMMYFUNCTION("""COMPUTED_VALUE"""),7.4858)</f>
        <v>7.4858</v>
      </c>
      <c r="E1165" s="11"/>
    </row>
    <row r="1166">
      <c r="B1166" s="11">
        <f>IFERROR(__xludf.DUMMYFUNCTION("""COMPUTED_VALUE"""),10594.0)</f>
        <v>10594</v>
      </c>
      <c r="C1166" s="9">
        <f>IFERROR(__xludf.DUMMYFUNCTION("""COMPUTED_VALUE"""),7.5128)</f>
        <v>7.5128</v>
      </c>
      <c r="E1166" s="11"/>
    </row>
    <row r="1167">
      <c r="B1167" s="11">
        <f>IFERROR(__xludf.DUMMYFUNCTION("""COMPUTED_VALUE"""),10563.0)</f>
        <v>10563</v>
      </c>
      <c r="C1167" s="9">
        <f>IFERROR(__xludf.DUMMYFUNCTION("""COMPUTED_VALUE"""),7.4051)</f>
        <v>7.4051</v>
      </c>
      <c r="E1167" s="11"/>
    </row>
    <row r="1168">
      <c r="B1168" s="11">
        <f>IFERROR(__xludf.DUMMYFUNCTION("""COMPUTED_VALUE"""),10533.0)</f>
        <v>10533</v>
      </c>
      <c r="C1168" s="9">
        <f>IFERROR(__xludf.DUMMYFUNCTION("""COMPUTED_VALUE"""),7.2704)</f>
        <v>7.2704</v>
      </c>
      <c r="E1168" s="11"/>
    </row>
    <row r="1169">
      <c r="B1169" s="11">
        <f>IFERROR(__xludf.DUMMYFUNCTION("""COMPUTED_VALUE"""),10502.0)</f>
        <v>10502</v>
      </c>
      <c r="C1169" s="9">
        <f>IFERROR(__xludf.DUMMYFUNCTION("""COMPUTED_VALUE"""),7.1358)</f>
        <v>7.1358</v>
      </c>
      <c r="E1169" s="11"/>
    </row>
    <row r="1170">
      <c r="B1170" s="11">
        <f>IFERROR(__xludf.DUMMYFUNCTION("""COMPUTED_VALUE"""),10472.0)</f>
        <v>10472</v>
      </c>
      <c r="C1170" s="9">
        <f>IFERROR(__xludf.DUMMYFUNCTION("""COMPUTED_VALUE"""),7.0012)</f>
        <v>7.0012</v>
      </c>
      <c r="E1170" s="11"/>
    </row>
    <row r="1171">
      <c r="B1171" s="11">
        <f>IFERROR(__xludf.DUMMYFUNCTION("""COMPUTED_VALUE"""),10441.0)</f>
        <v>10441</v>
      </c>
      <c r="C1171" s="9">
        <f>IFERROR(__xludf.DUMMYFUNCTION("""COMPUTED_VALUE"""),6.9473)</f>
        <v>6.9473</v>
      </c>
      <c r="E1171" s="11"/>
    </row>
    <row r="1172">
      <c r="B1172" s="11">
        <f>IFERROR(__xludf.DUMMYFUNCTION("""COMPUTED_VALUE"""),10410.0)</f>
        <v>10410</v>
      </c>
      <c r="C1172" s="9">
        <f>IFERROR(__xludf.DUMMYFUNCTION("""COMPUTED_VALUE"""),6.8127)</f>
        <v>6.8127</v>
      </c>
      <c r="E1172" s="11"/>
    </row>
    <row r="1173">
      <c r="B1173" s="11">
        <f>IFERROR(__xludf.DUMMYFUNCTION("""COMPUTED_VALUE"""),10380.0)</f>
        <v>10380</v>
      </c>
      <c r="C1173" s="9">
        <f>IFERROR(__xludf.DUMMYFUNCTION("""COMPUTED_VALUE"""),6.7319)</f>
        <v>6.7319</v>
      </c>
      <c r="E1173" s="11"/>
    </row>
    <row r="1174">
      <c r="B1174" s="11">
        <f>IFERROR(__xludf.DUMMYFUNCTION("""COMPUTED_VALUE"""),10349.0)</f>
        <v>10349</v>
      </c>
      <c r="C1174" s="9">
        <f>IFERROR(__xludf.DUMMYFUNCTION("""COMPUTED_VALUE"""),6.678)</f>
        <v>6.678</v>
      </c>
      <c r="E1174" s="11"/>
    </row>
    <row r="1175">
      <c r="B1175" s="11">
        <f>IFERROR(__xludf.DUMMYFUNCTION("""COMPUTED_VALUE"""),10319.0)</f>
        <v>10319</v>
      </c>
      <c r="C1175" s="9">
        <f>IFERROR(__xludf.DUMMYFUNCTION("""COMPUTED_VALUE"""),6.5972)</f>
        <v>6.5972</v>
      </c>
      <c r="E1175" s="11"/>
    </row>
    <row r="1176">
      <c r="B1176" s="11">
        <f>IFERROR(__xludf.DUMMYFUNCTION("""COMPUTED_VALUE"""),10288.0)</f>
        <v>10288</v>
      </c>
      <c r="C1176" s="9">
        <f>IFERROR(__xludf.DUMMYFUNCTION("""COMPUTED_VALUE"""),6.6242)</f>
        <v>6.6242</v>
      </c>
      <c r="E1176" s="11"/>
    </row>
    <row r="1177">
      <c r="B1177" s="11">
        <f>IFERROR(__xludf.DUMMYFUNCTION("""COMPUTED_VALUE"""),10259.0)</f>
        <v>10259</v>
      </c>
      <c r="C1177" s="9">
        <f>IFERROR(__xludf.DUMMYFUNCTION("""COMPUTED_VALUE"""),6.5703)</f>
        <v>6.5703</v>
      </c>
      <c r="E1177" s="11"/>
    </row>
    <row r="1178">
      <c r="B1178" s="11">
        <f>IFERROR(__xludf.DUMMYFUNCTION("""COMPUTED_VALUE"""),10228.0)</f>
        <v>10228</v>
      </c>
      <c r="C1178" s="9">
        <f>IFERROR(__xludf.DUMMYFUNCTION("""COMPUTED_VALUE"""),6.5165)</f>
        <v>6.5165</v>
      </c>
      <c r="E1178" s="11"/>
    </row>
    <row r="1179">
      <c r="B1179" s="11">
        <f>IFERROR(__xludf.DUMMYFUNCTION("""COMPUTED_VALUE"""),10197.0)</f>
        <v>10197</v>
      </c>
      <c r="C1179" s="9">
        <f>IFERROR(__xludf.DUMMYFUNCTION("""COMPUTED_VALUE"""),6.3818)</f>
        <v>6.3818</v>
      </c>
      <c r="E1179" s="11"/>
    </row>
    <row r="1180">
      <c r="B1180" s="11">
        <f>IFERROR(__xludf.DUMMYFUNCTION("""COMPUTED_VALUE"""),10167.0)</f>
        <v>10167</v>
      </c>
      <c r="C1180" s="9">
        <f>IFERROR(__xludf.DUMMYFUNCTION("""COMPUTED_VALUE"""),6.3549)</f>
        <v>6.3549</v>
      </c>
      <c r="E1180" s="11"/>
    </row>
    <row r="1181">
      <c r="B1181" s="11">
        <f>IFERROR(__xludf.DUMMYFUNCTION("""COMPUTED_VALUE"""),10136.0)</f>
        <v>10136</v>
      </c>
      <c r="C1181" s="9">
        <f>IFERROR(__xludf.DUMMYFUNCTION("""COMPUTED_VALUE"""),6.3549)</f>
        <v>6.3549</v>
      </c>
      <c r="E1181" s="11"/>
    </row>
    <row r="1182">
      <c r="B1182" s="11">
        <f>IFERROR(__xludf.DUMMYFUNCTION("""COMPUTED_VALUE"""),10106.0)</f>
        <v>10106</v>
      </c>
      <c r="C1182" s="9">
        <f>IFERROR(__xludf.DUMMYFUNCTION("""COMPUTED_VALUE"""),6.4895)</f>
        <v>6.4895</v>
      </c>
      <c r="E1182" s="11"/>
    </row>
    <row r="1183">
      <c r="B1183" s="11">
        <f>IFERROR(__xludf.DUMMYFUNCTION("""COMPUTED_VALUE"""),10075.0)</f>
        <v>10075</v>
      </c>
      <c r="C1183" s="9">
        <f>IFERROR(__xludf.DUMMYFUNCTION("""COMPUTED_VALUE"""),6.5972)</f>
        <v>6.5972</v>
      </c>
      <c r="E1183" s="11"/>
    </row>
    <row r="1184">
      <c r="B1184" s="11">
        <f>IFERROR(__xludf.DUMMYFUNCTION("""COMPUTED_VALUE"""),10044.0)</f>
        <v>10044</v>
      </c>
      <c r="C1184" s="9">
        <f>IFERROR(__xludf.DUMMYFUNCTION("""COMPUTED_VALUE"""),6.5972)</f>
        <v>6.5972</v>
      </c>
      <c r="E1184" s="11"/>
    </row>
    <row r="1185">
      <c r="B1185" s="11">
        <f>IFERROR(__xludf.DUMMYFUNCTION("""COMPUTED_VALUE"""),10014.0)</f>
        <v>10014</v>
      </c>
      <c r="C1185" s="9">
        <f>IFERROR(__xludf.DUMMYFUNCTION("""COMPUTED_VALUE"""),6.678)</f>
        <v>6.678</v>
      </c>
      <c r="E1185" s="11"/>
    </row>
    <row r="1186">
      <c r="B1186" s="11">
        <f>IFERROR(__xludf.DUMMYFUNCTION("""COMPUTED_VALUE"""),9983.0)</f>
        <v>9983</v>
      </c>
      <c r="C1186" s="9">
        <f>IFERROR(__xludf.DUMMYFUNCTION("""COMPUTED_VALUE"""),6.705)</f>
        <v>6.705</v>
      </c>
      <c r="E1186" s="11"/>
    </row>
    <row r="1187">
      <c r="B1187" s="11">
        <f>IFERROR(__xludf.DUMMYFUNCTION("""COMPUTED_VALUE"""),9953.0)</f>
        <v>9953</v>
      </c>
      <c r="C1187" s="9">
        <f>IFERROR(__xludf.DUMMYFUNCTION("""COMPUTED_VALUE"""),6.6511)</f>
        <v>6.6511</v>
      </c>
      <c r="E1187" s="11"/>
    </row>
    <row r="1188">
      <c r="B1188" s="11">
        <f>IFERROR(__xludf.DUMMYFUNCTION("""COMPUTED_VALUE"""),9922.0)</f>
        <v>9922</v>
      </c>
      <c r="C1188" s="9">
        <f>IFERROR(__xludf.DUMMYFUNCTION("""COMPUTED_VALUE"""),6.8127)</f>
        <v>6.8127</v>
      </c>
      <c r="E1188" s="11"/>
    </row>
    <row r="1189">
      <c r="B1189" s="11">
        <f>IFERROR(__xludf.DUMMYFUNCTION("""COMPUTED_VALUE"""),9894.0)</f>
        <v>9894</v>
      </c>
      <c r="C1189" s="9">
        <f>IFERROR(__xludf.DUMMYFUNCTION("""COMPUTED_VALUE"""),6.7319)</f>
        <v>6.7319</v>
      </c>
      <c r="E1189" s="11"/>
    </row>
    <row r="1190">
      <c r="B1190" s="11">
        <f>IFERROR(__xludf.DUMMYFUNCTION("""COMPUTED_VALUE"""),9863.0)</f>
        <v>9863</v>
      </c>
      <c r="C1190" s="9">
        <f>IFERROR(__xludf.DUMMYFUNCTION("""COMPUTED_VALUE"""),6.678)</f>
        <v>6.678</v>
      </c>
      <c r="E1190" s="11"/>
    </row>
    <row r="1191">
      <c r="B1191" s="11">
        <f>IFERROR(__xludf.DUMMYFUNCTION("""COMPUTED_VALUE"""),9832.0)</f>
        <v>9832</v>
      </c>
      <c r="C1191" s="9">
        <f>IFERROR(__xludf.DUMMYFUNCTION("""COMPUTED_VALUE"""),6.705)</f>
        <v>6.705</v>
      </c>
      <c r="E1191" s="11"/>
    </row>
    <row r="1192">
      <c r="B1192" s="11">
        <f>IFERROR(__xludf.DUMMYFUNCTION("""COMPUTED_VALUE"""),9802.0)</f>
        <v>9802</v>
      </c>
      <c r="C1192" s="9">
        <f>IFERROR(__xludf.DUMMYFUNCTION("""COMPUTED_VALUE"""),6.7319)</f>
        <v>6.7319</v>
      </c>
      <c r="E1192" s="11"/>
    </row>
    <row r="1193">
      <c r="B1193" s="11">
        <f>IFERROR(__xludf.DUMMYFUNCTION("""COMPUTED_VALUE"""),9771.0)</f>
        <v>9771</v>
      </c>
      <c r="C1193" s="9">
        <f>IFERROR(__xludf.DUMMYFUNCTION("""COMPUTED_VALUE"""),6.7588)</f>
        <v>6.7588</v>
      </c>
      <c r="E1193" s="11"/>
    </row>
    <row r="1194">
      <c r="B1194" s="11">
        <f>IFERROR(__xludf.DUMMYFUNCTION("""COMPUTED_VALUE"""),9741.0)</f>
        <v>9741</v>
      </c>
      <c r="C1194" s="9">
        <f>IFERROR(__xludf.DUMMYFUNCTION("""COMPUTED_VALUE"""),6.7588)</f>
        <v>6.7588</v>
      </c>
      <c r="E1194" s="11"/>
    </row>
    <row r="1195">
      <c r="B1195" s="11">
        <f>IFERROR(__xludf.DUMMYFUNCTION("""COMPUTED_VALUE"""),9710.0)</f>
        <v>9710</v>
      </c>
      <c r="C1195" s="9">
        <f>IFERROR(__xludf.DUMMYFUNCTION("""COMPUTED_VALUE"""),6.6511)</f>
        <v>6.6511</v>
      </c>
      <c r="E1195" s="11"/>
    </row>
    <row r="1196">
      <c r="B1196" s="11">
        <f>IFERROR(__xludf.DUMMYFUNCTION("""COMPUTED_VALUE"""),9679.0)</f>
        <v>9679</v>
      </c>
      <c r="C1196" s="9">
        <f>IFERROR(__xludf.DUMMYFUNCTION("""COMPUTED_VALUE"""),6.5703)</f>
        <v>6.5703</v>
      </c>
      <c r="E1196" s="11"/>
    </row>
    <row r="1197">
      <c r="B1197" s="11">
        <f>IFERROR(__xludf.DUMMYFUNCTION("""COMPUTED_VALUE"""),9649.0)</f>
        <v>9649</v>
      </c>
      <c r="C1197" s="9">
        <f>IFERROR(__xludf.DUMMYFUNCTION("""COMPUTED_VALUE"""),6.5434)</f>
        <v>6.5434</v>
      </c>
      <c r="E1197" s="11"/>
    </row>
    <row r="1198">
      <c r="B1198" s="11">
        <f>IFERROR(__xludf.DUMMYFUNCTION("""COMPUTED_VALUE"""),9618.0)</f>
        <v>9618</v>
      </c>
      <c r="C1198" s="9">
        <f>IFERROR(__xludf.DUMMYFUNCTION("""COMPUTED_VALUE"""),6.4626)</f>
        <v>6.4626</v>
      </c>
      <c r="E1198" s="11"/>
    </row>
    <row r="1199">
      <c r="B1199" s="11">
        <f>IFERROR(__xludf.DUMMYFUNCTION("""COMPUTED_VALUE"""),9588.0)</f>
        <v>9588</v>
      </c>
      <c r="C1199" s="9">
        <f>IFERROR(__xludf.DUMMYFUNCTION("""COMPUTED_VALUE"""),6.5165)</f>
        <v>6.5165</v>
      </c>
      <c r="E1199" s="11"/>
    </row>
    <row r="1200">
      <c r="B1200" s="11">
        <f>IFERROR(__xludf.DUMMYFUNCTION("""COMPUTED_VALUE"""),9557.0)</f>
        <v>9557</v>
      </c>
      <c r="C1200" s="9">
        <f>IFERROR(__xludf.DUMMYFUNCTION("""COMPUTED_VALUE"""),6.5165)</f>
        <v>6.5165</v>
      </c>
      <c r="E1200" s="11"/>
    </row>
    <row r="1201">
      <c r="B1201" s="11">
        <f>IFERROR(__xludf.DUMMYFUNCTION("""COMPUTED_VALUE"""),9529.0)</f>
        <v>9529</v>
      </c>
      <c r="C1201" s="9">
        <f>IFERROR(__xludf.DUMMYFUNCTION("""COMPUTED_VALUE"""),6.4357)</f>
        <v>6.4357</v>
      </c>
      <c r="E1201" s="11"/>
    </row>
    <row r="1202">
      <c r="B1202" s="11">
        <f>IFERROR(__xludf.DUMMYFUNCTION("""COMPUTED_VALUE"""),9498.0)</f>
        <v>9498</v>
      </c>
      <c r="C1202" s="9">
        <f>IFERROR(__xludf.DUMMYFUNCTION("""COMPUTED_VALUE"""),6.4357)</f>
        <v>6.4357</v>
      </c>
      <c r="E1202" s="11"/>
    </row>
    <row r="1203">
      <c r="B1203" s="11">
        <f>IFERROR(__xludf.DUMMYFUNCTION("""COMPUTED_VALUE"""),9467.0)</f>
        <v>9467</v>
      </c>
      <c r="C1203" s="9">
        <f>IFERROR(__xludf.DUMMYFUNCTION("""COMPUTED_VALUE"""),6.5434)</f>
        <v>6.5434</v>
      </c>
      <c r="E1203" s="11"/>
    </row>
    <row r="1204">
      <c r="B1204" s="11">
        <f>IFERROR(__xludf.DUMMYFUNCTION("""COMPUTED_VALUE"""),9437.0)</f>
        <v>9437</v>
      </c>
      <c r="C1204" s="9">
        <f>IFERROR(__xludf.DUMMYFUNCTION("""COMPUTED_VALUE"""),6.4626)</f>
        <v>6.4626</v>
      </c>
      <c r="E1204" s="11"/>
    </row>
    <row r="1205">
      <c r="B1205" s="11">
        <f>IFERROR(__xludf.DUMMYFUNCTION("""COMPUTED_VALUE"""),9406.0)</f>
        <v>9406</v>
      </c>
      <c r="C1205" s="9">
        <f>IFERROR(__xludf.DUMMYFUNCTION("""COMPUTED_VALUE"""),6.328)</f>
        <v>6.328</v>
      </c>
      <c r="E1205" s="11"/>
    </row>
    <row r="1206">
      <c r="B1206" s="11">
        <f>IFERROR(__xludf.DUMMYFUNCTION("""COMPUTED_VALUE"""),9376.0)</f>
        <v>9376</v>
      </c>
      <c r="C1206" s="9">
        <f>IFERROR(__xludf.DUMMYFUNCTION("""COMPUTED_VALUE"""),6.0856)</f>
        <v>6.0856</v>
      </c>
      <c r="E1206" s="11"/>
    </row>
    <row r="1207">
      <c r="B1207" s="11">
        <f>IFERROR(__xludf.DUMMYFUNCTION("""COMPUTED_VALUE"""),9345.0)</f>
        <v>9345</v>
      </c>
      <c r="C1207" s="9">
        <f>IFERROR(__xludf.DUMMYFUNCTION("""COMPUTED_VALUE"""),6.1664)</f>
        <v>6.1664</v>
      </c>
      <c r="E1207" s="11"/>
    </row>
    <row r="1208">
      <c r="B1208" s="11">
        <f>IFERROR(__xludf.DUMMYFUNCTION("""COMPUTED_VALUE"""),9314.0)</f>
        <v>9314</v>
      </c>
      <c r="C1208" s="9">
        <f>IFERROR(__xludf.DUMMYFUNCTION("""COMPUTED_VALUE"""),6.2741)</f>
        <v>6.2741</v>
      </c>
      <c r="E1208" s="11"/>
    </row>
    <row r="1209">
      <c r="B1209" s="11">
        <f>IFERROR(__xludf.DUMMYFUNCTION("""COMPUTED_VALUE"""),9284.0)</f>
        <v>9284</v>
      </c>
      <c r="C1209" s="9">
        <f>IFERROR(__xludf.DUMMYFUNCTION("""COMPUTED_VALUE"""),6.1125)</f>
        <v>6.1125</v>
      </c>
      <c r="E1209" s="11"/>
    </row>
    <row r="1210">
      <c r="B1210" s="11">
        <f>IFERROR(__xludf.DUMMYFUNCTION("""COMPUTED_VALUE"""),9253.0)</f>
        <v>9253</v>
      </c>
      <c r="C1210" s="9">
        <f>IFERROR(__xludf.DUMMYFUNCTION("""COMPUTED_VALUE"""),6.1664)</f>
        <v>6.1664</v>
      </c>
      <c r="E1210" s="11"/>
    </row>
    <row r="1211">
      <c r="B1211" s="11">
        <f>IFERROR(__xludf.DUMMYFUNCTION("""COMPUTED_VALUE"""),9223.0)</f>
        <v>9223</v>
      </c>
      <c r="C1211" s="9">
        <f>IFERROR(__xludf.DUMMYFUNCTION("""COMPUTED_VALUE"""),6.1933)</f>
        <v>6.1933</v>
      </c>
      <c r="E1211" s="11"/>
    </row>
    <row r="1212">
      <c r="B1212" s="11">
        <f>IFERROR(__xludf.DUMMYFUNCTION("""COMPUTED_VALUE"""),9192.0)</f>
        <v>9192</v>
      </c>
      <c r="C1212" s="9">
        <f>IFERROR(__xludf.DUMMYFUNCTION("""COMPUTED_VALUE"""),6.1395)</f>
        <v>6.1395</v>
      </c>
      <c r="E1212" s="11"/>
    </row>
    <row r="1213">
      <c r="B1213" s="11">
        <f>IFERROR(__xludf.DUMMYFUNCTION("""COMPUTED_VALUE"""),9164.0)</f>
        <v>9164</v>
      </c>
      <c r="C1213" s="9">
        <f>IFERROR(__xludf.DUMMYFUNCTION("""COMPUTED_VALUE"""),6.1395)</f>
        <v>6.1395</v>
      </c>
      <c r="E1213" s="11"/>
    </row>
    <row r="1214">
      <c r="B1214" s="11">
        <f>IFERROR(__xludf.DUMMYFUNCTION("""COMPUTED_VALUE"""),9133.0)</f>
        <v>9133</v>
      </c>
      <c r="C1214" s="9">
        <f>IFERROR(__xludf.DUMMYFUNCTION("""COMPUTED_VALUE"""),6.1395)</f>
        <v>6.1395</v>
      </c>
      <c r="E1214" s="11"/>
    </row>
    <row r="1215">
      <c r="B1215" s="11">
        <f>IFERROR(__xludf.DUMMYFUNCTION("""COMPUTED_VALUE"""),9102.0)</f>
        <v>9102</v>
      </c>
      <c r="C1215" s="9">
        <f>IFERROR(__xludf.DUMMYFUNCTION("""COMPUTED_VALUE"""),5.951)</f>
        <v>5.951</v>
      </c>
      <c r="E1215" s="11"/>
    </row>
    <row r="1216">
      <c r="B1216" s="11">
        <f>IFERROR(__xludf.DUMMYFUNCTION("""COMPUTED_VALUE"""),9072.0)</f>
        <v>9072</v>
      </c>
      <c r="C1216" s="9">
        <f>IFERROR(__xludf.DUMMYFUNCTION("""COMPUTED_VALUE"""),5.7894)</f>
        <v>5.7894</v>
      </c>
      <c r="E1216" s="11"/>
    </row>
    <row r="1217">
      <c r="B1217" s="11">
        <f>IFERROR(__xludf.DUMMYFUNCTION("""COMPUTED_VALUE"""),9041.0)</f>
        <v>9041</v>
      </c>
      <c r="C1217" s="9">
        <f>IFERROR(__xludf.DUMMYFUNCTION("""COMPUTED_VALUE"""),5.6817)</f>
        <v>5.6817</v>
      </c>
      <c r="E1217" s="11"/>
    </row>
    <row r="1218">
      <c r="B1218" s="11">
        <f>IFERROR(__xludf.DUMMYFUNCTION("""COMPUTED_VALUE"""),9011.0)</f>
        <v>9011</v>
      </c>
      <c r="C1218" s="9">
        <f>IFERROR(__xludf.DUMMYFUNCTION("""COMPUTED_VALUE"""),5.5471)</f>
        <v>5.5471</v>
      </c>
      <c r="E1218" s="11"/>
    </row>
    <row r="1219">
      <c r="B1219" s="11">
        <f>IFERROR(__xludf.DUMMYFUNCTION("""COMPUTED_VALUE"""),8980.0)</f>
        <v>8980</v>
      </c>
      <c r="C1219" s="9">
        <f>IFERROR(__xludf.DUMMYFUNCTION("""COMPUTED_VALUE"""),5.3586)</f>
        <v>5.3586</v>
      </c>
      <c r="E1219" s="11"/>
    </row>
    <row r="1220">
      <c r="B1220" s="11">
        <f>IFERROR(__xludf.DUMMYFUNCTION("""COMPUTED_VALUE"""),8949.0)</f>
        <v>8949</v>
      </c>
      <c r="C1220" s="9">
        <f>IFERROR(__xludf.DUMMYFUNCTION("""COMPUTED_VALUE"""),5.1701)</f>
        <v>5.1701</v>
      </c>
      <c r="E1220" s="11"/>
    </row>
    <row r="1221">
      <c r="B1221" s="11">
        <f>IFERROR(__xludf.DUMMYFUNCTION("""COMPUTED_VALUE"""),8919.0)</f>
        <v>8919</v>
      </c>
      <c r="C1221" s="9">
        <f>IFERROR(__xludf.DUMMYFUNCTION("""COMPUTED_VALUE"""),5.2509)</f>
        <v>5.2509</v>
      </c>
      <c r="E1221" s="11"/>
    </row>
    <row r="1222">
      <c r="B1222" s="11">
        <f>IFERROR(__xludf.DUMMYFUNCTION("""COMPUTED_VALUE"""),8888.0)</f>
        <v>8888</v>
      </c>
      <c r="C1222" s="9">
        <f>IFERROR(__xludf.DUMMYFUNCTION("""COMPUTED_VALUE"""),5.4932)</f>
        <v>5.4932</v>
      </c>
      <c r="E1222" s="11"/>
    </row>
    <row r="1223">
      <c r="B1223" s="11">
        <f>IFERROR(__xludf.DUMMYFUNCTION("""COMPUTED_VALUE"""),8858.0)</f>
        <v>8858</v>
      </c>
      <c r="C1223" s="9">
        <f>IFERROR(__xludf.DUMMYFUNCTION("""COMPUTED_VALUE"""),5.7356)</f>
        <v>5.7356</v>
      </c>
      <c r="E1223" s="11"/>
    </row>
    <row r="1224">
      <c r="B1224" s="11">
        <f>IFERROR(__xludf.DUMMYFUNCTION("""COMPUTED_VALUE"""),8827.0)</f>
        <v>8827</v>
      </c>
      <c r="C1224" s="9">
        <f>IFERROR(__xludf.DUMMYFUNCTION("""COMPUTED_VALUE"""),5.9241)</f>
        <v>5.9241</v>
      </c>
      <c r="E1224" s="11"/>
    </row>
    <row r="1225">
      <c r="B1225" s="11">
        <f>IFERROR(__xludf.DUMMYFUNCTION("""COMPUTED_VALUE"""),8798.0)</f>
        <v>8798</v>
      </c>
      <c r="C1225" s="9">
        <f>IFERROR(__xludf.DUMMYFUNCTION("""COMPUTED_VALUE"""),6.0318)</f>
        <v>6.0318</v>
      </c>
      <c r="E1225" s="11"/>
    </row>
    <row r="1226">
      <c r="B1226" s="11">
        <f>IFERROR(__xludf.DUMMYFUNCTION("""COMPUTED_VALUE"""),8767.0)</f>
        <v>8767</v>
      </c>
      <c r="C1226" s="9">
        <f>IFERROR(__xludf.DUMMYFUNCTION("""COMPUTED_VALUE"""),5.924)</f>
        <v>5.924</v>
      </c>
      <c r="E1226" s="11"/>
    </row>
    <row r="1227">
      <c r="B1227" s="11">
        <f>IFERROR(__xludf.DUMMYFUNCTION("""COMPUTED_VALUE"""),8736.0)</f>
        <v>8736</v>
      </c>
      <c r="C1227" s="9">
        <f>IFERROR(__xludf.DUMMYFUNCTION("""COMPUTED_VALUE"""),5.7894)</f>
        <v>5.7894</v>
      </c>
      <c r="E1227" s="11"/>
    </row>
    <row r="1228">
      <c r="B1228" s="11">
        <f>IFERROR(__xludf.DUMMYFUNCTION("""COMPUTED_VALUE"""),8706.0)</f>
        <v>8706</v>
      </c>
      <c r="C1228" s="9">
        <f>IFERROR(__xludf.DUMMYFUNCTION("""COMPUTED_VALUE"""),5.9241)</f>
        <v>5.9241</v>
      </c>
      <c r="E1228" s="11"/>
    </row>
    <row r="1229">
      <c r="B1229" s="11">
        <f>IFERROR(__xludf.DUMMYFUNCTION("""COMPUTED_VALUE"""),8675.0)</f>
        <v>8675</v>
      </c>
      <c r="C1229" s="9">
        <f>IFERROR(__xludf.DUMMYFUNCTION("""COMPUTED_VALUE"""),5.9241)</f>
        <v>5.9241</v>
      </c>
      <c r="E1229" s="11"/>
    </row>
    <row r="1230">
      <c r="B1230" s="11">
        <f>IFERROR(__xludf.DUMMYFUNCTION("""COMPUTED_VALUE"""),8645.0)</f>
        <v>8645</v>
      </c>
      <c r="C1230" s="9">
        <f>IFERROR(__xludf.DUMMYFUNCTION("""COMPUTED_VALUE"""),5.951)</f>
        <v>5.951</v>
      </c>
      <c r="E1230" s="11"/>
    </row>
    <row r="1231">
      <c r="B1231" s="11">
        <f>IFERROR(__xludf.DUMMYFUNCTION("""COMPUTED_VALUE"""),8614.0)</f>
        <v>8614</v>
      </c>
      <c r="C1231" s="9">
        <f>IFERROR(__xludf.DUMMYFUNCTION("""COMPUTED_VALUE"""),6.0856)</f>
        <v>6.0856</v>
      </c>
      <c r="E1231" s="11"/>
    </row>
    <row r="1232">
      <c r="B1232" s="11">
        <f>IFERROR(__xludf.DUMMYFUNCTION("""COMPUTED_VALUE"""),8583.0)</f>
        <v>8583</v>
      </c>
      <c r="C1232" s="9">
        <f>IFERROR(__xludf.DUMMYFUNCTION("""COMPUTED_VALUE"""),6.1933)</f>
        <v>6.1933</v>
      </c>
      <c r="E1232" s="11"/>
    </row>
    <row r="1233">
      <c r="B1233" s="11">
        <f>IFERROR(__xludf.DUMMYFUNCTION("""COMPUTED_VALUE"""),8553.0)</f>
        <v>8553</v>
      </c>
      <c r="C1233" s="9">
        <f>IFERROR(__xludf.DUMMYFUNCTION("""COMPUTED_VALUE"""),6.2472)</f>
        <v>6.2472</v>
      </c>
      <c r="E1233" s="11"/>
    </row>
    <row r="1234">
      <c r="B1234" s="11">
        <f>IFERROR(__xludf.DUMMYFUNCTION("""COMPUTED_VALUE"""),8522.0)</f>
        <v>8522</v>
      </c>
      <c r="C1234" s="9">
        <f>IFERROR(__xludf.DUMMYFUNCTION("""COMPUTED_VALUE"""),6.301)</f>
        <v>6.301</v>
      </c>
      <c r="E1234" s="11"/>
    </row>
    <row r="1235">
      <c r="B1235" s="11">
        <f>IFERROR(__xludf.DUMMYFUNCTION("""COMPUTED_VALUE"""),8492.0)</f>
        <v>8492</v>
      </c>
      <c r="C1235" s="9">
        <f>IFERROR(__xludf.DUMMYFUNCTION("""COMPUTED_VALUE"""),6.2203)</f>
        <v>6.2203</v>
      </c>
      <c r="E1235" s="11"/>
    </row>
    <row r="1236">
      <c r="B1236" s="11">
        <f>IFERROR(__xludf.DUMMYFUNCTION("""COMPUTED_VALUE"""),8461.0)</f>
        <v>8461</v>
      </c>
      <c r="C1236" s="9">
        <f>IFERROR(__xludf.DUMMYFUNCTION("""COMPUTED_VALUE"""),6.0856)</f>
        <v>6.0856</v>
      </c>
      <c r="E1236" s="11"/>
    </row>
    <row r="1237">
      <c r="B1237" s="11">
        <f>IFERROR(__xludf.DUMMYFUNCTION("""COMPUTED_VALUE"""),8433.0)</f>
        <v>8433</v>
      </c>
      <c r="C1237" s="9">
        <f>IFERROR(__xludf.DUMMYFUNCTION("""COMPUTED_VALUE"""),5.8971)</f>
        <v>5.8971</v>
      </c>
      <c r="E1237" s="11"/>
    </row>
    <row r="1238">
      <c r="B1238" s="11">
        <f>IFERROR(__xludf.DUMMYFUNCTION("""COMPUTED_VALUE"""),8402.0)</f>
        <v>8402</v>
      </c>
      <c r="C1238" s="9">
        <f>IFERROR(__xludf.DUMMYFUNCTION("""COMPUTED_VALUE"""),5.8163)</f>
        <v>5.8163</v>
      </c>
      <c r="E1238" s="11"/>
    </row>
    <row r="1239">
      <c r="B1239" s="11">
        <f>IFERROR(__xludf.DUMMYFUNCTION("""COMPUTED_VALUE"""),8371.0)</f>
        <v>8371</v>
      </c>
      <c r="C1239" s="9">
        <f>IFERROR(__xludf.DUMMYFUNCTION("""COMPUTED_VALUE"""),5.951)</f>
        <v>5.951</v>
      </c>
      <c r="E1239" s="11"/>
    </row>
    <row r="1240">
      <c r="B1240" s="11">
        <f>IFERROR(__xludf.DUMMYFUNCTION("""COMPUTED_VALUE"""),8341.0)</f>
        <v>8341</v>
      </c>
      <c r="C1240" s="9">
        <f>IFERROR(__xludf.DUMMYFUNCTION("""COMPUTED_VALUE"""),5.7894)</f>
        <v>5.7894</v>
      </c>
      <c r="E1240" s="11"/>
    </row>
    <row r="1241">
      <c r="B1241" s="11">
        <f>IFERROR(__xludf.DUMMYFUNCTION("""COMPUTED_VALUE"""),8310.0)</f>
        <v>8310</v>
      </c>
      <c r="C1241" s="9">
        <f>IFERROR(__xludf.DUMMYFUNCTION("""COMPUTED_VALUE"""),5.5471)</f>
        <v>5.5471</v>
      </c>
      <c r="E1241" s="11"/>
    </row>
    <row r="1242">
      <c r="B1242" s="11">
        <f>IFERROR(__xludf.DUMMYFUNCTION("""COMPUTED_VALUE"""),8280.0)</f>
        <v>8280</v>
      </c>
      <c r="C1242" s="9">
        <f>IFERROR(__xludf.DUMMYFUNCTION("""COMPUTED_VALUE"""),5.2509)</f>
        <v>5.2509</v>
      </c>
      <c r="E1242" s="11"/>
    </row>
    <row r="1243">
      <c r="B1243" s="11">
        <f>IFERROR(__xludf.DUMMYFUNCTION("""COMPUTED_VALUE"""),8249.0)</f>
        <v>8249</v>
      </c>
      <c r="C1243" s="9">
        <f>IFERROR(__xludf.DUMMYFUNCTION("""COMPUTED_VALUE"""),4.9816)</f>
        <v>4.9816</v>
      </c>
      <c r="E1243" s="11"/>
    </row>
    <row r="1244">
      <c r="B1244" s="11">
        <f>IFERROR(__xludf.DUMMYFUNCTION("""COMPUTED_VALUE"""),8218.0)</f>
        <v>8218</v>
      </c>
      <c r="C1244" s="9">
        <f>IFERROR(__xludf.DUMMYFUNCTION("""COMPUTED_VALUE"""),5.0893)</f>
        <v>5.0893</v>
      </c>
      <c r="E1244" s="11"/>
    </row>
    <row r="1245">
      <c r="B1245" s="11">
        <f>IFERROR(__xludf.DUMMYFUNCTION("""COMPUTED_VALUE"""),8188.0)</f>
        <v>8188</v>
      </c>
      <c r="C1245" s="9">
        <f>IFERROR(__xludf.DUMMYFUNCTION("""COMPUTED_VALUE"""),5.0893)</f>
        <v>5.0893</v>
      </c>
      <c r="E1245" s="11"/>
    </row>
    <row r="1246">
      <c r="B1246" s="11">
        <f>IFERROR(__xludf.DUMMYFUNCTION("""COMPUTED_VALUE"""),8157.0)</f>
        <v>8157</v>
      </c>
      <c r="C1246" s="9">
        <f>IFERROR(__xludf.DUMMYFUNCTION("""COMPUTED_VALUE"""),4.847)</f>
        <v>4.847</v>
      </c>
      <c r="E1246" s="11"/>
    </row>
    <row r="1247">
      <c r="B1247" s="11">
        <f>IFERROR(__xludf.DUMMYFUNCTION("""COMPUTED_VALUE"""),8127.0)</f>
        <v>8127</v>
      </c>
      <c r="C1247" s="9">
        <f>IFERROR(__xludf.DUMMYFUNCTION("""COMPUTED_VALUE"""),4.6046)</f>
        <v>4.6046</v>
      </c>
      <c r="E1247" s="11"/>
    </row>
    <row r="1248">
      <c r="B1248" s="11">
        <f>IFERROR(__xludf.DUMMYFUNCTION("""COMPUTED_VALUE"""),8096.0)</f>
        <v>8096</v>
      </c>
      <c r="C1248" s="9">
        <f>IFERROR(__xludf.DUMMYFUNCTION("""COMPUTED_VALUE"""),4.7662)</f>
        <v>4.7662</v>
      </c>
      <c r="E1248" s="11"/>
    </row>
    <row r="1249">
      <c r="B1249" s="11">
        <f>IFERROR(__xludf.DUMMYFUNCTION("""COMPUTED_VALUE"""),8068.0)</f>
        <v>8068</v>
      </c>
      <c r="C1249" s="9">
        <f>IFERROR(__xludf.DUMMYFUNCTION("""COMPUTED_VALUE"""),4.5238)</f>
        <v>4.5238</v>
      </c>
      <c r="E1249" s="11"/>
    </row>
    <row r="1250">
      <c r="B1250" s="11">
        <f>IFERROR(__xludf.DUMMYFUNCTION("""COMPUTED_VALUE"""),8037.0)</f>
        <v>8037</v>
      </c>
      <c r="C1250" s="9">
        <f>IFERROR(__xludf.DUMMYFUNCTION("""COMPUTED_VALUE"""),4.3353)</f>
        <v>4.3353</v>
      </c>
      <c r="E1250" s="11"/>
    </row>
    <row r="1251">
      <c r="B1251" s="11">
        <f>IFERROR(__xludf.DUMMYFUNCTION("""COMPUTED_VALUE"""),8006.0)</f>
        <v>8006</v>
      </c>
      <c r="C1251" s="9">
        <f>IFERROR(__xludf.DUMMYFUNCTION("""COMPUTED_VALUE"""),4.1738)</f>
        <v>4.1738</v>
      </c>
      <c r="E1251" s="11"/>
    </row>
    <row r="1252">
      <c r="B1252" s="11">
        <f>IFERROR(__xludf.DUMMYFUNCTION("""COMPUTED_VALUE"""),7976.0)</f>
        <v>7976</v>
      </c>
      <c r="C1252" s="9">
        <f>IFERROR(__xludf.DUMMYFUNCTION("""COMPUTED_VALUE"""),4.2007)</f>
        <v>4.2007</v>
      </c>
      <c r="E1252" s="11"/>
    </row>
    <row r="1253">
      <c r="B1253" s="11">
        <f>IFERROR(__xludf.DUMMYFUNCTION("""COMPUTED_VALUE"""),7945.0)</f>
        <v>7945</v>
      </c>
      <c r="C1253" s="9">
        <f>IFERROR(__xludf.DUMMYFUNCTION("""COMPUTED_VALUE"""),4.2545)</f>
        <v>4.2545</v>
      </c>
      <c r="E1253" s="11"/>
    </row>
    <row r="1254">
      <c r="B1254" s="11">
        <f>IFERROR(__xludf.DUMMYFUNCTION("""COMPUTED_VALUE"""),7915.0)</f>
        <v>7915</v>
      </c>
      <c r="C1254" s="9">
        <f>IFERROR(__xludf.DUMMYFUNCTION("""COMPUTED_VALUE"""),4.0122)</f>
        <v>4.0122</v>
      </c>
      <c r="E1254" s="11"/>
    </row>
    <row r="1255">
      <c r="B1255" s="11">
        <f>IFERROR(__xludf.DUMMYFUNCTION("""COMPUTED_VALUE"""),7884.0)</f>
        <v>7884</v>
      </c>
      <c r="C1255" s="9">
        <f>IFERROR(__xludf.DUMMYFUNCTION("""COMPUTED_VALUE"""),3.9853)</f>
        <v>3.9853</v>
      </c>
      <c r="E1255" s="11"/>
    </row>
    <row r="1256">
      <c r="B1256" s="11">
        <f>IFERROR(__xludf.DUMMYFUNCTION("""COMPUTED_VALUE"""),7853.0)</f>
        <v>7853</v>
      </c>
      <c r="C1256" s="9">
        <f>IFERROR(__xludf.DUMMYFUNCTION("""COMPUTED_VALUE"""),3.8506)</f>
        <v>3.8506</v>
      </c>
      <c r="E1256" s="11"/>
    </row>
    <row r="1257">
      <c r="B1257" s="11">
        <f>IFERROR(__xludf.DUMMYFUNCTION("""COMPUTED_VALUE"""),7823.0)</f>
        <v>7823</v>
      </c>
      <c r="C1257" s="9">
        <f>IFERROR(__xludf.DUMMYFUNCTION("""COMPUTED_VALUE"""),3.8776)</f>
        <v>3.8776</v>
      </c>
      <c r="E1257" s="11"/>
    </row>
    <row r="1258">
      <c r="B1258" s="11">
        <f>IFERROR(__xludf.DUMMYFUNCTION("""COMPUTED_VALUE"""),7792.0)</f>
        <v>7792</v>
      </c>
      <c r="C1258" s="9">
        <f>IFERROR(__xludf.DUMMYFUNCTION("""COMPUTED_VALUE"""),3.9045)</f>
        <v>3.9045</v>
      </c>
      <c r="E1258" s="11"/>
    </row>
    <row r="1259">
      <c r="B1259" s="11">
        <f>IFERROR(__xludf.DUMMYFUNCTION("""COMPUTED_VALUE"""),7762.0)</f>
        <v>7762</v>
      </c>
      <c r="C1259" s="9">
        <f>IFERROR(__xludf.DUMMYFUNCTION("""COMPUTED_VALUE"""),3.7968)</f>
        <v>3.7968</v>
      </c>
      <c r="E1259" s="11"/>
    </row>
    <row r="1260">
      <c r="B1260" s="11">
        <f>IFERROR(__xludf.DUMMYFUNCTION("""COMPUTED_VALUE"""),7731.0)</f>
        <v>7731</v>
      </c>
      <c r="C1260" s="9">
        <f>IFERROR(__xludf.DUMMYFUNCTION("""COMPUTED_VALUE"""),3.7968)</f>
        <v>3.7968</v>
      </c>
      <c r="E1260" s="11"/>
    </row>
    <row r="1261">
      <c r="B1261" s="11">
        <f>IFERROR(__xludf.DUMMYFUNCTION("""COMPUTED_VALUE"""),7703.0)</f>
        <v>7703</v>
      </c>
      <c r="C1261" s="9">
        <f>IFERROR(__xludf.DUMMYFUNCTION("""COMPUTED_VALUE"""),3.9045)</f>
        <v>3.9045</v>
      </c>
      <c r="E1261" s="11"/>
    </row>
    <row r="1262">
      <c r="B1262" s="11">
        <f>IFERROR(__xludf.DUMMYFUNCTION("""COMPUTED_VALUE"""),7672.0)</f>
        <v>7672</v>
      </c>
      <c r="C1262" s="9">
        <f>IFERROR(__xludf.DUMMYFUNCTION("""COMPUTED_VALUE"""),3.9853)</f>
        <v>3.9853</v>
      </c>
      <c r="E1262" s="11"/>
    </row>
    <row r="1263">
      <c r="B1263" s="11">
        <f>IFERROR(__xludf.DUMMYFUNCTION("""COMPUTED_VALUE"""),7641.0)</f>
        <v>7641</v>
      </c>
      <c r="C1263" s="9">
        <f>IFERROR(__xludf.DUMMYFUNCTION("""COMPUTED_VALUE"""),4.2276)</f>
        <v>4.2276</v>
      </c>
      <c r="E1263" s="11"/>
    </row>
    <row r="1264">
      <c r="B1264" s="11">
        <f>IFERROR(__xludf.DUMMYFUNCTION("""COMPUTED_VALUE"""),7611.0)</f>
        <v>7611</v>
      </c>
      <c r="C1264" s="9">
        <f>IFERROR(__xludf.DUMMYFUNCTION("""COMPUTED_VALUE"""),4.4969)</f>
        <v>4.4969</v>
      </c>
      <c r="E1264" s="11"/>
    </row>
    <row r="1265">
      <c r="B1265" s="11">
        <f>IFERROR(__xludf.DUMMYFUNCTION("""COMPUTED_VALUE"""),7580.0)</f>
        <v>7580</v>
      </c>
      <c r="C1265" s="9">
        <f>IFERROR(__xludf.DUMMYFUNCTION("""COMPUTED_VALUE"""),4.9008)</f>
        <v>4.9008</v>
      </c>
      <c r="E1265" s="11"/>
    </row>
    <row r="1266">
      <c r="B1266" s="11">
        <f>IFERROR(__xludf.DUMMYFUNCTION("""COMPUTED_VALUE"""),7550.0)</f>
        <v>7550</v>
      </c>
      <c r="C1266" s="9">
        <f>IFERROR(__xludf.DUMMYFUNCTION("""COMPUTED_VALUE"""),5.1162)</f>
        <v>5.1162</v>
      </c>
      <c r="E1266" s="11"/>
    </row>
    <row r="1267">
      <c r="B1267" s="11">
        <f>IFERROR(__xludf.DUMMYFUNCTION("""COMPUTED_VALUE"""),7519.0)</f>
        <v>7519</v>
      </c>
      <c r="C1267" s="9">
        <f>IFERROR(__xludf.DUMMYFUNCTION("""COMPUTED_VALUE"""),5.3047)</f>
        <v>5.3047</v>
      </c>
      <c r="E1267" s="11"/>
    </row>
    <row r="1268">
      <c r="B1268" s="11">
        <f>IFERROR(__xludf.DUMMYFUNCTION("""COMPUTED_VALUE"""),7488.0)</f>
        <v>7488</v>
      </c>
      <c r="C1268" s="9">
        <f>IFERROR(__xludf.DUMMYFUNCTION("""COMPUTED_VALUE"""),5.2778)</f>
        <v>5.2778</v>
      </c>
      <c r="E1268" s="11"/>
    </row>
    <row r="1269">
      <c r="B1269" s="11">
        <f>IFERROR(__xludf.DUMMYFUNCTION("""COMPUTED_VALUE"""),7458.0)</f>
        <v>7458</v>
      </c>
      <c r="C1269" s="9">
        <f>IFERROR(__xludf.DUMMYFUNCTION("""COMPUTED_VALUE"""),5.4124)</f>
        <v>5.4124</v>
      </c>
      <c r="E1269" s="11"/>
    </row>
    <row r="1270">
      <c r="B1270" s="11">
        <f>IFERROR(__xludf.DUMMYFUNCTION("""COMPUTED_VALUE"""),7427.0)</f>
        <v>7427</v>
      </c>
      <c r="C1270" s="9">
        <f>IFERROR(__xludf.DUMMYFUNCTION("""COMPUTED_VALUE"""),5.3586)</f>
        <v>5.3586</v>
      </c>
      <c r="E1270" s="11"/>
    </row>
    <row r="1271">
      <c r="B1271" s="11">
        <f>IFERROR(__xludf.DUMMYFUNCTION("""COMPUTED_VALUE"""),7397.0)</f>
        <v>7397</v>
      </c>
      <c r="C1271" s="9">
        <f>IFERROR(__xludf.DUMMYFUNCTION("""COMPUTED_VALUE"""),5.2239)</f>
        <v>5.2239</v>
      </c>
      <c r="E1271" s="11"/>
    </row>
    <row r="1272">
      <c r="B1272" s="11">
        <f>IFERROR(__xludf.DUMMYFUNCTION("""COMPUTED_VALUE"""),7366.0)</f>
        <v>7366</v>
      </c>
      <c r="C1272" s="9">
        <f>IFERROR(__xludf.DUMMYFUNCTION("""COMPUTED_VALUE"""),5.5201)</f>
        <v>5.5201</v>
      </c>
      <c r="E1272" s="11"/>
    </row>
    <row r="1273">
      <c r="B1273" s="11">
        <f>IFERROR(__xludf.DUMMYFUNCTION("""COMPUTED_VALUE"""),7337.0)</f>
        <v>7337</v>
      </c>
      <c r="C1273" s="9">
        <f>IFERROR(__xludf.DUMMYFUNCTION("""COMPUTED_VALUE"""),5.6279)</f>
        <v>5.6279</v>
      </c>
      <c r="E1273" s="11"/>
    </row>
    <row r="1274">
      <c r="B1274" s="11">
        <f>IFERROR(__xludf.DUMMYFUNCTION("""COMPUTED_VALUE"""),7306.0)</f>
        <v>7306</v>
      </c>
      <c r="C1274" s="9">
        <f>IFERROR(__xludf.DUMMYFUNCTION("""COMPUTED_VALUE"""),5.6279)</f>
        <v>5.6279</v>
      </c>
      <c r="E1274" s="11"/>
    </row>
    <row r="1275">
      <c r="B1275" s="11">
        <f>IFERROR(__xludf.DUMMYFUNCTION("""COMPUTED_VALUE"""),7275.0)</f>
        <v>7275</v>
      </c>
      <c r="C1275" s="9">
        <f>IFERROR(__xludf.DUMMYFUNCTION("""COMPUTED_VALUE"""),5.1432)</f>
        <v>5.1432</v>
      </c>
      <c r="E1275" s="11"/>
    </row>
    <row r="1276">
      <c r="B1276" s="11">
        <f>IFERROR(__xludf.DUMMYFUNCTION("""COMPUTED_VALUE"""),7245.0)</f>
        <v>7245</v>
      </c>
      <c r="C1276" s="9">
        <f>IFERROR(__xludf.DUMMYFUNCTION("""COMPUTED_VALUE"""),5.0624)</f>
        <v>5.0624</v>
      </c>
      <c r="E1276" s="11"/>
    </row>
    <row r="1277">
      <c r="B1277" s="11">
        <f>IFERROR(__xludf.DUMMYFUNCTION("""COMPUTED_VALUE"""),7214.0)</f>
        <v>7214</v>
      </c>
      <c r="C1277" s="9">
        <f>IFERROR(__xludf.DUMMYFUNCTION("""COMPUTED_VALUE"""),5.1432)</f>
        <v>5.1432</v>
      </c>
      <c r="E1277" s="11"/>
    </row>
    <row r="1278">
      <c r="B1278" s="11">
        <f>IFERROR(__xludf.DUMMYFUNCTION("""COMPUTED_VALUE"""),7184.0)</f>
        <v>7184</v>
      </c>
      <c r="C1278" s="9">
        <f>IFERROR(__xludf.DUMMYFUNCTION("""COMPUTED_VALUE"""),5.197)</f>
        <v>5.197</v>
      </c>
      <c r="E1278" s="11"/>
    </row>
    <row r="1279">
      <c r="B1279" s="11">
        <f>IFERROR(__xludf.DUMMYFUNCTION("""COMPUTED_VALUE"""),7153.0)</f>
        <v>7153</v>
      </c>
      <c r="C1279" s="9">
        <f>IFERROR(__xludf.DUMMYFUNCTION("""COMPUTED_VALUE"""),5.3047)</f>
        <v>5.3047</v>
      </c>
      <c r="E1279" s="11"/>
    </row>
    <row r="1280">
      <c r="B1280" s="11">
        <f>IFERROR(__xludf.DUMMYFUNCTION("""COMPUTED_VALUE"""),7122.0)</f>
        <v>7122</v>
      </c>
      <c r="C1280" s="9">
        <f>IFERROR(__xludf.DUMMYFUNCTION("""COMPUTED_VALUE"""),5.2239)</f>
        <v>5.2239</v>
      </c>
      <c r="E1280" s="11"/>
    </row>
    <row r="1281">
      <c r="B1281" s="11">
        <f>IFERROR(__xludf.DUMMYFUNCTION("""COMPUTED_VALUE"""),7092.0)</f>
        <v>7092</v>
      </c>
      <c r="C1281" s="9">
        <f>IFERROR(__xludf.DUMMYFUNCTION("""COMPUTED_VALUE"""),4.9277)</f>
        <v>4.9277</v>
      </c>
      <c r="E1281" s="11"/>
    </row>
    <row r="1282">
      <c r="B1282" s="11">
        <f>IFERROR(__xludf.DUMMYFUNCTION("""COMPUTED_VALUE"""),7061.0)</f>
        <v>7061</v>
      </c>
      <c r="C1282" s="9">
        <f>IFERROR(__xludf.DUMMYFUNCTION("""COMPUTED_VALUE"""),4.6315)</f>
        <v>4.6315</v>
      </c>
      <c r="E1282" s="11"/>
    </row>
    <row r="1283">
      <c r="B1283" s="11">
        <f>IFERROR(__xludf.DUMMYFUNCTION("""COMPUTED_VALUE"""),7031.0)</f>
        <v>7031</v>
      </c>
      <c r="C1283" s="9">
        <f>IFERROR(__xludf.DUMMYFUNCTION("""COMPUTED_VALUE"""),4.6046)</f>
        <v>4.6046</v>
      </c>
      <c r="E1283" s="11"/>
    </row>
    <row r="1284">
      <c r="B1284" s="11">
        <f>IFERROR(__xludf.DUMMYFUNCTION("""COMPUTED_VALUE"""),7000.0)</f>
        <v>7000</v>
      </c>
      <c r="C1284" s="9">
        <f>IFERROR(__xludf.DUMMYFUNCTION("""COMPUTED_VALUE"""),4.5238)</f>
        <v>4.5238</v>
      </c>
      <c r="E1284" s="11"/>
    </row>
    <row r="1285">
      <c r="B1285" s="11">
        <f>IFERROR(__xludf.DUMMYFUNCTION("""COMPUTED_VALUE"""),6972.0)</f>
        <v>6972</v>
      </c>
      <c r="C1285" s="9">
        <f>IFERROR(__xludf.DUMMYFUNCTION("""COMPUTED_VALUE"""),4.6585)</f>
        <v>4.6585</v>
      </c>
      <c r="E1285" s="11"/>
    </row>
    <row r="1286">
      <c r="B1286" s="11">
        <f>IFERROR(__xludf.DUMMYFUNCTION("""COMPUTED_VALUE"""),6941.0)</f>
        <v>6941</v>
      </c>
      <c r="C1286" s="9">
        <f>IFERROR(__xludf.DUMMYFUNCTION("""COMPUTED_VALUE"""),4.8739)</f>
        <v>4.8739</v>
      </c>
      <c r="E1286" s="11"/>
    </row>
    <row r="1287">
      <c r="B1287" s="11"/>
      <c r="E1287" s="11"/>
    </row>
    <row r="1288">
      <c r="B1288" s="11"/>
      <c r="E1288" s="11"/>
    </row>
    <row r="1289">
      <c r="B1289" s="11"/>
      <c r="E1289" s="11"/>
    </row>
    <row r="1290">
      <c r="B1290" s="11"/>
      <c r="E1290" s="11"/>
    </row>
    <row r="1291">
      <c r="B1291" s="11"/>
      <c r="E1291" s="11"/>
    </row>
    <row r="1292">
      <c r="B1292" s="11"/>
      <c r="E1292" s="11"/>
    </row>
    <row r="1293">
      <c r="B1293" s="11"/>
      <c r="E1293" s="11"/>
    </row>
    <row r="1294">
      <c r="B1294" s="11"/>
      <c r="E1294" s="11"/>
    </row>
    <row r="1295">
      <c r="B1295" s="11"/>
      <c r="E1295" s="11"/>
    </row>
    <row r="1296">
      <c r="B1296" s="11"/>
      <c r="E1296" s="11"/>
    </row>
    <row r="1297">
      <c r="B1297" s="11"/>
      <c r="E1297" s="11"/>
    </row>
    <row r="1298">
      <c r="B1298" s="11"/>
      <c r="E1298" s="11"/>
    </row>
    <row r="1299">
      <c r="B1299" s="11"/>
      <c r="E1299" s="11"/>
    </row>
    <row r="1300">
      <c r="B1300" s="11"/>
      <c r="E1300" s="11"/>
    </row>
    <row r="1301">
      <c r="B1301" s="11"/>
      <c r="E1301" s="11"/>
    </row>
    <row r="1302">
      <c r="B1302" s="11"/>
      <c r="E1302" s="11"/>
    </row>
    <row r="1303">
      <c r="B1303" s="11"/>
      <c r="E1303" s="11"/>
    </row>
    <row r="1304">
      <c r="B1304" s="11"/>
      <c r="E1304" s="11"/>
    </row>
    <row r="1305">
      <c r="B1305" s="11"/>
      <c r="E1305" s="11"/>
    </row>
    <row r="1306">
      <c r="B1306" s="11"/>
      <c r="E1306" s="11"/>
    </row>
    <row r="1307">
      <c r="B1307" s="11"/>
      <c r="E1307" s="11"/>
    </row>
    <row r="1308">
      <c r="B1308" s="11"/>
      <c r="E1308" s="11"/>
    </row>
    <row r="1309">
      <c r="B1309" s="11"/>
      <c r="E1309" s="11"/>
    </row>
    <row r="1310">
      <c r="B1310" s="11"/>
      <c r="E1310" s="11"/>
    </row>
    <row r="1311">
      <c r="B1311" s="11"/>
      <c r="E1311" s="11"/>
    </row>
    <row r="1312">
      <c r="B1312" s="11"/>
      <c r="E1312" s="11"/>
    </row>
    <row r="1313">
      <c r="B1313" s="11"/>
      <c r="E1313" s="11"/>
    </row>
    <row r="1314">
      <c r="B1314" s="11"/>
      <c r="E1314" s="11"/>
    </row>
    <row r="1315">
      <c r="B1315" s="11"/>
      <c r="E1315" s="11"/>
    </row>
    <row r="1316">
      <c r="B1316" s="11"/>
      <c r="E1316" s="11"/>
    </row>
    <row r="1317">
      <c r="B1317" s="11"/>
      <c r="E1317" s="11"/>
    </row>
    <row r="1318">
      <c r="B1318" s="11"/>
      <c r="E1318" s="11"/>
    </row>
    <row r="1319">
      <c r="B1319" s="11"/>
      <c r="E1319" s="11"/>
    </row>
    <row r="1320">
      <c r="B1320" s="11"/>
      <c r="E1320" s="11"/>
    </row>
    <row r="1321">
      <c r="B1321" s="11"/>
      <c r="E1321" s="11"/>
    </row>
    <row r="1322">
      <c r="B1322" s="11"/>
      <c r="E1322" s="11"/>
    </row>
    <row r="1323">
      <c r="B1323" s="11"/>
      <c r="E1323" s="11"/>
    </row>
    <row r="1324">
      <c r="B1324" s="11"/>
      <c r="E1324" s="11"/>
    </row>
    <row r="1325">
      <c r="B1325" s="11"/>
      <c r="E1325" s="11"/>
    </row>
    <row r="1326">
      <c r="B1326" s="11"/>
      <c r="E1326" s="11"/>
    </row>
    <row r="1327">
      <c r="B1327" s="11"/>
      <c r="E1327" s="11"/>
    </row>
    <row r="1328">
      <c r="B1328" s="11"/>
      <c r="E1328" s="11"/>
    </row>
    <row r="1329">
      <c r="B1329" s="11"/>
      <c r="E1329" s="11"/>
    </row>
    <row r="1330">
      <c r="B1330" s="11"/>
      <c r="E1330" s="11"/>
    </row>
    <row r="1331">
      <c r="B1331" s="11"/>
      <c r="E1331" s="11"/>
    </row>
    <row r="1332">
      <c r="B1332" s="11"/>
      <c r="E1332" s="11"/>
    </row>
    <row r="1333">
      <c r="B1333" s="11"/>
      <c r="E1333" s="11"/>
    </row>
    <row r="1334">
      <c r="B1334" s="11"/>
      <c r="E1334" s="11"/>
    </row>
    <row r="1335">
      <c r="B1335" s="11"/>
      <c r="E1335" s="11"/>
    </row>
    <row r="1336">
      <c r="B1336" s="11"/>
      <c r="E1336" s="11"/>
    </row>
    <row r="1337">
      <c r="B1337" s="11"/>
      <c r="E1337" s="11"/>
    </row>
    <row r="1338">
      <c r="B1338" s="11"/>
      <c r="E1338" s="11"/>
    </row>
    <row r="1339">
      <c r="B1339" s="11"/>
      <c r="E1339" s="11"/>
    </row>
    <row r="1340">
      <c r="B1340" s="11"/>
      <c r="E1340" s="11"/>
    </row>
    <row r="1341">
      <c r="B1341" s="11"/>
      <c r="E1341" s="11"/>
    </row>
    <row r="1342">
      <c r="B1342" s="11"/>
      <c r="E1342" s="11"/>
    </row>
    <row r="1343">
      <c r="B1343" s="11"/>
      <c r="E1343" s="11"/>
    </row>
    <row r="1344">
      <c r="B1344" s="11"/>
      <c r="E1344" s="11"/>
    </row>
    <row r="1345">
      <c r="B1345" s="11"/>
      <c r="E1345" s="11"/>
    </row>
    <row r="1346">
      <c r="B1346" s="11"/>
      <c r="E1346" s="11"/>
    </row>
    <row r="1347">
      <c r="B1347" s="11"/>
      <c r="E1347" s="11"/>
    </row>
    <row r="1348">
      <c r="B1348" s="11"/>
      <c r="E1348" s="11"/>
    </row>
    <row r="1349">
      <c r="B1349" s="11"/>
      <c r="E1349" s="11"/>
    </row>
    <row r="1350">
      <c r="B1350" s="11"/>
      <c r="E1350" s="11"/>
    </row>
    <row r="1351">
      <c r="B1351" s="11"/>
      <c r="E1351" s="11"/>
    </row>
    <row r="1352">
      <c r="B1352" s="11"/>
      <c r="E1352" s="11"/>
    </row>
    <row r="1353">
      <c r="B1353" s="11"/>
      <c r="E1353" s="11"/>
    </row>
    <row r="1354">
      <c r="B1354" s="11"/>
      <c r="E1354" s="11"/>
    </row>
    <row r="1355">
      <c r="B1355" s="11"/>
      <c r="E1355" s="11"/>
    </row>
    <row r="1356">
      <c r="B1356" s="11"/>
      <c r="E1356" s="11"/>
    </row>
    <row r="1357">
      <c r="B1357" s="11"/>
      <c r="E1357" s="11"/>
    </row>
    <row r="1358">
      <c r="B1358" s="11"/>
      <c r="E1358" s="11"/>
    </row>
    <row r="1359">
      <c r="B1359" s="11"/>
      <c r="E1359" s="11"/>
    </row>
    <row r="1360">
      <c r="B1360" s="11"/>
      <c r="E1360" s="11"/>
    </row>
    <row r="1361">
      <c r="B1361" s="11"/>
      <c r="E1361" s="11"/>
    </row>
    <row r="1362">
      <c r="B1362" s="11"/>
      <c r="E1362" s="11"/>
    </row>
    <row r="1363">
      <c r="B1363" s="11"/>
      <c r="E1363" s="11"/>
    </row>
    <row r="1364">
      <c r="B1364" s="11"/>
      <c r="E1364" s="11"/>
    </row>
    <row r="1365">
      <c r="B1365" s="11"/>
      <c r="E1365" s="11"/>
    </row>
    <row r="1366">
      <c r="B1366" s="11"/>
      <c r="E1366" s="11"/>
    </row>
    <row r="1367">
      <c r="B1367" s="11"/>
      <c r="E1367" s="11"/>
    </row>
    <row r="1368">
      <c r="B1368" s="11"/>
      <c r="E1368" s="11"/>
    </row>
    <row r="1369">
      <c r="B1369" s="11"/>
      <c r="E1369" s="11"/>
    </row>
    <row r="1370">
      <c r="B1370" s="11"/>
      <c r="E1370" s="11"/>
    </row>
    <row r="1371">
      <c r="B1371" s="11"/>
      <c r="E1371" s="11"/>
    </row>
    <row r="1372">
      <c r="B1372" s="11"/>
      <c r="E1372" s="11"/>
    </row>
    <row r="1373">
      <c r="B1373" s="11"/>
      <c r="E1373" s="11"/>
    </row>
    <row r="1374">
      <c r="B1374" s="11"/>
      <c r="E1374" s="11"/>
    </row>
    <row r="1375">
      <c r="B1375" s="11"/>
      <c r="E1375" s="11"/>
    </row>
    <row r="1376">
      <c r="B1376" s="11"/>
      <c r="E1376" s="11"/>
    </row>
    <row r="1377">
      <c r="B1377" s="11"/>
      <c r="E1377" s="11"/>
    </row>
    <row r="1378">
      <c r="B1378" s="11"/>
      <c r="E1378" s="11"/>
    </row>
    <row r="1379">
      <c r="B1379" s="11"/>
      <c r="E1379" s="11"/>
    </row>
    <row r="1380">
      <c r="B1380" s="11"/>
      <c r="E1380" s="11"/>
    </row>
    <row r="1381">
      <c r="B1381" s="11"/>
      <c r="E1381" s="11"/>
    </row>
    <row r="1382">
      <c r="B1382" s="11"/>
      <c r="E1382" s="11"/>
    </row>
    <row r="1383">
      <c r="B1383" s="11"/>
      <c r="E1383" s="11"/>
    </row>
    <row r="1384">
      <c r="B1384" s="11"/>
      <c r="E1384" s="11"/>
    </row>
    <row r="1385">
      <c r="B1385" s="11"/>
      <c r="E1385" s="11"/>
    </row>
    <row r="1386">
      <c r="B1386" s="11"/>
      <c r="E1386" s="11"/>
    </row>
    <row r="1387">
      <c r="B1387" s="11"/>
      <c r="E1387" s="11"/>
    </row>
    <row r="1388">
      <c r="B1388" s="11"/>
      <c r="E1388" s="11"/>
    </row>
    <row r="1389">
      <c r="B1389" s="11"/>
      <c r="E1389" s="11"/>
    </row>
    <row r="1390">
      <c r="B1390" s="11"/>
      <c r="E1390" s="11"/>
    </row>
    <row r="1391">
      <c r="B1391" s="11"/>
      <c r="E1391" s="11"/>
    </row>
    <row r="1392">
      <c r="B1392" s="11"/>
      <c r="E1392" s="11"/>
    </row>
    <row r="1393">
      <c r="B1393" s="11"/>
      <c r="E1393" s="11"/>
    </row>
    <row r="1394">
      <c r="B1394" s="11"/>
      <c r="E1394" s="11"/>
    </row>
    <row r="1395">
      <c r="B1395" s="11"/>
      <c r="E1395" s="11"/>
    </row>
    <row r="1396">
      <c r="B1396" s="11"/>
      <c r="E1396" s="11"/>
    </row>
    <row r="1397">
      <c r="B1397" s="11"/>
      <c r="E1397" s="11"/>
    </row>
    <row r="1398">
      <c r="B1398" s="11"/>
      <c r="E1398" s="11"/>
    </row>
    <row r="1399">
      <c r="B1399" s="11"/>
      <c r="E1399" s="11"/>
    </row>
    <row r="1400">
      <c r="B1400" s="11"/>
      <c r="E1400" s="11"/>
    </row>
    <row r="1401">
      <c r="B1401" s="11"/>
      <c r="E1401" s="11"/>
    </row>
    <row r="1402">
      <c r="B1402" s="11"/>
      <c r="E1402" s="11"/>
    </row>
    <row r="1403">
      <c r="B1403" s="11"/>
      <c r="E1403" s="11"/>
    </row>
    <row r="1404">
      <c r="B1404" s="11"/>
      <c r="E1404" s="11"/>
    </row>
    <row r="1405">
      <c r="B1405" s="11"/>
      <c r="E1405" s="11"/>
    </row>
    <row r="1406">
      <c r="B1406" s="11"/>
      <c r="E1406" s="11"/>
    </row>
    <row r="1407">
      <c r="B1407" s="11"/>
      <c r="E1407" s="11"/>
    </row>
    <row r="1408">
      <c r="B1408" s="11"/>
      <c r="E1408" s="11"/>
    </row>
    <row r="1409">
      <c r="B1409" s="11"/>
      <c r="E1409" s="11"/>
    </row>
    <row r="1410">
      <c r="B1410" s="11"/>
      <c r="E1410" s="11"/>
    </row>
    <row r="1411">
      <c r="B1411" s="11"/>
      <c r="E1411" s="11"/>
    </row>
    <row r="1412">
      <c r="B1412" s="11"/>
      <c r="E1412" s="11"/>
    </row>
    <row r="1413">
      <c r="B1413" s="11"/>
      <c r="E1413" s="11"/>
    </row>
    <row r="1414">
      <c r="B1414" s="11"/>
      <c r="E1414" s="11"/>
    </row>
    <row r="1415">
      <c r="B1415" s="11"/>
      <c r="E1415" s="11"/>
    </row>
    <row r="1416">
      <c r="B1416" s="11"/>
      <c r="E1416" s="11"/>
    </row>
    <row r="1417">
      <c r="B1417" s="11"/>
      <c r="E1417" s="11"/>
    </row>
    <row r="1418">
      <c r="B1418" s="11"/>
      <c r="E1418" s="11"/>
    </row>
    <row r="1419">
      <c r="B1419" s="11"/>
      <c r="E1419" s="11"/>
    </row>
    <row r="1420">
      <c r="B1420" s="11"/>
      <c r="E1420" s="11"/>
    </row>
    <row r="1421">
      <c r="B1421" s="11"/>
      <c r="E1421" s="11"/>
    </row>
    <row r="1422">
      <c r="B1422" s="11"/>
      <c r="E1422" s="11"/>
    </row>
    <row r="1423">
      <c r="B1423" s="11"/>
      <c r="E1423" s="11"/>
    </row>
    <row r="1424">
      <c r="B1424" s="11"/>
      <c r="E1424" s="11"/>
    </row>
    <row r="1425">
      <c r="B1425" s="11"/>
      <c r="E1425" s="11"/>
    </row>
    <row r="1426">
      <c r="B1426" s="11"/>
      <c r="E1426" s="11"/>
    </row>
    <row r="1427">
      <c r="B1427" s="11"/>
      <c r="E1427" s="11"/>
    </row>
    <row r="1428">
      <c r="B1428" s="11"/>
      <c r="E1428" s="11"/>
    </row>
    <row r="1429">
      <c r="B1429" s="11"/>
      <c r="E1429" s="11"/>
    </row>
    <row r="1430">
      <c r="B1430" s="11"/>
      <c r="E1430" s="11"/>
    </row>
    <row r="1431">
      <c r="B1431" s="11"/>
      <c r="E1431" s="11"/>
    </row>
    <row r="1432">
      <c r="B1432" s="11"/>
      <c r="E1432" s="11"/>
    </row>
    <row r="1433">
      <c r="B1433" s="11"/>
      <c r="E1433" s="11"/>
    </row>
    <row r="1434">
      <c r="B1434" s="11"/>
      <c r="E1434" s="11"/>
    </row>
    <row r="1435">
      <c r="B1435" s="11"/>
      <c r="E1435" s="11"/>
    </row>
    <row r="1436">
      <c r="B1436" s="11"/>
      <c r="E1436" s="11"/>
    </row>
    <row r="1437">
      <c r="B1437" s="11"/>
      <c r="E1437" s="11"/>
    </row>
    <row r="1438">
      <c r="B1438" s="11"/>
      <c r="E1438" s="11"/>
    </row>
    <row r="1439">
      <c r="B1439" s="11"/>
      <c r="E1439" s="11"/>
    </row>
    <row r="1440">
      <c r="B1440" s="11"/>
      <c r="E1440" s="11"/>
    </row>
    <row r="1441">
      <c r="B1441" s="11"/>
      <c r="E1441" s="11"/>
    </row>
    <row r="1442">
      <c r="B1442" s="11"/>
      <c r="E1442" s="11"/>
    </row>
    <row r="1443">
      <c r="B1443" s="11"/>
      <c r="E1443" s="11"/>
    </row>
    <row r="1444">
      <c r="B1444" s="11"/>
      <c r="E1444" s="11"/>
    </row>
    <row r="1445">
      <c r="B1445" s="11"/>
      <c r="E1445" s="11"/>
    </row>
    <row r="1446">
      <c r="B1446" s="11"/>
      <c r="E1446" s="11"/>
    </row>
    <row r="1447">
      <c r="B1447" s="11"/>
      <c r="E1447" s="11"/>
    </row>
    <row r="1448">
      <c r="B1448" s="11"/>
      <c r="E1448" s="11"/>
    </row>
    <row r="1449">
      <c r="B1449" s="11"/>
      <c r="E1449" s="11"/>
    </row>
    <row r="1450">
      <c r="B1450" s="11"/>
      <c r="E1450" s="11"/>
    </row>
    <row r="1451">
      <c r="B1451" s="11"/>
      <c r="E1451" s="11"/>
    </row>
    <row r="1452">
      <c r="B1452" s="11"/>
      <c r="E1452" s="11"/>
    </row>
    <row r="1453">
      <c r="B1453" s="11"/>
      <c r="E1453" s="11"/>
    </row>
    <row r="1454">
      <c r="B1454" s="11"/>
      <c r="E1454" s="11"/>
    </row>
    <row r="1455">
      <c r="B1455" s="11"/>
      <c r="E1455" s="11"/>
    </row>
    <row r="1456">
      <c r="B1456" s="11"/>
      <c r="E1456" s="11"/>
    </row>
    <row r="1457">
      <c r="B1457" s="11"/>
      <c r="E1457" s="11"/>
    </row>
    <row r="1458">
      <c r="B1458" s="11"/>
      <c r="E1458" s="11"/>
    </row>
    <row r="1459">
      <c r="B1459" s="11"/>
      <c r="E1459" s="11"/>
    </row>
    <row r="1460">
      <c r="B1460" s="11"/>
      <c r="E1460" s="11"/>
    </row>
    <row r="1461">
      <c r="B1461" s="11"/>
      <c r="E1461" s="11"/>
    </row>
    <row r="1462">
      <c r="B1462" s="11"/>
      <c r="E1462" s="11"/>
    </row>
    <row r="1463">
      <c r="B1463" s="11"/>
      <c r="E1463" s="11"/>
    </row>
    <row r="1464">
      <c r="B1464" s="11"/>
      <c r="E1464" s="11"/>
    </row>
    <row r="1465">
      <c r="B1465" s="11"/>
      <c r="E1465" s="11"/>
    </row>
    <row r="1466">
      <c r="B1466" s="11"/>
      <c r="E1466" s="11"/>
    </row>
    <row r="1467">
      <c r="B1467" s="11"/>
      <c r="E1467" s="11"/>
    </row>
    <row r="1468">
      <c r="B1468" s="11"/>
      <c r="E1468" s="11"/>
    </row>
    <row r="1469">
      <c r="B1469" s="11"/>
      <c r="E1469" s="11"/>
    </row>
    <row r="1470">
      <c r="B1470" s="11"/>
      <c r="E1470" s="11"/>
    </row>
    <row r="1471">
      <c r="B1471" s="11"/>
      <c r="E1471" s="11"/>
    </row>
    <row r="1472">
      <c r="B1472" s="11"/>
      <c r="E1472" s="11"/>
    </row>
    <row r="1473">
      <c r="B1473" s="11"/>
      <c r="E1473" s="11"/>
    </row>
    <row r="1474">
      <c r="B1474" s="11"/>
      <c r="E1474" s="11"/>
    </row>
    <row r="1475">
      <c r="B1475" s="11"/>
      <c r="E1475" s="11"/>
    </row>
    <row r="1476">
      <c r="B1476" s="11"/>
      <c r="E1476" s="11"/>
    </row>
    <row r="1477">
      <c r="B1477" s="11"/>
      <c r="E1477" s="11"/>
    </row>
    <row r="1478">
      <c r="B1478" s="11"/>
      <c r="E1478" s="11"/>
    </row>
    <row r="1479">
      <c r="B1479" s="11"/>
      <c r="E1479" s="11"/>
    </row>
    <row r="1480">
      <c r="B1480" s="11"/>
      <c r="E1480" s="11"/>
    </row>
    <row r="1481">
      <c r="B1481" s="11"/>
      <c r="E1481" s="11"/>
    </row>
    <row r="1482">
      <c r="B1482" s="11"/>
      <c r="E1482" s="11"/>
    </row>
    <row r="1483">
      <c r="B1483" s="11"/>
      <c r="E1483" s="11"/>
    </row>
    <row r="1484">
      <c r="B1484" s="11"/>
      <c r="E1484" s="11"/>
    </row>
    <row r="1485">
      <c r="B1485" s="11"/>
      <c r="E1485" s="11"/>
    </row>
    <row r="1486">
      <c r="B1486" s="11"/>
      <c r="E1486" s="11"/>
    </row>
    <row r="1487">
      <c r="B1487" s="11"/>
      <c r="E1487" s="11"/>
    </row>
    <row r="1488">
      <c r="B1488" s="11"/>
      <c r="E1488" s="11"/>
    </row>
    <row r="1489">
      <c r="B1489" s="11"/>
      <c r="E1489" s="11"/>
    </row>
    <row r="1490">
      <c r="B1490" s="11"/>
      <c r="E1490" s="11"/>
    </row>
    <row r="1491">
      <c r="B1491" s="11"/>
      <c r="E1491" s="11"/>
    </row>
    <row r="1492">
      <c r="B1492" s="11"/>
      <c r="E1492" s="11"/>
    </row>
    <row r="1493">
      <c r="B1493" s="11"/>
      <c r="E1493" s="11"/>
    </row>
    <row r="1494">
      <c r="B1494" s="11"/>
      <c r="E1494" s="11"/>
    </row>
    <row r="1495">
      <c r="B1495" s="11"/>
      <c r="E1495" s="11"/>
    </row>
    <row r="1496">
      <c r="B1496" s="11"/>
      <c r="E1496" s="11"/>
    </row>
    <row r="1497">
      <c r="B1497" s="11"/>
      <c r="E1497" s="11"/>
    </row>
    <row r="1498">
      <c r="B1498" s="11"/>
      <c r="E1498" s="11"/>
    </row>
    <row r="1499">
      <c r="B1499" s="11"/>
      <c r="E1499" s="11"/>
    </row>
    <row r="1500">
      <c r="B1500" s="11"/>
      <c r="E1500" s="11"/>
    </row>
    <row r="1501">
      <c r="B1501" s="11"/>
      <c r="E1501" s="11"/>
    </row>
    <row r="1502">
      <c r="B1502" s="11"/>
      <c r="E1502" s="11"/>
    </row>
    <row r="1503">
      <c r="B1503" s="11"/>
      <c r="E1503" s="11"/>
    </row>
    <row r="1504">
      <c r="B1504" s="11"/>
      <c r="E1504" s="11"/>
    </row>
    <row r="1505">
      <c r="B1505" s="11"/>
      <c r="E1505" s="11"/>
    </row>
    <row r="1506">
      <c r="B1506" s="11"/>
      <c r="E1506" s="11"/>
    </row>
    <row r="1507">
      <c r="B1507" s="11"/>
      <c r="E1507" s="11"/>
    </row>
    <row r="1508">
      <c r="B1508" s="11"/>
      <c r="E1508" s="11"/>
    </row>
    <row r="1509">
      <c r="B1509" s="11"/>
      <c r="E1509" s="11"/>
    </row>
    <row r="1510">
      <c r="B1510" s="11"/>
      <c r="E1510" s="11"/>
    </row>
    <row r="1511">
      <c r="B1511" s="11"/>
      <c r="E1511" s="11"/>
    </row>
    <row r="1512">
      <c r="B1512" s="11"/>
      <c r="E1512" s="11"/>
    </row>
    <row r="1513">
      <c r="B1513" s="11"/>
      <c r="E1513" s="11"/>
    </row>
    <row r="1514">
      <c r="B1514" s="11"/>
      <c r="E1514" s="11"/>
    </row>
    <row r="1515">
      <c r="B1515" s="11"/>
      <c r="E1515" s="11"/>
    </row>
    <row r="1516">
      <c r="B1516" s="11"/>
      <c r="E1516" s="11"/>
    </row>
    <row r="1517">
      <c r="B1517" s="11"/>
      <c r="E1517" s="11"/>
    </row>
    <row r="1518">
      <c r="B1518" s="11"/>
      <c r="E1518" s="11"/>
    </row>
    <row r="1519">
      <c r="B1519" s="11"/>
      <c r="E1519" s="11"/>
    </row>
    <row r="1520">
      <c r="B1520" s="11"/>
      <c r="E1520" s="11"/>
    </row>
    <row r="1521">
      <c r="B1521" s="11"/>
      <c r="E1521" s="11"/>
    </row>
    <row r="1522">
      <c r="B1522" s="11"/>
      <c r="E1522" s="11"/>
    </row>
    <row r="1523">
      <c r="B1523" s="11"/>
      <c r="E1523" s="11"/>
    </row>
    <row r="1524">
      <c r="B1524" s="11"/>
      <c r="E1524" s="11"/>
    </row>
    <row r="1525">
      <c r="B1525" s="11"/>
      <c r="E1525" s="11"/>
    </row>
    <row r="1526">
      <c r="B1526" s="11"/>
      <c r="E1526" s="11"/>
    </row>
    <row r="1527">
      <c r="B1527" s="11"/>
      <c r="E1527" s="11"/>
    </row>
    <row r="1528">
      <c r="B1528" s="11"/>
      <c r="E1528" s="11"/>
    </row>
    <row r="1529">
      <c r="B1529" s="11"/>
      <c r="E1529" s="11"/>
    </row>
    <row r="1530">
      <c r="B1530" s="11"/>
      <c r="E1530" s="11"/>
    </row>
    <row r="1531">
      <c r="B1531" s="11"/>
      <c r="E1531" s="11"/>
    </row>
    <row r="1532">
      <c r="B1532" s="11"/>
      <c r="E1532" s="11"/>
    </row>
    <row r="1533">
      <c r="B1533" s="11"/>
      <c r="E1533" s="11"/>
    </row>
    <row r="1534">
      <c r="B1534" s="11"/>
      <c r="E1534" s="11"/>
    </row>
    <row r="1535">
      <c r="B1535" s="11"/>
      <c r="E1535" s="11"/>
    </row>
    <row r="1536">
      <c r="B1536" s="11"/>
      <c r="E1536" s="11"/>
    </row>
    <row r="1537">
      <c r="B1537" s="11"/>
      <c r="E1537" s="11"/>
    </row>
    <row r="1538">
      <c r="B1538" s="11"/>
      <c r="E1538" s="11"/>
    </row>
    <row r="1539">
      <c r="B1539" s="11"/>
      <c r="E1539" s="11"/>
    </row>
    <row r="1540">
      <c r="B1540" s="11"/>
      <c r="E1540" s="11"/>
    </row>
    <row r="1541">
      <c r="B1541" s="11"/>
      <c r="E1541" s="11"/>
    </row>
    <row r="1542">
      <c r="B1542" s="11"/>
      <c r="E1542" s="11"/>
    </row>
    <row r="1543">
      <c r="B1543" s="11"/>
      <c r="E1543" s="11"/>
    </row>
    <row r="1544">
      <c r="B1544" s="11"/>
      <c r="E1544" s="11"/>
    </row>
    <row r="1545">
      <c r="B1545" s="11"/>
      <c r="E1545" s="11"/>
    </row>
    <row r="1546">
      <c r="B1546" s="11"/>
      <c r="E1546" s="11"/>
    </row>
    <row r="1547">
      <c r="B1547" s="11"/>
      <c r="E1547" s="11"/>
    </row>
    <row r="1548">
      <c r="B1548" s="11"/>
      <c r="E1548" s="11"/>
    </row>
    <row r="1549">
      <c r="B1549" s="11"/>
      <c r="E1549" s="11"/>
    </row>
    <row r="1550">
      <c r="B1550" s="11"/>
      <c r="E1550" s="11"/>
    </row>
    <row r="1551">
      <c r="B1551" s="11"/>
      <c r="E1551" s="11"/>
    </row>
    <row r="1552">
      <c r="B1552" s="11"/>
      <c r="E1552" s="11"/>
    </row>
    <row r="1553">
      <c r="B1553" s="11"/>
      <c r="E1553" s="11"/>
    </row>
    <row r="1554">
      <c r="B1554" s="11"/>
      <c r="E1554" s="11"/>
    </row>
    <row r="1555">
      <c r="B1555" s="11"/>
      <c r="E1555" s="11"/>
    </row>
    <row r="1556">
      <c r="B1556" s="11"/>
      <c r="E1556" s="11"/>
    </row>
    <row r="1557">
      <c r="B1557" s="11"/>
      <c r="E1557" s="11"/>
    </row>
    <row r="1558">
      <c r="B1558" s="11"/>
      <c r="E1558" s="11"/>
    </row>
    <row r="1559">
      <c r="B1559" s="11"/>
      <c r="E1559" s="11"/>
    </row>
    <row r="1560">
      <c r="B1560" s="11"/>
      <c r="E1560" s="11"/>
    </row>
    <row r="1561">
      <c r="B1561" s="11"/>
      <c r="E1561" s="11"/>
    </row>
    <row r="1562">
      <c r="B1562" s="11"/>
      <c r="E1562" s="11"/>
    </row>
    <row r="1563">
      <c r="B1563" s="11"/>
      <c r="E1563" s="11"/>
    </row>
    <row r="1564">
      <c r="B1564" s="11"/>
      <c r="E1564" s="11"/>
    </row>
    <row r="1565">
      <c r="B1565" s="11"/>
      <c r="E1565" s="11"/>
    </row>
    <row r="1566">
      <c r="B1566" s="11"/>
      <c r="E1566" s="11"/>
    </row>
    <row r="1567">
      <c r="B1567" s="11"/>
      <c r="E1567" s="11"/>
    </row>
    <row r="1568">
      <c r="B1568" s="11"/>
      <c r="E1568" s="11"/>
    </row>
    <row r="1569">
      <c r="B1569" s="11"/>
      <c r="E1569" s="11"/>
    </row>
    <row r="1570">
      <c r="B1570" s="11"/>
      <c r="E1570" s="11"/>
    </row>
    <row r="1571">
      <c r="B1571" s="11"/>
      <c r="E1571" s="11"/>
    </row>
    <row r="1572">
      <c r="B1572" s="11"/>
      <c r="E1572" s="11"/>
    </row>
    <row r="1573">
      <c r="B1573" s="11"/>
      <c r="E1573" s="11"/>
    </row>
    <row r="1574">
      <c r="B1574" s="11"/>
      <c r="E1574" s="11"/>
    </row>
    <row r="1575">
      <c r="B1575" s="11"/>
      <c r="E1575" s="11"/>
    </row>
    <row r="1576">
      <c r="B1576" s="11"/>
      <c r="E1576" s="11"/>
    </row>
    <row r="1577">
      <c r="B1577" s="11"/>
      <c r="E1577" s="11"/>
    </row>
    <row r="1578">
      <c r="B1578" s="11"/>
      <c r="E1578" s="11"/>
    </row>
    <row r="1579">
      <c r="B1579" s="11"/>
      <c r="E1579" s="11"/>
    </row>
    <row r="1580">
      <c r="B1580" s="11"/>
      <c r="E1580" s="11"/>
    </row>
    <row r="1581">
      <c r="B1581" s="11"/>
      <c r="E1581" s="11"/>
    </row>
    <row r="1582">
      <c r="B1582" s="11"/>
      <c r="E1582" s="11"/>
    </row>
    <row r="1583">
      <c r="B1583" s="11"/>
      <c r="E1583" s="11"/>
    </row>
    <row r="1584">
      <c r="B1584" s="11"/>
      <c r="E1584" s="11"/>
    </row>
    <row r="1585">
      <c r="B1585" s="11"/>
      <c r="E1585" s="11"/>
    </row>
    <row r="1586">
      <c r="B1586" s="11"/>
      <c r="E1586" s="11"/>
    </row>
    <row r="1587">
      <c r="B1587" s="11"/>
      <c r="E1587" s="11"/>
    </row>
    <row r="1588">
      <c r="B1588" s="11"/>
      <c r="E1588" s="11"/>
    </row>
    <row r="1589">
      <c r="B1589" s="11"/>
      <c r="E1589" s="11"/>
    </row>
    <row r="1590">
      <c r="B1590" s="11"/>
      <c r="E1590" s="11"/>
    </row>
    <row r="1591">
      <c r="B1591" s="11"/>
      <c r="E1591" s="11"/>
    </row>
    <row r="1592">
      <c r="B1592" s="11"/>
      <c r="E1592" s="11"/>
    </row>
    <row r="1593">
      <c r="B1593" s="11"/>
      <c r="E1593" s="11"/>
    </row>
    <row r="1594">
      <c r="B1594" s="11"/>
      <c r="E1594" s="11"/>
    </row>
    <row r="1595">
      <c r="B1595" s="11"/>
      <c r="E1595" s="11"/>
    </row>
    <row r="1596">
      <c r="B1596" s="11"/>
      <c r="E1596" s="11"/>
    </row>
    <row r="1597">
      <c r="B1597" s="11"/>
      <c r="E1597" s="11"/>
    </row>
    <row r="1598">
      <c r="B1598" s="11"/>
      <c r="E1598" s="11"/>
    </row>
    <row r="1599">
      <c r="B1599" s="11"/>
      <c r="E1599" s="11"/>
    </row>
    <row r="1600">
      <c r="B1600" s="11"/>
      <c r="E1600" s="11"/>
    </row>
    <row r="1601">
      <c r="B1601" s="11"/>
      <c r="E1601" s="11"/>
    </row>
    <row r="1602">
      <c r="B1602" s="11"/>
      <c r="E1602" s="11"/>
    </row>
    <row r="1603">
      <c r="B1603" s="11"/>
      <c r="E1603" s="11"/>
    </row>
    <row r="1604">
      <c r="B1604" s="11"/>
      <c r="E1604" s="11"/>
    </row>
    <row r="1605">
      <c r="B1605" s="11"/>
      <c r="E1605" s="11"/>
    </row>
    <row r="1606">
      <c r="B1606" s="11"/>
      <c r="E1606" s="11"/>
    </row>
    <row r="1607">
      <c r="B1607" s="11"/>
      <c r="E1607" s="11"/>
    </row>
    <row r="1608">
      <c r="B1608" s="11"/>
      <c r="E1608" s="11"/>
    </row>
    <row r="1609">
      <c r="B1609" s="11"/>
      <c r="E1609" s="11"/>
    </row>
    <row r="1610">
      <c r="B1610" s="11"/>
      <c r="E1610" s="11"/>
    </row>
    <row r="1611">
      <c r="B1611" s="11"/>
      <c r="E1611" s="11"/>
    </row>
    <row r="1612">
      <c r="B1612" s="11"/>
      <c r="E1612" s="11"/>
    </row>
    <row r="1613">
      <c r="B1613" s="11"/>
      <c r="E1613" s="11"/>
    </row>
    <row r="1614">
      <c r="B1614" s="11"/>
      <c r="E1614" s="11"/>
    </row>
    <row r="1615">
      <c r="B1615" s="11"/>
      <c r="E1615" s="11"/>
    </row>
    <row r="1616">
      <c r="B1616" s="11"/>
      <c r="E1616" s="11"/>
    </row>
    <row r="1617">
      <c r="B1617" s="11"/>
      <c r="E1617" s="11"/>
    </row>
    <row r="1618">
      <c r="B1618" s="11"/>
      <c r="E1618" s="11"/>
    </row>
    <row r="1619">
      <c r="B1619" s="11"/>
      <c r="E1619" s="11"/>
    </row>
    <row r="1620">
      <c r="B1620" s="11"/>
      <c r="E1620" s="11"/>
    </row>
    <row r="1621">
      <c r="B1621" s="11"/>
      <c r="E1621" s="11"/>
    </row>
    <row r="1622">
      <c r="B1622" s="11"/>
      <c r="E1622" s="11"/>
    </row>
    <row r="1623">
      <c r="B1623" s="11"/>
      <c r="E1623" s="11"/>
    </row>
    <row r="1624">
      <c r="B1624" s="11"/>
      <c r="E1624" s="11"/>
    </row>
    <row r="1625">
      <c r="B1625" s="11"/>
      <c r="E1625" s="11"/>
    </row>
    <row r="1626">
      <c r="B1626" s="11"/>
      <c r="E1626" s="11"/>
    </row>
    <row r="1627">
      <c r="B1627" s="11"/>
      <c r="E1627" s="11"/>
    </row>
    <row r="1628">
      <c r="B1628" s="11"/>
      <c r="E1628" s="11"/>
    </row>
    <row r="1629">
      <c r="B1629" s="11"/>
      <c r="E1629" s="11"/>
    </row>
    <row r="1630">
      <c r="B1630" s="11"/>
      <c r="E1630" s="11"/>
    </row>
    <row r="1631">
      <c r="B1631" s="11"/>
      <c r="E1631" s="11"/>
    </row>
    <row r="1632">
      <c r="B1632" s="11"/>
      <c r="E1632" s="11"/>
    </row>
    <row r="1633">
      <c r="B1633" s="11"/>
      <c r="E1633" s="11"/>
    </row>
    <row r="1634">
      <c r="B1634" s="11"/>
      <c r="E1634" s="11"/>
    </row>
    <row r="1635">
      <c r="B1635" s="11"/>
      <c r="E1635" s="11"/>
    </row>
    <row r="1636">
      <c r="B1636" s="11"/>
      <c r="E1636" s="11"/>
    </row>
    <row r="1637">
      <c r="B1637" s="11"/>
      <c r="E1637" s="11"/>
    </row>
    <row r="1638">
      <c r="B1638" s="11"/>
      <c r="E1638" s="11"/>
    </row>
    <row r="1639">
      <c r="B1639" s="11"/>
      <c r="E1639" s="11"/>
    </row>
    <row r="1640">
      <c r="B1640" s="11"/>
      <c r="E1640" s="11"/>
    </row>
    <row r="1641">
      <c r="B1641" s="11"/>
      <c r="E1641" s="11"/>
    </row>
    <row r="1642">
      <c r="B1642" s="11"/>
      <c r="E1642" s="11"/>
    </row>
    <row r="1643">
      <c r="B1643" s="11"/>
      <c r="E1643" s="11"/>
    </row>
    <row r="1644">
      <c r="B1644" s="11"/>
      <c r="E1644" s="11"/>
    </row>
    <row r="1645">
      <c r="B1645" s="11"/>
      <c r="E1645" s="11"/>
    </row>
    <row r="1646">
      <c r="B1646" s="11"/>
      <c r="E1646" s="11"/>
    </row>
    <row r="1647">
      <c r="B1647" s="11"/>
      <c r="E1647" s="11"/>
    </row>
    <row r="1648">
      <c r="B1648" s="11"/>
      <c r="E1648" s="11"/>
    </row>
    <row r="1649">
      <c r="B1649" s="11"/>
      <c r="E1649" s="11"/>
    </row>
    <row r="1650">
      <c r="B1650" s="11"/>
      <c r="E1650" s="11"/>
    </row>
    <row r="1651">
      <c r="B1651" s="11"/>
      <c r="E1651" s="11"/>
    </row>
    <row r="1652">
      <c r="B1652" s="11"/>
      <c r="E1652" s="11"/>
    </row>
    <row r="1653">
      <c r="B1653" s="11"/>
      <c r="E1653" s="11"/>
    </row>
    <row r="1654">
      <c r="B1654" s="11"/>
      <c r="E1654" s="11"/>
    </row>
    <row r="1655">
      <c r="B1655" s="11"/>
      <c r="E1655" s="11"/>
    </row>
    <row r="1656">
      <c r="B1656" s="11"/>
      <c r="E1656" s="11"/>
    </row>
    <row r="1657">
      <c r="B1657" s="11"/>
      <c r="E1657" s="11"/>
    </row>
    <row r="1658">
      <c r="B1658" s="11"/>
      <c r="E1658" s="11"/>
    </row>
    <row r="1659">
      <c r="B1659" s="11"/>
      <c r="E1659" s="11"/>
    </row>
    <row r="1660">
      <c r="B1660" s="11"/>
      <c r="E1660" s="11"/>
    </row>
    <row r="1661">
      <c r="B1661" s="11"/>
      <c r="E1661" s="11"/>
    </row>
    <row r="1662">
      <c r="B1662" s="11"/>
      <c r="E1662" s="11"/>
    </row>
    <row r="1663">
      <c r="B1663" s="11"/>
      <c r="E1663" s="11"/>
    </row>
    <row r="1664">
      <c r="B1664" s="11"/>
      <c r="E1664" s="11"/>
    </row>
    <row r="1665">
      <c r="B1665" s="11"/>
      <c r="E1665" s="11"/>
    </row>
    <row r="1666">
      <c r="B1666" s="11"/>
      <c r="E1666" s="11"/>
    </row>
    <row r="1667">
      <c r="B1667" s="11"/>
      <c r="E1667" s="11"/>
    </row>
    <row r="1668">
      <c r="B1668" s="11"/>
      <c r="E1668" s="11"/>
    </row>
    <row r="1669">
      <c r="B1669" s="11"/>
      <c r="E1669" s="11"/>
    </row>
    <row r="1670">
      <c r="B1670" s="11"/>
      <c r="E1670" s="11"/>
    </row>
    <row r="1671">
      <c r="B1671" s="11"/>
      <c r="E1671" s="11"/>
    </row>
    <row r="1672">
      <c r="B1672" s="11"/>
      <c r="E1672" s="11"/>
    </row>
    <row r="1673">
      <c r="B1673" s="11"/>
      <c r="E1673" s="11"/>
    </row>
    <row r="1674">
      <c r="B1674" s="11"/>
      <c r="E1674" s="11"/>
    </row>
    <row r="1675">
      <c r="B1675" s="11"/>
      <c r="E1675" s="11"/>
    </row>
    <row r="1676">
      <c r="B1676" s="11"/>
      <c r="E1676" s="11"/>
    </row>
    <row r="1677">
      <c r="B1677" s="11"/>
      <c r="E1677" s="11"/>
    </row>
    <row r="1678">
      <c r="B1678" s="11"/>
      <c r="E1678" s="11"/>
    </row>
    <row r="1679">
      <c r="B1679" s="11"/>
      <c r="E1679" s="11"/>
    </row>
    <row r="1680">
      <c r="B1680" s="11"/>
      <c r="E1680" s="11"/>
    </row>
    <row r="1681">
      <c r="B1681" s="11"/>
      <c r="E1681" s="11"/>
    </row>
    <row r="1682">
      <c r="B1682" s="11"/>
      <c r="E1682" s="11"/>
    </row>
    <row r="1683">
      <c r="B1683" s="11"/>
      <c r="E1683" s="11"/>
    </row>
    <row r="1684">
      <c r="B1684" s="11"/>
      <c r="E1684" s="11"/>
    </row>
    <row r="1685">
      <c r="B1685" s="11"/>
      <c r="E1685" s="11"/>
    </row>
    <row r="1686">
      <c r="B1686" s="11"/>
      <c r="E1686" s="11"/>
    </row>
    <row r="1687">
      <c r="B1687" s="11"/>
      <c r="E1687" s="11"/>
    </row>
    <row r="1688">
      <c r="B1688" s="11"/>
      <c r="E1688" s="11"/>
    </row>
    <row r="1689">
      <c r="B1689" s="11"/>
      <c r="E1689" s="11"/>
    </row>
    <row r="1690">
      <c r="B1690" s="11"/>
      <c r="E1690" s="11"/>
    </row>
    <row r="1691">
      <c r="B1691" s="11"/>
      <c r="E1691" s="11"/>
    </row>
    <row r="1692">
      <c r="B1692" s="11"/>
      <c r="E1692" s="11"/>
    </row>
    <row r="1693">
      <c r="B1693" s="11"/>
      <c r="E1693" s="11"/>
    </row>
    <row r="1694">
      <c r="B1694" s="11"/>
      <c r="E1694" s="11"/>
    </row>
    <row r="1695">
      <c r="B1695" s="11"/>
      <c r="E1695" s="11"/>
    </row>
    <row r="1696">
      <c r="B1696" s="11"/>
      <c r="E1696" s="11"/>
    </row>
    <row r="1697">
      <c r="B1697" s="11"/>
      <c r="E1697" s="11"/>
    </row>
    <row r="1698">
      <c r="B1698" s="11"/>
      <c r="E1698" s="11"/>
    </row>
    <row r="1699">
      <c r="B1699" s="11"/>
      <c r="E1699" s="11"/>
    </row>
    <row r="1700">
      <c r="B1700" s="11"/>
      <c r="E1700" s="11"/>
    </row>
    <row r="1701">
      <c r="B1701" s="11"/>
      <c r="E1701" s="11"/>
    </row>
    <row r="1702">
      <c r="B1702" s="11"/>
      <c r="E1702" s="11"/>
    </row>
    <row r="1703">
      <c r="B1703" s="11"/>
      <c r="E1703" s="11"/>
    </row>
    <row r="1704">
      <c r="B1704" s="11"/>
      <c r="E1704" s="11"/>
    </row>
    <row r="1705">
      <c r="B1705" s="11"/>
      <c r="E1705" s="11"/>
    </row>
    <row r="1706">
      <c r="B1706" s="11"/>
      <c r="E1706" s="11"/>
    </row>
    <row r="1707">
      <c r="B1707" s="11"/>
      <c r="E1707" s="11"/>
    </row>
    <row r="1708">
      <c r="B1708" s="11"/>
      <c r="E1708" s="11"/>
    </row>
    <row r="1709">
      <c r="B1709" s="11"/>
      <c r="E1709" s="11"/>
    </row>
    <row r="1710">
      <c r="B1710" s="11"/>
      <c r="E1710" s="11"/>
    </row>
    <row r="1711">
      <c r="B1711" s="11"/>
      <c r="E1711" s="11"/>
    </row>
    <row r="1712">
      <c r="B1712" s="11"/>
      <c r="E1712" s="11"/>
    </row>
    <row r="1713">
      <c r="B1713" s="11"/>
      <c r="E1713" s="11"/>
    </row>
    <row r="1714">
      <c r="B1714" s="11"/>
      <c r="E1714" s="11"/>
    </row>
    <row r="1715">
      <c r="B1715" s="11"/>
      <c r="E1715" s="11"/>
    </row>
    <row r="1716">
      <c r="B1716" s="11"/>
      <c r="E1716" s="11"/>
    </row>
    <row r="1717">
      <c r="B1717" s="11"/>
      <c r="E1717" s="11"/>
    </row>
    <row r="1718">
      <c r="B1718" s="11"/>
      <c r="E1718" s="11"/>
    </row>
    <row r="1719">
      <c r="B1719" s="11"/>
      <c r="E1719" s="11"/>
    </row>
    <row r="1720">
      <c r="B1720" s="11"/>
      <c r="E1720" s="11"/>
    </row>
    <row r="1721">
      <c r="B1721" s="11"/>
      <c r="E1721" s="11"/>
    </row>
    <row r="1722">
      <c r="B1722" s="11"/>
      <c r="E1722" s="11"/>
    </row>
    <row r="1723">
      <c r="B1723" s="11"/>
      <c r="E1723" s="11"/>
    </row>
    <row r="1724">
      <c r="B1724" s="11"/>
      <c r="E1724" s="11"/>
    </row>
    <row r="1725">
      <c r="B1725" s="11"/>
      <c r="E1725" s="11"/>
    </row>
    <row r="1726">
      <c r="B1726" s="11"/>
      <c r="E1726" s="11"/>
    </row>
    <row r="1727">
      <c r="B1727" s="11"/>
      <c r="E1727" s="11"/>
    </row>
    <row r="1728">
      <c r="B1728" s="11"/>
      <c r="E1728" s="11"/>
    </row>
    <row r="1729">
      <c r="B1729" s="11"/>
      <c r="E1729" s="11"/>
    </row>
    <row r="1730">
      <c r="B1730" s="11"/>
      <c r="E1730" s="11"/>
    </row>
    <row r="1731">
      <c r="B1731" s="11"/>
      <c r="E1731" s="11"/>
    </row>
    <row r="1732">
      <c r="B1732" s="11"/>
      <c r="E1732" s="11"/>
    </row>
    <row r="1733">
      <c r="B1733" s="11"/>
      <c r="E1733" s="11"/>
    </row>
    <row r="1734">
      <c r="B1734" s="11"/>
      <c r="E1734" s="11"/>
    </row>
    <row r="1735">
      <c r="B1735" s="11"/>
      <c r="E1735" s="11"/>
    </row>
    <row r="1736">
      <c r="B1736" s="11"/>
      <c r="E1736" s="11"/>
    </row>
    <row r="1737">
      <c r="B1737" s="11"/>
      <c r="E1737" s="11"/>
    </row>
    <row r="1738">
      <c r="B1738" s="11"/>
      <c r="E1738" s="11"/>
    </row>
    <row r="1739">
      <c r="B1739" s="11"/>
      <c r="E1739" s="11"/>
    </row>
    <row r="1740">
      <c r="B1740" s="11"/>
      <c r="E1740" s="11"/>
    </row>
    <row r="1741">
      <c r="B1741" s="11"/>
      <c r="E1741" s="11"/>
    </row>
    <row r="1742">
      <c r="B1742" s="11"/>
      <c r="E1742" s="11"/>
    </row>
    <row r="1743">
      <c r="B1743" s="11"/>
      <c r="E1743" s="11"/>
    </row>
    <row r="1744">
      <c r="B1744" s="11"/>
      <c r="E1744" s="11"/>
    </row>
    <row r="1745">
      <c r="B1745" s="11"/>
      <c r="E1745" s="11"/>
    </row>
    <row r="1746">
      <c r="B1746" s="11"/>
      <c r="E1746" s="11"/>
    </row>
    <row r="1747">
      <c r="B1747" s="11"/>
      <c r="E1747" s="11"/>
    </row>
    <row r="1748">
      <c r="B1748" s="11"/>
      <c r="E1748" s="11"/>
    </row>
    <row r="1749">
      <c r="B1749" s="11"/>
      <c r="E1749" s="11"/>
    </row>
    <row r="1750">
      <c r="B1750" s="11"/>
      <c r="E1750" s="11"/>
    </row>
    <row r="1751">
      <c r="B1751" s="11"/>
      <c r="E1751" s="11"/>
    </row>
    <row r="1752">
      <c r="B1752" s="11"/>
      <c r="E1752" s="11"/>
    </row>
    <row r="1753">
      <c r="B1753" s="11"/>
      <c r="E1753" s="11"/>
    </row>
    <row r="1754">
      <c r="B1754" s="11"/>
      <c r="E1754" s="11"/>
    </row>
    <row r="1755">
      <c r="B1755" s="11"/>
      <c r="E1755" s="11"/>
    </row>
    <row r="1756">
      <c r="B1756" s="11"/>
      <c r="E1756" s="11"/>
    </row>
    <row r="1757">
      <c r="B1757" s="11"/>
      <c r="E1757" s="11"/>
    </row>
    <row r="1758">
      <c r="B1758" s="11"/>
      <c r="E1758" s="11"/>
    </row>
    <row r="1759">
      <c r="B1759" s="11"/>
      <c r="E1759" s="11"/>
    </row>
    <row r="1760">
      <c r="B1760" s="11"/>
      <c r="E1760" s="11"/>
    </row>
    <row r="1761">
      <c r="B1761" s="11"/>
      <c r="E1761" s="11"/>
    </row>
    <row r="1762">
      <c r="B1762" s="11"/>
      <c r="E1762" s="11"/>
    </row>
    <row r="1763">
      <c r="B1763" s="11"/>
      <c r="E1763" s="11"/>
    </row>
    <row r="1764">
      <c r="B1764" s="11"/>
      <c r="E1764" s="11"/>
    </row>
    <row r="1765">
      <c r="B1765" s="11"/>
      <c r="E1765" s="11"/>
    </row>
    <row r="1766">
      <c r="B1766" s="11"/>
      <c r="E1766" s="11"/>
    </row>
    <row r="1767">
      <c r="B1767" s="11"/>
      <c r="E1767" s="11"/>
    </row>
    <row r="1768">
      <c r="B1768" s="11"/>
      <c r="E1768" s="11"/>
    </row>
    <row r="1769">
      <c r="B1769" s="11"/>
      <c r="E1769" s="11"/>
    </row>
    <row r="1770">
      <c r="B1770" s="11"/>
      <c r="E1770" s="11"/>
    </row>
    <row r="1771">
      <c r="B1771" s="11"/>
      <c r="E1771" s="11"/>
    </row>
    <row r="1772">
      <c r="B1772" s="11"/>
      <c r="E1772" s="11"/>
    </row>
    <row r="1773">
      <c r="B1773" s="11"/>
      <c r="E1773" s="11"/>
    </row>
    <row r="1774">
      <c r="B1774" s="11"/>
      <c r="E1774" s="11"/>
    </row>
    <row r="1775">
      <c r="B1775" s="11"/>
      <c r="E1775" s="11"/>
    </row>
    <row r="1776">
      <c r="B1776" s="11"/>
      <c r="E1776" s="11"/>
    </row>
    <row r="1777">
      <c r="B1777" s="11"/>
      <c r="E1777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73</v>
      </c>
      <c r="B1" s="11"/>
      <c r="E1" s="14" t="s">
        <v>74</v>
      </c>
      <c r="N1" s="14" t="s">
        <v>59</v>
      </c>
      <c r="Q1" s="14" t="s">
        <v>60</v>
      </c>
    </row>
    <row r="2">
      <c r="B2" s="11" t="str">
        <f>IFERROR(__xludf.DUMMYFUNCTION("SORT(GOOGLEFINANCE(""NYSEARCA:XLI"", ""close"", DATE(2006,5,1), TODAY(), ""DAILY""), 1, FALSE)"),"Date")</f>
        <v>Date</v>
      </c>
      <c r="C2" s="9" t="str">
        <f>IFERROR(__xludf.DUMMYFUNCTION("""COMPUTED_VALUE"""),"Close")</f>
        <v>Close</v>
      </c>
      <c r="E2" s="17" t="str">
        <f>IFERROR(__xludf.DUMMYFUNCTION("SORT(GOOGLEFINANCE(""NYSEARCA:XLI"", ""close"", EDATE(TODAY(), -12), TODAY(), ""DAILY""), 1, FALSE)"),"Date")</f>
        <v>Date</v>
      </c>
      <c r="F2" s="9" t="str">
        <f>IFERROR(__xludf.DUMMYFUNCTION("""COMPUTED_VALUE"""),"Close")</f>
        <v>Close</v>
      </c>
      <c r="N2" s="17" t="str">
        <f>IFERROR(__xludf.DUMMYFUNCTION("SORT(GOOGLEFINANCE(""NYSEARCA:XLI"", ""close"", EDATE(TODAY(), -6), TODAY(), ""DAILY""), 1, FALSE)"),"Date")</f>
        <v>Date</v>
      </c>
      <c r="O2" s="9" t="str">
        <f>IFERROR(__xludf.DUMMYFUNCTION("""COMPUTED_VALUE"""),"Close")</f>
        <v>Close</v>
      </c>
      <c r="Q2" s="18" t="str">
        <f>IFERROR(__xludf.DUMMYFUNCTION("SORT(GOOGLEFINANCE(""BATS:ITA"", ""close"", EDATE(TODAY(), -1), TODAY(), ""DAILY""), 1, FALSE)"),"Date")</f>
        <v>Date</v>
      </c>
      <c r="R2" s="9" t="str">
        <f>IFERROR(__xludf.DUMMYFUNCTION("""COMPUTED_VALUE"""),"Close")</f>
        <v>Close</v>
      </c>
    </row>
    <row r="3">
      <c r="B3" s="11">
        <f>IFERROR(__xludf.DUMMYFUNCTION("""COMPUTED_VALUE"""),46024.66666666667)</f>
        <v>46024.66667</v>
      </c>
      <c r="C3" s="9">
        <f>IFERROR(__xludf.DUMMYFUNCTION("""COMPUTED_VALUE"""),157.98)</f>
        <v>157.98</v>
      </c>
      <c r="E3" s="17">
        <f>IFERROR(__xludf.DUMMYFUNCTION("""COMPUTED_VALUE"""),46024.66666666667)</f>
        <v>46024.66667</v>
      </c>
      <c r="F3" s="9">
        <f>IFERROR(__xludf.DUMMYFUNCTION("""COMPUTED_VALUE"""),157.98)</f>
        <v>157.98</v>
      </c>
      <c r="N3" s="17">
        <f>IFERROR(__xludf.DUMMYFUNCTION("""COMPUTED_VALUE"""),46024.66666666667)</f>
        <v>46024.66667</v>
      </c>
      <c r="O3" s="9">
        <f>IFERROR(__xludf.DUMMYFUNCTION("""COMPUTED_VALUE"""),157.98)</f>
        <v>157.98</v>
      </c>
      <c r="Q3" s="17">
        <f>IFERROR(__xludf.DUMMYFUNCTION("""COMPUTED_VALUE"""),46024.66666666667)</f>
        <v>46024.66667</v>
      </c>
      <c r="R3" s="9">
        <f>IFERROR(__xludf.DUMMYFUNCTION("""COMPUTED_VALUE"""),222.01)</f>
        <v>222.01</v>
      </c>
    </row>
    <row r="4">
      <c r="B4" s="11">
        <f>IFERROR(__xludf.DUMMYFUNCTION("""COMPUTED_VALUE"""),46022.66666666667)</f>
        <v>46022.66667</v>
      </c>
      <c r="C4" s="9">
        <f>IFERROR(__xludf.DUMMYFUNCTION("""COMPUTED_VALUE"""),155.12)</f>
        <v>155.12</v>
      </c>
      <c r="E4" s="17">
        <f>IFERROR(__xludf.DUMMYFUNCTION("""COMPUTED_VALUE"""),46022.66666666667)</f>
        <v>46022.66667</v>
      </c>
      <c r="F4" s="9">
        <f>IFERROR(__xludf.DUMMYFUNCTION("""COMPUTED_VALUE"""),155.12)</f>
        <v>155.12</v>
      </c>
      <c r="N4" s="17">
        <f>IFERROR(__xludf.DUMMYFUNCTION("""COMPUTED_VALUE"""),46022.66666666667)</f>
        <v>46022.66667</v>
      </c>
      <c r="O4" s="9">
        <f>IFERROR(__xludf.DUMMYFUNCTION("""COMPUTED_VALUE"""),155.12)</f>
        <v>155.12</v>
      </c>
      <c r="Q4" s="17">
        <f>IFERROR(__xludf.DUMMYFUNCTION("""COMPUTED_VALUE"""),46022.66666666667)</f>
        <v>46022.66667</v>
      </c>
      <c r="R4" s="9">
        <f>IFERROR(__xludf.DUMMYFUNCTION("""COMPUTED_VALUE"""),214.69)</f>
        <v>214.69</v>
      </c>
    </row>
    <row r="5">
      <c r="B5" s="11">
        <f>IFERROR(__xludf.DUMMYFUNCTION("""COMPUTED_VALUE"""),46021.66666666667)</f>
        <v>46021.66667</v>
      </c>
      <c r="C5" s="9">
        <f>IFERROR(__xludf.DUMMYFUNCTION("""COMPUTED_VALUE"""),156.42)</f>
        <v>156.42</v>
      </c>
      <c r="E5" s="17">
        <f>IFERROR(__xludf.DUMMYFUNCTION("""COMPUTED_VALUE"""),46021.66666666667)</f>
        <v>46021.66667</v>
      </c>
      <c r="F5" s="9">
        <f>IFERROR(__xludf.DUMMYFUNCTION("""COMPUTED_VALUE"""),156.42)</f>
        <v>156.42</v>
      </c>
      <c r="N5" s="17">
        <f>IFERROR(__xludf.DUMMYFUNCTION("""COMPUTED_VALUE"""),46021.66666666667)</f>
        <v>46021.66667</v>
      </c>
      <c r="O5" s="9">
        <f>IFERROR(__xludf.DUMMYFUNCTION("""COMPUTED_VALUE"""),156.42)</f>
        <v>156.42</v>
      </c>
      <c r="Q5" s="17">
        <f>IFERROR(__xludf.DUMMYFUNCTION("""COMPUTED_VALUE"""),46021.66666666667)</f>
        <v>46021.66667</v>
      </c>
      <c r="R5" s="9">
        <f>IFERROR(__xludf.DUMMYFUNCTION("""COMPUTED_VALUE"""),216.34)</f>
        <v>216.34</v>
      </c>
    </row>
    <row r="6">
      <c r="B6" s="11">
        <f>IFERROR(__xludf.DUMMYFUNCTION("""COMPUTED_VALUE"""),46020.66666666667)</f>
        <v>46020.66667</v>
      </c>
      <c r="C6" s="9">
        <f>IFERROR(__xludf.DUMMYFUNCTION("""COMPUTED_VALUE"""),156.87)</f>
        <v>156.87</v>
      </c>
      <c r="E6" s="17">
        <f>IFERROR(__xludf.DUMMYFUNCTION("""COMPUTED_VALUE"""),46020.66666666667)</f>
        <v>46020.66667</v>
      </c>
      <c r="F6" s="9">
        <f>IFERROR(__xludf.DUMMYFUNCTION("""COMPUTED_VALUE"""),156.87)</f>
        <v>156.87</v>
      </c>
      <c r="N6" s="17">
        <f>IFERROR(__xludf.DUMMYFUNCTION("""COMPUTED_VALUE"""),46020.66666666667)</f>
        <v>46020.66667</v>
      </c>
      <c r="O6" s="9">
        <f>IFERROR(__xludf.DUMMYFUNCTION("""COMPUTED_VALUE"""),156.87)</f>
        <v>156.87</v>
      </c>
      <c r="Q6" s="17">
        <f>IFERROR(__xludf.DUMMYFUNCTION("""COMPUTED_VALUE"""),46020.66666666667)</f>
        <v>46020.66667</v>
      </c>
      <c r="R6" s="9">
        <f>IFERROR(__xludf.DUMMYFUNCTION("""COMPUTED_VALUE"""),217.0)</f>
        <v>217</v>
      </c>
    </row>
    <row r="7">
      <c r="B7" s="11">
        <f>IFERROR(__xludf.DUMMYFUNCTION("""COMPUTED_VALUE"""),46017.66666666667)</f>
        <v>46017.66667</v>
      </c>
      <c r="C7" s="9">
        <f>IFERROR(__xludf.DUMMYFUNCTION("""COMPUTED_VALUE"""),157.21)</f>
        <v>157.21</v>
      </c>
      <c r="E7" s="17">
        <f>IFERROR(__xludf.DUMMYFUNCTION("""COMPUTED_VALUE"""),46017.66666666667)</f>
        <v>46017.66667</v>
      </c>
      <c r="F7" s="9">
        <f>IFERROR(__xludf.DUMMYFUNCTION("""COMPUTED_VALUE"""),157.21)</f>
        <v>157.21</v>
      </c>
      <c r="N7" s="17">
        <f>IFERROR(__xludf.DUMMYFUNCTION("""COMPUTED_VALUE"""),46017.66666666667)</f>
        <v>46017.66667</v>
      </c>
      <c r="O7" s="9">
        <f>IFERROR(__xludf.DUMMYFUNCTION("""COMPUTED_VALUE"""),157.21)</f>
        <v>157.21</v>
      </c>
      <c r="Q7" s="17">
        <f>IFERROR(__xludf.DUMMYFUNCTION("""COMPUTED_VALUE"""),46017.66666666667)</f>
        <v>46017.66667</v>
      </c>
      <c r="R7" s="9">
        <f>IFERROR(__xludf.DUMMYFUNCTION("""COMPUTED_VALUE"""),218.07)</f>
        <v>218.07</v>
      </c>
    </row>
    <row r="8">
      <c r="B8" s="11">
        <f>IFERROR(__xludf.DUMMYFUNCTION("""COMPUTED_VALUE"""),46015.54166666667)</f>
        <v>46015.54167</v>
      </c>
      <c r="C8" s="9">
        <f>IFERROR(__xludf.DUMMYFUNCTION("""COMPUTED_VALUE"""),157.5)</f>
        <v>157.5</v>
      </c>
      <c r="E8" s="17">
        <f>IFERROR(__xludf.DUMMYFUNCTION("""COMPUTED_VALUE"""),46015.54166666667)</f>
        <v>46015.54167</v>
      </c>
      <c r="F8" s="9">
        <f>IFERROR(__xludf.DUMMYFUNCTION("""COMPUTED_VALUE"""),157.5)</f>
        <v>157.5</v>
      </c>
      <c r="N8" s="17">
        <f>IFERROR(__xludf.DUMMYFUNCTION("""COMPUTED_VALUE"""),46015.54166666667)</f>
        <v>46015.54167</v>
      </c>
      <c r="O8" s="9">
        <f>IFERROR(__xludf.DUMMYFUNCTION("""COMPUTED_VALUE"""),157.5)</f>
        <v>157.5</v>
      </c>
      <c r="Q8" s="17">
        <f>IFERROR(__xludf.DUMMYFUNCTION("""COMPUTED_VALUE"""),46015.51041666667)</f>
        <v>46015.51042</v>
      </c>
      <c r="R8" s="9">
        <f>IFERROR(__xludf.DUMMYFUNCTION("""COMPUTED_VALUE"""),220.2)</f>
        <v>220.2</v>
      </c>
    </row>
    <row r="9">
      <c r="B9" s="11">
        <f>IFERROR(__xludf.DUMMYFUNCTION("""COMPUTED_VALUE"""),46014.66666666667)</f>
        <v>46014.66667</v>
      </c>
      <c r="C9" s="9">
        <f>IFERROR(__xludf.DUMMYFUNCTION("""COMPUTED_VALUE"""),156.99)</f>
        <v>156.99</v>
      </c>
      <c r="E9" s="17">
        <f>IFERROR(__xludf.DUMMYFUNCTION("""COMPUTED_VALUE"""),46014.66666666667)</f>
        <v>46014.66667</v>
      </c>
      <c r="F9" s="9">
        <f>IFERROR(__xludf.DUMMYFUNCTION("""COMPUTED_VALUE"""),156.99)</f>
        <v>156.99</v>
      </c>
      <c r="N9" s="17">
        <f>IFERROR(__xludf.DUMMYFUNCTION("""COMPUTED_VALUE"""),46014.66666666667)</f>
        <v>46014.66667</v>
      </c>
      <c r="O9" s="9">
        <f>IFERROR(__xludf.DUMMYFUNCTION("""COMPUTED_VALUE"""),156.99)</f>
        <v>156.99</v>
      </c>
      <c r="Q9" s="17">
        <f>IFERROR(__xludf.DUMMYFUNCTION("""COMPUTED_VALUE"""),46014.66666666667)</f>
        <v>46014.66667</v>
      </c>
      <c r="R9" s="9">
        <f>IFERROR(__xludf.DUMMYFUNCTION("""COMPUTED_VALUE"""),219.69)</f>
        <v>219.69</v>
      </c>
    </row>
    <row r="10">
      <c r="B10" s="11">
        <f>IFERROR(__xludf.DUMMYFUNCTION("""COMPUTED_VALUE"""),46013.66666666667)</f>
        <v>46013.66667</v>
      </c>
      <c r="C10" s="9">
        <f>IFERROR(__xludf.DUMMYFUNCTION("""COMPUTED_VALUE"""),157.05)</f>
        <v>157.05</v>
      </c>
      <c r="E10" s="17">
        <f>IFERROR(__xludf.DUMMYFUNCTION("""COMPUTED_VALUE"""),46013.66666666667)</f>
        <v>46013.66667</v>
      </c>
      <c r="F10" s="9">
        <f>IFERROR(__xludf.DUMMYFUNCTION("""COMPUTED_VALUE"""),157.05)</f>
        <v>157.05</v>
      </c>
      <c r="N10" s="17">
        <f>IFERROR(__xludf.DUMMYFUNCTION("""COMPUTED_VALUE"""),46013.66666666667)</f>
        <v>46013.66667</v>
      </c>
      <c r="O10" s="9">
        <f>IFERROR(__xludf.DUMMYFUNCTION("""COMPUTED_VALUE"""),157.05)</f>
        <v>157.05</v>
      </c>
      <c r="Q10" s="17">
        <f>IFERROR(__xludf.DUMMYFUNCTION("""COMPUTED_VALUE"""),46013.66666666667)</f>
        <v>46013.66667</v>
      </c>
      <c r="R10" s="9">
        <f>IFERROR(__xludf.DUMMYFUNCTION("""COMPUTED_VALUE"""),219.36)</f>
        <v>219.36</v>
      </c>
    </row>
    <row r="11">
      <c r="B11" s="11">
        <f>IFERROR(__xludf.DUMMYFUNCTION("""COMPUTED_VALUE"""),46010.66666666667)</f>
        <v>46010.66667</v>
      </c>
      <c r="C11" s="9">
        <f>IFERROR(__xludf.DUMMYFUNCTION("""COMPUTED_VALUE"""),155.86)</f>
        <v>155.86</v>
      </c>
      <c r="E11" s="17">
        <f>IFERROR(__xludf.DUMMYFUNCTION("""COMPUTED_VALUE"""),46010.66666666667)</f>
        <v>46010.66667</v>
      </c>
      <c r="F11" s="9">
        <f>IFERROR(__xludf.DUMMYFUNCTION("""COMPUTED_VALUE"""),155.86)</f>
        <v>155.86</v>
      </c>
      <c r="N11" s="17">
        <f>IFERROR(__xludf.DUMMYFUNCTION("""COMPUTED_VALUE"""),46010.66666666667)</f>
        <v>46010.66667</v>
      </c>
      <c r="O11" s="9">
        <f>IFERROR(__xludf.DUMMYFUNCTION("""COMPUTED_VALUE"""),155.86)</f>
        <v>155.86</v>
      </c>
      <c r="Q11" s="17">
        <f>IFERROR(__xludf.DUMMYFUNCTION("""COMPUTED_VALUE"""),46010.66666666667)</f>
        <v>46010.66667</v>
      </c>
      <c r="R11" s="9">
        <f>IFERROR(__xludf.DUMMYFUNCTION("""COMPUTED_VALUE"""),213.91)</f>
        <v>213.91</v>
      </c>
    </row>
    <row r="12">
      <c r="B12" s="11">
        <f>IFERROR(__xludf.DUMMYFUNCTION("""COMPUTED_VALUE"""),46009.66666666667)</f>
        <v>46009.66667</v>
      </c>
      <c r="C12" s="9">
        <f>IFERROR(__xludf.DUMMYFUNCTION("""COMPUTED_VALUE"""),154.53)</f>
        <v>154.53</v>
      </c>
      <c r="E12" s="17">
        <f>IFERROR(__xludf.DUMMYFUNCTION("""COMPUTED_VALUE"""),46009.66666666667)</f>
        <v>46009.66667</v>
      </c>
      <c r="F12" s="9">
        <f>IFERROR(__xludf.DUMMYFUNCTION("""COMPUTED_VALUE"""),154.53)</f>
        <v>154.53</v>
      </c>
      <c r="N12" s="17">
        <f>IFERROR(__xludf.DUMMYFUNCTION("""COMPUTED_VALUE"""),46009.66666666667)</f>
        <v>46009.66667</v>
      </c>
      <c r="O12" s="9">
        <f>IFERROR(__xludf.DUMMYFUNCTION("""COMPUTED_VALUE"""),154.53)</f>
        <v>154.53</v>
      </c>
      <c r="Q12" s="17">
        <f>IFERROR(__xludf.DUMMYFUNCTION("""COMPUTED_VALUE"""),46009.66666666667)</f>
        <v>46009.66667</v>
      </c>
      <c r="R12" s="9">
        <f>IFERROR(__xludf.DUMMYFUNCTION("""COMPUTED_VALUE"""),208.25)</f>
        <v>208.25</v>
      </c>
    </row>
    <row r="13">
      <c r="B13" s="11">
        <f>IFERROR(__xludf.DUMMYFUNCTION("""COMPUTED_VALUE"""),46008.66666666667)</f>
        <v>46008.66667</v>
      </c>
      <c r="C13" s="9">
        <f>IFERROR(__xludf.DUMMYFUNCTION("""COMPUTED_VALUE"""),153.53)</f>
        <v>153.53</v>
      </c>
      <c r="E13" s="17">
        <f>IFERROR(__xludf.DUMMYFUNCTION("""COMPUTED_VALUE"""),46008.66666666667)</f>
        <v>46008.66667</v>
      </c>
      <c r="F13" s="9">
        <f>IFERROR(__xludf.DUMMYFUNCTION("""COMPUTED_VALUE"""),153.53)</f>
        <v>153.53</v>
      </c>
      <c r="N13" s="17">
        <f>IFERROR(__xludf.DUMMYFUNCTION("""COMPUTED_VALUE"""),46008.66666666667)</f>
        <v>46008.66667</v>
      </c>
      <c r="O13" s="9">
        <f>IFERROR(__xludf.DUMMYFUNCTION("""COMPUTED_VALUE"""),153.53)</f>
        <v>153.53</v>
      </c>
      <c r="Q13" s="17">
        <f>IFERROR(__xludf.DUMMYFUNCTION("""COMPUTED_VALUE"""),46008.66666666667)</f>
        <v>46008.66667</v>
      </c>
      <c r="R13" s="9">
        <f>IFERROR(__xludf.DUMMYFUNCTION("""COMPUTED_VALUE"""),204.8)</f>
        <v>204.8</v>
      </c>
    </row>
    <row r="14">
      <c r="B14" s="11">
        <f>IFERROR(__xludf.DUMMYFUNCTION("""COMPUTED_VALUE"""),46007.66666666667)</f>
        <v>46007.66667</v>
      </c>
      <c r="C14" s="9">
        <f>IFERROR(__xludf.DUMMYFUNCTION("""COMPUTED_VALUE"""),156.06)</f>
        <v>156.06</v>
      </c>
      <c r="E14" s="17">
        <f>IFERROR(__xludf.DUMMYFUNCTION("""COMPUTED_VALUE"""),46007.66666666667)</f>
        <v>46007.66667</v>
      </c>
      <c r="F14" s="9">
        <f>IFERROR(__xludf.DUMMYFUNCTION("""COMPUTED_VALUE"""),156.06)</f>
        <v>156.06</v>
      </c>
      <c r="N14" s="17">
        <f>IFERROR(__xludf.DUMMYFUNCTION("""COMPUTED_VALUE"""),46007.66666666667)</f>
        <v>46007.66667</v>
      </c>
      <c r="O14" s="9">
        <f>IFERROR(__xludf.DUMMYFUNCTION("""COMPUTED_VALUE"""),156.06)</f>
        <v>156.06</v>
      </c>
      <c r="Q14" s="17">
        <f>IFERROR(__xludf.DUMMYFUNCTION("""COMPUTED_VALUE"""),46007.66666666667)</f>
        <v>46007.66667</v>
      </c>
      <c r="R14" s="9">
        <f>IFERROR(__xludf.DUMMYFUNCTION("""COMPUTED_VALUE"""),207.95)</f>
        <v>207.95</v>
      </c>
    </row>
    <row r="15">
      <c r="B15" s="11">
        <f>IFERROR(__xludf.DUMMYFUNCTION("""COMPUTED_VALUE"""),46006.66666666667)</f>
        <v>46006.66667</v>
      </c>
      <c r="C15" s="9">
        <f>IFERROR(__xludf.DUMMYFUNCTION("""COMPUTED_VALUE"""),156.99)</f>
        <v>156.99</v>
      </c>
      <c r="E15" s="17">
        <f>IFERROR(__xludf.DUMMYFUNCTION("""COMPUTED_VALUE"""),46006.66666666667)</f>
        <v>46006.66667</v>
      </c>
      <c r="F15" s="9">
        <f>IFERROR(__xludf.DUMMYFUNCTION("""COMPUTED_VALUE"""),156.99)</f>
        <v>156.99</v>
      </c>
      <c r="N15" s="17">
        <f>IFERROR(__xludf.DUMMYFUNCTION("""COMPUTED_VALUE"""),46006.66666666667)</f>
        <v>46006.66667</v>
      </c>
      <c r="O15" s="9">
        <f>IFERROR(__xludf.DUMMYFUNCTION("""COMPUTED_VALUE"""),156.99)</f>
        <v>156.99</v>
      </c>
      <c r="Q15" s="17">
        <f>IFERROR(__xludf.DUMMYFUNCTION("""COMPUTED_VALUE"""),46006.66666666667)</f>
        <v>46006.66667</v>
      </c>
      <c r="R15" s="9">
        <f>IFERROR(__xludf.DUMMYFUNCTION("""COMPUTED_VALUE"""),209.64)</f>
        <v>209.64</v>
      </c>
    </row>
    <row r="16">
      <c r="B16" s="11">
        <f>IFERROR(__xludf.DUMMYFUNCTION("""COMPUTED_VALUE"""),46003.66666666667)</f>
        <v>46003.66667</v>
      </c>
      <c r="C16" s="9">
        <f>IFERROR(__xludf.DUMMYFUNCTION("""COMPUTED_VALUE"""),156.74)</f>
        <v>156.74</v>
      </c>
      <c r="E16" s="17">
        <f>IFERROR(__xludf.DUMMYFUNCTION("""COMPUTED_VALUE"""),46003.66666666667)</f>
        <v>46003.66667</v>
      </c>
      <c r="F16" s="9">
        <f>IFERROR(__xludf.DUMMYFUNCTION("""COMPUTED_VALUE"""),156.74)</f>
        <v>156.74</v>
      </c>
      <c r="N16" s="17">
        <f>IFERROR(__xludf.DUMMYFUNCTION("""COMPUTED_VALUE"""),46003.66666666667)</f>
        <v>46003.66667</v>
      </c>
      <c r="O16" s="9">
        <f>IFERROR(__xludf.DUMMYFUNCTION("""COMPUTED_VALUE"""),156.74)</f>
        <v>156.74</v>
      </c>
      <c r="Q16" s="17">
        <f>IFERROR(__xludf.DUMMYFUNCTION("""COMPUTED_VALUE"""),46003.66666666667)</f>
        <v>46003.66667</v>
      </c>
      <c r="R16" s="9">
        <f>IFERROR(__xludf.DUMMYFUNCTION("""COMPUTED_VALUE"""),209.41)</f>
        <v>209.41</v>
      </c>
    </row>
    <row r="17">
      <c r="B17" s="11">
        <f>IFERROR(__xludf.DUMMYFUNCTION("""COMPUTED_VALUE"""),46002.66666666667)</f>
        <v>46002.66667</v>
      </c>
      <c r="C17" s="9">
        <f>IFERROR(__xludf.DUMMYFUNCTION("""COMPUTED_VALUE"""),157.73)</f>
        <v>157.73</v>
      </c>
      <c r="E17" s="17">
        <f>IFERROR(__xludf.DUMMYFUNCTION("""COMPUTED_VALUE"""),46002.66666666667)</f>
        <v>46002.66667</v>
      </c>
      <c r="F17" s="9">
        <f>IFERROR(__xludf.DUMMYFUNCTION("""COMPUTED_VALUE"""),157.73)</f>
        <v>157.73</v>
      </c>
      <c r="N17" s="17">
        <f>IFERROR(__xludf.DUMMYFUNCTION("""COMPUTED_VALUE"""),46002.66666666667)</f>
        <v>46002.66667</v>
      </c>
      <c r="O17" s="9">
        <f>IFERROR(__xludf.DUMMYFUNCTION("""COMPUTED_VALUE"""),157.73)</f>
        <v>157.73</v>
      </c>
      <c r="Q17" s="17">
        <f>IFERROR(__xludf.DUMMYFUNCTION("""COMPUTED_VALUE"""),46002.66666666667)</f>
        <v>46002.66667</v>
      </c>
      <c r="R17" s="9">
        <f>IFERROR(__xludf.DUMMYFUNCTION("""COMPUTED_VALUE"""),208.27)</f>
        <v>208.27</v>
      </c>
    </row>
    <row r="18">
      <c r="B18" s="11">
        <f>IFERROR(__xludf.DUMMYFUNCTION("""COMPUTED_VALUE"""),46001.66666666667)</f>
        <v>46001.66667</v>
      </c>
      <c r="C18" s="9">
        <f>IFERROR(__xludf.DUMMYFUNCTION("""COMPUTED_VALUE"""),156.06)</f>
        <v>156.06</v>
      </c>
      <c r="E18" s="17">
        <f>IFERROR(__xludf.DUMMYFUNCTION("""COMPUTED_VALUE"""),46001.66666666667)</f>
        <v>46001.66667</v>
      </c>
      <c r="F18" s="9">
        <f>IFERROR(__xludf.DUMMYFUNCTION("""COMPUTED_VALUE"""),156.06)</f>
        <v>156.06</v>
      </c>
      <c r="N18" s="17">
        <f>IFERROR(__xludf.DUMMYFUNCTION("""COMPUTED_VALUE"""),46001.66666666667)</f>
        <v>46001.66667</v>
      </c>
      <c r="O18" s="9">
        <f>IFERROR(__xludf.DUMMYFUNCTION("""COMPUTED_VALUE"""),156.06)</f>
        <v>156.06</v>
      </c>
      <c r="Q18" s="17">
        <f>IFERROR(__xludf.DUMMYFUNCTION("""COMPUTED_VALUE"""),46001.66666666667)</f>
        <v>46001.66667</v>
      </c>
      <c r="R18" s="9">
        <f>IFERROR(__xludf.DUMMYFUNCTION("""COMPUTED_VALUE"""),204.44)</f>
        <v>204.44</v>
      </c>
    </row>
    <row r="19">
      <c r="B19" s="11">
        <f>IFERROR(__xludf.DUMMYFUNCTION("""COMPUTED_VALUE"""),46000.66666666667)</f>
        <v>46000.66667</v>
      </c>
      <c r="C19" s="9">
        <f>IFERROR(__xludf.DUMMYFUNCTION("""COMPUTED_VALUE"""),153.26)</f>
        <v>153.26</v>
      </c>
      <c r="E19" s="17">
        <f>IFERROR(__xludf.DUMMYFUNCTION("""COMPUTED_VALUE"""),46000.66666666667)</f>
        <v>46000.66667</v>
      </c>
      <c r="F19" s="9">
        <f>IFERROR(__xludf.DUMMYFUNCTION("""COMPUTED_VALUE"""),153.26)</f>
        <v>153.26</v>
      </c>
      <c r="N19" s="17">
        <f>IFERROR(__xludf.DUMMYFUNCTION("""COMPUTED_VALUE"""),46000.66666666667)</f>
        <v>46000.66667</v>
      </c>
      <c r="O19" s="9">
        <f>IFERROR(__xludf.DUMMYFUNCTION("""COMPUTED_VALUE"""),153.26)</f>
        <v>153.26</v>
      </c>
      <c r="Q19" s="17">
        <f>IFERROR(__xludf.DUMMYFUNCTION("""COMPUTED_VALUE"""),46000.66666666667)</f>
        <v>46000.66667</v>
      </c>
      <c r="R19" s="9">
        <f>IFERROR(__xludf.DUMMYFUNCTION("""COMPUTED_VALUE"""),202.63)</f>
        <v>202.63</v>
      </c>
    </row>
    <row r="20">
      <c r="B20" s="11">
        <f>IFERROR(__xludf.DUMMYFUNCTION("""COMPUTED_VALUE"""),45999.66666666667)</f>
        <v>45999.66667</v>
      </c>
      <c r="C20" s="9">
        <f>IFERROR(__xludf.DUMMYFUNCTION("""COMPUTED_VALUE"""),154.39)</f>
        <v>154.39</v>
      </c>
      <c r="E20" s="17">
        <f>IFERROR(__xludf.DUMMYFUNCTION("""COMPUTED_VALUE"""),45999.66666666667)</f>
        <v>45999.66667</v>
      </c>
      <c r="F20" s="9">
        <f>IFERROR(__xludf.DUMMYFUNCTION("""COMPUTED_VALUE"""),154.39)</f>
        <v>154.39</v>
      </c>
      <c r="N20" s="17">
        <f>IFERROR(__xludf.DUMMYFUNCTION("""COMPUTED_VALUE"""),45999.66666666667)</f>
        <v>45999.66667</v>
      </c>
      <c r="O20" s="9">
        <f>IFERROR(__xludf.DUMMYFUNCTION("""COMPUTED_VALUE"""),154.39)</f>
        <v>154.39</v>
      </c>
      <c r="Q20" s="17">
        <f>IFERROR(__xludf.DUMMYFUNCTION("""COMPUTED_VALUE"""),45999.66666666667)</f>
        <v>45999.66667</v>
      </c>
      <c r="R20" s="9">
        <f>IFERROR(__xludf.DUMMYFUNCTION("""COMPUTED_VALUE"""),204.35)</f>
        <v>204.35</v>
      </c>
    </row>
    <row r="21">
      <c r="B21" s="11">
        <f>IFERROR(__xludf.DUMMYFUNCTION("""COMPUTED_VALUE"""),45996.66666666667)</f>
        <v>45996.66667</v>
      </c>
      <c r="C21" s="9">
        <f>IFERROR(__xludf.DUMMYFUNCTION("""COMPUTED_VALUE"""),154.58)</f>
        <v>154.58</v>
      </c>
      <c r="E21" s="17">
        <f>IFERROR(__xludf.DUMMYFUNCTION("""COMPUTED_VALUE"""),45996.66666666667)</f>
        <v>45996.66667</v>
      </c>
      <c r="F21" s="9">
        <f>IFERROR(__xludf.DUMMYFUNCTION("""COMPUTED_VALUE"""),154.58)</f>
        <v>154.58</v>
      </c>
      <c r="N21" s="17">
        <f>IFERROR(__xludf.DUMMYFUNCTION("""COMPUTED_VALUE"""),45996.66666666667)</f>
        <v>45996.66667</v>
      </c>
      <c r="O21" s="9">
        <f>IFERROR(__xludf.DUMMYFUNCTION("""COMPUTED_VALUE"""),154.58)</f>
        <v>154.58</v>
      </c>
      <c r="Q21" s="17">
        <f>IFERROR(__xludf.DUMMYFUNCTION("""COMPUTED_VALUE"""),45996.66666666667)</f>
        <v>45996.66667</v>
      </c>
      <c r="R21" s="9">
        <f>IFERROR(__xludf.DUMMYFUNCTION("""COMPUTED_VALUE"""),202.41)</f>
        <v>202.41</v>
      </c>
    </row>
    <row r="22">
      <c r="B22" s="11">
        <f>IFERROR(__xludf.DUMMYFUNCTION("""COMPUTED_VALUE"""),45995.66666666667)</f>
        <v>45995.66667</v>
      </c>
      <c r="C22" s="9">
        <f>IFERROR(__xludf.DUMMYFUNCTION("""COMPUTED_VALUE"""),155.01)</f>
        <v>155.01</v>
      </c>
      <c r="E22" s="17">
        <f>IFERROR(__xludf.DUMMYFUNCTION("""COMPUTED_VALUE"""),45995.66666666667)</f>
        <v>45995.66667</v>
      </c>
      <c r="F22" s="9">
        <f>IFERROR(__xludf.DUMMYFUNCTION("""COMPUTED_VALUE"""),155.01)</f>
        <v>155.01</v>
      </c>
      <c r="N22" s="17">
        <f>IFERROR(__xludf.DUMMYFUNCTION("""COMPUTED_VALUE"""),45995.66666666667)</f>
        <v>45995.66667</v>
      </c>
      <c r="O22" s="9">
        <f>IFERROR(__xludf.DUMMYFUNCTION("""COMPUTED_VALUE"""),155.01)</f>
        <v>155.01</v>
      </c>
      <c r="Q22" s="17">
        <f>IFERROR(__xludf.DUMMYFUNCTION("""COMPUTED_VALUE"""),45995.66666666667)</f>
        <v>45995.66667</v>
      </c>
      <c r="R22" s="9">
        <f>IFERROR(__xludf.DUMMYFUNCTION("""COMPUTED_VALUE"""),204.67)</f>
        <v>204.67</v>
      </c>
    </row>
    <row r="23">
      <c r="B23" s="11">
        <f>IFERROR(__xludf.DUMMYFUNCTION("""COMPUTED_VALUE"""),45994.66666666667)</f>
        <v>45994.66667</v>
      </c>
      <c r="C23" s="9">
        <f>IFERROR(__xludf.DUMMYFUNCTION("""COMPUTED_VALUE"""),154.21)</f>
        <v>154.21</v>
      </c>
      <c r="E23" s="17">
        <f>IFERROR(__xludf.DUMMYFUNCTION("""COMPUTED_VALUE"""),45994.66666666667)</f>
        <v>45994.66667</v>
      </c>
      <c r="F23" s="9">
        <f>IFERROR(__xludf.DUMMYFUNCTION("""COMPUTED_VALUE"""),154.21)</f>
        <v>154.21</v>
      </c>
      <c r="N23" s="17">
        <f>IFERROR(__xludf.DUMMYFUNCTION("""COMPUTED_VALUE"""),45994.66666666667)</f>
        <v>45994.66667</v>
      </c>
      <c r="O23" s="9">
        <f>IFERROR(__xludf.DUMMYFUNCTION("""COMPUTED_VALUE"""),154.21)</f>
        <v>154.21</v>
      </c>
      <c r="Q23" s="17">
        <f>IFERROR(__xludf.DUMMYFUNCTION("""COMPUTED_VALUE"""),45994.66666666667)</f>
        <v>45994.66667</v>
      </c>
      <c r="R23" s="9">
        <f>IFERROR(__xludf.DUMMYFUNCTION("""COMPUTED_VALUE"""),201.62)</f>
        <v>201.62</v>
      </c>
    </row>
    <row r="24">
      <c r="B24" s="11">
        <f>IFERROR(__xludf.DUMMYFUNCTION("""COMPUTED_VALUE"""),45993.66666666667)</f>
        <v>45993.66667</v>
      </c>
      <c r="C24" s="9">
        <f>IFERROR(__xludf.DUMMYFUNCTION("""COMPUTED_VALUE"""),152.76)</f>
        <v>152.76</v>
      </c>
      <c r="E24" s="17">
        <f>IFERROR(__xludf.DUMMYFUNCTION("""COMPUTED_VALUE"""),45993.66666666667)</f>
        <v>45993.66667</v>
      </c>
      <c r="F24" s="9">
        <f>IFERROR(__xludf.DUMMYFUNCTION("""COMPUTED_VALUE"""),152.76)</f>
        <v>152.76</v>
      </c>
      <c r="N24" s="17">
        <f>IFERROR(__xludf.DUMMYFUNCTION("""COMPUTED_VALUE"""),45993.66666666667)</f>
        <v>45993.66667</v>
      </c>
      <c r="O24" s="9">
        <f>IFERROR(__xludf.DUMMYFUNCTION("""COMPUTED_VALUE"""),152.76)</f>
        <v>152.76</v>
      </c>
      <c r="Q24" s="17"/>
    </row>
    <row r="25">
      <c r="B25" s="11">
        <f>IFERROR(__xludf.DUMMYFUNCTION("""COMPUTED_VALUE"""),45992.66666666667)</f>
        <v>45992.66667</v>
      </c>
      <c r="C25" s="9">
        <f>IFERROR(__xludf.DUMMYFUNCTION("""COMPUTED_VALUE"""),151.44)</f>
        <v>151.44</v>
      </c>
      <c r="E25" s="17">
        <f>IFERROR(__xludf.DUMMYFUNCTION("""COMPUTED_VALUE"""),45992.66666666667)</f>
        <v>45992.66667</v>
      </c>
      <c r="F25" s="9">
        <f>IFERROR(__xludf.DUMMYFUNCTION("""COMPUTED_VALUE"""),151.44)</f>
        <v>151.44</v>
      </c>
      <c r="N25" s="17">
        <f>IFERROR(__xludf.DUMMYFUNCTION("""COMPUTED_VALUE"""),45992.66666666667)</f>
        <v>45992.66667</v>
      </c>
      <c r="O25" s="9">
        <f>IFERROR(__xludf.DUMMYFUNCTION("""COMPUTED_VALUE"""),151.44)</f>
        <v>151.44</v>
      </c>
      <c r="Q25" s="17"/>
    </row>
    <row r="26">
      <c r="B26" s="11">
        <f>IFERROR(__xludf.DUMMYFUNCTION("""COMPUTED_VALUE"""),45989.55208333333)</f>
        <v>45989.55208</v>
      </c>
      <c r="C26" s="9">
        <f>IFERROR(__xludf.DUMMYFUNCTION("""COMPUTED_VALUE"""),153.69)</f>
        <v>153.69</v>
      </c>
      <c r="E26" s="17">
        <f>IFERROR(__xludf.DUMMYFUNCTION("""COMPUTED_VALUE"""),45989.55208333333)</f>
        <v>45989.55208</v>
      </c>
      <c r="F26" s="9">
        <f>IFERROR(__xludf.DUMMYFUNCTION("""COMPUTED_VALUE"""),153.69)</f>
        <v>153.69</v>
      </c>
      <c r="N26" s="17">
        <f>IFERROR(__xludf.DUMMYFUNCTION("""COMPUTED_VALUE"""),45989.55208333333)</f>
        <v>45989.55208</v>
      </c>
      <c r="O26" s="9">
        <f>IFERROR(__xludf.DUMMYFUNCTION("""COMPUTED_VALUE"""),153.69)</f>
        <v>153.69</v>
      </c>
      <c r="Q26" s="17"/>
    </row>
    <row r="27">
      <c r="B27" s="11">
        <f>IFERROR(__xludf.DUMMYFUNCTION("""COMPUTED_VALUE"""),45987.66666666667)</f>
        <v>45987.66667</v>
      </c>
      <c r="C27" s="9">
        <f>IFERROR(__xludf.DUMMYFUNCTION("""COMPUTED_VALUE"""),152.8)</f>
        <v>152.8</v>
      </c>
      <c r="E27" s="17">
        <f>IFERROR(__xludf.DUMMYFUNCTION("""COMPUTED_VALUE"""),45987.66666666667)</f>
        <v>45987.66667</v>
      </c>
      <c r="F27" s="9">
        <f>IFERROR(__xludf.DUMMYFUNCTION("""COMPUTED_VALUE"""),152.8)</f>
        <v>152.8</v>
      </c>
      <c r="N27" s="17">
        <f>IFERROR(__xludf.DUMMYFUNCTION("""COMPUTED_VALUE"""),45987.66666666667)</f>
        <v>45987.66667</v>
      </c>
      <c r="O27" s="9">
        <f>IFERROR(__xludf.DUMMYFUNCTION("""COMPUTED_VALUE"""),152.8)</f>
        <v>152.8</v>
      </c>
      <c r="Q27" s="17"/>
    </row>
    <row r="28">
      <c r="B28" s="11">
        <f>IFERROR(__xludf.DUMMYFUNCTION("""COMPUTED_VALUE"""),45986.66666666667)</f>
        <v>45986.66667</v>
      </c>
      <c r="C28" s="9">
        <f>IFERROR(__xludf.DUMMYFUNCTION("""COMPUTED_VALUE"""),151.92)</f>
        <v>151.92</v>
      </c>
      <c r="E28" s="17">
        <f>IFERROR(__xludf.DUMMYFUNCTION("""COMPUTED_VALUE"""),45986.66666666667)</f>
        <v>45986.66667</v>
      </c>
      <c r="F28" s="9">
        <f>IFERROR(__xludf.DUMMYFUNCTION("""COMPUTED_VALUE"""),151.92)</f>
        <v>151.92</v>
      </c>
      <c r="N28" s="17">
        <f>IFERROR(__xludf.DUMMYFUNCTION("""COMPUTED_VALUE"""),45986.66666666667)</f>
        <v>45986.66667</v>
      </c>
      <c r="O28" s="9">
        <f>IFERROR(__xludf.DUMMYFUNCTION("""COMPUTED_VALUE"""),151.92)</f>
        <v>151.92</v>
      </c>
      <c r="Q28" s="17"/>
    </row>
    <row r="29">
      <c r="B29" s="11">
        <f>IFERROR(__xludf.DUMMYFUNCTION("""COMPUTED_VALUE"""),45985.66666666667)</f>
        <v>45985.66667</v>
      </c>
      <c r="C29" s="9">
        <f>IFERROR(__xludf.DUMMYFUNCTION("""COMPUTED_VALUE"""),150.0)</f>
        <v>150</v>
      </c>
      <c r="E29" s="17">
        <f>IFERROR(__xludf.DUMMYFUNCTION("""COMPUTED_VALUE"""),45985.66666666667)</f>
        <v>45985.66667</v>
      </c>
      <c r="F29" s="9">
        <f>IFERROR(__xludf.DUMMYFUNCTION("""COMPUTED_VALUE"""),150.0)</f>
        <v>150</v>
      </c>
      <c r="N29" s="17">
        <f>IFERROR(__xludf.DUMMYFUNCTION("""COMPUTED_VALUE"""),45985.66666666667)</f>
        <v>45985.66667</v>
      </c>
      <c r="O29" s="9">
        <f>IFERROR(__xludf.DUMMYFUNCTION("""COMPUTED_VALUE"""),150.0)</f>
        <v>150</v>
      </c>
      <c r="Q29" s="17"/>
    </row>
    <row r="30">
      <c r="B30" s="11">
        <f>IFERROR(__xludf.DUMMYFUNCTION("""COMPUTED_VALUE"""),45982.66666666667)</f>
        <v>45982.66667</v>
      </c>
      <c r="C30" s="9">
        <f>IFERROR(__xludf.DUMMYFUNCTION("""COMPUTED_VALUE"""),149.63)</f>
        <v>149.63</v>
      </c>
      <c r="E30" s="17">
        <f>IFERROR(__xludf.DUMMYFUNCTION("""COMPUTED_VALUE"""),45982.66666666667)</f>
        <v>45982.66667</v>
      </c>
      <c r="F30" s="9">
        <f>IFERROR(__xludf.DUMMYFUNCTION("""COMPUTED_VALUE"""),149.63)</f>
        <v>149.63</v>
      </c>
      <c r="N30" s="17">
        <f>IFERROR(__xludf.DUMMYFUNCTION("""COMPUTED_VALUE"""),45982.66666666667)</f>
        <v>45982.66667</v>
      </c>
      <c r="O30" s="9">
        <f>IFERROR(__xludf.DUMMYFUNCTION("""COMPUTED_VALUE"""),149.63)</f>
        <v>149.63</v>
      </c>
      <c r="Q30" s="17"/>
    </row>
    <row r="31">
      <c r="B31" s="11">
        <f>IFERROR(__xludf.DUMMYFUNCTION("""COMPUTED_VALUE"""),45981.66666666667)</f>
        <v>45981.66667</v>
      </c>
      <c r="C31" s="9">
        <f>IFERROR(__xludf.DUMMYFUNCTION("""COMPUTED_VALUE"""),147.83)</f>
        <v>147.83</v>
      </c>
      <c r="E31" s="17">
        <f>IFERROR(__xludf.DUMMYFUNCTION("""COMPUTED_VALUE"""),45981.66666666667)</f>
        <v>45981.66667</v>
      </c>
      <c r="F31" s="9">
        <f>IFERROR(__xludf.DUMMYFUNCTION("""COMPUTED_VALUE"""),147.83)</f>
        <v>147.83</v>
      </c>
      <c r="N31" s="17">
        <f>IFERROR(__xludf.DUMMYFUNCTION("""COMPUTED_VALUE"""),45981.66666666667)</f>
        <v>45981.66667</v>
      </c>
      <c r="O31" s="9">
        <f>IFERROR(__xludf.DUMMYFUNCTION("""COMPUTED_VALUE"""),147.83)</f>
        <v>147.83</v>
      </c>
      <c r="Q31" s="17"/>
    </row>
    <row r="32">
      <c r="B32" s="11">
        <f>IFERROR(__xludf.DUMMYFUNCTION("""COMPUTED_VALUE"""),45980.66666666667)</f>
        <v>45980.66667</v>
      </c>
      <c r="C32" s="9">
        <f>IFERROR(__xludf.DUMMYFUNCTION("""COMPUTED_VALUE"""),150.35)</f>
        <v>150.35</v>
      </c>
      <c r="E32" s="17">
        <f>IFERROR(__xludf.DUMMYFUNCTION("""COMPUTED_VALUE"""),45980.66666666667)</f>
        <v>45980.66667</v>
      </c>
      <c r="F32" s="9">
        <f>IFERROR(__xludf.DUMMYFUNCTION("""COMPUTED_VALUE"""),150.35)</f>
        <v>150.35</v>
      </c>
      <c r="N32" s="17">
        <f>IFERROR(__xludf.DUMMYFUNCTION("""COMPUTED_VALUE"""),45980.66666666667)</f>
        <v>45980.66667</v>
      </c>
      <c r="O32" s="9">
        <f>IFERROR(__xludf.DUMMYFUNCTION("""COMPUTED_VALUE"""),150.35)</f>
        <v>150.35</v>
      </c>
      <c r="Q32" s="17"/>
    </row>
    <row r="33">
      <c r="B33" s="11">
        <f>IFERROR(__xludf.DUMMYFUNCTION("""COMPUTED_VALUE"""),45979.66666666667)</f>
        <v>45979.66667</v>
      </c>
      <c r="C33" s="9">
        <f>IFERROR(__xludf.DUMMYFUNCTION("""COMPUTED_VALUE"""),149.85)</f>
        <v>149.85</v>
      </c>
      <c r="E33" s="17">
        <f>IFERROR(__xludf.DUMMYFUNCTION("""COMPUTED_VALUE"""),45979.66666666667)</f>
        <v>45979.66667</v>
      </c>
      <c r="F33" s="9">
        <f>IFERROR(__xludf.DUMMYFUNCTION("""COMPUTED_VALUE"""),149.85)</f>
        <v>149.85</v>
      </c>
      <c r="N33" s="17">
        <f>IFERROR(__xludf.DUMMYFUNCTION("""COMPUTED_VALUE"""),45979.66666666667)</f>
        <v>45979.66667</v>
      </c>
      <c r="O33" s="9">
        <f>IFERROR(__xludf.DUMMYFUNCTION("""COMPUTED_VALUE"""),149.85)</f>
        <v>149.85</v>
      </c>
      <c r="Q33" s="17"/>
    </row>
    <row r="34">
      <c r="B34" s="11">
        <f>IFERROR(__xludf.DUMMYFUNCTION("""COMPUTED_VALUE"""),45978.66666666667)</f>
        <v>45978.66667</v>
      </c>
      <c r="C34" s="9">
        <f>IFERROR(__xludf.DUMMYFUNCTION("""COMPUTED_VALUE"""),150.52)</f>
        <v>150.52</v>
      </c>
      <c r="E34" s="17">
        <f>IFERROR(__xludf.DUMMYFUNCTION("""COMPUTED_VALUE"""),45978.66666666667)</f>
        <v>45978.66667</v>
      </c>
      <c r="F34" s="9">
        <f>IFERROR(__xludf.DUMMYFUNCTION("""COMPUTED_VALUE"""),150.52)</f>
        <v>150.52</v>
      </c>
      <c r="N34" s="17">
        <f>IFERROR(__xludf.DUMMYFUNCTION("""COMPUTED_VALUE"""),45978.66666666667)</f>
        <v>45978.66667</v>
      </c>
      <c r="O34" s="9">
        <f>IFERROR(__xludf.DUMMYFUNCTION("""COMPUTED_VALUE"""),150.52)</f>
        <v>150.52</v>
      </c>
      <c r="Q34" s="17"/>
    </row>
    <row r="35">
      <c r="B35" s="11">
        <f>IFERROR(__xludf.DUMMYFUNCTION("""COMPUTED_VALUE"""),45975.66666666667)</f>
        <v>45975.66667</v>
      </c>
      <c r="C35" s="9">
        <f>IFERROR(__xludf.DUMMYFUNCTION("""COMPUTED_VALUE"""),152.01)</f>
        <v>152.01</v>
      </c>
      <c r="E35" s="17">
        <f>IFERROR(__xludf.DUMMYFUNCTION("""COMPUTED_VALUE"""),45975.66666666667)</f>
        <v>45975.66667</v>
      </c>
      <c r="F35" s="9">
        <f>IFERROR(__xludf.DUMMYFUNCTION("""COMPUTED_VALUE"""),152.01)</f>
        <v>152.01</v>
      </c>
      <c r="N35" s="17">
        <f>IFERROR(__xludf.DUMMYFUNCTION("""COMPUTED_VALUE"""),45975.66666666667)</f>
        <v>45975.66667</v>
      </c>
      <c r="O35" s="9">
        <f>IFERROR(__xludf.DUMMYFUNCTION("""COMPUTED_VALUE"""),152.01)</f>
        <v>152.01</v>
      </c>
      <c r="Q35" s="17"/>
    </row>
    <row r="36">
      <c r="B36" s="11">
        <f>IFERROR(__xludf.DUMMYFUNCTION("""COMPUTED_VALUE"""),45974.66666666667)</f>
        <v>45974.66667</v>
      </c>
      <c r="C36" s="9">
        <f>IFERROR(__xludf.DUMMYFUNCTION("""COMPUTED_VALUE"""),152.0)</f>
        <v>152</v>
      </c>
      <c r="E36" s="17">
        <f>IFERROR(__xludf.DUMMYFUNCTION("""COMPUTED_VALUE"""),45974.66666666667)</f>
        <v>45974.66667</v>
      </c>
      <c r="F36" s="9">
        <f>IFERROR(__xludf.DUMMYFUNCTION("""COMPUTED_VALUE"""),152.0)</f>
        <v>152</v>
      </c>
      <c r="N36" s="17">
        <f>IFERROR(__xludf.DUMMYFUNCTION("""COMPUTED_VALUE"""),45974.66666666667)</f>
        <v>45974.66667</v>
      </c>
      <c r="O36" s="9">
        <f>IFERROR(__xludf.DUMMYFUNCTION("""COMPUTED_VALUE"""),152.0)</f>
        <v>152</v>
      </c>
      <c r="Q36" s="17"/>
    </row>
    <row r="37">
      <c r="B37" s="11">
        <f>IFERROR(__xludf.DUMMYFUNCTION("""COMPUTED_VALUE"""),45973.66666666667)</f>
        <v>45973.66667</v>
      </c>
      <c r="C37" s="9">
        <f>IFERROR(__xludf.DUMMYFUNCTION("""COMPUTED_VALUE"""),154.39)</f>
        <v>154.39</v>
      </c>
      <c r="E37" s="17">
        <f>IFERROR(__xludf.DUMMYFUNCTION("""COMPUTED_VALUE"""),45973.66666666667)</f>
        <v>45973.66667</v>
      </c>
      <c r="F37" s="9">
        <f>IFERROR(__xludf.DUMMYFUNCTION("""COMPUTED_VALUE"""),154.39)</f>
        <v>154.39</v>
      </c>
      <c r="N37" s="17">
        <f>IFERROR(__xludf.DUMMYFUNCTION("""COMPUTED_VALUE"""),45973.66666666667)</f>
        <v>45973.66667</v>
      </c>
      <c r="O37" s="9">
        <f>IFERROR(__xludf.DUMMYFUNCTION("""COMPUTED_VALUE"""),154.39)</f>
        <v>154.39</v>
      </c>
      <c r="Q37" s="17"/>
    </row>
    <row r="38">
      <c r="B38" s="11">
        <f>IFERROR(__xludf.DUMMYFUNCTION("""COMPUTED_VALUE"""),45972.66666666667)</f>
        <v>45972.66667</v>
      </c>
      <c r="C38" s="9">
        <f>IFERROR(__xludf.DUMMYFUNCTION("""COMPUTED_VALUE"""),154.24)</f>
        <v>154.24</v>
      </c>
      <c r="E38" s="17">
        <f>IFERROR(__xludf.DUMMYFUNCTION("""COMPUTED_VALUE"""),45972.66666666667)</f>
        <v>45972.66667</v>
      </c>
      <c r="F38" s="9">
        <f>IFERROR(__xludf.DUMMYFUNCTION("""COMPUTED_VALUE"""),154.24)</f>
        <v>154.24</v>
      </c>
      <c r="N38" s="17">
        <f>IFERROR(__xludf.DUMMYFUNCTION("""COMPUTED_VALUE"""),45972.66666666667)</f>
        <v>45972.66667</v>
      </c>
      <c r="O38" s="9">
        <f>IFERROR(__xludf.DUMMYFUNCTION("""COMPUTED_VALUE"""),154.24)</f>
        <v>154.24</v>
      </c>
      <c r="Q38" s="17"/>
    </row>
    <row r="39">
      <c r="B39" s="11">
        <f>IFERROR(__xludf.DUMMYFUNCTION("""COMPUTED_VALUE"""),45971.66666666667)</f>
        <v>45971.66667</v>
      </c>
      <c r="C39" s="9">
        <f>IFERROR(__xludf.DUMMYFUNCTION("""COMPUTED_VALUE"""),154.2)</f>
        <v>154.2</v>
      </c>
      <c r="E39" s="17">
        <f>IFERROR(__xludf.DUMMYFUNCTION("""COMPUTED_VALUE"""),45971.66666666667)</f>
        <v>45971.66667</v>
      </c>
      <c r="F39" s="9">
        <f>IFERROR(__xludf.DUMMYFUNCTION("""COMPUTED_VALUE"""),154.2)</f>
        <v>154.2</v>
      </c>
      <c r="N39" s="17">
        <f>IFERROR(__xludf.DUMMYFUNCTION("""COMPUTED_VALUE"""),45971.66666666667)</f>
        <v>45971.66667</v>
      </c>
      <c r="O39" s="9">
        <f>IFERROR(__xludf.DUMMYFUNCTION("""COMPUTED_VALUE"""),154.2)</f>
        <v>154.2</v>
      </c>
      <c r="Q39" s="17"/>
    </row>
    <row r="40">
      <c r="B40" s="11">
        <f>IFERROR(__xludf.DUMMYFUNCTION("""COMPUTED_VALUE"""),45968.66666666667)</f>
        <v>45968.66667</v>
      </c>
      <c r="C40" s="9">
        <f>IFERROR(__xludf.DUMMYFUNCTION("""COMPUTED_VALUE"""),153.33)</f>
        <v>153.33</v>
      </c>
      <c r="E40" s="17">
        <f>IFERROR(__xludf.DUMMYFUNCTION("""COMPUTED_VALUE"""),45968.66666666667)</f>
        <v>45968.66667</v>
      </c>
      <c r="F40" s="9">
        <f>IFERROR(__xludf.DUMMYFUNCTION("""COMPUTED_VALUE"""),153.33)</f>
        <v>153.33</v>
      </c>
      <c r="N40" s="17">
        <f>IFERROR(__xludf.DUMMYFUNCTION("""COMPUTED_VALUE"""),45968.66666666667)</f>
        <v>45968.66667</v>
      </c>
      <c r="O40" s="9">
        <f>IFERROR(__xludf.DUMMYFUNCTION("""COMPUTED_VALUE"""),153.33)</f>
        <v>153.33</v>
      </c>
      <c r="Q40" s="17"/>
    </row>
    <row r="41">
      <c r="B41" s="11">
        <f>IFERROR(__xludf.DUMMYFUNCTION("""COMPUTED_VALUE"""),45967.66666666667)</f>
        <v>45967.66667</v>
      </c>
      <c r="C41" s="9">
        <f>IFERROR(__xludf.DUMMYFUNCTION("""COMPUTED_VALUE"""),152.59)</f>
        <v>152.59</v>
      </c>
      <c r="E41" s="17">
        <f>IFERROR(__xludf.DUMMYFUNCTION("""COMPUTED_VALUE"""),45967.66666666667)</f>
        <v>45967.66667</v>
      </c>
      <c r="F41" s="9">
        <f>IFERROR(__xludf.DUMMYFUNCTION("""COMPUTED_VALUE"""),152.59)</f>
        <v>152.59</v>
      </c>
      <c r="N41" s="17">
        <f>IFERROR(__xludf.DUMMYFUNCTION("""COMPUTED_VALUE"""),45967.66666666667)</f>
        <v>45967.66667</v>
      </c>
      <c r="O41" s="9">
        <f>IFERROR(__xludf.DUMMYFUNCTION("""COMPUTED_VALUE"""),152.59)</f>
        <v>152.59</v>
      </c>
      <c r="Q41" s="17"/>
    </row>
    <row r="42">
      <c r="B42" s="11">
        <f>IFERROR(__xludf.DUMMYFUNCTION("""COMPUTED_VALUE"""),45966.66666666667)</f>
        <v>45966.66667</v>
      </c>
      <c r="C42" s="9">
        <f>IFERROR(__xludf.DUMMYFUNCTION("""COMPUTED_VALUE"""),153.2)</f>
        <v>153.2</v>
      </c>
      <c r="E42" s="17">
        <f>IFERROR(__xludf.DUMMYFUNCTION("""COMPUTED_VALUE"""),45966.66666666667)</f>
        <v>45966.66667</v>
      </c>
      <c r="F42" s="9">
        <f>IFERROR(__xludf.DUMMYFUNCTION("""COMPUTED_VALUE"""),153.2)</f>
        <v>153.2</v>
      </c>
      <c r="N42" s="17">
        <f>IFERROR(__xludf.DUMMYFUNCTION("""COMPUTED_VALUE"""),45966.66666666667)</f>
        <v>45966.66667</v>
      </c>
      <c r="O42" s="9">
        <f>IFERROR(__xludf.DUMMYFUNCTION("""COMPUTED_VALUE"""),153.2)</f>
        <v>153.2</v>
      </c>
      <c r="Q42" s="17"/>
    </row>
    <row r="43">
      <c r="B43" s="11">
        <f>IFERROR(__xludf.DUMMYFUNCTION("""COMPUTED_VALUE"""),45965.66666666667)</f>
        <v>45965.66667</v>
      </c>
      <c r="C43" s="9">
        <f>IFERROR(__xludf.DUMMYFUNCTION("""COMPUTED_VALUE"""),152.61)</f>
        <v>152.61</v>
      </c>
      <c r="E43" s="17">
        <f>IFERROR(__xludf.DUMMYFUNCTION("""COMPUTED_VALUE"""),45965.66666666667)</f>
        <v>45965.66667</v>
      </c>
      <c r="F43" s="9">
        <f>IFERROR(__xludf.DUMMYFUNCTION("""COMPUTED_VALUE"""),152.61)</f>
        <v>152.61</v>
      </c>
      <c r="N43" s="17">
        <f>IFERROR(__xludf.DUMMYFUNCTION("""COMPUTED_VALUE"""),45965.66666666667)</f>
        <v>45965.66667</v>
      </c>
      <c r="O43" s="9">
        <f>IFERROR(__xludf.DUMMYFUNCTION("""COMPUTED_VALUE"""),152.61)</f>
        <v>152.61</v>
      </c>
      <c r="Q43" s="17"/>
    </row>
    <row r="44">
      <c r="B44" s="11">
        <f>IFERROR(__xludf.DUMMYFUNCTION("""COMPUTED_VALUE"""),45964.66666666667)</f>
        <v>45964.66667</v>
      </c>
      <c r="C44" s="9">
        <f>IFERROR(__xludf.DUMMYFUNCTION("""COMPUTED_VALUE"""),154.4)</f>
        <v>154.4</v>
      </c>
      <c r="E44" s="17">
        <f>IFERROR(__xludf.DUMMYFUNCTION("""COMPUTED_VALUE"""),45964.66666666667)</f>
        <v>45964.66667</v>
      </c>
      <c r="F44" s="9">
        <f>IFERROR(__xludf.DUMMYFUNCTION("""COMPUTED_VALUE"""),154.4)</f>
        <v>154.4</v>
      </c>
      <c r="N44" s="17">
        <f>IFERROR(__xludf.DUMMYFUNCTION("""COMPUTED_VALUE"""),45964.66666666667)</f>
        <v>45964.66667</v>
      </c>
      <c r="O44" s="9">
        <f>IFERROR(__xludf.DUMMYFUNCTION("""COMPUTED_VALUE"""),154.4)</f>
        <v>154.4</v>
      </c>
      <c r="Q44" s="17"/>
    </row>
    <row r="45">
      <c r="B45" s="11">
        <f>IFERROR(__xludf.DUMMYFUNCTION("""COMPUTED_VALUE"""),45961.66666666667)</f>
        <v>45961.66667</v>
      </c>
      <c r="C45" s="9">
        <f>IFERROR(__xludf.DUMMYFUNCTION("""COMPUTED_VALUE"""),155.06)</f>
        <v>155.06</v>
      </c>
      <c r="E45" s="17">
        <f>IFERROR(__xludf.DUMMYFUNCTION("""COMPUTED_VALUE"""),45961.66666666667)</f>
        <v>45961.66667</v>
      </c>
      <c r="F45" s="9">
        <f>IFERROR(__xludf.DUMMYFUNCTION("""COMPUTED_VALUE"""),155.06)</f>
        <v>155.06</v>
      </c>
      <c r="N45" s="17">
        <f>IFERROR(__xludf.DUMMYFUNCTION("""COMPUTED_VALUE"""),45961.66666666667)</f>
        <v>45961.66667</v>
      </c>
      <c r="O45" s="9">
        <f>IFERROR(__xludf.DUMMYFUNCTION("""COMPUTED_VALUE"""),155.06)</f>
        <v>155.06</v>
      </c>
      <c r="Q45" s="17"/>
    </row>
    <row r="46">
      <c r="B46" s="11">
        <f>IFERROR(__xludf.DUMMYFUNCTION("""COMPUTED_VALUE"""),45960.66666666667)</f>
        <v>45960.66667</v>
      </c>
      <c r="C46" s="9">
        <f>IFERROR(__xludf.DUMMYFUNCTION("""COMPUTED_VALUE"""),154.69)</f>
        <v>154.69</v>
      </c>
      <c r="E46" s="17">
        <f>IFERROR(__xludf.DUMMYFUNCTION("""COMPUTED_VALUE"""),45960.66666666667)</f>
        <v>45960.66667</v>
      </c>
      <c r="F46" s="9">
        <f>IFERROR(__xludf.DUMMYFUNCTION("""COMPUTED_VALUE"""),154.69)</f>
        <v>154.69</v>
      </c>
      <c r="N46" s="17">
        <f>IFERROR(__xludf.DUMMYFUNCTION("""COMPUTED_VALUE"""),45960.66666666667)</f>
        <v>45960.66667</v>
      </c>
      <c r="O46" s="9">
        <f>IFERROR(__xludf.DUMMYFUNCTION("""COMPUTED_VALUE"""),154.69)</f>
        <v>154.69</v>
      </c>
      <c r="Q46" s="17"/>
    </row>
    <row r="47">
      <c r="B47" s="11">
        <f>IFERROR(__xludf.DUMMYFUNCTION("""COMPUTED_VALUE"""),45959.66666666667)</f>
        <v>45959.66667</v>
      </c>
      <c r="C47" s="9">
        <f>IFERROR(__xludf.DUMMYFUNCTION("""COMPUTED_VALUE"""),155.08)</f>
        <v>155.08</v>
      </c>
      <c r="E47" s="17">
        <f>IFERROR(__xludf.DUMMYFUNCTION("""COMPUTED_VALUE"""),45959.66666666667)</f>
        <v>45959.66667</v>
      </c>
      <c r="F47" s="9">
        <f>IFERROR(__xludf.DUMMYFUNCTION("""COMPUTED_VALUE"""),155.08)</f>
        <v>155.08</v>
      </c>
      <c r="N47" s="17">
        <f>IFERROR(__xludf.DUMMYFUNCTION("""COMPUTED_VALUE"""),45959.66666666667)</f>
        <v>45959.66667</v>
      </c>
      <c r="O47" s="9">
        <f>IFERROR(__xludf.DUMMYFUNCTION("""COMPUTED_VALUE"""),155.08)</f>
        <v>155.08</v>
      </c>
      <c r="Q47" s="17"/>
    </row>
    <row r="48">
      <c r="B48" s="11">
        <f>IFERROR(__xludf.DUMMYFUNCTION("""COMPUTED_VALUE"""),45958.66666666667)</f>
        <v>45958.66667</v>
      </c>
      <c r="C48" s="9">
        <f>IFERROR(__xludf.DUMMYFUNCTION("""COMPUTED_VALUE"""),154.68)</f>
        <v>154.68</v>
      </c>
      <c r="E48" s="17">
        <f>IFERROR(__xludf.DUMMYFUNCTION("""COMPUTED_VALUE"""),45958.66666666667)</f>
        <v>45958.66667</v>
      </c>
      <c r="F48" s="9">
        <f>IFERROR(__xludf.DUMMYFUNCTION("""COMPUTED_VALUE"""),154.68)</f>
        <v>154.68</v>
      </c>
      <c r="N48" s="17">
        <f>IFERROR(__xludf.DUMMYFUNCTION("""COMPUTED_VALUE"""),45958.66666666667)</f>
        <v>45958.66667</v>
      </c>
      <c r="O48" s="9">
        <f>IFERROR(__xludf.DUMMYFUNCTION("""COMPUTED_VALUE"""),154.68)</f>
        <v>154.68</v>
      </c>
      <c r="Q48" s="17"/>
    </row>
    <row r="49">
      <c r="B49" s="11">
        <f>IFERROR(__xludf.DUMMYFUNCTION("""COMPUTED_VALUE"""),45957.66666666667)</f>
        <v>45957.66667</v>
      </c>
      <c r="C49" s="9">
        <f>IFERROR(__xludf.DUMMYFUNCTION("""COMPUTED_VALUE"""),155.79)</f>
        <v>155.79</v>
      </c>
      <c r="E49" s="17">
        <f>IFERROR(__xludf.DUMMYFUNCTION("""COMPUTED_VALUE"""),45957.66666666667)</f>
        <v>45957.66667</v>
      </c>
      <c r="F49" s="9">
        <f>IFERROR(__xludf.DUMMYFUNCTION("""COMPUTED_VALUE"""),155.79)</f>
        <v>155.79</v>
      </c>
      <c r="N49" s="17">
        <f>IFERROR(__xludf.DUMMYFUNCTION("""COMPUTED_VALUE"""),45957.66666666667)</f>
        <v>45957.66667</v>
      </c>
      <c r="O49" s="9">
        <f>IFERROR(__xludf.DUMMYFUNCTION("""COMPUTED_VALUE"""),155.79)</f>
        <v>155.79</v>
      </c>
      <c r="Q49" s="17"/>
    </row>
    <row r="50">
      <c r="B50" s="11">
        <f>IFERROR(__xludf.DUMMYFUNCTION("""COMPUTED_VALUE"""),45954.66666666667)</f>
        <v>45954.66667</v>
      </c>
      <c r="C50" s="9">
        <f>IFERROR(__xludf.DUMMYFUNCTION("""COMPUTED_VALUE"""),154.91)</f>
        <v>154.91</v>
      </c>
      <c r="E50" s="17">
        <f>IFERROR(__xludf.DUMMYFUNCTION("""COMPUTED_VALUE"""),45954.66666666667)</f>
        <v>45954.66667</v>
      </c>
      <c r="F50" s="9">
        <f>IFERROR(__xludf.DUMMYFUNCTION("""COMPUTED_VALUE"""),154.91)</f>
        <v>154.91</v>
      </c>
      <c r="N50" s="17">
        <f>IFERROR(__xludf.DUMMYFUNCTION("""COMPUTED_VALUE"""),45954.66666666667)</f>
        <v>45954.66667</v>
      </c>
      <c r="O50" s="9">
        <f>IFERROR(__xludf.DUMMYFUNCTION("""COMPUTED_VALUE"""),154.91)</f>
        <v>154.91</v>
      </c>
      <c r="Q50" s="17"/>
    </row>
    <row r="51">
      <c r="B51" s="11">
        <f>IFERROR(__xludf.DUMMYFUNCTION("""COMPUTED_VALUE"""),45953.66666666667)</f>
        <v>45953.66667</v>
      </c>
      <c r="C51" s="9">
        <f>IFERROR(__xludf.DUMMYFUNCTION("""COMPUTED_VALUE"""),154.78)</f>
        <v>154.78</v>
      </c>
      <c r="E51" s="17">
        <f>IFERROR(__xludf.DUMMYFUNCTION("""COMPUTED_VALUE"""),45953.66666666667)</f>
        <v>45953.66667</v>
      </c>
      <c r="F51" s="9">
        <f>IFERROR(__xludf.DUMMYFUNCTION("""COMPUTED_VALUE"""),154.78)</f>
        <v>154.78</v>
      </c>
      <c r="N51" s="17">
        <f>IFERROR(__xludf.DUMMYFUNCTION("""COMPUTED_VALUE"""),45953.66666666667)</f>
        <v>45953.66667</v>
      </c>
      <c r="O51" s="9">
        <f>IFERROR(__xludf.DUMMYFUNCTION("""COMPUTED_VALUE"""),154.78)</f>
        <v>154.78</v>
      </c>
      <c r="Q51" s="17"/>
    </row>
    <row r="52">
      <c r="B52" s="11">
        <f>IFERROR(__xludf.DUMMYFUNCTION("""COMPUTED_VALUE"""),45952.66666666667)</f>
        <v>45952.66667</v>
      </c>
      <c r="C52" s="9">
        <f>IFERROR(__xludf.DUMMYFUNCTION("""COMPUTED_VALUE"""),152.87)</f>
        <v>152.87</v>
      </c>
      <c r="E52" s="17">
        <f>IFERROR(__xludf.DUMMYFUNCTION("""COMPUTED_VALUE"""),45952.66666666667)</f>
        <v>45952.66667</v>
      </c>
      <c r="F52" s="9">
        <f>IFERROR(__xludf.DUMMYFUNCTION("""COMPUTED_VALUE"""),152.87)</f>
        <v>152.87</v>
      </c>
      <c r="N52" s="17">
        <f>IFERROR(__xludf.DUMMYFUNCTION("""COMPUTED_VALUE"""),45952.66666666667)</f>
        <v>45952.66667</v>
      </c>
      <c r="O52" s="9">
        <f>IFERROR(__xludf.DUMMYFUNCTION("""COMPUTED_VALUE"""),152.87)</f>
        <v>152.87</v>
      </c>
      <c r="Q52" s="17"/>
    </row>
    <row r="53">
      <c r="B53" s="11">
        <f>IFERROR(__xludf.DUMMYFUNCTION("""COMPUTED_VALUE"""),45951.66666666667)</f>
        <v>45951.66667</v>
      </c>
      <c r="C53" s="9">
        <f>IFERROR(__xludf.DUMMYFUNCTION("""COMPUTED_VALUE"""),154.88)</f>
        <v>154.88</v>
      </c>
      <c r="E53" s="17">
        <f>IFERROR(__xludf.DUMMYFUNCTION("""COMPUTED_VALUE"""),45951.66666666667)</f>
        <v>45951.66667</v>
      </c>
      <c r="F53" s="9">
        <f>IFERROR(__xludf.DUMMYFUNCTION("""COMPUTED_VALUE"""),154.88)</f>
        <v>154.88</v>
      </c>
      <c r="N53" s="17">
        <f>IFERROR(__xludf.DUMMYFUNCTION("""COMPUTED_VALUE"""),45951.66666666667)</f>
        <v>45951.66667</v>
      </c>
      <c r="O53" s="9">
        <f>IFERROR(__xludf.DUMMYFUNCTION("""COMPUTED_VALUE"""),154.88)</f>
        <v>154.88</v>
      </c>
      <c r="Q53" s="17"/>
    </row>
    <row r="54">
      <c r="B54" s="11">
        <f>IFERROR(__xludf.DUMMYFUNCTION("""COMPUTED_VALUE"""),45950.66666666667)</f>
        <v>45950.66667</v>
      </c>
      <c r="C54" s="9">
        <f>IFERROR(__xludf.DUMMYFUNCTION("""COMPUTED_VALUE"""),153.52)</f>
        <v>153.52</v>
      </c>
      <c r="E54" s="17">
        <f>IFERROR(__xludf.DUMMYFUNCTION("""COMPUTED_VALUE"""),45950.66666666667)</f>
        <v>45950.66667</v>
      </c>
      <c r="F54" s="9">
        <f>IFERROR(__xludf.DUMMYFUNCTION("""COMPUTED_VALUE"""),153.52)</f>
        <v>153.52</v>
      </c>
      <c r="N54" s="17">
        <f>IFERROR(__xludf.DUMMYFUNCTION("""COMPUTED_VALUE"""),45950.66666666667)</f>
        <v>45950.66667</v>
      </c>
      <c r="O54" s="9">
        <f>IFERROR(__xludf.DUMMYFUNCTION("""COMPUTED_VALUE"""),153.52)</f>
        <v>153.52</v>
      </c>
      <c r="Q54" s="17"/>
    </row>
    <row r="55">
      <c r="B55" s="11">
        <f>IFERROR(__xludf.DUMMYFUNCTION("""COMPUTED_VALUE"""),45947.66666666667)</f>
        <v>45947.66667</v>
      </c>
      <c r="C55" s="9">
        <f>IFERROR(__xludf.DUMMYFUNCTION("""COMPUTED_VALUE"""),151.73)</f>
        <v>151.73</v>
      </c>
      <c r="E55" s="17">
        <f>IFERROR(__xludf.DUMMYFUNCTION("""COMPUTED_VALUE"""),45947.66666666667)</f>
        <v>45947.66667</v>
      </c>
      <c r="F55" s="9">
        <f>IFERROR(__xludf.DUMMYFUNCTION("""COMPUTED_VALUE"""),151.73)</f>
        <v>151.73</v>
      </c>
      <c r="N55" s="17">
        <f>IFERROR(__xludf.DUMMYFUNCTION("""COMPUTED_VALUE"""),45947.66666666667)</f>
        <v>45947.66667</v>
      </c>
      <c r="O55" s="9">
        <f>IFERROR(__xludf.DUMMYFUNCTION("""COMPUTED_VALUE"""),151.73)</f>
        <v>151.73</v>
      </c>
      <c r="Q55" s="17"/>
    </row>
    <row r="56">
      <c r="B56" s="11">
        <f>IFERROR(__xludf.DUMMYFUNCTION("""COMPUTED_VALUE"""),45946.66666666667)</f>
        <v>45946.66667</v>
      </c>
      <c r="C56" s="9">
        <f>IFERROR(__xludf.DUMMYFUNCTION("""COMPUTED_VALUE"""),151.6)</f>
        <v>151.6</v>
      </c>
      <c r="E56" s="17">
        <f>IFERROR(__xludf.DUMMYFUNCTION("""COMPUTED_VALUE"""),45946.66666666667)</f>
        <v>45946.66667</v>
      </c>
      <c r="F56" s="9">
        <f>IFERROR(__xludf.DUMMYFUNCTION("""COMPUTED_VALUE"""),151.6)</f>
        <v>151.6</v>
      </c>
      <c r="N56" s="17">
        <f>IFERROR(__xludf.DUMMYFUNCTION("""COMPUTED_VALUE"""),45946.66666666667)</f>
        <v>45946.66667</v>
      </c>
      <c r="O56" s="9">
        <f>IFERROR(__xludf.DUMMYFUNCTION("""COMPUTED_VALUE"""),151.6)</f>
        <v>151.6</v>
      </c>
      <c r="Q56" s="17"/>
    </row>
    <row r="57">
      <c r="B57" s="11">
        <f>IFERROR(__xludf.DUMMYFUNCTION("""COMPUTED_VALUE"""),45945.66666666667)</f>
        <v>45945.66667</v>
      </c>
      <c r="C57" s="9">
        <f>IFERROR(__xludf.DUMMYFUNCTION("""COMPUTED_VALUE"""),152.6)</f>
        <v>152.6</v>
      </c>
      <c r="E57" s="17">
        <f>IFERROR(__xludf.DUMMYFUNCTION("""COMPUTED_VALUE"""),45945.66666666667)</f>
        <v>45945.66667</v>
      </c>
      <c r="F57" s="9">
        <f>IFERROR(__xludf.DUMMYFUNCTION("""COMPUTED_VALUE"""),152.6)</f>
        <v>152.6</v>
      </c>
      <c r="N57" s="17">
        <f>IFERROR(__xludf.DUMMYFUNCTION("""COMPUTED_VALUE"""),45945.66666666667)</f>
        <v>45945.66667</v>
      </c>
      <c r="O57" s="9">
        <f>IFERROR(__xludf.DUMMYFUNCTION("""COMPUTED_VALUE"""),152.6)</f>
        <v>152.6</v>
      </c>
      <c r="Q57" s="17"/>
    </row>
    <row r="58">
      <c r="B58" s="11">
        <f>IFERROR(__xludf.DUMMYFUNCTION("""COMPUTED_VALUE"""),45944.66666666667)</f>
        <v>45944.66667</v>
      </c>
      <c r="C58" s="9">
        <f>IFERROR(__xludf.DUMMYFUNCTION("""COMPUTED_VALUE"""),153.24)</f>
        <v>153.24</v>
      </c>
      <c r="E58" s="17">
        <f>IFERROR(__xludf.DUMMYFUNCTION("""COMPUTED_VALUE"""),45944.66666666667)</f>
        <v>45944.66667</v>
      </c>
      <c r="F58" s="9">
        <f>IFERROR(__xludf.DUMMYFUNCTION("""COMPUTED_VALUE"""),153.24)</f>
        <v>153.24</v>
      </c>
      <c r="N58" s="17">
        <f>IFERROR(__xludf.DUMMYFUNCTION("""COMPUTED_VALUE"""),45944.66666666667)</f>
        <v>45944.66667</v>
      </c>
      <c r="O58" s="9">
        <f>IFERROR(__xludf.DUMMYFUNCTION("""COMPUTED_VALUE"""),153.24)</f>
        <v>153.24</v>
      </c>
      <c r="Q58" s="17"/>
    </row>
    <row r="59">
      <c r="B59" s="11">
        <f>IFERROR(__xludf.DUMMYFUNCTION("""COMPUTED_VALUE"""),45943.66666666667)</f>
        <v>45943.66667</v>
      </c>
      <c r="C59" s="9">
        <f>IFERROR(__xludf.DUMMYFUNCTION("""COMPUTED_VALUE"""),151.46)</f>
        <v>151.46</v>
      </c>
      <c r="E59" s="17">
        <f>IFERROR(__xludf.DUMMYFUNCTION("""COMPUTED_VALUE"""),45943.66666666667)</f>
        <v>45943.66667</v>
      </c>
      <c r="F59" s="9">
        <f>IFERROR(__xludf.DUMMYFUNCTION("""COMPUTED_VALUE"""),151.46)</f>
        <v>151.46</v>
      </c>
      <c r="N59" s="17">
        <f>IFERROR(__xludf.DUMMYFUNCTION("""COMPUTED_VALUE"""),45943.66666666667)</f>
        <v>45943.66667</v>
      </c>
      <c r="O59" s="9">
        <f>IFERROR(__xludf.DUMMYFUNCTION("""COMPUTED_VALUE"""),151.46)</f>
        <v>151.46</v>
      </c>
      <c r="Q59" s="17"/>
    </row>
    <row r="60">
      <c r="B60" s="11">
        <f>IFERROR(__xludf.DUMMYFUNCTION("""COMPUTED_VALUE"""),45940.66666666667)</f>
        <v>45940.66667</v>
      </c>
      <c r="C60" s="9">
        <f>IFERROR(__xludf.DUMMYFUNCTION("""COMPUTED_VALUE"""),149.9)</f>
        <v>149.9</v>
      </c>
      <c r="E60" s="17">
        <f>IFERROR(__xludf.DUMMYFUNCTION("""COMPUTED_VALUE"""),45940.66666666667)</f>
        <v>45940.66667</v>
      </c>
      <c r="F60" s="9">
        <f>IFERROR(__xludf.DUMMYFUNCTION("""COMPUTED_VALUE"""),149.9)</f>
        <v>149.9</v>
      </c>
      <c r="N60" s="17">
        <f>IFERROR(__xludf.DUMMYFUNCTION("""COMPUTED_VALUE"""),45940.66666666667)</f>
        <v>45940.66667</v>
      </c>
      <c r="O60" s="9">
        <f>IFERROR(__xludf.DUMMYFUNCTION("""COMPUTED_VALUE"""),149.9)</f>
        <v>149.9</v>
      </c>
      <c r="Q60" s="17"/>
    </row>
    <row r="61">
      <c r="B61" s="11">
        <f>IFERROR(__xludf.DUMMYFUNCTION("""COMPUTED_VALUE"""),45939.66666666667)</f>
        <v>45939.66667</v>
      </c>
      <c r="C61" s="9">
        <f>IFERROR(__xludf.DUMMYFUNCTION("""COMPUTED_VALUE"""),153.29)</f>
        <v>153.29</v>
      </c>
      <c r="E61" s="17">
        <f>IFERROR(__xludf.DUMMYFUNCTION("""COMPUTED_VALUE"""),45939.66666666667)</f>
        <v>45939.66667</v>
      </c>
      <c r="F61" s="9">
        <f>IFERROR(__xludf.DUMMYFUNCTION("""COMPUTED_VALUE"""),153.29)</f>
        <v>153.29</v>
      </c>
      <c r="N61" s="17">
        <f>IFERROR(__xludf.DUMMYFUNCTION("""COMPUTED_VALUE"""),45939.66666666667)</f>
        <v>45939.66667</v>
      </c>
      <c r="O61" s="9">
        <f>IFERROR(__xludf.DUMMYFUNCTION("""COMPUTED_VALUE"""),153.29)</f>
        <v>153.29</v>
      </c>
      <c r="Q61" s="17"/>
    </row>
    <row r="62">
      <c r="B62" s="11">
        <f>IFERROR(__xludf.DUMMYFUNCTION("""COMPUTED_VALUE"""),45938.66666666667)</f>
        <v>45938.66667</v>
      </c>
      <c r="C62" s="9">
        <f>IFERROR(__xludf.DUMMYFUNCTION("""COMPUTED_VALUE"""),155.59)</f>
        <v>155.59</v>
      </c>
      <c r="E62" s="17">
        <f>IFERROR(__xludf.DUMMYFUNCTION("""COMPUTED_VALUE"""),45938.66666666667)</f>
        <v>45938.66667</v>
      </c>
      <c r="F62" s="9">
        <f>IFERROR(__xludf.DUMMYFUNCTION("""COMPUTED_VALUE"""),155.59)</f>
        <v>155.59</v>
      </c>
      <c r="N62" s="17">
        <f>IFERROR(__xludf.DUMMYFUNCTION("""COMPUTED_VALUE"""),45938.66666666667)</f>
        <v>45938.66667</v>
      </c>
      <c r="O62" s="9">
        <f>IFERROR(__xludf.DUMMYFUNCTION("""COMPUTED_VALUE"""),155.59)</f>
        <v>155.59</v>
      </c>
      <c r="Q62" s="17"/>
    </row>
    <row r="63">
      <c r="B63" s="11">
        <f>IFERROR(__xludf.DUMMYFUNCTION("""COMPUTED_VALUE"""),45937.66666666667)</f>
        <v>45937.66667</v>
      </c>
      <c r="C63" s="9">
        <f>IFERROR(__xludf.DUMMYFUNCTION("""COMPUTED_VALUE"""),154.25)</f>
        <v>154.25</v>
      </c>
      <c r="E63" s="17">
        <f>IFERROR(__xludf.DUMMYFUNCTION("""COMPUTED_VALUE"""),45937.66666666667)</f>
        <v>45937.66667</v>
      </c>
      <c r="F63" s="9">
        <f>IFERROR(__xludf.DUMMYFUNCTION("""COMPUTED_VALUE"""),154.25)</f>
        <v>154.25</v>
      </c>
      <c r="N63" s="17">
        <f>IFERROR(__xludf.DUMMYFUNCTION("""COMPUTED_VALUE"""),45937.66666666667)</f>
        <v>45937.66667</v>
      </c>
      <c r="O63" s="9">
        <f>IFERROR(__xludf.DUMMYFUNCTION("""COMPUTED_VALUE"""),154.25)</f>
        <v>154.25</v>
      </c>
      <c r="Q63" s="17"/>
    </row>
    <row r="64">
      <c r="B64" s="11">
        <f>IFERROR(__xludf.DUMMYFUNCTION("""COMPUTED_VALUE"""),45936.66666666667)</f>
        <v>45936.66667</v>
      </c>
      <c r="C64" s="9">
        <f>IFERROR(__xludf.DUMMYFUNCTION("""COMPUTED_VALUE"""),155.13)</f>
        <v>155.13</v>
      </c>
      <c r="E64" s="17">
        <f>IFERROR(__xludf.DUMMYFUNCTION("""COMPUTED_VALUE"""),45936.66666666667)</f>
        <v>45936.66667</v>
      </c>
      <c r="F64" s="9">
        <f>IFERROR(__xludf.DUMMYFUNCTION("""COMPUTED_VALUE"""),155.13)</f>
        <v>155.13</v>
      </c>
      <c r="N64" s="17">
        <f>IFERROR(__xludf.DUMMYFUNCTION("""COMPUTED_VALUE"""),45936.66666666667)</f>
        <v>45936.66667</v>
      </c>
      <c r="O64" s="9">
        <f>IFERROR(__xludf.DUMMYFUNCTION("""COMPUTED_VALUE"""),155.13)</f>
        <v>155.13</v>
      </c>
      <c r="Q64" s="17"/>
    </row>
    <row r="65">
      <c r="B65" s="11">
        <f>IFERROR(__xludf.DUMMYFUNCTION("""COMPUTED_VALUE"""),45933.66666666667)</f>
        <v>45933.66667</v>
      </c>
      <c r="C65" s="9">
        <f>IFERROR(__xludf.DUMMYFUNCTION("""COMPUTED_VALUE"""),154.41)</f>
        <v>154.41</v>
      </c>
      <c r="E65" s="17">
        <f>IFERROR(__xludf.DUMMYFUNCTION("""COMPUTED_VALUE"""),45933.66666666667)</f>
        <v>45933.66667</v>
      </c>
      <c r="F65" s="9">
        <f>IFERROR(__xludf.DUMMYFUNCTION("""COMPUTED_VALUE"""),154.41)</f>
        <v>154.41</v>
      </c>
      <c r="N65" s="17">
        <f>IFERROR(__xludf.DUMMYFUNCTION("""COMPUTED_VALUE"""),45933.66666666667)</f>
        <v>45933.66667</v>
      </c>
      <c r="O65" s="9">
        <f>IFERROR(__xludf.DUMMYFUNCTION("""COMPUTED_VALUE"""),154.41)</f>
        <v>154.41</v>
      </c>
      <c r="Q65" s="17"/>
    </row>
    <row r="66">
      <c r="B66" s="11">
        <f>IFERROR(__xludf.DUMMYFUNCTION("""COMPUTED_VALUE"""),45932.66666666667)</f>
        <v>45932.66667</v>
      </c>
      <c r="C66" s="9">
        <f>IFERROR(__xludf.DUMMYFUNCTION("""COMPUTED_VALUE"""),154.2)</f>
        <v>154.2</v>
      </c>
      <c r="E66" s="17">
        <f>IFERROR(__xludf.DUMMYFUNCTION("""COMPUTED_VALUE"""),45932.66666666667)</f>
        <v>45932.66667</v>
      </c>
      <c r="F66" s="9">
        <f>IFERROR(__xludf.DUMMYFUNCTION("""COMPUTED_VALUE"""),154.2)</f>
        <v>154.2</v>
      </c>
      <c r="N66" s="17">
        <f>IFERROR(__xludf.DUMMYFUNCTION("""COMPUTED_VALUE"""),45932.66666666667)</f>
        <v>45932.66667</v>
      </c>
      <c r="O66" s="9">
        <f>IFERROR(__xludf.DUMMYFUNCTION("""COMPUTED_VALUE"""),154.2)</f>
        <v>154.2</v>
      </c>
      <c r="Q66" s="17"/>
    </row>
    <row r="67">
      <c r="B67" s="11">
        <f>IFERROR(__xludf.DUMMYFUNCTION("""COMPUTED_VALUE"""),45931.66666666667)</f>
        <v>45931.66667</v>
      </c>
      <c r="C67" s="9">
        <f>IFERROR(__xludf.DUMMYFUNCTION("""COMPUTED_VALUE"""),153.8)</f>
        <v>153.8</v>
      </c>
      <c r="E67" s="17">
        <f>IFERROR(__xludf.DUMMYFUNCTION("""COMPUTED_VALUE"""),45931.66666666667)</f>
        <v>45931.66667</v>
      </c>
      <c r="F67" s="9">
        <f>IFERROR(__xludf.DUMMYFUNCTION("""COMPUTED_VALUE"""),153.8)</f>
        <v>153.8</v>
      </c>
      <c r="N67" s="17">
        <f>IFERROR(__xludf.DUMMYFUNCTION("""COMPUTED_VALUE"""),45931.66666666667)</f>
        <v>45931.66667</v>
      </c>
      <c r="O67" s="9">
        <f>IFERROR(__xludf.DUMMYFUNCTION("""COMPUTED_VALUE"""),153.8)</f>
        <v>153.8</v>
      </c>
      <c r="Q67" s="17"/>
    </row>
    <row r="68">
      <c r="B68" s="11">
        <f>IFERROR(__xludf.DUMMYFUNCTION("""COMPUTED_VALUE"""),45930.66666666667)</f>
        <v>45930.66667</v>
      </c>
      <c r="C68" s="9">
        <f>IFERROR(__xludf.DUMMYFUNCTION("""COMPUTED_VALUE"""),154.23)</f>
        <v>154.23</v>
      </c>
      <c r="E68" s="17">
        <f>IFERROR(__xludf.DUMMYFUNCTION("""COMPUTED_VALUE"""),45930.66666666667)</f>
        <v>45930.66667</v>
      </c>
      <c r="F68" s="9">
        <f>IFERROR(__xludf.DUMMYFUNCTION("""COMPUTED_VALUE"""),154.23)</f>
        <v>154.23</v>
      </c>
      <c r="N68" s="17">
        <f>IFERROR(__xludf.DUMMYFUNCTION("""COMPUTED_VALUE"""),45930.66666666667)</f>
        <v>45930.66667</v>
      </c>
      <c r="O68" s="9">
        <f>IFERROR(__xludf.DUMMYFUNCTION("""COMPUTED_VALUE"""),154.23)</f>
        <v>154.23</v>
      </c>
      <c r="Q68" s="17"/>
    </row>
    <row r="69">
      <c r="B69" s="11">
        <f>IFERROR(__xludf.DUMMYFUNCTION("""COMPUTED_VALUE"""),45929.66666666667)</f>
        <v>45929.66667</v>
      </c>
      <c r="C69" s="9">
        <f>IFERROR(__xludf.DUMMYFUNCTION("""COMPUTED_VALUE"""),153.05)</f>
        <v>153.05</v>
      </c>
      <c r="E69" s="17">
        <f>IFERROR(__xludf.DUMMYFUNCTION("""COMPUTED_VALUE"""),45929.66666666667)</f>
        <v>45929.66667</v>
      </c>
      <c r="F69" s="9">
        <f>IFERROR(__xludf.DUMMYFUNCTION("""COMPUTED_VALUE"""),153.05)</f>
        <v>153.05</v>
      </c>
      <c r="N69" s="17">
        <f>IFERROR(__xludf.DUMMYFUNCTION("""COMPUTED_VALUE"""),45929.66666666667)</f>
        <v>45929.66667</v>
      </c>
      <c r="O69" s="9">
        <f>IFERROR(__xludf.DUMMYFUNCTION("""COMPUTED_VALUE"""),153.05)</f>
        <v>153.05</v>
      </c>
      <c r="Q69" s="17"/>
    </row>
    <row r="70">
      <c r="B70" s="11">
        <f>IFERROR(__xludf.DUMMYFUNCTION("""COMPUTED_VALUE"""),45926.66666666667)</f>
        <v>45926.66667</v>
      </c>
      <c r="C70" s="9">
        <f>IFERROR(__xludf.DUMMYFUNCTION("""COMPUTED_VALUE"""),152.58)</f>
        <v>152.58</v>
      </c>
      <c r="E70" s="17">
        <f>IFERROR(__xludf.DUMMYFUNCTION("""COMPUTED_VALUE"""),45926.66666666667)</f>
        <v>45926.66667</v>
      </c>
      <c r="F70" s="9">
        <f>IFERROR(__xludf.DUMMYFUNCTION("""COMPUTED_VALUE"""),152.58)</f>
        <v>152.58</v>
      </c>
      <c r="N70" s="17">
        <f>IFERROR(__xludf.DUMMYFUNCTION("""COMPUTED_VALUE"""),45926.66666666667)</f>
        <v>45926.66667</v>
      </c>
      <c r="O70" s="9">
        <f>IFERROR(__xludf.DUMMYFUNCTION("""COMPUTED_VALUE"""),152.58)</f>
        <v>152.58</v>
      </c>
      <c r="Q70" s="17"/>
    </row>
    <row r="71">
      <c r="B71" s="11">
        <f>IFERROR(__xludf.DUMMYFUNCTION("""COMPUTED_VALUE"""),45925.66666666667)</f>
        <v>45925.66667</v>
      </c>
      <c r="C71" s="9">
        <f>IFERROR(__xludf.DUMMYFUNCTION("""COMPUTED_VALUE"""),151.22)</f>
        <v>151.22</v>
      </c>
      <c r="E71" s="17">
        <f>IFERROR(__xludf.DUMMYFUNCTION("""COMPUTED_VALUE"""),45925.66666666667)</f>
        <v>45925.66667</v>
      </c>
      <c r="F71" s="9">
        <f>IFERROR(__xludf.DUMMYFUNCTION("""COMPUTED_VALUE"""),151.22)</f>
        <v>151.22</v>
      </c>
      <c r="N71" s="17">
        <f>IFERROR(__xludf.DUMMYFUNCTION("""COMPUTED_VALUE"""),45925.66666666667)</f>
        <v>45925.66667</v>
      </c>
      <c r="O71" s="9">
        <f>IFERROR(__xludf.DUMMYFUNCTION("""COMPUTED_VALUE"""),151.22)</f>
        <v>151.22</v>
      </c>
      <c r="Q71" s="17"/>
    </row>
    <row r="72">
      <c r="B72" s="11">
        <f>IFERROR(__xludf.DUMMYFUNCTION("""COMPUTED_VALUE"""),45924.66666666667)</f>
        <v>45924.66667</v>
      </c>
      <c r="C72" s="9">
        <f>IFERROR(__xludf.DUMMYFUNCTION("""COMPUTED_VALUE"""),152.25)</f>
        <v>152.25</v>
      </c>
      <c r="E72" s="17">
        <f>IFERROR(__xludf.DUMMYFUNCTION("""COMPUTED_VALUE"""),45924.66666666667)</f>
        <v>45924.66667</v>
      </c>
      <c r="F72" s="9">
        <f>IFERROR(__xludf.DUMMYFUNCTION("""COMPUTED_VALUE"""),152.25)</f>
        <v>152.25</v>
      </c>
      <c r="N72" s="17">
        <f>IFERROR(__xludf.DUMMYFUNCTION("""COMPUTED_VALUE"""),45924.66666666667)</f>
        <v>45924.66667</v>
      </c>
      <c r="O72" s="9">
        <f>IFERROR(__xludf.DUMMYFUNCTION("""COMPUTED_VALUE"""),152.25)</f>
        <v>152.25</v>
      </c>
      <c r="Q72" s="17"/>
    </row>
    <row r="73">
      <c r="B73" s="11">
        <f>IFERROR(__xludf.DUMMYFUNCTION("""COMPUTED_VALUE"""),45923.66666666667)</f>
        <v>45923.66667</v>
      </c>
      <c r="C73" s="9">
        <f>IFERROR(__xludf.DUMMYFUNCTION("""COMPUTED_VALUE"""),153.04)</f>
        <v>153.04</v>
      </c>
      <c r="E73" s="17">
        <f>IFERROR(__xludf.DUMMYFUNCTION("""COMPUTED_VALUE"""),45923.66666666667)</f>
        <v>45923.66667</v>
      </c>
      <c r="F73" s="9">
        <f>IFERROR(__xludf.DUMMYFUNCTION("""COMPUTED_VALUE"""),153.04)</f>
        <v>153.04</v>
      </c>
      <c r="N73" s="17">
        <f>IFERROR(__xludf.DUMMYFUNCTION("""COMPUTED_VALUE"""),45923.66666666667)</f>
        <v>45923.66667</v>
      </c>
      <c r="O73" s="9">
        <f>IFERROR(__xludf.DUMMYFUNCTION("""COMPUTED_VALUE"""),153.04)</f>
        <v>153.04</v>
      </c>
      <c r="Q73" s="17"/>
    </row>
    <row r="74">
      <c r="B74" s="11">
        <f>IFERROR(__xludf.DUMMYFUNCTION("""COMPUTED_VALUE"""),45922.66666666667)</f>
        <v>45922.66667</v>
      </c>
      <c r="C74" s="9">
        <f>IFERROR(__xludf.DUMMYFUNCTION("""COMPUTED_VALUE"""),153.0)</f>
        <v>153</v>
      </c>
      <c r="E74" s="17">
        <f>IFERROR(__xludf.DUMMYFUNCTION("""COMPUTED_VALUE"""),45922.66666666667)</f>
        <v>45922.66667</v>
      </c>
      <c r="F74" s="9">
        <f>IFERROR(__xludf.DUMMYFUNCTION("""COMPUTED_VALUE"""),153.0)</f>
        <v>153</v>
      </c>
      <c r="N74" s="17">
        <f>IFERROR(__xludf.DUMMYFUNCTION("""COMPUTED_VALUE"""),45922.66666666667)</f>
        <v>45922.66667</v>
      </c>
      <c r="O74" s="9">
        <f>IFERROR(__xludf.DUMMYFUNCTION("""COMPUTED_VALUE"""),153.0)</f>
        <v>153</v>
      </c>
      <c r="Q74" s="17"/>
    </row>
    <row r="75">
      <c r="B75" s="11">
        <f>IFERROR(__xludf.DUMMYFUNCTION("""COMPUTED_VALUE"""),45919.66666666667)</f>
        <v>45919.66667</v>
      </c>
      <c r="C75" s="9">
        <f>IFERROR(__xludf.DUMMYFUNCTION("""COMPUTED_VALUE"""),153.12)</f>
        <v>153.12</v>
      </c>
      <c r="E75" s="17">
        <f>IFERROR(__xludf.DUMMYFUNCTION("""COMPUTED_VALUE"""),45919.66666666667)</f>
        <v>45919.66667</v>
      </c>
      <c r="F75" s="9">
        <f>IFERROR(__xludf.DUMMYFUNCTION("""COMPUTED_VALUE"""),153.12)</f>
        <v>153.12</v>
      </c>
      <c r="N75" s="17">
        <f>IFERROR(__xludf.DUMMYFUNCTION("""COMPUTED_VALUE"""),45919.66666666667)</f>
        <v>45919.66667</v>
      </c>
      <c r="O75" s="9">
        <f>IFERROR(__xludf.DUMMYFUNCTION("""COMPUTED_VALUE"""),153.12)</f>
        <v>153.12</v>
      </c>
      <c r="Q75" s="17"/>
    </row>
    <row r="76">
      <c r="B76" s="11">
        <f>IFERROR(__xludf.DUMMYFUNCTION("""COMPUTED_VALUE"""),45918.66666666667)</f>
        <v>45918.66667</v>
      </c>
      <c r="C76" s="9">
        <f>IFERROR(__xludf.DUMMYFUNCTION("""COMPUTED_VALUE"""),152.75)</f>
        <v>152.75</v>
      </c>
      <c r="E76" s="17">
        <f>IFERROR(__xludf.DUMMYFUNCTION("""COMPUTED_VALUE"""),45918.66666666667)</f>
        <v>45918.66667</v>
      </c>
      <c r="F76" s="9">
        <f>IFERROR(__xludf.DUMMYFUNCTION("""COMPUTED_VALUE"""),152.75)</f>
        <v>152.75</v>
      </c>
      <c r="N76" s="17">
        <f>IFERROR(__xludf.DUMMYFUNCTION("""COMPUTED_VALUE"""),45918.66666666667)</f>
        <v>45918.66667</v>
      </c>
      <c r="O76" s="9">
        <f>IFERROR(__xludf.DUMMYFUNCTION("""COMPUTED_VALUE"""),152.75)</f>
        <v>152.75</v>
      </c>
      <c r="Q76" s="17"/>
    </row>
    <row r="77">
      <c r="B77" s="11">
        <f>IFERROR(__xludf.DUMMYFUNCTION("""COMPUTED_VALUE"""),45917.66666666667)</f>
        <v>45917.66667</v>
      </c>
      <c r="C77" s="9">
        <f>IFERROR(__xludf.DUMMYFUNCTION("""COMPUTED_VALUE"""),151.14)</f>
        <v>151.14</v>
      </c>
      <c r="E77" s="17">
        <f>IFERROR(__xludf.DUMMYFUNCTION("""COMPUTED_VALUE"""),45917.66666666667)</f>
        <v>45917.66667</v>
      </c>
      <c r="F77" s="9">
        <f>IFERROR(__xludf.DUMMYFUNCTION("""COMPUTED_VALUE"""),151.14)</f>
        <v>151.14</v>
      </c>
      <c r="N77" s="17">
        <f>IFERROR(__xludf.DUMMYFUNCTION("""COMPUTED_VALUE"""),45917.66666666667)</f>
        <v>45917.66667</v>
      </c>
      <c r="O77" s="9">
        <f>IFERROR(__xludf.DUMMYFUNCTION("""COMPUTED_VALUE"""),151.14)</f>
        <v>151.14</v>
      </c>
      <c r="Q77" s="17"/>
    </row>
    <row r="78">
      <c r="B78" s="11">
        <f>IFERROR(__xludf.DUMMYFUNCTION("""COMPUTED_VALUE"""),45916.66666666667)</f>
        <v>45916.66667</v>
      </c>
      <c r="C78" s="9">
        <f>IFERROR(__xludf.DUMMYFUNCTION("""COMPUTED_VALUE"""),151.83)</f>
        <v>151.83</v>
      </c>
      <c r="E78" s="17">
        <f>IFERROR(__xludf.DUMMYFUNCTION("""COMPUTED_VALUE"""),45916.66666666667)</f>
        <v>45916.66667</v>
      </c>
      <c r="F78" s="9">
        <f>IFERROR(__xludf.DUMMYFUNCTION("""COMPUTED_VALUE"""),151.83)</f>
        <v>151.83</v>
      </c>
      <c r="N78" s="17">
        <f>IFERROR(__xludf.DUMMYFUNCTION("""COMPUTED_VALUE"""),45916.66666666667)</f>
        <v>45916.66667</v>
      </c>
      <c r="O78" s="9">
        <f>IFERROR(__xludf.DUMMYFUNCTION("""COMPUTED_VALUE"""),151.83)</f>
        <v>151.83</v>
      </c>
      <c r="Q78" s="17"/>
    </row>
    <row r="79">
      <c r="B79" s="11">
        <f>IFERROR(__xludf.DUMMYFUNCTION("""COMPUTED_VALUE"""),45915.66666666667)</f>
        <v>45915.66667</v>
      </c>
      <c r="C79" s="9">
        <f>IFERROR(__xludf.DUMMYFUNCTION("""COMPUTED_VALUE"""),152.28)</f>
        <v>152.28</v>
      </c>
      <c r="E79" s="17">
        <f>IFERROR(__xludf.DUMMYFUNCTION("""COMPUTED_VALUE"""),45915.66666666667)</f>
        <v>45915.66667</v>
      </c>
      <c r="F79" s="9">
        <f>IFERROR(__xludf.DUMMYFUNCTION("""COMPUTED_VALUE"""),152.28)</f>
        <v>152.28</v>
      </c>
      <c r="N79" s="17">
        <f>IFERROR(__xludf.DUMMYFUNCTION("""COMPUTED_VALUE"""),45915.66666666667)</f>
        <v>45915.66667</v>
      </c>
      <c r="O79" s="9">
        <f>IFERROR(__xludf.DUMMYFUNCTION("""COMPUTED_VALUE"""),152.28)</f>
        <v>152.28</v>
      </c>
      <c r="Q79" s="17"/>
    </row>
    <row r="80">
      <c r="B80" s="11">
        <f>IFERROR(__xludf.DUMMYFUNCTION("""COMPUTED_VALUE"""),45912.66666666667)</f>
        <v>45912.66667</v>
      </c>
      <c r="C80" s="9">
        <f>IFERROR(__xludf.DUMMYFUNCTION("""COMPUTED_VALUE"""),151.58)</f>
        <v>151.58</v>
      </c>
      <c r="E80" s="17">
        <f>IFERROR(__xludf.DUMMYFUNCTION("""COMPUTED_VALUE"""),45912.66666666667)</f>
        <v>45912.66667</v>
      </c>
      <c r="F80" s="9">
        <f>IFERROR(__xludf.DUMMYFUNCTION("""COMPUTED_VALUE"""),151.58)</f>
        <v>151.58</v>
      </c>
      <c r="N80" s="17">
        <f>IFERROR(__xludf.DUMMYFUNCTION("""COMPUTED_VALUE"""),45912.66666666667)</f>
        <v>45912.66667</v>
      </c>
      <c r="O80" s="9">
        <f>IFERROR(__xludf.DUMMYFUNCTION("""COMPUTED_VALUE"""),151.58)</f>
        <v>151.58</v>
      </c>
      <c r="Q80" s="17"/>
    </row>
    <row r="81">
      <c r="B81" s="11">
        <f>IFERROR(__xludf.DUMMYFUNCTION("""COMPUTED_VALUE"""),45911.66666666667)</f>
        <v>45911.66667</v>
      </c>
      <c r="C81" s="9">
        <f>IFERROR(__xludf.DUMMYFUNCTION("""COMPUTED_VALUE"""),152.8)</f>
        <v>152.8</v>
      </c>
      <c r="E81" s="17">
        <f>IFERROR(__xludf.DUMMYFUNCTION("""COMPUTED_VALUE"""),45911.66666666667)</f>
        <v>45911.66667</v>
      </c>
      <c r="F81" s="9">
        <f>IFERROR(__xludf.DUMMYFUNCTION("""COMPUTED_VALUE"""),152.8)</f>
        <v>152.8</v>
      </c>
      <c r="N81" s="17">
        <f>IFERROR(__xludf.DUMMYFUNCTION("""COMPUTED_VALUE"""),45911.66666666667)</f>
        <v>45911.66667</v>
      </c>
      <c r="O81" s="9">
        <f>IFERROR(__xludf.DUMMYFUNCTION("""COMPUTED_VALUE"""),152.8)</f>
        <v>152.8</v>
      </c>
      <c r="Q81" s="17"/>
    </row>
    <row r="82">
      <c r="B82" s="11">
        <f>IFERROR(__xludf.DUMMYFUNCTION("""COMPUTED_VALUE"""),45910.66666666667)</f>
        <v>45910.66667</v>
      </c>
      <c r="C82" s="9">
        <f>IFERROR(__xludf.DUMMYFUNCTION("""COMPUTED_VALUE"""),151.36)</f>
        <v>151.36</v>
      </c>
      <c r="E82" s="17">
        <f>IFERROR(__xludf.DUMMYFUNCTION("""COMPUTED_VALUE"""),45910.66666666667)</f>
        <v>45910.66667</v>
      </c>
      <c r="F82" s="9">
        <f>IFERROR(__xludf.DUMMYFUNCTION("""COMPUTED_VALUE"""),151.36)</f>
        <v>151.36</v>
      </c>
      <c r="N82" s="17">
        <f>IFERROR(__xludf.DUMMYFUNCTION("""COMPUTED_VALUE"""),45910.66666666667)</f>
        <v>45910.66667</v>
      </c>
      <c r="O82" s="9">
        <f>IFERROR(__xludf.DUMMYFUNCTION("""COMPUTED_VALUE"""),151.36)</f>
        <v>151.36</v>
      </c>
      <c r="Q82" s="17"/>
    </row>
    <row r="83">
      <c r="B83" s="11">
        <f>IFERROR(__xludf.DUMMYFUNCTION("""COMPUTED_VALUE"""),45909.66666666667)</f>
        <v>45909.66667</v>
      </c>
      <c r="C83" s="9">
        <f>IFERROR(__xludf.DUMMYFUNCTION("""COMPUTED_VALUE"""),150.25)</f>
        <v>150.25</v>
      </c>
      <c r="E83" s="17">
        <f>IFERROR(__xludf.DUMMYFUNCTION("""COMPUTED_VALUE"""),45909.66666666667)</f>
        <v>45909.66667</v>
      </c>
      <c r="F83" s="9">
        <f>IFERROR(__xludf.DUMMYFUNCTION("""COMPUTED_VALUE"""),150.25)</f>
        <v>150.25</v>
      </c>
      <c r="N83" s="17">
        <f>IFERROR(__xludf.DUMMYFUNCTION("""COMPUTED_VALUE"""),45909.66666666667)</f>
        <v>45909.66667</v>
      </c>
      <c r="O83" s="9">
        <f>IFERROR(__xludf.DUMMYFUNCTION("""COMPUTED_VALUE"""),150.25)</f>
        <v>150.25</v>
      </c>
      <c r="Q83" s="17"/>
    </row>
    <row r="84">
      <c r="B84" s="11">
        <f>IFERROR(__xludf.DUMMYFUNCTION("""COMPUTED_VALUE"""),45908.66666666667)</f>
        <v>45908.66667</v>
      </c>
      <c r="C84" s="9">
        <f>IFERROR(__xludf.DUMMYFUNCTION("""COMPUTED_VALUE"""),151.27)</f>
        <v>151.27</v>
      </c>
      <c r="E84" s="17">
        <f>IFERROR(__xludf.DUMMYFUNCTION("""COMPUTED_VALUE"""),45908.66666666667)</f>
        <v>45908.66667</v>
      </c>
      <c r="F84" s="9">
        <f>IFERROR(__xludf.DUMMYFUNCTION("""COMPUTED_VALUE"""),151.27)</f>
        <v>151.27</v>
      </c>
      <c r="N84" s="17">
        <f>IFERROR(__xludf.DUMMYFUNCTION("""COMPUTED_VALUE"""),45908.66666666667)</f>
        <v>45908.66667</v>
      </c>
      <c r="O84" s="9">
        <f>IFERROR(__xludf.DUMMYFUNCTION("""COMPUTED_VALUE"""),151.27)</f>
        <v>151.27</v>
      </c>
      <c r="Q84" s="17"/>
    </row>
    <row r="85">
      <c r="B85" s="11">
        <f>IFERROR(__xludf.DUMMYFUNCTION("""COMPUTED_VALUE"""),45905.66666666667)</f>
        <v>45905.66667</v>
      </c>
      <c r="C85" s="9">
        <f>IFERROR(__xludf.DUMMYFUNCTION("""COMPUTED_VALUE"""),150.93)</f>
        <v>150.93</v>
      </c>
      <c r="E85" s="17">
        <f>IFERROR(__xludf.DUMMYFUNCTION("""COMPUTED_VALUE"""),45905.66666666667)</f>
        <v>45905.66667</v>
      </c>
      <c r="F85" s="9">
        <f>IFERROR(__xludf.DUMMYFUNCTION("""COMPUTED_VALUE"""),150.93)</f>
        <v>150.93</v>
      </c>
      <c r="N85" s="17">
        <f>IFERROR(__xludf.DUMMYFUNCTION("""COMPUTED_VALUE"""),45905.66666666667)</f>
        <v>45905.66667</v>
      </c>
      <c r="O85" s="9">
        <f>IFERROR(__xludf.DUMMYFUNCTION("""COMPUTED_VALUE"""),150.93)</f>
        <v>150.93</v>
      </c>
      <c r="Q85" s="17"/>
    </row>
    <row r="86">
      <c r="B86" s="11">
        <f>IFERROR(__xludf.DUMMYFUNCTION("""COMPUTED_VALUE"""),45904.66666666667)</f>
        <v>45904.66667</v>
      </c>
      <c r="C86" s="9">
        <f>IFERROR(__xludf.DUMMYFUNCTION("""COMPUTED_VALUE"""),151.49)</f>
        <v>151.49</v>
      </c>
      <c r="E86" s="17">
        <f>IFERROR(__xludf.DUMMYFUNCTION("""COMPUTED_VALUE"""),45904.66666666667)</f>
        <v>45904.66667</v>
      </c>
      <c r="F86" s="9">
        <f>IFERROR(__xludf.DUMMYFUNCTION("""COMPUTED_VALUE"""),151.49)</f>
        <v>151.49</v>
      </c>
      <c r="N86" s="17">
        <f>IFERROR(__xludf.DUMMYFUNCTION("""COMPUTED_VALUE"""),45904.66666666667)</f>
        <v>45904.66667</v>
      </c>
      <c r="O86" s="9">
        <f>IFERROR(__xludf.DUMMYFUNCTION("""COMPUTED_VALUE"""),151.49)</f>
        <v>151.49</v>
      </c>
      <c r="Q86" s="17"/>
    </row>
    <row r="87">
      <c r="B87" s="11">
        <f>IFERROR(__xludf.DUMMYFUNCTION("""COMPUTED_VALUE"""),45903.66666666667)</f>
        <v>45903.66667</v>
      </c>
      <c r="C87" s="9">
        <f>IFERROR(__xludf.DUMMYFUNCTION("""COMPUTED_VALUE"""),149.8)</f>
        <v>149.8</v>
      </c>
      <c r="E87" s="17">
        <f>IFERROR(__xludf.DUMMYFUNCTION("""COMPUTED_VALUE"""),45903.66666666667)</f>
        <v>45903.66667</v>
      </c>
      <c r="F87" s="9">
        <f>IFERROR(__xludf.DUMMYFUNCTION("""COMPUTED_VALUE"""),149.8)</f>
        <v>149.8</v>
      </c>
      <c r="N87" s="17">
        <f>IFERROR(__xludf.DUMMYFUNCTION("""COMPUTED_VALUE"""),45903.66666666667)</f>
        <v>45903.66667</v>
      </c>
      <c r="O87" s="9">
        <f>IFERROR(__xludf.DUMMYFUNCTION("""COMPUTED_VALUE"""),149.8)</f>
        <v>149.8</v>
      </c>
      <c r="Q87" s="17"/>
    </row>
    <row r="88">
      <c r="B88" s="11">
        <f>IFERROR(__xludf.DUMMYFUNCTION("""COMPUTED_VALUE"""),45902.66666666667)</f>
        <v>45902.66667</v>
      </c>
      <c r="C88" s="9">
        <f>IFERROR(__xludf.DUMMYFUNCTION("""COMPUTED_VALUE"""),150.56)</f>
        <v>150.56</v>
      </c>
      <c r="E88" s="17">
        <f>IFERROR(__xludf.DUMMYFUNCTION("""COMPUTED_VALUE"""),45902.66666666667)</f>
        <v>45902.66667</v>
      </c>
      <c r="F88" s="9">
        <f>IFERROR(__xludf.DUMMYFUNCTION("""COMPUTED_VALUE"""),150.56)</f>
        <v>150.56</v>
      </c>
      <c r="N88" s="17">
        <f>IFERROR(__xludf.DUMMYFUNCTION("""COMPUTED_VALUE"""),45902.66666666667)</f>
        <v>45902.66667</v>
      </c>
      <c r="O88" s="9">
        <f>IFERROR(__xludf.DUMMYFUNCTION("""COMPUTED_VALUE"""),150.56)</f>
        <v>150.56</v>
      </c>
      <c r="Q88" s="17"/>
    </row>
    <row r="89">
      <c r="B89" s="11">
        <f>IFERROR(__xludf.DUMMYFUNCTION("""COMPUTED_VALUE"""),45898.66666666667)</f>
        <v>45898.66667</v>
      </c>
      <c r="C89" s="9">
        <f>IFERROR(__xludf.DUMMYFUNCTION("""COMPUTED_VALUE"""),152.01)</f>
        <v>152.01</v>
      </c>
      <c r="E89" s="17">
        <f>IFERROR(__xludf.DUMMYFUNCTION("""COMPUTED_VALUE"""),45898.66666666667)</f>
        <v>45898.66667</v>
      </c>
      <c r="F89" s="9">
        <f>IFERROR(__xludf.DUMMYFUNCTION("""COMPUTED_VALUE"""),152.01)</f>
        <v>152.01</v>
      </c>
      <c r="N89" s="17">
        <f>IFERROR(__xludf.DUMMYFUNCTION("""COMPUTED_VALUE"""),45898.66666666667)</f>
        <v>45898.66667</v>
      </c>
      <c r="O89" s="9">
        <f>IFERROR(__xludf.DUMMYFUNCTION("""COMPUTED_VALUE"""),152.01)</f>
        <v>152.01</v>
      </c>
      <c r="Q89" s="17"/>
    </row>
    <row r="90">
      <c r="B90" s="11">
        <f>IFERROR(__xludf.DUMMYFUNCTION("""COMPUTED_VALUE"""),45897.66666666667)</f>
        <v>45897.66667</v>
      </c>
      <c r="C90" s="9">
        <f>IFERROR(__xludf.DUMMYFUNCTION("""COMPUTED_VALUE"""),153.42)</f>
        <v>153.42</v>
      </c>
      <c r="E90" s="17">
        <f>IFERROR(__xludf.DUMMYFUNCTION("""COMPUTED_VALUE"""),45897.66666666667)</f>
        <v>45897.66667</v>
      </c>
      <c r="F90" s="9">
        <f>IFERROR(__xludf.DUMMYFUNCTION("""COMPUTED_VALUE"""),153.42)</f>
        <v>153.42</v>
      </c>
      <c r="N90" s="17">
        <f>IFERROR(__xludf.DUMMYFUNCTION("""COMPUTED_VALUE"""),45897.66666666667)</f>
        <v>45897.66667</v>
      </c>
      <c r="O90" s="9">
        <f>IFERROR(__xludf.DUMMYFUNCTION("""COMPUTED_VALUE"""),153.42)</f>
        <v>153.42</v>
      </c>
      <c r="Q90" s="17"/>
    </row>
    <row r="91">
      <c r="B91" s="11">
        <f>IFERROR(__xludf.DUMMYFUNCTION("""COMPUTED_VALUE"""),45891.66666666667)</f>
        <v>45891.66667</v>
      </c>
      <c r="C91" s="9">
        <f>IFERROR(__xludf.DUMMYFUNCTION("""COMPUTED_VALUE"""),153.14)</f>
        <v>153.14</v>
      </c>
      <c r="E91" s="17">
        <f>IFERROR(__xludf.DUMMYFUNCTION("""COMPUTED_VALUE"""),45891.66666666667)</f>
        <v>45891.66667</v>
      </c>
      <c r="F91" s="9">
        <f>IFERROR(__xludf.DUMMYFUNCTION("""COMPUTED_VALUE"""),153.14)</f>
        <v>153.14</v>
      </c>
      <c r="N91" s="17">
        <f>IFERROR(__xludf.DUMMYFUNCTION("""COMPUTED_VALUE"""),45891.66666666667)</f>
        <v>45891.66667</v>
      </c>
      <c r="O91" s="9">
        <f>IFERROR(__xludf.DUMMYFUNCTION("""COMPUTED_VALUE"""),153.14)</f>
        <v>153.14</v>
      </c>
      <c r="Q91" s="17"/>
    </row>
    <row r="92">
      <c r="B92" s="11">
        <f>IFERROR(__xludf.DUMMYFUNCTION("""COMPUTED_VALUE"""),45890.66666666667)</f>
        <v>45890.66667</v>
      </c>
      <c r="C92" s="9">
        <f>IFERROR(__xludf.DUMMYFUNCTION("""COMPUTED_VALUE"""),150.68)</f>
        <v>150.68</v>
      </c>
      <c r="E92" s="17">
        <f>IFERROR(__xludf.DUMMYFUNCTION("""COMPUTED_VALUE"""),45890.66666666667)</f>
        <v>45890.66667</v>
      </c>
      <c r="F92" s="9">
        <f>IFERROR(__xludf.DUMMYFUNCTION("""COMPUTED_VALUE"""),150.68)</f>
        <v>150.68</v>
      </c>
      <c r="N92" s="17">
        <f>IFERROR(__xludf.DUMMYFUNCTION("""COMPUTED_VALUE"""),45890.66666666667)</f>
        <v>45890.66667</v>
      </c>
      <c r="O92" s="9">
        <f>IFERROR(__xludf.DUMMYFUNCTION("""COMPUTED_VALUE"""),150.68)</f>
        <v>150.68</v>
      </c>
      <c r="Q92" s="17"/>
    </row>
    <row r="93">
      <c r="B93" s="11">
        <f>IFERROR(__xludf.DUMMYFUNCTION("""COMPUTED_VALUE"""),45889.66666666667)</f>
        <v>45889.66667</v>
      </c>
      <c r="C93" s="9">
        <f>IFERROR(__xludf.DUMMYFUNCTION("""COMPUTED_VALUE"""),151.22)</f>
        <v>151.22</v>
      </c>
      <c r="E93" s="17">
        <f>IFERROR(__xludf.DUMMYFUNCTION("""COMPUTED_VALUE"""),45889.66666666667)</f>
        <v>45889.66667</v>
      </c>
      <c r="F93" s="9">
        <f>IFERROR(__xludf.DUMMYFUNCTION("""COMPUTED_VALUE"""),151.22)</f>
        <v>151.22</v>
      </c>
      <c r="N93" s="17">
        <f>IFERROR(__xludf.DUMMYFUNCTION("""COMPUTED_VALUE"""),45889.66666666667)</f>
        <v>45889.66667</v>
      </c>
      <c r="O93" s="9">
        <f>IFERROR(__xludf.DUMMYFUNCTION("""COMPUTED_VALUE"""),151.22)</f>
        <v>151.22</v>
      </c>
      <c r="Q93" s="17"/>
    </row>
    <row r="94">
      <c r="B94" s="11">
        <f>IFERROR(__xludf.DUMMYFUNCTION("""COMPUTED_VALUE"""),45888.66666666667)</f>
        <v>45888.66667</v>
      </c>
      <c r="C94" s="9">
        <f>IFERROR(__xludf.DUMMYFUNCTION("""COMPUTED_VALUE"""),151.36)</f>
        <v>151.36</v>
      </c>
      <c r="E94" s="17">
        <f>IFERROR(__xludf.DUMMYFUNCTION("""COMPUTED_VALUE"""),45888.66666666667)</f>
        <v>45888.66667</v>
      </c>
      <c r="F94" s="9">
        <f>IFERROR(__xludf.DUMMYFUNCTION("""COMPUTED_VALUE"""),151.36)</f>
        <v>151.36</v>
      </c>
      <c r="N94" s="17">
        <f>IFERROR(__xludf.DUMMYFUNCTION("""COMPUTED_VALUE"""),45888.66666666667)</f>
        <v>45888.66667</v>
      </c>
      <c r="O94" s="9">
        <f>IFERROR(__xludf.DUMMYFUNCTION("""COMPUTED_VALUE"""),151.36)</f>
        <v>151.36</v>
      </c>
      <c r="Q94" s="17"/>
    </row>
    <row r="95">
      <c r="B95" s="11">
        <f>IFERROR(__xludf.DUMMYFUNCTION("""COMPUTED_VALUE"""),45887.66666666667)</f>
        <v>45887.66667</v>
      </c>
      <c r="C95" s="9">
        <f>IFERROR(__xludf.DUMMYFUNCTION("""COMPUTED_VALUE"""),151.03)</f>
        <v>151.03</v>
      </c>
      <c r="E95" s="17">
        <f>IFERROR(__xludf.DUMMYFUNCTION("""COMPUTED_VALUE"""),45887.66666666667)</f>
        <v>45887.66667</v>
      </c>
      <c r="F95" s="9">
        <f>IFERROR(__xludf.DUMMYFUNCTION("""COMPUTED_VALUE"""),151.03)</f>
        <v>151.03</v>
      </c>
      <c r="N95" s="17">
        <f>IFERROR(__xludf.DUMMYFUNCTION("""COMPUTED_VALUE"""),45887.66666666667)</f>
        <v>45887.66667</v>
      </c>
      <c r="O95" s="9">
        <f>IFERROR(__xludf.DUMMYFUNCTION("""COMPUTED_VALUE"""),151.03)</f>
        <v>151.03</v>
      </c>
      <c r="Q95" s="17"/>
    </row>
    <row r="96">
      <c r="B96" s="11">
        <f>IFERROR(__xludf.DUMMYFUNCTION("""COMPUTED_VALUE"""),45884.66666666667)</f>
        <v>45884.66667</v>
      </c>
      <c r="C96" s="9">
        <f>IFERROR(__xludf.DUMMYFUNCTION("""COMPUTED_VALUE"""),150.44)</f>
        <v>150.44</v>
      </c>
      <c r="E96" s="17">
        <f>IFERROR(__xludf.DUMMYFUNCTION("""COMPUTED_VALUE"""),45884.66666666667)</f>
        <v>45884.66667</v>
      </c>
      <c r="F96" s="9">
        <f>IFERROR(__xludf.DUMMYFUNCTION("""COMPUTED_VALUE"""),150.44)</f>
        <v>150.44</v>
      </c>
      <c r="N96" s="17">
        <f>IFERROR(__xludf.DUMMYFUNCTION("""COMPUTED_VALUE"""),45884.66666666667)</f>
        <v>45884.66667</v>
      </c>
      <c r="O96" s="9">
        <f>IFERROR(__xludf.DUMMYFUNCTION("""COMPUTED_VALUE"""),150.44)</f>
        <v>150.44</v>
      </c>
      <c r="Q96" s="17"/>
    </row>
    <row r="97">
      <c r="B97" s="11">
        <f>IFERROR(__xludf.DUMMYFUNCTION("""COMPUTED_VALUE"""),45883.66666666667)</f>
        <v>45883.66667</v>
      </c>
      <c r="C97" s="9">
        <f>IFERROR(__xludf.DUMMYFUNCTION("""COMPUTED_VALUE"""),151.13)</f>
        <v>151.13</v>
      </c>
      <c r="E97" s="17">
        <f>IFERROR(__xludf.DUMMYFUNCTION("""COMPUTED_VALUE"""),45883.66666666667)</f>
        <v>45883.66667</v>
      </c>
      <c r="F97" s="9">
        <f>IFERROR(__xludf.DUMMYFUNCTION("""COMPUTED_VALUE"""),151.13)</f>
        <v>151.13</v>
      </c>
      <c r="N97" s="17">
        <f>IFERROR(__xludf.DUMMYFUNCTION("""COMPUTED_VALUE"""),45883.66666666667)</f>
        <v>45883.66667</v>
      </c>
      <c r="O97" s="9">
        <f>IFERROR(__xludf.DUMMYFUNCTION("""COMPUTED_VALUE"""),151.13)</f>
        <v>151.13</v>
      </c>
      <c r="Q97" s="17"/>
    </row>
    <row r="98">
      <c r="B98" s="11">
        <f>IFERROR(__xludf.DUMMYFUNCTION("""COMPUTED_VALUE"""),45882.66666666667)</f>
        <v>45882.66667</v>
      </c>
      <c r="C98" s="9">
        <f>IFERROR(__xludf.DUMMYFUNCTION("""COMPUTED_VALUE"""),152.48)</f>
        <v>152.48</v>
      </c>
      <c r="E98" s="17">
        <f>IFERROR(__xludf.DUMMYFUNCTION("""COMPUTED_VALUE"""),45882.66666666667)</f>
        <v>45882.66667</v>
      </c>
      <c r="F98" s="9">
        <f>IFERROR(__xludf.DUMMYFUNCTION("""COMPUTED_VALUE"""),152.48)</f>
        <v>152.48</v>
      </c>
      <c r="N98" s="17">
        <f>IFERROR(__xludf.DUMMYFUNCTION("""COMPUTED_VALUE"""),45882.66666666667)</f>
        <v>45882.66667</v>
      </c>
      <c r="O98" s="9">
        <f>IFERROR(__xludf.DUMMYFUNCTION("""COMPUTED_VALUE"""),152.48)</f>
        <v>152.48</v>
      </c>
      <c r="Q98" s="17"/>
    </row>
    <row r="99">
      <c r="B99" s="11">
        <f>IFERROR(__xludf.DUMMYFUNCTION("""COMPUTED_VALUE"""),45881.66666666667)</f>
        <v>45881.66667</v>
      </c>
      <c r="C99" s="9">
        <f>IFERROR(__xludf.DUMMYFUNCTION("""COMPUTED_VALUE"""),151.9)</f>
        <v>151.9</v>
      </c>
      <c r="E99" s="17">
        <f>IFERROR(__xludf.DUMMYFUNCTION("""COMPUTED_VALUE"""),45881.66666666667)</f>
        <v>45881.66667</v>
      </c>
      <c r="F99" s="9">
        <f>IFERROR(__xludf.DUMMYFUNCTION("""COMPUTED_VALUE"""),151.9)</f>
        <v>151.9</v>
      </c>
      <c r="N99" s="17">
        <f>IFERROR(__xludf.DUMMYFUNCTION("""COMPUTED_VALUE"""),45881.66666666667)</f>
        <v>45881.66667</v>
      </c>
      <c r="O99" s="9">
        <f>IFERROR(__xludf.DUMMYFUNCTION("""COMPUTED_VALUE"""),151.9)</f>
        <v>151.9</v>
      </c>
      <c r="Q99" s="17"/>
    </row>
    <row r="100">
      <c r="B100" s="11">
        <f>IFERROR(__xludf.DUMMYFUNCTION("""COMPUTED_VALUE"""),45880.66666666667)</f>
        <v>45880.66667</v>
      </c>
      <c r="C100" s="9">
        <f>IFERROR(__xludf.DUMMYFUNCTION("""COMPUTED_VALUE"""),150.34)</f>
        <v>150.34</v>
      </c>
      <c r="E100" s="17">
        <f>IFERROR(__xludf.DUMMYFUNCTION("""COMPUTED_VALUE"""),45880.66666666667)</f>
        <v>45880.66667</v>
      </c>
      <c r="F100" s="9">
        <f>IFERROR(__xludf.DUMMYFUNCTION("""COMPUTED_VALUE"""),150.34)</f>
        <v>150.34</v>
      </c>
      <c r="N100" s="17">
        <f>IFERROR(__xludf.DUMMYFUNCTION("""COMPUTED_VALUE"""),45880.66666666667)</f>
        <v>45880.66667</v>
      </c>
      <c r="O100" s="9">
        <f>IFERROR(__xludf.DUMMYFUNCTION("""COMPUTED_VALUE"""),150.34)</f>
        <v>150.34</v>
      </c>
      <c r="Q100" s="17"/>
    </row>
    <row r="101">
      <c r="B101" s="11">
        <f>IFERROR(__xludf.DUMMYFUNCTION("""COMPUTED_VALUE"""),45877.66666666667)</f>
        <v>45877.66667</v>
      </c>
      <c r="C101" s="9">
        <f>IFERROR(__xludf.DUMMYFUNCTION("""COMPUTED_VALUE"""),150.83)</f>
        <v>150.83</v>
      </c>
      <c r="E101" s="17">
        <f>IFERROR(__xludf.DUMMYFUNCTION("""COMPUTED_VALUE"""),45877.66666666667)</f>
        <v>45877.66667</v>
      </c>
      <c r="F101" s="9">
        <f>IFERROR(__xludf.DUMMYFUNCTION("""COMPUTED_VALUE"""),150.83)</f>
        <v>150.83</v>
      </c>
      <c r="N101" s="17">
        <f>IFERROR(__xludf.DUMMYFUNCTION("""COMPUTED_VALUE"""),45877.66666666667)</f>
        <v>45877.66667</v>
      </c>
      <c r="O101" s="9">
        <f>IFERROR(__xludf.DUMMYFUNCTION("""COMPUTED_VALUE"""),150.83)</f>
        <v>150.83</v>
      </c>
      <c r="Q101" s="17"/>
    </row>
    <row r="102">
      <c r="B102" s="11">
        <f>IFERROR(__xludf.DUMMYFUNCTION("""COMPUTED_VALUE"""),45876.66666666667)</f>
        <v>45876.66667</v>
      </c>
      <c r="C102" s="9">
        <f>IFERROR(__xludf.DUMMYFUNCTION("""COMPUTED_VALUE"""),150.71)</f>
        <v>150.71</v>
      </c>
      <c r="E102" s="17">
        <f>IFERROR(__xludf.DUMMYFUNCTION("""COMPUTED_VALUE"""),45876.66666666667)</f>
        <v>45876.66667</v>
      </c>
      <c r="F102" s="9">
        <f>IFERROR(__xludf.DUMMYFUNCTION("""COMPUTED_VALUE"""),150.71)</f>
        <v>150.71</v>
      </c>
      <c r="N102" s="17">
        <f>IFERROR(__xludf.DUMMYFUNCTION("""COMPUTED_VALUE"""),45876.66666666667)</f>
        <v>45876.66667</v>
      </c>
      <c r="O102" s="9">
        <f>IFERROR(__xludf.DUMMYFUNCTION("""COMPUTED_VALUE"""),150.71)</f>
        <v>150.71</v>
      </c>
      <c r="Q102" s="17"/>
    </row>
    <row r="103">
      <c r="B103" s="11">
        <f>IFERROR(__xludf.DUMMYFUNCTION("""COMPUTED_VALUE"""),45875.66666666667)</f>
        <v>45875.66667</v>
      </c>
      <c r="C103" s="9">
        <f>IFERROR(__xludf.DUMMYFUNCTION("""COMPUTED_VALUE"""),150.93)</f>
        <v>150.93</v>
      </c>
      <c r="E103" s="17">
        <f>IFERROR(__xludf.DUMMYFUNCTION("""COMPUTED_VALUE"""),45875.66666666667)</f>
        <v>45875.66667</v>
      </c>
      <c r="F103" s="9">
        <f>IFERROR(__xludf.DUMMYFUNCTION("""COMPUTED_VALUE"""),150.93)</f>
        <v>150.93</v>
      </c>
      <c r="N103" s="17">
        <f>IFERROR(__xludf.DUMMYFUNCTION("""COMPUTED_VALUE"""),45875.66666666667)</f>
        <v>45875.66667</v>
      </c>
      <c r="O103" s="9">
        <f>IFERROR(__xludf.DUMMYFUNCTION("""COMPUTED_VALUE"""),150.93)</f>
        <v>150.93</v>
      </c>
      <c r="Q103" s="17"/>
    </row>
    <row r="104">
      <c r="B104" s="11">
        <f>IFERROR(__xludf.DUMMYFUNCTION("""COMPUTED_VALUE"""),45874.66666666667)</f>
        <v>45874.66667</v>
      </c>
      <c r="C104" s="9">
        <f>IFERROR(__xludf.DUMMYFUNCTION("""COMPUTED_VALUE"""),150.81)</f>
        <v>150.81</v>
      </c>
      <c r="E104" s="17">
        <f>IFERROR(__xludf.DUMMYFUNCTION("""COMPUTED_VALUE"""),45874.66666666667)</f>
        <v>45874.66667</v>
      </c>
      <c r="F104" s="9">
        <f>IFERROR(__xludf.DUMMYFUNCTION("""COMPUTED_VALUE"""),150.81)</f>
        <v>150.81</v>
      </c>
      <c r="N104" s="17">
        <f>IFERROR(__xludf.DUMMYFUNCTION("""COMPUTED_VALUE"""),45874.66666666667)</f>
        <v>45874.66667</v>
      </c>
      <c r="O104" s="9">
        <f>IFERROR(__xludf.DUMMYFUNCTION("""COMPUTED_VALUE"""),150.81)</f>
        <v>150.81</v>
      </c>
      <c r="Q104" s="17"/>
    </row>
    <row r="105">
      <c r="B105" s="11">
        <f>IFERROR(__xludf.DUMMYFUNCTION("""COMPUTED_VALUE"""),45873.66666666667)</f>
        <v>45873.66667</v>
      </c>
      <c r="C105" s="9">
        <f>IFERROR(__xludf.DUMMYFUNCTION("""COMPUTED_VALUE"""),151.12)</f>
        <v>151.12</v>
      </c>
      <c r="E105" s="17">
        <f>IFERROR(__xludf.DUMMYFUNCTION("""COMPUTED_VALUE"""),45873.66666666667)</f>
        <v>45873.66667</v>
      </c>
      <c r="F105" s="9">
        <f>IFERROR(__xludf.DUMMYFUNCTION("""COMPUTED_VALUE"""),151.12)</f>
        <v>151.12</v>
      </c>
      <c r="N105" s="17">
        <f>IFERROR(__xludf.DUMMYFUNCTION("""COMPUTED_VALUE"""),45873.66666666667)</f>
        <v>45873.66667</v>
      </c>
      <c r="O105" s="9">
        <f>IFERROR(__xludf.DUMMYFUNCTION("""COMPUTED_VALUE"""),151.12)</f>
        <v>151.12</v>
      </c>
      <c r="Q105" s="17"/>
    </row>
    <row r="106">
      <c r="B106" s="11">
        <f>IFERROR(__xludf.DUMMYFUNCTION("""COMPUTED_VALUE"""),45870.66666666667)</f>
        <v>45870.66667</v>
      </c>
      <c r="C106" s="9">
        <f>IFERROR(__xludf.DUMMYFUNCTION("""COMPUTED_VALUE"""),149.74)</f>
        <v>149.74</v>
      </c>
      <c r="E106" s="17">
        <f>IFERROR(__xludf.DUMMYFUNCTION("""COMPUTED_VALUE"""),45870.66666666667)</f>
        <v>45870.66667</v>
      </c>
      <c r="F106" s="9">
        <f>IFERROR(__xludf.DUMMYFUNCTION("""COMPUTED_VALUE"""),149.74)</f>
        <v>149.74</v>
      </c>
      <c r="N106" s="17">
        <f>IFERROR(__xludf.DUMMYFUNCTION("""COMPUTED_VALUE"""),45870.66666666667)</f>
        <v>45870.66667</v>
      </c>
      <c r="O106" s="9">
        <f>IFERROR(__xludf.DUMMYFUNCTION("""COMPUTED_VALUE"""),149.74)</f>
        <v>149.74</v>
      </c>
      <c r="Q106" s="17"/>
    </row>
    <row r="107">
      <c r="B107" s="11">
        <f>IFERROR(__xludf.DUMMYFUNCTION("""COMPUTED_VALUE"""),45869.66666666667)</f>
        <v>45869.66667</v>
      </c>
      <c r="C107" s="9">
        <f>IFERROR(__xludf.DUMMYFUNCTION("""COMPUTED_VALUE"""),152.01)</f>
        <v>152.01</v>
      </c>
      <c r="E107" s="17">
        <f>IFERROR(__xludf.DUMMYFUNCTION("""COMPUTED_VALUE"""),45869.66666666667)</f>
        <v>45869.66667</v>
      </c>
      <c r="F107" s="9">
        <f>IFERROR(__xludf.DUMMYFUNCTION("""COMPUTED_VALUE"""),152.01)</f>
        <v>152.01</v>
      </c>
      <c r="N107" s="17">
        <f>IFERROR(__xludf.DUMMYFUNCTION("""COMPUTED_VALUE"""),45869.66666666667)</f>
        <v>45869.66667</v>
      </c>
      <c r="O107" s="9">
        <f>IFERROR(__xludf.DUMMYFUNCTION("""COMPUTED_VALUE"""),152.01)</f>
        <v>152.01</v>
      </c>
      <c r="Q107" s="17"/>
    </row>
    <row r="108">
      <c r="B108" s="11">
        <f>IFERROR(__xludf.DUMMYFUNCTION("""COMPUTED_VALUE"""),45868.66666666667)</f>
        <v>45868.66667</v>
      </c>
      <c r="C108" s="9">
        <f>IFERROR(__xludf.DUMMYFUNCTION("""COMPUTED_VALUE"""),152.0)</f>
        <v>152</v>
      </c>
      <c r="E108" s="17">
        <f>IFERROR(__xludf.DUMMYFUNCTION("""COMPUTED_VALUE"""),45868.66666666667)</f>
        <v>45868.66667</v>
      </c>
      <c r="F108" s="9">
        <f>IFERROR(__xludf.DUMMYFUNCTION("""COMPUTED_VALUE"""),152.0)</f>
        <v>152</v>
      </c>
      <c r="N108" s="17">
        <f>IFERROR(__xludf.DUMMYFUNCTION("""COMPUTED_VALUE"""),45868.66666666667)</f>
        <v>45868.66667</v>
      </c>
      <c r="O108" s="9">
        <f>IFERROR(__xludf.DUMMYFUNCTION("""COMPUTED_VALUE"""),152.0)</f>
        <v>152</v>
      </c>
      <c r="Q108" s="17"/>
    </row>
    <row r="109">
      <c r="B109" s="11">
        <f>IFERROR(__xludf.DUMMYFUNCTION("""COMPUTED_VALUE"""),45867.66666666667)</f>
        <v>45867.66667</v>
      </c>
      <c r="C109" s="9">
        <f>IFERROR(__xludf.DUMMYFUNCTION("""COMPUTED_VALUE"""),152.75)</f>
        <v>152.75</v>
      </c>
      <c r="E109" s="17">
        <f>IFERROR(__xludf.DUMMYFUNCTION("""COMPUTED_VALUE"""),45867.66666666667)</f>
        <v>45867.66667</v>
      </c>
      <c r="F109" s="9">
        <f>IFERROR(__xludf.DUMMYFUNCTION("""COMPUTED_VALUE"""),152.75)</f>
        <v>152.75</v>
      </c>
      <c r="N109" s="17">
        <f>IFERROR(__xludf.DUMMYFUNCTION("""COMPUTED_VALUE"""),45867.66666666667)</f>
        <v>45867.66667</v>
      </c>
      <c r="O109" s="9">
        <f>IFERROR(__xludf.DUMMYFUNCTION("""COMPUTED_VALUE"""),152.75)</f>
        <v>152.75</v>
      </c>
      <c r="Q109" s="17"/>
    </row>
    <row r="110">
      <c r="B110" s="11">
        <f>IFERROR(__xludf.DUMMYFUNCTION("""COMPUTED_VALUE"""),45866.66666666667)</f>
        <v>45866.66667</v>
      </c>
      <c r="C110" s="9">
        <f>IFERROR(__xludf.DUMMYFUNCTION("""COMPUTED_VALUE"""),154.51)</f>
        <v>154.51</v>
      </c>
      <c r="E110" s="17">
        <f>IFERROR(__xludf.DUMMYFUNCTION("""COMPUTED_VALUE"""),45866.66666666667)</f>
        <v>45866.66667</v>
      </c>
      <c r="F110" s="9">
        <f>IFERROR(__xludf.DUMMYFUNCTION("""COMPUTED_VALUE"""),154.51)</f>
        <v>154.51</v>
      </c>
      <c r="N110" s="17">
        <f>IFERROR(__xludf.DUMMYFUNCTION("""COMPUTED_VALUE"""),45866.66666666667)</f>
        <v>45866.66667</v>
      </c>
      <c r="O110" s="9">
        <f>IFERROR(__xludf.DUMMYFUNCTION("""COMPUTED_VALUE"""),154.51)</f>
        <v>154.51</v>
      </c>
      <c r="Q110" s="17"/>
    </row>
    <row r="111">
      <c r="B111" s="11">
        <f>IFERROR(__xludf.DUMMYFUNCTION("""COMPUTED_VALUE"""),45863.66666666667)</f>
        <v>45863.66667</v>
      </c>
      <c r="C111" s="9">
        <f>IFERROR(__xludf.DUMMYFUNCTION("""COMPUTED_VALUE"""),154.99)</f>
        <v>154.99</v>
      </c>
      <c r="E111" s="17">
        <f>IFERROR(__xludf.DUMMYFUNCTION("""COMPUTED_VALUE"""),45863.66666666667)</f>
        <v>45863.66667</v>
      </c>
      <c r="F111" s="9">
        <f>IFERROR(__xludf.DUMMYFUNCTION("""COMPUTED_VALUE"""),154.99)</f>
        <v>154.99</v>
      </c>
      <c r="N111" s="17">
        <f>IFERROR(__xludf.DUMMYFUNCTION("""COMPUTED_VALUE"""),45863.66666666667)</f>
        <v>45863.66667</v>
      </c>
      <c r="O111" s="9">
        <f>IFERROR(__xludf.DUMMYFUNCTION("""COMPUTED_VALUE"""),154.99)</f>
        <v>154.99</v>
      </c>
      <c r="Q111" s="17"/>
    </row>
    <row r="112">
      <c r="B112" s="11">
        <f>IFERROR(__xludf.DUMMYFUNCTION("""COMPUTED_VALUE"""),45862.66666666667)</f>
        <v>45862.66667</v>
      </c>
      <c r="C112" s="9">
        <f>IFERROR(__xludf.DUMMYFUNCTION("""COMPUTED_VALUE"""),153.47)</f>
        <v>153.47</v>
      </c>
      <c r="E112" s="17">
        <f>IFERROR(__xludf.DUMMYFUNCTION("""COMPUTED_VALUE"""),45862.66666666667)</f>
        <v>45862.66667</v>
      </c>
      <c r="F112" s="9">
        <f>IFERROR(__xludf.DUMMYFUNCTION("""COMPUTED_VALUE"""),153.47)</f>
        <v>153.47</v>
      </c>
      <c r="N112" s="17">
        <f>IFERROR(__xludf.DUMMYFUNCTION("""COMPUTED_VALUE"""),45862.66666666667)</f>
        <v>45862.66667</v>
      </c>
      <c r="O112" s="9">
        <f>IFERROR(__xludf.DUMMYFUNCTION("""COMPUTED_VALUE"""),153.47)</f>
        <v>153.47</v>
      </c>
      <c r="Q112" s="17"/>
    </row>
    <row r="113">
      <c r="B113" s="11">
        <f>IFERROR(__xludf.DUMMYFUNCTION("""COMPUTED_VALUE"""),45861.66666666667)</f>
        <v>45861.66667</v>
      </c>
      <c r="C113" s="9">
        <f>IFERROR(__xludf.DUMMYFUNCTION("""COMPUTED_VALUE"""),153.73)</f>
        <v>153.73</v>
      </c>
      <c r="E113" s="17">
        <f>IFERROR(__xludf.DUMMYFUNCTION("""COMPUTED_VALUE"""),45861.66666666667)</f>
        <v>45861.66667</v>
      </c>
      <c r="F113" s="9">
        <f>IFERROR(__xludf.DUMMYFUNCTION("""COMPUTED_VALUE"""),153.73)</f>
        <v>153.73</v>
      </c>
      <c r="N113" s="17">
        <f>IFERROR(__xludf.DUMMYFUNCTION("""COMPUTED_VALUE"""),45861.66666666667)</f>
        <v>45861.66667</v>
      </c>
      <c r="O113" s="9">
        <f>IFERROR(__xludf.DUMMYFUNCTION("""COMPUTED_VALUE"""),153.73)</f>
        <v>153.73</v>
      </c>
      <c r="Q113" s="17"/>
    </row>
    <row r="114">
      <c r="B114" s="11">
        <f>IFERROR(__xludf.DUMMYFUNCTION("""COMPUTED_VALUE"""),45860.66666666667)</f>
        <v>45860.66667</v>
      </c>
      <c r="C114" s="9">
        <f>IFERROR(__xludf.DUMMYFUNCTION("""COMPUTED_VALUE"""),151.02)</f>
        <v>151.02</v>
      </c>
      <c r="E114" s="17">
        <f>IFERROR(__xludf.DUMMYFUNCTION("""COMPUTED_VALUE"""),45860.66666666667)</f>
        <v>45860.66667</v>
      </c>
      <c r="F114" s="9">
        <f>IFERROR(__xludf.DUMMYFUNCTION("""COMPUTED_VALUE"""),151.02)</f>
        <v>151.02</v>
      </c>
      <c r="N114" s="17">
        <f>IFERROR(__xludf.DUMMYFUNCTION("""COMPUTED_VALUE"""),45860.66666666667)</f>
        <v>45860.66667</v>
      </c>
      <c r="O114" s="9">
        <f>IFERROR(__xludf.DUMMYFUNCTION("""COMPUTED_VALUE"""),151.02)</f>
        <v>151.02</v>
      </c>
      <c r="Q114" s="17"/>
    </row>
    <row r="115">
      <c r="B115" s="11">
        <f>IFERROR(__xludf.DUMMYFUNCTION("""COMPUTED_VALUE"""),45859.66666666667)</f>
        <v>45859.66667</v>
      </c>
      <c r="C115" s="9">
        <f>IFERROR(__xludf.DUMMYFUNCTION("""COMPUTED_VALUE"""),150.66)</f>
        <v>150.66</v>
      </c>
      <c r="E115" s="17">
        <f>IFERROR(__xludf.DUMMYFUNCTION("""COMPUTED_VALUE"""),45859.66666666667)</f>
        <v>45859.66667</v>
      </c>
      <c r="F115" s="9">
        <f>IFERROR(__xludf.DUMMYFUNCTION("""COMPUTED_VALUE"""),150.66)</f>
        <v>150.66</v>
      </c>
      <c r="N115" s="17">
        <f>IFERROR(__xludf.DUMMYFUNCTION("""COMPUTED_VALUE"""),45859.66666666667)</f>
        <v>45859.66667</v>
      </c>
      <c r="O115" s="9">
        <f>IFERROR(__xludf.DUMMYFUNCTION("""COMPUTED_VALUE"""),150.66)</f>
        <v>150.66</v>
      </c>
      <c r="Q115" s="17"/>
    </row>
    <row r="116">
      <c r="B116" s="11">
        <f>IFERROR(__xludf.DUMMYFUNCTION("""COMPUTED_VALUE"""),45856.66666666667)</f>
        <v>45856.66667</v>
      </c>
      <c r="C116" s="9">
        <f>IFERROR(__xludf.DUMMYFUNCTION("""COMPUTED_VALUE"""),151.46)</f>
        <v>151.46</v>
      </c>
      <c r="E116" s="17">
        <f>IFERROR(__xludf.DUMMYFUNCTION("""COMPUTED_VALUE"""),45856.66666666667)</f>
        <v>45856.66667</v>
      </c>
      <c r="F116" s="9">
        <f>IFERROR(__xludf.DUMMYFUNCTION("""COMPUTED_VALUE"""),151.46)</f>
        <v>151.46</v>
      </c>
      <c r="N116" s="17">
        <f>IFERROR(__xludf.DUMMYFUNCTION("""COMPUTED_VALUE"""),45856.66666666667)</f>
        <v>45856.66667</v>
      </c>
      <c r="O116" s="9">
        <f>IFERROR(__xludf.DUMMYFUNCTION("""COMPUTED_VALUE"""),151.46)</f>
        <v>151.46</v>
      </c>
      <c r="Q116" s="17"/>
    </row>
    <row r="117">
      <c r="B117" s="11">
        <f>IFERROR(__xludf.DUMMYFUNCTION("""COMPUTED_VALUE"""),45855.66666666667)</f>
        <v>45855.66667</v>
      </c>
      <c r="C117" s="9">
        <f>IFERROR(__xludf.DUMMYFUNCTION("""COMPUTED_VALUE"""),151.8)</f>
        <v>151.8</v>
      </c>
      <c r="E117" s="17">
        <f>IFERROR(__xludf.DUMMYFUNCTION("""COMPUTED_VALUE"""),45855.66666666667)</f>
        <v>45855.66667</v>
      </c>
      <c r="F117" s="9">
        <f>IFERROR(__xludf.DUMMYFUNCTION("""COMPUTED_VALUE"""),151.8)</f>
        <v>151.8</v>
      </c>
      <c r="N117" s="17">
        <f>IFERROR(__xludf.DUMMYFUNCTION("""COMPUTED_VALUE"""),45855.66666666667)</f>
        <v>45855.66667</v>
      </c>
      <c r="O117" s="9">
        <f>IFERROR(__xludf.DUMMYFUNCTION("""COMPUTED_VALUE"""),151.8)</f>
        <v>151.8</v>
      </c>
      <c r="Q117" s="17"/>
    </row>
    <row r="118">
      <c r="B118" s="11">
        <f>IFERROR(__xludf.DUMMYFUNCTION("""COMPUTED_VALUE"""),45854.66666666667)</f>
        <v>45854.66667</v>
      </c>
      <c r="C118" s="9">
        <f>IFERROR(__xludf.DUMMYFUNCTION("""COMPUTED_VALUE"""),150.41)</f>
        <v>150.41</v>
      </c>
      <c r="E118" s="17">
        <f>IFERROR(__xludf.DUMMYFUNCTION("""COMPUTED_VALUE"""),45854.66666666667)</f>
        <v>45854.66667</v>
      </c>
      <c r="F118" s="9">
        <f>IFERROR(__xludf.DUMMYFUNCTION("""COMPUTED_VALUE"""),150.41)</f>
        <v>150.41</v>
      </c>
      <c r="N118" s="17">
        <f>IFERROR(__xludf.DUMMYFUNCTION("""COMPUTED_VALUE"""),45854.66666666667)</f>
        <v>45854.66667</v>
      </c>
      <c r="O118" s="9">
        <f>IFERROR(__xludf.DUMMYFUNCTION("""COMPUTED_VALUE"""),150.41)</f>
        <v>150.41</v>
      </c>
      <c r="Q118" s="17"/>
    </row>
    <row r="119">
      <c r="B119" s="11">
        <f>IFERROR(__xludf.DUMMYFUNCTION("""COMPUTED_VALUE"""),45853.66666666667)</f>
        <v>45853.66667</v>
      </c>
      <c r="C119" s="9">
        <f>IFERROR(__xludf.DUMMYFUNCTION("""COMPUTED_VALUE"""),149.88)</f>
        <v>149.88</v>
      </c>
      <c r="E119" s="17">
        <f>IFERROR(__xludf.DUMMYFUNCTION("""COMPUTED_VALUE"""),45853.66666666667)</f>
        <v>45853.66667</v>
      </c>
      <c r="F119" s="9">
        <f>IFERROR(__xludf.DUMMYFUNCTION("""COMPUTED_VALUE"""),149.88)</f>
        <v>149.88</v>
      </c>
      <c r="N119" s="17">
        <f>IFERROR(__xludf.DUMMYFUNCTION("""COMPUTED_VALUE"""),45853.66666666667)</f>
        <v>45853.66667</v>
      </c>
      <c r="O119" s="9">
        <f>IFERROR(__xludf.DUMMYFUNCTION("""COMPUTED_VALUE"""),149.88)</f>
        <v>149.88</v>
      </c>
      <c r="Q119" s="17"/>
    </row>
    <row r="120">
      <c r="B120" s="11">
        <f>IFERROR(__xludf.DUMMYFUNCTION("""COMPUTED_VALUE"""),45852.66666666667)</f>
        <v>45852.66667</v>
      </c>
      <c r="C120" s="9">
        <f>IFERROR(__xludf.DUMMYFUNCTION("""COMPUTED_VALUE"""),151.01)</f>
        <v>151.01</v>
      </c>
      <c r="E120" s="17">
        <f>IFERROR(__xludf.DUMMYFUNCTION("""COMPUTED_VALUE"""),45852.66666666667)</f>
        <v>45852.66667</v>
      </c>
      <c r="F120" s="9">
        <f>IFERROR(__xludf.DUMMYFUNCTION("""COMPUTED_VALUE"""),151.01)</f>
        <v>151.01</v>
      </c>
      <c r="N120" s="17">
        <f>IFERROR(__xludf.DUMMYFUNCTION("""COMPUTED_VALUE"""),45852.66666666667)</f>
        <v>45852.66667</v>
      </c>
      <c r="O120" s="9">
        <f>IFERROR(__xludf.DUMMYFUNCTION("""COMPUTED_VALUE"""),151.01)</f>
        <v>151.01</v>
      </c>
      <c r="Q120" s="17"/>
    </row>
    <row r="121">
      <c r="B121" s="11">
        <f>IFERROR(__xludf.DUMMYFUNCTION("""COMPUTED_VALUE"""),45849.66666666667)</f>
        <v>45849.66667</v>
      </c>
      <c r="C121" s="9">
        <f>IFERROR(__xludf.DUMMYFUNCTION("""COMPUTED_VALUE"""),150.2)</f>
        <v>150.2</v>
      </c>
      <c r="E121" s="17">
        <f>IFERROR(__xludf.DUMMYFUNCTION("""COMPUTED_VALUE"""),45849.66666666667)</f>
        <v>45849.66667</v>
      </c>
      <c r="F121" s="9">
        <f>IFERROR(__xludf.DUMMYFUNCTION("""COMPUTED_VALUE"""),150.2)</f>
        <v>150.2</v>
      </c>
      <c r="N121" s="17">
        <f>IFERROR(__xludf.DUMMYFUNCTION("""COMPUTED_VALUE"""),45849.66666666667)</f>
        <v>45849.66667</v>
      </c>
      <c r="O121" s="9">
        <f>IFERROR(__xludf.DUMMYFUNCTION("""COMPUTED_VALUE"""),150.2)</f>
        <v>150.2</v>
      </c>
      <c r="Q121" s="17"/>
    </row>
    <row r="122">
      <c r="B122" s="11">
        <f>IFERROR(__xludf.DUMMYFUNCTION("""COMPUTED_VALUE"""),45848.66666666667)</f>
        <v>45848.66667</v>
      </c>
      <c r="C122" s="9">
        <f>IFERROR(__xludf.DUMMYFUNCTION("""COMPUTED_VALUE"""),150.74)</f>
        <v>150.74</v>
      </c>
      <c r="E122" s="17">
        <f>IFERROR(__xludf.DUMMYFUNCTION("""COMPUTED_VALUE"""),45848.66666666667)</f>
        <v>45848.66667</v>
      </c>
      <c r="F122" s="9">
        <f>IFERROR(__xludf.DUMMYFUNCTION("""COMPUTED_VALUE"""),150.74)</f>
        <v>150.74</v>
      </c>
      <c r="N122" s="17">
        <f>IFERROR(__xludf.DUMMYFUNCTION("""COMPUTED_VALUE"""),45848.66666666667)</f>
        <v>45848.66667</v>
      </c>
      <c r="O122" s="9">
        <f>IFERROR(__xludf.DUMMYFUNCTION("""COMPUTED_VALUE"""),150.74)</f>
        <v>150.74</v>
      </c>
      <c r="Q122" s="17"/>
    </row>
    <row r="123">
      <c r="B123" s="11">
        <f>IFERROR(__xludf.DUMMYFUNCTION("""COMPUTED_VALUE"""),45847.66666666667)</f>
        <v>45847.66667</v>
      </c>
      <c r="C123" s="9">
        <f>IFERROR(__xludf.DUMMYFUNCTION("""COMPUTED_VALUE"""),149.9)</f>
        <v>149.9</v>
      </c>
      <c r="E123" s="17">
        <f>IFERROR(__xludf.DUMMYFUNCTION("""COMPUTED_VALUE"""),45847.66666666667)</f>
        <v>45847.66667</v>
      </c>
      <c r="F123" s="9">
        <f>IFERROR(__xludf.DUMMYFUNCTION("""COMPUTED_VALUE"""),149.9)</f>
        <v>149.9</v>
      </c>
      <c r="N123" s="17">
        <f>IFERROR(__xludf.DUMMYFUNCTION("""COMPUTED_VALUE"""),45847.66666666667)</f>
        <v>45847.66667</v>
      </c>
      <c r="O123" s="9">
        <f>IFERROR(__xludf.DUMMYFUNCTION("""COMPUTED_VALUE"""),149.9)</f>
        <v>149.9</v>
      </c>
      <c r="Q123" s="17"/>
    </row>
    <row r="124">
      <c r="B124" s="11">
        <f>IFERROR(__xludf.DUMMYFUNCTION("""COMPUTED_VALUE"""),45846.66666666667)</f>
        <v>45846.66667</v>
      </c>
      <c r="C124" s="9">
        <f>IFERROR(__xludf.DUMMYFUNCTION("""COMPUTED_VALUE"""),148.86)</f>
        <v>148.86</v>
      </c>
      <c r="E124" s="17">
        <f>IFERROR(__xludf.DUMMYFUNCTION("""COMPUTED_VALUE"""),45846.66666666667)</f>
        <v>45846.66667</v>
      </c>
      <c r="F124" s="9">
        <f>IFERROR(__xludf.DUMMYFUNCTION("""COMPUTED_VALUE"""),148.86)</f>
        <v>148.86</v>
      </c>
      <c r="N124" s="17">
        <f>IFERROR(__xludf.DUMMYFUNCTION("""COMPUTED_VALUE"""),45846.66666666667)</f>
        <v>45846.66667</v>
      </c>
      <c r="O124" s="9">
        <f>IFERROR(__xludf.DUMMYFUNCTION("""COMPUTED_VALUE"""),148.86)</f>
        <v>148.86</v>
      </c>
      <c r="Q124" s="17"/>
    </row>
    <row r="125">
      <c r="B125" s="11">
        <f>IFERROR(__xludf.DUMMYFUNCTION("""COMPUTED_VALUE"""),45845.66666666667)</f>
        <v>45845.66667</v>
      </c>
      <c r="C125" s="9">
        <f>IFERROR(__xludf.DUMMYFUNCTION("""COMPUTED_VALUE"""),148.9)</f>
        <v>148.9</v>
      </c>
      <c r="E125" s="17">
        <f>IFERROR(__xludf.DUMMYFUNCTION("""COMPUTED_VALUE"""),45845.66666666667)</f>
        <v>45845.66667</v>
      </c>
      <c r="F125" s="9">
        <f>IFERROR(__xludf.DUMMYFUNCTION("""COMPUTED_VALUE"""),148.9)</f>
        <v>148.9</v>
      </c>
      <c r="N125" s="17">
        <f>IFERROR(__xludf.DUMMYFUNCTION("""COMPUTED_VALUE"""),45845.66666666667)</f>
        <v>45845.66667</v>
      </c>
      <c r="O125" s="9">
        <f>IFERROR(__xludf.DUMMYFUNCTION("""COMPUTED_VALUE"""),148.9)</f>
        <v>148.9</v>
      </c>
      <c r="Q125" s="17"/>
    </row>
    <row r="126">
      <c r="B126" s="11">
        <f>IFERROR(__xludf.DUMMYFUNCTION("""COMPUTED_VALUE"""),45841.55208333333)</f>
        <v>45841.55208</v>
      </c>
      <c r="C126" s="9">
        <f>IFERROR(__xludf.DUMMYFUNCTION("""COMPUTED_VALUE"""),149.42)</f>
        <v>149.42</v>
      </c>
      <c r="E126" s="17">
        <f>IFERROR(__xludf.DUMMYFUNCTION("""COMPUTED_VALUE"""),45841.55208333333)</f>
        <v>45841.55208</v>
      </c>
      <c r="F126" s="9">
        <f>IFERROR(__xludf.DUMMYFUNCTION("""COMPUTED_VALUE"""),149.42)</f>
        <v>149.42</v>
      </c>
      <c r="N126" s="17">
        <f>IFERROR(__xludf.DUMMYFUNCTION("""COMPUTED_VALUE"""),45841.55208333333)</f>
        <v>45841.55208</v>
      </c>
      <c r="O126" s="9">
        <f>IFERROR(__xludf.DUMMYFUNCTION("""COMPUTED_VALUE"""),149.42)</f>
        <v>149.42</v>
      </c>
      <c r="Q126" s="17"/>
    </row>
    <row r="127">
      <c r="B127" s="11">
        <f>IFERROR(__xludf.DUMMYFUNCTION("""COMPUTED_VALUE"""),45840.66666666667)</f>
        <v>45840.66667</v>
      </c>
      <c r="C127" s="9">
        <f>IFERROR(__xludf.DUMMYFUNCTION("""COMPUTED_VALUE"""),148.16)</f>
        <v>148.16</v>
      </c>
      <c r="E127" s="17">
        <f>IFERROR(__xludf.DUMMYFUNCTION("""COMPUTED_VALUE"""),45840.66666666667)</f>
        <v>45840.66667</v>
      </c>
      <c r="F127" s="9">
        <f>IFERROR(__xludf.DUMMYFUNCTION("""COMPUTED_VALUE"""),148.16)</f>
        <v>148.16</v>
      </c>
      <c r="N127" s="17"/>
      <c r="Q127" s="17"/>
    </row>
    <row r="128">
      <c r="B128" s="11">
        <f>IFERROR(__xludf.DUMMYFUNCTION("""COMPUTED_VALUE"""),45839.66666666667)</f>
        <v>45839.66667</v>
      </c>
      <c r="C128" s="9">
        <f>IFERROR(__xludf.DUMMYFUNCTION("""COMPUTED_VALUE"""),148.01)</f>
        <v>148.01</v>
      </c>
      <c r="E128" s="17">
        <f>IFERROR(__xludf.DUMMYFUNCTION("""COMPUTED_VALUE"""),45839.66666666667)</f>
        <v>45839.66667</v>
      </c>
      <c r="F128" s="9">
        <f>IFERROR(__xludf.DUMMYFUNCTION("""COMPUTED_VALUE"""),148.01)</f>
        <v>148.01</v>
      </c>
      <c r="N128" s="17"/>
      <c r="Q128" s="17"/>
    </row>
    <row r="129">
      <c r="B129" s="11">
        <f>IFERROR(__xludf.DUMMYFUNCTION("""COMPUTED_VALUE"""),45838.66666666667)</f>
        <v>45838.66667</v>
      </c>
      <c r="C129" s="9">
        <f>IFERROR(__xludf.DUMMYFUNCTION("""COMPUTED_VALUE"""),147.52)</f>
        <v>147.52</v>
      </c>
      <c r="E129" s="17">
        <f>IFERROR(__xludf.DUMMYFUNCTION("""COMPUTED_VALUE"""),45838.66666666667)</f>
        <v>45838.66667</v>
      </c>
      <c r="F129" s="9">
        <f>IFERROR(__xludf.DUMMYFUNCTION("""COMPUTED_VALUE"""),147.52)</f>
        <v>147.52</v>
      </c>
      <c r="N129" s="17"/>
      <c r="Q129" s="17"/>
    </row>
    <row r="130">
      <c r="B130" s="11">
        <f>IFERROR(__xludf.DUMMYFUNCTION("""COMPUTED_VALUE"""),45835.66666666667)</f>
        <v>45835.66667</v>
      </c>
      <c r="C130" s="9">
        <f>IFERROR(__xludf.DUMMYFUNCTION("""COMPUTED_VALUE"""),146.79)</f>
        <v>146.79</v>
      </c>
      <c r="E130" s="17">
        <f>IFERROR(__xludf.DUMMYFUNCTION("""COMPUTED_VALUE"""),45835.66666666667)</f>
        <v>45835.66667</v>
      </c>
      <c r="F130" s="9">
        <f>IFERROR(__xludf.DUMMYFUNCTION("""COMPUTED_VALUE"""),146.79)</f>
        <v>146.79</v>
      </c>
      <c r="N130" s="17"/>
      <c r="Q130" s="17"/>
    </row>
    <row r="131">
      <c r="B131" s="11">
        <f>IFERROR(__xludf.DUMMYFUNCTION("""COMPUTED_VALUE"""),45834.66666666667)</f>
        <v>45834.66667</v>
      </c>
      <c r="C131" s="9">
        <f>IFERROR(__xludf.DUMMYFUNCTION("""COMPUTED_VALUE"""),145.34)</f>
        <v>145.34</v>
      </c>
      <c r="E131" s="17">
        <f>IFERROR(__xludf.DUMMYFUNCTION("""COMPUTED_VALUE"""),45834.66666666667)</f>
        <v>45834.66667</v>
      </c>
      <c r="F131" s="9">
        <f>IFERROR(__xludf.DUMMYFUNCTION("""COMPUTED_VALUE"""),145.34)</f>
        <v>145.34</v>
      </c>
      <c r="N131" s="17"/>
      <c r="Q131" s="17"/>
    </row>
    <row r="132">
      <c r="B132" s="11">
        <f>IFERROR(__xludf.DUMMYFUNCTION("""COMPUTED_VALUE"""),45833.66666666667)</f>
        <v>45833.66667</v>
      </c>
      <c r="C132" s="9">
        <f>IFERROR(__xludf.DUMMYFUNCTION("""COMPUTED_VALUE"""),143.78)</f>
        <v>143.78</v>
      </c>
      <c r="E132" s="17">
        <f>IFERROR(__xludf.DUMMYFUNCTION("""COMPUTED_VALUE"""),45833.66666666667)</f>
        <v>45833.66667</v>
      </c>
      <c r="F132" s="9">
        <f>IFERROR(__xludf.DUMMYFUNCTION("""COMPUTED_VALUE"""),143.78)</f>
        <v>143.78</v>
      </c>
      <c r="N132" s="17"/>
      <c r="Q132" s="17"/>
    </row>
    <row r="133">
      <c r="B133" s="11">
        <f>IFERROR(__xludf.DUMMYFUNCTION("""COMPUTED_VALUE"""),45832.66666666667)</f>
        <v>45832.66667</v>
      </c>
      <c r="C133" s="9">
        <f>IFERROR(__xludf.DUMMYFUNCTION("""COMPUTED_VALUE"""),145.06)</f>
        <v>145.06</v>
      </c>
      <c r="E133" s="17">
        <f>IFERROR(__xludf.DUMMYFUNCTION("""COMPUTED_VALUE"""),45832.66666666667)</f>
        <v>45832.66667</v>
      </c>
      <c r="F133" s="9">
        <f>IFERROR(__xludf.DUMMYFUNCTION("""COMPUTED_VALUE"""),145.06)</f>
        <v>145.06</v>
      </c>
      <c r="N133" s="17"/>
      <c r="Q133" s="17"/>
    </row>
    <row r="134">
      <c r="B134" s="11">
        <f>IFERROR(__xludf.DUMMYFUNCTION("""COMPUTED_VALUE"""),45831.66666666667)</f>
        <v>45831.66667</v>
      </c>
      <c r="C134" s="9">
        <f>IFERROR(__xludf.DUMMYFUNCTION("""COMPUTED_VALUE"""),143.86)</f>
        <v>143.86</v>
      </c>
      <c r="E134" s="17">
        <f>IFERROR(__xludf.DUMMYFUNCTION("""COMPUTED_VALUE"""),45831.66666666667)</f>
        <v>45831.66667</v>
      </c>
      <c r="F134" s="9">
        <f>IFERROR(__xludf.DUMMYFUNCTION("""COMPUTED_VALUE"""),143.86)</f>
        <v>143.86</v>
      </c>
      <c r="N134" s="17"/>
      <c r="Q134" s="17"/>
    </row>
    <row r="135">
      <c r="B135" s="11">
        <f>IFERROR(__xludf.DUMMYFUNCTION("""COMPUTED_VALUE"""),45828.66666666667)</f>
        <v>45828.66667</v>
      </c>
      <c r="C135" s="9">
        <f>IFERROR(__xludf.DUMMYFUNCTION("""COMPUTED_VALUE"""),142.37)</f>
        <v>142.37</v>
      </c>
      <c r="E135" s="17">
        <f>IFERROR(__xludf.DUMMYFUNCTION("""COMPUTED_VALUE"""),45828.66666666667)</f>
        <v>45828.66667</v>
      </c>
      <c r="F135" s="9">
        <f>IFERROR(__xludf.DUMMYFUNCTION("""COMPUTED_VALUE"""),142.37)</f>
        <v>142.37</v>
      </c>
      <c r="N135" s="17"/>
      <c r="Q135" s="17"/>
    </row>
    <row r="136">
      <c r="B136" s="11">
        <f>IFERROR(__xludf.DUMMYFUNCTION("""COMPUTED_VALUE"""),45826.66666666667)</f>
        <v>45826.66667</v>
      </c>
      <c r="C136" s="9">
        <f>IFERROR(__xludf.DUMMYFUNCTION("""COMPUTED_VALUE"""),142.21)</f>
        <v>142.21</v>
      </c>
      <c r="E136" s="17">
        <f>IFERROR(__xludf.DUMMYFUNCTION("""COMPUTED_VALUE"""),45826.66666666667)</f>
        <v>45826.66667</v>
      </c>
      <c r="F136" s="9">
        <f>IFERROR(__xludf.DUMMYFUNCTION("""COMPUTED_VALUE"""),142.21)</f>
        <v>142.21</v>
      </c>
      <c r="N136" s="17"/>
      <c r="Q136" s="17"/>
    </row>
    <row r="137">
      <c r="B137" s="11">
        <f>IFERROR(__xludf.DUMMYFUNCTION("""COMPUTED_VALUE"""),45825.66666666667)</f>
        <v>45825.66667</v>
      </c>
      <c r="C137" s="9">
        <f>IFERROR(__xludf.DUMMYFUNCTION("""COMPUTED_VALUE"""),142.55)</f>
        <v>142.55</v>
      </c>
      <c r="E137" s="17">
        <f>IFERROR(__xludf.DUMMYFUNCTION("""COMPUTED_VALUE"""),45825.66666666667)</f>
        <v>45825.66667</v>
      </c>
      <c r="F137" s="9">
        <f>IFERROR(__xludf.DUMMYFUNCTION("""COMPUTED_VALUE"""),142.55)</f>
        <v>142.55</v>
      </c>
      <c r="N137" s="17"/>
      <c r="Q137" s="17"/>
    </row>
    <row r="138">
      <c r="B138" s="11">
        <f>IFERROR(__xludf.DUMMYFUNCTION("""COMPUTED_VALUE"""),45824.66666666667)</f>
        <v>45824.66667</v>
      </c>
      <c r="C138" s="9">
        <f>IFERROR(__xludf.DUMMYFUNCTION("""COMPUTED_VALUE"""),143.63)</f>
        <v>143.63</v>
      </c>
      <c r="E138" s="17">
        <f>IFERROR(__xludf.DUMMYFUNCTION("""COMPUTED_VALUE"""),45824.66666666667)</f>
        <v>45824.66667</v>
      </c>
      <c r="F138" s="9">
        <f>IFERROR(__xludf.DUMMYFUNCTION("""COMPUTED_VALUE"""),143.63)</f>
        <v>143.63</v>
      </c>
      <c r="N138" s="17"/>
      <c r="Q138" s="17"/>
    </row>
    <row r="139">
      <c r="B139" s="11">
        <f>IFERROR(__xludf.DUMMYFUNCTION("""COMPUTED_VALUE"""),45821.66666666667)</f>
        <v>45821.66667</v>
      </c>
      <c r="C139" s="9">
        <f>IFERROR(__xludf.DUMMYFUNCTION("""COMPUTED_VALUE"""),142.65)</f>
        <v>142.65</v>
      </c>
      <c r="E139" s="17">
        <f>IFERROR(__xludf.DUMMYFUNCTION("""COMPUTED_VALUE"""),45821.66666666667)</f>
        <v>45821.66667</v>
      </c>
      <c r="F139" s="9">
        <f>IFERROR(__xludf.DUMMYFUNCTION("""COMPUTED_VALUE"""),142.65)</f>
        <v>142.65</v>
      </c>
      <c r="N139" s="17"/>
      <c r="Q139" s="17"/>
    </row>
    <row r="140">
      <c r="B140" s="11">
        <f>IFERROR(__xludf.DUMMYFUNCTION("""COMPUTED_VALUE"""),45820.66666666667)</f>
        <v>45820.66667</v>
      </c>
      <c r="C140" s="9">
        <f>IFERROR(__xludf.DUMMYFUNCTION("""COMPUTED_VALUE"""),143.86)</f>
        <v>143.86</v>
      </c>
      <c r="E140" s="17">
        <f>IFERROR(__xludf.DUMMYFUNCTION("""COMPUTED_VALUE"""),45820.66666666667)</f>
        <v>45820.66667</v>
      </c>
      <c r="F140" s="9">
        <f>IFERROR(__xludf.DUMMYFUNCTION("""COMPUTED_VALUE"""),143.86)</f>
        <v>143.86</v>
      </c>
      <c r="N140" s="17"/>
      <c r="Q140" s="17"/>
    </row>
    <row r="141">
      <c r="B141" s="11">
        <f>IFERROR(__xludf.DUMMYFUNCTION("""COMPUTED_VALUE"""),45819.66666666667)</f>
        <v>45819.66667</v>
      </c>
      <c r="C141" s="9">
        <f>IFERROR(__xludf.DUMMYFUNCTION("""COMPUTED_VALUE"""),144.24)</f>
        <v>144.24</v>
      </c>
      <c r="E141" s="17">
        <f>IFERROR(__xludf.DUMMYFUNCTION("""COMPUTED_VALUE"""),45819.66666666667)</f>
        <v>45819.66667</v>
      </c>
      <c r="F141" s="9">
        <f>IFERROR(__xludf.DUMMYFUNCTION("""COMPUTED_VALUE"""),144.24)</f>
        <v>144.24</v>
      </c>
      <c r="N141" s="17"/>
      <c r="Q141" s="17"/>
    </row>
    <row r="142">
      <c r="B142" s="11">
        <f>IFERROR(__xludf.DUMMYFUNCTION("""COMPUTED_VALUE"""),45818.66666666667)</f>
        <v>45818.66667</v>
      </c>
      <c r="C142" s="9">
        <f>IFERROR(__xludf.DUMMYFUNCTION("""COMPUTED_VALUE"""),144.17)</f>
        <v>144.17</v>
      </c>
      <c r="E142" s="17">
        <f>IFERROR(__xludf.DUMMYFUNCTION("""COMPUTED_VALUE"""),45818.66666666667)</f>
        <v>45818.66667</v>
      </c>
      <c r="F142" s="9">
        <f>IFERROR(__xludf.DUMMYFUNCTION("""COMPUTED_VALUE"""),144.17)</f>
        <v>144.17</v>
      </c>
      <c r="N142" s="17"/>
      <c r="Q142" s="17"/>
    </row>
    <row r="143">
      <c r="B143" s="11">
        <f>IFERROR(__xludf.DUMMYFUNCTION("""COMPUTED_VALUE"""),45817.66666666667)</f>
        <v>45817.66667</v>
      </c>
      <c r="C143" s="9">
        <f>IFERROR(__xludf.DUMMYFUNCTION("""COMPUTED_VALUE"""),144.8)</f>
        <v>144.8</v>
      </c>
      <c r="E143" s="17">
        <f>IFERROR(__xludf.DUMMYFUNCTION("""COMPUTED_VALUE"""),45817.66666666667)</f>
        <v>45817.66667</v>
      </c>
      <c r="F143" s="9">
        <f>IFERROR(__xludf.DUMMYFUNCTION("""COMPUTED_VALUE"""),144.8)</f>
        <v>144.8</v>
      </c>
      <c r="N143" s="17"/>
      <c r="Q143" s="17"/>
    </row>
    <row r="144">
      <c r="B144" s="11">
        <f>IFERROR(__xludf.DUMMYFUNCTION("""COMPUTED_VALUE"""),45814.66666666667)</f>
        <v>45814.66667</v>
      </c>
      <c r="C144" s="9">
        <f>IFERROR(__xludf.DUMMYFUNCTION("""COMPUTED_VALUE"""),144.93)</f>
        <v>144.93</v>
      </c>
      <c r="E144" s="17">
        <f>IFERROR(__xludf.DUMMYFUNCTION("""COMPUTED_VALUE"""),45814.66666666667)</f>
        <v>45814.66667</v>
      </c>
      <c r="F144" s="9">
        <f>IFERROR(__xludf.DUMMYFUNCTION("""COMPUTED_VALUE"""),144.93)</f>
        <v>144.93</v>
      </c>
      <c r="N144" s="17"/>
      <c r="Q144" s="17"/>
    </row>
    <row r="145">
      <c r="B145" s="11">
        <f>IFERROR(__xludf.DUMMYFUNCTION("""COMPUTED_VALUE"""),45813.66666666667)</f>
        <v>45813.66667</v>
      </c>
      <c r="C145" s="9">
        <f>IFERROR(__xludf.DUMMYFUNCTION("""COMPUTED_VALUE"""),143.72)</f>
        <v>143.72</v>
      </c>
      <c r="E145" s="17">
        <f>IFERROR(__xludf.DUMMYFUNCTION("""COMPUTED_VALUE"""),45813.66666666667)</f>
        <v>45813.66667</v>
      </c>
      <c r="F145" s="9">
        <f>IFERROR(__xludf.DUMMYFUNCTION("""COMPUTED_VALUE"""),143.72)</f>
        <v>143.72</v>
      </c>
      <c r="N145" s="17"/>
      <c r="Q145" s="17"/>
    </row>
    <row r="146">
      <c r="B146" s="11">
        <f>IFERROR(__xludf.DUMMYFUNCTION("""COMPUTED_VALUE"""),45812.66666666667)</f>
        <v>45812.66667</v>
      </c>
      <c r="C146" s="9">
        <f>IFERROR(__xludf.DUMMYFUNCTION("""COMPUTED_VALUE"""),143.82)</f>
        <v>143.82</v>
      </c>
      <c r="E146" s="17">
        <f>IFERROR(__xludf.DUMMYFUNCTION("""COMPUTED_VALUE"""),45812.66666666667)</f>
        <v>45812.66667</v>
      </c>
      <c r="F146" s="9">
        <f>IFERROR(__xludf.DUMMYFUNCTION("""COMPUTED_VALUE"""),143.82)</f>
        <v>143.82</v>
      </c>
      <c r="N146" s="17"/>
      <c r="Q146" s="17"/>
    </row>
    <row r="147">
      <c r="B147" s="11">
        <f>IFERROR(__xludf.DUMMYFUNCTION("""COMPUTED_VALUE"""),45811.66666666667)</f>
        <v>45811.66667</v>
      </c>
      <c r="C147" s="9">
        <f>IFERROR(__xludf.DUMMYFUNCTION("""COMPUTED_VALUE"""),143.74)</f>
        <v>143.74</v>
      </c>
      <c r="E147" s="17">
        <f>IFERROR(__xludf.DUMMYFUNCTION("""COMPUTED_VALUE"""),45811.66666666667)</f>
        <v>45811.66667</v>
      </c>
      <c r="F147" s="9">
        <f>IFERROR(__xludf.DUMMYFUNCTION("""COMPUTED_VALUE"""),143.74)</f>
        <v>143.74</v>
      </c>
      <c r="N147" s="17"/>
      <c r="Q147" s="17"/>
    </row>
    <row r="148">
      <c r="B148" s="11">
        <f>IFERROR(__xludf.DUMMYFUNCTION("""COMPUTED_VALUE"""),45810.66666666667)</f>
        <v>45810.66667</v>
      </c>
      <c r="C148" s="9">
        <f>IFERROR(__xludf.DUMMYFUNCTION("""COMPUTED_VALUE"""),142.64)</f>
        <v>142.64</v>
      </c>
      <c r="E148" s="17">
        <f>IFERROR(__xludf.DUMMYFUNCTION("""COMPUTED_VALUE"""),45810.66666666667)</f>
        <v>45810.66667</v>
      </c>
      <c r="F148" s="9">
        <f>IFERROR(__xludf.DUMMYFUNCTION("""COMPUTED_VALUE"""),142.64)</f>
        <v>142.64</v>
      </c>
      <c r="N148" s="17"/>
      <c r="Q148" s="17"/>
    </row>
    <row r="149">
      <c r="B149" s="11">
        <f>IFERROR(__xludf.DUMMYFUNCTION("""COMPUTED_VALUE"""),45807.66666666667)</f>
        <v>45807.66667</v>
      </c>
      <c r="C149" s="9">
        <f>IFERROR(__xludf.DUMMYFUNCTION("""COMPUTED_VALUE"""),142.82)</f>
        <v>142.82</v>
      </c>
      <c r="E149" s="17">
        <f>IFERROR(__xludf.DUMMYFUNCTION("""COMPUTED_VALUE"""),45807.66666666667)</f>
        <v>45807.66667</v>
      </c>
      <c r="F149" s="9">
        <f>IFERROR(__xludf.DUMMYFUNCTION("""COMPUTED_VALUE"""),142.82)</f>
        <v>142.82</v>
      </c>
      <c r="N149" s="17"/>
      <c r="Q149" s="17"/>
    </row>
    <row r="150">
      <c r="B150" s="11">
        <f>IFERROR(__xludf.DUMMYFUNCTION("""COMPUTED_VALUE"""),45806.66666666667)</f>
        <v>45806.66667</v>
      </c>
      <c r="C150" s="9">
        <f>IFERROR(__xludf.DUMMYFUNCTION("""COMPUTED_VALUE"""),142.73)</f>
        <v>142.73</v>
      </c>
      <c r="E150" s="17">
        <f>IFERROR(__xludf.DUMMYFUNCTION("""COMPUTED_VALUE"""),45806.66666666667)</f>
        <v>45806.66667</v>
      </c>
      <c r="F150" s="9">
        <f>IFERROR(__xludf.DUMMYFUNCTION("""COMPUTED_VALUE"""),142.73)</f>
        <v>142.73</v>
      </c>
      <c r="N150" s="17"/>
      <c r="Q150" s="17"/>
    </row>
    <row r="151">
      <c r="B151" s="11">
        <f>IFERROR(__xludf.DUMMYFUNCTION("""COMPUTED_VALUE"""),45805.66666666667)</f>
        <v>45805.66667</v>
      </c>
      <c r="C151" s="9">
        <f>IFERROR(__xludf.DUMMYFUNCTION("""COMPUTED_VALUE"""),142.6)</f>
        <v>142.6</v>
      </c>
      <c r="E151" s="17">
        <f>IFERROR(__xludf.DUMMYFUNCTION("""COMPUTED_VALUE"""),45805.66666666667)</f>
        <v>45805.66667</v>
      </c>
      <c r="F151" s="9">
        <f>IFERROR(__xludf.DUMMYFUNCTION("""COMPUTED_VALUE"""),142.6)</f>
        <v>142.6</v>
      </c>
      <c r="N151" s="17"/>
      <c r="Q151" s="17"/>
    </row>
    <row r="152">
      <c r="B152" s="11">
        <f>IFERROR(__xludf.DUMMYFUNCTION("""COMPUTED_VALUE"""),45804.66666666667)</f>
        <v>45804.66667</v>
      </c>
      <c r="C152" s="9">
        <f>IFERROR(__xludf.DUMMYFUNCTION("""COMPUTED_VALUE"""),143.31)</f>
        <v>143.31</v>
      </c>
      <c r="E152" s="17">
        <f>IFERROR(__xludf.DUMMYFUNCTION("""COMPUTED_VALUE"""),45804.66666666667)</f>
        <v>45804.66667</v>
      </c>
      <c r="F152" s="9">
        <f>IFERROR(__xludf.DUMMYFUNCTION("""COMPUTED_VALUE"""),143.31)</f>
        <v>143.31</v>
      </c>
      <c r="N152" s="17"/>
      <c r="Q152" s="17"/>
    </row>
    <row r="153">
      <c r="B153" s="11">
        <f>IFERROR(__xludf.DUMMYFUNCTION("""COMPUTED_VALUE"""),45800.66666666667)</f>
        <v>45800.66667</v>
      </c>
      <c r="C153" s="9">
        <f>IFERROR(__xludf.DUMMYFUNCTION("""COMPUTED_VALUE"""),140.83)</f>
        <v>140.83</v>
      </c>
      <c r="E153" s="17">
        <f>IFERROR(__xludf.DUMMYFUNCTION("""COMPUTED_VALUE"""),45800.66666666667)</f>
        <v>45800.66667</v>
      </c>
      <c r="F153" s="9">
        <f>IFERROR(__xludf.DUMMYFUNCTION("""COMPUTED_VALUE"""),140.83)</f>
        <v>140.83</v>
      </c>
      <c r="N153" s="17"/>
      <c r="Q153" s="17"/>
    </row>
    <row r="154">
      <c r="B154" s="11">
        <f>IFERROR(__xludf.DUMMYFUNCTION("""COMPUTED_VALUE"""),45799.66666666667)</f>
        <v>45799.66667</v>
      </c>
      <c r="C154" s="9">
        <f>IFERROR(__xludf.DUMMYFUNCTION("""COMPUTED_VALUE"""),141.32)</f>
        <v>141.32</v>
      </c>
      <c r="E154" s="17">
        <f>IFERROR(__xludf.DUMMYFUNCTION("""COMPUTED_VALUE"""),45799.66666666667)</f>
        <v>45799.66667</v>
      </c>
      <c r="F154" s="9">
        <f>IFERROR(__xludf.DUMMYFUNCTION("""COMPUTED_VALUE"""),141.32)</f>
        <v>141.32</v>
      </c>
      <c r="N154" s="17"/>
      <c r="Q154" s="17"/>
    </row>
    <row r="155">
      <c r="B155" s="11">
        <f>IFERROR(__xludf.DUMMYFUNCTION("""COMPUTED_VALUE"""),45798.66666666667)</f>
        <v>45798.66667</v>
      </c>
      <c r="C155" s="9">
        <f>IFERROR(__xludf.DUMMYFUNCTION("""COMPUTED_VALUE"""),141.32)</f>
        <v>141.32</v>
      </c>
      <c r="E155" s="17">
        <f>IFERROR(__xludf.DUMMYFUNCTION("""COMPUTED_VALUE"""),45798.66666666667)</f>
        <v>45798.66667</v>
      </c>
      <c r="F155" s="9">
        <f>IFERROR(__xludf.DUMMYFUNCTION("""COMPUTED_VALUE"""),141.32)</f>
        <v>141.32</v>
      </c>
      <c r="N155" s="17"/>
      <c r="Q155" s="17"/>
    </row>
    <row r="156">
      <c r="B156" s="11">
        <f>IFERROR(__xludf.DUMMYFUNCTION("""COMPUTED_VALUE"""),45797.66666666667)</f>
        <v>45797.66667</v>
      </c>
      <c r="C156" s="9">
        <f>IFERROR(__xludf.DUMMYFUNCTION("""COMPUTED_VALUE"""),143.75)</f>
        <v>143.75</v>
      </c>
      <c r="E156" s="17">
        <f>IFERROR(__xludf.DUMMYFUNCTION("""COMPUTED_VALUE"""),45797.66666666667)</f>
        <v>45797.66667</v>
      </c>
      <c r="F156" s="9">
        <f>IFERROR(__xludf.DUMMYFUNCTION("""COMPUTED_VALUE"""),143.75)</f>
        <v>143.75</v>
      </c>
      <c r="N156" s="17"/>
      <c r="Q156" s="17"/>
    </row>
    <row r="157">
      <c r="B157" s="11">
        <f>IFERROR(__xludf.DUMMYFUNCTION("""COMPUTED_VALUE"""),45796.66666666667)</f>
        <v>45796.66667</v>
      </c>
      <c r="C157" s="9">
        <f>IFERROR(__xludf.DUMMYFUNCTION("""COMPUTED_VALUE"""),144.27)</f>
        <v>144.27</v>
      </c>
      <c r="E157" s="17">
        <f>IFERROR(__xludf.DUMMYFUNCTION("""COMPUTED_VALUE"""),45796.66666666667)</f>
        <v>45796.66667</v>
      </c>
      <c r="F157" s="9">
        <f>IFERROR(__xludf.DUMMYFUNCTION("""COMPUTED_VALUE"""),144.27)</f>
        <v>144.27</v>
      </c>
      <c r="N157" s="17"/>
      <c r="Q157" s="17"/>
    </row>
    <row r="158">
      <c r="B158" s="11">
        <f>IFERROR(__xludf.DUMMYFUNCTION("""COMPUTED_VALUE"""),45793.66666666667)</f>
        <v>45793.66667</v>
      </c>
      <c r="C158" s="9">
        <f>IFERROR(__xludf.DUMMYFUNCTION("""COMPUTED_VALUE"""),143.78)</f>
        <v>143.78</v>
      </c>
      <c r="E158" s="17">
        <f>IFERROR(__xludf.DUMMYFUNCTION("""COMPUTED_VALUE"""),45793.66666666667)</f>
        <v>45793.66667</v>
      </c>
      <c r="F158" s="9">
        <f>IFERROR(__xludf.DUMMYFUNCTION("""COMPUTED_VALUE"""),143.78)</f>
        <v>143.78</v>
      </c>
      <c r="N158" s="17"/>
      <c r="Q158" s="17"/>
    </row>
    <row r="159">
      <c r="B159" s="11">
        <f>IFERROR(__xludf.DUMMYFUNCTION("""COMPUTED_VALUE"""),45792.66666666667)</f>
        <v>45792.66667</v>
      </c>
      <c r="C159" s="9">
        <f>IFERROR(__xludf.DUMMYFUNCTION("""COMPUTED_VALUE"""),142.16)</f>
        <v>142.16</v>
      </c>
      <c r="E159" s="17">
        <f>IFERROR(__xludf.DUMMYFUNCTION("""COMPUTED_VALUE"""),45792.66666666667)</f>
        <v>45792.66667</v>
      </c>
      <c r="F159" s="9">
        <f>IFERROR(__xludf.DUMMYFUNCTION("""COMPUTED_VALUE"""),142.16)</f>
        <v>142.16</v>
      </c>
      <c r="N159" s="17"/>
      <c r="Q159" s="17"/>
    </row>
    <row r="160">
      <c r="B160" s="11">
        <f>IFERROR(__xludf.DUMMYFUNCTION("""COMPUTED_VALUE"""),45791.66666666667)</f>
        <v>45791.66667</v>
      </c>
      <c r="C160" s="9">
        <f>IFERROR(__xludf.DUMMYFUNCTION("""COMPUTED_VALUE"""),140.6)</f>
        <v>140.6</v>
      </c>
      <c r="E160" s="17">
        <f>IFERROR(__xludf.DUMMYFUNCTION("""COMPUTED_VALUE"""),45791.66666666667)</f>
        <v>45791.66667</v>
      </c>
      <c r="F160" s="9">
        <f>IFERROR(__xludf.DUMMYFUNCTION("""COMPUTED_VALUE"""),140.6)</f>
        <v>140.6</v>
      </c>
      <c r="N160" s="17"/>
      <c r="Q160" s="17"/>
    </row>
    <row r="161">
      <c r="B161" s="11">
        <f>IFERROR(__xludf.DUMMYFUNCTION("""COMPUTED_VALUE"""),45790.66666666667)</f>
        <v>45790.66667</v>
      </c>
      <c r="C161" s="9">
        <f>IFERROR(__xludf.DUMMYFUNCTION("""COMPUTED_VALUE"""),141.28)</f>
        <v>141.28</v>
      </c>
      <c r="E161" s="17">
        <f>IFERROR(__xludf.DUMMYFUNCTION("""COMPUTED_VALUE"""),45790.66666666667)</f>
        <v>45790.66667</v>
      </c>
      <c r="F161" s="9">
        <f>IFERROR(__xludf.DUMMYFUNCTION("""COMPUTED_VALUE"""),141.28)</f>
        <v>141.28</v>
      </c>
      <c r="N161" s="17"/>
      <c r="Q161" s="17"/>
    </row>
    <row r="162">
      <c r="B162" s="11">
        <f>IFERROR(__xludf.DUMMYFUNCTION("""COMPUTED_VALUE"""),45789.66666666667)</f>
        <v>45789.66667</v>
      </c>
      <c r="C162" s="9">
        <f>IFERROR(__xludf.DUMMYFUNCTION("""COMPUTED_VALUE"""),140.3)</f>
        <v>140.3</v>
      </c>
      <c r="E162" s="17">
        <f>IFERROR(__xludf.DUMMYFUNCTION("""COMPUTED_VALUE"""),45789.66666666667)</f>
        <v>45789.66667</v>
      </c>
      <c r="F162" s="9">
        <f>IFERROR(__xludf.DUMMYFUNCTION("""COMPUTED_VALUE"""),140.3)</f>
        <v>140.3</v>
      </c>
      <c r="N162" s="17"/>
      <c r="Q162" s="17"/>
    </row>
    <row r="163">
      <c r="B163" s="11">
        <f>IFERROR(__xludf.DUMMYFUNCTION("""COMPUTED_VALUE"""),45786.66666666667)</f>
        <v>45786.66667</v>
      </c>
      <c r="C163" s="9">
        <f>IFERROR(__xludf.DUMMYFUNCTION("""COMPUTED_VALUE"""),136.11)</f>
        <v>136.11</v>
      </c>
      <c r="E163" s="17">
        <f>IFERROR(__xludf.DUMMYFUNCTION("""COMPUTED_VALUE"""),45786.66666666667)</f>
        <v>45786.66667</v>
      </c>
      <c r="F163" s="9">
        <f>IFERROR(__xludf.DUMMYFUNCTION("""COMPUTED_VALUE"""),136.11)</f>
        <v>136.11</v>
      </c>
      <c r="N163" s="17"/>
      <c r="Q163" s="17"/>
    </row>
    <row r="164">
      <c r="B164" s="11">
        <f>IFERROR(__xludf.DUMMYFUNCTION("""COMPUTED_VALUE"""),45785.66666666667)</f>
        <v>45785.66667</v>
      </c>
      <c r="C164" s="9">
        <f>IFERROR(__xludf.DUMMYFUNCTION("""COMPUTED_VALUE"""),136.0)</f>
        <v>136</v>
      </c>
      <c r="E164" s="17">
        <f>IFERROR(__xludf.DUMMYFUNCTION("""COMPUTED_VALUE"""),45785.66666666667)</f>
        <v>45785.66667</v>
      </c>
      <c r="F164" s="9">
        <f>IFERROR(__xludf.DUMMYFUNCTION("""COMPUTED_VALUE"""),136.0)</f>
        <v>136</v>
      </c>
      <c r="N164" s="17"/>
      <c r="Q164" s="17"/>
    </row>
    <row r="165">
      <c r="B165" s="11">
        <f>IFERROR(__xludf.DUMMYFUNCTION("""COMPUTED_VALUE"""),45784.66666666667)</f>
        <v>45784.66667</v>
      </c>
      <c r="C165" s="9">
        <f>IFERROR(__xludf.DUMMYFUNCTION("""COMPUTED_VALUE"""),134.15)</f>
        <v>134.15</v>
      </c>
      <c r="E165" s="17">
        <f>IFERROR(__xludf.DUMMYFUNCTION("""COMPUTED_VALUE"""),45784.66666666667)</f>
        <v>45784.66667</v>
      </c>
      <c r="F165" s="9">
        <f>IFERROR(__xludf.DUMMYFUNCTION("""COMPUTED_VALUE"""),134.15)</f>
        <v>134.15</v>
      </c>
      <c r="N165" s="17"/>
      <c r="Q165" s="17"/>
    </row>
    <row r="166">
      <c r="B166" s="11">
        <f>IFERROR(__xludf.DUMMYFUNCTION("""COMPUTED_VALUE"""),45783.66666666667)</f>
        <v>45783.66667</v>
      </c>
      <c r="C166" s="9">
        <f>IFERROR(__xludf.DUMMYFUNCTION("""COMPUTED_VALUE"""),133.47)</f>
        <v>133.47</v>
      </c>
      <c r="E166" s="17">
        <f>IFERROR(__xludf.DUMMYFUNCTION("""COMPUTED_VALUE"""),45783.66666666667)</f>
        <v>45783.66667</v>
      </c>
      <c r="F166" s="9">
        <f>IFERROR(__xludf.DUMMYFUNCTION("""COMPUTED_VALUE"""),133.47)</f>
        <v>133.47</v>
      </c>
      <c r="N166" s="17"/>
      <c r="Q166" s="17"/>
    </row>
    <row r="167">
      <c r="B167" s="11">
        <f>IFERROR(__xludf.DUMMYFUNCTION("""COMPUTED_VALUE"""),45782.66666666667)</f>
        <v>45782.66667</v>
      </c>
      <c r="C167" s="9">
        <f>IFERROR(__xludf.DUMMYFUNCTION("""COMPUTED_VALUE"""),134.65)</f>
        <v>134.65</v>
      </c>
      <c r="E167" s="17">
        <f>IFERROR(__xludf.DUMMYFUNCTION("""COMPUTED_VALUE"""),45782.66666666667)</f>
        <v>45782.66667</v>
      </c>
      <c r="F167" s="9">
        <f>IFERROR(__xludf.DUMMYFUNCTION("""COMPUTED_VALUE"""),134.65)</f>
        <v>134.65</v>
      </c>
      <c r="N167" s="17"/>
      <c r="Q167" s="17"/>
    </row>
    <row r="168">
      <c r="B168" s="11">
        <f>IFERROR(__xludf.DUMMYFUNCTION("""COMPUTED_VALUE"""),45779.66666666667)</f>
        <v>45779.66667</v>
      </c>
      <c r="C168" s="9">
        <f>IFERROR(__xludf.DUMMYFUNCTION("""COMPUTED_VALUE"""),134.58)</f>
        <v>134.58</v>
      </c>
      <c r="E168" s="17">
        <f>IFERROR(__xludf.DUMMYFUNCTION("""COMPUTED_VALUE"""),45779.66666666667)</f>
        <v>45779.66667</v>
      </c>
      <c r="F168" s="9">
        <f>IFERROR(__xludf.DUMMYFUNCTION("""COMPUTED_VALUE"""),134.58)</f>
        <v>134.58</v>
      </c>
      <c r="N168" s="17"/>
      <c r="Q168" s="17"/>
    </row>
    <row r="169">
      <c r="B169" s="11">
        <f>IFERROR(__xludf.DUMMYFUNCTION("""COMPUTED_VALUE"""),45778.66666666667)</f>
        <v>45778.66667</v>
      </c>
      <c r="C169" s="9">
        <f>IFERROR(__xludf.DUMMYFUNCTION("""COMPUTED_VALUE"""),132.21)</f>
        <v>132.21</v>
      </c>
      <c r="E169" s="17">
        <f>IFERROR(__xludf.DUMMYFUNCTION("""COMPUTED_VALUE"""),45778.66666666667)</f>
        <v>45778.66667</v>
      </c>
      <c r="F169" s="9">
        <f>IFERROR(__xludf.DUMMYFUNCTION("""COMPUTED_VALUE"""),132.21)</f>
        <v>132.21</v>
      </c>
      <c r="N169" s="17"/>
      <c r="Q169" s="17"/>
    </row>
    <row r="170">
      <c r="B170" s="11">
        <f>IFERROR(__xludf.DUMMYFUNCTION("""COMPUTED_VALUE"""),45777.66666666667)</f>
        <v>45777.66667</v>
      </c>
      <c r="C170" s="9">
        <f>IFERROR(__xludf.DUMMYFUNCTION("""COMPUTED_VALUE"""),131.22)</f>
        <v>131.22</v>
      </c>
      <c r="E170" s="17">
        <f>IFERROR(__xludf.DUMMYFUNCTION("""COMPUTED_VALUE"""),45777.66666666667)</f>
        <v>45777.66667</v>
      </c>
      <c r="F170" s="9">
        <f>IFERROR(__xludf.DUMMYFUNCTION("""COMPUTED_VALUE"""),131.22)</f>
        <v>131.22</v>
      </c>
      <c r="N170" s="17"/>
      <c r="Q170" s="17"/>
    </row>
    <row r="171">
      <c r="B171" s="11">
        <f>IFERROR(__xludf.DUMMYFUNCTION("""COMPUTED_VALUE"""),45776.66666666667)</f>
        <v>45776.66667</v>
      </c>
      <c r="C171" s="9">
        <f>IFERROR(__xludf.DUMMYFUNCTION("""COMPUTED_VALUE"""),130.28)</f>
        <v>130.28</v>
      </c>
      <c r="E171" s="17">
        <f>IFERROR(__xludf.DUMMYFUNCTION("""COMPUTED_VALUE"""),45776.66666666667)</f>
        <v>45776.66667</v>
      </c>
      <c r="F171" s="9">
        <f>IFERROR(__xludf.DUMMYFUNCTION("""COMPUTED_VALUE"""),130.28)</f>
        <v>130.28</v>
      </c>
      <c r="N171" s="17"/>
      <c r="Q171" s="17"/>
    </row>
    <row r="172">
      <c r="B172" s="11">
        <f>IFERROR(__xludf.DUMMYFUNCTION("""COMPUTED_VALUE"""),45775.66666666667)</f>
        <v>45775.66667</v>
      </c>
      <c r="C172" s="9">
        <f>IFERROR(__xludf.DUMMYFUNCTION("""COMPUTED_VALUE"""),129.44)</f>
        <v>129.44</v>
      </c>
      <c r="E172" s="17">
        <f>IFERROR(__xludf.DUMMYFUNCTION("""COMPUTED_VALUE"""),45775.66666666667)</f>
        <v>45775.66667</v>
      </c>
      <c r="F172" s="9">
        <f>IFERROR(__xludf.DUMMYFUNCTION("""COMPUTED_VALUE"""),129.44)</f>
        <v>129.44</v>
      </c>
      <c r="N172" s="17"/>
      <c r="Q172" s="17"/>
    </row>
    <row r="173">
      <c r="B173" s="11">
        <f>IFERROR(__xludf.DUMMYFUNCTION("""COMPUTED_VALUE"""),45772.66666666667)</f>
        <v>45772.66667</v>
      </c>
      <c r="C173" s="9">
        <f>IFERROR(__xludf.DUMMYFUNCTION("""COMPUTED_VALUE"""),129.01)</f>
        <v>129.01</v>
      </c>
      <c r="E173" s="17">
        <f>IFERROR(__xludf.DUMMYFUNCTION("""COMPUTED_VALUE"""),45772.66666666667)</f>
        <v>45772.66667</v>
      </c>
      <c r="F173" s="9">
        <f>IFERROR(__xludf.DUMMYFUNCTION("""COMPUTED_VALUE"""),129.01)</f>
        <v>129.01</v>
      </c>
      <c r="N173" s="17"/>
      <c r="Q173" s="17"/>
    </row>
    <row r="174">
      <c r="B174" s="11">
        <f>IFERROR(__xludf.DUMMYFUNCTION("""COMPUTED_VALUE"""),45771.66666666667)</f>
        <v>45771.66667</v>
      </c>
      <c r="C174" s="9">
        <f>IFERROR(__xludf.DUMMYFUNCTION("""COMPUTED_VALUE"""),129.02)</f>
        <v>129.02</v>
      </c>
      <c r="E174" s="17">
        <f>IFERROR(__xludf.DUMMYFUNCTION("""COMPUTED_VALUE"""),45771.66666666667)</f>
        <v>45771.66667</v>
      </c>
      <c r="F174" s="9">
        <f>IFERROR(__xludf.DUMMYFUNCTION("""COMPUTED_VALUE"""),129.02)</f>
        <v>129.02</v>
      </c>
      <c r="N174" s="17"/>
      <c r="Q174" s="17"/>
    </row>
    <row r="175">
      <c r="B175" s="11">
        <f>IFERROR(__xludf.DUMMYFUNCTION("""COMPUTED_VALUE"""),45770.66666666667)</f>
        <v>45770.66667</v>
      </c>
      <c r="C175" s="9">
        <f>IFERROR(__xludf.DUMMYFUNCTION("""COMPUTED_VALUE"""),126.19)</f>
        <v>126.19</v>
      </c>
      <c r="E175" s="17">
        <f>IFERROR(__xludf.DUMMYFUNCTION("""COMPUTED_VALUE"""),45770.66666666667)</f>
        <v>45770.66667</v>
      </c>
      <c r="F175" s="9">
        <f>IFERROR(__xludf.DUMMYFUNCTION("""COMPUTED_VALUE"""),126.19)</f>
        <v>126.19</v>
      </c>
      <c r="N175" s="17"/>
      <c r="Q175" s="17"/>
    </row>
    <row r="176">
      <c r="B176" s="11">
        <f>IFERROR(__xludf.DUMMYFUNCTION("""COMPUTED_VALUE"""),45769.66666666667)</f>
        <v>45769.66667</v>
      </c>
      <c r="C176" s="9">
        <f>IFERROR(__xludf.DUMMYFUNCTION("""COMPUTED_VALUE"""),124.63)</f>
        <v>124.63</v>
      </c>
      <c r="E176" s="17">
        <f>IFERROR(__xludf.DUMMYFUNCTION("""COMPUTED_VALUE"""),45769.66666666667)</f>
        <v>45769.66667</v>
      </c>
      <c r="F176" s="9">
        <f>IFERROR(__xludf.DUMMYFUNCTION("""COMPUTED_VALUE"""),124.63)</f>
        <v>124.63</v>
      </c>
      <c r="N176" s="17"/>
      <c r="Q176" s="17"/>
    </row>
    <row r="177">
      <c r="B177" s="11">
        <f>IFERROR(__xludf.DUMMYFUNCTION("""COMPUTED_VALUE"""),45768.66666666667)</f>
        <v>45768.66667</v>
      </c>
      <c r="C177" s="9">
        <f>IFERROR(__xludf.DUMMYFUNCTION("""COMPUTED_VALUE"""),122.49)</f>
        <v>122.49</v>
      </c>
      <c r="E177" s="17">
        <f>IFERROR(__xludf.DUMMYFUNCTION("""COMPUTED_VALUE"""),45768.66666666667)</f>
        <v>45768.66667</v>
      </c>
      <c r="F177" s="9">
        <f>IFERROR(__xludf.DUMMYFUNCTION("""COMPUTED_VALUE"""),122.49)</f>
        <v>122.49</v>
      </c>
      <c r="N177" s="17"/>
      <c r="Q177" s="17"/>
    </row>
    <row r="178">
      <c r="B178" s="11">
        <f>IFERROR(__xludf.DUMMYFUNCTION("""COMPUTED_VALUE"""),45764.66666666667)</f>
        <v>45764.66667</v>
      </c>
      <c r="C178" s="9">
        <f>IFERROR(__xludf.DUMMYFUNCTION("""COMPUTED_VALUE"""),125.3)</f>
        <v>125.3</v>
      </c>
      <c r="E178" s="17">
        <f>IFERROR(__xludf.DUMMYFUNCTION("""COMPUTED_VALUE"""),45764.66666666667)</f>
        <v>45764.66667</v>
      </c>
      <c r="F178" s="9">
        <f>IFERROR(__xludf.DUMMYFUNCTION("""COMPUTED_VALUE"""),125.3)</f>
        <v>125.3</v>
      </c>
      <c r="N178" s="17"/>
      <c r="Q178" s="17"/>
    </row>
    <row r="179">
      <c r="B179" s="11">
        <f>IFERROR(__xludf.DUMMYFUNCTION("""COMPUTED_VALUE"""),45763.66666666667)</f>
        <v>45763.66667</v>
      </c>
      <c r="C179" s="9">
        <f>IFERROR(__xludf.DUMMYFUNCTION("""COMPUTED_VALUE"""),124.62)</f>
        <v>124.62</v>
      </c>
      <c r="E179" s="17">
        <f>IFERROR(__xludf.DUMMYFUNCTION("""COMPUTED_VALUE"""),45763.66666666667)</f>
        <v>45763.66667</v>
      </c>
      <c r="F179" s="9">
        <f>IFERROR(__xludf.DUMMYFUNCTION("""COMPUTED_VALUE"""),124.62)</f>
        <v>124.62</v>
      </c>
      <c r="N179" s="17"/>
      <c r="Q179" s="17"/>
    </row>
    <row r="180">
      <c r="B180" s="11">
        <f>IFERROR(__xludf.DUMMYFUNCTION("""COMPUTED_VALUE"""),45762.66666666667)</f>
        <v>45762.66667</v>
      </c>
      <c r="C180" s="9">
        <f>IFERROR(__xludf.DUMMYFUNCTION("""COMPUTED_VALUE"""),126.35)</f>
        <v>126.35</v>
      </c>
      <c r="E180" s="17">
        <f>IFERROR(__xludf.DUMMYFUNCTION("""COMPUTED_VALUE"""),45762.66666666667)</f>
        <v>45762.66667</v>
      </c>
      <c r="F180" s="9">
        <f>IFERROR(__xludf.DUMMYFUNCTION("""COMPUTED_VALUE"""),126.35)</f>
        <v>126.35</v>
      </c>
      <c r="N180" s="17"/>
      <c r="Q180" s="17"/>
    </row>
    <row r="181">
      <c r="B181" s="11">
        <f>IFERROR(__xludf.DUMMYFUNCTION("""COMPUTED_VALUE"""),45761.66666666667)</f>
        <v>45761.66667</v>
      </c>
      <c r="C181" s="9">
        <f>IFERROR(__xludf.DUMMYFUNCTION("""COMPUTED_VALUE"""),126.98)</f>
        <v>126.98</v>
      </c>
      <c r="E181" s="17">
        <f>IFERROR(__xludf.DUMMYFUNCTION("""COMPUTED_VALUE"""),45761.66666666667)</f>
        <v>45761.66667</v>
      </c>
      <c r="F181" s="9">
        <f>IFERROR(__xludf.DUMMYFUNCTION("""COMPUTED_VALUE"""),126.98)</f>
        <v>126.98</v>
      </c>
      <c r="N181" s="17"/>
      <c r="Q181" s="17"/>
    </row>
    <row r="182">
      <c r="B182" s="11">
        <f>IFERROR(__xludf.DUMMYFUNCTION("""COMPUTED_VALUE"""),45758.66666666667)</f>
        <v>45758.66667</v>
      </c>
      <c r="C182" s="9">
        <f>IFERROR(__xludf.DUMMYFUNCTION("""COMPUTED_VALUE"""),125.67)</f>
        <v>125.67</v>
      </c>
      <c r="E182" s="17">
        <f>IFERROR(__xludf.DUMMYFUNCTION("""COMPUTED_VALUE"""),45758.66666666667)</f>
        <v>45758.66667</v>
      </c>
      <c r="F182" s="9">
        <f>IFERROR(__xludf.DUMMYFUNCTION("""COMPUTED_VALUE"""),125.67)</f>
        <v>125.67</v>
      </c>
      <c r="N182" s="17"/>
      <c r="Q182" s="17"/>
    </row>
    <row r="183">
      <c r="B183" s="11">
        <f>IFERROR(__xludf.DUMMYFUNCTION("""COMPUTED_VALUE"""),45757.66666666667)</f>
        <v>45757.66667</v>
      </c>
      <c r="C183" s="9">
        <f>IFERROR(__xludf.DUMMYFUNCTION("""COMPUTED_VALUE"""),123.49)</f>
        <v>123.49</v>
      </c>
      <c r="E183" s="17">
        <f>IFERROR(__xludf.DUMMYFUNCTION("""COMPUTED_VALUE"""),45757.66666666667)</f>
        <v>45757.66667</v>
      </c>
      <c r="F183" s="9">
        <f>IFERROR(__xludf.DUMMYFUNCTION("""COMPUTED_VALUE"""),123.49)</f>
        <v>123.49</v>
      </c>
      <c r="N183" s="17"/>
      <c r="Q183" s="17"/>
    </row>
    <row r="184">
      <c r="B184" s="11">
        <f>IFERROR(__xludf.DUMMYFUNCTION("""COMPUTED_VALUE"""),45756.66666666667)</f>
        <v>45756.66667</v>
      </c>
      <c r="C184" s="9">
        <f>IFERROR(__xludf.DUMMYFUNCTION("""COMPUTED_VALUE"""),126.76)</f>
        <v>126.76</v>
      </c>
      <c r="E184" s="17">
        <f>IFERROR(__xludf.DUMMYFUNCTION("""COMPUTED_VALUE"""),45756.66666666667)</f>
        <v>45756.66667</v>
      </c>
      <c r="F184" s="9">
        <f>IFERROR(__xludf.DUMMYFUNCTION("""COMPUTED_VALUE"""),126.76)</f>
        <v>126.76</v>
      </c>
      <c r="N184" s="17"/>
      <c r="Q184" s="17"/>
    </row>
    <row r="185">
      <c r="B185" s="11">
        <f>IFERROR(__xludf.DUMMYFUNCTION("""COMPUTED_VALUE"""),45755.66666666667)</f>
        <v>45755.66667</v>
      </c>
      <c r="C185" s="9">
        <f>IFERROR(__xludf.DUMMYFUNCTION("""COMPUTED_VALUE"""),116.42)</f>
        <v>116.42</v>
      </c>
      <c r="E185" s="17">
        <f>IFERROR(__xludf.DUMMYFUNCTION("""COMPUTED_VALUE"""),45755.66666666667)</f>
        <v>45755.66667</v>
      </c>
      <c r="F185" s="9">
        <f>IFERROR(__xludf.DUMMYFUNCTION("""COMPUTED_VALUE"""),116.42)</f>
        <v>116.42</v>
      </c>
      <c r="N185" s="17"/>
      <c r="Q185" s="17"/>
    </row>
    <row r="186">
      <c r="B186" s="11">
        <f>IFERROR(__xludf.DUMMYFUNCTION("""COMPUTED_VALUE"""),45754.66666666667)</f>
        <v>45754.66667</v>
      </c>
      <c r="C186" s="9">
        <f>IFERROR(__xludf.DUMMYFUNCTION("""COMPUTED_VALUE"""),117.39)</f>
        <v>117.39</v>
      </c>
      <c r="E186" s="17">
        <f>IFERROR(__xludf.DUMMYFUNCTION("""COMPUTED_VALUE"""),45754.66666666667)</f>
        <v>45754.66667</v>
      </c>
      <c r="F186" s="9">
        <f>IFERROR(__xludf.DUMMYFUNCTION("""COMPUTED_VALUE"""),117.39)</f>
        <v>117.39</v>
      </c>
      <c r="N186" s="17"/>
      <c r="Q186" s="17"/>
    </row>
    <row r="187">
      <c r="B187" s="11">
        <f>IFERROR(__xludf.DUMMYFUNCTION("""COMPUTED_VALUE"""),45751.66666666667)</f>
        <v>45751.66667</v>
      </c>
      <c r="C187" s="9">
        <f>IFERROR(__xludf.DUMMYFUNCTION("""COMPUTED_VALUE"""),117.94)</f>
        <v>117.94</v>
      </c>
      <c r="E187" s="17">
        <f>IFERROR(__xludf.DUMMYFUNCTION("""COMPUTED_VALUE"""),45751.66666666667)</f>
        <v>45751.66667</v>
      </c>
      <c r="F187" s="9">
        <f>IFERROR(__xludf.DUMMYFUNCTION("""COMPUTED_VALUE"""),117.94)</f>
        <v>117.94</v>
      </c>
      <c r="N187" s="17"/>
      <c r="Q187" s="17"/>
    </row>
    <row r="188">
      <c r="B188" s="11">
        <f>IFERROR(__xludf.DUMMYFUNCTION("""COMPUTED_VALUE"""),45750.66666666667)</f>
        <v>45750.66667</v>
      </c>
      <c r="C188" s="9">
        <f>IFERROR(__xludf.DUMMYFUNCTION("""COMPUTED_VALUE"""),125.85)</f>
        <v>125.85</v>
      </c>
      <c r="E188" s="17">
        <f>IFERROR(__xludf.DUMMYFUNCTION("""COMPUTED_VALUE"""),45750.66666666667)</f>
        <v>45750.66667</v>
      </c>
      <c r="F188" s="9">
        <f>IFERROR(__xludf.DUMMYFUNCTION("""COMPUTED_VALUE"""),125.85)</f>
        <v>125.85</v>
      </c>
      <c r="N188" s="17"/>
      <c r="Q188" s="17"/>
    </row>
    <row r="189">
      <c r="B189" s="11">
        <f>IFERROR(__xludf.DUMMYFUNCTION("""COMPUTED_VALUE"""),45749.66666666667)</f>
        <v>45749.66667</v>
      </c>
      <c r="C189" s="9">
        <f>IFERROR(__xludf.DUMMYFUNCTION("""COMPUTED_VALUE"""),133.05)</f>
        <v>133.05</v>
      </c>
      <c r="E189" s="17">
        <f>IFERROR(__xludf.DUMMYFUNCTION("""COMPUTED_VALUE"""),45749.66666666667)</f>
        <v>45749.66667</v>
      </c>
      <c r="F189" s="9">
        <f>IFERROR(__xludf.DUMMYFUNCTION("""COMPUTED_VALUE"""),133.05)</f>
        <v>133.05</v>
      </c>
      <c r="N189" s="17"/>
      <c r="Q189" s="17"/>
    </row>
    <row r="190">
      <c r="B190" s="11">
        <f>IFERROR(__xludf.DUMMYFUNCTION("""COMPUTED_VALUE"""),45748.66666666667)</f>
        <v>45748.66667</v>
      </c>
      <c r="C190" s="9">
        <f>IFERROR(__xludf.DUMMYFUNCTION("""COMPUTED_VALUE"""),131.81)</f>
        <v>131.81</v>
      </c>
      <c r="E190" s="17">
        <f>IFERROR(__xludf.DUMMYFUNCTION("""COMPUTED_VALUE"""),45748.66666666667)</f>
        <v>45748.66667</v>
      </c>
      <c r="F190" s="9">
        <f>IFERROR(__xludf.DUMMYFUNCTION("""COMPUTED_VALUE"""),131.81)</f>
        <v>131.81</v>
      </c>
      <c r="N190" s="17"/>
      <c r="Q190" s="17"/>
    </row>
    <row r="191">
      <c r="B191" s="11">
        <f>IFERROR(__xludf.DUMMYFUNCTION("""COMPUTED_VALUE"""),45747.66666666667)</f>
        <v>45747.66667</v>
      </c>
      <c r="C191" s="9">
        <f>IFERROR(__xludf.DUMMYFUNCTION("""COMPUTED_VALUE"""),131.07)</f>
        <v>131.07</v>
      </c>
      <c r="E191" s="17">
        <f>IFERROR(__xludf.DUMMYFUNCTION("""COMPUTED_VALUE"""),45747.66666666667)</f>
        <v>45747.66667</v>
      </c>
      <c r="F191" s="9">
        <f>IFERROR(__xludf.DUMMYFUNCTION("""COMPUTED_VALUE"""),131.07)</f>
        <v>131.07</v>
      </c>
      <c r="N191" s="17"/>
      <c r="Q191" s="17"/>
    </row>
    <row r="192">
      <c r="B192" s="11">
        <f>IFERROR(__xludf.DUMMYFUNCTION("""COMPUTED_VALUE"""),45744.66666666667)</f>
        <v>45744.66667</v>
      </c>
      <c r="C192" s="9">
        <f>IFERROR(__xludf.DUMMYFUNCTION("""COMPUTED_VALUE"""),130.15)</f>
        <v>130.15</v>
      </c>
      <c r="E192" s="17">
        <f>IFERROR(__xludf.DUMMYFUNCTION("""COMPUTED_VALUE"""),45744.66666666667)</f>
        <v>45744.66667</v>
      </c>
      <c r="F192" s="9">
        <f>IFERROR(__xludf.DUMMYFUNCTION("""COMPUTED_VALUE"""),130.15)</f>
        <v>130.15</v>
      </c>
      <c r="N192" s="17"/>
      <c r="Q192" s="17"/>
    </row>
    <row r="193">
      <c r="B193" s="11">
        <f>IFERROR(__xludf.DUMMYFUNCTION("""COMPUTED_VALUE"""),45743.66666666667)</f>
        <v>45743.66667</v>
      </c>
      <c r="C193" s="9">
        <f>IFERROR(__xludf.DUMMYFUNCTION("""COMPUTED_VALUE"""),132.89)</f>
        <v>132.89</v>
      </c>
      <c r="E193" s="17">
        <f>IFERROR(__xludf.DUMMYFUNCTION("""COMPUTED_VALUE"""),45743.66666666667)</f>
        <v>45743.66667</v>
      </c>
      <c r="F193" s="9">
        <f>IFERROR(__xludf.DUMMYFUNCTION("""COMPUTED_VALUE"""),132.89)</f>
        <v>132.89</v>
      </c>
      <c r="N193" s="17"/>
      <c r="Q193" s="17"/>
    </row>
    <row r="194">
      <c r="B194" s="11">
        <f>IFERROR(__xludf.DUMMYFUNCTION("""COMPUTED_VALUE"""),45742.66666666667)</f>
        <v>45742.66667</v>
      </c>
      <c r="C194" s="9">
        <f>IFERROR(__xludf.DUMMYFUNCTION("""COMPUTED_VALUE"""),133.6)</f>
        <v>133.6</v>
      </c>
      <c r="E194" s="17">
        <f>IFERROR(__xludf.DUMMYFUNCTION("""COMPUTED_VALUE"""),45742.66666666667)</f>
        <v>45742.66667</v>
      </c>
      <c r="F194" s="9">
        <f>IFERROR(__xludf.DUMMYFUNCTION("""COMPUTED_VALUE"""),133.6)</f>
        <v>133.6</v>
      </c>
      <c r="N194" s="17"/>
      <c r="Q194" s="17"/>
    </row>
    <row r="195">
      <c r="B195" s="11">
        <f>IFERROR(__xludf.DUMMYFUNCTION("""COMPUTED_VALUE"""),45741.66666666667)</f>
        <v>45741.66667</v>
      </c>
      <c r="C195" s="9">
        <f>IFERROR(__xludf.DUMMYFUNCTION("""COMPUTED_VALUE"""),134.49)</f>
        <v>134.49</v>
      </c>
      <c r="E195" s="17">
        <f>IFERROR(__xludf.DUMMYFUNCTION("""COMPUTED_VALUE"""),45741.66666666667)</f>
        <v>45741.66667</v>
      </c>
      <c r="F195" s="9">
        <f>IFERROR(__xludf.DUMMYFUNCTION("""COMPUTED_VALUE"""),134.49)</f>
        <v>134.49</v>
      </c>
      <c r="N195" s="17"/>
      <c r="Q195" s="17"/>
    </row>
    <row r="196">
      <c r="B196" s="11">
        <f>IFERROR(__xludf.DUMMYFUNCTION("""COMPUTED_VALUE"""),45740.66666666667)</f>
        <v>45740.66667</v>
      </c>
      <c r="C196" s="9">
        <f>IFERROR(__xludf.DUMMYFUNCTION("""COMPUTED_VALUE"""),134.29)</f>
        <v>134.29</v>
      </c>
      <c r="E196" s="17">
        <f>IFERROR(__xludf.DUMMYFUNCTION("""COMPUTED_VALUE"""),45740.66666666667)</f>
        <v>45740.66667</v>
      </c>
      <c r="F196" s="9">
        <f>IFERROR(__xludf.DUMMYFUNCTION("""COMPUTED_VALUE"""),134.29)</f>
        <v>134.29</v>
      </c>
      <c r="N196" s="17"/>
      <c r="Q196" s="17"/>
    </row>
    <row r="197">
      <c r="B197" s="11">
        <f>IFERROR(__xludf.DUMMYFUNCTION("""COMPUTED_VALUE"""),45737.66666666667)</f>
        <v>45737.66667</v>
      </c>
      <c r="C197" s="9">
        <f>IFERROR(__xludf.DUMMYFUNCTION("""COMPUTED_VALUE"""),132.25)</f>
        <v>132.25</v>
      </c>
      <c r="E197" s="17">
        <f>IFERROR(__xludf.DUMMYFUNCTION("""COMPUTED_VALUE"""),45737.66666666667)</f>
        <v>45737.66667</v>
      </c>
      <c r="F197" s="9">
        <f>IFERROR(__xludf.DUMMYFUNCTION("""COMPUTED_VALUE"""),132.25)</f>
        <v>132.25</v>
      </c>
      <c r="N197" s="17"/>
      <c r="Q197" s="17"/>
    </row>
    <row r="198">
      <c r="B198" s="11">
        <f>IFERROR(__xludf.DUMMYFUNCTION("""COMPUTED_VALUE"""),45736.66666666667)</f>
        <v>45736.66667</v>
      </c>
      <c r="C198" s="9">
        <f>IFERROR(__xludf.DUMMYFUNCTION("""COMPUTED_VALUE"""),132.96)</f>
        <v>132.96</v>
      </c>
      <c r="E198" s="17">
        <f>IFERROR(__xludf.DUMMYFUNCTION("""COMPUTED_VALUE"""),45736.66666666667)</f>
        <v>45736.66667</v>
      </c>
      <c r="F198" s="9">
        <f>IFERROR(__xludf.DUMMYFUNCTION("""COMPUTED_VALUE"""),132.96)</f>
        <v>132.96</v>
      </c>
      <c r="N198" s="17"/>
      <c r="Q198" s="17"/>
    </row>
    <row r="199">
      <c r="B199" s="11">
        <f>IFERROR(__xludf.DUMMYFUNCTION("""COMPUTED_VALUE"""),45735.66666666667)</f>
        <v>45735.66667</v>
      </c>
      <c r="C199" s="9">
        <f>IFERROR(__xludf.DUMMYFUNCTION("""COMPUTED_VALUE"""),133.63)</f>
        <v>133.63</v>
      </c>
      <c r="E199" s="17">
        <f>IFERROR(__xludf.DUMMYFUNCTION("""COMPUTED_VALUE"""),45735.66666666667)</f>
        <v>45735.66667</v>
      </c>
      <c r="F199" s="9">
        <f>IFERROR(__xludf.DUMMYFUNCTION("""COMPUTED_VALUE"""),133.63)</f>
        <v>133.63</v>
      </c>
      <c r="N199" s="17"/>
      <c r="Q199" s="17"/>
    </row>
    <row r="200">
      <c r="B200" s="11">
        <f>IFERROR(__xludf.DUMMYFUNCTION("""COMPUTED_VALUE"""),45734.66666666667)</f>
        <v>45734.66667</v>
      </c>
      <c r="C200" s="9">
        <f>IFERROR(__xludf.DUMMYFUNCTION("""COMPUTED_VALUE"""),131.88)</f>
        <v>131.88</v>
      </c>
      <c r="E200" s="17">
        <f>IFERROR(__xludf.DUMMYFUNCTION("""COMPUTED_VALUE"""),45734.66666666667)</f>
        <v>45734.66667</v>
      </c>
      <c r="F200" s="9">
        <f>IFERROR(__xludf.DUMMYFUNCTION("""COMPUTED_VALUE"""),131.88)</f>
        <v>131.88</v>
      </c>
      <c r="N200" s="17"/>
      <c r="Q200" s="17"/>
    </row>
    <row r="201">
      <c r="B201" s="11">
        <f>IFERROR(__xludf.DUMMYFUNCTION("""COMPUTED_VALUE"""),45733.66666666667)</f>
        <v>45733.66667</v>
      </c>
      <c r="C201" s="9">
        <f>IFERROR(__xludf.DUMMYFUNCTION("""COMPUTED_VALUE"""),132.94)</f>
        <v>132.94</v>
      </c>
      <c r="E201" s="17">
        <f>IFERROR(__xludf.DUMMYFUNCTION("""COMPUTED_VALUE"""),45733.66666666667)</f>
        <v>45733.66667</v>
      </c>
      <c r="F201" s="9">
        <f>IFERROR(__xludf.DUMMYFUNCTION("""COMPUTED_VALUE"""),132.94)</f>
        <v>132.94</v>
      </c>
      <c r="N201" s="17"/>
      <c r="Q201" s="17"/>
    </row>
    <row r="202">
      <c r="B202" s="11">
        <f>IFERROR(__xludf.DUMMYFUNCTION("""COMPUTED_VALUE"""),45730.66666666667)</f>
        <v>45730.66667</v>
      </c>
      <c r="C202" s="9">
        <f>IFERROR(__xludf.DUMMYFUNCTION("""COMPUTED_VALUE"""),131.13)</f>
        <v>131.13</v>
      </c>
      <c r="E202" s="17">
        <f>IFERROR(__xludf.DUMMYFUNCTION("""COMPUTED_VALUE"""),45730.66666666667)</f>
        <v>45730.66667</v>
      </c>
      <c r="F202" s="9">
        <f>IFERROR(__xludf.DUMMYFUNCTION("""COMPUTED_VALUE"""),131.13)</f>
        <v>131.13</v>
      </c>
      <c r="N202" s="17"/>
      <c r="Q202" s="17"/>
    </row>
    <row r="203">
      <c r="B203" s="11">
        <f>IFERROR(__xludf.DUMMYFUNCTION("""COMPUTED_VALUE"""),45729.66666666667)</f>
        <v>45729.66667</v>
      </c>
      <c r="C203" s="9">
        <f>IFERROR(__xludf.DUMMYFUNCTION("""COMPUTED_VALUE"""),128.78)</f>
        <v>128.78</v>
      </c>
      <c r="E203" s="17">
        <f>IFERROR(__xludf.DUMMYFUNCTION("""COMPUTED_VALUE"""),45729.66666666667)</f>
        <v>45729.66667</v>
      </c>
      <c r="F203" s="9">
        <f>IFERROR(__xludf.DUMMYFUNCTION("""COMPUTED_VALUE"""),128.78)</f>
        <v>128.78</v>
      </c>
      <c r="N203" s="17"/>
      <c r="Q203" s="17"/>
    </row>
    <row r="204">
      <c r="B204" s="11">
        <f>IFERROR(__xludf.DUMMYFUNCTION("""COMPUTED_VALUE"""),45728.66666666667)</f>
        <v>45728.66667</v>
      </c>
      <c r="C204" s="9">
        <f>IFERROR(__xludf.DUMMYFUNCTION("""COMPUTED_VALUE"""),130.11)</f>
        <v>130.11</v>
      </c>
      <c r="E204" s="17">
        <f>IFERROR(__xludf.DUMMYFUNCTION("""COMPUTED_VALUE"""),45728.66666666667)</f>
        <v>45728.66667</v>
      </c>
      <c r="F204" s="9">
        <f>IFERROR(__xludf.DUMMYFUNCTION("""COMPUTED_VALUE"""),130.11)</f>
        <v>130.11</v>
      </c>
      <c r="N204" s="17"/>
      <c r="Q204" s="17"/>
    </row>
    <row r="205">
      <c r="B205" s="11">
        <f>IFERROR(__xludf.DUMMYFUNCTION("""COMPUTED_VALUE"""),45727.66666666667)</f>
        <v>45727.66667</v>
      </c>
      <c r="C205" s="9">
        <f>IFERROR(__xludf.DUMMYFUNCTION("""COMPUTED_VALUE"""),130.12)</f>
        <v>130.12</v>
      </c>
      <c r="E205" s="17">
        <f>IFERROR(__xludf.DUMMYFUNCTION("""COMPUTED_VALUE"""),45727.66666666667)</f>
        <v>45727.66667</v>
      </c>
      <c r="F205" s="9">
        <f>IFERROR(__xludf.DUMMYFUNCTION("""COMPUTED_VALUE"""),130.12)</f>
        <v>130.12</v>
      </c>
      <c r="N205" s="17"/>
      <c r="Q205" s="17"/>
    </row>
    <row r="206">
      <c r="B206" s="11">
        <f>IFERROR(__xludf.DUMMYFUNCTION("""COMPUTED_VALUE"""),45726.66666666667)</f>
        <v>45726.66667</v>
      </c>
      <c r="C206" s="9">
        <f>IFERROR(__xludf.DUMMYFUNCTION("""COMPUTED_VALUE"""),132.15)</f>
        <v>132.15</v>
      </c>
      <c r="E206" s="17">
        <f>IFERROR(__xludf.DUMMYFUNCTION("""COMPUTED_VALUE"""),45726.66666666667)</f>
        <v>45726.66667</v>
      </c>
      <c r="F206" s="9">
        <f>IFERROR(__xludf.DUMMYFUNCTION("""COMPUTED_VALUE"""),132.15)</f>
        <v>132.15</v>
      </c>
      <c r="N206" s="17"/>
      <c r="Q206" s="17"/>
    </row>
    <row r="207">
      <c r="B207" s="11">
        <f>IFERROR(__xludf.DUMMYFUNCTION("""COMPUTED_VALUE"""),45723.66666666667)</f>
        <v>45723.66667</v>
      </c>
      <c r="C207" s="9">
        <f>IFERROR(__xludf.DUMMYFUNCTION("""COMPUTED_VALUE"""),134.25)</f>
        <v>134.25</v>
      </c>
      <c r="E207" s="17">
        <f>IFERROR(__xludf.DUMMYFUNCTION("""COMPUTED_VALUE"""),45723.66666666667)</f>
        <v>45723.66667</v>
      </c>
      <c r="F207" s="9">
        <f>IFERROR(__xludf.DUMMYFUNCTION("""COMPUTED_VALUE"""),134.25)</f>
        <v>134.25</v>
      </c>
      <c r="N207" s="17"/>
      <c r="Q207" s="17"/>
    </row>
    <row r="208">
      <c r="B208" s="11">
        <f>IFERROR(__xludf.DUMMYFUNCTION("""COMPUTED_VALUE"""),45722.66666666667)</f>
        <v>45722.66667</v>
      </c>
      <c r="C208" s="9">
        <f>IFERROR(__xludf.DUMMYFUNCTION("""COMPUTED_VALUE"""),132.7)</f>
        <v>132.7</v>
      </c>
      <c r="E208" s="17">
        <f>IFERROR(__xludf.DUMMYFUNCTION("""COMPUTED_VALUE"""),45722.66666666667)</f>
        <v>45722.66667</v>
      </c>
      <c r="F208" s="9">
        <f>IFERROR(__xludf.DUMMYFUNCTION("""COMPUTED_VALUE"""),132.7)</f>
        <v>132.7</v>
      </c>
      <c r="N208" s="17"/>
      <c r="Q208" s="17"/>
    </row>
    <row r="209">
      <c r="B209" s="11">
        <f>IFERROR(__xludf.DUMMYFUNCTION("""COMPUTED_VALUE"""),45721.66666666667)</f>
        <v>45721.66667</v>
      </c>
      <c r="C209" s="9">
        <f>IFERROR(__xludf.DUMMYFUNCTION("""COMPUTED_VALUE"""),133.85)</f>
        <v>133.85</v>
      </c>
      <c r="E209" s="17">
        <f>IFERROR(__xludf.DUMMYFUNCTION("""COMPUTED_VALUE"""),45721.66666666667)</f>
        <v>45721.66667</v>
      </c>
      <c r="F209" s="9">
        <f>IFERROR(__xludf.DUMMYFUNCTION("""COMPUTED_VALUE"""),133.85)</f>
        <v>133.85</v>
      </c>
      <c r="N209" s="17"/>
      <c r="Q209" s="17"/>
    </row>
    <row r="210">
      <c r="B210" s="11">
        <f>IFERROR(__xludf.DUMMYFUNCTION("""COMPUTED_VALUE"""),45720.66666666667)</f>
        <v>45720.66667</v>
      </c>
      <c r="C210" s="9">
        <f>IFERROR(__xludf.DUMMYFUNCTION("""COMPUTED_VALUE"""),131.77)</f>
        <v>131.77</v>
      </c>
      <c r="E210" s="17">
        <f>IFERROR(__xludf.DUMMYFUNCTION("""COMPUTED_VALUE"""),45720.66666666667)</f>
        <v>45720.66667</v>
      </c>
      <c r="F210" s="9">
        <f>IFERROR(__xludf.DUMMYFUNCTION("""COMPUTED_VALUE"""),131.77)</f>
        <v>131.77</v>
      </c>
      <c r="N210" s="17"/>
      <c r="Q210" s="17"/>
    </row>
    <row r="211">
      <c r="B211" s="11">
        <f>IFERROR(__xludf.DUMMYFUNCTION("""COMPUTED_VALUE"""),45719.66666666667)</f>
        <v>45719.66667</v>
      </c>
      <c r="C211" s="9">
        <f>IFERROR(__xludf.DUMMYFUNCTION("""COMPUTED_VALUE"""),134.39)</f>
        <v>134.39</v>
      </c>
      <c r="E211" s="17">
        <f>IFERROR(__xludf.DUMMYFUNCTION("""COMPUTED_VALUE"""),45719.66666666667)</f>
        <v>45719.66667</v>
      </c>
      <c r="F211" s="9">
        <f>IFERROR(__xludf.DUMMYFUNCTION("""COMPUTED_VALUE"""),134.39)</f>
        <v>134.39</v>
      </c>
      <c r="N211" s="17"/>
      <c r="Q211" s="17"/>
    </row>
    <row r="212">
      <c r="B212" s="11">
        <f>IFERROR(__xludf.DUMMYFUNCTION("""COMPUTED_VALUE"""),45716.66666666667)</f>
        <v>45716.66667</v>
      </c>
      <c r="C212" s="9">
        <f>IFERROR(__xludf.DUMMYFUNCTION("""COMPUTED_VALUE"""),136.33)</f>
        <v>136.33</v>
      </c>
      <c r="E212" s="17">
        <f>IFERROR(__xludf.DUMMYFUNCTION("""COMPUTED_VALUE"""),45716.66666666667)</f>
        <v>45716.66667</v>
      </c>
      <c r="F212" s="9">
        <f>IFERROR(__xludf.DUMMYFUNCTION("""COMPUTED_VALUE"""),136.33)</f>
        <v>136.33</v>
      </c>
      <c r="N212" s="17"/>
      <c r="Q212" s="17"/>
    </row>
    <row r="213">
      <c r="B213" s="11">
        <f>IFERROR(__xludf.DUMMYFUNCTION("""COMPUTED_VALUE"""),45715.66666666667)</f>
        <v>45715.66667</v>
      </c>
      <c r="C213" s="9">
        <f>IFERROR(__xludf.DUMMYFUNCTION("""COMPUTED_VALUE"""),134.53)</f>
        <v>134.53</v>
      </c>
      <c r="E213" s="17">
        <f>IFERROR(__xludf.DUMMYFUNCTION("""COMPUTED_VALUE"""),45715.66666666667)</f>
        <v>45715.66667</v>
      </c>
      <c r="F213" s="9">
        <f>IFERROR(__xludf.DUMMYFUNCTION("""COMPUTED_VALUE"""),134.53)</f>
        <v>134.53</v>
      </c>
      <c r="N213" s="17"/>
      <c r="Q213" s="17"/>
    </row>
    <row r="214">
      <c r="B214" s="11">
        <f>IFERROR(__xludf.DUMMYFUNCTION("""COMPUTED_VALUE"""),45714.66666666667)</f>
        <v>45714.66667</v>
      </c>
      <c r="C214" s="9">
        <f>IFERROR(__xludf.DUMMYFUNCTION("""COMPUTED_VALUE"""),135.0)</f>
        <v>135</v>
      </c>
      <c r="E214" s="17">
        <f>IFERROR(__xludf.DUMMYFUNCTION("""COMPUTED_VALUE"""),45714.66666666667)</f>
        <v>45714.66667</v>
      </c>
      <c r="F214" s="9">
        <f>IFERROR(__xludf.DUMMYFUNCTION("""COMPUTED_VALUE"""),135.0)</f>
        <v>135</v>
      </c>
      <c r="N214" s="17"/>
      <c r="Q214" s="17"/>
    </row>
    <row r="215">
      <c r="B215" s="11">
        <f>IFERROR(__xludf.DUMMYFUNCTION("""COMPUTED_VALUE"""),45713.66666666667)</f>
        <v>45713.66667</v>
      </c>
      <c r="C215" s="9">
        <f>IFERROR(__xludf.DUMMYFUNCTION("""COMPUTED_VALUE"""),134.92)</f>
        <v>134.92</v>
      </c>
      <c r="E215" s="17">
        <f>IFERROR(__xludf.DUMMYFUNCTION("""COMPUTED_VALUE"""),45713.66666666667)</f>
        <v>45713.66667</v>
      </c>
      <c r="F215" s="9">
        <f>IFERROR(__xludf.DUMMYFUNCTION("""COMPUTED_VALUE"""),134.92)</f>
        <v>134.92</v>
      </c>
      <c r="N215" s="17"/>
      <c r="Q215" s="17"/>
    </row>
    <row r="216">
      <c r="B216" s="11">
        <f>IFERROR(__xludf.DUMMYFUNCTION("""COMPUTED_VALUE"""),45712.66666666667)</f>
        <v>45712.66667</v>
      </c>
      <c r="C216" s="9">
        <f>IFERROR(__xludf.DUMMYFUNCTION("""COMPUTED_VALUE"""),134.23)</f>
        <v>134.23</v>
      </c>
      <c r="E216" s="17">
        <f>IFERROR(__xludf.DUMMYFUNCTION("""COMPUTED_VALUE"""),45712.66666666667)</f>
        <v>45712.66667</v>
      </c>
      <c r="F216" s="9">
        <f>IFERROR(__xludf.DUMMYFUNCTION("""COMPUTED_VALUE"""),134.23)</f>
        <v>134.23</v>
      </c>
      <c r="N216" s="17"/>
      <c r="Q216" s="17"/>
    </row>
    <row r="217">
      <c r="B217" s="11">
        <f>IFERROR(__xludf.DUMMYFUNCTION("""COMPUTED_VALUE"""),45709.66666666667)</f>
        <v>45709.66667</v>
      </c>
      <c r="C217" s="9">
        <f>IFERROR(__xludf.DUMMYFUNCTION("""COMPUTED_VALUE"""),134.84)</f>
        <v>134.84</v>
      </c>
      <c r="E217" s="17">
        <f>IFERROR(__xludf.DUMMYFUNCTION("""COMPUTED_VALUE"""),45709.66666666667)</f>
        <v>45709.66667</v>
      </c>
      <c r="F217" s="9">
        <f>IFERROR(__xludf.DUMMYFUNCTION("""COMPUTED_VALUE"""),134.84)</f>
        <v>134.84</v>
      </c>
      <c r="N217" s="17"/>
      <c r="Q217" s="17"/>
    </row>
    <row r="218">
      <c r="B218" s="11">
        <f>IFERROR(__xludf.DUMMYFUNCTION("""COMPUTED_VALUE"""),45708.66666666667)</f>
        <v>45708.66667</v>
      </c>
      <c r="C218" s="9">
        <f>IFERROR(__xludf.DUMMYFUNCTION("""COMPUTED_VALUE"""),137.86)</f>
        <v>137.86</v>
      </c>
      <c r="E218" s="17">
        <f>IFERROR(__xludf.DUMMYFUNCTION("""COMPUTED_VALUE"""),45708.66666666667)</f>
        <v>45708.66667</v>
      </c>
      <c r="F218" s="9">
        <f>IFERROR(__xludf.DUMMYFUNCTION("""COMPUTED_VALUE"""),137.86)</f>
        <v>137.86</v>
      </c>
      <c r="N218" s="17"/>
      <c r="Q218" s="17"/>
    </row>
    <row r="219">
      <c r="B219" s="11">
        <f>IFERROR(__xludf.DUMMYFUNCTION("""COMPUTED_VALUE"""),45707.66666666667)</f>
        <v>45707.66667</v>
      </c>
      <c r="C219" s="9">
        <f>IFERROR(__xludf.DUMMYFUNCTION("""COMPUTED_VALUE"""),138.77)</f>
        <v>138.77</v>
      </c>
      <c r="E219" s="17">
        <f>IFERROR(__xludf.DUMMYFUNCTION("""COMPUTED_VALUE"""),45707.66666666667)</f>
        <v>45707.66667</v>
      </c>
      <c r="F219" s="9">
        <f>IFERROR(__xludf.DUMMYFUNCTION("""COMPUTED_VALUE"""),138.77)</f>
        <v>138.77</v>
      </c>
      <c r="N219" s="17"/>
      <c r="Q219" s="17"/>
    </row>
    <row r="220">
      <c r="B220" s="11">
        <f>IFERROR(__xludf.DUMMYFUNCTION("""COMPUTED_VALUE"""),45706.66666666667)</f>
        <v>45706.66667</v>
      </c>
      <c r="C220" s="9">
        <f>IFERROR(__xludf.DUMMYFUNCTION("""COMPUTED_VALUE"""),138.63)</f>
        <v>138.63</v>
      </c>
      <c r="E220" s="17">
        <f>IFERROR(__xludf.DUMMYFUNCTION("""COMPUTED_VALUE"""),45706.66666666667)</f>
        <v>45706.66667</v>
      </c>
      <c r="F220" s="9">
        <f>IFERROR(__xludf.DUMMYFUNCTION("""COMPUTED_VALUE"""),138.63)</f>
        <v>138.63</v>
      </c>
      <c r="N220" s="17"/>
      <c r="Q220" s="17"/>
    </row>
    <row r="221">
      <c r="B221" s="11">
        <f>IFERROR(__xludf.DUMMYFUNCTION("""COMPUTED_VALUE"""),45702.66666666667)</f>
        <v>45702.66667</v>
      </c>
      <c r="C221" s="9">
        <f>IFERROR(__xludf.DUMMYFUNCTION("""COMPUTED_VALUE"""),137.55)</f>
        <v>137.55</v>
      </c>
      <c r="E221" s="17">
        <f>IFERROR(__xludf.DUMMYFUNCTION("""COMPUTED_VALUE"""),45702.66666666667)</f>
        <v>45702.66667</v>
      </c>
      <c r="F221" s="9">
        <f>IFERROR(__xludf.DUMMYFUNCTION("""COMPUTED_VALUE"""),137.55)</f>
        <v>137.55</v>
      </c>
      <c r="N221" s="17"/>
      <c r="Q221" s="17"/>
    </row>
    <row r="222">
      <c r="B222" s="11">
        <f>IFERROR(__xludf.DUMMYFUNCTION("""COMPUTED_VALUE"""),45701.66666666667)</f>
        <v>45701.66667</v>
      </c>
      <c r="C222" s="9">
        <f>IFERROR(__xludf.DUMMYFUNCTION("""COMPUTED_VALUE"""),137.89)</f>
        <v>137.89</v>
      </c>
      <c r="E222" s="17">
        <f>IFERROR(__xludf.DUMMYFUNCTION("""COMPUTED_VALUE"""),45701.66666666667)</f>
        <v>45701.66667</v>
      </c>
      <c r="F222" s="9">
        <f>IFERROR(__xludf.DUMMYFUNCTION("""COMPUTED_VALUE"""),137.89)</f>
        <v>137.89</v>
      </c>
      <c r="N222" s="17"/>
      <c r="Q222" s="17"/>
    </row>
    <row r="223">
      <c r="B223" s="11">
        <f>IFERROR(__xludf.DUMMYFUNCTION("""COMPUTED_VALUE"""),45700.66666666667)</f>
        <v>45700.66667</v>
      </c>
      <c r="C223" s="9">
        <f>IFERROR(__xludf.DUMMYFUNCTION("""COMPUTED_VALUE"""),137.75)</f>
        <v>137.75</v>
      </c>
      <c r="E223" s="17">
        <f>IFERROR(__xludf.DUMMYFUNCTION("""COMPUTED_VALUE"""),45700.66666666667)</f>
        <v>45700.66667</v>
      </c>
      <c r="F223" s="9">
        <f>IFERROR(__xludf.DUMMYFUNCTION("""COMPUTED_VALUE"""),137.75)</f>
        <v>137.75</v>
      </c>
      <c r="N223" s="17"/>
      <c r="Q223" s="17"/>
    </row>
    <row r="224">
      <c r="B224" s="11">
        <f>IFERROR(__xludf.DUMMYFUNCTION("""COMPUTED_VALUE"""),45699.66666666667)</f>
        <v>45699.66667</v>
      </c>
      <c r="C224" s="9">
        <f>IFERROR(__xludf.DUMMYFUNCTION("""COMPUTED_VALUE"""),138.61)</f>
        <v>138.61</v>
      </c>
      <c r="E224" s="17">
        <f>IFERROR(__xludf.DUMMYFUNCTION("""COMPUTED_VALUE"""),45699.66666666667)</f>
        <v>45699.66667</v>
      </c>
      <c r="F224" s="9">
        <f>IFERROR(__xludf.DUMMYFUNCTION("""COMPUTED_VALUE"""),138.61)</f>
        <v>138.61</v>
      </c>
      <c r="N224" s="17"/>
      <c r="Q224" s="17"/>
    </row>
    <row r="225">
      <c r="B225" s="11">
        <f>IFERROR(__xludf.DUMMYFUNCTION("""COMPUTED_VALUE"""),45698.66666666667)</f>
        <v>45698.66667</v>
      </c>
      <c r="C225" s="9">
        <f>IFERROR(__xludf.DUMMYFUNCTION("""COMPUTED_VALUE"""),138.56)</f>
        <v>138.56</v>
      </c>
      <c r="E225" s="17">
        <f>IFERROR(__xludf.DUMMYFUNCTION("""COMPUTED_VALUE"""),45698.66666666667)</f>
        <v>45698.66667</v>
      </c>
      <c r="F225" s="9">
        <f>IFERROR(__xludf.DUMMYFUNCTION("""COMPUTED_VALUE"""),138.56)</f>
        <v>138.56</v>
      </c>
      <c r="N225" s="17"/>
      <c r="Q225" s="17"/>
    </row>
    <row r="226">
      <c r="B226" s="11">
        <f>IFERROR(__xludf.DUMMYFUNCTION("""COMPUTED_VALUE"""),45695.66666666667)</f>
        <v>45695.66667</v>
      </c>
      <c r="C226" s="9">
        <f>IFERROR(__xludf.DUMMYFUNCTION("""COMPUTED_VALUE"""),137.33)</f>
        <v>137.33</v>
      </c>
      <c r="E226" s="17">
        <f>IFERROR(__xludf.DUMMYFUNCTION("""COMPUTED_VALUE"""),45695.66666666667)</f>
        <v>45695.66667</v>
      </c>
      <c r="F226" s="9">
        <f>IFERROR(__xludf.DUMMYFUNCTION("""COMPUTED_VALUE"""),137.33)</f>
        <v>137.33</v>
      </c>
      <c r="N226" s="17"/>
      <c r="Q226" s="17"/>
    </row>
    <row r="227">
      <c r="B227" s="11">
        <f>IFERROR(__xludf.DUMMYFUNCTION("""COMPUTED_VALUE"""),45694.66666666667)</f>
        <v>45694.66667</v>
      </c>
      <c r="C227" s="9">
        <f>IFERROR(__xludf.DUMMYFUNCTION("""COMPUTED_VALUE"""),137.74)</f>
        <v>137.74</v>
      </c>
      <c r="E227" s="17">
        <f>IFERROR(__xludf.DUMMYFUNCTION("""COMPUTED_VALUE"""),45694.66666666667)</f>
        <v>45694.66667</v>
      </c>
      <c r="F227" s="9">
        <f>IFERROR(__xludf.DUMMYFUNCTION("""COMPUTED_VALUE"""),137.74)</f>
        <v>137.74</v>
      </c>
      <c r="N227" s="17"/>
      <c r="Q227" s="17"/>
    </row>
    <row r="228">
      <c r="B228" s="11">
        <f>IFERROR(__xludf.DUMMYFUNCTION("""COMPUTED_VALUE"""),45693.66666666667)</f>
        <v>45693.66667</v>
      </c>
      <c r="C228" s="9">
        <f>IFERROR(__xludf.DUMMYFUNCTION("""COMPUTED_VALUE"""),137.12)</f>
        <v>137.12</v>
      </c>
      <c r="E228" s="17">
        <f>IFERROR(__xludf.DUMMYFUNCTION("""COMPUTED_VALUE"""),45693.66666666667)</f>
        <v>45693.66667</v>
      </c>
      <c r="F228" s="9">
        <f>IFERROR(__xludf.DUMMYFUNCTION("""COMPUTED_VALUE"""),137.12)</f>
        <v>137.12</v>
      </c>
      <c r="N228" s="17"/>
      <c r="Q228" s="17"/>
    </row>
    <row r="229">
      <c r="B229" s="11">
        <f>IFERROR(__xludf.DUMMYFUNCTION("""COMPUTED_VALUE"""),45692.66666666667)</f>
        <v>45692.66667</v>
      </c>
      <c r="C229" s="9">
        <f>IFERROR(__xludf.DUMMYFUNCTION("""COMPUTED_VALUE"""),137.02)</f>
        <v>137.02</v>
      </c>
      <c r="E229" s="17">
        <f>IFERROR(__xludf.DUMMYFUNCTION("""COMPUTED_VALUE"""),45692.66666666667)</f>
        <v>45692.66667</v>
      </c>
      <c r="F229" s="9">
        <f>IFERROR(__xludf.DUMMYFUNCTION("""COMPUTED_VALUE"""),137.02)</f>
        <v>137.02</v>
      </c>
      <c r="N229" s="17"/>
      <c r="Q229" s="17"/>
    </row>
    <row r="230">
      <c r="B230" s="11">
        <f>IFERROR(__xludf.DUMMYFUNCTION("""COMPUTED_VALUE"""),45691.66666666667)</f>
        <v>45691.66667</v>
      </c>
      <c r="C230" s="9">
        <f>IFERROR(__xludf.DUMMYFUNCTION("""COMPUTED_VALUE"""),136.98)</f>
        <v>136.98</v>
      </c>
      <c r="E230" s="17">
        <f>IFERROR(__xludf.DUMMYFUNCTION("""COMPUTED_VALUE"""),45691.66666666667)</f>
        <v>45691.66667</v>
      </c>
      <c r="F230" s="9">
        <f>IFERROR(__xludf.DUMMYFUNCTION("""COMPUTED_VALUE"""),136.98)</f>
        <v>136.98</v>
      </c>
      <c r="N230" s="17"/>
      <c r="Q230" s="17"/>
    </row>
    <row r="231">
      <c r="B231" s="11">
        <f>IFERROR(__xludf.DUMMYFUNCTION("""COMPUTED_VALUE"""),45688.66666666667)</f>
        <v>45688.66667</v>
      </c>
      <c r="C231" s="9">
        <f>IFERROR(__xludf.DUMMYFUNCTION("""COMPUTED_VALUE"""),138.35)</f>
        <v>138.35</v>
      </c>
      <c r="E231" s="17">
        <f>IFERROR(__xludf.DUMMYFUNCTION("""COMPUTED_VALUE"""),45688.66666666667)</f>
        <v>45688.66667</v>
      </c>
      <c r="F231" s="9">
        <f>IFERROR(__xludf.DUMMYFUNCTION("""COMPUTED_VALUE"""),138.35)</f>
        <v>138.35</v>
      </c>
      <c r="N231" s="17"/>
      <c r="Q231" s="17"/>
    </row>
    <row r="232">
      <c r="B232" s="11">
        <f>IFERROR(__xludf.DUMMYFUNCTION("""COMPUTED_VALUE"""),45687.66666666667)</f>
        <v>45687.66667</v>
      </c>
      <c r="C232" s="9">
        <f>IFERROR(__xludf.DUMMYFUNCTION("""COMPUTED_VALUE"""),139.33)</f>
        <v>139.33</v>
      </c>
      <c r="E232" s="17">
        <f>IFERROR(__xludf.DUMMYFUNCTION("""COMPUTED_VALUE"""),45687.66666666667)</f>
        <v>45687.66667</v>
      </c>
      <c r="F232" s="9">
        <f>IFERROR(__xludf.DUMMYFUNCTION("""COMPUTED_VALUE"""),139.33)</f>
        <v>139.33</v>
      </c>
      <c r="N232" s="17"/>
      <c r="Q232" s="17"/>
    </row>
    <row r="233">
      <c r="B233" s="11">
        <f>IFERROR(__xludf.DUMMYFUNCTION("""COMPUTED_VALUE"""),45686.66666666667)</f>
        <v>45686.66667</v>
      </c>
      <c r="C233" s="9">
        <f>IFERROR(__xludf.DUMMYFUNCTION("""COMPUTED_VALUE"""),137.79)</f>
        <v>137.79</v>
      </c>
      <c r="E233" s="17">
        <f>IFERROR(__xludf.DUMMYFUNCTION("""COMPUTED_VALUE"""),45686.66666666667)</f>
        <v>45686.66667</v>
      </c>
      <c r="F233" s="9">
        <f>IFERROR(__xludf.DUMMYFUNCTION("""COMPUTED_VALUE"""),137.79)</f>
        <v>137.79</v>
      </c>
      <c r="N233" s="17"/>
      <c r="Q233" s="17"/>
    </row>
    <row r="234">
      <c r="B234" s="11">
        <f>IFERROR(__xludf.DUMMYFUNCTION("""COMPUTED_VALUE"""),45685.66666666667)</f>
        <v>45685.66667</v>
      </c>
      <c r="C234" s="9">
        <f>IFERROR(__xludf.DUMMYFUNCTION("""COMPUTED_VALUE"""),138.26)</f>
        <v>138.26</v>
      </c>
      <c r="E234" s="17">
        <f>IFERROR(__xludf.DUMMYFUNCTION("""COMPUTED_VALUE"""),45685.66666666667)</f>
        <v>45685.66667</v>
      </c>
      <c r="F234" s="9">
        <f>IFERROR(__xludf.DUMMYFUNCTION("""COMPUTED_VALUE"""),138.26)</f>
        <v>138.26</v>
      </c>
      <c r="N234" s="17"/>
      <c r="Q234" s="17"/>
    </row>
    <row r="235">
      <c r="B235" s="11">
        <f>IFERROR(__xludf.DUMMYFUNCTION("""COMPUTED_VALUE"""),45684.66666666667)</f>
        <v>45684.66667</v>
      </c>
      <c r="C235" s="9">
        <f>IFERROR(__xludf.DUMMYFUNCTION("""COMPUTED_VALUE"""),139.18)</f>
        <v>139.18</v>
      </c>
      <c r="E235" s="17">
        <f>IFERROR(__xludf.DUMMYFUNCTION("""COMPUTED_VALUE"""),45684.66666666667)</f>
        <v>45684.66667</v>
      </c>
      <c r="F235" s="9">
        <f>IFERROR(__xludf.DUMMYFUNCTION("""COMPUTED_VALUE"""),139.18)</f>
        <v>139.18</v>
      </c>
      <c r="N235" s="17"/>
      <c r="Q235" s="17"/>
    </row>
    <row r="236">
      <c r="B236" s="11">
        <f>IFERROR(__xludf.DUMMYFUNCTION("""COMPUTED_VALUE"""),45681.66666666667)</f>
        <v>45681.66667</v>
      </c>
      <c r="C236" s="9">
        <f>IFERROR(__xludf.DUMMYFUNCTION("""COMPUTED_VALUE"""),141.07)</f>
        <v>141.07</v>
      </c>
      <c r="E236" s="17">
        <f>IFERROR(__xludf.DUMMYFUNCTION("""COMPUTED_VALUE"""),45681.66666666667)</f>
        <v>45681.66667</v>
      </c>
      <c r="F236" s="9">
        <f>IFERROR(__xludf.DUMMYFUNCTION("""COMPUTED_VALUE"""),141.07)</f>
        <v>141.07</v>
      </c>
      <c r="N236" s="17"/>
      <c r="Q236" s="17"/>
    </row>
    <row r="237">
      <c r="B237" s="11">
        <f>IFERROR(__xludf.DUMMYFUNCTION("""COMPUTED_VALUE"""),45680.66666666667)</f>
        <v>45680.66667</v>
      </c>
      <c r="C237" s="9">
        <f>IFERROR(__xludf.DUMMYFUNCTION("""COMPUTED_VALUE"""),141.67)</f>
        <v>141.67</v>
      </c>
      <c r="E237" s="17">
        <f>IFERROR(__xludf.DUMMYFUNCTION("""COMPUTED_VALUE"""),45680.66666666667)</f>
        <v>45680.66667</v>
      </c>
      <c r="F237" s="9">
        <f>IFERROR(__xludf.DUMMYFUNCTION("""COMPUTED_VALUE"""),141.67)</f>
        <v>141.67</v>
      </c>
      <c r="N237" s="17"/>
      <c r="Q237" s="17"/>
    </row>
    <row r="238">
      <c r="B238" s="11">
        <f>IFERROR(__xludf.DUMMYFUNCTION("""COMPUTED_VALUE"""),45679.66666666667)</f>
        <v>45679.66667</v>
      </c>
      <c r="C238" s="9">
        <f>IFERROR(__xludf.DUMMYFUNCTION("""COMPUTED_VALUE"""),140.25)</f>
        <v>140.25</v>
      </c>
      <c r="E238" s="17">
        <f>IFERROR(__xludf.DUMMYFUNCTION("""COMPUTED_VALUE"""),45679.66666666667)</f>
        <v>45679.66667</v>
      </c>
      <c r="F238" s="9">
        <f>IFERROR(__xludf.DUMMYFUNCTION("""COMPUTED_VALUE"""),140.25)</f>
        <v>140.25</v>
      </c>
      <c r="N238" s="17"/>
      <c r="Q238" s="17"/>
    </row>
    <row r="239">
      <c r="B239" s="11">
        <f>IFERROR(__xludf.DUMMYFUNCTION("""COMPUTED_VALUE"""),45678.66666666667)</f>
        <v>45678.66667</v>
      </c>
      <c r="C239" s="9">
        <f>IFERROR(__xludf.DUMMYFUNCTION("""COMPUTED_VALUE"""),140.58)</f>
        <v>140.58</v>
      </c>
      <c r="E239" s="17">
        <f>IFERROR(__xludf.DUMMYFUNCTION("""COMPUTED_VALUE"""),45678.66666666667)</f>
        <v>45678.66667</v>
      </c>
      <c r="F239" s="9">
        <f>IFERROR(__xludf.DUMMYFUNCTION("""COMPUTED_VALUE"""),140.58)</f>
        <v>140.58</v>
      </c>
      <c r="N239" s="17"/>
      <c r="Q239" s="17"/>
    </row>
    <row r="240">
      <c r="B240" s="11">
        <f>IFERROR(__xludf.DUMMYFUNCTION("""COMPUTED_VALUE"""),45674.66666666667)</f>
        <v>45674.66667</v>
      </c>
      <c r="C240" s="9">
        <f>IFERROR(__xludf.DUMMYFUNCTION("""COMPUTED_VALUE"""),137.75)</f>
        <v>137.75</v>
      </c>
      <c r="E240" s="17">
        <f>IFERROR(__xludf.DUMMYFUNCTION("""COMPUTED_VALUE"""),45674.66666666667)</f>
        <v>45674.66667</v>
      </c>
      <c r="F240" s="9">
        <f>IFERROR(__xludf.DUMMYFUNCTION("""COMPUTED_VALUE"""),137.75)</f>
        <v>137.75</v>
      </c>
      <c r="N240" s="17"/>
      <c r="Q240" s="17"/>
    </row>
    <row r="241">
      <c r="B241" s="11">
        <f>IFERROR(__xludf.DUMMYFUNCTION("""COMPUTED_VALUE"""),45673.66666666667)</f>
        <v>45673.66667</v>
      </c>
      <c r="C241" s="9">
        <f>IFERROR(__xludf.DUMMYFUNCTION("""COMPUTED_VALUE"""),136.93)</f>
        <v>136.93</v>
      </c>
      <c r="E241" s="17">
        <f>IFERROR(__xludf.DUMMYFUNCTION("""COMPUTED_VALUE"""),45673.66666666667)</f>
        <v>45673.66667</v>
      </c>
      <c r="F241" s="9">
        <f>IFERROR(__xludf.DUMMYFUNCTION("""COMPUTED_VALUE"""),136.93)</f>
        <v>136.93</v>
      </c>
      <c r="N241" s="17"/>
      <c r="Q241" s="17"/>
    </row>
    <row r="242">
      <c r="B242" s="11">
        <f>IFERROR(__xludf.DUMMYFUNCTION("""COMPUTED_VALUE"""),45672.66666666667)</f>
        <v>45672.66667</v>
      </c>
      <c r="C242" s="9">
        <f>IFERROR(__xludf.DUMMYFUNCTION("""COMPUTED_VALUE"""),135.29)</f>
        <v>135.29</v>
      </c>
      <c r="E242" s="17">
        <f>IFERROR(__xludf.DUMMYFUNCTION("""COMPUTED_VALUE"""),45672.66666666667)</f>
        <v>45672.66667</v>
      </c>
      <c r="F242" s="9">
        <f>IFERROR(__xludf.DUMMYFUNCTION("""COMPUTED_VALUE"""),135.29)</f>
        <v>135.29</v>
      </c>
      <c r="N242" s="17"/>
      <c r="Q242" s="17"/>
    </row>
    <row r="243">
      <c r="B243" s="11">
        <f>IFERROR(__xludf.DUMMYFUNCTION("""COMPUTED_VALUE"""),45671.66666666667)</f>
        <v>45671.66667</v>
      </c>
      <c r="C243" s="9">
        <f>IFERROR(__xludf.DUMMYFUNCTION("""COMPUTED_VALUE"""),134.44)</f>
        <v>134.44</v>
      </c>
      <c r="E243" s="17">
        <f>IFERROR(__xludf.DUMMYFUNCTION("""COMPUTED_VALUE"""),45671.66666666667)</f>
        <v>45671.66667</v>
      </c>
      <c r="F243" s="9">
        <f>IFERROR(__xludf.DUMMYFUNCTION("""COMPUTED_VALUE"""),134.44)</f>
        <v>134.44</v>
      </c>
      <c r="N243" s="17"/>
      <c r="Q243" s="17"/>
    </row>
    <row r="244">
      <c r="B244" s="11">
        <f>IFERROR(__xludf.DUMMYFUNCTION("""COMPUTED_VALUE"""),45670.66666666667)</f>
        <v>45670.66667</v>
      </c>
      <c r="C244" s="9">
        <f>IFERROR(__xludf.DUMMYFUNCTION("""COMPUTED_VALUE"""),132.87)</f>
        <v>132.87</v>
      </c>
      <c r="E244" s="17">
        <f>IFERROR(__xludf.DUMMYFUNCTION("""COMPUTED_VALUE"""),45670.66666666667)</f>
        <v>45670.66667</v>
      </c>
      <c r="F244" s="9">
        <f>IFERROR(__xludf.DUMMYFUNCTION("""COMPUTED_VALUE"""),132.87)</f>
        <v>132.87</v>
      </c>
      <c r="N244" s="17"/>
      <c r="Q244" s="17"/>
    </row>
    <row r="245">
      <c r="B245" s="11">
        <f>IFERROR(__xludf.DUMMYFUNCTION("""COMPUTED_VALUE"""),45667.66666666667)</f>
        <v>45667.66667</v>
      </c>
      <c r="C245" s="9">
        <f>IFERROR(__xludf.DUMMYFUNCTION("""COMPUTED_VALUE"""),131.33)</f>
        <v>131.33</v>
      </c>
      <c r="E245" s="17">
        <f>IFERROR(__xludf.DUMMYFUNCTION("""COMPUTED_VALUE"""),45667.66666666667)</f>
        <v>45667.66667</v>
      </c>
      <c r="F245" s="9">
        <f>IFERROR(__xludf.DUMMYFUNCTION("""COMPUTED_VALUE"""),131.33)</f>
        <v>131.33</v>
      </c>
      <c r="N245" s="17"/>
      <c r="Q245" s="17"/>
    </row>
    <row r="246">
      <c r="B246" s="11">
        <f>IFERROR(__xludf.DUMMYFUNCTION("""COMPUTED_VALUE"""),45665.66666666667)</f>
        <v>45665.66667</v>
      </c>
      <c r="C246" s="9">
        <f>IFERROR(__xludf.DUMMYFUNCTION("""COMPUTED_VALUE"""),132.82)</f>
        <v>132.82</v>
      </c>
      <c r="E246" s="17">
        <f>IFERROR(__xludf.DUMMYFUNCTION("""COMPUTED_VALUE"""),45665.66666666667)</f>
        <v>45665.66667</v>
      </c>
      <c r="F246" s="9">
        <f>IFERROR(__xludf.DUMMYFUNCTION("""COMPUTED_VALUE"""),132.82)</f>
        <v>132.82</v>
      </c>
      <c r="N246" s="17"/>
      <c r="Q246" s="17"/>
    </row>
    <row r="247">
      <c r="B247" s="11">
        <f>IFERROR(__xludf.DUMMYFUNCTION("""COMPUTED_VALUE"""),45664.66666666667)</f>
        <v>45664.66667</v>
      </c>
      <c r="C247" s="9">
        <f>IFERROR(__xludf.DUMMYFUNCTION("""COMPUTED_VALUE"""),132.3)</f>
        <v>132.3</v>
      </c>
      <c r="E247" s="17">
        <f>IFERROR(__xludf.DUMMYFUNCTION("""COMPUTED_VALUE"""),45664.66666666667)</f>
        <v>45664.66667</v>
      </c>
      <c r="F247" s="9">
        <f>IFERROR(__xludf.DUMMYFUNCTION("""COMPUTED_VALUE"""),132.3)</f>
        <v>132.3</v>
      </c>
      <c r="N247" s="17"/>
      <c r="Q247" s="17"/>
    </row>
    <row r="248">
      <c r="B248" s="11">
        <f>IFERROR(__xludf.DUMMYFUNCTION("""COMPUTED_VALUE"""),45663.66666666667)</f>
        <v>45663.66667</v>
      </c>
      <c r="C248" s="9">
        <f>IFERROR(__xludf.DUMMYFUNCTION("""COMPUTED_VALUE"""),132.43)</f>
        <v>132.43</v>
      </c>
      <c r="E248" s="17">
        <f>IFERROR(__xludf.DUMMYFUNCTION("""COMPUTED_VALUE"""),45663.66666666667)</f>
        <v>45663.66667</v>
      </c>
      <c r="F248" s="9">
        <f>IFERROR(__xludf.DUMMYFUNCTION("""COMPUTED_VALUE"""),132.43)</f>
        <v>132.43</v>
      </c>
      <c r="N248" s="17"/>
      <c r="Q248" s="17"/>
    </row>
    <row r="249">
      <c r="B249" s="11">
        <f>IFERROR(__xludf.DUMMYFUNCTION("""COMPUTED_VALUE"""),45660.66666666667)</f>
        <v>45660.66667</v>
      </c>
      <c r="C249" s="9">
        <f>IFERROR(__xludf.DUMMYFUNCTION("""COMPUTED_VALUE"""),132.72)</f>
        <v>132.72</v>
      </c>
      <c r="E249" s="17">
        <f>IFERROR(__xludf.DUMMYFUNCTION("""COMPUTED_VALUE"""),45660.66666666667)</f>
        <v>45660.66667</v>
      </c>
      <c r="F249" s="9">
        <f>IFERROR(__xludf.DUMMYFUNCTION("""COMPUTED_VALUE"""),132.72)</f>
        <v>132.72</v>
      </c>
      <c r="N249" s="17"/>
      <c r="Q249" s="17"/>
    </row>
    <row r="250">
      <c r="B250" s="11">
        <f>IFERROR(__xludf.DUMMYFUNCTION("""COMPUTED_VALUE"""),45659.66666666667)</f>
        <v>45659.66667</v>
      </c>
      <c r="C250" s="9">
        <f>IFERROR(__xludf.DUMMYFUNCTION("""COMPUTED_VALUE"""),131.3)</f>
        <v>131.3</v>
      </c>
      <c r="E250" s="17"/>
      <c r="N250" s="17"/>
      <c r="Q250" s="17"/>
    </row>
    <row r="251">
      <c r="B251" s="11">
        <f>IFERROR(__xludf.DUMMYFUNCTION("""COMPUTED_VALUE"""),45657.66666666667)</f>
        <v>45657.66667</v>
      </c>
      <c r="C251" s="9">
        <f>IFERROR(__xludf.DUMMYFUNCTION("""COMPUTED_VALUE"""),131.76)</f>
        <v>131.76</v>
      </c>
      <c r="E251" s="17"/>
      <c r="N251" s="17"/>
      <c r="Q251" s="17"/>
    </row>
    <row r="252">
      <c r="B252" s="11">
        <f>IFERROR(__xludf.DUMMYFUNCTION("""COMPUTED_VALUE"""),45656.66666666667)</f>
        <v>45656.66667</v>
      </c>
      <c r="C252" s="9">
        <f>IFERROR(__xludf.DUMMYFUNCTION("""COMPUTED_VALUE"""),131.92)</f>
        <v>131.92</v>
      </c>
      <c r="E252" s="17"/>
      <c r="N252" s="17"/>
      <c r="Q252" s="17"/>
    </row>
    <row r="253">
      <c r="B253" s="11">
        <f>IFERROR(__xludf.DUMMYFUNCTION("""COMPUTED_VALUE"""),45653.66666666667)</f>
        <v>45653.66667</v>
      </c>
      <c r="C253" s="9">
        <f>IFERROR(__xludf.DUMMYFUNCTION("""COMPUTED_VALUE"""),133.26)</f>
        <v>133.26</v>
      </c>
      <c r="E253" s="17"/>
      <c r="N253" s="17"/>
      <c r="Q253" s="17"/>
    </row>
    <row r="254">
      <c r="B254" s="11">
        <f>IFERROR(__xludf.DUMMYFUNCTION("""COMPUTED_VALUE"""),45652.66666666667)</f>
        <v>45652.66667</v>
      </c>
      <c r="C254" s="9">
        <f>IFERROR(__xludf.DUMMYFUNCTION("""COMPUTED_VALUE"""),134.26)</f>
        <v>134.26</v>
      </c>
      <c r="E254" s="17"/>
      <c r="N254" s="17"/>
      <c r="Q254" s="17"/>
    </row>
    <row r="255">
      <c r="B255" s="11">
        <f>IFERROR(__xludf.DUMMYFUNCTION("""COMPUTED_VALUE"""),45650.54166666667)</f>
        <v>45650.54167</v>
      </c>
      <c r="C255" s="9">
        <f>IFERROR(__xludf.DUMMYFUNCTION("""COMPUTED_VALUE"""),134.16)</f>
        <v>134.16</v>
      </c>
      <c r="E255" s="17"/>
      <c r="N255" s="17"/>
      <c r="Q255" s="17"/>
    </row>
    <row r="256">
      <c r="B256" s="11">
        <f>IFERROR(__xludf.DUMMYFUNCTION("""COMPUTED_VALUE"""),45649.66666666667)</f>
        <v>45649.66667</v>
      </c>
      <c r="C256" s="9">
        <f>IFERROR(__xludf.DUMMYFUNCTION("""COMPUTED_VALUE"""),133.12)</f>
        <v>133.12</v>
      </c>
      <c r="E256" s="17"/>
      <c r="N256" s="17"/>
      <c r="Q256" s="17"/>
    </row>
    <row r="257">
      <c r="B257" s="11">
        <f>IFERROR(__xludf.DUMMYFUNCTION("""COMPUTED_VALUE"""),45646.66666666667)</f>
        <v>45646.66667</v>
      </c>
      <c r="C257" s="9">
        <f>IFERROR(__xludf.DUMMYFUNCTION("""COMPUTED_VALUE"""),133.82)</f>
        <v>133.82</v>
      </c>
      <c r="E257" s="17"/>
      <c r="N257" s="17"/>
      <c r="Q257" s="17"/>
    </row>
    <row r="258">
      <c r="B258" s="11">
        <f>IFERROR(__xludf.DUMMYFUNCTION("""COMPUTED_VALUE"""),45645.66666666667)</f>
        <v>45645.66667</v>
      </c>
      <c r="C258" s="9">
        <f>IFERROR(__xludf.DUMMYFUNCTION("""COMPUTED_VALUE"""),132.27)</f>
        <v>132.27</v>
      </c>
      <c r="E258" s="17"/>
      <c r="N258" s="17"/>
      <c r="Q258" s="17"/>
    </row>
    <row r="259">
      <c r="B259" s="11">
        <f>IFERROR(__xludf.DUMMYFUNCTION("""COMPUTED_VALUE"""),45644.66666666667)</f>
        <v>45644.66667</v>
      </c>
      <c r="C259" s="9">
        <f>IFERROR(__xludf.DUMMYFUNCTION("""COMPUTED_VALUE"""),132.44)</f>
        <v>132.44</v>
      </c>
      <c r="E259" s="17"/>
      <c r="N259" s="17"/>
      <c r="Q259" s="17"/>
    </row>
    <row r="260">
      <c r="B260" s="11">
        <f>IFERROR(__xludf.DUMMYFUNCTION("""COMPUTED_VALUE"""),45643.66666666667)</f>
        <v>45643.66667</v>
      </c>
      <c r="C260" s="9">
        <f>IFERROR(__xludf.DUMMYFUNCTION("""COMPUTED_VALUE"""),136.29)</f>
        <v>136.29</v>
      </c>
      <c r="E260" s="17"/>
      <c r="N260" s="17"/>
      <c r="Q260" s="17"/>
    </row>
    <row r="261">
      <c r="B261" s="11">
        <f>IFERROR(__xludf.DUMMYFUNCTION("""COMPUTED_VALUE"""),45642.66666666667)</f>
        <v>45642.66667</v>
      </c>
      <c r="C261" s="9">
        <f>IFERROR(__xludf.DUMMYFUNCTION("""COMPUTED_VALUE"""),137.55)</f>
        <v>137.55</v>
      </c>
      <c r="E261" s="17"/>
      <c r="N261" s="17"/>
      <c r="Q261" s="17"/>
    </row>
    <row r="262">
      <c r="B262" s="11">
        <f>IFERROR(__xludf.DUMMYFUNCTION("""COMPUTED_VALUE"""),45639.66666666667)</f>
        <v>45639.66667</v>
      </c>
      <c r="C262" s="9">
        <f>IFERROR(__xludf.DUMMYFUNCTION("""COMPUTED_VALUE"""),137.43)</f>
        <v>137.43</v>
      </c>
      <c r="E262" s="17"/>
      <c r="N262" s="17"/>
      <c r="Q262" s="17"/>
    </row>
    <row r="263">
      <c r="B263" s="11">
        <f>IFERROR(__xludf.DUMMYFUNCTION("""COMPUTED_VALUE"""),45638.66666666667)</f>
        <v>45638.66667</v>
      </c>
      <c r="C263" s="9">
        <f>IFERROR(__xludf.DUMMYFUNCTION("""COMPUTED_VALUE"""),137.79)</f>
        <v>137.79</v>
      </c>
      <c r="E263" s="17"/>
      <c r="N263" s="17"/>
      <c r="Q263" s="17"/>
    </row>
    <row r="264">
      <c r="B264" s="11">
        <f>IFERROR(__xludf.DUMMYFUNCTION("""COMPUTED_VALUE"""),45637.66666666667)</f>
        <v>45637.66667</v>
      </c>
      <c r="C264" s="9">
        <f>IFERROR(__xludf.DUMMYFUNCTION("""COMPUTED_VALUE"""),138.68)</f>
        <v>138.68</v>
      </c>
      <c r="E264" s="17"/>
      <c r="N264" s="17"/>
      <c r="Q264" s="17"/>
    </row>
    <row r="265">
      <c r="B265" s="11">
        <f>IFERROR(__xludf.DUMMYFUNCTION("""COMPUTED_VALUE"""),45636.66666666667)</f>
        <v>45636.66667</v>
      </c>
      <c r="C265" s="9">
        <f>IFERROR(__xludf.DUMMYFUNCTION("""COMPUTED_VALUE"""),139.0)</f>
        <v>139</v>
      </c>
      <c r="E265" s="17"/>
      <c r="N265" s="17"/>
      <c r="Q265" s="17"/>
    </row>
    <row r="266">
      <c r="B266" s="11">
        <f>IFERROR(__xludf.DUMMYFUNCTION("""COMPUTED_VALUE"""),45635.66666666667)</f>
        <v>45635.66667</v>
      </c>
      <c r="C266" s="9">
        <f>IFERROR(__xludf.DUMMYFUNCTION("""COMPUTED_VALUE"""),139.34)</f>
        <v>139.34</v>
      </c>
      <c r="E266" s="17"/>
      <c r="N266" s="17"/>
      <c r="Q266" s="17"/>
    </row>
    <row r="267">
      <c r="B267" s="11">
        <f>IFERROR(__xludf.DUMMYFUNCTION("""COMPUTED_VALUE"""),45632.66666666667)</f>
        <v>45632.66667</v>
      </c>
      <c r="C267" s="9">
        <f>IFERROR(__xludf.DUMMYFUNCTION("""COMPUTED_VALUE"""),140.56)</f>
        <v>140.56</v>
      </c>
      <c r="E267" s="17"/>
      <c r="N267" s="17"/>
      <c r="Q267" s="17"/>
    </row>
    <row r="268">
      <c r="B268" s="11">
        <f>IFERROR(__xludf.DUMMYFUNCTION("""COMPUTED_VALUE"""),45631.66666666667)</f>
        <v>45631.66667</v>
      </c>
      <c r="C268" s="9">
        <f>IFERROR(__xludf.DUMMYFUNCTION("""COMPUTED_VALUE"""),140.92)</f>
        <v>140.92</v>
      </c>
      <c r="E268" s="17"/>
      <c r="N268" s="17"/>
      <c r="Q268" s="17"/>
    </row>
    <row r="269">
      <c r="B269" s="11">
        <f>IFERROR(__xludf.DUMMYFUNCTION("""COMPUTED_VALUE"""),45630.66666666667)</f>
        <v>45630.66667</v>
      </c>
      <c r="C269" s="9">
        <f>IFERROR(__xludf.DUMMYFUNCTION("""COMPUTED_VALUE"""),142.65)</f>
        <v>142.65</v>
      </c>
      <c r="E269" s="17"/>
      <c r="N269" s="17"/>
      <c r="Q269" s="17"/>
    </row>
    <row r="270">
      <c r="B270" s="11">
        <f>IFERROR(__xludf.DUMMYFUNCTION("""COMPUTED_VALUE"""),45629.66666666667)</f>
        <v>45629.66667</v>
      </c>
      <c r="C270" s="9">
        <f>IFERROR(__xludf.DUMMYFUNCTION("""COMPUTED_VALUE"""),142.03)</f>
        <v>142.03</v>
      </c>
      <c r="E270" s="17"/>
      <c r="N270" s="17"/>
      <c r="Q270" s="17"/>
    </row>
    <row r="271">
      <c r="B271" s="11">
        <f>IFERROR(__xludf.DUMMYFUNCTION("""COMPUTED_VALUE"""),45628.66666666667)</f>
        <v>45628.66667</v>
      </c>
      <c r="C271" s="9">
        <f>IFERROR(__xludf.DUMMYFUNCTION("""COMPUTED_VALUE"""),142.93)</f>
        <v>142.93</v>
      </c>
      <c r="E271" s="17"/>
      <c r="N271" s="17"/>
      <c r="Q271" s="17"/>
    </row>
    <row r="272">
      <c r="B272" s="11">
        <f>IFERROR(__xludf.DUMMYFUNCTION("""COMPUTED_VALUE"""),45625.55208333333)</f>
        <v>45625.55208</v>
      </c>
      <c r="C272" s="9">
        <f>IFERROR(__xludf.DUMMYFUNCTION("""COMPUTED_VALUE"""),143.99)</f>
        <v>143.99</v>
      </c>
      <c r="E272" s="17"/>
      <c r="N272" s="17"/>
      <c r="Q272" s="17"/>
    </row>
    <row r="273">
      <c r="B273" s="11">
        <f>IFERROR(__xludf.DUMMYFUNCTION("""COMPUTED_VALUE"""),45623.66666666667)</f>
        <v>45623.66667</v>
      </c>
      <c r="C273" s="9">
        <f>IFERROR(__xludf.DUMMYFUNCTION("""COMPUTED_VALUE"""),143.18)</f>
        <v>143.18</v>
      </c>
      <c r="E273" s="17"/>
      <c r="N273" s="17"/>
      <c r="Q273" s="17"/>
    </row>
    <row r="274">
      <c r="B274" s="11">
        <f>IFERROR(__xludf.DUMMYFUNCTION("""COMPUTED_VALUE"""),45622.66666666667)</f>
        <v>45622.66667</v>
      </c>
      <c r="C274" s="9">
        <f>IFERROR(__xludf.DUMMYFUNCTION("""COMPUTED_VALUE"""),143.71)</f>
        <v>143.71</v>
      </c>
      <c r="E274" s="17"/>
      <c r="N274" s="17"/>
      <c r="Q274" s="17"/>
    </row>
    <row r="275">
      <c r="B275" s="11">
        <f>IFERROR(__xludf.DUMMYFUNCTION("""COMPUTED_VALUE"""),45621.66666666667)</f>
        <v>45621.66667</v>
      </c>
      <c r="C275" s="9">
        <f>IFERROR(__xludf.DUMMYFUNCTION("""COMPUTED_VALUE"""),143.54)</f>
        <v>143.54</v>
      </c>
      <c r="E275" s="17"/>
      <c r="N275" s="17"/>
      <c r="Q275" s="17"/>
    </row>
    <row r="276">
      <c r="B276" s="11">
        <f>IFERROR(__xludf.DUMMYFUNCTION("""COMPUTED_VALUE"""),45618.66666666667)</f>
        <v>45618.66667</v>
      </c>
      <c r="C276" s="9">
        <f>IFERROR(__xludf.DUMMYFUNCTION("""COMPUTED_VALUE"""),142.65)</f>
        <v>142.65</v>
      </c>
      <c r="E276" s="17"/>
      <c r="N276" s="17"/>
      <c r="Q276" s="17"/>
    </row>
    <row r="277">
      <c r="B277" s="11">
        <f>IFERROR(__xludf.DUMMYFUNCTION("""COMPUTED_VALUE"""),45617.66666666667)</f>
        <v>45617.66667</v>
      </c>
      <c r="C277" s="9">
        <f>IFERROR(__xludf.DUMMYFUNCTION("""COMPUTED_VALUE"""),140.69)</f>
        <v>140.69</v>
      </c>
      <c r="E277" s="17"/>
      <c r="N277" s="17"/>
      <c r="Q277" s="17"/>
    </row>
    <row r="278">
      <c r="B278" s="11">
        <f>IFERROR(__xludf.DUMMYFUNCTION("""COMPUTED_VALUE"""),45616.66666666667)</f>
        <v>45616.66667</v>
      </c>
      <c r="C278" s="9">
        <f>IFERROR(__xludf.DUMMYFUNCTION("""COMPUTED_VALUE"""),138.95)</f>
        <v>138.95</v>
      </c>
      <c r="E278" s="17"/>
      <c r="N278" s="17"/>
      <c r="Q278" s="17"/>
    </row>
    <row r="279">
      <c r="B279" s="11">
        <f>IFERROR(__xludf.DUMMYFUNCTION("""COMPUTED_VALUE"""),45615.66666666667)</f>
        <v>45615.66667</v>
      </c>
      <c r="C279" s="9">
        <f>IFERROR(__xludf.DUMMYFUNCTION("""COMPUTED_VALUE"""),138.8)</f>
        <v>138.8</v>
      </c>
      <c r="E279" s="17"/>
      <c r="N279" s="17"/>
      <c r="Q279" s="17"/>
    </row>
    <row r="280">
      <c r="B280" s="11">
        <f>IFERROR(__xludf.DUMMYFUNCTION("""COMPUTED_VALUE"""),45614.66666666667)</f>
        <v>45614.66667</v>
      </c>
      <c r="C280" s="9">
        <f>IFERROR(__xludf.DUMMYFUNCTION("""COMPUTED_VALUE"""),138.92)</f>
        <v>138.92</v>
      </c>
      <c r="E280" s="17"/>
      <c r="N280" s="17"/>
      <c r="Q280" s="17"/>
    </row>
    <row r="281">
      <c r="B281" s="11">
        <f>IFERROR(__xludf.DUMMYFUNCTION("""COMPUTED_VALUE"""),45611.66666666667)</f>
        <v>45611.66667</v>
      </c>
      <c r="C281" s="9">
        <f>IFERROR(__xludf.DUMMYFUNCTION("""COMPUTED_VALUE"""),139.11)</f>
        <v>139.11</v>
      </c>
      <c r="E281" s="17"/>
      <c r="N281" s="17"/>
      <c r="Q281" s="17"/>
    </row>
    <row r="282">
      <c r="B282" s="11">
        <f>IFERROR(__xludf.DUMMYFUNCTION("""COMPUTED_VALUE"""),45610.66666666667)</f>
        <v>45610.66667</v>
      </c>
      <c r="C282" s="9">
        <f>IFERROR(__xludf.DUMMYFUNCTION("""COMPUTED_VALUE"""),139.86)</f>
        <v>139.86</v>
      </c>
      <c r="E282" s="17"/>
      <c r="N282" s="17"/>
      <c r="Q282" s="17"/>
    </row>
    <row r="283">
      <c r="B283" s="11">
        <f>IFERROR(__xludf.DUMMYFUNCTION("""COMPUTED_VALUE"""),45609.66666666667)</f>
        <v>45609.66667</v>
      </c>
      <c r="C283" s="9">
        <f>IFERROR(__xludf.DUMMYFUNCTION("""COMPUTED_VALUE"""),142.26)</f>
        <v>142.26</v>
      </c>
      <c r="E283" s="17"/>
      <c r="N283" s="17"/>
      <c r="Q283" s="17"/>
    </row>
    <row r="284">
      <c r="B284" s="11">
        <f>IFERROR(__xludf.DUMMYFUNCTION("""COMPUTED_VALUE"""),45608.66666666667)</f>
        <v>45608.66667</v>
      </c>
      <c r="C284" s="9">
        <f>IFERROR(__xludf.DUMMYFUNCTION("""COMPUTED_VALUE"""),141.96)</f>
        <v>141.96</v>
      </c>
      <c r="E284" s="17"/>
      <c r="N284" s="17"/>
      <c r="Q284" s="17"/>
    </row>
    <row r="285">
      <c r="B285" s="11">
        <f>IFERROR(__xludf.DUMMYFUNCTION("""COMPUTED_VALUE"""),45607.66666666667)</f>
        <v>45607.66667</v>
      </c>
      <c r="C285" s="9">
        <f>IFERROR(__xludf.DUMMYFUNCTION("""COMPUTED_VALUE"""),143.19)</f>
        <v>143.19</v>
      </c>
      <c r="E285" s="17"/>
      <c r="N285" s="17"/>
      <c r="Q285" s="17"/>
    </row>
    <row r="286">
      <c r="B286" s="11">
        <f>IFERROR(__xludf.DUMMYFUNCTION("""COMPUTED_VALUE"""),45604.66666666667)</f>
        <v>45604.66667</v>
      </c>
      <c r="C286" s="9">
        <f>IFERROR(__xludf.DUMMYFUNCTION("""COMPUTED_VALUE"""),142.09)</f>
        <v>142.09</v>
      </c>
      <c r="E286" s="17"/>
      <c r="N286" s="17"/>
      <c r="Q286" s="17"/>
    </row>
    <row r="287">
      <c r="B287" s="11">
        <f>IFERROR(__xludf.DUMMYFUNCTION("""COMPUTED_VALUE"""),45603.66666666667)</f>
        <v>45603.66667</v>
      </c>
      <c r="C287" s="9">
        <f>IFERROR(__xludf.DUMMYFUNCTION("""COMPUTED_VALUE"""),140.58)</f>
        <v>140.58</v>
      </c>
      <c r="E287" s="17"/>
      <c r="N287" s="17"/>
      <c r="Q287" s="17"/>
    </row>
    <row r="288">
      <c r="B288" s="11">
        <f>IFERROR(__xludf.DUMMYFUNCTION("""COMPUTED_VALUE"""),45602.66666666667)</f>
        <v>45602.66667</v>
      </c>
      <c r="C288" s="9">
        <f>IFERROR(__xludf.DUMMYFUNCTION("""COMPUTED_VALUE"""),141.43)</f>
        <v>141.43</v>
      </c>
      <c r="E288" s="17"/>
      <c r="N288" s="17"/>
      <c r="Q288" s="17"/>
    </row>
    <row r="289">
      <c r="B289" s="11">
        <f>IFERROR(__xludf.DUMMYFUNCTION("""COMPUTED_VALUE"""),45601.66666666667)</f>
        <v>45601.66667</v>
      </c>
      <c r="C289" s="9">
        <f>IFERROR(__xludf.DUMMYFUNCTION("""COMPUTED_VALUE"""),136.1)</f>
        <v>136.1</v>
      </c>
      <c r="E289" s="17"/>
      <c r="N289" s="17"/>
      <c r="Q289" s="17"/>
    </row>
    <row r="290">
      <c r="B290" s="11">
        <f>IFERROR(__xludf.DUMMYFUNCTION("""COMPUTED_VALUE"""),45600.66666666667)</f>
        <v>45600.66667</v>
      </c>
      <c r="C290" s="9">
        <f>IFERROR(__xludf.DUMMYFUNCTION("""COMPUTED_VALUE"""),133.86)</f>
        <v>133.86</v>
      </c>
      <c r="E290" s="17"/>
      <c r="N290" s="17"/>
      <c r="Q290" s="17"/>
    </row>
    <row r="291">
      <c r="B291" s="11">
        <f>IFERROR(__xludf.DUMMYFUNCTION("""COMPUTED_VALUE"""),45597.66666666667)</f>
        <v>45597.66667</v>
      </c>
      <c r="C291" s="9">
        <f>IFERROR(__xludf.DUMMYFUNCTION("""COMPUTED_VALUE"""),134.01)</f>
        <v>134.01</v>
      </c>
      <c r="E291" s="17"/>
      <c r="N291" s="17"/>
      <c r="Q291" s="17"/>
    </row>
    <row r="292">
      <c r="B292" s="11">
        <f>IFERROR(__xludf.DUMMYFUNCTION("""COMPUTED_VALUE"""),45596.66666666667)</f>
        <v>45596.66667</v>
      </c>
      <c r="C292" s="9">
        <f>IFERROR(__xludf.DUMMYFUNCTION("""COMPUTED_VALUE"""),133.83)</f>
        <v>133.83</v>
      </c>
      <c r="E292" s="17"/>
      <c r="N292" s="17"/>
      <c r="Q292" s="17"/>
    </row>
    <row r="293">
      <c r="B293" s="11">
        <f>IFERROR(__xludf.DUMMYFUNCTION("""COMPUTED_VALUE"""),45595.66666666667)</f>
        <v>45595.66667</v>
      </c>
      <c r="C293" s="9">
        <f>IFERROR(__xludf.DUMMYFUNCTION("""COMPUTED_VALUE"""),135.39)</f>
        <v>135.39</v>
      </c>
      <c r="E293" s="17"/>
      <c r="N293" s="17"/>
      <c r="Q293" s="17"/>
    </row>
    <row r="294">
      <c r="B294" s="11">
        <f>IFERROR(__xludf.DUMMYFUNCTION("""COMPUTED_VALUE"""),45594.66666666667)</f>
        <v>45594.66667</v>
      </c>
      <c r="C294" s="9">
        <f>IFERROR(__xludf.DUMMYFUNCTION("""COMPUTED_VALUE"""),135.62)</f>
        <v>135.62</v>
      </c>
      <c r="E294" s="17"/>
      <c r="N294" s="17"/>
      <c r="Q294" s="17"/>
    </row>
    <row r="295">
      <c r="B295" s="11">
        <f>IFERROR(__xludf.DUMMYFUNCTION("""COMPUTED_VALUE"""),45593.66666666667)</f>
        <v>45593.66667</v>
      </c>
      <c r="C295" s="9">
        <f>IFERROR(__xludf.DUMMYFUNCTION("""COMPUTED_VALUE"""),135.8)</f>
        <v>135.8</v>
      </c>
      <c r="E295" s="17"/>
      <c r="N295" s="17"/>
      <c r="Q295" s="17"/>
    </row>
    <row r="296">
      <c r="B296" s="11">
        <f>IFERROR(__xludf.DUMMYFUNCTION("""COMPUTED_VALUE"""),45590.66666666667)</f>
        <v>45590.66667</v>
      </c>
      <c r="C296" s="9">
        <f>IFERROR(__xludf.DUMMYFUNCTION("""COMPUTED_VALUE"""),135.4)</f>
        <v>135.4</v>
      </c>
      <c r="E296" s="17"/>
      <c r="N296" s="17"/>
      <c r="Q296" s="17"/>
    </row>
    <row r="297">
      <c r="B297" s="11">
        <f>IFERROR(__xludf.DUMMYFUNCTION("""COMPUTED_VALUE"""),45589.66666666667)</f>
        <v>45589.66667</v>
      </c>
      <c r="C297" s="9">
        <f>IFERROR(__xludf.DUMMYFUNCTION("""COMPUTED_VALUE"""),135.76)</f>
        <v>135.76</v>
      </c>
      <c r="E297" s="17"/>
      <c r="N297" s="17"/>
      <c r="Q297" s="17"/>
    </row>
    <row r="298">
      <c r="B298" s="11">
        <f>IFERROR(__xludf.DUMMYFUNCTION("""COMPUTED_VALUE"""),45588.66666666667)</f>
        <v>45588.66667</v>
      </c>
      <c r="C298" s="9">
        <f>IFERROR(__xludf.DUMMYFUNCTION("""COMPUTED_VALUE"""),136.7)</f>
        <v>136.7</v>
      </c>
      <c r="E298" s="17"/>
      <c r="N298" s="17"/>
      <c r="Q298" s="17"/>
    </row>
    <row r="299">
      <c r="B299" s="11">
        <f>IFERROR(__xludf.DUMMYFUNCTION("""COMPUTED_VALUE"""),45587.66666666667)</f>
        <v>45587.66667</v>
      </c>
      <c r="C299" s="9">
        <f>IFERROR(__xludf.DUMMYFUNCTION("""COMPUTED_VALUE"""),137.1)</f>
        <v>137.1</v>
      </c>
      <c r="E299" s="17"/>
      <c r="N299" s="17"/>
      <c r="Q299" s="17"/>
    </row>
    <row r="300">
      <c r="B300" s="11">
        <f>IFERROR(__xludf.DUMMYFUNCTION("""COMPUTED_VALUE"""),45586.66666666667)</f>
        <v>45586.66667</v>
      </c>
      <c r="C300" s="9">
        <f>IFERROR(__xludf.DUMMYFUNCTION("""COMPUTED_VALUE"""),138.78)</f>
        <v>138.78</v>
      </c>
      <c r="E300" s="17"/>
      <c r="N300" s="17"/>
      <c r="Q300" s="17"/>
    </row>
    <row r="301">
      <c r="B301" s="11">
        <f>IFERROR(__xludf.DUMMYFUNCTION("""COMPUTED_VALUE"""),45583.66666666667)</f>
        <v>45583.66667</v>
      </c>
      <c r="C301" s="9">
        <f>IFERROR(__xludf.DUMMYFUNCTION("""COMPUTED_VALUE"""),139.27)</f>
        <v>139.27</v>
      </c>
      <c r="E301" s="17"/>
      <c r="N301" s="17"/>
      <c r="Q301" s="17"/>
    </row>
    <row r="302">
      <c r="B302" s="11">
        <f>IFERROR(__xludf.DUMMYFUNCTION("""COMPUTED_VALUE"""),45582.66666666667)</f>
        <v>45582.66667</v>
      </c>
      <c r="C302" s="9">
        <f>IFERROR(__xludf.DUMMYFUNCTION("""COMPUTED_VALUE"""),138.85)</f>
        <v>138.85</v>
      </c>
      <c r="E302" s="17"/>
      <c r="N302" s="17"/>
      <c r="Q302" s="17"/>
    </row>
    <row r="303">
      <c r="B303" s="11">
        <f>IFERROR(__xludf.DUMMYFUNCTION("""COMPUTED_VALUE"""),45581.66666666667)</f>
        <v>45581.66667</v>
      </c>
      <c r="C303" s="9">
        <f>IFERROR(__xludf.DUMMYFUNCTION("""COMPUTED_VALUE"""),139.25)</f>
        <v>139.25</v>
      </c>
      <c r="E303" s="17"/>
      <c r="N303" s="17"/>
      <c r="Q303" s="17"/>
    </row>
    <row r="304">
      <c r="B304" s="11">
        <f>IFERROR(__xludf.DUMMYFUNCTION("""COMPUTED_VALUE"""),45580.66666666667)</f>
        <v>45580.66667</v>
      </c>
      <c r="C304" s="9">
        <f>IFERROR(__xludf.DUMMYFUNCTION("""COMPUTED_VALUE"""),138.18)</f>
        <v>138.18</v>
      </c>
      <c r="E304" s="17"/>
      <c r="N304" s="17"/>
      <c r="Q304" s="17"/>
    </row>
    <row r="305">
      <c r="B305" s="11">
        <f>IFERROR(__xludf.DUMMYFUNCTION("""COMPUTED_VALUE"""),45579.66666666667)</f>
        <v>45579.66667</v>
      </c>
      <c r="C305" s="9">
        <f>IFERROR(__xludf.DUMMYFUNCTION("""COMPUTED_VALUE"""),139.25)</f>
        <v>139.25</v>
      </c>
      <c r="E305" s="17"/>
      <c r="N305" s="17"/>
      <c r="Q305" s="17"/>
    </row>
    <row r="306">
      <c r="B306" s="11">
        <f>IFERROR(__xludf.DUMMYFUNCTION("""COMPUTED_VALUE"""),45576.66666666667)</f>
        <v>45576.66667</v>
      </c>
      <c r="C306" s="9">
        <f>IFERROR(__xludf.DUMMYFUNCTION("""COMPUTED_VALUE"""),138.42)</f>
        <v>138.42</v>
      </c>
      <c r="E306" s="17"/>
      <c r="N306" s="17"/>
      <c r="Q306" s="17"/>
    </row>
    <row r="307">
      <c r="B307" s="11">
        <f>IFERROR(__xludf.DUMMYFUNCTION("""COMPUTED_VALUE"""),45575.66666666667)</f>
        <v>45575.66667</v>
      </c>
      <c r="C307" s="9">
        <f>IFERROR(__xludf.DUMMYFUNCTION("""COMPUTED_VALUE"""),135.99)</f>
        <v>135.99</v>
      </c>
      <c r="E307" s="17"/>
      <c r="N307" s="17"/>
      <c r="Q307" s="17"/>
    </row>
    <row r="308">
      <c r="B308" s="11">
        <f>IFERROR(__xludf.DUMMYFUNCTION("""COMPUTED_VALUE"""),45574.66666666667)</f>
        <v>45574.66667</v>
      </c>
      <c r="C308" s="9">
        <f>IFERROR(__xludf.DUMMYFUNCTION("""COMPUTED_VALUE"""),136.69)</f>
        <v>136.69</v>
      </c>
      <c r="E308" s="17"/>
      <c r="N308" s="17"/>
      <c r="Q308" s="17"/>
    </row>
    <row r="309">
      <c r="B309" s="11">
        <f>IFERROR(__xludf.DUMMYFUNCTION("""COMPUTED_VALUE"""),45573.66666666667)</f>
        <v>45573.66667</v>
      </c>
      <c r="C309" s="9">
        <f>IFERROR(__xludf.DUMMYFUNCTION("""COMPUTED_VALUE"""),135.48)</f>
        <v>135.48</v>
      </c>
      <c r="E309" s="17"/>
      <c r="N309" s="17"/>
      <c r="Q309" s="17"/>
    </row>
    <row r="310">
      <c r="B310" s="11">
        <f>IFERROR(__xludf.DUMMYFUNCTION("""COMPUTED_VALUE"""),45572.66666666667)</f>
        <v>45572.66667</v>
      </c>
      <c r="C310" s="9">
        <f>IFERROR(__xludf.DUMMYFUNCTION("""COMPUTED_VALUE"""),135.18)</f>
        <v>135.18</v>
      </c>
      <c r="E310" s="17"/>
      <c r="N310" s="17"/>
      <c r="Q310" s="17"/>
    </row>
    <row r="311">
      <c r="B311" s="11">
        <f>IFERROR(__xludf.DUMMYFUNCTION("""COMPUTED_VALUE"""),45569.66666666667)</f>
        <v>45569.66667</v>
      </c>
      <c r="C311" s="9">
        <f>IFERROR(__xludf.DUMMYFUNCTION("""COMPUTED_VALUE"""),135.51)</f>
        <v>135.51</v>
      </c>
      <c r="E311" s="17"/>
      <c r="N311" s="17"/>
      <c r="Q311" s="17"/>
    </row>
    <row r="312">
      <c r="B312" s="11">
        <f>IFERROR(__xludf.DUMMYFUNCTION("""COMPUTED_VALUE"""),45568.66666666667)</f>
        <v>45568.66667</v>
      </c>
      <c r="C312" s="9">
        <f>IFERROR(__xludf.DUMMYFUNCTION("""COMPUTED_VALUE"""),134.57)</f>
        <v>134.57</v>
      </c>
      <c r="E312" s="17"/>
      <c r="N312" s="17"/>
      <c r="Q312" s="17"/>
    </row>
    <row r="313">
      <c r="B313" s="11">
        <f>IFERROR(__xludf.DUMMYFUNCTION("""COMPUTED_VALUE"""),45567.66666666667)</f>
        <v>45567.66667</v>
      </c>
      <c r="C313" s="9">
        <f>IFERROR(__xludf.DUMMYFUNCTION("""COMPUTED_VALUE"""),135.26)</f>
        <v>135.26</v>
      </c>
      <c r="E313" s="17"/>
      <c r="N313" s="17"/>
      <c r="Q313" s="17"/>
    </row>
    <row r="314">
      <c r="B314" s="11">
        <f>IFERROR(__xludf.DUMMYFUNCTION("""COMPUTED_VALUE"""),45566.66666666667)</f>
        <v>45566.66667</v>
      </c>
      <c r="C314" s="9">
        <f>IFERROR(__xludf.DUMMYFUNCTION("""COMPUTED_VALUE"""),135.51)</f>
        <v>135.51</v>
      </c>
      <c r="E314" s="17"/>
      <c r="N314" s="17"/>
      <c r="Q314" s="17"/>
    </row>
    <row r="315">
      <c r="B315" s="11">
        <f>IFERROR(__xludf.DUMMYFUNCTION("""COMPUTED_VALUE"""),45565.66666666667)</f>
        <v>45565.66667</v>
      </c>
      <c r="C315" s="9">
        <f>IFERROR(__xludf.DUMMYFUNCTION("""COMPUTED_VALUE"""),135.44)</f>
        <v>135.44</v>
      </c>
      <c r="E315" s="17"/>
      <c r="N315" s="17"/>
      <c r="Q315" s="17"/>
    </row>
    <row r="316">
      <c r="B316" s="11">
        <f>IFERROR(__xludf.DUMMYFUNCTION("""COMPUTED_VALUE"""),45562.66666666667)</f>
        <v>45562.66667</v>
      </c>
      <c r="C316" s="9">
        <f>IFERROR(__xludf.DUMMYFUNCTION("""COMPUTED_VALUE"""),134.83)</f>
        <v>134.83</v>
      </c>
      <c r="E316" s="17"/>
      <c r="N316" s="17"/>
      <c r="Q316" s="17"/>
    </row>
    <row r="317">
      <c r="B317" s="11">
        <f>IFERROR(__xludf.DUMMYFUNCTION("""COMPUTED_VALUE"""),45561.66666666667)</f>
        <v>45561.66667</v>
      </c>
      <c r="C317" s="9">
        <f>IFERROR(__xludf.DUMMYFUNCTION("""COMPUTED_VALUE"""),134.64)</f>
        <v>134.64</v>
      </c>
      <c r="E317" s="17"/>
      <c r="N317" s="17"/>
      <c r="Q317" s="17"/>
    </row>
    <row r="318">
      <c r="B318" s="11">
        <f>IFERROR(__xludf.DUMMYFUNCTION("""COMPUTED_VALUE"""),45560.66666666667)</f>
        <v>45560.66667</v>
      </c>
      <c r="C318" s="9">
        <f>IFERROR(__xludf.DUMMYFUNCTION("""COMPUTED_VALUE"""),133.97)</f>
        <v>133.97</v>
      </c>
      <c r="E318" s="17"/>
      <c r="N318" s="17"/>
      <c r="Q318" s="17"/>
    </row>
    <row r="319">
      <c r="B319" s="11">
        <f>IFERROR(__xludf.DUMMYFUNCTION("""COMPUTED_VALUE"""),45559.66666666667)</f>
        <v>45559.66667</v>
      </c>
      <c r="C319" s="9">
        <f>IFERROR(__xludf.DUMMYFUNCTION("""COMPUTED_VALUE"""),134.6)</f>
        <v>134.6</v>
      </c>
      <c r="E319" s="17"/>
      <c r="N319" s="17"/>
      <c r="Q319" s="17"/>
    </row>
    <row r="320">
      <c r="B320" s="11">
        <f>IFERROR(__xludf.DUMMYFUNCTION("""COMPUTED_VALUE"""),45558.66666666667)</f>
        <v>45558.66667</v>
      </c>
      <c r="C320" s="9">
        <f>IFERROR(__xludf.DUMMYFUNCTION("""COMPUTED_VALUE"""),133.64)</f>
        <v>133.64</v>
      </c>
      <c r="E320" s="17"/>
      <c r="N320" s="17"/>
      <c r="Q320" s="17"/>
    </row>
    <row r="321">
      <c r="B321" s="11">
        <f>IFERROR(__xludf.DUMMYFUNCTION("""COMPUTED_VALUE"""),45555.66666666667)</f>
        <v>45555.66667</v>
      </c>
      <c r="C321" s="9">
        <f>IFERROR(__xludf.DUMMYFUNCTION("""COMPUTED_VALUE"""),133.18)</f>
        <v>133.18</v>
      </c>
      <c r="E321" s="17"/>
      <c r="N321" s="17"/>
      <c r="Q321" s="17"/>
    </row>
    <row r="322">
      <c r="B322" s="11">
        <f>IFERROR(__xludf.DUMMYFUNCTION("""COMPUTED_VALUE"""),45554.66666666667)</f>
        <v>45554.66667</v>
      </c>
      <c r="C322" s="9">
        <f>IFERROR(__xludf.DUMMYFUNCTION("""COMPUTED_VALUE"""),134.12)</f>
        <v>134.12</v>
      </c>
      <c r="E322" s="17"/>
      <c r="N322" s="17"/>
      <c r="Q322" s="17"/>
    </row>
    <row r="323">
      <c r="B323" s="11">
        <f>IFERROR(__xludf.DUMMYFUNCTION("""COMPUTED_VALUE"""),45553.66666666667)</f>
        <v>45553.66667</v>
      </c>
      <c r="C323" s="9">
        <f>IFERROR(__xludf.DUMMYFUNCTION("""COMPUTED_VALUE"""),131.85)</f>
        <v>131.85</v>
      </c>
      <c r="E323" s="17"/>
      <c r="N323" s="17"/>
      <c r="Q323" s="17"/>
    </row>
    <row r="324">
      <c r="B324" s="11">
        <f>IFERROR(__xludf.DUMMYFUNCTION("""COMPUTED_VALUE"""),45552.66666666667)</f>
        <v>45552.66667</v>
      </c>
      <c r="C324" s="9">
        <f>IFERROR(__xludf.DUMMYFUNCTION("""COMPUTED_VALUE"""),131.96)</f>
        <v>131.96</v>
      </c>
      <c r="E324" s="17"/>
      <c r="N324" s="17"/>
      <c r="Q324" s="17"/>
    </row>
    <row r="325">
      <c r="B325" s="11">
        <f>IFERROR(__xludf.DUMMYFUNCTION("""COMPUTED_VALUE"""),45551.66666666667)</f>
        <v>45551.66667</v>
      </c>
      <c r="C325" s="9">
        <f>IFERROR(__xludf.DUMMYFUNCTION("""COMPUTED_VALUE"""),131.24)</f>
        <v>131.24</v>
      </c>
      <c r="E325" s="17"/>
      <c r="N325" s="17"/>
      <c r="Q325" s="17"/>
    </row>
    <row r="326">
      <c r="B326" s="11">
        <f>IFERROR(__xludf.DUMMYFUNCTION("""COMPUTED_VALUE"""),45548.66666666667)</f>
        <v>45548.66667</v>
      </c>
      <c r="C326" s="9">
        <f>IFERROR(__xludf.DUMMYFUNCTION("""COMPUTED_VALUE"""),130.57)</f>
        <v>130.57</v>
      </c>
      <c r="E326" s="17"/>
      <c r="N326" s="17"/>
      <c r="Q326" s="17"/>
    </row>
    <row r="327">
      <c r="B327" s="11">
        <f>IFERROR(__xludf.DUMMYFUNCTION("""COMPUTED_VALUE"""),45547.66666666667)</f>
        <v>45547.66667</v>
      </c>
      <c r="C327" s="9">
        <f>IFERROR(__xludf.DUMMYFUNCTION("""COMPUTED_VALUE"""),129.26)</f>
        <v>129.26</v>
      </c>
      <c r="E327" s="17"/>
      <c r="N327" s="17"/>
      <c r="Q327" s="17"/>
    </row>
    <row r="328">
      <c r="B328" s="11">
        <f>IFERROR(__xludf.DUMMYFUNCTION("""COMPUTED_VALUE"""),45546.66666666667)</f>
        <v>45546.66667</v>
      </c>
      <c r="C328" s="9">
        <f>IFERROR(__xludf.DUMMYFUNCTION("""COMPUTED_VALUE"""),128.27)</f>
        <v>128.27</v>
      </c>
      <c r="E328" s="17"/>
      <c r="N328" s="17"/>
      <c r="Q328" s="17"/>
    </row>
    <row r="329">
      <c r="B329" s="11">
        <f>IFERROR(__xludf.DUMMYFUNCTION("""COMPUTED_VALUE"""),45545.66666666667)</f>
        <v>45545.66667</v>
      </c>
      <c r="C329" s="9">
        <f>IFERROR(__xludf.DUMMYFUNCTION("""COMPUTED_VALUE"""),128.04)</f>
        <v>128.04</v>
      </c>
      <c r="E329" s="17"/>
      <c r="N329" s="17"/>
      <c r="Q329" s="17"/>
    </row>
    <row r="330">
      <c r="B330" s="11">
        <f>IFERROR(__xludf.DUMMYFUNCTION("""COMPUTED_VALUE"""),45544.66666666667)</f>
        <v>45544.66667</v>
      </c>
      <c r="C330" s="9">
        <f>IFERROR(__xludf.DUMMYFUNCTION("""COMPUTED_VALUE"""),127.82)</f>
        <v>127.82</v>
      </c>
      <c r="E330" s="17"/>
      <c r="N330" s="17"/>
      <c r="Q330" s="17"/>
    </row>
    <row r="331">
      <c r="B331" s="11">
        <f>IFERROR(__xludf.DUMMYFUNCTION("""COMPUTED_VALUE"""),45541.66666666667)</f>
        <v>45541.66667</v>
      </c>
      <c r="C331" s="9">
        <f>IFERROR(__xludf.DUMMYFUNCTION("""COMPUTED_VALUE"""),125.89)</f>
        <v>125.89</v>
      </c>
      <c r="E331" s="17"/>
      <c r="N331" s="17"/>
      <c r="Q331" s="17"/>
    </row>
    <row r="332">
      <c r="B332" s="11">
        <f>IFERROR(__xludf.DUMMYFUNCTION("""COMPUTED_VALUE"""),45540.66666666667)</f>
        <v>45540.66667</v>
      </c>
      <c r="C332" s="9">
        <f>IFERROR(__xludf.DUMMYFUNCTION("""COMPUTED_VALUE"""),127.18)</f>
        <v>127.18</v>
      </c>
      <c r="E332" s="17"/>
      <c r="N332" s="17"/>
      <c r="Q332" s="17"/>
    </row>
    <row r="333">
      <c r="B333" s="11">
        <f>IFERROR(__xludf.DUMMYFUNCTION("""COMPUTED_VALUE"""),45539.66666666667)</f>
        <v>45539.66667</v>
      </c>
      <c r="C333" s="9">
        <f>IFERROR(__xludf.DUMMYFUNCTION("""COMPUTED_VALUE"""),128.68)</f>
        <v>128.68</v>
      </c>
      <c r="E333" s="17"/>
      <c r="N333" s="17"/>
      <c r="Q333" s="17"/>
    </row>
    <row r="334">
      <c r="B334" s="11">
        <f>IFERROR(__xludf.DUMMYFUNCTION("""COMPUTED_VALUE"""),45538.66666666667)</f>
        <v>45538.66667</v>
      </c>
      <c r="C334" s="9">
        <f>IFERROR(__xludf.DUMMYFUNCTION("""COMPUTED_VALUE"""),128.55)</f>
        <v>128.55</v>
      </c>
      <c r="E334" s="17"/>
      <c r="N334" s="17"/>
      <c r="Q334" s="17"/>
    </row>
    <row r="335">
      <c r="B335" s="11">
        <f>IFERROR(__xludf.DUMMYFUNCTION("""COMPUTED_VALUE"""),45534.66666666667)</f>
        <v>45534.66667</v>
      </c>
      <c r="C335" s="9">
        <f>IFERROR(__xludf.DUMMYFUNCTION("""COMPUTED_VALUE"""),131.46)</f>
        <v>131.46</v>
      </c>
      <c r="E335" s="17"/>
      <c r="N335" s="17"/>
      <c r="Q335" s="17"/>
    </row>
    <row r="336">
      <c r="B336" s="11">
        <f>IFERROR(__xludf.DUMMYFUNCTION("""COMPUTED_VALUE"""),45533.66666666667)</f>
        <v>45533.66667</v>
      </c>
      <c r="C336" s="9">
        <f>IFERROR(__xludf.DUMMYFUNCTION("""COMPUTED_VALUE"""),130.07)</f>
        <v>130.07</v>
      </c>
      <c r="E336" s="17"/>
      <c r="N336" s="17"/>
      <c r="Q336" s="17"/>
    </row>
    <row r="337">
      <c r="B337" s="11">
        <f>IFERROR(__xludf.DUMMYFUNCTION("""COMPUTED_VALUE"""),45532.66666666667)</f>
        <v>45532.66667</v>
      </c>
      <c r="C337" s="9">
        <f>IFERROR(__xludf.DUMMYFUNCTION("""COMPUTED_VALUE"""),129.16)</f>
        <v>129.16</v>
      </c>
      <c r="E337" s="17"/>
      <c r="N337" s="17"/>
      <c r="Q337" s="17"/>
    </row>
    <row r="338">
      <c r="B338" s="11">
        <f>IFERROR(__xludf.DUMMYFUNCTION("""COMPUTED_VALUE"""),45531.66666666667)</f>
        <v>45531.66667</v>
      </c>
      <c r="C338" s="9">
        <f>IFERROR(__xludf.DUMMYFUNCTION("""COMPUTED_VALUE"""),129.22)</f>
        <v>129.22</v>
      </c>
      <c r="E338" s="17"/>
      <c r="N338" s="17"/>
      <c r="Q338" s="17"/>
    </row>
    <row r="339">
      <c r="B339" s="11">
        <f>IFERROR(__xludf.DUMMYFUNCTION("""COMPUTED_VALUE"""),45530.66666666667)</f>
        <v>45530.66667</v>
      </c>
      <c r="C339" s="9">
        <f>IFERROR(__xludf.DUMMYFUNCTION("""COMPUTED_VALUE"""),129.14)</f>
        <v>129.14</v>
      </c>
      <c r="E339" s="17"/>
      <c r="N339" s="17"/>
      <c r="Q339" s="17"/>
    </row>
    <row r="340">
      <c r="B340" s="11">
        <f>IFERROR(__xludf.DUMMYFUNCTION("""COMPUTED_VALUE"""),45527.66666666667)</f>
        <v>45527.66667</v>
      </c>
      <c r="C340" s="9">
        <f>IFERROR(__xludf.DUMMYFUNCTION("""COMPUTED_VALUE"""),129.28)</f>
        <v>129.28</v>
      </c>
      <c r="E340" s="17"/>
      <c r="N340" s="17"/>
      <c r="Q340" s="17"/>
    </row>
    <row r="341">
      <c r="B341" s="11">
        <f>IFERROR(__xludf.DUMMYFUNCTION("""COMPUTED_VALUE"""),45526.66666666667)</f>
        <v>45526.66667</v>
      </c>
      <c r="C341" s="9">
        <f>IFERROR(__xludf.DUMMYFUNCTION("""COMPUTED_VALUE"""),128.0)</f>
        <v>128</v>
      </c>
      <c r="E341" s="17"/>
      <c r="N341" s="17"/>
      <c r="Q341" s="17"/>
    </row>
    <row r="342">
      <c r="B342" s="11">
        <f>IFERROR(__xludf.DUMMYFUNCTION("""COMPUTED_VALUE"""),45525.66666666667)</f>
        <v>45525.66667</v>
      </c>
      <c r="C342" s="9">
        <f>IFERROR(__xludf.DUMMYFUNCTION("""COMPUTED_VALUE"""),128.16)</f>
        <v>128.16</v>
      </c>
      <c r="E342" s="17"/>
      <c r="N342" s="17"/>
      <c r="Q342" s="17"/>
    </row>
    <row r="343">
      <c r="B343" s="11">
        <f>IFERROR(__xludf.DUMMYFUNCTION("""COMPUTED_VALUE"""),45524.66666666667)</f>
        <v>45524.66667</v>
      </c>
      <c r="C343" s="9">
        <f>IFERROR(__xludf.DUMMYFUNCTION("""COMPUTED_VALUE"""),127.39)</f>
        <v>127.39</v>
      </c>
      <c r="E343" s="17"/>
      <c r="N343" s="17"/>
      <c r="Q343" s="17"/>
    </row>
    <row r="344">
      <c r="B344" s="11">
        <f>IFERROR(__xludf.DUMMYFUNCTION("""COMPUTED_VALUE"""),45523.66666666667)</f>
        <v>45523.66667</v>
      </c>
      <c r="C344" s="9">
        <f>IFERROR(__xludf.DUMMYFUNCTION("""COMPUTED_VALUE"""),127.74)</f>
        <v>127.74</v>
      </c>
      <c r="E344" s="17"/>
      <c r="N344" s="17"/>
      <c r="Q344" s="17"/>
    </row>
    <row r="345">
      <c r="B345" s="11">
        <f>IFERROR(__xludf.DUMMYFUNCTION("""COMPUTED_VALUE"""),45520.66666666667)</f>
        <v>45520.66667</v>
      </c>
      <c r="C345" s="9">
        <f>IFERROR(__xludf.DUMMYFUNCTION("""COMPUTED_VALUE"""),126.97)</f>
        <v>126.97</v>
      </c>
      <c r="E345" s="17"/>
      <c r="N345" s="17"/>
      <c r="Q345" s="17"/>
    </row>
    <row r="346">
      <c r="B346" s="11">
        <f>IFERROR(__xludf.DUMMYFUNCTION("""COMPUTED_VALUE"""),45519.66666666667)</f>
        <v>45519.66667</v>
      </c>
      <c r="C346" s="9">
        <f>IFERROR(__xludf.DUMMYFUNCTION("""COMPUTED_VALUE"""),127.15)</f>
        <v>127.15</v>
      </c>
      <c r="E346" s="17"/>
      <c r="N346" s="17"/>
      <c r="Q346" s="17"/>
    </row>
    <row r="347">
      <c r="B347" s="11">
        <f>IFERROR(__xludf.DUMMYFUNCTION("""COMPUTED_VALUE"""),45518.66666666667)</f>
        <v>45518.66667</v>
      </c>
      <c r="C347" s="9">
        <f>IFERROR(__xludf.DUMMYFUNCTION("""COMPUTED_VALUE"""),125.46)</f>
        <v>125.46</v>
      </c>
      <c r="E347" s="17"/>
      <c r="N347" s="17"/>
      <c r="Q347" s="17"/>
    </row>
    <row r="348">
      <c r="B348" s="11">
        <f>IFERROR(__xludf.DUMMYFUNCTION("""COMPUTED_VALUE"""),45517.66666666667)</f>
        <v>45517.66667</v>
      </c>
      <c r="C348" s="9">
        <f>IFERROR(__xludf.DUMMYFUNCTION("""COMPUTED_VALUE"""),124.95)</f>
        <v>124.95</v>
      </c>
      <c r="E348" s="17"/>
      <c r="N348" s="17"/>
      <c r="Q348" s="17"/>
    </row>
    <row r="349">
      <c r="B349" s="11">
        <f>IFERROR(__xludf.DUMMYFUNCTION("""COMPUTED_VALUE"""),45516.66666666667)</f>
        <v>45516.66667</v>
      </c>
      <c r="C349" s="9">
        <f>IFERROR(__xludf.DUMMYFUNCTION("""COMPUTED_VALUE"""),123.65)</f>
        <v>123.65</v>
      </c>
      <c r="E349" s="17"/>
      <c r="N349" s="17"/>
      <c r="Q349" s="17"/>
    </row>
    <row r="350">
      <c r="B350" s="11">
        <f>IFERROR(__xludf.DUMMYFUNCTION("""COMPUTED_VALUE"""),45513.66666666667)</f>
        <v>45513.66667</v>
      </c>
      <c r="C350" s="9">
        <f>IFERROR(__xludf.DUMMYFUNCTION("""COMPUTED_VALUE"""),124.28)</f>
        <v>124.28</v>
      </c>
      <c r="E350" s="17"/>
      <c r="N350" s="17"/>
      <c r="Q350" s="17"/>
    </row>
    <row r="351">
      <c r="B351" s="11">
        <f>IFERROR(__xludf.DUMMYFUNCTION("""COMPUTED_VALUE"""),45512.66666666667)</f>
        <v>45512.66667</v>
      </c>
      <c r="C351" s="9">
        <f>IFERROR(__xludf.DUMMYFUNCTION("""COMPUTED_VALUE"""),124.26)</f>
        <v>124.26</v>
      </c>
      <c r="E351" s="17"/>
      <c r="N351" s="17"/>
      <c r="Q351" s="17"/>
    </row>
    <row r="352">
      <c r="B352" s="11">
        <f>IFERROR(__xludf.DUMMYFUNCTION("""COMPUTED_VALUE"""),45511.66666666667)</f>
        <v>45511.66667</v>
      </c>
      <c r="C352" s="9">
        <f>IFERROR(__xludf.DUMMYFUNCTION("""COMPUTED_VALUE"""),121.46)</f>
        <v>121.46</v>
      </c>
      <c r="E352" s="17"/>
      <c r="N352" s="17"/>
      <c r="Q352" s="17"/>
    </row>
    <row r="353">
      <c r="B353" s="11">
        <f>IFERROR(__xludf.DUMMYFUNCTION("""COMPUTED_VALUE"""),45510.66666666667)</f>
        <v>45510.66667</v>
      </c>
      <c r="C353" s="9">
        <f>IFERROR(__xludf.DUMMYFUNCTION("""COMPUTED_VALUE"""),122.05)</f>
        <v>122.05</v>
      </c>
      <c r="E353" s="17"/>
      <c r="N353" s="17"/>
      <c r="Q353" s="17"/>
    </row>
    <row r="354">
      <c r="B354" s="11">
        <f>IFERROR(__xludf.DUMMYFUNCTION("""COMPUTED_VALUE"""),45509.66666666667)</f>
        <v>45509.66667</v>
      </c>
      <c r="C354" s="9">
        <f>IFERROR(__xludf.DUMMYFUNCTION("""COMPUTED_VALUE"""),120.6)</f>
        <v>120.6</v>
      </c>
      <c r="E354" s="17"/>
      <c r="N354" s="17"/>
      <c r="Q354" s="17"/>
    </row>
    <row r="355">
      <c r="B355" s="11">
        <f>IFERROR(__xludf.DUMMYFUNCTION("""COMPUTED_VALUE"""),45506.66666666667)</f>
        <v>45506.66667</v>
      </c>
      <c r="C355" s="9">
        <f>IFERROR(__xludf.DUMMYFUNCTION("""COMPUTED_VALUE"""),122.73)</f>
        <v>122.73</v>
      </c>
      <c r="E355" s="17"/>
      <c r="N355" s="17"/>
      <c r="Q355" s="17"/>
    </row>
    <row r="356">
      <c r="B356" s="11">
        <f>IFERROR(__xludf.DUMMYFUNCTION("""COMPUTED_VALUE"""),45505.66666666667)</f>
        <v>45505.66667</v>
      </c>
      <c r="C356" s="9">
        <f>IFERROR(__xludf.DUMMYFUNCTION("""COMPUTED_VALUE"""),125.49)</f>
        <v>125.49</v>
      </c>
      <c r="E356" s="17"/>
      <c r="N356" s="17"/>
      <c r="Q356" s="17"/>
    </row>
    <row r="357">
      <c r="B357" s="11">
        <f>IFERROR(__xludf.DUMMYFUNCTION("""COMPUTED_VALUE"""),45504.66666666667)</f>
        <v>45504.66667</v>
      </c>
      <c r="C357" s="9">
        <f>IFERROR(__xludf.DUMMYFUNCTION("""COMPUTED_VALUE"""),127.86)</f>
        <v>127.86</v>
      </c>
      <c r="E357" s="17"/>
      <c r="N357" s="17"/>
      <c r="Q357" s="17"/>
    </row>
    <row r="358">
      <c r="B358" s="11">
        <f>IFERROR(__xludf.DUMMYFUNCTION("""COMPUTED_VALUE"""),45503.66666666667)</f>
        <v>45503.66667</v>
      </c>
      <c r="C358" s="9">
        <f>IFERROR(__xludf.DUMMYFUNCTION("""COMPUTED_VALUE"""),126.45)</f>
        <v>126.45</v>
      </c>
      <c r="E358" s="17"/>
      <c r="N358" s="17"/>
      <c r="Q358" s="17"/>
    </row>
    <row r="359">
      <c r="B359" s="11">
        <f>IFERROR(__xludf.DUMMYFUNCTION("""COMPUTED_VALUE"""),45502.66666666667)</f>
        <v>45502.66667</v>
      </c>
      <c r="C359" s="9">
        <f>IFERROR(__xludf.DUMMYFUNCTION("""COMPUTED_VALUE"""),126.08)</f>
        <v>126.08</v>
      </c>
      <c r="E359" s="17"/>
      <c r="N359" s="17"/>
      <c r="Q359" s="17"/>
    </row>
    <row r="360">
      <c r="B360" s="11">
        <f>IFERROR(__xludf.DUMMYFUNCTION("""COMPUTED_VALUE"""),45499.66666666667)</f>
        <v>45499.66667</v>
      </c>
      <c r="C360" s="9">
        <f>IFERROR(__xludf.DUMMYFUNCTION("""COMPUTED_VALUE"""),126.3)</f>
        <v>126.3</v>
      </c>
      <c r="E360" s="17"/>
      <c r="N360" s="17"/>
      <c r="Q360" s="17"/>
    </row>
    <row r="361">
      <c r="B361" s="11">
        <f>IFERROR(__xludf.DUMMYFUNCTION("""COMPUTED_VALUE"""),45498.66666666667)</f>
        <v>45498.66667</v>
      </c>
      <c r="C361" s="9">
        <f>IFERROR(__xludf.DUMMYFUNCTION("""COMPUTED_VALUE"""),124.18)</f>
        <v>124.18</v>
      </c>
      <c r="E361" s="17"/>
      <c r="N361" s="17"/>
      <c r="Q361" s="17"/>
    </row>
    <row r="362">
      <c r="B362" s="11">
        <f>IFERROR(__xludf.DUMMYFUNCTION("""COMPUTED_VALUE"""),45497.66666666667)</f>
        <v>45497.66667</v>
      </c>
      <c r="C362" s="9">
        <f>IFERROR(__xludf.DUMMYFUNCTION("""COMPUTED_VALUE"""),123.19)</f>
        <v>123.19</v>
      </c>
      <c r="E362" s="17"/>
      <c r="N362" s="17"/>
      <c r="Q362" s="17"/>
    </row>
    <row r="363">
      <c r="B363" s="11">
        <f>IFERROR(__xludf.DUMMYFUNCTION("""COMPUTED_VALUE"""),45496.66666666667)</f>
        <v>45496.66667</v>
      </c>
      <c r="C363" s="9">
        <f>IFERROR(__xludf.DUMMYFUNCTION("""COMPUTED_VALUE"""),125.9)</f>
        <v>125.9</v>
      </c>
      <c r="E363" s="17"/>
      <c r="N363" s="17"/>
      <c r="Q363" s="17"/>
    </row>
    <row r="364">
      <c r="B364" s="11">
        <f>IFERROR(__xludf.DUMMYFUNCTION("""COMPUTED_VALUE"""),45495.66666666667)</f>
        <v>45495.66667</v>
      </c>
      <c r="C364" s="9">
        <f>IFERROR(__xludf.DUMMYFUNCTION("""COMPUTED_VALUE"""),126.14)</f>
        <v>126.14</v>
      </c>
      <c r="E364" s="17"/>
      <c r="N364" s="17"/>
      <c r="Q364" s="17"/>
    </row>
    <row r="365">
      <c r="B365" s="11">
        <f>IFERROR(__xludf.DUMMYFUNCTION("""COMPUTED_VALUE"""),45492.66666666667)</f>
        <v>45492.66667</v>
      </c>
      <c r="C365" s="9">
        <f>IFERROR(__xludf.DUMMYFUNCTION("""COMPUTED_VALUE"""),124.87)</f>
        <v>124.87</v>
      </c>
      <c r="E365" s="17"/>
      <c r="N365" s="17"/>
      <c r="Q365" s="17"/>
    </row>
    <row r="366">
      <c r="B366" s="11">
        <f>IFERROR(__xludf.DUMMYFUNCTION("""COMPUTED_VALUE"""),45491.66666666667)</f>
        <v>45491.66667</v>
      </c>
      <c r="C366" s="9">
        <f>IFERROR(__xludf.DUMMYFUNCTION("""COMPUTED_VALUE"""),125.56)</f>
        <v>125.56</v>
      </c>
      <c r="E366" s="17"/>
      <c r="N366" s="17"/>
      <c r="Q366" s="17"/>
    </row>
    <row r="367">
      <c r="B367" s="11">
        <f>IFERROR(__xludf.DUMMYFUNCTION("""COMPUTED_VALUE"""),45490.66666666667)</f>
        <v>45490.66667</v>
      </c>
      <c r="C367" s="9">
        <f>IFERROR(__xludf.DUMMYFUNCTION("""COMPUTED_VALUE"""),126.55)</f>
        <v>126.55</v>
      </c>
      <c r="E367" s="17"/>
      <c r="N367" s="17"/>
      <c r="Q367" s="17"/>
    </row>
    <row r="368">
      <c r="B368" s="11">
        <f>IFERROR(__xludf.DUMMYFUNCTION("""COMPUTED_VALUE"""),45489.66666666667)</f>
        <v>45489.66667</v>
      </c>
      <c r="C368" s="9">
        <f>IFERROR(__xludf.DUMMYFUNCTION("""COMPUTED_VALUE"""),128.19)</f>
        <v>128.19</v>
      </c>
      <c r="E368" s="17"/>
      <c r="N368" s="17"/>
      <c r="Q368" s="17"/>
    </row>
    <row r="369">
      <c r="B369" s="11">
        <f>IFERROR(__xludf.DUMMYFUNCTION("""COMPUTED_VALUE"""),45488.66666666667)</f>
        <v>45488.66667</v>
      </c>
      <c r="C369" s="9">
        <f>IFERROR(__xludf.DUMMYFUNCTION("""COMPUTED_VALUE"""),125.07)</f>
        <v>125.07</v>
      </c>
      <c r="E369" s="17"/>
      <c r="N369" s="17"/>
      <c r="Q369" s="17"/>
    </row>
    <row r="370">
      <c r="B370" s="11">
        <f>IFERROR(__xludf.DUMMYFUNCTION("""COMPUTED_VALUE"""),45485.66666666667)</f>
        <v>45485.66667</v>
      </c>
      <c r="C370" s="9">
        <f>IFERROR(__xludf.DUMMYFUNCTION("""COMPUTED_VALUE"""),124.18)</f>
        <v>124.18</v>
      </c>
      <c r="E370" s="17"/>
      <c r="N370" s="17"/>
      <c r="Q370" s="17"/>
    </row>
    <row r="371">
      <c r="B371" s="11">
        <f>IFERROR(__xludf.DUMMYFUNCTION("""COMPUTED_VALUE"""),45484.66666666667)</f>
        <v>45484.66667</v>
      </c>
      <c r="C371" s="9">
        <f>IFERROR(__xludf.DUMMYFUNCTION("""COMPUTED_VALUE"""),123.47)</f>
        <v>123.47</v>
      </c>
      <c r="E371" s="17"/>
      <c r="N371" s="17"/>
      <c r="Q371" s="17"/>
    </row>
    <row r="372">
      <c r="B372" s="11">
        <f>IFERROR(__xludf.DUMMYFUNCTION("""COMPUTED_VALUE"""),45483.66666666667)</f>
        <v>45483.66667</v>
      </c>
      <c r="C372" s="9">
        <f>IFERROR(__xludf.DUMMYFUNCTION("""COMPUTED_VALUE"""),121.92)</f>
        <v>121.92</v>
      </c>
      <c r="E372" s="17"/>
      <c r="N372" s="17"/>
      <c r="Q372" s="17"/>
    </row>
    <row r="373">
      <c r="B373" s="11">
        <f>IFERROR(__xludf.DUMMYFUNCTION("""COMPUTED_VALUE"""),45482.66666666667)</f>
        <v>45482.66667</v>
      </c>
      <c r="C373" s="9">
        <f>IFERROR(__xludf.DUMMYFUNCTION("""COMPUTED_VALUE"""),120.84)</f>
        <v>120.84</v>
      </c>
      <c r="E373" s="17"/>
      <c r="N373" s="17"/>
      <c r="Q373" s="17"/>
    </row>
    <row r="374">
      <c r="B374" s="11">
        <f>IFERROR(__xludf.DUMMYFUNCTION("""COMPUTED_VALUE"""),45481.66666666667)</f>
        <v>45481.66667</v>
      </c>
      <c r="C374" s="9">
        <f>IFERROR(__xludf.DUMMYFUNCTION("""COMPUTED_VALUE"""),121.37)</f>
        <v>121.37</v>
      </c>
      <c r="E374" s="17"/>
      <c r="N374" s="17"/>
      <c r="Q374" s="17"/>
    </row>
    <row r="375">
      <c r="B375" s="11">
        <f>IFERROR(__xludf.DUMMYFUNCTION("""COMPUTED_VALUE"""),45478.66666666667)</f>
        <v>45478.66667</v>
      </c>
      <c r="C375" s="9">
        <f>IFERROR(__xludf.DUMMYFUNCTION("""COMPUTED_VALUE"""),121.22)</f>
        <v>121.22</v>
      </c>
      <c r="E375" s="17"/>
      <c r="N375" s="17"/>
      <c r="Q375" s="17"/>
    </row>
    <row r="376">
      <c r="B376" s="11">
        <f>IFERROR(__xludf.DUMMYFUNCTION("""COMPUTED_VALUE"""),45476.55208333333)</f>
        <v>45476.55208</v>
      </c>
      <c r="C376" s="9">
        <f>IFERROR(__xludf.DUMMYFUNCTION("""COMPUTED_VALUE"""),121.66)</f>
        <v>121.66</v>
      </c>
      <c r="E376" s="17"/>
      <c r="N376" s="17"/>
      <c r="Q376" s="17"/>
    </row>
    <row r="377">
      <c r="B377" s="11">
        <f>IFERROR(__xludf.DUMMYFUNCTION("""COMPUTED_VALUE"""),45475.66666666667)</f>
        <v>45475.66667</v>
      </c>
      <c r="C377" s="9">
        <f>IFERROR(__xludf.DUMMYFUNCTION("""COMPUTED_VALUE"""),121.22)</f>
        <v>121.22</v>
      </c>
      <c r="E377" s="17"/>
      <c r="N377" s="17"/>
      <c r="Q377" s="17"/>
    </row>
    <row r="378">
      <c r="B378" s="11">
        <f>IFERROR(__xludf.DUMMYFUNCTION("""COMPUTED_VALUE"""),45474.66666666667)</f>
        <v>45474.66667</v>
      </c>
      <c r="C378" s="9">
        <f>IFERROR(__xludf.DUMMYFUNCTION("""COMPUTED_VALUE"""),120.56)</f>
        <v>120.56</v>
      </c>
      <c r="E378" s="17"/>
      <c r="N378" s="17"/>
      <c r="Q378" s="17"/>
    </row>
    <row r="379">
      <c r="B379" s="11">
        <f>IFERROR(__xludf.DUMMYFUNCTION("""COMPUTED_VALUE"""),45471.66666666667)</f>
        <v>45471.66667</v>
      </c>
      <c r="C379" s="9">
        <f>IFERROR(__xludf.DUMMYFUNCTION("""COMPUTED_VALUE"""),121.87)</f>
        <v>121.87</v>
      </c>
      <c r="E379" s="17"/>
      <c r="N379" s="17"/>
      <c r="Q379" s="17"/>
    </row>
    <row r="380">
      <c r="B380" s="11">
        <f>IFERROR(__xludf.DUMMYFUNCTION("""COMPUTED_VALUE"""),45470.66666666667)</f>
        <v>45470.66667</v>
      </c>
      <c r="C380" s="9">
        <f>IFERROR(__xludf.DUMMYFUNCTION("""COMPUTED_VALUE"""),121.82)</f>
        <v>121.82</v>
      </c>
      <c r="E380" s="17"/>
      <c r="N380" s="17"/>
      <c r="Q380" s="17"/>
    </row>
    <row r="381">
      <c r="B381" s="11">
        <f>IFERROR(__xludf.DUMMYFUNCTION("""COMPUTED_VALUE"""),45469.66666666667)</f>
        <v>45469.66667</v>
      </c>
      <c r="C381" s="9">
        <f>IFERROR(__xludf.DUMMYFUNCTION("""COMPUTED_VALUE"""),121.69)</f>
        <v>121.69</v>
      </c>
      <c r="E381" s="17"/>
      <c r="N381" s="17"/>
      <c r="Q381" s="17"/>
    </row>
    <row r="382">
      <c r="B382" s="11">
        <f>IFERROR(__xludf.DUMMYFUNCTION("""COMPUTED_VALUE"""),45468.66666666667)</f>
        <v>45468.66667</v>
      </c>
      <c r="C382" s="9">
        <f>IFERROR(__xludf.DUMMYFUNCTION("""COMPUTED_VALUE"""),122.02)</f>
        <v>122.02</v>
      </c>
      <c r="E382" s="17"/>
      <c r="N382" s="17"/>
      <c r="Q382" s="17"/>
    </row>
    <row r="383">
      <c r="B383" s="11">
        <f>IFERROR(__xludf.DUMMYFUNCTION("""COMPUTED_VALUE"""),45467.66666666667)</f>
        <v>45467.66667</v>
      </c>
      <c r="C383" s="9">
        <f>IFERROR(__xludf.DUMMYFUNCTION("""COMPUTED_VALUE"""),123.07)</f>
        <v>123.07</v>
      </c>
      <c r="E383" s="17"/>
      <c r="N383" s="17"/>
      <c r="Q383" s="17"/>
    </row>
    <row r="384">
      <c r="B384" s="11">
        <f>IFERROR(__xludf.DUMMYFUNCTION("""COMPUTED_VALUE"""),45464.66666666667)</f>
        <v>45464.66667</v>
      </c>
      <c r="C384" s="9">
        <f>IFERROR(__xludf.DUMMYFUNCTION("""COMPUTED_VALUE"""),122.97)</f>
        <v>122.97</v>
      </c>
      <c r="E384" s="17"/>
      <c r="N384" s="17"/>
      <c r="Q384" s="17"/>
    </row>
    <row r="385">
      <c r="B385" s="11">
        <f>IFERROR(__xludf.DUMMYFUNCTION("""COMPUTED_VALUE"""),45463.66666666667)</f>
        <v>45463.66667</v>
      </c>
      <c r="C385" s="9">
        <f>IFERROR(__xludf.DUMMYFUNCTION("""COMPUTED_VALUE"""),123.23)</f>
        <v>123.23</v>
      </c>
      <c r="E385" s="17"/>
      <c r="N385" s="17"/>
      <c r="Q385" s="17"/>
    </row>
    <row r="386">
      <c r="B386" s="11">
        <f>IFERROR(__xludf.DUMMYFUNCTION("""COMPUTED_VALUE"""),45461.66666666667)</f>
        <v>45461.66667</v>
      </c>
      <c r="C386" s="9">
        <f>IFERROR(__xludf.DUMMYFUNCTION("""COMPUTED_VALUE"""),123.15)</f>
        <v>123.15</v>
      </c>
      <c r="E386" s="17"/>
      <c r="N386" s="17"/>
      <c r="Q386" s="17"/>
    </row>
    <row r="387">
      <c r="B387" s="11">
        <f>IFERROR(__xludf.DUMMYFUNCTION("""COMPUTED_VALUE"""),45460.66666666667)</f>
        <v>45460.66667</v>
      </c>
      <c r="C387" s="9">
        <f>IFERROR(__xludf.DUMMYFUNCTION("""COMPUTED_VALUE"""),122.49)</f>
        <v>122.49</v>
      </c>
      <c r="E387" s="17"/>
      <c r="N387" s="17"/>
      <c r="Q387" s="17"/>
    </row>
    <row r="388">
      <c r="B388" s="11">
        <f>IFERROR(__xludf.DUMMYFUNCTION("""COMPUTED_VALUE"""),45457.66666666667)</f>
        <v>45457.66667</v>
      </c>
      <c r="C388" s="9">
        <f>IFERROR(__xludf.DUMMYFUNCTION("""COMPUTED_VALUE"""),121.15)</f>
        <v>121.15</v>
      </c>
      <c r="E388" s="17"/>
      <c r="N388" s="17"/>
      <c r="Q388" s="17"/>
    </row>
    <row r="389">
      <c r="B389" s="11">
        <f>IFERROR(__xludf.DUMMYFUNCTION("""COMPUTED_VALUE"""),45456.66666666667)</f>
        <v>45456.66667</v>
      </c>
      <c r="C389" s="9">
        <f>IFERROR(__xludf.DUMMYFUNCTION("""COMPUTED_VALUE"""),122.38)</f>
        <v>122.38</v>
      </c>
      <c r="E389" s="17"/>
      <c r="N389" s="17"/>
      <c r="Q389" s="17"/>
    </row>
    <row r="390">
      <c r="B390" s="11">
        <f>IFERROR(__xludf.DUMMYFUNCTION("""COMPUTED_VALUE"""),45455.66666666667)</f>
        <v>45455.66667</v>
      </c>
      <c r="C390" s="9">
        <f>IFERROR(__xludf.DUMMYFUNCTION("""COMPUTED_VALUE"""),123.17)</f>
        <v>123.17</v>
      </c>
      <c r="E390" s="17"/>
      <c r="N390" s="17"/>
      <c r="Q390" s="17"/>
    </row>
    <row r="391">
      <c r="B391" s="11">
        <f>IFERROR(__xludf.DUMMYFUNCTION("""COMPUTED_VALUE"""),45454.66666666667)</f>
        <v>45454.66667</v>
      </c>
      <c r="C391" s="9">
        <f>IFERROR(__xludf.DUMMYFUNCTION("""COMPUTED_VALUE"""),122.01)</f>
        <v>122.01</v>
      </c>
      <c r="E391" s="17"/>
      <c r="N391" s="17"/>
      <c r="Q391" s="17"/>
    </row>
    <row r="392">
      <c r="B392" s="11">
        <f>IFERROR(__xludf.DUMMYFUNCTION("""COMPUTED_VALUE"""),45453.66666666667)</f>
        <v>45453.66667</v>
      </c>
      <c r="C392" s="9">
        <f>IFERROR(__xludf.DUMMYFUNCTION("""COMPUTED_VALUE"""),122.71)</f>
        <v>122.71</v>
      </c>
      <c r="E392" s="17"/>
      <c r="N392" s="17"/>
      <c r="Q392" s="17"/>
    </row>
    <row r="393">
      <c r="B393" s="11">
        <f>IFERROR(__xludf.DUMMYFUNCTION("""COMPUTED_VALUE"""),45450.66666666667)</f>
        <v>45450.66667</v>
      </c>
      <c r="C393" s="9">
        <f>IFERROR(__xludf.DUMMYFUNCTION("""COMPUTED_VALUE"""),122.33)</f>
        <v>122.33</v>
      </c>
      <c r="E393" s="17"/>
      <c r="N393" s="17"/>
      <c r="Q393" s="17"/>
    </row>
    <row r="394">
      <c r="B394" s="11">
        <f>IFERROR(__xludf.DUMMYFUNCTION("""COMPUTED_VALUE"""),45449.66666666667)</f>
        <v>45449.66667</v>
      </c>
      <c r="C394" s="9">
        <f>IFERROR(__xludf.DUMMYFUNCTION("""COMPUTED_VALUE"""),122.2)</f>
        <v>122.2</v>
      </c>
      <c r="E394" s="17"/>
      <c r="N394" s="17"/>
      <c r="Q394" s="17"/>
    </row>
    <row r="395">
      <c r="B395" s="11">
        <f>IFERROR(__xludf.DUMMYFUNCTION("""COMPUTED_VALUE"""),45448.66666666667)</f>
        <v>45448.66667</v>
      </c>
      <c r="C395" s="9">
        <f>IFERROR(__xludf.DUMMYFUNCTION("""COMPUTED_VALUE"""),122.93)</f>
        <v>122.93</v>
      </c>
      <c r="E395" s="17"/>
      <c r="N395" s="17"/>
      <c r="Q395" s="17"/>
    </row>
    <row r="396">
      <c r="B396" s="11">
        <f>IFERROR(__xludf.DUMMYFUNCTION("""COMPUTED_VALUE"""),45447.66666666667)</f>
        <v>45447.66667</v>
      </c>
      <c r="C396" s="9">
        <f>IFERROR(__xludf.DUMMYFUNCTION("""COMPUTED_VALUE"""),121.7)</f>
        <v>121.7</v>
      </c>
      <c r="E396" s="17"/>
      <c r="N396" s="17"/>
      <c r="Q396" s="17"/>
    </row>
    <row r="397">
      <c r="B397" s="11">
        <f>IFERROR(__xludf.DUMMYFUNCTION("""COMPUTED_VALUE"""),45446.66666666667)</f>
        <v>45446.66667</v>
      </c>
      <c r="C397" s="9">
        <f>IFERROR(__xludf.DUMMYFUNCTION("""COMPUTED_VALUE"""),122.0)</f>
        <v>122</v>
      </c>
      <c r="E397" s="17"/>
      <c r="N397" s="17"/>
      <c r="Q397" s="17"/>
    </row>
    <row r="398">
      <c r="B398" s="11">
        <f>IFERROR(__xludf.DUMMYFUNCTION("""COMPUTED_VALUE"""),45443.66666666667)</f>
        <v>45443.66667</v>
      </c>
      <c r="C398" s="9">
        <f>IFERROR(__xludf.DUMMYFUNCTION("""COMPUTED_VALUE"""),123.51)</f>
        <v>123.51</v>
      </c>
      <c r="E398" s="17"/>
      <c r="N398" s="17"/>
      <c r="Q398" s="17"/>
    </row>
    <row r="399">
      <c r="B399" s="11">
        <f>IFERROR(__xludf.DUMMYFUNCTION("""COMPUTED_VALUE"""),45442.66666666667)</f>
        <v>45442.66667</v>
      </c>
      <c r="C399" s="9">
        <f>IFERROR(__xludf.DUMMYFUNCTION("""COMPUTED_VALUE"""),122.03)</f>
        <v>122.03</v>
      </c>
      <c r="E399" s="17"/>
      <c r="N399" s="17"/>
      <c r="Q399" s="17"/>
    </row>
    <row r="400">
      <c r="B400" s="11">
        <f>IFERROR(__xludf.DUMMYFUNCTION("""COMPUTED_VALUE"""),45441.66666666667)</f>
        <v>45441.66667</v>
      </c>
      <c r="C400" s="9">
        <f>IFERROR(__xludf.DUMMYFUNCTION("""COMPUTED_VALUE"""),121.2)</f>
        <v>121.2</v>
      </c>
      <c r="E400" s="17"/>
      <c r="N400" s="17"/>
      <c r="Q400" s="17"/>
    </row>
    <row r="401">
      <c r="B401" s="11">
        <f>IFERROR(__xludf.DUMMYFUNCTION("""COMPUTED_VALUE"""),45440.66666666667)</f>
        <v>45440.66667</v>
      </c>
      <c r="C401" s="9">
        <f>IFERROR(__xludf.DUMMYFUNCTION("""COMPUTED_VALUE"""),122.94)</f>
        <v>122.94</v>
      </c>
      <c r="E401" s="17"/>
      <c r="N401" s="17"/>
      <c r="Q401" s="17"/>
    </row>
    <row r="402">
      <c r="B402" s="11">
        <f>IFERROR(__xludf.DUMMYFUNCTION("""COMPUTED_VALUE"""),45436.66666666667)</f>
        <v>45436.66667</v>
      </c>
      <c r="C402" s="9">
        <f>IFERROR(__xludf.DUMMYFUNCTION("""COMPUTED_VALUE"""),124.46)</f>
        <v>124.46</v>
      </c>
      <c r="E402" s="17"/>
      <c r="N402" s="17"/>
      <c r="Q402" s="17"/>
    </row>
    <row r="403">
      <c r="B403" s="11">
        <f>IFERROR(__xludf.DUMMYFUNCTION("""COMPUTED_VALUE"""),45435.66666666667)</f>
        <v>45435.66667</v>
      </c>
      <c r="C403" s="9">
        <f>IFERROR(__xludf.DUMMYFUNCTION("""COMPUTED_VALUE"""),123.83)</f>
        <v>123.83</v>
      </c>
      <c r="E403" s="17"/>
      <c r="N403" s="17"/>
      <c r="Q403" s="17"/>
    </row>
    <row r="404">
      <c r="B404" s="11">
        <f>IFERROR(__xludf.DUMMYFUNCTION("""COMPUTED_VALUE"""),45434.66666666667)</f>
        <v>45434.66667</v>
      </c>
      <c r="C404" s="9">
        <f>IFERROR(__xludf.DUMMYFUNCTION("""COMPUTED_VALUE"""),125.31)</f>
        <v>125.31</v>
      </c>
      <c r="E404" s="17"/>
      <c r="N404" s="17"/>
      <c r="Q404" s="17"/>
    </row>
    <row r="405">
      <c r="B405" s="11">
        <f>IFERROR(__xludf.DUMMYFUNCTION("""COMPUTED_VALUE"""),45433.66666666667)</f>
        <v>45433.66667</v>
      </c>
      <c r="C405" s="9">
        <f>IFERROR(__xludf.DUMMYFUNCTION("""COMPUTED_VALUE"""),125.16)</f>
        <v>125.16</v>
      </c>
      <c r="E405" s="17"/>
      <c r="N405" s="17"/>
      <c r="Q405" s="17"/>
    </row>
    <row r="406">
      <c r="B406" s="11">
        <f>IFERROR(__xludf.DUMMYFUNCTION("""COMPUTED_VALUE"""),45432.66666666667)</f>
        <v>45432.66667</v>
      </c>
      <c r="C406" s="9">
        <f>IFERROR(__xludf.DUMMYFUNCTION("""COMPUTED_VALUE"""),125.57)</f>
        <v>125.57</v>
      </c>
      <c r="E406" s="17"/>
      <c r="N406" s="17"/>
      <c r="Q406" s="17"/>
    </row>
    <row r="407">
      <c r="B407" s="11">
        <f>IFERROR(__xludf.DUMMYFUNCTION("""COMPUTED_VALUE"""),45429.66666666667)</f>
        <v>45429.66667</v>
      </c>
      <c r="C407" s="9">
        <f>IFERROR(__xludf.DUMMYFUNCTION("""COMPUTED_VALUE"""),125.33)</f>
        <v>125.33</v>
      </c>
      <c r="E407" s="17"/>
      <c r="N407" s="17"/>
      <c r="Q407" s="17"/>
    </row>
    <row r="408">
      <c r="B408" s="11">
        <f>IFERROR(__xludf.DUMMYFUNCTION("""COMPUTED_VALUE"""),45428.66666666667)</f>
        <v>45428.66667</v>
      </c>
      <c r="C408" s="9">
        <f>IFERROR(__xludf.DUMMYFUNCTION("""COMPUTED_VALUE"""),125.19)</f>
        <v>125.19</v>
      </c>
      <c r="E408" s="17"/>
      <c r="N408" s="17"/>
      <c r="Q408" s="17"/>
    </row>
    <row r="409">
      <c r="B409" s="11">
        <f>IFERROR(__xludf.DUMMYFUNCTION("""COMPUTED_VALUE"""),45427.66666666667)</f>
        <v>45427.66667</v>
      </c>
      <c r="C409" s="9">
        <f>IFERROR(__xludf.DUMMYFUNCTION("""COMPUTED_VALUE"""),125.94)</f>
        <v>125.94</v>
      </c>
      <c r="E409" s="17"/>
      <c r="N409" s="17"/>
      <c r="Q409" s="17"/>
    </row>
    <row r="410">
      <c r="B410" s="11">
        <f>IFERROR(__xludf.DUMMYFUNCTION("""COMPUTED_VALUE"""),45426.66666666667)</f>
        <v>45426.66667</v>
      </c>
      <c r="C410" s="9">
        <f>IFERROR(__xludf.DUMMYFUNCTION("""COMPUTED_VALUE"""),125.12)</f>
        <v>125.12</v>
      </c>
      <c r="E410" s="17"/>
      <c r="N410" s="17"/>
      <c r="Q410" s="17"/>
    </row>
    <row r="411">
      <c r="B411" s="11">
        <f>IFERROR(__xludf.DUMMYFUNCTION("""COMPUTED_VALUE"""),45425.66666666667)</f>
        <v>45425.66667</v>
      </c>
      <c r="C411" s="9">
        <f>IFERROR(__xludf.DUMMYFUNCTION("""COMPUTED_VALUE"""),125.15)</f>
        <v>125.15</v>
      </c>
      <c r="E411" s="17"/>
      <c r="N411" s="17"/>
      <c r="Q411" s="17"/>
    </row>
    <row r="412">
      <c r="B412" s="11">
        <f>IFERROR(__xludf.DUMMYFUNCTION("""COMPUTED_VALUE"""),45422.66666666667)</f>
        <v>45422.66667</v>
      </c>
      <c r="C412" s="9">
        <f>IFERROR(__xludf.DUMMYFUNCTION("""COMPUTED_VALUE"""),125.68)</f>
        <v>125.68</v>
      </c>
      <c r="E412" s="17"/>
      <c r="N412" s="17"/>
      <c r="Q412" s="17"/>
    </row>
    <row r="413">
      <c r="B413" s="11">
        <f>IFERROR(__xludf.DUMMYFUNCTION("""COMPUTED_VALUE"""),45421.66666666667)</f>
        <v>45421.66667</v>
      </c>
      <c r="C413" s="9">
        <f>IFERROR(__xludf.DUMMYFUNCTION("""COMPUTED_VALUE"""),125.59)</f>
        <v>125.59</v>
      </c>
      <c r="E413" s="17"/>
      <c r="N413" s="17"/>
      <c r="Q413" s="17"/>
    </row>
    <row r="414">
      <c r="B414" s="11">
        <f>IFERROR(__xludf.DUMMYFUNCTION("""COMPUTED_VALUE"""),45420.66666666667)</f>
        <v>45420.66667</v>
      </c>
      <c r="C414" s="9">
        <f>IFERROR(__xludf.DUMMYFUNCTION("""COMPUTED_VALUE"""),124.35)</f>
        <v>124.35</v>
      </c>
      <c r="E414" s="17"/>
      <c r="N414" s="17"/>
      <c r="Q414" s="17"/>
    </row>
    <row r="415">
      <c r="B415" s="11">
        <f>IFERROR(__xludf.DUMMYFUNCTION("""COMPUTED_VALUE"""),45419.66666666667)</f>
        <v>45419.66667</v>
      </c>
      <c r="C415" s="9">
        <f>IFERROR(__xludf.DUMMYFUNCTION("""COMPUTED_VALUE"""),124.35)</f>
        <v>124.35</v>
      </c>
      <c r="E415" s="17"/>
      <c r="N415" s="17"/>
      <c r="Q415" s="17"/>
    </row>
    <row r="416">
      <c r="B416" s="11">
        <f>IFERROR(__xludf.DUMMYFUNCTION("""COMPUTED_VALUE"""),45418.66666666667)</f>
        <v>45418.66667</v>
      </c>
      <c r="C416" s="9">
        <f>IFERROR(__xludf.DUMMYFUNCTION("""COMPUTED_VALUE"""),124.01)</f>
        <v>124.01</v>
      </c>
      <c r="E416" s="17"/>
      <c r="N416" s="17"/>
      <c r="Q416" s="17"/>
    </row>
    <row r="417">
      <c r="B417" s="11">
        <f>IFERROR(__xludf.DUMMYFUNCTION("""COMPUTED_VALUE"""),45415.66666666667)</f>
        <v>45415.66667</v>
      </c>
      <c r="C417" s="9">
        <f>IFERROR(__xludf.DUMMYFUNCTION("""COMPUTED_VALUE"""),122.77)</f>
        <v>122.77</v>
      </c>
      <c r="E417" s="17"/>
      <c r="N417" s="17"/>
      <c r="Q417" s="17"/>
    </row>
    <row r="418">
      <c r="B418" s="11">
        <f>IFERROR(__xludf.DUMMYFUNCTION("""COMPUTED_VALUE"""),45414.66666666667)</f>
        <v>45414.66667</v>
      </c>
      <c r="C418" s="9">
        <f>IFERROR(__xludf.DUMMYFUNCTION("""COMPUTED_VALUE"""),121.92)</f>
        <v>121.92</v>
      </c>
      <c r="E418" s="17"/>
      <c r="N418" s="17"/>
      <c r="Q418" s="17"/>
    </row>
    <row r="419">
      <c r="B419" s="11">
        <f>IFERROR(__xludf.DUMMYFUNCTION("""COMPUTED_VALUE"""),45413.66666666667)</f>
        <v>45413.66667</v>
      </c>
      <c r="C419" s="9">
        <f>IFERROR(__xludf.DUMMYFUNCTION("""COMPUTED_VALUE"""),121.22)</f>
        <v>121.22</v>
      </c>
      <c r="E419" s="17"/>
      <c r="N419" s="17"/>
      <c r="Q419" s="17"/>
    </row>
    <row r="420">
      <c r="B420" s="11">
        <f>IFERROR(__xludf.DUMMYFUNCTION("""COMPUTED_VALUE"""),45412.66666666667)</f>
        <v>45412.66667</v>
      </c>
      <c r="C420" s="9">
        <f>IFERROR(__xludf.DUMMYFUNCTION("""COMPUTED_VALUE"""),121.52)</f>
        <v>121.52</v>
      </c>
      <c r="E420" s="17"/>
      <c r="N420" s="17"/>
      <c r="Q420" s="17"/>
    </row>
    <row r="421">
      <c r="B421" s="11">
        <f>IFERROR(__xludf.DUMMYFUNCTION("""COMPUTED_VALUE"""),45411.66666666667)</f>
        <v>45411.66667</v>
      </c>
      <c r="C421" s="9">
        <f>IFERROR(__xludf.DUMMYFUNCTION("""COMPUTED_VALUE"""),123.48)</f>
        <v>123.48</v>
      </c>
      <c r="E421" s="17"/>
      <c r="N421" s="17"/>
      <c r="Q421" s="17"/>
    </row>
    <row r="422">
      <c r="B422" s="11">
        <f>IFERROR(__xludf.DUMMYFUNCTION("""COMPUTED_VALUE"""),45408.66666666667)</f>
        <v>45408.66667</v>
      </c>
      <c r="C422" s="9">
        <f>IFERROR(__xludf.DUMMYFUNCTION("""COMPUTED_VALUE"""),122.66)</f>
        <v>122.66</v>
      </c>
      <c r="E422" s="17"/>
      <c r="N422" s="17"/>
      <c r="Q422" s="17"/>
    </row>
    <row r="423">
      <c r="B423" s="11">
        <f>IFERROR(__xludf.DUMMYFUNCTION("""COMPUTED_VALUE"""),45407.66666666667)</f>
        <v>45407.66667</v>
      </c>
      <c r="C423" s="9">
        <f>IFERROR(__xludf.DUMMYFUNCTION("""COMPUTED_VALUE"""),122.46)</f>
        <v>122.46</v>
      </c>
      <c r="E423" s="17"/>
      <c r="N423" s="17"/>
      <c r="Q423" s="17"/>
    </row>
    <row r="424">
      <c r="B424" s="11">
        <f>IFERROR(__xludf.DUMMYFUNCTION("""COMPUTED_VALUE"""),45406.66666666667)</f>
        <v>45406.66667</v>
      </c>
      <c r="C424" s="9">
        <f>IFERROR(__xludf.DUMMYFUNCTION("""COMPUTED_VALUE"""),122.09)</f>
        <v>122.09</v>
      </c>
      <c r="E424" s="17"/>
      <c r="N424" s="17"/>
      <c r="Q424" s="17"/>
    </row>
    <row r="425">
      <c r="B425" s="11">
        <f>IFERROR(__xludf.DUMMYFUNCTION("""COMPUTED_VALUE"""),45405.66666666667)</f>
        <v>45405.66667</v>
      </c>
      <c r="C425" s="9">
        <f>IFERROR(__xludf.DUMMYFUNCTION("""COMPUTED_VALUE"""),123.07)</f>
        <v>123.07</v>
      </c>
      <c r="E425" s="17"/>
      <c r="N425" s="17"/>
      <c r="Q425" s="17"/>
    </row>
    <row r="426">
      <c r="B426" s="11">
        <f>IFERROR(__xludf.DUMMYFUNCTION("""COMPUTED_VALUE"""),45404.66666666667)</f>
        <v>45404.66667</v>
      </c>
      <c r="C426" s="9">
        <f>IFERROR(__xludf.DUMMYFUNCTION("""COMPUTED_VALUE"""),121.38)</f>
        <v>121.38</v>
      </c>
      <c r="E426" s="17"/>
      <c r="N426" s="17"/>
      <c r="Q426" s="17"/>
    </row>
    <row r="427">
      <c r="B427" s="11">
        <f>IFERROR(__xludf.DUMMYFUNCTION("""COMPUTED_VALUE"""),45401.66666666667)</f>
        <v>45401.66667</v>
      </c>
      <c r="C427" s="9">
        <f>IFERROR(__xludf.DUMMYFUNCTION("""COMPUTED_VALUE"""),120.47)</f>
        <v>120.47</v>
      </c>
      <c r="E427" s="17"/>
      <c r="N427" s="17"/>
      <c r="Q427" s="17"/>
    </row>
    <row r="428">
      <c r="B428" s="11">
        <f>IFERROR(__xludf.DUMMYFUNCTION("""COMPUTED_VALUE"""),45400.66666666667)</f>
        <v>45400.66667</v>
      </c>
      <c r="C428" s="9">
        <f>IFERROR(__xludf.DUMMYFUNCTION("""COMPUTED_VALUE"""),120.69)</f>
        <v>120.69</v>
      </c>
      <c r="E428" s="17"/>
      <c r="N428" s="17"/>
      <c r="Q428" s="17"/>
    </row>
    <row r="429">
      <c r="B429" s="11">
        <f>IFERROR(__xludf.DUMMYFUNCTION("""COMPUTED_VALUE"""),45399.66666666667)</f>
        <v>45399.66667</v>
      </c>
      <c r="C429" s="9">
        <f>IFERROR(__xludf.DUMMYFUNCTION("""COMPUTED_VALUE"""),121.11)</f>
        <v>121.11</v>
      </c>
      <c r="E429" s="17"/>
      <c r="N429" s="17"/>
      <c r="Q429" s="17"/>
    </row>
    <row r="430">
      <c r="B430" s="11">
        <f>IFERROR(__xludf.DUMMYFUNCTION("""COMPUTED_VALUE"""),45398.66666666667)</f>
        <v>45398.66667</v>
      </c>
      <c r="C430" s="9">
        <f>IFERROR(__xludf.DUMMYFUNCTION("""COMPUTED_VALUE"""),121.74)</f>
        <v>121.74</v>
      </c>
      <c r="E430" s="17"/>
      <c r="N430" s="17"/>
      <c r="Q430" s="17"/>
    </row>
    <row r="431">
      <c r="B431" s="11">
        <f>IFERROR(__xludf.DUMMYFUNCTION("""COMPUTED_VALUE"""),45397.66666666667)</f>
        <v>45397.66667</v>
      </c>
      <c r="C431" s="9">
        <f>IFERROR(__xludf.DUMMYFUNCTION("""COMPUTED_VALUE"""),122.02)</f>
        <v>122.02</v>
      </c>
      <c r="E431" s="17"/>
      <c r="N431" s="17"/>
      <c r="Q431" s="17"/>
    </row>
    <row r="432">
      <c r="B432" s="11">
        <f>IFERROR(__xludf.DUMMYFUNCTION("""COMPUTED_VALUE"""),45394.66666666667)</f>
        <v>45394.66667</v>
      </c>
      <c r="C432" s="9">
        <f>IFERROR(__xludf.DUMMYFUNCTION("""COMPUTED_VALUE"""),122.9)</f>
        <v>122.9</v>
      </c>
      <c r="E432" s="17"/>
      <c r="N432" s="17"/>
      <c r="Q432" s="17"/>
    </row>
    <row r="433">
      <c r="B433" s="11">
        <f>IFERROR(__xludf.DUMMYFUNCTION("""COMPUTED_VALUE"""),45393.66666666667)</f>
        <v>45393.66667</v>
      </c>
      <c r="C433" s="9">
        <f>IFERROR(__xludf.DUMMYFUNCTION("""COMPUTED_VALUE"""),124.23)</f>
        <v>124.23</v>
      </c>
      <c r="E433" s="17"/>
      <c r="N433" s="17"/>
      <c r="Q433" s="17"/>
    </row>
    <row r="434">
      <c r="B434" s="11">
        <f>IFERROR(__xludf.DUMMYFUNCTION("""COMPUTED_VALUE"""),45392.66666666667)</f>
        <v>45392.66667</v>
      </c>
      <c r="C434" s="9">
        <f>IFERROR(__xludf.DUMMYFUNCTION("""COMPUTED_VALUE"""),124.09)</f>
        <v>124.09</v>
      </c>
      <c r="E434" s="17"/>
      <c r="N434" s="17"/>
      <c r="Q434" s="17"/>
    </row>
    <row r="435">
      <c r="B435" s="11">
        <f>IFERROR(__xludf.DUMMYFUNCTION("""COMPUTED_VALUE"""),45391.66666666667)</f>
        <v>45391.66667</v>
      </c>
      <c r="C435" s="9">
        <f>IFERROR(__xludf.DUMMYFUNCTION("""COMPUTED_VALUE"""),125.16)</f>
        <v>125.16</v>
      </c>
      <c r="E435" s="17"/>
      <c r="N435" s="17"/>
      <c r="Q435" s="17"/>
    </row>
    <row r="436">
      <c r="B436" s="11">
        <f>IFERROR(__xludf.DUMMYFUNCTION("""COMPUTED_VALUE"""),45390.66666666667)</f>
        <v>45390.66667</v>
      </c>
      <c r="C436" s="9">
        <f>IFERROR(__xludf.DUMMYFUNCTION("""COMPUTED_VALUE"""),125.45)</f>
        <v>125.45</v>
      </c>
      <c r="E436" s="17"/>
      <c r="N436" s="17"/>
      <c r="Q436" s="17"/>
    </row>
    <row r="437">
      <c r="B437" s="11">
        <f>IFERROR(__xludf.DUMMYFUNCTION("""COMPUTED_VALUE"""),45387.66666666667)</f>
        <v>45387.66667</v>
      </c>
      <c r="C437" s="9">
        <f>IFERROR(__xludf.DUMMYFUNCTION("""COMPUTED_VALUE"""),125.67)</f>
        <v>125.67</v>
      </c>
      <c r="E437" s="17"/>
      <c r="N437" s="17"/>
      <c r="Q437" s="17"/>
    </row>
    <row r="438">
      <c r="B438" s="11">
        <f>IFERROR(__xludf.DUMMYFUNCTION("""COMPUTED_VALUE"""),45386.66666666667)</f>
        <v>45386.66667</v>
      </c>
      <c r="C438" s="9">
        <f>IFERROR(__xludf.DUMMYFUNCTION("""COMPUTED_VALUE"""),123.95)</f>
        <v>123.95</v>
      </c>
      <c r="E438" s="17"/>
      <c r="N438" s="17"/>
      <c r="Q438" s="17"/>
    </row>
    <row r="439">
      <c r="B439" s="11">
        <f>IFERROR(__xludf.DUMMYFUNCTION("""COMPUTED_VALUE"""),45385.66666666667)</f>
        <v>45385.66667</v>
      </c>
      <c r="C439" s="9">
        <f>IFERROR(__xludf.DUMMYFUNCTION("""COMPUTED_VALUE"""),125.05)</f>
        <v>125.05</v>
      </c>
      <c r="E439" s="17"/>
      <c r="N439" s="17"/>
      <c r="Q439" s="17"/>
    </row>
    <row r="440">
      <c r="B440" s="11">
        <f>IFERROR(__xludf.DUMMYFUNCTION("""COMPUTED_VALUE"""),45384.66666666667)</f>
        <v>45384.66667</v>
      </c>
      <c r="C440" s="9">
        <f>IFERROR(__xludf.DUMMYFUNCTION("""COMPUTED_VALUE"""),124.41)</f>
        <v>124.41</v>
      </c>
      <c r="E440" s="17"/>
      <c r="N440" s="17"/>
      <c r="Q440" s="17"/>
    </row>
    <row r="441">
      <c r="B441" s="11">
        <f>IFERROR(__xludf.DUMMYFUNCTION("""COMPUTED_VALUE"""),45383.66666666667)</f>
        <v>45383.66667</v>
      </c>
      <c r="C441" s="9">
        <f>IFERROR(__xludf.DUMMYFUNCTION("""COMPUTED_VALUE"""),124.99)</f>
        <v>124.99</v>
      </c>
      <c r="E441" s="17"/>
      <c r="N441" s="17"/>
      <c r="Q441" s="17"/>
    </row>
    <row r="442">
      <c r="B442" s="11">
        <f>IFERROR(__xludf.DUMMYFUNCTION("""COMPUTED_VALUE"""),45379.66666666667)</f>
        <v>45379.66667</v>
      </c>
      <c r="C442" s="9">
        <f>IFERROR(__xludf.DUMMYFUNCTION("""COMPUTED_VALUE"""),125.96)</f>
        <v>125.96</v>
      </c>
      <c r="E442" s="17"/>
      <c r="N442" s="17"/>
      <c r="Q442" s="17"/>
    </row>
    <row r="443">
      <c r="B443" s="11">
        <f>IFERROR(__xludf.DUMMYFUNCTION("""COMPUTED_VALUE"""),45378.66666666667)</f>
        <v>45378.66667</v>
      </c>
      <c r="C443" s="9">
        <f>IFERROR(__xludf.DUMMYFUNCTION("""COMPUTED_VALUE"""),125.94)</f>
        <v>125.94</v>
      </c>
      <c r="E443" s="17"/>
      <c r="N443" s="17"/>
      <c r="Q443" s="17"/>
    </row>
    <row r="444">
      <c r="B444" s="11">
        <f>IFERROR(__xludf.DUMMYFUNCTION("""COMPUTED_VALUE"""),45377.66666666667)</f>
        <v>45377.66667</v>
      </c>
      <c r="C444" s="9">
        <f>IFERROR(__xludf.DUMMYFUNCTION("""COMPUTED_VALUE"""),123.95)</f>
        <v>123.95</v>
      </c>
      <c r="E444" s="17"/>
      <c r="N444" s="17"/>
      <c r="Q444" s="17"/>
    </row>
    <row r="445">
      <c r="B445" s="11">
        <f>IFERROR(__xludf.DUMMYFUNCTION("""COMPUTED_VALUE"""),45376.66666666667)</f>
        <v>45376.66667</v>
      </c>
      <c r="C445" s="9">
        <f>IFERROR(__xludf.DUMMYFUNCTION("""COMPUTED_VALUE"""),124.4)</f>
        <v>124.4</v>
      </c>
      <c r="E445" s="17"/>
      <c r="N445" s="17"/>
      <c r="Q445" s="17"/>
    </row>
    <row r="446">
      <c r="B446" s="11">
        <f>IFERROR(__xludf.DUMMYFUNCTION("""COMPUTED_VALUE"""),45373.66666666667)</f>
        <v>45373.66667</v>
      </c>
      <c r="C446" s="9">
        <f>IFERROR(__xludf.DUMMYFUNCTION("""COMPUTED_VALUE"""),125.21)</f>
        <v>125.21</v>
      </c>
      <c r="E446" s="17"/>
      <c r="N446" s="17"/>
      <c r="Q446" s="17"/>
    </row>
    <row r="447">
      <c r="B447" s="11">
        <f>IFERROR(__xludf.DUMMYFUNCTION("""COMPUTED_VALUE"""),45372.66666666667)</f>
        <v>45372.66667</v>
      </c>
      <c r="C447" s="9">
        <f>IFERROR(__xludf.DUMMYFUNCTION("""COMPUTED_VALUE"""),125.64)</f>
        <v>125.64</v>
      </c>
      <c r="E447" s="17"/>
      <c r="N447" s="17"/>
      <c r="Q447" s="17"/>
    </row>
    <row r="448">
      <c r="B448" s="11">
        <f>IFERROR(__xludf.DUMMYFUNCTION("""COMPUTED_VALUE"""),45371.66666666667)</f>
        <v>45371.66667</v>
      </c>
      <c r="C448" s="9">
        <f>IFERROR(__xludf.DUMMYFUNCTION("""COMPUTED_VALUE"""),124.41)</f>
        <v>124.41</v>
      </c>
      <c r="E448" s="17"/>
      <c r="N448" s="17"/>
      <c r="Q448" s="17"/>
    </row>
    <row r="449">
      <c r="B449" s="11">
        <f>IFERROR(__xludf.DUMMYFUNCTION("""COMPUTED_VALUE"""),45370.66666666667)</f>
        <v>45370.66667</v>
      </c>
      <c r="C449" s="9">
        <f>IFERROR(__xludf.DUMMYFUNCTION("""COMPUTED_VALUE"""),122.93)</f>
        <v>122.93</v>
      </c>
      <c r="E449" s="17"/>
      <c r="N449" s="17"/>
      <c r="Q449" s="17"/>
    </row>
    <row r="450">
      <c r="B450" s="11">
        <f>IFERROR(__xludf.DUMMYFUNCTION("""COMPUTED_VALUE"""),45369.66666666667)</f>
        <v>45369.66667</v>
      </c>
      <c r="C450" s="9">
        <f>IFERROR(__xludf.DUMMYFUNCTION("""COMPUTED_VALUE"""),121.88)</f>
        <v>121.88</v>
      </c>
      <c r="E450" s="17"/>
      <c r="N450" s="17"/>
      <c r="Q450" s="17"/>
    </row>
    <row r="451">
      <c r="B451" s="11">
        <f>IFERROR(__xludf.DUMMYFUNCTION("""COMPUTED_VALUE"""),45366.66666666667)</f>
        <v>45366.66667</v>
      </c>
      <c r="C451" s="9">
        <f>IFERROR(__xludf.DUMMYFUNCTION("""COMPUTED_VALUE"""),122.04)</f>
        <v>122.04</v>
      </c>
      <c r="E451" s="17"/>
      <c r="N451" s="17"/>
      <c r="Q451" s="17"/>
    </row>
    <row r="452">
      <c r="B452" s="11">
        <f>IFERROR(__xludf.DUMMYFUNCTION("""COMPUTED_VALUE"""),45365.66666666667)</f>
        <v>45365.66667</v>
      </c>
      <c r="C452" s="9">
        <f>IFERROR(__xludf.DUMMYFUNCTION("""COMPUTED_VALUE"""),122.02)</f>
        <v>122.02</v>
      </c>
      <c r="E452" s="17"/>
      <c r="N452" s="17"/>
      <c r="Q452" s="17"/>
    </row>
    <row r="453">
      <c r="B453" s="11">
        <f>IFERROR(__xludf.DUMMYFUNCTION("""COMPUTED_VALUE"""),45364.66666666667)</f>
        <v>45364.66667</v>
      </c>
      <c r="C453" s="9">
        <f>IFERROR(__xludf.DUMMYFUNCTION("""COMPUTED_VALUE"""),122.54)</f>
        <v>122.54</v>
      </c>
      <c r="E453" s="17"/>
      <c r="N453" s="17"/>
      <c r="Q453" s="17"/>
    </row>
    <row r="454">
      <c r="B454" s="11">
        <f>IFERROR(__xludf.DUMMYFUNCTION("""COMPUTED_VALUE"""),45363.66666666667)</f>
        <v>45363.66667</v>
      </c>
      <c r="C454" s="9">
        <f>IFERROR(__xludf.DUMMYFUNCTION("""COMPUTED_VALUE"""),122.21)</f>
        <v>122.21</v>
      </c>
      <c r="E454" s="17"/>
      <c r="N454" s="17"/>
      <c r="Q454" s="17"/>
    </row>
    <row r="455">
      <c r="B455" s="11">
        <f>IFERROR(__xludf.DUMMYFUNCTION("""COMPUTED_VALUE"""),45362.66666666667)</f>
        <v>45362.66667</v>
      </c>
      <c r="C455" s="9">
        <f>IFERROR(__xludf.DUMMYFUNCTION("""COMPUTED_VALUE"""),121.67)</f>
        <v>121.67</v>
      </c>
      <c r="E455" s="17"/>
      <c r="N455" s="17"/>
      <c r="Q455" s="17"/>
    </row>
    <row r="456">
      <c r="B456" s="11">
        <f>IFERROR(__xludf.DUMMYFUNCTION("""COMPUTED_VALUE"""),45359.66666666667)</f>
        <v>45359.66667</v>
      </c>
      <c r="C456" s="9">
        <f>IFERROR(__xludf.DUMMYFUNCTION("""COMPUTED_VALUE"""),122.3)</f>
        <v>122.3</v>
      </c>
      <c r="E456" s="17"/>
      <c r="N456" s="17"/>
      <c r="Q456" s="17"/>
    </row>
    <row r="457">
      <c r="B457" s="11">
        <f>IFERROR(__xludf.DUMMYFUNCTION("""COMPUTED_VALUE"""),45358.66666666667)</f>
        <v>45358.66667</v>
      </c>
      <c r="C457" s="9">
        <f>IFERROR(__xludf.DUMMYFUNCTION("""COMPUTED_VALUE"""),122.57)</f>
        <v>122.57</v>
      </c>
      <c r="E457" s="17"/>
      <c r="N457" s="17"/>
      <c r="Q457" s="17"/>
    </row>
    <row r="458">
      <c r="B458" s="11">
        <f>IFERROR(__xludf.DUMMYFUNCTION("""COMPUTED_VALUE"""),45357.66666666667)</f>
        <v>45357.66667</v>
      </c>
      <c r="C458" s="9">
        <f>IFERROR(__xludf.DUMMYFUNCTION("""COMPUTED_VALUE"""),121.59)</f>
        <v>121.59</v>
      </c>
      <c r="E458" s="17"/>
      <c r="N458" s="17"/>
      <c r="Q458" s="17"/>
    </row>
    <row r="459">
      <c r="B459" s="11">
        <f>IFERROR(__xludf.DUMMYFUNCTION("""COMPUTED_VALUE"""),45356.66666666667)</f>
        <v>45356.66667</v>
      </c>
      <c r="C459" s="9">
        <f>IFERROR(__xludf.DUMMYFUNCTION("""COMPUTED_VALUE"""),120.96)</f>
        <v>120.96</v>
      </c>
      <c r="E459" s="17"/>
      <c r="N459" s="17"/>
      <c r="Q459" s="17"/>
    </row>
    <row r="460">
      <c r="B460" s="11">
        <f>IFERROR(__xludf.DUMMYFUNCTION("""COMPUTED_VALUE"""),45355.66666666667)</f>
        <v>45355.66667</v>
      </c>
      <c r="C460" s="9">
        <f>IFERROR(__xludf.DUMMYFUNCTION("""COMPUTED_VALUE"""),121.96)</f>
        <v>121.96</v>
      </c>
      <c r="E460" s="17"/>
      <c r="N460" s="17"/>
      <c r="Q460" s="17"/>
    </row>
    <row r="461">
      <c r="B461" s="11">
        <f>IFERROR(__xludf.DUMMYFUNCTION("""COMPUTED_VALUE"""),45352.66666666667)</f>
        <v>45352.66667</v>
      </c>
      <c r="C461" s="9">
        <f>IFERROR(__xludf.DUMMYFUNCTION("""COMPUTED_VALUE"""),121.52)</f>
        <v>121.52</v>
      </c>
      <c r="E461" s="17"/>
      <c r="N461" s="17"/>
      <c r="Q461" s="17"/>
    </row>
    <row r="462">
      <c r="B462" s="11">
        <f>IFERROR(__xludf.DUMMYFUNCTION("""COMPUTED_VALUE"""),45351.66666666667)</f>
        <v>45351.66667</v>
      </c>
      <c r="C462" s="9">
        <f>IFERROR(__xludf.DUMMYFUNCTION("""COMPUTED_VALUE"""),121.0)</f>
        <v>121</v>
      </c>
      <c r="E462" s="17"/>
      <c r="N462" s="17"/>
      <c r="Q462" s="17"/>
    </row>
    <row r="463">
      <c r="B463" s="11">
        <f>IFERROR(__xludf.DUMMYFUNCTION("""COMPUTED_VALUE"""),45350.66666666667)</f>
        <v>45350.66667</v>
      </c>
      <c r="C463" s="9">
        <f>IFERROR(__xludf.DUMMYFUNCTION("""COMPUTED_VALUE"""),120.63)</f>
        <v>120.63</v>
      </c>
      <c r="E463" s="17"/>
      <c r="N463" s="17"/>
      <c r="Q463" s="17"/>
    </row>
    <row r="464">
      <c r="B464" s="11">
        <f>IFERROR(__xludf.DUMMYFUNCTION("""COMPUTED_VALUE"""),45349.66666666667)</f>
        <v>45349.66667</v>
      </c>
      <c r="C464" s="9">
        <f>IFERROR(__xludf.DUMMYFUNCTION("""COMPUTED_VALUE"""),120.22)</f>
        <v>120.22</v>
      </c>
      <c r="E464" s="17"/>
      <c r="N464" s="17"/>
      <c r="Q464" s="17"/>
    </row>
    <row r="465">
      <c r="B465" s="11">
        <f>IFERROR(__xludf.DUMMYFUNCTION("""COMPUTED_VALUE"""),45348.66666666667)</f>
        <v>45348.66667</v>
      </c>
      <c r="C465" s="9">
        <f>IFERROR(__xludf.DUMMYFUNCTION("""COMPUTED_VALUE"""),120.04)</f>
        <v>120.04</v>
      </c>
      <c r="E465" s="17"/>
      <c r="N465" s="17"/>
      <c r="Q465" s="17"/>
    </row>
    <row r="466">
      <c r="B466" s="11">
        <f>IFERROR(__xludf.DUMMYFUNCTION("""COMPUTED_VALUE"""),45345.66666666667)</f>
        <v>45345.66667</v>
      </c>
      <c r="C466" s="9">
        <f>IFERROR(__xludf.DUMMYFUNCTION("""COMPUTED_VALUE"""),120.22)</f>
        <v>120.22</v>
      </c>
      <c r="E466" s="17"/>
      <c r="N466" s="17"/>
      <c r="Q466" s="17"/>
    </row>
    <row r="467">
      <c r="B467" s="11">
        <f>IFERROR(__xludf.DUMMYFUNCTION("""COMPUTED_VALUE"""),45344.66666666667)</f>
        <v>45344.66667</v>
      </c>
      <c r="C467" s="9">
        <f>IFERROR(__xludf.DUMMYFUNCTION("""COMPUTED_VALUE"""),119.59)</f>
        <v>119.59</v>
      </c>
      <c r="E467" s="17"/>
      <c r="N467" s="17"/>
      <c r="Q467" s="17"/>
    </row>
    <row r="468">
      <c r="B468" s="11">
        <f>IFERROR(__xludf.DUMMYFUNCTION("""COMPUTED_VALUE"""),45343.66666666667)</f>
        <v>45343.66667</v>
      </c>
      <c r="C468" s="9">
        <f>IFERROR(__xludf.DUMMYFUNCTION("""COMPUTED_VALUE"""),118.13)</f>
        <v>118.13</v>
      </c>
      <c r="E468" s="17"/>
      <c r="N468" s="17"/>
      <c r="Q468" s="17"/>
    </row>
    <row r="469">
      <c r="B469" s="11">
        <f>IFERROR(__xludf.DUMMYFUNCTION("""COMPUTED_VALUE"""),45342.66666666667)</f>
        <v>45342.66667</v>
      </c>
      <c r="C469" s="9">
        <f>IFERROR(__xludf.DUMMYFUNCTION("""COMPUTED_VALUE"""),117.66)</f>
        <v>117.66</v>
      </c>
      <c r="E469" s="17"/>
      <c r="N469" s="17"/>
      <c r="Q469" s="17"/>
    </row>
    <row r="470">
      <c r="B470" s="11">
        <f>IFERROR(__xludf.DUMMYFUNCTION("""COMPUTED_VALUE"""),45338.66666666667)</f>
        <v>45338.66667</v>
      </c>
      <c r="C470" s="9">
        <f>IFERROR(__xludf.DUMMYFUNCTION("""COMPUTED_VALUE"""),118.03)</f>
        <v>118.03</v>
      </c>
      <c r="E470" s="17"/>
      <c r="N470" s="17"/>
      <c r="Q470" s="17"/>
    </row>
    <row r="471">
      <c r="B471" s="11">
        <f>IFERROR(__xludf.DUMMYFUNCTION("""COMPUTED_VALUE"""),45337.66666666667)</f>
        <v>45337.66667</v>
      </c>
      <c r="C471" s="9">
        <f>IFERROR(__xludf.DUMMYFUNCTION("""COMPUTED_VALUE"""),118.74)</f>
        <v>118.74</v>
      </c>
      <c r="E471" s="17"/>
      <c r="N471" s="17"/>
      <c r="Q471" s="17"/>
    </row>
    <row r="472">
      <c r="B472" s="11">
        <f>IFERROR(__xludf.DUMMYFUNCTION("""COMPUTED_VALUE"""),45336.66666666667)</f>
        <v>45336.66667</v>
      </c>
      <c r="C472" s="9">
        <f>IFERROR(__xludf.DUMMYFUNCTION("""COMPUTED_VALUE"""),117.86)</f>
        <v>117.86</v>
      </c>
      <c r="E472" s="17"/>
      <c r="N472" s="17"/>
      <c r="Q472" s="17"/>
    </row>
    <row r="473">
      <c r="B473" s="11">
        <f>IFERROR(__xludf.DUMMYFUNCTION("""COMPUTED_VALUE"""),45335.66666666667)</f>
        <v>45335.66667</v>
      </c>
      <c r="C473" s="9">
        <f>IFERROR(__xludf.DUMMYFUNCTION("""COMPUTED_VALUE"""),115.92)</f>
        <v>115.92</v>
      </c>
      <c r="E473" s="17"/>
      <c r="N473" s="17"/>
      <c r="Q473" s="17"/>
    </row>
    <row r="474">
      <c r="B474" s="11">
        <f>IFERROR(__xludf.DUMMYFUNCTION("""COMPUTED_VALUE"""),45334.66666666667)</f>
        <v>45334.66667</v>
      </c>
      <c r="C474" s="9">
        <f>IFERROR(__xludf.DUMMYFUNCTION("""COMPUTED_VALUE"""),117.12)</f>
        <v>117.12</v>
      </c>
      <c r="E474" s="17"/>
      <c r="N474" s="17"/>
      <c r="Q474" s="17"/>
    </row>
    <row r="475">
      <c r="B475" s="11">
        <f>IFERROR(__xludf.DUMMYFUNCTION("""COMPUTED_VALUE"""),45331.66666666667)</f>
        <v>45331.66667</v>
      </c>
      <c r="C475" s="9">
        <f>IFERROR(__xludf.DUMMYFUNCTION("""COMPUTED_VALUE"""),116.95)</f>
        <v>116.95</v>
      </c>
      <c r="E475" s="17"/>
      <c r="N475" s="17"/>
      <c r="Q475" s="17"/>
    </row>
    <row r="476">
      <c r="B476" s="11">
        <f>IFERROR(__xludf.DUMMYFUNCTION("""COMPUTED_VALUE"""),45330.66666666667)</f>
        <v>45330.66667</v>
      </c>
      <c r="C476" s="9">
        <f>IFERROR(__xludf.DUMMYFUNCTION("""COMPUTED_VALUE"""),116.77)</f>
        <v>116.77</v>
      </c>
      <c r="E476" s="17"/>
      <c r="N476" s="17"/>
      <c r="Q476" s="17"/>
    </row>
    <row r="477">
      <c r="B477" s="11">
        <f>IFERROR(__xludf.DUMMYFUNCTION("""COMPUTED_VALUE"""),45329.66666666667)</f>
        <v>45329.66667</v>
      </c>
      <c r="C477" s="9">
        <f>IFERROR(__xludf.DUMMYFUNCTION("""COMPUTED_VALUE"""),116.75)</f>
        <v>116.75</v>
      </c>
      <c r="E477" s="17"/>
      <c r="N477" s="17"/>
      <c r="Q477" s="17"/>
    </row>
    <row r="478">
      <c r="B478" s="11">
        <f>IFERROR(__xludf.DUMMYFUNCTION("""COMPUTED_VALUE"""),45328.66666666667)</f>
        <v>45328.66667</v>
      </c>
      <c r="C478" s="9">
        <f>IFERROR(__xludf.DUMMYFUNCTION("""COMPUTED_VALUE"""),115.98)</f>
        <v>115.98</v>
      </c>
      <c r="E478" s="17"/>
      <c r="N478" s="17"/>
      <c r="Q478" s="17"/>
    </row>
    <row r="479">
      <c r="B479" s="11">
        <f>IFERROR(__xludf.DUMMYFUNCTION("""COMPUTED_VALUE"""),45327.66666666667)</f>
        <v>45327.66667</v>
      </c>
      <c r="C479" s="9">
        <f>IFERROR(__xludf.DUMMYFUNCTION("""COMPUTED_VALUE"""),114.95)</f>
        <v>114.95</v>
      </c>
      <c r="E479" s="17"/>
      <c r="N479" s="17"/>
      <c r="Q479" s="17"/>
    </row>
    <row r="480">
      <c r="B480" s="11">
        <f>IFERROR(__xludf.DUMMYFUNCTION("""COMPUTED_VALUE"""),45324.66666666667)</f>
        <v>45324.66667</v>
      </c>
      <c r="C480" s="9">
        <f>IFERROR(__xludf.DUMMYFUNCTION("""COMPUTED_VALUE"""),115.58)</f>
        <v>115.58</v>
      </c>
      <c r="E480" s="17"/>
      <c r="N480" s="17"/>
      <c r="Q480" s="17"/>
    </row>
    <row r="481">
      <c r="B481" s="11">
        <f>IFERROR(__xludf.DUMMYFUNCTION("""COMPUTED_VALUE"""),45323.66666666667)</f>
        <v>45323.66667</v>
      </c>
      <c r="C481" s="9">
        <f>IFERROR(__xludf.DUMMYFUNCTION("""COMPUTED_VALUE"""),114.81)</f>
        <v>114.81</v>
      </c>
      <c r="E481" s="17"/>
      <c r="N481" s="17"/>
      <c r="Q481" s="17"/>
    </row>
    <row r="482">
      <c r="B482" s="11">
        <f>IFERROR(__xludf.DUMMYFUNCTION("""COMPUTED_VALUE"""),45322.66666666667)</f>
        <v>45322.66667</v>
      </c>
      <c r="C482" s="9">
        <f>IFERROR(__xludf.DUMMYFUNCTION("""COMPUTED_VALUE"""),112.89)</f>
        <v>112.89</v>
      </c>
      <c r="E482" s="17"/>
      <c r="N482" s="17"/>
      <c r="Q482" s="17"/>
    </row>
    <row r="483">
      <c r="B483" s="11">
        <f>IFERROR(__xludf.DUMMYFUNCTION("""COMPUTED_VALUE"""),45321.66666666667)</f>
        <v>45321.66667</v>
      </c>
      <c r="C483" s="9">
        <f>IFERROR(__xludf.DUMMYFUNCTION("""COMPUTED_VALUE"""),114.21)</f>
        <v>114.21</v>
      </c>
      <c r="E483" s="17"/>
      <c r="N483" s="17"/>
      <c r="Q483" s="17"/>
    </row>
    <row r="484">
      <c r="B484" s="11">
        <f>IFERROR(__xludf.DUMMYFUNCTION("""COMPUTED_VALUE"""),45320.66666666667)</f>
        <v>45320.66667</v>
      </c>
      <c r="C484" s="9">
        <f>IFERROR(__xludf.DUMMYFUNCTION("""COMPUTED_VALUE"""),114.17)</f>
        <v>114.17</v>
      </c>
      <c r="E484" s="17"/>
      <c r="N484" s="17"/>
      <c r="Q484" s="17"/>
    </row>
    <row r="485">
      <c r="B485" s="11">
        <f>IFERROR(__xludf.DUMMYFUNCTION("""COMPUTED_VALUE"""),45317.66666666667)</f>
        <v>45317.66667</v>
      </c>
      <c r="C485" s="9">
        <f>IFERROR(__xludf.DUMMYFUNCTION("""COMPUTED_VALUE"""),113.43)</f>
        <v>113.43</v>
      </c>
      <c r="E485" s="17"/>
      <c r="N485" s="17"/>
      <c r="Q485" s="17"/>
    </row>
    <row r="486">
      <c r="B486" s="11">
        <f>IFERROR(__xludf.DUMMYFUNCTION("""COMPUTED_VALUE"""),45316.66666666667)</f>
        <v>45316.66667</v>
      </c>
      <c r="C486" s="9">
        <f>IFERROR(__xludf.DUMMYFUNCTION("""COMPUTED_VALUE"""),113.61)</f>
        <v>113.61</v>
      </c>
      <c r="E486" s="17"/>
      <c r="N486" s="17"/>
      <c r="Q486" s="17"/>
    </row>
    <row r="487">
      <c r="B487" s="11">
        <f>IFERROR(__xludf.DUMMYFUNCTION("""COMPUTED_VALUE"""),45315.66666666667)</f>
        <v>45315.66667</v>
      </c>
      <c r="C487" s="9">
        <f>IFERROR(__xludf.DUMMYFUNCTION("""COMPUTED_VALUE"""),112.53)</f>
        <v>112.53</v>
      </c>
      <c r="E487" s="17"/>
      <c r="N487" s="17"/>
      <c r="Q487" s="17"/>
    </row>
    <row r="488">
      <c r="B488" s="11">
        <f>IFERROR(__xludf.DUMMYFUNCTION("""COMPUTED_VALUE"""),45314.66666666667)</f>
        <v>45314.66667</v>
      </c>
      <c r="C488" s="9">
        <f>IFERROR(__xludf.DUMMYFUNCTION("""COMPUTED_VALUE"""),113.23)</f>
        <v>113.23</v>
      </c>
      <c r="E488" s="17"/>
      <c r="N488" s="17"/>
      <c r="Q488" s="17"/>
    </row>
    <row r="489">
      <c r="B489" s="11">
        <f>IFERROR(__xludf.DUMMYFUNCTION("""COMPUTED_VALUE"""),45313.66666666667)</f>
        <v>45313.66667</v>
      </c>
      <c r="C489" s="9">
        <f>IFERROR(__xludf.DUMMYFUNCTION("""COMPUTED_VALUE"""),113.32)</f>
        <v>113.32</v>
      </c>
      <c r="E489" s="17"/>
      <c r="N489" s="17"/>
      <c r="Q489" s="17"/>
    </row>
    <row r="490">
      <c r="B490" s="11">
        <f>IFERROR(__xludf.DUMMYFUNCTION("""COMPUTED_VALUE"""),45310.66666666667)</f>
        <v>45310.66667</v>
      </c>
      <c r="C490" s="9">
        <f>IFERROR(__xludf.DUMMYFUNCTION("""COMPUTED_VALUE"""),112.45)</f>
        <v>112.45</v>
      </c>
      <c r="E490" s="17"/>
      <c r="N490" s="17"/>
      <c r="Q490" s="17"/>
    </row>
    <row r="491">
      <c r="B491" s="11">
        <f>IFERROR(__xludf.DUMMYFUNCTION("""COMPUTED_VALUE"""),45309.66666666667)</f>
        <v>45309.66667</v>
      </c>
      <c r="C491" s="9">
        <f>IFERROR(__xludf.DUMMYFUNCTION("""COMPUTED_VALUE"""),111.72)</f>
        <v>111.72</v>
      </c>
      <c r="E491" s="17"/>
      <c r="N491" s="17"/>
      <c r="Q491" s="17"/>
    </row>
    <row r="492">
      <c r="B492" s="11">
        <f>IFERROR(__xludf.DUMMYFUNCTION("""COMPUTED_VALUE"""),45308.66666666667)</f>
        <v>45308.66667</v>
      </c>
      <c r="C492" s="9">
        <f>IFERROR(__xludf.DUMMYFUNCTION("""COMPUTED_VALUE"""),110.23)</f>
        <v>110.23</v>
      </c>
      <c r="E492" s="17"/>
      <c r="N492" s="17"/>
      <c r="Q492" s="17"/>
    </row>
    <row r="493">
      <c r="B493" s="11">
        <f>IFERROR(__xludf.DUMMYFUNCTION("""COMPUTED_VALUE"""),45307.66666666667)</f>
        <v>45307.66667</v>
      </c>
      <c r="C493" s="9">
        <f>IFERROR(__xludf.DUMMYFUNCTION("""COMPUTED_VALUE"""),110.98)</f>
        <v>110.98</v>
      </c>
      <c r="E493" s="17"/>
      <c r="N493" s="17"/>
      <c r="Q493" s="17"/>
    </row>
    <row r="494">
      <c r="B494" s="11">
        <f>IFERROR(__xludf.DUMMYFUNCTION("""COMPUTED_VALUE"""),45303.66666666667)</f>
        <v>45303.66667</v>
      </c>
      <c r="C494" s="9">
        <f>IFERROR(__xludf.DUMMYFUNCTION("""COMPUTED_VALUE"""),112.11)</f>
        <v>112.11</v>
      </c>
      <c r="E494" s="17"/>
      <c r="N494" s="17"/>
      <c r="Q494" s="17"/>
    </row>
    <row r="495">
      <c r="B495" s="11">
        <f>IFERROR(__xludf.DUMMYFUNCTION("""COMPUTED_VALUE"""),45302.66666666667)</f>
        <v>45302.66667</v>
      </c>
      <c r="C495" s="9">
        <f>IFERROR(__xludf.DUMMYFUNCTION("""COMPUTED_VALUE"""),112.12)</f>
        <v>112.12</v>
      </c>
      <c r="E495" s="17"/>
      <c r="N495" s="17"/>
      <c r="Q495" s="17"/>
    </row>
    <row r="496">
      <c r="B496" s="11">
        <f>IFERROR(__xludf.DUMMYFUNCTION("""COMPUTED_VALUE"""),45301.66666666667)</f>
        <v>45301.66667</v>
      </c>
      <c r="C496" s="9">
        <f>IFERROR(__xludf.DUMMYFUNCTION("""COMPUTED_VALUE"""),112.38)</f>
        <v>112.38</v>
      </c>
      <c r="E496" s="17"/>
      <c r="N496" s="17"/>
      <c r="Q496" s="17"/>
    </row>
    <row r="497">
      <c r="B497" s="11">
        <f>IFERROR(__xludf.DUMMYFUNCTION("""COMPUTED_VALUE"""),45300.66666666667)</f>
        <v>45300.66667</v>
      </c>
      <c r="C497" s="9">
        <f>IFERROR(__xludf.DUMMYFUNCTION("""COMPUTED_VALUE"""),111.81)</f>
        <v>111.81</v>
      </c>
      <c r="E497" s="17"/>
      <c r="N497" s="17"/>
      <c r="Q497" s="17"/>
    </row>
    <row r="498">
      <c r="B498" s="11">
        <f>IFERROR(__xludf.DUMMYFUNCTION("""COMPUTED_VALUE"""),45299.66666666667)</f>
        <v>45299.66667</v>
      </c>
      <c r="C498" s="9">
        <f>IFERROR(__xludf.DUMMYFUNCTION("""COMPUTED_VALUE"""),112.16)</f>
        <v>112.16</v>
      </c>
      <c r="E498" s="17"/>
      <c r="N498" s="17"/>
      <c r="Q498" s="17"/>
    </row>
    <row r="499">
      <c r="B499" s="11">
        <f>IFERROR(__xludf.DUMMYFUNCTION("""COMPUTED_VALUE"""),45296.66666666667)</f>
        <v>45296.66667</v>
      </c>
      <c r="C499" s="9">
        <f>IFERROR(__xludf.DUMMYFUNCTION("""COMPUTED_VALUE"""),111.43)</f>
        <v>111.43</v>
      </c>
      <c r="E499" s="17"/>
      <c r="N499" s="17"/>
      <c r="Q499" s="17"/>
    </row>
    <row r="500">
      <c r="B500" s="11">
        <f>IFERROR(__xludf.DUMMYFUNCTION("""COMPUTED_VALUE"""),45295.66666666667)</f>
        <v>45295.66667</v>
      </c>
      <c r="C500" s="9">
        <f>IFERROR(__xludf.DUMMYFUNCTION("""COMPUTED_VALUE"""),111.3)</f>
        <v>111.3</v>
      </c>
      <c r="E500" s="17"/>
      <c r="N500" s="17"/>
      <c r="Q500" s="17"/>
    </row>
    <row r="501">
      <c r="B501" s="11">
        <f>IFERROR(__xludf.DUMMYFUNCTION("""COMPUTED_VALUE"""),45294.66666666667)</f>
        <v>45294.66667</v>
      </c>
      <c r="C501" s="9">
        <f>IFERROR(__xludf.DUMMYFUNCTION("""COMPUTED_VALUE"""),111.16)</f>
        <v>111.16</v>
      </c>
      <c r="E501" s="17"/>
      <c r="N501" s="17"/>
      <c r="Q501" s="17"/>
    </row>
    <row r="502">
      <c r="B502" s="11">
        <f>IFERROR(__xludf.DUMMYFUNCTION("""COMPUTED_VALUE"""),45293.66666666667)</f>
        <v>45293.66667</v>
      </c>
      <c r="C502" s="9">
        <f>IFERROR(__xludf.DUMMYFUNCTION("""COMPUTED_VALUE"""),112.84)</f>
        <v>112.84</v>
      </c>
      <c r="E502" s="17"/>
      <c r="N502" s="17"/>
      <c r="Q502" s="17"/>
    </row>
    <row r="503">
      <c r="B503" s="11">
        <f>IFERROR(__xludf.DUMMYFUNCTION("""COMPUTED_VALUE"""),45289.66666666667)</f>
        <v>45289.66667</v>
      </c>
      <c r="C503" s="9">
        <f>IFERROR(__xludf.DUMMYFUNCTION("""COMPUTED_VALUE"""),113.99)</f>
        <v>113.99</v>
      </c>
      <c r="E503" s="17"/>
      <c r="N503" s="17"/>
      <c r="Q503" s="17"/>
    </row>
    <row r="504">
      <c r="B504" s="11">
        <f>IFERROR(__xludf.DUMMYFUNCTION("""COMPUTED_VALUE"""),45288.66666666667)</f>
        <v>45288.66667</v>
      </c>
      <c r="C504" s="9">
        <f>IFERROR(__xludf.DUMMYFUNCTION("""COMPUTED_VALUE"""),114.13)</f>
        <v>114.13</v>
      </c>
      <c r="E504" s="17"/>
      <c r="N504" s="17"/>
      <c r="Q504" s="17"/>
    </row>
    <row r="505">
      <c r="B505" s="11">
        <f>IFERROR(__xludf.DUMMYFUNCTION("""COMPUTED_VALUE"""),45287.66666666667)</f>
        <v>45287.66667</v>
      </c>
      <c r="C505" s="9">
        <f>IFERROR(__xludf.DUMMYFUNCTION("""COMPUTED_VALUE"""),114.1)</f>
        <v>114.1</v>
      </c>
      <c r="E505" s="17"/>
      <c r="N505" s="17"/>
      <c r="Q505" s="17"/>
    </row>
    <row r="506">
      <c r="B506" s="11">
        <f>IFERROR(__xludf.DUMMYFUNCTION("""COMPUTED_VALUE"""),45286.66666666667)</f>
        <v>45286.66667</v>
      </c>
      <c r="C506" s="9">
        <f>IFERROR(__xludf.DUMMYFUNCTION("""COMPUTED_VALUE"""),113.93)</f>
        <v>113.93</v>
      </c>
      <c r="E506" s="17"/>
      <c r="N506" s="17"/>
      <c r="Q506" s="17"/>
    </row>
    <row r="507">
      <c r="B507" s="11">
        <f>IFERROR(__xludf.DUMMYFUNCTION("""COMPUTED_VALUE"""),45282.66666666667)</f>
        <v>45282.66667</v>
      </c>
      <c r="C507" s="9">
        <f>IFERROR(__xludf.DUMMYFUNCTION("""COMPUTED_VALUE"""),113.13)</f>
        <v>113.13</v>
      </c>
      <c r="E507" s="17"/>
      <c r="N507" s="17"/>
      <c r="Q507" s="17"/>
    </row>
    <row r="508">
      <c r="B508" s="11">
        <f>IFERROR(__xludf.DUMMYFUNCTION("""COMPUTED_VALUE"""),45281.66666666667)</f>
        <v>45281.66667</v>
      </c>
      <c r="C508" s="9">
        <f>IFERROR(__xludf.DUMMYFUNCTION("""COMPUTED_VALUE"""),112.59)</f>
        <v>112.59</v>
      </c>
      <c r="E508" s="17"/>
      <c r="N508" s="17"/>
      <c r="Q508" s="17"/>
    </row>
    <row r="509">
      <c r="B509" s="11">
        <f>IFERROR(__xludf.DUMMYFUNCTION("""COMPUTED_VALUE"""),45280.66666666667)</f>
        <v>45280.66667</v>
      </c>
      <c r="C509" s="9">
        <f>IFERROR(__xludf.DUMMYFUNCTION("""COMPUTED_VALUE"""),111.44)</f>
        <v>111.44</v>
      </c>
      <c r="E509" s="17"/>
      <c r="N509" s="17"/>
      <c r="Q509" s="17"/>
    </row>
    <row r="510">
      <c r="B510" s="11">
        <f>IFERROR(__xludf.DUMMYFUNCTION("""COMPUTED_VALUE"""),45279.66666666667)</f>
        <v>45279.66667</v>
      </c>
      <c r="C510" s="9">
        <f>IFERROR(__xludf.DUMMYFUNCTION("""COMPUTED_VALUE"""),113.27)</f>
        <v>113.27</v>
      </c>
      <c r="E510" s="17"/>
      <c r="N510" s="17"/>
      <c r="Q510" s="17"/>
    </row>
    <row r="511">
      <c r="B511" s="11">
        <f>IFERROR(__xludf.DUMMYFUNCTION("""COMPUTED_VALUE"""),45278.66666666667)</f>
        <v>45278.66667</v>
      </c>
      <c r="C511" s="9">
        <f>IFERROR(__xludf.DUMMYFUNCTION("""COMPUTED_VALUE"""),112.4)</f>
        <v>112.4</v>
      </c>
      <c r="E511" s="17"/>
      <c r="N511" s="17"/>
      <c r="Q511" s="17"/>
    </row>
    <row r="512">
      <c r="B512" s="11">
        <f>IFERROR(__xludf.DUMMYFUNCTION("""COMPUTED_VALUE"""),45275.66666666667)</f>
        <v>45275.66667</v>
      </c>
      <c r="C512" s="9">
        <f>IFERROR(__xludf.DUMMYFUNCTION("""COMPUTED_VALUE"""),113.02)</f>
        <v>113.02</v>
      </c>
      <c r="E512" s="17"/>
      <c r="N512" s="17"/>
      <c r="Q512" s="17"/>
    </row>
    <row r="513">
      <c r="B513" s="11">
        <f>IFERROR(__xludf.DUMMYFUNCTION("""COMPUTED_VALUE"""),45274.66666666667)</f>
        <v>45274.66667</v>
      </c>
      <c r="C513" s="9">
        <f>IFERROR(__xludf.DUMMYFUNCTION("""COMPUTED_VALUE"""),113.17)</f>
        <v>113.17</v>
      </c>
      <c r="E513" s="17"/>
      <c r="N513" s="17"/>
      <c r="Q513" s="17"/>
    </row>
    <row r="514">
      <c r="B514" s="11">
        <f>IFERROR(__xludf.DUMMYFUNCTION("""COMPUTED_VALUE"""),45273.66666666667)</f>
        <v>45273.66667</v>
      </c>
      <c r="C514" s="9">
        <f>IFERROR(__xludf.DUMMYFUNCTION("""COMPUTED_VALUE"""),111.73)</f>
        <v>111.73</v>
      </c>
      <c r="E514" s="17"/>
      <c r="N514" s="17"/>
      <c r="Q514" s="17"/>
    </row>
    <row r="515">
      <c r="B515" s="11">
        <f>IFERROR(__xludf.DUMMYFUNCTION("""COMPUTED_VALUE"""),45272.66666666667)</f>
        <v>45272.66667</v>
      </c>
      <c r="C515" s="9">
        <f>IFERROR(__xludf.DUMMYFUNCTION("""COMPUTED_VALUE"""),110.5)</f>
        <v>110.5</v>
      </c>
      <c r="E515" s="17"/>
      <c r="N515" s="17"/>
      <c r="Q515" s="17"/>
    </row>
    <row r="516">
      <c r="B516" s="11">
        <f>IFERROR(__xludf.DUMMYFUNCTION("""COMPUTED_VALUE"""),45271.66666666667)</f>
        <v>45271.66667</v>
      </c>
      <c r="C516" s="9">
        <f>IFERROR(__xludf.DUMMYFUNCTION("""COMPUTED_VALUE"""),110.0)</f>
        <v>110</v>
      </c>
      <c r="E516" s="17"/>
      <c r="N516" s="17"/>
      <c r="Q516" s="17"/>
    </row>
    <row r="517">
      <c r="B517" s="11">
        <f>IFERROR(__xludf.DUMMYFUNCTION("""COMPUTED_VALUE"""),45268.66666666667)</f>
        <v>45268.66667</v>
      </c>
      <c r="C517" s="9">
        <f>IFERROR(__xludf.DUMMYFUNCTION("""COMPUTED_VALUE"""),108.96)</f>
        <v>108.96</v>
      </c>
      <c r="E517" s="17"/>
      <c r="N517" s="17"/>
      <c r="Q517" s="17"/>
    </row>
    <row r="518">
      <c r="B518" s="11">
        <f>IFERROR(__xludf.DUMMYFUNCTION("""COMPUTED_VALUE"""),45267.66666666667)</f>
        <v>45267.66667</v>
      </c>
      <c r="C518" s="9">
        <f>IFERROR(__xludf.DUMMYFUNCTION("""COMPUTED_VALUE"""),108.62)</f>
        <v>108.62</v>
      </c>
      <c r="E518" s="17"/>
      <c r="N518" s="17"/>
      <c r="Q518" s="17"/>
    </row>
    <row r="519">
      <c r="B519" s="11">
        <f>IFERROR(__xludf.DUMMYFUNCTION("""COMPUTED_VALUE"""),45266.66666666667)</f>
        <v>45266.66667</v>
      </c>
      <c r="C519" s="9">
        <f>IFERROR(__xludf.DUMMYFUNCTION("""COMPUTED_VALUE"""),108.52)</f>
        <v>108.52</v>
      </c>
      <c r="E519" s="17"/>
      <c r="N519" s="17"/>
      <c r="Q519" s="17"/>
    </row>
    <row r="520">
      <c r="B520" s="11">
        <f>IFERROR(__xludf.DUMMYFUNCTION("""COMPUTED_VALUE"""),45265.66666666667)</f>
        <v>45265.66667</v>
      </c>
      <c r="C520" s="9">
        <f>IFERROR(__xludf.DUMMYFUNCTION("""COMPUTED_VALUE"""),108.04)</f>
        <v>108.04</v>
      </c>
      <c r="E520" s="17"/>
      <c r="N520" s="17"/>
      <c r="Q520" s="17"/>
    </row>
    <row r="521">
      <c r="B521" s="11">
        <f>IFERROR(__xludf.DUMMYFUNCTION("""COMPUTED_VALUE"""),45264.66666666667)</f>
        <v>45264.66667</v>
      </c>
      <c r="C521" s="9">
        <f>IFERROR(__xludf.DUMMYFUNCTION("""COMPUTED_VALUE"""),108.92)</f>
        <v>108.92</v>
      </c>
      <c r="E521" s="17"/>
      <c r="N521" s="17"/>
      <c r="Q521" s="17"/>
    </row>
    <row r="522">
      <c r="B522" s="11">
        <f>IFERROR(__xludf.DUMMYFUNCTION("""COMPUTED_VALUE"""),45261.66666666667)</f>
        <v>45261.66667</v>
      </c>
      <c r="C522" s="9">
        <f>IFERROR(__xludf.DUMMYFUNCTION("""COMPUTED_VALUE"""),108.74)</f>
        <v>108.74</v>
      </c>
      <c r="E522" s="17"/>
      <c r="N522" s="17"/>
      <c r="Q522" s="17"/>
    </row>
    <row r="523">
      <c r="B523" s="11">
        <f>IFERROR(__xludf.DUMMYFUNCTION("""COMPUTED_VALUE"""),45260.66666666667)</f>
        <v>45260.66667</v>
      </c>
      <c r="C523" s="9">
        <f>IFERROR(__xludf.DUMMYFUNCTION("""COMPUTED_VALUE"""),107.05)</f>
        <v>107.05</v>
      </c>
      <c r="E523" s="17"/>
      <c r="N523" s="17"/>
      <c r="Q523" s="17"/>
    </row>
    <row r="524">
      <c r="B524" s="11">
        <f>IFERROR(__xludf.DUMMYFUNCTION("""COMPUTED_VALUE"""),45259.66666666667)</f>
        <v>45259.66667</v>
      </c>
      <c r="C524" s="9">
        <f>IFERROR(__xludf.DUMMYFUNCTION("""COMPUTED_VALUE"""),105.89)</f>
        <v>105.89</v>
      </c>
      <c r="E524" s="17"/>
      <c r="N524" s="17"/>
      <c r="Q524" s="17"/>
    </row>
    <row r="525">
      <c r="B525" s="11">
        <f>IFERROR(__xludf.DUMMYFUNCTION("""COMPUTED_VALUE"""),45258.66666666667)</f>
        <v>45258.66667</v>
      </c>
      <c r="C525" s="9">
        <f>IFERROR(__xludf.DUMMYFUNCTION("""COMPUTED_VALUE"""),105.49)</f>
        <v>105.49</v>
      </c>
      <c r="E525" s="17"/>
      <c r="N525" s="17"/>
      <c r="Q525" s="17"/>
    </row>
    <row r="526">
      <c r="B526" s="11">
        <f>IFERROR(__xludf.DUMMYFUNCTION("""COMPUTED_VALUE"""),45257.66666666667)</f>
        <v>45257.66667</v>
      </c>
      <c r="C526" s="9">
        <f>IFERROR(__xludf.DUMMYFUNCTION("""COMPUTED_VALUE"""),105.74)</f>
        <v>105.74</v>
      </c>
      <c r="E526" s="17"/>
      <c r="N526" s="17"/>
      <c r="Q526" s="17"/>
    </row>
    <row r="527">
      <c r="B527" s="11">
        <f>IFERROR(__xludf.DUMMYFUNCTION("""COMPUTED_VALUE"""),45254.55208333333)</f>
        <v>45254.55208</v>
      </c>
      <c r="C527" s="9">
        <f>IFERROR(__xludf.DUMMYFUNCTION("""COMPUTED_VALUE"""),106.34)</f>
        <v>106.34</v>
      </c>
      <c r="E527" s="17"/>
      <c r="N527" s="17"/>
      <c r="Q527" s="17"/>
    </row>
    <row r="528">
      <c r="B528" s="11">
        <f>IFERROR(__xludf.DUMMYFUNCTION("""COMPUTED_VALUE"""),45252.66666666667)</f>
        <v>45252.66667</v>
      </c>
      <c r="C528" s="9">
        <f>IFERROR(__xludf.DUMMYFUNCTION("""COMPUTED_VALUE"""),106.08)</f>
        <v>106.08</v>
      </c>
      <c r="E528" s="17"/>
      <c r="N528" s="17"/>
      <c r="Q528" s="17"/>
    </row>
    <row r="529">
      <c r="B529" s="11">
        <f>IFERROR(__xludf.DUMMYFUNCTION("""COMPUTED_VALUE"""),45251.66666666667)</f>
        <v>45251.66667</v>
      </c>
      <c r="C529" s="9">
        <f>IFERROR(__xludf.DUMMYFUNCTION("""COMPUTED_VALUE"""),105.85)</f>
        <v>105.85</v>
      </c>
      <c r="E529" s="17"/>
      <c r="N529" s="17"/>
      <c r="Q529" s="17"/>
    </row>
    <row r="530">
      <c r="B530" s="11">
        <f>IFERROR(__xludf.DUMMYFUNCTION("""COMPUTED_VALUE"""),45250.66666666667)</f>
        <v>45250.66667</v>
      </c>
      <c r="C530" s="9">
        <f>IFERROR(__xludf.DUMMYFUNCTION("""COMPUTED_VALUE"""),105.93)</f>
        <v>105.93</v>
      </c>
      <c r="E530" s="17"/>
      <c r="N530" s="17"/>
      <c r="Q530" s="17"/>
    </row>
    <row r="531">
      <c r="B531" s="11">
        <f>IFERROR(__xludf.DUMMYFUNCTION("""COMPUTED_VALUE"""),45247.66666666667)</f>
        <v>45247.66667</v>
      </c>
      <c r="C531" s="9">
        <f>IFERROR(__xludf.DUMMYFUNCTION("""COMPUTED_VALUE"""),105.61)</f>
        <v>105.61</v>
      </c>
      <c r="E531" s="17"/>
      <c r="N531" s="17"/>
      <c r="Q531" s="17"/>
    </row>
    <row r="532">
      <c r="B532" s="11">
        <f>IFERROR(__xludf.DUMMYFUNCTION("""COMPUTED_VALUE"""),45246.66666666667)</f>
        <v>45246.66667</v>
      </c>
      <c r="C532" s="9">
        <f>IFERROR(__xludf.DUMMYFUNCTION("""COMPUTED_VALUE"""),104.94)</f>
        <v>104.94</v>
      </c>
      <c r="E532" s="17"/>
      <c r="N532" s="17"/>
      <c r="Q532" s="17"/>
    </row>
    <row r="533">
      <c r="B533" s="11">
        <f>IFERROR(__xludf.DUMMYFUNCTION("""COMPUTED_VALUE"""),45245.66666666667)</f>
        <v>45245.66667</v>
      </c>
      <c r="C533" s="9">
        <f>IFERROR(__xludf.DUMMYFUNCTION("""COMPUTED_VALUE"""),104.92)</f>
        <v>104.92</v>
      </c>
      <c r="E533" s="17"/>
      <c r="N533" s="17"/>
      <c r="Q533" s="17"/>
    </row>
    <row r="534">
      <c r="B534" s="11">
        <f>IFERROR(__xludf.DUMMYFUNCTION("""COMPUTED_VALUE"""),45244.66666666667)</f>
        <v>45244.66667</v>
      </c>
      <c r="C534" s="9">
        <f>IFERROR(__xludf.DUMMYFUNCTION("""COMPUTED_VALUE"""),104.7)</f>
        <v>104.7</v>
      </c>
      <c r="E534" s="17"/>
      <c r="N534" s="17"/>
      <c r="Q534" s="17"/>
    </row>
    <row r="535">
      <c r="B535" s="11">
        <f>IFERROR(__xludf.DUMMYFUNCTION("""COMPUTED_VALUE"""),45243.66666666667)</f>
        <v>45243.66667</v>
      </c>
      <c r="C535" s="9">
        <f>IFERROR(__xludf.DUMMYFUNCTION("""COMPUTED_VALUE"""),102.64)</f>
        <v>102.64</v>
      </c>
      <c r="E535" s="17"/>
      <c r="N535" s="17"/>
      <c r="Q535" s="17"/>
    </row>
    <row r="536">
      <c r="B536" s="11">
        <f>IFERROR(__xludf.DUMMYFUNCTION("""COMPUTED_VALUE"""),45240.66666666667)</f>
        <v>45240.66667</v>
      </c>
      <c r="C536" s="9">
        <f>IFERROR(__xludf.DUMMYFUNCTION("""COMPUTED_VALUE"""),102.55)</f>
        <v>102.55</v>
      </c>
      <c r="E536" s="17"/>
      <c r="N536" s="17"/>
      <c r="Q536" s="17"/>
    </row>
    <row r="537">
      <c r="B537" s="11">
        <f>IFERROR(__xludf.DUMMYFUNCTION("""COMPUTED_VALUE"""),45239.66666666667)</f>
        <v>45239.66667</v>
      </c>
      <c r="C537" s="9">
        <f>IFERROR(__xludf.DUMMYFUNCTION("""COMPUTED_VALUE"""),101.09)</f>
        <v>101.09</v>
      </c>
      <c r="E537" s="17"/>
      <c r="N537" s="17"/>
      <c r="Q537" s="17"/>
    </row>
    <row r="538">
      <c r="B538" s="11">
        <f>IFERROR(__xludf.DUMMYFUNCTION("""COMPUTED_VALUE"""),45238.66666666667)</f>
        <v>45238.66667</v>
      </c>
      <c r="C538" s="9">
        <f>IFERROR(__xludf.DUMMYFUNCTION("""COMPUTED_VALUE"""),101.31)</f>
        <v>101.31</v>
      </c>
      <c r="E538" s="17"/>
      <c r="N538" s="17"/>
      <c r="Q538" s="17"/>
    </row>
    <row r="539">
      <c r="B539" s="11">
        <f>IFERROR(__xludf.DUMMYFUNCTION("""COMPUTED_VALUE"""),45237.66666666667)</f>
        <v>45237.66667</v>
      </c>
      <c r="C539" s="9">
        <f>IFERROR(__xludf.DUMMYFUNCTION("""COMPUTED_VALUE"""),101.08)</f>
        <v>101.08</v>
      </c>
      <c r="E539" s="17"/>
      <c r="N539" s="17"/>
      <c r="Q539" s="17"/>
    </row>
    <row r="540">
      <c r="B540" s="11">
        <f>IFERROR(__xludf.DUMMYFUNCTION("""COMPUTED_VALUE"""),45236.66666666667)</f>
        <v>45236.66667</v>
      </c>
      <c r="C540" s="9">
        <f>IFERROR(__xludf.DUMMYFUNCTION("""COMPUTED_VALUE"""),101.33)</f>
        <v>101.33</v>
      </c>
      <c r="E540" s="17"/>
      <c r="N540" s="17"/>
      <c r="Q540" s="17"/>
    </row>
    <row r="541">
      <c r="B541" s="11">
        <f>IFERROR(__xludf.DUMMYFUNCTION("""COMPUTED_VALUE"""),45233.66666666667)</f>
        <v>45233.66667</v>
      </c>
      <c r="C541" s="9">
        <f>IFERROR(__xludf.DUMMYFUNCTION("""COMPUTED_VALUE"""),101.6)</f>
        <v>101.6</v>
      </c>
      <c r="E541" s="17"/>
      <c r="N541" s="17"/>
      <c r="Q541" s="17"/>
    </row>
    <row r="542">
      <c r="B542" s="11">
        <f>IFERROR(__xludf.DUMMYFUNCTION("""COMPUTED_VALUE"""),45232.66666666667)</f>
        <v>45232.66667</v>
      </c>
      <c r="C542" s="9">
        <f>IFERROR(__xludf.DUMMYFUNCTION("""COMPUTED_VALUE"""),100.71)</f>
        <v>100.71</v>
      </c>
      <c r="E542" s="17"/>
      <c r="N542" s="17"/>
      <c r="Q542" s="17"/>
    </row>
    <row r="543">
      <c r="B543" s="11">
        <f>IFERROR(__xludf.DUMMYFUNCTION("""COMPUTED_VALUE"""),45231.66666666667)</f>
        <v>45231.66667</v>
      </c>
      <c r="C543" s="9">
        <f>IFERROR(__xludf.DUMMYFUNCTION("""COMPUTED_VALUE"""),98.68)</f>
        <v>98.68</v>
      </c>
      <c r="E543" s="17"/>
      <c r="N543" s="17"/>
      <c r="Q543" s="17"/>
    </row>
    <row r="544">
      <c r="B544" s="11">
        <f>IFERROR(__xludf.DUMMYFUNCTION("""COMPUTED_VALUE"""),45230.66666666667)</f>
        <v>45230.66667</v>
      </c>
      <c r="C544" s="9">
        <f>IFERROR(__xludf.DUMMYFUNCTION("""COMPUTED_VALUE"""),98.36)</f>
        <v>98.36</v>
      </c>
      <c r="E544" s="17"/>
      <c r="N544" s="17"/>
      <c r="Q544" s="17"/>
    </row>
    <row r="545">
      <c r="B545" s="11">
        <f>IFERROR(__xludf.DUMMYFUNCTION("""COMPUTED_VALUE"""),45229.66666666667)</f>
        <v>45229.66667</v>
      </c>
      <c r="C545" s="9">
        <f>IFERROR(__xludf.DUMMYFUNCTION("""COMPUTED_VALUE"""),97.64)</f>
        <v>97.64</v>
      </c>
      <c r="E545" s="17"/>
      <c r="N545" s="17"/>
      <c r="Q545" s="17"/>
    </row>
    <row r="546">
      <c r="B546" s="11">
        <f>IFERROR(__xludf.DUMMYFUNCTION("""COMPUTED_VALUE"""),45226.66666666667)</f>
        <v>45226.66667</v>
      </c>
      <c r="C546" s="9">
        <f>IFERROR(__xludf.DUMMYFUNCTION("""COMPUTED_VALUE"""),96.44)</f>
        <v>96.44</v>
      </c>
      <c r="E546" s="17"/>
      <c r="N546" s="17"/>
      <c r="Q546" s="17"/>
    </row>
    <row r="547">
      <c r="B547" s="11">
        <f>IFERROR(__xludf.DUMMYFUNCTION("""COMPUTED_VALUE"""),45225.66666666667)</f>
        <v>45225.66667</v>
      </c>
      <c r="C547" s="9">
        <f>IFERROR(__xludf.DUMMYFUNCTION("""COMPUTED_VALUE"""),97.3)</f>
        <v>97.3</v>
      </c>
      <c r="E547" s="17"/>
      <c r="N547" s="17"/>
      <c r="Q547" s="17"/>
    </row>
    <row r="548">
      <c r="B548" s="11">
        <f>IFERROR(__xludf.DUMMYFUNCTION("""COMPUTED_VALUE"""),45224.66666666667)</f>
        <v>45224.66667</v>
      </c>
      <c r="C548" s="9">
        <f>IFERROR(__xludf.DUMMYFUNCTION("""COMPUTED_VALUE"""),97.71)</f>
        <v>97.71</v>
      </c>
      <c r="E548" s="17"/>
      <c r="N548" s="17"/>
      <c r="Q548" s="17"/>
    </row>
    <row r="549">
      <c r="B549" s="11">
        <f>IFERROR(__xludf.DUMMYFUNCTION("""COMPUTED_VALUE"""),45223.66666666667)</f>
        <v>45223.66667</v>
      </c>
      <c r="C549" s="9">
        <f>IFERROR(__xludf.DUMMYFUNCTION("""COMPUTED_VALUE"""),98.98)</f>
        <v>98.98</v>
      </c>
      <c r="E549" s="17"/>
      <c r="N549" s="17"/>
      <c r="Q549" s="17"/>
    </row>
    <row r="550">
      <c r="B550" s="11">
        <f>IFERROR(__xludf.DUMMYFUNCTION("""COMPUTED_VALUE"""),45222.66666666667)</f>
        <v>45222.66667</v>
      </c>
      <c r="C550" s="9">
        <f>IFERROR(__xludf.DUMMYFUNCTION("""COMPUTED_VALUE"""),98.24)</f>
        <v>98.24</v>
      </c>
      <c r="E550" s="17"/>
      <c r="N550" s="17"/>
      <c r="Q550" s="17"/>
    </row>
    <row r="551">
      <c r="B551" s="11">
        <f>IFERROR(__xludf.DUMMYFUNCTION("""COMPUTED_VALUE"""),45219.66666666667)</f>
        <v>45219.66667</v>
      </c>
      <c r="C551" s="9">
        <f>IFERROR(__xludf.DUMMYFUNCTION("""COMPUTED_VALUE"""),98.7)</f>
        <v>98.7</v>
      </c>
      <c r="E551" s="17"/>
      <c r="N551" s="17"/>
      <c r="Q551" s="17"/>
    </row>
    <row r="552">
      <c r="B552" s="11">
        <f>IFERROR(__xludf.DUMMYFUNCTION("""COMPUTED_VALUE"""),45218.66666666667)</f>
        <v>45218.66667</v>
      </c>
      <c r="C552" s="9">
        <f>IFERROR(__xludf.DUMMYFUNCTION("""COMPUTED_VALUE"""),99.73)</f>
        <v>99.73</v>
      </c>
      <c r="E552" s="17"/>
      <c r="N552" s="17"/>
      <c r="Q552" s="17"/>
    </row>
    <row r="553">
      <c r="B553" s="11">
        <f>IFERROR(__xludf.DUMMYFUNCTION("""COMPUTED_VALUE"""),45217.66666666667)</f>
        <v>45217.66667</v>
      </c>
      <c r="C553" s="9">
        <f>IFERROR(__xludf.DUMMYFUNCTION("""COMPUTED_VALUE"""),100.66)</f>
        <v>100.66</v>
      </c>
      <c r="E553" s="17"/>
      <c r="N553" s="17"/>
      <c r="Q553" s="17"/>
    </row>
    <row r="554">
      <c r="B554" s="11">
        <f>IFERROR(__xludf.DUMMYFUNCTION("""COMPUTED_VALUE"""),45216.66666666667)</f>
        <v>45216.66667</v>
      </c>
      <c r="C554" s="9">
        <f>IFERROR(__xludf.DUMMYFUNCTION("""COMPUTED_VALUE"""),103.15)</f>
        <v>103.15</v>
      </c>
      <c r="E554" s="17"/>
      <c r="N554" s="17"/>
      <c r="Q554" s="17"/>
    </row>
    <row r="555">
      <c r="B555" s="11">
        <f>IFERROR(__xludf.DUMMYFUNCTION("""COMPUTED_VALUE"""),45215.66666666667)</f>
        <v>45215.66667</v>
      </c>
      <c r="C555" s="9">
        <f>IFERROR(__xludf.DUMMYFUNCTION("""COMPUTED_VALUE"""),102.83)</f>
        <v>102.83</v>
      </c>
      <c r="E555" s="17"/>
      <c r="N555" s="17"/>
      <c r="Q555" s="17"/>
    </row>
    <row r="556">
      <c r="B556" s="11">
        <f>IFERROR(__xludf.DUMMYFUNCTION("""COMPUTED_VALUE"""),45212.66666666667)</f>
        <v>45212.66667</v>
      </c>
      <c r="C556" s="9">
        <f>IFERROR(__xludf.DUMMYFUNCTION("""COMPUTED_VALUE"""),101.75)</f>
        <v>101.75</v>
      </c>
      <c r="E556" s="17"/>
      <c r="N556" s="17"/>
      <c r="Q556" s="17"/>
    </row>
    <row r="557">
      <c r="B557" s="11">
        <f>IFERROR(__xludf.DUMMYFUNCTION("""COMPUTED_VALUE"""),45211.66666666667)</f>
        <v>45211.66667</v>
      </c>
      <c r="C557" s="9">
        <f>IFERROR(__xludf.DUMMYFUNCTION("""COMPUTED_VALUE"""),102.66)</f>
        <v>102.66</v>
      </c>
      <c r="E557" s="17"/>
      <c r="N557" s="17"/>
      <c r="Q557" s="17"/>
    </row>
    <row r="558">
      <c r="B558" s="11">
        <f>IFERROR(__xludf.DUMMYFUNCTION("""COMPUTED_VALUE"""),45210.66666666667)</f>
        <v>45210.66667</v>
      </c>
      <c r="C558" s="9">
        <f>IFERROR(__xludf.DUMMYFUNCTION("""COMPUTED_VALUE"""),103.6)</f>
        <v>103.6</v>
      </c>
      <c r="E558" s="17"/>
      <c r="N558" s="17"/>
      <c r="Q558" s="17"/>
    </row>
    <row r="559">
      <c r="B559" s="11">
        <f>IFERROR(__xludf.DUMMYFUNCTION("""COMPUTED_VALUE"""),45209.66666666667)</f>
        <v>45209.66667</v>
      </c>
      <c r="C559" s="9">
        <f>IFERROR(__xludf.DUMMYFUNCTION("""COMPUTED_VALUE"""),102.98)</f>
        <v>102.98</v>
      </c>
      <c r="E559" s="17"/>
      <c r="N559" s="17"/>
      <c r="Q559" s="17"/>
    </row>
    <row r="560">
      <c r="B560" s="11">
        <f>IFERROR(__xludf.DUMMYFUNCTION("""COMPUTED_VALUE"""),45208.66666666667)</f>
        <v>45208.66667</v>
      </c>
      <c r="C560" s="9">
        <f>IFERROR(__xludf.DUMMYFUNCTION("""COMPUTED_VALUE"""),102.36)</f>
        <v>102.36</v>
      </c>
      <c r="E560" s="17"/>
      <c r="N560" s="17"/>
      <c r="Q560" s="17"/>
    </row>
    <row r="561">
      <c r="B561" s="11">
        <f>IFERROR(__xludf.DUMMYFUNCTION("""COMPUTED_VALUE"""),45205.66666666667)</f>
        <v>45205.66667</v>
      </c>
      <c r="C561" s="9">
        <f>IFERROR(__xludf.DUMMYFUNCTION("""COMPUTED_VALUE"""),100.78)</f>
        <v>100.78</v>
      </c>
      <c r="E561" s="17"/>
      <c r="N561" s="17"/>
      <c r="Q561" s="17"/>
    </row>
    <row r="562">
      <c r="B562" s="11">
        <f>IFERROR(__xludf.DUMMYFUNCTION("""COMPUTED_VALUE"""),45204.66666666667)</f>
        <v>45204.66667</v>
      </c>
      <c r="C562" s="9">
        <f>IFERROR(__xludf.DUMMYFUNCTION("""COMPUTED_VALUE"""),99.42)</f>
        <v>99.42</v>
      </c>
      <c r="E562" s="17"/>
      <c r="N562" s="17"/>
      <c r="Q562" s="17"/>
    </row>
    <row r="563">
      <c r="B563" s="11">
        <f>IFERROR(__xludf.DUMMYFUNCTION("""COMPUTED_VALUE"""),45203.66666666667)</f>
        <v>45203.66667</v>
      </c>
      <c r="C563" s="9">
        <f>IFERROR(__xludf.DUMMYFUNCTION("""COMPUTED_VALUE"""),100.01)</f>
        <v>100.01</v>
      </c>
      <c r="E563" s="17"/>
      <c r="N563" s="17"/>
      <c r="Q563" s="17"/>
    </row>
    <row r="564">
      <c r="B564" s="11">
        <f>IFERROR(__xludf.DUMMYFUNCTION("""COMPUTED_VALUE"""),45202.66666666667)</f>
        <v>45202.66667</v>
      </c>
      <c r="C564" s="9">
        <f>IFERROR(__xludf.DUMMYFUNCTION("""COMPUTED_VALUE"""),99.69)</f>
        <v>99.69</v>
      </c>
      <c r="E564" s="17"/>
      <c r="N564" s="17"/>
      <c r="Q564" s="17"/>
    </row>
    <row r="565">
      <c r="B565" s="11">
        <f>IFERROR(__xludf.DUMMYFUNCTION("""COMPUTED_VALUE"""),45201.66666666667)</f>
        <v>45201.66667</v>
      </c>
      <c r="C565" s="9">
        <f>IFERROR(__xludf.DUMMYFUNCTION("""COMPUTED_VALUE"""),100.39)</f>
        <v>100.39</v>
      </c>
      <c r="E565" s="17"/>
      <c r="N565" s="17"/>
      <c r="Q565" s="17"/>
    </row>
    <row r="566">
      <c r="B566" s="11">
        <f>IFERROR(__xludf.DUMMYFUNCTION("""COMPUTED_VALUE"""),45198.66666666667)</f>
        <v>45198.66667</v>
      </c>
      <c r="C566" s="9">
        <f>IFERROR(__xludf.DUMMYFUNCTION("""COMPUTED_VALUE"""),101.38)</f>
        <v>101.38</v>
      </c>
      <c r="E566" s="17"/>
      <c r="N566" s="17"/>
      <c r="Q566" s="17"/>
    </row>
    <row r="567">
      <c r="B567" s="11">
        <f>IFERROR(__xludf.DUMMYFUNCTION("""COMPUTED_VALUE"""),45197.66666666667)</f>
        <v>45197.66667</v>
      </c>
      <c r="C567" s="9">
        <f>IFERROR(__xludf.DUMMYFUNCTION("""COMPUTED_VALUE"""),101.92)</f>
        <v>101.92</v>
      </c>
      <c r="E567" s="17"/>
      <c r="N567" s="17"/>
      <c r="Q567" s="17"/>
    </row>
    <row r="568">
      <c r="B568" s="11">
        <f>IFERROR(__xludf.DUMMYFUNCTION("""COMPUTED_VALUE"""),45196.66666666667)</f>
        <v>45196.66667</v>
      </c>
      <c r="C568" s="9">
        <f>IFERROR(__xludf.DUMMYFUNCTION("""COMPUTED_VALUE"""),101.49)</f>
        <v>101.49</v>
      </c>
      <c r="E568" s="17"/>
      <c r="N568" s="17"/>
      <c r="Q568" s="17"/>
    </row>
    <row r="569">
      <c r="B569" s="11">
        <f>IFERROR(__xludf.DUMMYFUNCTION("""COMPUTED_VALUE"""),45195.66666666667)</f>
        <v>45195.66667</v>
      </c>
      <c r="C569" s="9">
        <f>IFERROR(__xludf.DUMMYFUNCTION("""COMPUTED_VALUE"""),100.74)</f>
        <v>100.74</v>
      </c>
      <c r="E569" s="17"/>
      <c r="N569" s="17"/>
      <c r="Q569" s="17"/>
    </row>
    <row r="570">
      <c r="B570" s="11">
        <f>IFERROR(__xludf.DUMMYFUNCTION("""COMPUTED_VALUE"""),45194.66666666667)</f>
        <v>45194.66667</v>
      </c>
      <c r="C570" s="9">
        <f>IFERROR(__xludf.DUMMYFUNCTION("""COMPUTED_VALUE"""),102.3)</f>
        <v>102.3</v>
      </c>
      <c r="E570" s="17"/>
      <c r="N570" s="17"/>
      <c r="Q570" s="17"/>
    </row>
    <row r="571">
      <c r="B571" s="11">
        <f>IFERROR(__xludf.DUMMYFUNCTION("""COMPUTED_VALUE"""),45191.66666666667)</f>
        <v>45191.66667</v>
      </c>
      <c r="C571" s="9">
        <f>IFERROR(__xludf.DUMMYFUNCTION("""COMPUTED_VALUE"""),101.79)</f>
        <v>101.79</v>
      </c>
      <c r="E571" s="17"/>
      <c r="N571" s="17"/>
      <c r="Q571" s="17"/>
    </row>
    <row r="572">
      <c r="B572" s="11">
        <f>IFERROR(__xludf.DUMMYFUNCTION("""COMPUTED_VALUE"""),45190.66666666667)</f>
        <v>45190.66667</v>
      </c>
      <c r="C572" s="9">
        <f>IFERROR(__xludf.DUMMYFUNCTION("""COMPUTED_VALUE"""),102.14)</f>
        <v>102.14</v>
      </c>
      <c r="E572" s="17"/>
      <c r="N572" s="17"/>
      <c r="Q572" s="17"/>
    </row>
    <row r="573">
      <c r="B573" s="11">
        <f>IFERROR(__xludf.DUMMYFUNCTION("""COMPUTED_VALUE"""),45189.66666666667)</f>
        <v>45189.66667</v>
      </c>
      <c r="C573" s="9">
        <f>IFERROR(__xludf.DUMMYFUNCTION("""COMPUTED_VALUE"""),103.84)</f>
        <v>103.84</v>
      </c>
      <c r="E573" s="17"/>
      <c r="N573" s="17"/>
      <c r="Q573" s="17"/>
    </row>
    <row r="574">
      <c r="B574" s="11">
        <f>IFERROR(__xludf.DUMMYFUNCTION("""COMPUTED_VALUE"""),45188.66666666667)</f>
        <v>45188.66667</v>
      </c>
      <c r="C574" s="9">
        <f>IFERROR(__xludf.DUMMYFUNCTION("""COMPUTED_VALUE"""),104.25)</f>
        <v>104.25</v>
      </c>
      <c r="E574" s="17"/>
      <c r="N574" s="17"/>
      <c r="Q574" s="17"/>
    </row>
    <row r="575">
      <c r="B575" s="11">
        <f>IFERROR(__xludf.DUMMYFUNCTION("""COMPUTED_VALUE"""),45187.66666666667)</f>
        <v>45187.66667</v>
      </c>
      <c r="C575" s="9">
        <f>IFERROR(__xludf.DUMMYFUNCTION("""COMPUTED_VALUE"""),104.69)</f>
        <v>104.69</v>
      </c>
      <c r="E575" s="17"/>
      <c r="N575" s="17"/>
      <c r="Q575" s="17"/>
    </row>
    <row r="576">
      <c r="B576" s="11">
        <f>IFERROR(__xludf.DUMMYFUNCTION("""COMPUTED_VALUE"""),45184.66666666667)</f>
        <v>45184.66667</v>
      </c>
      <c r="C576" s="9">
        <f>IFERROR(__xludf.DUMMYFUNCTION("""COMPUTED_VALUE"""),105.0)</f>
        <v>105</v>
      </c>
      <c r="E576" s="17"/>
      <c r="N576" s="17"/>
      <c r="Q576" s="17"/>
    </row>
    <row r="577">
      <c r="B577" s="11">
        <f>IFERROR(__xludf.DUMMYFUNCTION("""COMPUTED_VALUE"""),45183.66666666667)</f>
        <v>45183.66667</v>
      </c>
      <c r="C577" s="9">
        <f>IFERROR(__xludf.DUMMYFUNCTION("""COMPUTED_VALUE"""),105.61)</f>
        <v>105.61</v>
      </c>
      <c r="E577" s="17"/>
      <c r="N577" s="17"/>
      <c r="Q577" s="17"/>
    </row>
    <row r="578">
      <c r="B578" s="11">
        <f>IFERROR(__xludf.DUMMYFUNCTION("""COMPUTED_VALUE"""),45182.66666666667)</f>
        <v>45182.66667</v>
      </c>
      <c r="C578" s="9">
        <f>IFERROR(__xludf.DUMMYFUNCTION("""COMPUTED_VALUE"""),104.58)</f>
        <v>104.58</v>
      </c>
      <c r="E578" s="17"/>
      <c r="N578" s="17"/>
      <c r="Q578" s="17"/>
    </row>
    <row r="579">
      <c r="B579" s="11">
        <f>IFERROR(__xludf.DUMMYFUNCTION("""COMPUTED_VALUE"""),45181.66666666667)</f>
        <v>45181.66667</v>
      </c>
      <c r="C579" s="9">
        <f>IFERROR(__xludf.DUMMYFUNCTION("""COMPUTED_VALUE"""),105.28)</f>
        <v>105.28</v>
      </c>
      <c r="E579" s="17"/>
      <c r="N579" s="17"/>
      <c r="Q579" s="17"/>
    </row>
    <row r="580">
      <c r="B580" s="11">
        <f>IFERROR(__xludf.DUMMYFUNCTION("""COMPUTED_VALUE"""),45180.66666666667)</f>
        <v>45180.66667</v>
      </c>
      <c r="C580" s="9">
        <f>IFERROR(__xludf.DUMMYFUNCTION("""COMPUTED_VALUE"""),105.66)</f>
        <v>105.66</v>
      </c>
      <c r="E580" s="17"/>
      <c r="N580" s="17"/>
      <c r="Q580" s="17"/>
    </row>
    <row r="581">
      <c r="B581" s="11">
        <f>IFERROR(__xludf.DUMMYFUNCTION("""COMPUTED_VALUE"""),45177.66666666667)</f>
        <v>45177.66667</v>
      </c>
      <c r="C581" s="9">
        <f>IFERROR(__xludf.DUMMYFUNCTION("""COMPUTED_VALUE"""),105.63)</f>
        <v>105.63</v>
      </c>
      <c r="E581" s="17"/>
      <c r="N581" s="17"/>
      <c r="Q581" s="17"/>
    </row>
    <row r="582">
      <c r="B582" s="11">
        <f>IFERROR(__xludf.DUMMYFUNCTION("""COMPUTED_VALUE"""),45176.66666666667)</f>
        <v>45176.66667</v>
      </c>
      <c r="C582" s="9">
        <f>IFERROR(__xludf.DUMMYFUNCTION("""COMPUTED_VALUE"""),106.16)</f>
        <v>106.16</v>
      </c>
      <c r="E582" s="17"/>
      <c r="N582" s="17"/>
      <c r="Q582" s="17"/>
    </row>
    <row r="583">
      <c r="B583" s="11">
        <f>IFERROR(__xludf.DUMMYFUNCTION("""COMPUTED_VALUE"""),45175.66666666667)</f>
        <v>45175.66667</v>
      </c>
      <c r="C583" s="9">
        <f>IFERROR(__xludf.DUMMYFUNCTION("""COMPUTED_VALUE"""),106.51)</f>
        <v>106.51</v>
      </c>
      <c r="E583" s="17"/>
      <c r="N583" s="17"/>
      <c r="Q583" s="17"/>
    </row>
    <row r="584">
      <c r="B584" s="11">
        <f>IFERROR(__xludf.DUMMYFUNCTION("""COMPUTED_VALUE"""),45174.66666666667)</f>
        <v>45174.66667</v>
      </c>
      <c r="C584" s="9">
        <f>IFERROR(__xludf.DUMMYFUNCTION("""COMPUTED_VALUE"""),106.97)</f>
        <v>106.97</v>
      </c>
      <c r="E584" s="17"/>
      <c r="N584" s="17"/>
      <c r="Q584" s="17"/>
    </row>
    <row r="585">
      <c r="B585" s="11">
        <f>IFERROR(__xludf.DUMMYFUNCTION("""COMPUTED_VALUE"""),45170.66666666667)</f>
        <v>45170.66667</v>
      </c>
      <c r="C585" s="9">
        <f>IFERROR(__xludf.DUMMYFUNCTION("""COMPUTED_VALUE"""),108.8)</f>
        <v>108.8</v>
      </c>
      <c r="E585" s="17"/>
      <c r="N585" s="17"/>
      <c r="Q585" s="17"/>
    </row>
    <row r="586">
      <c r="B586" s="11">
        <f>IFERROR(__xludf.DUMMYFUNCTION("""COMPUTED_VALUE"""),45169.66666666667)</f>
        <v>45169.66667</v>
      </c>
      <c r="C586" s="9">
        <f>IFERROR(__xludf.DUMMYFUNCTION("""COMPUTED_VALUE"""),108.23)</f>
        <v>108.23</v>
      </c>
      <c r="E586" s="17"/>
      <c r="N586" s="17"/>
      <c r="Q586" s="17"/>
    </row>
    <row r="587">
      <c r="B587" s="11">
        <f>IFERROR(__xludf.DUMMYFUNCTION("""COMPUTED_VALUE"""),45168.66666666667)</f>
        <v>45168.66667</v>
      </c>
      <c r="C587" s="9">
        <f>IFERROR(__xludf.DUMMYFUNCTION("""COMPUTED_VALUE"""),108.72)</f>
        <v>108.72</v>
      </c>
      <c r="E587" s="17"/>
      <c r="N587" s="17"/>
      <c r="Q587" s="17"/>
    </row>
    <row r="588">
      <c r="B588" s="11">
        <f>IFERROR(__xludf.DUMMYFUNCTION("""COMPUTED_VALUE"""),45167.66666666667)</f>
        <v>45167.66667</v>
      </c>
      <c r="C588" s="9">
        <f>IFERROR(__xludf.DUMMYFUNCTION("""COMPUTED_VALUE"""),108.23)</f>
        <v>108.23</v>
      </c>
      <c r="E588" s="17"/>
      <c r="N588" s="17"/>
      <c r="Q588" s="17"/>
    </row>
    <row r="589">
      <c r="B589" s="11">
        <f>IFERROR(__xludf.DUMMYFUNCTION("""COMPUTED_VALUE"""),45166.66666666667)</f>
        <v>45166.66667</v>
      </c>
      <c r="C589" s="9">
        <f>IFERROR(__xludf.DUMMYFUNCTION("""COMPUTED_VALUE"""),107.41)</f>
        <v>107.41</v>
      </c>
      <c r="E589" s="17"/>
      <c r="N589" s="17"/>
      <c r="Q589" s="17"/>
    </row>
    <row r="590">
      <c r="B590" s="11">
        <f>IFERROR(__xludf.DUMMYFUNCTION("""COMPUTED_VALUE"""),45163.66666666667)</f>
        <v>45163.66667</v>
      </c>
      <c r="C590" s="9">
        <f>IFERROR(__xludf.DUMMYFUNCTION("""COMPUTED_VALUE"""),106.54)</f>
        <v>106.54</v>
      </c>
      <c r="E590" s="17"/>
      <c r="N590" s="17"/>
      <c r="Q590" s="17"/>
    </row>
    <row r="591">
      <c r="B591" s="11">
        <f>IFERROR(__xludf.DUMMYFUNCTION("""COMPUTED_VALUE"""),45162.66666666667)</f>
        <v>45162.66667</v>
      </c>
      <c r="C591" s="9">
        <f>IFERROR(__xludf.DUMMYFUNCTION("""COMPUTED_VALUE"""),105.65)</f>
        <v>105.65</v>
      </c>
      <c r="E591" s="17"/>
      <c r="N591" s="17"/>
      <c r="Q591" s="17"/>
    </row>
    <row r="592">
      <c r="B592" s="11">
        <f>IFERROR(__xludf.DUMMYFUNCTION("""COMPUTED_VALUE"""),45161.66666666667)</f>
        <v>45161.66667</v>
      </c>
      <c r="C592" s="9">
        <f>IFERROR(__xludf.DUMMYFUNCTION("""COMPUTED_VALUE"""),106.95)</f>
        <v>106.95</v>
      </c>
      <c r="E592" s="17"/>
      <c r="N592" s="17"/>
      <c r="Q592" s="17"/>
    </row>
    <row r="593">
      <c r="B593" s="11">
        <f>IFERROR(__xludf.DUMMYFUNCTION("""COMPUTED_VALUE"""),45160.66666666667)</f>
        <v>45160.66667</v>
      </c>
      <c r="C593" s="9">
        <f>IFERROR(__xludf.DUMMYFUNCTION("""COMPUTED_VALUE"""),105.86)</f>
        <v>105.86</v>
      </c>
      <c r="E593" s="17"/>
      <c r="N593" s="17"/>
      <c r="Q593" s="17"/>
    </row>
    <row r="594">
      <c r="B594" s="11">
        <f>IFERROR(__xludf.DUMMYFUNCTION("""COMPUTED_VALUE"""),45159.66666666667)</f>
        <v>45159.66667</v>
      </c>
      <c r="C594" s="9">
        <f>IFERROR(__xludf.DUMMYFUNCTION("""COMPUTED_VALUE"""),106.11)</f>
        <v>106.11</v>
      </c>
      <c r="E594" s="17"/>
      <c r="N594" s="17"/>
      <c r="Q594" s="17"/>
    </row>
    <row r="595">
      <c r="B595" s="11">
        <f>IFERROR(__xludf.DUMMYFUNCTION("""COMPUTED_VALUE"""),45156.66666666667)</f>
        <v>45156.66667</v>
      </c>
      <c r="C595" s="9">
        <f>IFERROR(__xludf.DUMMYFUNCTION("""COMPUTED_VALUE"""),106.24)</f>
        <v>106.24</v>
      </c>
      <c r="E595" s="17"/>
      <c r="N595" s="17"/>
      <c r="Q595" s="17"/>
    </row>
    <row r="596">
      <c r="B596" s="11">
        <f>IFERROR(__xludf.DUMMYFUNCTION("""COMPUTED_VALUE"""),45155.66666666667)</f>
        <v>45155.66667</v>
      </c>
      <c r="C596" s="9">
        <f>IFERROR(__xludf.DUMMYFUNCTION("""COMPUTED_VALUE"""),106.04)</f>
        <v>106.04</v>
      </c>
      <c r="E596" s="17"/>
      <c r="N596" s="17"/>
      <c r="Q596" s="17"/>
    </row>
    <row r="597">
      <c r="B597" s="11">
        <f>IFERROR(__xludf.DUMMYFUNCTION("""COMPUTED_VALUE"""),45154.66666666667)</f>
        <v>45154.66667</v>
      </c>
      <c r="C597" s="9">
        <f>IFERROR(__xludf.DUMMYFUNCTION("""COMPUTED_VALUE"""),106.94)</f>
        <v>106.94</v>
      </c>
      <c r="E597" s="17"/>
      <c r="N597" s="17"/>
      <c r="Q597" s="17"/>
    </row>
    <row r="598">
      <c r="B598" s="11">
        <f>IFERROR(__xludf.DUMMYFUNCTION("""COMPUTED_VALUE"""),45153.66666666667)</f>
        <v>45153.66667</v>
      </c>
      <c r="C598" s="9">
        <f>IFERROR(__xludf.DUMMYFUNCTION("""COMPUTED_VALUE"""),107.54)</f>
        <v>107.54</v>
      </c>
      <c r="E598" s="17"/>
      <c r="N598" s="17"/>
      <c r="Q598" s="17"/>
    </row>
    <row r="599">
      <c r="B599" s="11">
        <f>IFERROR(__xludf.DUMMYFUNCTION("""COMPUTED_VALUE"""),45152.66666666667)</f>
        <v>45152.66667</v>
      </c>
      <c r="C599" s="9">
        <f>IFERROR(__xludf.DUMMYFUNCTION("""COMPUTED_VALUE"""),108.93)</f>
        <v>108.93</v>
      </c>
      <c r="E599" s="17"/>
      <c r="N599" s="17"/>
      <c r="Q599" s="17"/>
    </row>
    <row r="600">
      <c r="B600" s="11">
        <f>IFERROR(__xludf.DUMMYFUNCTION("""COMPUTED_VALUE"""),45149.66666666667)</f>
        <v>45149.66667</v>
      </c>
      <c r="C600" s="9">
        <f>IFERROR(__xludf.DUMMYFUNCTION("""COMPUTED_VALUE"""),108.89)</f>
        <v>108.89</v>
      </c>
      <c r="E600" s="17"/>
      <c r="N600" s="17"/>
      <c r="Q600" s="17"/>
    </row>
    <row r="601">
      <c r="B601" s="11">
        <f>IFERROR(__xludf.DUMMYFUNCTION("""COMPUTED_VALUE"""),45148.66666666667)</f>
        <v>45148.66667</v>
      </c>
      <c r="C601" s="9">
        <f>IFERROR(__xludf.DUMMYFUNCTION("""COMPUTED_VALUE"""),108.71)</f>
        <v>108.71</v>
      </c>
      <c r="E601" s="17"/>
      <c r="N601" s="17"/>
      <c r="Q601" s="17"/>
    </row>
    <row r="602">
      <c r="B602" s="11">
        <f>IFERROR(__xludf.DUMMYFUNCTION("""COMPUTED_VALUE"""),45147.66666666667)</f>
        <v>45147.66667</v>
      </c>
      <c r="C602" s="9">
        <f>IFERROR(__xludf.DUMMYFUNCTION("""COMPUTED_VALUE"""),109.01)</f>
        <v>109.01</v>
      </c>
      <c r="E602" s="17"/>
      <c r="N602" s="17"/>
      <c r="Q602" s="17"/>
    </row>
    <row r="603">
      <c r="B603" s="11">
        <f>IFERROR(__xludf.DUMMYFUNCTION("""COMPUTED_VALUE"""),45146.66666666667)</f>
        <v>45146.66667</v>
      </c>
      <c r="C603" s="9">
        <f>IFERROR(__xludf.DUMMYFUNCTION("""COMPUTED_VALUE"""),109.07)</f>
        <v>109.07</v>
      </c>
      <c r="E603" s="17"/>
      <c r="N603" s="17"/>
      <c r="Q603" s="17"/>
    </row>
    <row r="604">
      <c r="B604" s="11">
        <f>IFERROR(__xludf.DUMMYFUNCTION("""COMPUTED_VALUE"""),45145.66666666667)</f>
        <v>45145.66667</v>
      </c>
      <c r="C604" s="9">
        <f>IFERROR(__xludf.DUMMYFUNCTION("""COMPUTED_VALUE"""),109.57)</f>
        <v>109.57</v>
      </c>
      <c r="E604" s="17"/>
      <c r="N604" s="17"/>
      <c r="Q604" s="17"/>
    </row>
    <row r="605">
      <c r="B605" s="11">
        <f>IFERROR(__xludf.DUMMYFUNCTION("""COMPUTED_VALUE"""),45142.66666666667)</f>
        <v>45142.66667</v>
      </c>
      <c r="C605" s="9">
        <f>IFERROR(__xludf.DUMMYFUNCTION("""COMPUTED_VALUE"""),108.24)</f>
        <v>108.24</v>
      </c>
      <c r="E605" s="17"/>
      <c r="N605" s="17"/>
      <c r="Q605" s="17"/>
    </row>
    <row r="606">
      <c r="B606" s="11">
        <f>IFERROR(__xludf.DUMMYFUNCTION("""COMPUTED_VALUE"""),45141.66666666667)</f>
        <v>45141.66667</v>
      </c>
      <c r="C606" s="9">
        <f>IFERROR(__xludf.DUMMYFUNCTION("""COMPUTED_VALUE"""),108.9)</f>
        <v>108.9</v>
      </c>
      <c r="E606" s="17"/>
      <c r="N606" s="17"/>
      <c r="Q606" s="17"/>
    </row>
    <row r="607">
      <c r="B607" s="11">
        <f>IFERROR(__xludf.DUMMYFUNCTION("""COMPUTED_VALUE"""),45140.66666666667)</f>
        <v>45140.66667</v>
      </c>
      <c r="C607" s="9">
        <f>IFERROR(__xludf.DUMMYFUNCTION("""COMPUTED_VALUE"""),109.59)</f>
        <v>109.59</v>
      </c>
      <c r="E607" s="17"/>
      <c r="N607" s="17"/>
      <c r="Q607" s="17"/>
    </row>
    <row r="608">
      <c r="B608" s="11">
        <f>IFERROR(__xludf.DUMMYFUNCTION("""COMPUTED_VALUE"""),45139.66666666667)</f>
        <v>45139.66667</v>
      </c>
      <c r="C608" s="9">
        <f>IFERROR(__xludf.DUMMYFUNCTION("""COMPUTED_VALUE"""),110.75)</f>
        <v>110.75</v>
      </c>
      <c r="E608" s="17"/>
      <c r="N608" s="17"/>
      <c r="Q608" s="17"/>
    </row>
    <row r="609">
      <c r="B609" s="11">
        <f>IFERROR(__xludf.DUMMYFUNCTION("""COMPUTED_VALUE"""),45138.66666666667)</f>
        <v>45138.66667</v>
      </c>
      <c r="C609" s="9">
        <f>IFERROR(__xludf.DUMMYFUNCTION("""COMPUTED_VALUE"""),110.42)</f>
        <v>110.42</v>
      </c>
      <c r="E609" s="17"/>
      <c r="N609" s="17"/>
      <c r="Q609" s="17"/>
    </row>
    <row r="610">
      <c r="B610" s="11">
        <f>IFERROR(__xludf.DUMMYFUNCTION("""COMPUTED_VALUE"""),45135.66666666667)</f>
        <v>45135.66667</v>
      </c>
      <c r="C610" s="9">
        <f>IFERROR(__xludf.DUMMYFUNCTION("""COMPUTED_VALUE"""),110.16)</f>
        <v>110.16</v>
      </c>
      <c r="E610" s="17"/>
      <c r="N610" s="17"/>
      <c r="Q610" s="17"/>
    </row>
    <row r="611">
      <c r="B611" s="11">
        <f>IFERROR(__xludf.DUMMYFUNCTION("""COMPUTED_VALUE"""),45134.66666666667)</f>
        <v>45134.66667</v>
      </c>
      <c r="C611" s="9">
        <f>IFERROR(__xludf.DUMMYFUNCTION("""COMPUTED_VALUE"""),109.48)</f>
        <v>109.48</v>
      </c>
      <c r="E611" s="17"/>
      <c r="N611" s="17"/>
      <c r="Q611" s="17"/>
    </row>
    <row r="612">
      <c r="B612" s="11">
        <f>IFERROR(__xludf.DUMMYFUNCTION("""COMPUTED_VALUE"""),45133.66666666667)</f>
        <v>45133.66667</v>
      </c>
      <c r="C612" s="9">
        <f>IFERROR(__xludf.DUMMYFUNCTION("""COMPUTED_VALUE"""),110.43)</f>
        <v>110.43</v>
      </c>
      <c r="E612" s="17"/>
      <c r="N612" s="17"/>
      <c r="Q612" s="17"/>
    </row>
    <row r="613">
      <c r="B613" s="11">
        <f>IFERROR(__xludf.DUMMYFUNCTION("""COMPUTED_VALUE"""),45132.66666666667)</f>
        <v>45132.66667</v>
      </c>
      <c r="C613" s="9">
        <f>IFERROR(__xludf.DUMMYFUNCTION("""COMPUTED_VALUE"""),109.66)</f>
        <v>109.66</v>
      </c>
      <c r="E613" s="17"/>
      <c r="N613" s="17"/>
      <c r="Q613" s="17"/>
    </row>
    <row r="614">
      <c r="B614" s="11">
        <f>IFERROR(__xludf.DUMMYFUNCTION("""COMPUTED_VALUE"""),45131.66666666667)</f>
        <v>45131.66667</v>
      </c>
      <c r="C614" s="9">
        <f>IFERROR(__xludf.DUMMYFUNCTION("""COMPUTED_VALUE"""),109.8)</f>
        <v>109.8</v>
      </c>
      <c r="E614" s="17"/>
      <c r="N614" s="17"/>
      <c r="Q614" s="17"/>
    </row>
    <row r="615">
      <c r="B615" s="11">
        <f>IFERROR(__xludf.DUMMYFUNCTION("""COMPUTED_VALUE"""),45128.66666666667)</f>
        <v>45128.66667</v>
      </c>
      <c r="C615" s="9">
        <f>IFERROR(__xludf.DUMMYFUNCTION("""COMPUTED_VALUE"""),109.55)</f>
        <v>109.55</v>
      </c>
      <c r="E615" s="17"/>
      <c r="N615" s="17"/>
      <c r="Q615" s="17"/>
    </row>
    <row r="616">
      <c r="B616" s="11">
        <f>IFERROR(__xludf.DUMMYFUNCTION("""COMPUTED_VALUE"""),45127.66666666667)</f>
        <v>45127.66667</v>
      </c>
      <c r="C616" s="9">
        <f>IFERROR(__xludf.DUMMYFUNCTION("""COMPUTED_VALUE"""),110.07)</f>
        <v>110.07</v>
      </c>
      <c r="E616" s="17"/>
      <c r="N616" s="17"/>
      <c r="Q616" s="17"/>
    </row>
    <row r="617">
      <c r="B617" s="11">
        <f>IFERROR(__xludf.DUMMYFUNCTION("""COMPUTED_VALUE"""),45126.66666666667)</f>
        <v>45126.66667</v>
      </c>
      <c r="C617" s="9">
        <f>IFERROR(__xludf.DUMMYFUNCTION("""COMPUTED_VALUE"""),109.58)</f>
        <v>109.58</v>
      </c>
      <c r="E617" s="17"/>
      <c r="N617" s="17"/>
      <c r="Q617" s="17"/>
    </row>
    <row r="618">
      <c r="B618" s="11">
        <f>IFERROR(__xludf.DUMMYFUNCTION("""COMPUTED_VALUE"""),45125.66666666667)</f>
        <v>45125.66667</v>
      </c>
      <c r="C618" s="9">
        <f>IFERROR(__xludf.DUMMYFUNCTION("""COMPUTED_VALUE"""),109.63)</f>
        <v>109.63</v>
      </c>
      <c r="E618" s="17"/>
      <c r="N618" s="17"/>
      <c r="Q618" s="17"/>
    </row>
    <row r="619">
      <c r="B619" s="11">
        <f>IFERROR(__xludf.DUMMYFUNCTION("""COMPUTED_VALUE"""),45124.66666666667)</f>
        <v>45124.66667</v>
      </c>
      <c r="C619" s="9">
        <f>IFERROR(__xludf.DUMMYFUNCTION("""COMPUTED_VALUE"""),109.02)</f>
        <v>109.02</v>
      </c>
      <c r="E619" s="17"/>
      <c r="N619" s="17"/>
      <c r="Q619" s="17"/>
    </row>
    <row r="620">
      <c r="B620" s="11">
        <f>IFERROR(__xludf.DUMMYFUNCTION("""COMPUTED_VALUE"""),45121.66666666667)</f>
        <v>45121.66667</v>
      </c>
      <c r="C620" s="9">
        <f>IFERROR(__xludf.DUMMYFUNCTION("""COMPUTED_VALUE"""),108.61)</f>
        <v>108.61</v>
      </c>
      <c r="E620" s="17"/>
      <c r="N620" s="17"/>
      <c r="Q620" s="17"/>
    </row>
    <row r="621">
      <c r="B621" s="11">
        <f>IFERROR(__xludf.DUMMYFUNCTION("""COMPUTED_VALUE"""),45120.66666666667)</f>
        <v>45120.66667</v>
      </c>
      <c r="C621" s="9">
        <f>IFERROR(__xludf.DUMMYFUNCTION("""COMPUTED_VALUE"""),108.93)</f>
        <v>108.93</v>
      </c>
      <c r="E621" s="17"/>
      <c r="N621" s="17"/>
      <c r="Q621" s="17"/>
    </row>
    <row r="622">
      <c r="B622" s="11">
        <f>IFERROR(__xludf.DUMMYFUNCTION("""COMPUTED_VALUE"""),45119.66666666667)</f>
        <v>45119.66667</v>
      </c>
      <c r="C622" s="9">
        <f>IFERROR(__xludf.DUMMYFUNCTION("""COMPUTED_VALUE"""),108.79)</f>
        <v>108.79</v>
      </c>
      <c r="E622" s="17"/>
      <c r="N622" s="17"/>
      <c r="Q622" s="17"/>
    </row>
    <row r="623">
      <c r="B623" s="11">
        <f>IFERROR(__xludf.DUMMYFUNCTION("""COMPUTED_VALUE"""),45118.66666666667)</f>
        <v>45118.66667</v>
      </c>
      <c r="C623" s="9">
        <f>IFERROR(__xludf.DUMMYFUNCTION("""COMPUTED_VALUE"""),108.98)</f>
        <v>108.98</v>
      </c>
      <c r="E623" s="17"/>
      <c r="N623" s="17"/>
      <c r="Q623" s="17"/>
    </row>
    <row r="624">
      <c r="B624" s="11">
        <f>IFERROR(__xludf.DUMMYFUNCTION("""COMPUTED_VALUE"""),45117.66666666667)</f>
        <v>45117.66667</v>
      </c>
      <c r="C624" s="9">
        <f>IFERROR(__xludf.DUMMYFUNCTION("""COMPUTED_VALUE"""),107.71)</f>
        <v>107.71</v>
      </c>
      <c r="E624" s="17"/>
      <c r="N624" s="17"/>
      <c r="Q624" s="17"/>
    </row>
    <row r="625">
      <c r="B625" s="11">
        <f>IFERROR(__xludf.DUMMYFUNCTION("""COMPUTED_VALUE"""),45114.66666666667)</f>
        <v>45114.66667</v>
      </c>
      <c r="C625" s="9">
        <f>IFERROR(__xludf.DUMMYFUNCTION("""COMPUTED_VALUE"""),106.2)</f>
        <v>106.2</v>
      </c>
      <c r="E625" s="17"/>
      <c r="N625" s="17"/>
      <c r="Q625" s="17"/>
    </row>
    <row r="626">
      <c r="B626" s="11">
        <f>IFERROR(__xludf.DUMMYFUNCTION("""COMPUTED_VALUE"""),45113.66666666667)</f>
        <v>45113.66667</v>
      </c>
      <c r="C626" s="9">
        <f>IFERROR(__xludf.DUMMYFUNCTION("""COMPUTED_VALUE"""),105.96)</f>
        <v>105.96</v>
      </c>
      <c r="E626" s="17"/>
      <c r="N626" s="17"/>
      <c r="Q626" s="17"/>
    </row>
    <row r="627">
      <c r="B627" s="11">
        <f>IFERROR(__xludf.DUMMYFUNCTION("""COMPUTED_VALUE"""),45112.66666666667)</f>
        <v>45112.66667</v>
      </c>
      <c r="C627" s="9">
        <f>IFERROR(__xludf.DUMMYFUNCTION("""COMPUTED_VALUE"""),106.76)</f>
        <v>106.76</v>
      </c>
      <c r="E627" s="17"/>
      <c r="N627" s="17"/>
      <c r="Q627" s="17"/>
    </row>
    <row r="628">
      <c r="B628" s="11">
        <f>IFERROR(__xludf.DUMMYFUNCTION("""COMPUTED_VALUE"""),45110.55208333333)</f>
        <v>45110.55208</v>
      </c>
      <c r="C628" s="9">
        <f>IFERROR(__xludf.DUMMYFUNCTION("""COMPUTED_VALUE"""),107.34)</f>
        <v>107.34</v>
      </c>
      <c r="E628" s="17"/>
      <c r="N628" s="17"/>
      <c r="Q628" s="17"/>
    </row>
    <row r="629">
      <c r="B629" s="11">
        <f>IFERROR(__xludf.DUMMYFUNCTION("""COMPUTED_VALUE"""),45107.66666666667)</f>
        <v>45107.66667</v>
      </c>
      <c r="C629" s="9">
        <f>IFERROR(__xludf.DUMMYFUNCTION("""COMPUTED_VALUE"""),107.32)</f>
        <v>107.32</v>
      </c>
      <c r="E629" s="17"/>
      <c r="N629" s="17"/>
      <c r="Q629" s="17"/>
    </row>
    <row r="630">
      <c r="B630" s="11">
        <f>IFERROR(__xludf.DUMMYFUNCTION("""COMPUTED_VALUE"""),45106.66666666667)</f>
        <v>45106.66667</v>
      </c>
      <c r="C630" s="9">
        <f>IFERROR(__xludf.DUMMYFUNCTION("""COMPUTED_VALUE"""),106.41)</f>
        <v>106.41</v>
      </c>
      <c r="E630" s="17"/>
      <c r="N630" s="17"/>
      <c r="Q630" s="17"/>
    </row>
    <row r="631">
      <c r="B631" s="11">
        <f>IFERROR(__xludf.DUMMYFUNCTION("""COMPUTED_VALUE"""),45105.66666666667)</f>
        <v>45105.66667</v>
      </c>
      <c r="C631" s="9">
        <f>IFERROR(__xludf.DUMMYFUNCTION("""COMPUTED_VALUE"""),105.39)</f>
        <v>105.39</v>
      </c>
      <c r="E631" s="17"/>
      <c r="N631" s="17"/>
      <c r="Q631" s="17"/>
    </row>
    <row r="632">
      <c r="B632" s="11">
        <f>IFERROR(__xludf.DUMMYFUNCTION("""COMPUTED_VALUE"""),45104.66666666667)</f>
        <v>45104.66667</v>
      </c>
      <c r="C632" s="9">
        <f>IFERROR(__xludf.DUMMYFUNCTION("""COMPUTED_VALUE"""),105.39)</f>
        <v>105.39</v>
      </c>
      <c r="E632" s="17"/>
      <c r="N632" s="17"/>
      <c r="Q632" s="17"/>
    </row>
    <row r="633">
      <c r="B633" s="11">
        <f>IFERROR(__xludf.DUMMYFUNCTION("""COMPUTED_VALUE"""),45103.66666666667)</f>
        <v>45103.66667</v>
      </c>
      <c r="C633" s="9">
        <f>IFERROR(__xludf.DUMMYFUNCTION("""COMPUTED_VALUE"""),104.14)</f>
        <v>104.14</v>
      </c>
      <c r="E633" s="17"/>
      <c r="N633" s="17"/>
      <c r="Q633" s="17"/>
    </row>
    <row r="634">
      <c r="B634" s="11">
        <f>IFERROR(__xludf.DUMMYFUNCTION("""COMPUTED_VALUE"""),45100.66666666667)</f>
        <v>45100.66667</v>
      </c>
      <c r="C634" s="9">
        <f>IFERROR(__xludf.DUMMYFUNCTION("""COMPUTED_VALUE"""),103.28)</f>
        <v>103.28</v>
      </c>
      <c r="E634" s="17"/>
      <c r="N634" s="17"/>
      <c r="Q634" s="17"/>
    </row>
    <row r="635">
      <c r="B635" s="11">
        <f>IFERROR(__xludf.DUMMYFUNCTION("""COMPUTED_VALUE"""),45099.66666666667)</f>
        <v>45099.66667</v>
      </c>
      <c r="C635" s="9">
        <f>IFERROR(__xludf.DUMMYFUNCTION("""COMPUTED_VALUE"""),104.07)</f>
        <v>104.07</v>
      </c>
      <c r="E635" s="17"/>
      <c r="N635" s="17"/>
      <c r="Q635" s="17"/>
    </row>
    <row r="636">
      <c r="B636" s="11">
        <f>IFERROR(__xludf.DUMMYFUNCTION("""COMPUTED_VALUE"""),45098.66666666667)</f>
        <v>45098.66667</v>
      </c>
      <c r="C636" s="9">
        <f>IFERROR(__xludf.DUMMYFUNCTION("""COMPUTED_VALUE"""),104.83)</f>
        <v>104.83</v>
      </c>
      <c r="E636" s="17"/>
      <c r="N636" s="17"/>
      <c r="Q636" s="17"/>
    </row>
    <row r="637">
      <c r="B637" s="11">
        <f>IFERROR(__xludf.DUMMYFUNCTION("""COMPUTED_VALUE"""),45097.66666666667)</f>
        <v>45097.66667</v>
      </c>
      <c r="C637" s="9">
        <f>IFERROR(__xludf.DUMMYFUNCTION("""COMPUTED_VALUE"""),104.25)</f>
        <v>104.25</v>
      </c>
      <c r="E637" s="17"/>
      <c r="N637" s="17"/>
      <c r="Q637" s="17"/>
    </row>
    <row r="638">
      <c r="B638" s="11">
        <f>IFERROR(__xludf.DUMMYFUNCTION("""COMPUTED_VALUE"""),45093.66666666667)</f>
        <v>45093.66667</v>
      </c>
      <c r="C638" s="9">
        <f>IFERROR(__xludf.DUMMYFUNCTION("""COMPUTED_VALUE"""),105.45)</f>
        <v>105.45</v>
      </c>
      <c r="E638" s="17"/>
      <c r="N638" s="17"/>
      <c r="Q638" s="17"/>
    </row>
    <row r="639">
      <c r="B639" s="11">
        <f>IFERROR(__xludf.DUMMYFUNCTION("""COMPUTED_VALUE"""),45092.66666666667)</f>
        <v>45092.66667</v>
      </c>
      <c r="C639" s="9">
        <f>IFERROR(__xludf.DUMMYFUNCTION("""COMPUTED_VALUE"""),105.62)</f>
        <v>105.62</v>
      </c>
      <c r="E639" s="17"/>
      <c r="N639" s="17"/>
      <c r="Q639" s="17"/>
    </row>
    <row r="640">
      <c r="B640" s="11">
        <f>IFERROR(__xludf.DUMMYFUNCTION("""COMPUTED_VALUE"""),45091.66666666667)</f>
        <v>45091.66667</v>
      </c>
      <c r="C640" s="9">
        <f>IFERROR(__xludf.DUMMYFUNCTION("""COMPUTED_VALUE"""),104.05)</f>
        <v>104.05</v>
      </c>
      <c r="E640" s="17"/>
      <c r="N640" s="17"/>
      <c r="Q640" s="17"/>
    </row>
    <row r="641">
      <c r="B641" s="11">
        <f>IFERROR(__xludf.DUMMYFUNCTION("""COMPUTED_VALUE"""),45090.66666666667)</f>
        <v>45090.66667</v>
      </c>
      <c r="C641" s="9">
        <f>IFERROR(__xludf.DUMMYFUNCTION("""COMPUTED_VALUE"""),104.33)</f>
        <v>104.33</v>
      </c>
      <c r="E641" s="17"/>
      <c r="N641" s="17"/>
      <c r="Q641" s="17"/>
    </row>
    <row r="642">
      <c r="B642" s="11">
        <f>IFERROR(__xludf.DUMMYFUNCTION("""COMPUTED_VALUE"""),45089.66666666667)</f>
        <v>45089.66667</v>
      </c>
      <c r="C642" s="9">
        <f>IFERROR(__xludf.DUMMYFUNCTION("""COMPUTED_VALUE"""),103.13)</f>
        <v>103.13</v>
      </c>
      <c r="E642" s="17"/>
      <c r="N642" s="17"/>
      <c r="Q642" s="17"/>
    </row>
    <row r="643">
      <c r="B643" s="11">
        <f>IFERROR(__xludf.DUMMYFUNCTION("""COMPUTED_VALUE"""),45086.66666666667)</f>
        <v>45086.66667</v>
      </c>
      <c r="C643" s="9">
        <f>IFERROR(__xludf.DUMMYFUNCTION("""COMPUTED_VALUE"""),102.4)</f>
        <v>102.4</v>
      </c>
      <c r="E643" s="17"/>
      <c r="N643" s="17"/>
      <c r="Q643" s="17"/>
    </row>
    <row r="644">
      <c r="B644" s="11">
        <f>IFERROR(__xludf.DUMMYFUNCTION("""COMPUTED_VALUE"""),45085.66666666667)</f>
        <v>45085.66667</v>
      </c>
      <c r="C644" s="9">
        <f>IFERROR(__xludf.DUMMYFUNCTION("""COMPUTED_VALUE"""),102.67)</f>
        <v>102.67</v>
      </c>
      <c r="E644" s="17"/>
      <c r="N644" s="17"/>
      <c r="Q644" s="17"/>
    </row>
    <row r="645">
      <c r="B645" s="11">
        <f>IFERROR(__xludf.DUMMYFUNCTION("""COMPUTED_VALUE"""),45084.66666666667)</f>
        <v>45084.66667</v>
      </c>
      <c r="C645" s="9">
        <f>IFERROR(__xludf.DUMMYFUNCTION("""COMPUTED_VALUE"""),102.49)</f>
        <v>102.49</v>
      </c>
      <c r="E645" s="17"/>
      <c r="N645" s="17"/>
      <c r="Q645" s="17"/>
    </row>
    <row r="646">
      <c r="B646" s="11">
        <f>IFERROR(__xludf.DUMMYFUNCTION("""COMPUTED_VALUE"""),45083.66666666667)</f>
        <v>45083.66667</v>
      </c>
      <c r="C646" s="9">
        <f>IFERROR(__xludf.DUMMYFUNCTION("""COMPUTED_VALUE"""),100.87)</f>
        <v>100.87</v>
      </c>
      <c r="E646" s="17"/>
      <c r="N646" s="17"/>
      <c r="Q646" s="17"/>
    </row>
    <row r="647">
      <c r="B647" s="11">
        <f>IFERROR(__xludf.DUMMYFUNCTION("""COMPUTED_VALUE"""),45082.66666666667)</f>
        <v>45082.66667</v>
      </c>
      <c r="C647" s="9">
        <f>IFERROR(__xludf.DUMMYFUNCTION("""COMPUTED_VALUE"""),100.24)</f>
        <v>100.24</v>
      </c>
      <c r="E647" s="17"/>
      <c r="N647" s="17"/>
      <c r="Q647" s="17"/>
    </row>
    <row r="648">
      <c r="B648" s="11">
        <f>IFERROR(__xludf.DUMMYFUNCTION("""COMPUTED_VALUE"""),45079.66666666667)</f>
        <v>45079.66667</v>
      </c>
      <c r="C648" s="9">
        <f>IFERROR(__xludf.DUMMYFUNCTION("""COMPUTED_VALUE"""),100.94)</f>
        <v>100.94</v>
      </c>
      <c r="E648" s="17"/>
      <c r="N648" s="17"/>
      <c r="Q648" s="17"/>
    </row>
    <row r="649">
      <c r="B649" s="11">
        <f>IFERROR(__xludf.DUMMYFUNCTION("""COMPUTED_VALUE"""),45078.66666666667)</f>
        <v>45078.66667</v>
      </c>
      <c r="C649" s="9">
        <f>IFERROR(__xludf.DUMMYFUNCTION("""COMPUTED_VALUE"""),98.09)</f>
        <v>98.09</v>
      </c>
      <c r="E649" s="17"/>
      <c r="N649" s="17"/>
      <c r="Q649" s="17"/>
    </row>
    <row r="650">
      <c r="B650" s="11">
        <f>IFERROR(__xludf.DUMMYFUNCTION("""COMPUTED_VALUE"""),45077.66666666667)</f>
        <v>45077.66667</v>
      </c>
      <c r="C650" s="9">
        <f>IFERROR(__xludf.DUMMYFUNCTION("""COMPUTED_VALUE"""),96.85)</f>
        <v>96.85</v>
      </c>
      <c r="E650" s="17"/>
      <c r="N650" s="17"/>
      <c r="Q650" s="17"/>
    </row>
    <row r="651">
      <c r="B651" s="11">
        <f>IFERROR(__xludf.DUMMYFUNCTION("""COMPUTED_VALUE"""),45076.66666666667)</f>
        <v>45076.66667</v>
      </c>
      <c r="C651" s="9">
        <f>IFERROR(__xludf.DUMMYFUNCTION("""COMPUTED_VALUE"""),98.19)</f>
        <v>98.19</v>
      </c>
      <c r="E651" s="17"/>
      <c r="N651" s="17"/>
      <c r="Q651" s="17"/>
    </row>
    <row r="652">
      <c r="B652" s="11">
        <f>IFERROR(__xludf.DUMMYFUNCTION("""COMPUTED_VALUE"""),45072.66666666667)</f>
        <v>45072.66667</v>
      </c>
      <c r="C652" s="9">
        <f>IFERROR(__xludf.DUMMYFUNCTION("""COMPUTED_VALUE"""),98.34)</f>
        <v>98.34</v>
      </c>
      <c r="E652" s="17"/>
      <c r="N652" s="17"/>
      <c r="Q652" s="17"/>
    </row>
    <row r="653">
      <c r="B653" s="11">
        <f>IFERROR(__xludf.DUMMYFUNCTION("""COMPUTED_VALUE"""),45071.66666666667)</f>
        <v>45071.66667</v>
      </c>
      <c r="C653" s="9">
        <f>IFERROR(__xludf.DUMMYFUNCTION("""COMPUTED_VALUE"""),97.61)</f>
        <v>97.61</v>
      </c>
      <c r="E653" s="17"/>
      <c r="N653" s="17"/>
      <c r="Q653" s="17"/>
    </row>
    <row r="654">
      <c r="B654" s="11">
        <f>IFERROR(__xludf.DUMMYFUNCTION("""COMPUTED_VALUE"""),45070.66666666667)</f>
        <v>45070.66667</v>
      </c>
      <c r="C654" s="9">
        <f>IFERROR(__xludf.DUMMYFUNCTION("""COMPUTED_VALUE"""),97.29)</f>
        <v>97.29</v>
      </c>
      <c r="E654" s="17"/>
      <c r="N654" s="17"/>
      <c r="Q654" s="17"/>
    </row>
    <row r="655">
      <c r="B655" s="11">
        <f>IFERROR(__xludf.DUMMYFUNCTION("""COMPUTED_VALUE"""),45069.66666666667)</f>
        <v>45069.66667</v>
      </c>
      <c r="C655" s="9">
        <f>IFERROR(__xludf.DUMMYFUNCTION("""COMPUTED_VALUE"""),98.56)</f>
        <v>98.56</v>
      </c>
      <c r="E655" s="17"/>
      <c r="N655" s="17"/>
      <c r="Q655" s="17"/>
    </row>
    <row r="656">
      <c r="B656" s="11">
        <f>IFERROR(__xludf.DUMMYFUNCTION("""COMPUTED_VALUE"""),45068.66666666667)</f>
        <v>45068.66667</v>
      </c>
      <c r="C656" s="9">
        <f>IFERROR(__xludf.DUMMYFUNCTION("""COMPUTED_VALUE"""),99.76)</f>
        <v>99.76</v>
      </c>
      <c r="E656" s="17"/>
      <c r="N656" s="17"/>
      <c r="Q656" s="17"/>
    </row>
    <row r="657">
      <c r="B657" s="11">
        <f>IFERROR(__xludf.DUMMYFUNCTION("""COMPUTED_VALUE"""),45065.66666666667)</f>
        <v>45065.66667</v>
      </c>
      <c r="C657" s="9">
        <f>IFERROR(__xludf.DUMMYFUNCTION("""COMPUTED_VALUE"""),99.78)</f>
        <v>99.78</v>
      </c>
      <c r="E657" s="17"/>
      <c r="N657" s="17"/>
      <c r="Q657" s="17"/>
    </row>
    <row r="658">
      <c r="B658" s="11">
        <f>IFERROR(__xludf.DUMMYFUNCTION("""COMPUTED_VALUE"""),45064.66666666667)</f>
        <v>45064.66667</v>
      </c>
      <c r="C658" s="9">
        <f>IFERROR(__xludf.DUMMYFUNCTION("""COMPUTED_VALUE"""),100.02)</f>
        <v>100.02</v>
      </c>
      <c r="E658" s="17"/>
      <c r="N658" s="17"/>
      <c r="Q658" s="17"/>
    </row>
    <row r="659">
      <c r="B659" s="11">
        <f>IFERROR(__xludf.DUMMYFUNCTION("""COMPUTED_VALUE"""),45063.66666666667)</f>
        <v>45063.66667</v>
      </c>
      <c r="C659" s="9">
        <f>IFERROR(__xludf.DUMMYFUNCTION("""COMPUTED_VALUE"""),99.3)</f>
        <v>99.3</v>
      </c>
      <c r="E659" s="17"/>
      <c r="N659" s="17"/>
      <c r="Q659" s="17"/>
    </row>
    <row r="660">
      <c r="B660" s="11">
        <f>IFERROR(__xludf.DUMMYFUNCTION("""COMPUTED_VALUE"""),45062.66666666667)</f>
        <v>45062.66667</v>
      </c>
      <c r="C660" s="9">
        <f>IFERROR(__xludf.DUMMYFUNCTION("""COMPUTED_VALUE"""),97.62)</f>
        <v>97.62</v>
      </c>
      <c r="E660" s="17"/>
      <c r="N660" s="17"/>
      <c r="Q660" s="17"/>
    </row>
    <row r="661">
      <c r="B661" s="11">
        <f>IFERROR(__xludf.DUMMYFUNCTION("""COMPUTED_VALUE"""),45061.66666666667)</f>
        <v>45061.66667</v>
      </c>
      <c r="C661" s="9">
        <f>IFERROR(__xludf.DUMMYFUNCTION("""COMPUTED_VALUE"""),98.96)</f>
        <v>98.96</v>
      </c>
      <c r="E661" s="17"/>
      <c r="N661" s="17"/>
      <c r="Q661" s="17"/>
    </row>
    <row r="662">
      <c r="B662" s="11">
        <f>IFERROR(__xludf.DUMMYFUNCTION("""COMPUTED_VALUE"""),45058.66666666667)</f>
        <v>45058.66667</v>
      </c>
      <c r="C662" s="9">
        <f>IFERROR(__xludf.DUMMYFUNCTION("""COMPUTED_VALUE"""),98.48)</f>
        <v>98.48</v>
      </c>
      <c r="E662" s="17"/>
      <c r="N662" s="17"/>
      <c r="Q662" s="17"/>
    </row>
    <row r="663">
      <c r="B663" s="11">
        <f>IFERROR(__xludf.DUMMYFUNCTION("""COMPUTED_VALUE"""),45057.66666666667)</f>
        <v>45057.66667</v>
      </c>
      <c r="C663" s="9">
        <f>IFERROR(__xludf.DUMMYFUNCTION("""COMPUTED_VALUE"""),98.41)</f>
        <v>98.41</v>
      </c>
      <c r="E663" s="17"/>
      <c r="N663" s="17"/>
      <c r="Q663" s="17"/>
    </row>
    <row r="664">
      <c r="B664" s="11">
        <f>IFERROR(__xludf.DUMMYFUNCTION("""COMPUTED_VALUE"""),45056.66666666667)</f>
        <v>45056.66667</v>
      </c>
      <c r="C664" s="9">
        <f>IFERROR(__xludf.DUMMYFUNCTION("""COMPUTED_VALUE"""),99.01)</f>
        <v>99.01</v>
      </c>
      <c r="E664" s="17"/>
      <c r="N664" s="17"/>
      <c r="Q664" s="17"/>
    </row>
    <row r="665">
      <c r="B665" s="11">
        <f>IFERROR(__xludf.DUMMYFUNCTION("""COMPUTED_VALUE"""),45055.66666666667)</f>
        <v>45055.66667</v>
      </c>
      <c r="C665" s="9">
        <f>IFERROR(__xludf.DUMMYFUNCTION("""COMPUTED_VALUE"""),99.37)</f>
        <v>99.37</v>
      </c>
      <c r="E665" s="17"/>
      <c r="N665" s="17"/>
      <c r="Q665" s="17"/>
    </row>
    <row r="666">
      <c r="B666" s="11">
        <f>IFERROR(__xludf.DUMMYFUNCTION("""COMPUTED_VALUE"""),45054.66666666667)</f>
        <v>45054.66667</v>
      </c>
      <c r="C666" s="9">
        <f>IFERROR(__xludf.DUMMYFUNCTION("""COMPUTED_VALUE"""),99.15)</f>
        <v>99.15</v>
      </c>
      <c r="E666" s="17"/>
      <c r="N666" s="17"/>
      <c r="Q666" s="17"/>
    </row>
    <row r="667">
      <c r="B667" s="11">
        <f>IFERROR(__xludf.DUMMYFUNCTION("""COMPUTED_VALUE"""),45051.66666666667)</f>
        <v>45051.66667</v>
      </c>
      <c r="C667" s="9">
        <f>IFERROR(__xludf.DUMMYFUNCTION("""COMPUTED_VALUE"""),99.51)</f>
        <v>99.51</v>
      </c>
      <c r="E667" s="17"/>
      <c r="N667" s="17"/>
      <c r="Q667" s="17"/>
    </row>
    <row r="668">
      <c r="B668" s="11">
        <f>IFERROR(__xludf.DUMMYFUNCTION("""COMPUTED_VALUE"""),45050.66666666667)</f>
        <v>45050.66667</v>
      </c>
      <c r="C668" s="9">
        <f>IFERROR(__xludf.DUMMYFUNCTION("""COMPUTED_VALUE"""),98.03)</f>
        <v>98.03</v>
      </c>
      <c r="E668" s="17"/>
      <c r="N668" s="17"/>
      <c r="Q668" s="17"/>
    </row>
    <row r="669">
      <c r="B669" s="11">
        <f>IFERROR(__xludf.DUMMYFUNCTION("""COMPUTED_VALUE"""),45049.66666666667)</f>
        <v>45049.66667</v>
      </c>
      <c r="C669" s="9">
        <f>IFERROR(__xludf.DUMMYFUNCTION("""COMPUTED_VALUE"""),99.11)</f>
        <v>99.11</v>
      </c>
      <c r="E669" s="17"/>
      <c r="N669" s="17"/>
      <c r="Q669" s="17"/>
    </row>
    <row r="670">
      <c r="B670" s="11">
        <f>IFERROR(__xludf.DUMMYFUNCTION("""COMPUTED_VALUE"""),45048.66666666667)</f>
        <v>45048.66667</v>
      </c>
      <c r="C670" s="9">
        <f>IFERROR(__xludf.DUMMYFUNCTION("""COMPUTED_VALUE"""),99.49)</f>
        <v>99.49</v>
      </c>
      <c r="E670" s="17"/>
      <c r="N670" s="17"/>
      <c r="Q670" s="17"/>
    </row>
    <row r="671">
      <c r="B671" s="11">
        <f>IFERROR(__xludf.DUMMYFUNCTION("""COMPUTED_VALUE"""),45047.66666666667)</f>
        <v>45047.66667</v>
      </c>
      <c r="C671" s="9">
        <f>IFERROR(__xludf.DUMMYFUNCTION("""COMPUTED_VALUE"""),100.54)</f>
        <v>100.54</v>
      </c>
      <c r="E671" s="17"/>
      <c r="N671" s="17"/>
      <c r="Q671" s="17"/>
    </row>
    <row r="672">
      <c r="B672" s="11">
        <f>IFERROR(__xludf.DUMMYFUNCTION("""COMPUTED_VALUE"""),45044.66666666667)</f>
        <v>45044.66667</v>
      </c>
      <c r="C672" s="9">
        <f>IFERROR(__xludf.DUMMYFUNCTION("""COMPUTED_VALUE"""),100.0)</f>
        <v>100</v>
      </c>
      <c r="E672" s="17"/>
      <c r="N672" s="17"/>
      <c r="Q672" s="17"/>
    </row>
    <row r="673">
      <c r="B673" s="11">
        <f>IFERROR(__xludf.DUMMYFUNCTION("""COMPUTED_VALUE"""),45043.66666666667)</f>
        <v>45043.66667</v>
      </c>
      <c r="C673" s="9">
        <f>IFERROR(__xludf.DUMMYFUNCTION("""COMPUTED_VALUE"""),99.04)</f>
        <v>99.04</v>
      </c>
      <c r="E673" s="17"/>
      <c r="N673" s="17"/>
      <c r="Q673" s="17"/>
    </row>
    <row r="674">
      <c r="B674" s="11">
        <f>IFERROR(__xludf.DUMMYFUNCTION("""COMPUTED_VALUE"""),45042.66666666667)</f>
        <v>45042.66667</v>
      </c>
      <c r="C674" s="9">
        <f>IFERROR(__xludf.DUMMYFUNCTION("""COMPUTED_VALUE"""),97.12)</f>
        <v>97.12</v>
      </c>
      <c r="E674" s="17"/>
      <c r="N674" s="17"/>
      <c r="Q674" s="17"/>
    </row>
    <row r="675">
      <c r="B675" s="11">
        <f>IFERROR(__xludf.DUMMYFUNCTION("""COMPUTED_VALUE"""),45041.66666666667)</f>
        <v>45041.66667</v>
      </c>
      <c r="C675" s="9">
        <f>IFERROR(__xludf.DUMMYFUNCTION("""COMPUTED_VALUE"""),98.99)</f>
        <v>98.99</v>
      </c>
      <c r="E675" s="17"/>
      <c r="N675" s="17"/>
      <c r="Q675" s="17"/>
    </row>
    <row r="676">
      <c r="B676" s="11">
        <f>IFERROR(__xludf.DUMMYFUNCTION("""COMPUTED_VALUE"""),45040.66666666667)</f>
        <v>45040.66667</v>
      </c>
      <c r="C676" s="9">
        <f>IFERROR(__xludf.DUMMYFUNCTION("""COMPUTED_VALUE"""),100.85)</f>
        <v>100.85</v>
      </c>
      <c r="E676" s="17"/>
      <c r="N676" s="17"/>
      <c r="Q676" s="17"/>
    </row>
    <row r="677">
      <c r="B677" s="11">
        <f>IFERROR(__xludf.DUMMYFUNCTION("""COMPUTED_VALUE"""),45037.66666666667)</f>
        <v>45037.66667</v>
      </c>
      <c r="C677" s="9">
        <f>IFERROR(__xludf.DUMMYFUNCTION("""COMPUTED_VALUE"""),100.61)</f>
        <v>100.61</v>
      </c>
      <c r="E677" s="17"/>
      <c r="N677" s="17"/>
      <c r="Q677" s="17"/>
    </row>
    <row r="678">
      <c r="B678" s="11">
        <f>IFERROR(__xludf.DUMMYFUNCTION("""COMPUTED_VALUE"""),45036.66666666667)</f>
        <v>45036.66667</v>
      </c>
      <c r="C678" s="9">
        <f>IFERROR(__xludf.DUMMYFUNCTION("""COMPUTED_VALUE"""),100.84)</f>
        <v>100.84</v>
      </c>
      <c r="E678" s="17"/>
      <c r="N678" s="17"/>
      <c r="Q678" s="17"/>
    </row>
    <row r="679">
      <c r="B679" s="11">
        <f>IFERROR(__xludf.DUMMYFUNCTION("""COMPUTED_VALUE"""),45035.66666666667)</f>
        <v>45035.66667</v>
      </c>
      <c r="C679" s="9">
        <f>IFERROR(__xludf.DUMMYFUNCTION("""COMPUTED_VALUE"""),101.02)</f>
        <v>101.02</v>
      </c>
      <c r="E679" s="17"/>
      <c r="N679" s="17"/>
      <c r="Q679" s="17"/>
    </row>
    <row r="680">
      <c r="B680" s="11">
        <f>IFERROR(__xludf.DUMMYFUNCTION("""COMPUTED_VALUE"""),45034.66666666667)</f>
        <v>45034.66667</v>
      </c>
      <c r="C680" s="9">
        <f>IFERROR(__xludf.DUMMYFUNCTION("""COMPUTED_VALUE"""),101.1)</f>
        <v>101.1</v>
      </c>
      <c r="E680" s="17"/>
      <c r="N680" s="17"/>
      <c r="Q680" s="17"/>
    </row>
    <row r="681">
      <c r="B681" s="11">
        <f>IFERROR(__xludf.DUMMYFUNCTION("""COMPUTED_VALUE"""),45033.66666666667)</f>
        <v>45033.66667</v>
      </c>
      <c r="C681" s="9">
        <f>IFERROR(__xludf.DUMMYFUNCTION("""COMPUTED_VALUE"""),100.62)</f>
        <v>100.62</v>
      </c>
      <c r="E681" s="17"/>
      <c r="N681" s="17"/>
      <c r="Q681" s="17"/>
    </row>
    <row r="682">
      <c r="B682" s="11">
        <f>IFERROR(__xludf.DUMMYFUNCTION("""COMPUTED_VALUE"""),45030.66666666667)</f>
        <v>45030.66667</v>
      </c>
      <c r="C682" s="9">
        <f>IFERROR(__xludf.DUMMYFUNCTION("""COMPUTED_VALUE"""),99.83)</f>
        <v>99.83</v>
      </c>
      <c r="E682" s="17"/>
      <c r="N682" s="17"/>
      <c r="Q682" s="17"/>
    </row>
    <row r="683">
      <c r="B683" s="11">
        <f>IFERROR(__xludf.DUMMYFUNCTION("""COMPUTED_VALUE"""),45029.66666666667)</f>
        <v>45029.66667</v>
      </c>
      <c r="C683" s="9">
        <f>IFERROR(__xludf.DUMMYFUNCTION("""COMPUTED_VALUE"""),99.95)</f>
        <v>99.95</v>
      </c>
      <c r="E683" s="17"/>
      <c r="N683" s="17"/>
      <c r="Q683" s="17"/>
    </row>
    <row r="684">
      <c r="B684" s="11">
        <f>IFERROR(__xludf.DUMMYFUNCTION("""COMPUTED_VALUE"""),45028.66666666667)</f>
        <v>45028.66667</v>
      </c>
      <c r="C684" s="9">
        <f>IFERROR(__xludf.DUMMYFUNCTION("""COMPUTED_VALUE"""),99.58)</f>
        <v>99.58</v>
      </c>
      <c r="E684" s="17"/>
      <c r="N684" s="17"/>
      <c r="Q684" s="17"/>
    </row>
    <row r="685">
      <c r="B685" s="11">
        <f>IFERROR(__xludf.DUMMYFUNCTION("""COMPUTED_VALUE"""),45027.66666666667)</f>
        <v>45027.66667</v>
      </c>
      <c r="C685" s="9">
        <f>IFERROR(__xludf.DUMMYFUNCTION("""COMPUTED_VALUE"""),99.25)</f>
        <v>99.25</v>
      </c>
      <c r="E685" s="17"/>
      <c r="N685" s="17"/>
      <c r="Q685" s="17"/>
    </row>
    <row r="686">
      <c r="B686" s="11">
        <f>IFERROR(__xludf.DUMMYFUNCTION("""COMPUTED_VALUE"""),45026.66666666667)</f>
        <v>45026.66667</v>
      </c>
      <c r="C686" s="9">
        <f>IFERROR(__xludf.DUMMYFUNCTION("""COMPUTED_VALUE"""),98.66)</f>
        <v>98.66</v>
      </c>
      <c r="E686" s="17"/>
      <c r="N686" s="17"/>
      <c r="Q686" s="17"/>
    </row>
    <row r="687">
      <c r="B687" s="11">
        <f>IFERROR(__xludf.DUMMYFUNCTION("""COMPUTED_VALUE"""),45022.66666666667)</f>
        <v>45022.66667</v>
      </c>
      <c r="C687" s="9">
        <f>IFERROR(__xludf.DUMMYFUNCTION("""COMPUTED_VALUE"""),97.77)</f>
        <v>97.77</v>
      </c>
      <c r="E687" s="17"/>
      <c r="N687" s="17"/>
      <c r="Q687" s="17"/>
    </row>
    <row r="688">
      <c r="B688" s="11">
        <f>IFERROR(__xludf.DUMMYFUNCTION("""COMPUTED_VALUE"""),45021.66666666667)</f>
        <v>45021.66667</v>
      </c>
      <c r="C688" s="9">
        <f>IFERROR(__xludf.DUMMYFUNCTION("""COMPUTED_VALUE"""),97.8)</f>
        <v>97.8</v>
      </c>
      <c r="E688" s="17"/>
      <c r="N688" s="17"/>
      <c r="Q688" s="17"/>
    </row>
    <row r="689">
      <c r="B689" s="11">
        <f>IFERROR(__xludf.DUMMYFUNCTION("""COMPUTED_VALUE"""),45020.66666666667)</f>
        <v>45020.66667</v>
      </c>
      <c r="C689" s="9">
        <f>IFERROR(__xludf.DUMMYFUNCTION("""COMPUTED_VALUE"""),99.09)</f>
        <v>99.09</v>
      </c>
      <c r="E689" s="17"/>
      <c r="N689" s="17"/>
      <c r="Q689" s="17"/>
    </row>
    <row r="690">
      <c r="B690" s="11">
        <f>IFERROR(__xludf.DUMMYFUNCTION("""COMPUTED_VALUE"""),45019.66666666667)</f>
        <v>45019.66667</v>
      </c>
      <c r="C690" s="9">
        <f>IFERROR(__xludf.DUMMYFUNCTION("""COMPUTED_VALUE"""),101.36)</f>
        <v>101.36</v>
      </c>
      <c r="E690" s="17"/>
      <c r="N690" s="17"/>
      <c r="Q690" s="17"/>
    </row>
    <row r="691">
      <c r="B691" s="11">
        <f>IFERROR(__xludf.DUMMYFUNCTION("""COMPUTED_VALUE"""),45016.66666666667)</f>
        <v>45016.66667</v>
      </c>
      <c r="C691" s="9">
        <f>IFERROR(__xludf.DUMMYFUNCTION("""COMPUTED_VALUE"""),101.18)</f>
        <v>101.18</v>
      </c>
      <c r="E691" s="17"/>
      <c r="N691" s="17"/>
      <c r="Q691" s="17"/>
    </row>
    <row r="692">
      <c r="B692" s="11">
        <f>IFERROR(__xludf.DUMMYFUNCTION("""COMPUTED_VALUE"""),45015.66666666667)</f>
        <v>45015.66667</v>
      </c>
      <c r="C692" s="9">
        <f>IFERROR(__xludf.DUMMYFUNCTION("""COMPUTED_VALUE"""),99.86)</f>
        <v>99.86</v>
      </c>
      <c r="E692" s="17"/>
      <c r="N692" s="17"/>
      <c r="Q692" s="17"/>
    </row>
    <row r="693">
      <c r="B693" s="11">
        <f>IFERROR(__xludf.DUMMYFUNCTION("""COMPUTED_VALUE"""),45014.66666666667)</f>
        <v>45014.66667</v>
      </c>
      <c r="C693" s="9">
        <f>IFERROR(__xludf.DUMMYFUNCTION("""COMPUTED_VALUE"""),99.65)</f>
        <v>99.65</v>
      </c>
      <c r="E693" s="17"/>
      <c r="N693" s="17"/>
      <c r="Q693" s="17"/>
    </row>
    <row r="694">
      <c r="B694" s="11">
        <f>IFERROR(__xludf.DUMMYFUNCTION("""COMPUTED_VALUE"""),45013.66666666667)</f>
        <v>45013.66667</v>
      </c>
      <c r="C694" s="9">
        <f>IFERROR(__xludf.DUMMYFUNCTION("""COMPUTED_VALUE"""),98.22)</f>
        <v>98.22</v>
      </c>
      <c r="E694" s="17"/>
      <c r="N694" s="17"/>
      <c r="Q694" s="17"/>
    </row>
    <row r="695">
      <c r="B695" s="11">
        <f>IFERROR(__xludf.DUMMYFUNCTION("""COMPUTED_VALUE"""),45012.66666666667)</f>
        <v>45012.66667</v>
      </c>
      <c r="C695" s="9">
        <f>IFERROR(__xludf.DUMMYFUNCTION("""COMPUTED_VALUE"""),97.72)</f>
        <v>97.72</v>
      </c>
      <c r="E695" s="17"/>
      <c r="N695" s="17"/>
      <c r="Q695" s="17"/>
    </row>
    <row r="696">
      <c r="B696" s="11">
        <f>IFERROR(__xludf.DUMMYFUNCTION("""COMPUTED_VALUE"""),45009.66666666667)</f>
        <v>45009.66667</v>
      </c>
      <c r="C696" s="9">
        <f>IFERROR(__xludf.DUMMYFUNCTION("""COMPUTED_VALUE"""),96.91)</f>
        <v>96.91</v>
      </c>
      <c r="E696" s="17"/>
      <c r="N696" s="17"/>
      <c r="Q696" s="17"/>
    </row>
    <row r="697">
      <c r="B697" s="11">
        <f>IFERROR(__xludf.DUMMYFUNCTION("""COMPUTED_VALUE"""),45008.66666666667)</f>
        <v>45008.66667</v>
      </c>
      <c r="C697" s="9">
        <f>IFERROR(__xludf.DUMMYFUNCTION("""COMPUTED_VALUE"""),96.51)</f>
        <v>96.51</v>
      </c>
      <c r="E697" s="17"/>
      <c r="N697" s="17"/>
      <c r="Q697" s="17"/>
    </row>
    <row r="698">
      <c r="B698" s="11">
        <f>IFERROR(__xludf.DUMMYFUNCTION("""COMPUTED_VALUE"""),45007.66666666667)</f>
        <v>45007.66667</v>
      </c>
      <c r="C698" s="9">
        <f>IFERROR(__xludf.DUMMYFUNCTION("""COMPUTED_VALUE"""),96.79)</f>
        <v>96.79</v>
      </c>
      <c r="E698" s="17"/>
      <c r="N698" s="17"/>
      <c r="Q698" s="17"/>
    </row>
    <row r="699">
      <c r="B699" s="11">
        <f>IFERROR(__xludf.DUMMYFUNCTION("""COMPUTED_VALUE"""),45006.66666666667)</f>
        <v>45006.66667</v>
      </c>
      <c r="C699" s="9">
        <f>IFERROR(__xludf.DUMMYFUNCTION("""COMPUTED_VALUE"""),98.68)</f>
        <v>98.68</v>
      </c>
      <c r="E699" s="17"/>
      <c r="N699" s="17"/>
      <c r="Q699" s="17"/>
    </row>
    <row r="700">
      <c r="B700" s="11">
        <f>IFERROR(__xludf.DUMMYFUNCTION("""COMPUTED_VALUE"""),45005.66666666667)</f>
        <v>45005.66667</v>
      </c>
      <c r="C700" s="9">
        <f>IFERROR(__xludf.DUMMYFUNCTION("""COMPUTED_VALUE"""),97.55)</f>
        <v>97.55</v>
      </c>
      <c r="E700" s="17"/>
      <c r="N700" s="17"/>
      <c r="Q700" s="17"/>
    </row>
    <row r="701">
      <c r="B701" s="11">
        <f>IFERROR(__xludf.DUMMYFUNCTION("""COMPUTED_VALUE"""),45002.66666666667)</f>
        <v>45002.66667</v>
      </c>
      <c r="C701" s="9">
        <f>IFERROR(__xludf.DUMMYFUNCTION("""COMPUTED_VALUE"""),96.67)</f>
        <v>96.67</v>
      </c>
      <c r="E701" s="17"/>
      <c r="N701" s="17"/>
      <c r="Q701" s="17"/>
    </row>
    <row r="702">
      <c r="B702" s="11">
        <f>IFERROR(__xludf.DUMMYFUNCTION("""COMPUTED_VALUE"""),45001.66666666667)</f>
        <v>45001.66667</v>
      </c>
      <c r="C702" s="9">
        <f>IFERROR(__xludf.DUMMYFUNCTION("""COMPUTED_VALUE"""),98.28)</f>
        <v>98.28</v>
      </c>
      <c r="E702" s="17"/>
      <c r="N702" s="17"/>
      <c r="Q702" s="17"/>
    </row>
    <row r="703">
      <c r="B703" s="11">
        <f>IFERROR(__xludf.DUMMYFUNCTION("""COMPUTED_VALUE"""),45000.66666666667)</f>
        <v>45000.66667</v>
      </c>
      <c r="C703" s="9">
        <f>IFERROR(__xludf.DUMMYFUNCTION("""COMPUTED_VALUE"""),97.03)</f>
        <v>97.03</v>
      </c>
      <c r="E703" s="17"/>
      <c r="N703" s="17"/>
      <c r="Q703" s="17"/>
    </row>
    <row r="704">
      <c r="B704" s="11">
        <f>IFERROR(__xludf.DUMMYFUNCTION("""COMPUTED_VALUE"""),44999.66666666667)</f>
        <v>44999.66667</v>
      </c>
      <c r="C704" s="9">
        <f>IFERROR(__xludf.DUMMYFUNCTION("""COMPUTED_VALUE"""),99.48)</f>
        <v>99.48</v>
      </c>
      <c r="E704" s="17"/>
      <c r="N704" s="17"/>
      <c r="Q704" s="17"/>
    </row>
    <row r="705">
      <c r="B705" s="11">
        <f>IFERROR(__xludf.DUMMYFUNCTION("""COMPUTED_VALUE"""),44998.66666666667)</f>
        <v>44998.66667</v>
      </c>
      <c r="C705" s="9">
        <f>IFERROR(__xludf.DUMMYFUNCTION("""COMPUTED_VALUE"""),98.44)</f>
        <v>98.44</v>
      </c>
      <c r="E705" s="17"/>
      <c r="N705" s="17"/>
      <c r="Q705" s="17"/>
    </row>
    <row r="706">
      <c r="B706" s="11">
        <f>IFERROR(__xludf.DUMMYFUNCTION("""COMPUTED_VALUE"""),44995.66666666667)</f>
        <v>44995.66667</v>
      </c>
      <c r="C706" s="9">
        <f>IFERROR(__xludf.DUMMYFUNCTION("""COMPUTED_VALUE"""),99.0)</f>
        <v>99</v>
      </c>
      <c r="E706" s="17"/>
      <c r="N706" s="17"/>
      <c r="Q706" s="17"/>
    </row>
    <row r="707">
      <c r="B707" s="11">
        <f>IFERROR(__xludf.DUMMYFUNCTION("""COMPUTED_VALUE"""),44994.66666666667)</f>
        <v>44994.66667</v>
      </c>
      <c r="C707" s="9">
        <f>IFERROR(__xludf.DUMMYFUNCTION("""COMPUTED_VALUE"""),100.88)</f>
        <v>100.88</v>
      </c>
      <c r="E707" s="17"/>
      <c r="N707" s="17"/>
      <c r="Q707" s="17"/>
    </row>
    <row r="708">
      <c r="B708" s="11">
        <f>IFERROR(__xludf.DUMMYFUNCTION("""COMPUTED_VALUE"""),44993.66666666667)</f>
        <v>44993.66667</v>
      </c>
      <c r="C708" s="9">
        <f>IFERROR(__xludf.DUMMYFUNCTION("""COMPUTED_VALUE"""),102.39)</f>
        <v>102.39</v>
      </c>
      <c r="E708" s="17"/>
      <c r="N708" s="17"/>
      <c r="Q708" s="17"/>
    </row>
    <row r="709">
      <c r="B709" s="11">
        <f>IFERROR(__xludf.DUMMYFUNCTION("""COMPUTED_VALUE"""),44992.66666666667)</f>
        <v>44992.66667</v>
      </c>
      <c r="C709" s="9">
        <f>IFERROR(__xludf.DUMMYFUNCTION("""COMPUTED_VALUE"""),102.15)</f>
        <v>102.15</v>
      </c>
      <c r="E709" s="17"/>
      <c r="N709" s="17"/>
      <c r="Q709" s="17"/>
    </row>
    <row r="710">
      <c r="B710" s="11">
        <f>IFERROR(__xludf.DUMMYFUNCTION("""COMPUTED_VALUE"""),44991.66666666667)</f>
        <v>44991.66667</v>
      </c>
      <c r="C710" s="9">
        <f>IFERROR(__xludf.DUMMYFUNCTION("""COMPUTED_VALUE"""),103.48)</f>
        <v>103.48</v>
      </c>
      <c r="E710" s="17"/>
      <c r="N710" s="17"/>
      <c r="Q710" s="17"/>
    </row>
    <row r="711">
      <c r="B711" s="11">
        <f>IFERROR(__xludf.DUMMYFUNCTION("""COMPUTED_VALUE"""),44988.66666666667)</f>
        <v>44988.66667</v>
      </c>
      <c r="C711" s="9">
        <f>IFERROR(__xludf.DUMMYFUNCTION("""COMPUTED_VALUE"""),103.67)</f>
        <v>103.67</v>
      </c>
      <c r="E711" s="17"/>
      <c r="N711" s="17"/>
      <c r="Q711" s="17"/>
    </row>
    <row r="712">
      <c r="B712" s="11">
        <f>IFERROR(__xludf.DUMMYFUNCTION("""COMPUTED_VALUE"""),44987.66666666667)</f>
        <v>44987.66667</v>
      </c>
      <c r="C712" s="9">
        <f>IFERROR(__xludf.DUMMYFUNCTION("""COMPUTED_VALUE"""),102.56)</f>
        <v>102.56</v>
      </c>
      <c r="E712" s="17"/>
      <c r="N712" s="17"/>
      <c r="Q712" s="17"/>
    </row>
    <row r="713">
      <c r="B713" s="11">
        <f>IFERROR(__xludf.DUMMYFUNCTION("""COMPUTED_VALUE"""),44986.66666666667)</f>
        <v>44986.66667</v>
      </c>
      <c r="C713" s="9">
        <f>IFERROR(__xludf.DUMMYFUNCTION("""COMPUTED_VALUE"""),101.37)</f>
        <v>101.37</v>
      </c>
      <c r="E713" s="17"/>
      <c r="N713" s="17"/>
      <c r="Q713" s="17"/>
    </row>
    <row r="714">
      <c r="B714" s="11">
        <f>IFERROR(__xludf.DUMMYFUNCTION("""COMPUTED_VALUE"""),44985.66666666667)</f>
        <v>44985.66667</v>
      </c>
      <c r="C714" s="9">
        <f>IFERROR(__xludf.DUMMYFUNCTION("""COMPUTED_VALUE"""),100.97)</f>
        <v>100.97</v>
      </c>
      <c r="E714" s="17"/>
      <c r="N714" s="17"/>
      <c r="Q714" s="17"/>
    </row>
    <row r="715">
      <c r="B715" s="11">
        <f>IFERROR(__xludf.DUMMYFUNCTION("""COMPUTED_VALUE"""),44984.66666666667)</f>
        <v>44984.66667</v>
      </c>
      <c r="C715" s="9">
        <f>IFERROR(__xludf.DUMMYFUNCTION("""COMPUTED_VALUE"""),101.2)</f>
        <v>101.2</v>
      </c>
      <c r="E715" s="17"/>
      <c r="N715" s="17"/>
      <c r="Q715" s="17"/>
    </row>
    <row r="716">
      <c r="B716" s="11">
        <f>IFERROR(__xludf.DUMMYFUNCTION("""COMPUTED_VALUE"""),44981.66666666667)</f>
        <v>44981.66667</v>
      </c>
      <c r="C716" s="9">
        <f>IFERROR(__xludf.DUMMYFUNCTION("""COMPUTED_VALUE"""),100.31)</f>
        <v>100.31</v>
      </c>
      <c r="E716" s="17"/>
      <c r="N716" s="17"/>
      <c r="Q716" s="17"/>
    </row>
    <row r="717">
      <c r="B717" s="11">
        <f>IFERROR(__xludf.DUMMYFUNCTION("""COMPUTED_VALUE"""),44980.66666666667)</f>
        <v>44980.66667</v>
      </c>
      <c r="C717" s="9">
        <f>IFERROR(__xludf.DUMMYFUNCTION("""COMPUTED_VALUE"""),100.89)</f>
        <v>100.89</v>
      </c>
      <c r="E717" s="17"/>
      <c r="N717" s="17"/>
      <c r="Q717" s="17"/>
    </row>
    <row r="718">
      <c r="B718" s="11">
        <f>IFERROR(__xludf.DUMMYFUNCTION("""COMPUTED_VALUE"""),44979.66666666667)</f>
        <v>44979.66667</v>
      </c>
      <c r="C718" s="9">
        <f>IFERROR(__xludf.DUMMYFUNCTION("""COMPUTED_VALUE"""),100.42)</f>
        <v>100.42</v>
      </c>
      <c r="E718" s="17"/>
      <c r="N718" s="17"/>
      <c r="Q718" s="17"/>
    </row>
    <row r="719">
      <c r="B719" s="11">
        <f>IFERROR(__xludf.DUMMYFUNCTION("""COMPUTED_VALUE"""),44978.66666666667)</f>
        <v>44978.66667</v>
      </c>
      <c r="C719" s="9">
        <f>IFERROR(__xludf.DUMMYFUNCTION("""COMPUTED_VALUE"""),100.67)</f>
        <v>100.67</v>
      </c>
      <c r="E719" s="17"/>
      <c r="N719" s="17"/>
      <c r="Q719" s="17"/>
    </row>
    <row r="720">
      <c r="B720" s="11">
        <f>IFERROR(__xludf.DUMMYFUNCTION("""COMPUTED_VALUE"""),44974.66666666667)</f>
        <v>44974.66667</v>
      </c>
      <c r="C720" s="9">
        <f>IFERROR(__xludf.DUMMYFUNCTION("""COMPUTED_VALUE"""),103.03)</f>
        <v>103.03</v>
      </c>
      <c r="E720" s="17"/>
      <c r="N720" s="17"/>
      <c r="Q720" s="17"/>
    </row>
    <row r="721">
      <c r="B721" s="11">
        <f>IFERROR(__xludf.DUMMYFUNCTION("""COMPUTED_VALUE"""),44973.66666666667)</f>
        <v>44973.66667</v>
      </c>
      <c r="C721" s="9">
        <f>IFERROR(__xludf.DUMMYFUNCTION("""COMPUTED_VALUE"""),102.36)</f>
        <v>102.36</v>
      </c>
      <c r="E721" s="17"/>
      <c r="N721" s="17"/>
      <c r="Q721" s="17"/>
    </row>
    <row r="722">
      <c r="B722" s="11">
        <f>IFERROR(__xludf.DUMMYFUNCTION("""COMPUTED_VALUE"""),44972.66666666667)</f>
        <v>44972.66667</v>
      </c>
      <c r="C722" s="9">
        <f>IFERROR(__xludf.DUMMYFUNCTION("""COMPUTED_VALUE"""),103.43)</f>
        <v>103.43</v>
      </c>
      <c r="E722" s="17"/>
      <c r="N722" s="17"/>
      <c r="Q722" s="17"/>
    </row>
    <row r="723">
      <c r="B723" s="11">
        <f>IFERROR(__xludf.DUMMYFUNCTION("""COMPUTED_VALUE"""),44971.66666666667)</f>
        <v>44971.66667</v>
      </c>
      <c r="C723" s="9">
        <f>IFERROR(__xludf.DUMMYFUNCTION("""COMPUTED_VALUE"""),102.79)</f>
        <v>102.79</v>
      </c>
      <c r="E723" s="17"/>
      <c r="N723" s="17"/>
      <c r="Q723" s="17"/>
    </row>
    <row r="724">
      <c r="B724" s="11">
        <f>IFERROR(__xludf.DUMMYFUNCTION("""COMPUTED_VALUE"""),44970.66666666667)</f>
        <v>44970.66667</v>
      </c>
      <c r="C724" s="9">
        <f>IFERROR(__xludf.DUMMYFUNCTION("""COMPUTED_VALUE"""),103.07)</f>
        <v>103.07</v>
      </c>
      <c r="E724" s="17"/>
      <c r="N724" s="17"/>
      <c r="Q724" s="17"/>
    </row>
    <row r="725">
      <c r="B725" s="11">
        <f>IFERROR(__xludf.DUMMYFUNCTION("""COMPUTED_VALUE"""),44967.66666666667)</f>
        <v>44967.66667</v>
      </c>
      <c r="C725" s="9">
        <f>IFERROR(__xludf.DUMMYFUNCTION("""COMPUTED_VALUE"""),102.14)</f>
        <v>102.14</v>
      </c>
      <c r="E725" s="17"/>
      <c r="N725" s="17"/>
      <c r="Q725" s="17"/>
    </row>
    <row r="726">
      <c r="B726" s="11">
        <f>IFERROR(__xludf.DUMMYFUNCTION("""COMPUTED_VALUE"""),44966.66666666667)</f>
        <v>44966.66667</v>
      </c>
      <c r="C726" s="9">
        <f>IFERROR(__xludf.DUMMYFUNCTION("""COMPUTED_VALUE"""),101.42)</f>
        <v>101.42</v>
      </c>
      <c r="E726" s="17"/>
      <c r="N726" s="17"/>
      <c r="Q726" s="17"/>
    </row>
    <row r="727">
      <c r="B727" s="11">
        <f>IFERROR(__xludf.DUMMYFUNCTION("""COMPUTED_VALUE"""),44965.66666666667)</f>
        <v>44965.66667</v>
      </c>
      <c r="C727" s="9">
        <f>IFERROR(__xludf.DUMMYFUNCTION("""COMPUTED_VALUE"""),102.34)</f>
        <v>102.34</v>
      </c>
      <c r="E727" s="17"/>
      <c r="N727" s="17"/>
      <c r="Q727" s="17"/>
    </row>
    <row r="728">
      <c r="B728" s="11">
        <f>IFERROR(__xludf.DUMMYFUNCTION("""COMPUTED_VALUE"""),44964.66666666667)</f>
        <v>44964.66667</v>
      </c>
      <c r="C728" s="9">
        <f>IFERROR(__xludf.DUMMYFUNCTION("""COMPUTED_VALUE"""),102.92)</f>
        <v>102.92</v>
      </c>
      <c r="E728" s="17"/>
      <c r="N728" s="17"/>
      <c r="Q728" s="17"/>
    </row>
    <row r="729">
      <c r="B729" s="11">
        <f>IFERROR(__xludf.DUMMYFUNCTION("""COMPUTED_VALUE"""),44963.66666666667)</f>
        <v>44963.66667</v>
      </c>
      <c r="C729" s="9">
        <f>IFERROR(__xludf.DUMMYFUNCTION("""COMPUTED_VALUE"""),102.6)</f>
        <v>102.6</v>
      </c>
      <c r="E729" s="17"/>
      <c r="N729" s="17"/>
      <c r="Q729" s="17"/>
    </row>
    <row r="730">
      <c r="B730" s="11">
        <f>IFERROR(__xludf.DUMMYFUNCTION("""COMPUTED_VALUE"""),44960.66666666667)</f>
        <v>44960.66667</v>
      </c>
      <c r="C730" s="9">
        <f>IFERROR(__xludf.DUMMYFUNCTION("""COMPUTED_VALUE"""),102.85)</f>
        <v>102.85</v>
      </c>
      <c r="E730" s="17"/>
      <c r="N730" s="17"/>
      <c r="Q730" s="17"/>
    </row>
    <row r="731">
      <c r="B731" s="11">
        <f>IFERROR(__xludf.DUMMYFUNCTION("""COMPUTED_VALUE"""),44959.66666666667)</f>
        <v>44959.66667</v>
      </c>
      <c r="C731" s="9">
        <f>IFERROR(__xludf.DUMMYFUNCTION("""COMPUTED_VALUE"""),103.39)</f>
        <v>103.39</v>
      </c>
      <c r="E731" s="17"/>
      <c r="N731" s="17"/>
      <c r="Q731" s="17"/>
    </row>
    <row r="732">
      <c r="B732" s="11">
        <f>IFERROR(__xludf.DUMMYFUNCTION("""COMPUTED_VALUE"""),44958.66666666667)</f>
        <v>44958.66667</v>
      </c>
      <c r="C732" s="9">
        <f>IFERROR(__xludf.DUMMYFUNCTION("""COMPUTED_VALUE"""),102.59)</f>
        <v>102.59</v>
      </c>
      <c r="E732" s="17"/>
      <c r="N732" s="17"/>
      <c r="Q732" s="17"/>
    </row>
    <row r="733">
      <c r="B733" s="11">
        <f>IFERROR(__xludf.DUMMYFUNCTION("""COMPUTED_VALUE"""),44957.66666666667)</f>
        <v>44957.66667</v>
      </c>
      <c r="C733" s="9">
        <f>IFERROR(__xludf.DUMMYFUNCTION("""COMPUTED_VALUE"""),101.85)</f>
        <v>101.85</v>
      </c>
      <c r="E733" s="17"/>
      <c r="N733" s="17"/>
      <c r="Q733" s="17"/>
    </row>
    <row r="734">
      <c r="B734" s="11">
        <f>IFERROR(__xludf.DUMMYFUNCTION("""COMPUTED_VALUE"""),44956.66666666667)</f>
        <v>44956.66667</v>
      </c>
      <c r="C734" s="9">
        <f>IFERROR(__xludf.DUMMYFUNCTION("""COMPUTED_VALUE"""),100.15)</f>
        <v>100.15</v>
      </c>
      <c r="E734" s="17"/>
      <c r="N734" s="17"/>
      <c r="Q734" s="17"/>
    </row>
    <row r="735">
      <c r="B735" s="11">
        <f>IFERROR(__xludf.DUMMYFUNCTION("""COMPUTED_VALUE"""),44953.66666666667)</f>
        <v>44953.66667</v>
      </c>
      <c r="C735" s="9">
        <f>IFERROR(__xludf.DUMMYFUNCTION("""COMPUTED_VALUE"""),101.14)</f>
        <v>101.14</v>
      </c>
      <c r="E735" s="17"/>
      <c r="N735" s="17"/>
      <c r="Q735" s="17"/>
    </row>
    <row r="736">
      <c r="B736" s="11">
        <f>IFERROR(__xludf.DUMMYFUNCTION("""COMPUTED_VALUE"""),44952.66666666667)</f>
        <v>44952.66667</v>
      </c>
      <c r="C736" s="9">
        <f>IFERROR(__xludf.DUMMYFUNCTION("""COMPUTED_VALUE"""),100.72)</f>
        <v>100.72</v>
      </c>
      <c r="E736" s="17"/>
      <c r="N736" s="17"/>
      <c r="Q736" s="17"/>
    </row>
    <row r="737">
      <c r="B737" s="11">
        <f>IFERROR(__xludf.DUMMYFUNCTION("""COMPUTED_VALUE"""),44951.66666666667)</f>
        <v>44951.66667</v>
      </c>
      <c r="C737" s="9">
        <f>IFERROR(__xludf.DUMMYFUNCTION("""COMPUTED_VALUE"""),100.17)</f>
        <v>100.17</v>
      </c>
      <c r="E737" s="17"/>
      <c r="N737" s="17"/>
      <c r="Q737" s="17"/>
    </row>
    <row r="738">
      <c r="B738" s="11">
        <f>IFERROR(__xludf.DUMMYFUNCTION("""COMPUTED_VALUE"""),44950.66666666667)</f>
        <v>44950.66667</v>
      </c>
      <c r="C738" s="9">
        <f>IFERROR(__xludf.DUMMYFUNCTION("""COMPUTED_VALUE"""),100.73)</f>
        <v>100.73</v>
      </c>
      <c r="E738" s="17"/>
      <c r="N738" s="17"/>
      <c r="Q738" s="17"/>
    </row>
    <row r="739">
      <c r="B739" s="11">
        <f>IFERROR(__xludf.DUMMYFUNCTION("""COMPUTED_VALUE"""),44949.66666666667)</f>
        <v>44949.66667</v>
      </c>
      <c r="C739" s="9">
        <f>IFERROR(__xludf.DUMMYFUNCTION("""COMPUTED_VALUE"""),100.07)</f>
        <v>100.07</v>
      </c>
      <c r="E739" s="17"/>
      <c r="N739" s="17"/>
      <c r="Q739" s="17"/>
    </row>
    <row r="740">
      <c r="B740" s="11">
        <f>IFERROR(__xludf.DUMMYFUNCTION("""COMPUTED_VALUE"""),44946.66666666667)</f>
        <v>44946.66667</v>
      </c>
      <c r="C740" s="9">
        <f>IFERROR(__xludf.DUMMYFUNCTION("""COMPUTED_VALUE"""),98.99)</f>
        <v>98.99</v>
      </c>
      <c r="E740" s="17"/>
      <c r="N740" s="17"/>
      <c r="Q740" s="17"/>
    </row>
    <row r="741">
      <c r="B741" s="11">
        <f>IFERROR(__xludf.DUMMYFUNCTION("""COMPUTED_VALUE"""),44945.66666666667)</f>
        <v>44945.66667</v>
      </c>
      <c r="C741" s="9">
        <f>IFERROR(__xludf.DUMMYFUNCTION("""COMPUTED_VALUE"""),97.63)</f>
        <v>97.63</v>
      </c>
      <c r="E741" s="17"/>
      <c r="N741" s="17"/>
      <c r="Q741" s="17"/>
    </row>
    <row r="742">
      <c r="B742" s="11">
        <f>IFERROR(__xludf.DUMMYFUNCTION("""COMPUTED_VALUE"""),44944.66666666667)</f>
        <v>44944.66667</v>
      </c>
      <c r="C742" s="9">
        <f>IFERROR(__xludf.DUMMYFUNCTION("""COMPUTED_VALUE"""),99.68)</f>
        <v>99.68</v>
      </c>
      <c r="E742" s="17"/>
      <c r="N742" s="17"/>
      <c r="Q742" s="17"/>
    </row>
    <row r="743">
      <c r="B743" s="11">
        <f>IFERROR(__xludf.DUMMYFUNCTION("""COMPUTED_VALUE"""),44943.66666666667)</f>
        <v>44943.66667</v>
      </c>
      <c r="C743" s="9">
        <f>IFERROR(__xludf.DUMMYFUNCTION("""COMPUTED_VALUE"""),101.59)</f>
        <v>101.59</v>
      </c>
      <c r="E743" s="17"/>
      <c r="N743" s="17"/>
      <c r="Q743" s="17"/>
    </row>
    <row r="744">
      <c r="B744" s="11">
        <f>IFERROR(__xludf.DUMMYFUNCTION("""COMPUTED_VALUE"""),44939.66666666667)</f>
        <v>44939.66667</v>
      </c>
      <c r="C744" s="9">
        <f>IFERROR(__xludf.DUMMYFUNCTION("""COMPUTED_VALUE"""),102.46)</f>
        <v>102.46</v>
      </c>
      <c r="E744" s="17"/>
      <c r="N744" s="17"/>
      <c r="Q744" s="17"/>
    </row>
    <row r="745">
      <c r="B745" s="11">
        <f>IFERROR(__xludf.DUMMYFUNCTION("""COMPUTED_VALUE"""),44938.66666666667)</f>
        <v>44938.66667</v>
      </c>
      <c r="C745" s="9">
        <f>IFERROR(__xludf.DUMMYFUNCTION("""COMPUTED_VALUE"""),102.58)</f>
        <v>102.58</v>
      </c>
      <c r="E745" s="17"/>
      <c r="N745" s="17"/>
      <c r="Q745" s="17"/>
    </row>
    <row r="746">
      <c r="B746" s="11">
        <f>IFERROR(__xludf.DUMMYFUNCTION("""COMPUTED_VALUE"""),44937.66666666667)</f>
        <v>44937.66667</v>
      </c>
      <c r="C746" s="9">
        <f>IFERROR(__xludf.DUMMYFUNCTION("""COMPUTED_VALUE"""),101.98)</f>
        <v>101.98</v>
      </c>
      <c r="E746" s="17"/>
      <c r="N746" s="17"/>
      <c r="Q746" s="17"/>
    </row>
    <row r="747">
      <c r="B747" s="11">
        <f>IFERROR(__xludf.DUMMYFUNCTION("""COMPUTED_VALUE"""),44936.66666666667)</f>
        <v>44936.66667</v>
      </c>
      <c r="C747" s="9">
        <f>IFERROR(__xludf.DUMMYFUNCTION("""COMPUTED_VALUE"""),101.01)</f>
        <v>101.01</v>
      </c>
      <c r="E747" s="17"/>
      <c r="N747" s="17"/>
      <c r="Q747" s="17"/>
    </row>
    <row r="748">
      <c r="B748" s="11">
        <f>IFERROR(__xludf.DUMMYFUNCTION("""COMPUTED_VALUE"""),44935.66666666667)</f>
        <v>44935.66667</v>
      </c>
      <c r="C748" s="9">
        <f>IFERROR(__xludf.DUMMYFUNCTION("""COMPUTED_VALUE"""),100.46)</f>
        <v>100.46</v>
      </c>
      <c r="E748" s="17"/>
      <c r="N748" s="17"/>
      <c r="Q748" s="17"/>
    </row>
    <row r="749">
      <c r="B749" s="11">
        <f>IFERROR(__xludf.DUMMYFUNCTION("""COMPUTED_VALUE"""),44932.66666666667)</f>
        <v>44932.66667</v>
      </c>
      <c r="C749" s="9">
        <f>IFERROR(__xludf.DUMMYFUNCTION("""COMPUTED_VALUE"""),100.91)</f>
        <v>100.91</v>
      </c>
      <c r="E749" s="17"/>
      <c r="N749" s="17"/>
      <c r="Q749" s="17"/>
    </row>
    <row r="750">
      <c r="B750" s="11">
        <f>IFERROR(__xludf.DUMMYFUNCTION("""COMPUTED_VALUE"""),44931.66666666667)</f>
        <v>44931.66667</v>
      </c>
      <c r="C750" s="9">
        <f>IFERROR(__xludf.DUMMYFUNCTION("""COMPUTED_VALUE"""),98.22)</f>
        <v>98.22</v>
      </c>
      <c r="E750" s="17"/>
      <c r="N750" s="17"/>
      <c r="Q750" s="17"/>
    </row>
    <row r="751">
      <c r="B751" s="11">
        <f>IFERROR(__xludf.DUMMYFUNCTION("""COMPUTED_VALUE"""),44930.66666666667)</f>
        <v>44930.66667</v>
      </c>
      <c r="C751" s="9">
        <f>IFERROR(__xludf.DUMMYFUNCTION("""COMPUTED_VALUE"""),99.29)</f>
        <v>99.29</v>
      </c>
      <c r="E751" s="17"/>
      <c r="N751" s="17"/>
      <c r="Q751" s="17"/>
    </row>
    <row r="752">
      <c r="B752" s="11">
        <f>IFERROR(__xludf.DUMMYFUNCTION("""COMPUTED_VALUE"""),44929.66666666667)</f>
        <v>44929.66667</v>
      </c>
      <c r="C752" s="9">
        <f>IFERROR(__xludf.DUMMYFUNCTION("""COMPUTED_VALUE"""),98.42)</f>
        <v>98.42</v>
      </c>
      <c r="E752" s="17"/>
      <c r="N752" s="17"/>
      <c r="Q752" s="17"/>
    </row>
    <row r="753">
      <c r="B753" s="11">
        <f>IFERROR(__xludf.DUMMYFUNCTION("""COMPUTED_VALUE"""),44925.66666666667)</f>
        <v>44925.66667</v>
      </c>
      <c r="C753" s="9">
        <f>IFERROR(__xludf.DUMMYFUNCTION("""COMPUTED_VALUE"""),98.21)</f>
        <v>98.21</v>
      </c>
      <c r="E753" s="17"/>
      <c r="N753" s="17"/>
      <c r="Q753" s="17"/>
    </row>
    <row r="754">
      <c r="B754" s="11">
        <f>IFERROR(__xludf.DUMMYFUNCTION("""COMPUTED_VALUE"""),44924.66666666667)</f>
        <v>44924.66667</v>
      </c>
      <c r="C754" s="9">
        <f>IFERROR(__xludf.DUMMYFUNCTION("""COMPUTED_VALUE"""),98.6)</f>
        <v>98.6</v>
      </c>
      <c r="E754" s="17"/>
      <c r="N754" s="17"/>
      <c r="Q754" s="17"/>
    </row>
    <row r="755">
      <c r="B755" s="11">
        <f>IFERROR(__xludf.DUMMYFUNCTION("""COMPUTED_VALUE"""),44923.66666666667)</f>
        <v>44923.66667</v>
      </c>
      <c r="C755" s="9">
        <f>IFERROR(__xludf.DUMMYFUNCTION("""COMPUTED_VALUE"""),97.4)</f>
        <v>97.4</v>
      </c>
      <c r="E755" s="17"/>
      <c r="N755" s="17"/>
      <c r="Q755" s="17"/>
    </row>
    <row r="756">
      <c r="B756" s="11">
        <f>IFERROR(__xludf.DUMMYFUNCTION("""COMPUTED_VALUE"""),44922.66666666667)</f>
        <v>44922.66667</v>
      </c>
      <c r="C756" s="9">
        <f>IFERROR(__xludf.DUMMYFUNCTION("""COMPUTED_VALUE"""),98.69)</f>
        <v>98.69</v>
      </c>
      <c r="E756" s="17"/>
      <c r="N756" s="17"/>
      <c r="Q756" s="17"/>
    </row>
    <row r="757">
      <c r="B757" s="11">
        <f>IFERROR(__xludf.DUMMYFUNCTION("""COMPUTED_VALUE"""),44918.66666666667)</f>
        <v>44918.66667</v>
      </c>
      <c r="C757" s="9">
        <f>IFERROR(__xludf.DUMMYFUNCTION("""COMPUTED_VALUE"""),98.39)</f>
        <v>98.39</v>
      </c>
      <c r="E757" s="17"/>
      <c r="N757" s="17"/>
      <c r="Q757" s="17"/>
    </row>
    <row r="758">
      <c r="B758" s="11">
        <f>IFERROR(__xludf.DUMMYFUNCTION("""COMPUTED_VALUE"""),44917.66666666667)</f>
        <v>44917.66667</v>
      </c>
      <c r="C758" s="9">
        <f>IFERROR(__xludf.DUMMYFUNCTION("""COMPUTED_VALUE"""),97.81)</f>
        <v>97.81</v>
      </c>
      <c r="E758" s="17"/>
      <c r="N758" s="17"/>
      <c r="Q758" s="17"/>
    </row>
    <row r="759">
      <c r="B759" s="11">
        <f>IFERROR(__xludf.DUMMYFUNCTION("""COMPUTED_VALUE"""),44916.66666666667)</f>
        <v>44916.66667</v>
      </c>
      <c r="C759" s="9">
        <f>IFERROR(__xludf.DUMMYFUNCTION("""COMPUTED_VALUE"""),99.07)</f>
        <v>99.07</v>
      </c>
      <c r="E759" s="17"/>
      <c r="N759" s="17"/>
      <c r="Q759" s="17"/>
    </row>
    <row r="760">
      <c r="B760" s="11">
        <f>IFERROR(__xludf.DUMMYFUNCTION("""COMPUTED_VALUE"""),44915.66666666667)</f>
        <v>44915.66667</v>
      </c>
      <c r="C760" s="9">
        <f>IFERROR(__xludf.DUMMYFUNCTION("""COMPUTED_VALUE"""),97.24)</f>
        <v>97.24</v>
      </c>
      <c r="E760" s="17"/>
      <c r="N760" s="17"/>
      <c r="Q760" s="17"/>
    </row>
    <row r="761">
      <c r="B761" s="11">
        <f>IFERROR(__xludf.DUMMYFUNCTION("""COMPUTED_VALUE"""),44914.66666666667)</f>
        <v>44914.66667</v>
      </c>
      <c r="C761" s="9">
        <f>IFERROR(__xludf.DUMMYFUNCTION("""COMPUTED_VALUE"""),97.12)</f>
        <v>97.12</v>
      </c>
      <c r="E761" s="17"/>
      <c r="N761" s="17"/>
      <c r="Q761" s="17"/>
    </row>
    <row r="762">
      <c r="B762" s="11">
        <f>IFERROR(__xludf.DUMMYFUNCTION("""COMPUTED_VALUE"""),44911.66666666667)</f>
        <v>44911.66667</v>
      </c>
      <c r="C762" s="9">
        <f>IFERROR(__xludf.DUMMYFUNCTION("""COMPUTED_VALUE"""),98.1)</f>
        <v>98.1</v>
      </c>
      <c r="E762" s="17"/>
      <c r="N762" s="17"/>
      <c r="Q762" s="17"/>
    </row>
    <row r="763">
      <c r="B763" s="11">
        <f>IFERROR(__xludf.DUMMYFUNCTION("""COMPUTED_VALUE"""),44910.66666666667)</f>
        <v>44910.66667</v>
      </c>
      <c r="C763" s="9">
        <f>IFERROR(__xludf.DUMMYFUNCTION("""COMPUTED_VALUE"""),98.52)</f>
        <v>98.52</v>
      </c>
      <c r="E763" s="17"/>
      <c r="N763" s="17"/>
      <c r="Q763" s="17"/>
    </row>
    <row r="764">
      <c r="B764" s="11">
        <f>IFERROR(__xludf.DUMMYFUNCTION("""COMPUTED_VALUE"""),44909.66666666667)</f>
        <v>44909.66667</v>
      </c>
      <c r="C764" s="9">
        <f>IFERROR(__xludf.DUMMYFUNCTION("""COMPUTED_VALUE"""),100.96)</f>
        <v>100.96</v>
      </c>
      <c r="E764" s="17"/>
      <c r="N764" s="17"/>
      <c r="Q764" s="17"/>
    </row>
    <row r="765">
      <c r="B765" s="11">
        <f>IFERROR(__xludf.DUMMYFUNCTION("""COMPUTED_VALUE"""),44908.66666666667)</f>
        <v>44908.66667</v>
      </c>
      <c r="C765" s="9">
        <f>IFERROR(__xludf.DUMMYFUNCTION("""COMPUTED_VALUE"""),101.15)</f>
        <v>101.15</v>
      </c>
      <c r="E765" s="17"/>
      <c r="N765" s="17"/>
      <c r="Q765" s="17"/>
    </row>
    <row r="766">
      <c r="B766" s="11">
        <f>IFERROR(__xludf.DUMMYFUNCTION("""COMPUTED_VALUE"""),44907.66666666667)</f>
        <v>44907.66667</v>
      </c>
      <c r="C766" s="9">
        <f>IFERROR(__xludf.DUMMYFUNCTION("""COMPUTED_VALUE"""),100.77)</f>
        <v>100.77</v>
      </c>
      <c r="E766" s="17"/>
      <c r="N766" s="17"/>
      <c r="Q766" s="17"/>
    </row>
    <row r="767">
      <c r="B767" s="11">
        <f>IFERROR(__xludf.DUMMYFUNCTION("""COMPUTED_VALUE"""),44904.66666666667)</f>
        <v>44904.66667</v>
      </c>
      <c r="C767" s="9">
        <f>IFERROR(__xludf.DUMMYFUNCTION("""COMPUTED_VALUE"""),99.07)</f>
        <v>99.07</v>
      </c>
      <c r="E767" s="17"/>
      <c r="N767" s="17"/>
      <c r="Q767" s="17"/>
    </row>
    <row r="768">
      <c r="B768" s="11">
        <f>IFERROR(__xludf.DUMMYFUNCTION("""COMPUTED_VALUE"""),44903.66666666667)</f>
        <v>44903.66667</v>
      </c>
      <c r="C768" s="9">
        <f>IFERROR(__xludf.DUMMYFUNCTION("""COMPUTED_VALUE"""),99.89)</f>
        <v>99.89</v>
      </c>
      <c r="E768" s="17"/>
      <c r="N768" s="17"/>
      <c r="Q768" s="17"/>
    </row>
    <row r="769">
      <c r="B769" s="11">
        <f>IFERROR(__xludf.DUMMYFUNCTION("""COMPUTED_VALUE"""),44902.66666666667)</f>
        <v>44902.66667</v>
      </c>
      <c r="C769" s="9">
        <f>IFERROR(__xludf.DUMMYFUNCTION("""COMPUTED_VALUE"""),99.3)</f>
        <v>99.3</v>
      </c>
      <c r="E769" s="17"/>
      <c r="N769" s="17"/>
      <c r="Q769" s="17"/>
    </row>
    <row r="770">
      <c r="B770" s="11">
        <f>IFERROR(__xludf.DUMMYFUNCTION("""COMPUTED_VALUE"""),44901.66666666667)</f>
        <v>44901.66667</v>
      </c>
      <c r="C770" s="9">
        <f>IFERROR(__xludf.DUMMYFUNCTION("""COMPUTED_VALUE"""),99.43)</f>
        <v>99.43</v>
      </c>
      <c r="E770" s="17"/>
      <c r="N770" s="17"/>
      <c r="Q770" s="17"/>
    </row>
    <row r="771">
      <c r="B771" s="11">
        <f>IFERROR(__xludf.DUMMYFUNCTION("""COMPUTED_VALUE"""),44900.66666666667)</f>
        <v>44900.66667</v>
      </c>
      <c r="C771" s="9">
        <f>IFERROR(__xludf.DUMMYFUNCTION("""COMPUTED_VALUE"""),100.62)</f>
        <v>100.62</v>
      </c>
      <c r="E771" s="17"/>
      <c r="N771" s="17"/>
      <c r="Q771" s="17"/>
    </row>
    <row r="772">
      <c r="B772" s="11">
        <f>IFERROR(__xludf.DUMMYFUNCTION("""COMPUTED_VALUE"""),44897.66666666667)</f>
        <v>44897.66667</v>
      </c>
      <c r="C772" s="9">
        <f>IFERROR(__xludf.DUMMYFUNCTION("""COMPUTED_VALUE"""),102.33)</f>
        <v>102.33</v>
      </c>
      <c r="E772" s="17"/>
      <c r="N772" s="17"/>
      <c r="Q772" s="17"/>
    </row>
    <row r="773">
      <c r="B773" s="11">
        <f>IFERROR(__xludf.DUMMYFUNCTION("""COMPUTED_VALUE"""),44896.66666666667)</f>
        <v>44896.66667</v>
      </c>
      <c r="C773" s="9">
        <f>IFERROR(__xludf.DUMMYFUNCTION("""COMPUTED_VALUE"""),101.75)</f>
        <v>101.75</v>
      </c>
      <c r="E773" s="17"/>
      <c r="N773" s="17"/>
      <c r="Q773" s="17"/>
    </row>
    <row r="774">
      <c r="B774" s="11">
        <f>IFERROR(__xludf.DUMMYFUNCTION("""COMPUTED_VALUE"""),44895.66666666667)</f>
        <v>44895.66667</v>
      </c>
      <c r="C774" s="9">
        <f>IFERROR(__xludf.DUMMYFUNCTION("""COMPUTED_VALUE"""),101.72)</f>
        <v>101.72</v>
      </c>
      <c r="E774" s="17"/>
      <c r="N774" s="17"/>
      <c r="Q774" s="17"/>
    </row>
    <row r="775">
      <c r="B775" s="11">
        <f>IFERROR(__xludf.DUMMYFUNCTION("""COMPUTED_VALUE"""),44894.66666666667)</f>
        <v>44894.66667</v>
      </c>
      <c r="C775" s="9">
        <f>IFERROR(__xludf.DUMMYFUNCTION("""COMPUTED_VALUE"""),100.07)</f>
        <v>100.07</v>
      </c>
      <c r="E775" s="17"/>
      <c r="N775" s="17"/>
      <c r="Q775" s="17"/>
    </row>
    <row r="776">
      <c r="B776" s="11">
        <f>IFERROR(__xludf.DUMMYFUNCTION("""COMPUTED_VALUE"""),44893.66666666667)</f>
        <v>44893.66667</v>
      </c>
      <c r="C776" s="9">
        <f>IFERROR(__xludf.DUMMYFUNCTION("""COMPUTED_VALUE"""),99.46)</f>
        <v>99.46</v>
      </c>
      <c r="E776" s="17"/>
      <c r="N776" s="17"/>
      <c r="Q776" s="17"/>
    </row>
    <row r="777">
      <c r="B777" s="11">
        <f>IFERROR(__xludf.DUMMYFUNCTION("""COMPUTED_VALUE"""),44890.55208333333)</f>
        <v>44890.55208</v>
      </c>
      <c r="C777" s="9">
        <f>IFERROR(__xludf.DUMMYFUNCTION("""COMPUTED_VALUE"""),101.3)</f>
        <v>101.3</v>
      </c>
      <c r="E777" s="17"/>
      <c r="N777" s="17"/>
      <c r="Q777" s="17"/>
    </row>
    <row r="778">
      <c r="B778" s="11">
        <f>IFERROR(__xludf.DUMMYFUNCTION("""COMPUTED_VALUE"""),44888.66666666667)</f>
        <v>44888.66667</v>
      </c>
      <c r="C778" s="9">
        <f>IFERROR(__xludf.DUMMYFUNCTION("""COMPUTED_VALUE"""),100.91)</f>
        <v>100.91</v>
      </c>
      <c r="E778" s="17"/>
      <c r="N778" s="17"/>
      <c r="Q778" s="17"/>
    </row>
    <row r="779">
      <c r="B779" s="11">
        <f>IFERROR(__xludf.DUMMYFUNCTION("""COMPUTED_VALUE"""),44887.66666666667)</f>
        <v>44887.66667</v>
      </c>
      <c r="C779" s="9">
        <f>IFERROR(__xludf.DUMMYFUNCTION("""COMPUTED_VALUE"""),100.53)</f>
        <v>100.53</v>
      </c>
      <c r="E779" s="17"/>
      <c r="N779" s="17"/>
      <c r="Q779" s="17"/>
    </row>
    <row r="780">
      <c r="B780" s="11">
        <f>IFERROR(__xludf.DUMMYFUNCTION("""COMPUTED_VALUE"""),44886.66666666667)</f>
        <v>44886.66667</v>
      </c>
      <c r="C780" s="9">
        <f>IFERROR(__xludf.DUMMYFUNCTION("""COMPUTED_VALUE"""),99.76)</f>
        <v>99.76</v>
      </c>
      <c r="E780" s="17"/>
      <c r="N780" s="17"/>
      <c r="Q780" s="17"/>
    </row>
    <row r="781">
      <c r="B781" s="11">
        <f>IFERROR(__xludf.DUMMYFUNCTION("""COMPUTED_VALUE"""),44883.66666666667)</f>
        <v>44883.66667</v>
      </c>
      <c r="C781" s="9">
        <f>IFERROR(__xludf.DUMMYFUNCTION("""COMPUTED_VALUE"""),99.44)</f>
        <v>99.44</v>
      </c>
      <c r="E781" s="17"/>
      <c r="N781" s="17"/>
      <c r="Q781" s="17"/>
    </row>
    <row r="782">
      <c r="B782" s="11">
        <f>IFERROR(__xludf.DUMMYFUNCTION("""COMPUTED_VALUE"""),44882.66666666667)</f>
        <v>44882.66667</v>
      </c>
      <c r="C782" s="9">
        <f>IFERROR(__xludf.DUMMYFUNCTION("""COMPUTED_VALUE"""),98.71)</f>
        <v>98.71</v>
      </c>
      <c r="E782" s="17"/>
      <c r="N782" s="17"/>
      <c r="Q782" s="17"/>
    </row>
    <row r="783">
      <c r="B783" s="11">
        <f>IFERROR(__xludf.DUMMYFUNCTION("""COMPUTED_VALUE"""),44881.66666666667)</f>
        <v>44881.66667</v>
      </c>
      <c r="C783" s="9">
        <f>IFERROR(__xludf.DUMMYFUNCTION("""COMPUTED_VALUE"""),98.88)</f>
        <v>98.88</v>
      </c>
      <c r="E783" s="17"/>
      <c r="N783" s="17"/>
      <c r="Q783" s="17"/>
    </row>
    <row r="784">
      <c r="B784" s="11">
        <f>IFERROR(__xludf.DUMMYFUNCTION("""COMPUTED_VALUE"""),44880.66666666667)</f>
        <v>44880.66667</v>
      </c>
      <c r="C784" s="9">
        <f>IFERROR(__xludf.DUMMYFUNCTION("""COMPUTED_VALUE"""),99.6)</f>
        <v>99.6</v>
      </c>
      <c r="E784" s="17"/>
      <c r="N784" s="17"/>
      <c r="Q784" s="17"/>
    </row>
    <row r="785">
      <c r="B785" s="11">
        <f>IFERROR(__xludf.DUMMYFUNCTION("""COMPUTED_VALUE"""),44879.66666666667)</f>
        <v>44879.66667</v>
      </c>
      <c r="C785" s="9">
        <f>IFERROR(__xludf.DUMMYFUNCTION("""COMPUTED_VALUE"""),98.92)</f>
        <v>98.92</v>
      </c>
      <c r="E785" s="17"/>
      <c r="N785" s="17"/>
      <c r="Q785" s="17"/>
    </row>
    <row r="786">
      <c r="B786" s="11">
        <f>IFERROR(__xludf.DUMMYFUNCTION("""COMPUTED_VALUE"""),44876.66666666667)</f>
        <v>44876.66667</v>
      </c>
      <c r="C786" s="9">
        <f>IFERROR(__xludf.DUMMYFUNCTION("""COMPUTED_VALUE"""),99.53)</f>
        <v>99.53</v>
      </c>
      <c r="E786" s="17"/>
      <c r="N786" s="17"/>
      <c r="Q786" s="17"/>
    </row>
    <row r="787">
      <c r="B787" s="11">
        <f>IFERROR(__xludf.DUMMYFUNCTION("""COMPUTED_VALUE"""),44875.66666666667)</f>
        <v>44875.66667</v>
      </c>
      <c r="C787" s="9">
        <f>IFERROR(__xludf.DUMMYFUNCTION("""COMPUTED_VALUE"""),99.59)</f>
        <v>99.59</v>
      </c>
      <c r="E787" s="17"/>
      <c r="N787" s="17"/>
      <c r="Q787" s="17"/>
    </row>
    <row r="788">
      <c r="B788" s="11">
        <f>IFERROR(__xludf.DUMMYFUNCTION("""COMPUTED_VALUE"""),44874.66666666667)</f>
        <v>44874.66667</v>
      </c>
      <c r="C788" s="9">
        <f>IFERROR(__xludf.DUMMYFUNCTION("""COMPUTED_VALUE"""),95.58)</f>
        <v>95.58</v>
      </c>
      <c r="E788" s="17"/>
      <c r="N788" s="17"/>
      <c r="Q788" s="17"/>
    </row>
    <row r="789">
      <c r="B789" s="11">
        <f>IFERROR(__xludf.DUMMYFUNCTION("""COMPUTED_VALUE"""),44873.66666666667)</f>
        <v>44873.66667</v>
      </c>
      <c r="C789" s="9">
        <f>IFERROR(__xludf.DUMMYFUNCTION("""COMPUTED_VALUE"""),96.93)</f>
        <v>96.93</v>
      </c>
      <c r="E789" s="17"/>
      <c r="N789" s="17"/>
      <c r="Q789" s="17"/>
    </row>
    <row r="790">
      <c r="B790" s="11">
        <f>IFERROR(__xludf.DUMMYFUNCTION("""COMPUTED_VALUE"""),44872.66666666667)</f>
        <v>44872.66667</v>
      </c>
      <c r="C790" s="9">
        <f>IFERROR(__xludf.DUMMYFUNCTION("""COMPUTED_VALUE"""),96.09)</f>
        <v>96.09</v>
      </c>
      <c r="E790" s="17"/>
      <c r="N790" s="17"/>
      <c r="Q790" s="17"/>
    </row>
    <row r="791">
      <c r="B791" s="11">
        <f>IFERROR(__xludf.DUMMYFUNCTION("""COMPUTED_VALUE"""),44869.66666666667)</f>
        <v>44869.66667</v>
      </c>
      <c r="C791" s="9">
        <f>IFERROR(__xludf.DUMMYFUNCTION("""COMPUTED_VALUE"""),95.07)</f>
        <v>95.07</v>
      </c>
      <c r="E791" s="17"/>
      <c r="N791" s="17"/>
      <c r="Q791" s="17"/>
    </row>
    <row r="792">
      <c r="B792" s="11">
        <f>IFERROR(__xludf.DUMMYFUNCTION("""COMPUTED_VALUE"""),44868.66666666667)</f>
        <v>44868.66667</v>
      </c>
      <c r="C792" s="9">
        <f>IFERROR(__xludf.DUMMYFUNCTION("""COMPUTED_VALUE"""),93.57)</f>
        <v>93.57</v>
      </c>
      <c r="E792" s="17"/>
      <c r="N792" s="17"/>
      <c r="Q792" s="17"/>
    </row>
    <row r="793">
      <c r="B793" s="11">
        <f>IFERROR(__xludf.DUMMYFUNCTION("""COMPUTED_VALUE"""),44867.66666666667)</f>
        <v>44867.66667</v>
      </c>
      <c r="C793" s="9">
        <f>IFERROR(__xludf.DUMMYFUNCTION("""COMPUTED_VALUE"""),92.6)</f>
        <v>92.6</v>
      </c>
      <c r="E793" s="17"/>
      <c r="N793" s="17"/>
      <c r="Q793" s="17"/>
    </row>
    <row r="794">
      <c r="B794" s="11">
        <f>IFERROR(__xludf.DUMMYFUNCTION("""COMPUTED_VALUE"""),44866.66666666667)</f>
        <v>44866.66667</v>
      </c>
      <c r="C794" s="9">
        <f>IFERROR(__xludf.DUMMYFUNCTION("""COMPUTED_VALUE"""),94.26)</f>
        <v>94.26</v>
      </c>
      <c r="E794" s="17"/>
      <c r="N794" s="17"/>
      <c r="Q794" s="17"/>
    </row>
    <row r="795">
      <c r="B795" s="11">
        <f>IFERROR(__xludf.DUMMYFUNCTION("""COMPUTED_VALUE"""),44865.66666666667)</f>
        <v>44865.66667</v>
      </c>
      <c r="C795" s="9">
        <f>IFERROR(__xludf.DUMMYFUNCTION("""COMPUTED_VALUE"""),94.35)</f>
        <v>94.35</v>
      </c>
      <c r="E795" s="17"/>
      <c r="N795" s="17"/>
      <c r="Q795" s="17"/>
    </row>
    <row r="796">
      <c r="B796" s="11">
        <f>IFERROR(__xludf.DUMMYFUNCTION("""COMPUTED_VALUE"""),44862.66666666667)</f>
        <v>44862.66667</v>
      </c>
      <c r="C796" s="9">
        <f>IFERROR(__xludf.DUMMYFUNCTION("""COMPUTED_VALUE"""),94.62)</f>
        <v>94.62</v>
      </c>
      <c r="E796" s="17"/>
      <c r="N796" s="17"/>
      <c r="Q796" s="17"/>
    </row>
    <row r="797">
      <c r="B797" s="11">
        <f>IFERROR(__xludf.DUMMYFUNCTION("""COMPUTED_VALUE"""),44861.66666666667)</f>
        <v>44861.66667</v>
      </c>
      <c r="C797" s="9">
        <f>IFERROR(__xludf.DUMMYFUNCTION("""COMPUTED_VALUE"""),92.47)</f>
        <v>92.47</v>
      </c>
      <c r="E797" s="17"/>
      <c r="N797" s="17"/>
      <c r="Q797" s="17"/>
    </row>
    <row r="798">
      <c r="B798" s="11">
        <f>IFERROR(__xludf.DUMMYFUNCTION("""COMPUTED_VALUE"""),44860.66666666667)</f>
        <v>44860.66667</v>
      </c>
      <c r="C798" s="9">
        <f>IFERROR(__xludf.DUMMYFUNCTION("""COMPUTED_VALUE"""),91.4)</f>
        <v>91.4</v>
      </c>
      <c r="E798" s="17"/>
      <c r="N798" s="17"/>
      <c r="Q798" s="17"/>
    </row>
    <row r="799">
      <c r="B799" s="11">
        <f>IFERROR(__xludf.DUMMYFUNCTION("""COMPUTED_VALUE"""),44859.66666666667)</f>
        <v>44859.66667</v>
      </c>
      <c r="C799" s="9">
        <f>IFERROR(__xludf.DUMMYFUNCTION("""COMPUTED_VALUE"""),91.08)</f>
        <v>91.08</v>
      </c>
      <c r="E799" s="17"/>
      <c r="N799" s="17"/>
      <c r="Q799" s="17"/>
    </row>
    <row r="800">
      <c r="B800" s="11">
        <f>IFERROR(__xludf.DUMMYFUNCTION("""COMPUTED_VALUE"""),44858.66666666667)</f>
        <v>44858.66667</v>
      </c>
      <c r="C800" s="9">
        <f>IFERROR(__xludf.DUMMYFUNCTION("""COMPUTED_VALUE"""),89.87)</f>
        <v>89.87</v>
      </c>
      <c r="E800" s="17"/>
      <c r="N800" s="17"/>
      <c r="Q800" s="17"/>
    </row>
    <row r="801">
      <c r="B801" s="11">
        <f>IFERROR(__xludf.DUMMYFUNCTION("""COMPUTED_VALUE"""),44855.66666666667)</f>
        <v>44855.66667</v>
      </c>
      <c r="C801" s="9">
        <f>IFERROR(__xludf.DUMMYFUNCTION("""COMPUTED_VALUE"""),88.69)</f>
        <v>88.69</v>
      </c>
      <c r="E801" s="17"/>
      <c r="N801" s="17"/>
      <c r="Q801" s="17"/>
    </row>
    <row r="802">
      <c r="B802" s="11">
        <f>IFERROR(__xludf.DUMMYFUNCTION("""COMPUTED_VALUE"""),44854.66666666667)</f>
        <v>44854.66667</v>
      </c>
      <c r="C802" s="9">
        <f>IFERROR(__xludf.DUMMYFUNCTION("""COMPUTED_VALUE"""),86.32)</f>
        <v>86.32</v>
      </c>
      <c r="E802" s="17"/>
      <c r="N802" s="17"/>
      <c r="Q802" s="17"/>
    </row>
    <row r="803">
      <c r="B803" s="11">
        <f>IFERROR(__xludf.DUMMYFUNCTION("""COMPUTED_VALUE"""),44853.66666666667)</f>
        <v>44853.66667</v>
      </c>
      <c r="C803" s="9">
        <f>IFERROR(__xludf.DUMMYFUNCTION("""COMPUTED_VALUE"""),88.05)</f>
        <v>88.05</v>
      </c>
      <c r="E803" s="17"/>
      <c r="N803" s="17"/>
      <c r="Q803" s="17"/>
    </row>
    <row r="804">
      <c r="B804" s="11">
        <f>IFERROR(__xludf.DUMMYFUNCTION("""COMPUTED_VALUE"""),44852.66666666667)</f>
        <v>44852.66667</v>
      </c>
      <c r="C804" s="9">
        <f>IFERROR(__xludf.DUMMYFUNCTION("""COMPUTED_VALUE"""),88.68)</f>
        <v>88.68</v>
      </c>
      <c r="E804" s="17"/>
      <c r="N804" s="17"/>
      <c r="Q804" s="17"/>
    </row>
    <row r="805">
      <c r="B805" s="11">
        <f>IFERROR(__xludf.DUMMYFUNCTION("""COMPUTED_VALUE"""),44851.66666666667)</f>
        <v>44851.66667</v>
      </c>
      <c r="C805" s="9">
        <f>IFERROR(__xludf.DUMMYFUNCTION("""COMPUTED_VALUE"""),86.59)</f>
        <v>86.59</v>
      </c>
      <c r="E805" s="17"/>
      <c r="N805" s="17"/>
      <c r="Q805" s="17"/>
    </row>
    <row r="806">
      <c r="B806" s="11">
        <f>IFERROR(__xludf.DUMMYFUNCTION("""COMPUTED_VALUE"""),44848.66666666667)</f>
        <v>44848.66667</v>
      </c>
      <c r="C806" s="9">
        <f>IFERROR(__xludf.DUMMYFUNCTION("""COMPUTED_VALUE"""),84.74)</f>
        <v>84.74</v>
      </c>
      <c r="E806" s="17"/>
      <c r="N806" s="17"/>
      <c r="Q806" s="17"/>
    </row>
    <row r="807">
      <c r="B807" s="11">
        <f>IFERROR(__xludf.DUMMYFUNCTION("""COMPUTED_VALUE"""),44847.66666666667)</f>
        <v>44847.66667</v>
      </c>
      <c r="C807" s="9">
        <f>IFERROR(__xludf.DUMMYFUNCTION("""COMPUTED_VALUE"""),86.64)</f>
        <v>86.64</v>
      </c>
      <c r="E807" s="17"/>
      <c r="N807" s="17"/>
      <c r="Q807" s="17"/>
    </row>
    <row r="808">
      <c r="B808" s="11">
        <f>IFERROR(__xludf.DUMMYFUNCTION("""COMPUTED_VALUE"""),44846.66666666667)</f>
        <v>44846.66667</v>
      </c>
      <c r="C808" s="9">
        <f>IFERROR(__xludf.DUMMYFUNCTION("""COMPUTED_VALUE"""),84.77)</f>
        <v>84.77</v>
      </c>
      <c r="E808" s="17"/>
      <c r="N808" s="17"/>
      <c r="Q808" s="17"/>
    </row>
    <row r="809">
      <c r="B809" s="11">
        <f>IFERROR(__xludf.DUMMYFUNCTION("""COMPUTED_VALUE"""),44845.66666666667)</f>
        <v>44845.66667</v>
      </c>
      <c r="C809" s="9">
        <f>IFERROR(__xludf.DUMMYFUNCTION("""COMPUTED_VALUE"""),85.44)</f>
        <v>85.44</v>
      </c>
      <c r="E809" s="17"/>
      <c r="N809" s="17"/>
      <c r="Q809" s="17"/>
    </row>
    <row r="810">
      <c r="B810" s="11">
        <f>IFERROR(__xludf.DUMMYFUNCTION("""COMPUTED_VALUE"""),44844.66666666667)</f>
        <v>44844.66667</v>
      </c>
      <c r="C810" s="9">
        <f>IFERROR(__xludf.DUMMYFUNCTION("""COMPUTED_VALUE"""),85.46)</f>
        <v>85.46</v>
      </c>
      <c r="E810" s="17"/>
      <c r="N810" s="17"/>
      <c r="Q810" s="17"/>
    </row>
    <row r="811">
      <c r="B811" s="11">
        <f>IFERROR(__xludf.DUMMYFUNCTION("""COMPUTED_VALUE"""),44841.66666666667)</f>
        <v>44841.66667</v>
      </c>
      <c r="C811" s="9">
        <f>IFERROR(__xludf.DUMMYFUNCTION("""COMPUTED_VALUE"""),85.16)</f>
        <v>85.16</v>
      </c>
      <c r="E811" s="17"/>
      <c r="N811" s="17"/>
      <c r="Q811" s="17"/>
    </row>
    <row r="812">
      <c r="B812" s="11">
        <f>IFERROR(__xludf.DUMMYFUNCTION("""COMPUTED_VALUE"""),44840.66666666667)</f>
        <v>44840.66667</v>
      </c>
      <c r="C812" s="9">
        <f>IFERROR(__xludf.DUMMYFUNCTION("""COMPUTED_VALUE"""),86.82)</f>
        <v>86.82</v>
      </c>
      <c r="E812" s="17"/>
      <c r="N812" s="17"/>
      <c r="Q812" s="17"/>
    </row>
    <row r="813">
      <c r="B813" s="11">
        <f>IFERROR(__xludf.DUMMYFUNCTION("""COMPUTED_VALUE"""),44839.66666666667)</f>
        <v>44839.66667</v>
      </c>
      <c r="C813" s="9">
        <f>IFERROR(__xludf.DUMMYFUNCTION("""COMPUTED_VALUE"""),87.83)</f>
        <v>87.83</v>
      </c>
      <c r="E813" s="17"/>
      <c r="N813" s="17"/>
      <c r="Q813" s="17"/>
    </row>
    <row r="814">
      <c r="B814" s="11">
        <f>IFERROR(__xludf.DUMMYFUNCTION("""COMPUTED_VALUE"""),44838.66666666667)</f>
        <v>44838.66667</v>
      </c>
      <c r="C814" s="9">
        <f>IFERROR(__xludf.DUMMYFUNCTION("""COMPUTED_VALUE"""),88.31)</f>
        <v>88.31</v>
      </c>
      <c r="E814" s="17"/>
      <c r="N814" s="17"/>
      <c r="Q814" s="17"/>
    </row>
    <row r="815">
      <c r="B815" s="11">
        <f>IFERROR(__xludf.DUMMYFUNCTION("""COMPUTED_VALUE"""),44837.66666666667)</f>
        <v>44837.66667</v>
      </c>
      <c r="C815" s="9">
        <f>IFERROR(__xludf.DUMMYFUNCTION("""COMPUTED_VALUE"""),85.34)</f>
        <v>85.34</v>
      </c>
      <c r="E815" s="17"/>
      <c r="N815" s="17"/>
      <c r="Q815" s="17"/>
    </row>
    <row r="816">
      <c r="B816" s="11">
        <f>IFERROR(__xludf.DUMMYFUNCTION("""COMPUTED_VALUE"""),44834.66666666667)</f>
        <v>44834.66667</v>
      </c>
      <c r="C816" s="9">
        <f>IFERROR(__xludf.DUMMYFUNCTION("""COMPUTED_VALUE"""),82.84)</f>
        <v>82.84</v>
      </c>
      <c r="E816" s="17"/>
      <c r="N816" s="17"/>
      <c r="Q816" s="17"/>
    </row>
    <row r="817">
      <c r="B817" s="11">
        <f>IFERROR(__xludf.DUMMYFUNCTION("""COMPUTED_VALUE"""),44833.66666666667)</f>
        <v>44833.66667</v>
      </c>
      <c r="C817" s="9">
        <f>IFERROR(__xludf.DUMMYFUNCTION("""COMPUTED_VALUE"""),83.94)</f>
        <v>83.94</v>
      </c>
      <c r="E817" s="17"/>
      <c r="N817" s="17"/>
      <c r="Q817" s="17"/>
    </row>
    <row r="818">
      <c r="B818" s="11">
        <f>IFERROR(__xludf.DUMMYFUNCTION("""COMPUTED_VALUE"""),44832.66666666667)</f>
        <v>44832.66667</v>
      </c>
      <c r="C818" s="9">
        <f>IFERROR(__xludf.DUMMYFUNCTION("""COMPUTED_VALUE"""),85.42)</f>
        <v>85.42</v>
      </c>
      <c r="E818" s="17"/>
      <c r="N818" s="17"/>
      <c r="Q818" s="17"/>
    </row>
    <row r="819">
      <c r="B819" s="11">
        <f>IFERROR(__xludf.DUMMYFUNCTION("""COMPUTED_VALUE"""),44831.66666666667)</f>
        <v>44831.66667</v>
      </c>
      <c r="C819" s="9">
        <f>IFERROR(__xludf.DUMMYFUNCTION("""COMPUTED_VALUE"""),83.58)</f>
        <v>83.58</v>
      </c>
      <c r="E819" s="17"/>
      <c r="N819" s="17"/>
      <c r="Q819" s="17"/>
    </row>
    <row r="820">
      <c r="B820" s="11">
        <f>IFERROR(__xludf.DUMMYFUNCTION("""COMPUTED_VALUE"""),44830.66666666667)</f>
        <v>44830.66667</v>
      </c>
      <c r="C820" s="9">
        <f>IFERROR(__xludf.DUMMYFUNCTION("""COMPUTED_VALUE"""),83.86)</f>
        <v>83.86</v>
      </c>
      <c r="E820" s="17"/>
      <c r="N820" s="17"/>
      <c r="Q820" s="17"/>
    </row>
    <row r="821">
      <c r="B821" s="11">
        <f>IFERROR(__xludf.DUMMYFUNCTION("""COMPUTED_VALUE"""),44827.66666666667)</f>
        <v>44827.66667</v>
      </c>
      <c r="C821" s="9">
        <f>IFERROR(__xludf.DUMMYFUNCTION("""COMPUTED_VALUE"""),84.75)</f>
        <v>84.75</v>
      </c>
      <c r="E821" s="17"/>
      <c r="N821" s="17"/>
      <c r="Q821" s="17"/>
    </row>
    <row r="822">
      <c r="B822" s="11">
        <f>IFERROR(__xludf.DUMMYFUNCTION("""COMPUTED_VALUE"""),44826.66666666667)</f>
        <v>44826.66667</v>
      </c>
      <c r="C822" s="9">
        <f>IFERROR(__xludf.DUMMYFUNCTION("""COMPUTED_VALUE"""),86.37)</f>
        <v>86.37</v>
      </c>
      <c r="E822" s="17"/>
      <c r="N822" s="17"/>
      <c r="Q822" s="17"/>
    </row>
    <row r="823">
      <c r="B823" s="11">
        <f>IFERROR(__xludf.DUMMYFUNCTION("""COMPUTED_VALUE"""),44825.66666666667)</f>
        <v>44825.66667</v>
      </c>
      <c r="C823" s="9">
        <f>IFERROR(__xludf.DUMMYFUNCTION("""COMPUTED_VALUE"""),87.69)</f>
        <v>87.69</v>
      </c>
      <c r="E823" s="17"/>
      <c r="N823" s="17"/>
      <c r="Q823" s="17"/>
    </row>
    <row r="824">
      <c r="B824" s="11">
        <f>IFERROR(__xludf.DUMMYFUNCTION("""COMPUTED_VALUE"""),44824.66666666667)</f>
        <v>44824.66667</v>
      </c>
      <c r="C824" s="9">
        <f>IFERROR(__xludf.DUMMYFUNCTION("""COMPUTED_VALUE"""),88.87)</f>
        <v>88.87</v>
      </c>
      <c r="E824" s="17"/>
      <c r="N824" s="17"/>
      <c r="Q824" s="17"/>
    </row>
    <row r="825">
      <c r="B825" s="11">
        <f>IFERROR(__xludf.DUMMYFUNCTION("""COMPUTED_VALUE"""),44823.66666666667)</f>
        <v>44823.66667</v>
      </c>
      <c r="C825" s="9">
        <f>IFERROR(__xludf.DUMMYFUNCTION("""COMPUTED_VALUE"""),89.99)</f>
        <v>89.99</v>
      </c>
      <c r="E825" s="17"/>
      <c r="N825" s="17"/>
      <c r="Q825" s="17"/>
    </row>
    <row r="826">
      <c r="B826" s="11">
        <f>IFERROR(__xludf.DUMMYFUNCTION("""COMPUTED_VALUE"""),44820.66666666667)</f>
        <v>44820.66667</v>
      </c>
      <c r="C826" s="9">
        <f>IFERROR(__xludf.DUMMYFUNCTION("""COMPUTED_VALUE"""),89.21)</f>
        <v>89.21</v>
      </c>
      <c r="E826" s="17"/>
      <c r="N826" s="17"/>
      <c r="Q826" s="17"/>
    </row>
    <row r="827">
      <c r="B827" s="11">
        <f>IFERROR(__xludf.DUMMYFUNCTION("""COMPUTED_VALUE"""),44819.66666666667)</f>
        <v>44819.66667</v>
      </c>
      <c r="C827" s="9">
        <f>IFERROR(__xludf.DUMMYFUNCTION("""COMPUTED_VALUE"""),91.11)</f>
        <v>91.11</v>
      </c>
      <c r="E827" s="17"/>
      <c r="N827" s="17"/>
      <c r="Q827" s="17"/>
    </row>
    <row r="828">
      <c r="B828" s="11">
        <f>IFERROR(__xludf.DUMMYFUNCTION("""COMPUTED_VALUE"""),44818.66666666667)</f>
        <v>44818.66667</v>
      </c>
      <c r="C828" s="9">
        <f>IFERROR(__xludf.DUMMYFUNCTION("""COMPUTED_VALUE"""),92.07)</f>
        <v>92.07</v>
      </c>
      <c r="E828" s="17"/>
      <c r="N828" s="17"/>
      <c r="Q828" s="17"/>
    </row>
    <row r="829">
      <c r="B829" s="11">
        <f>IFERROR(__xludf.DUMMYFUNCTION("""COMPUTED_VALUE"""),44817.66666666667)</f>
        <v>44817.66667</v>
      </c>
      <c r="C829" s="9">
        <f>IFERROR(__xludf.DUMMYFUNCTION("""COMPUTED_VALUE"""),92.25)</f>
        <v>92.25</v>
      </c>
      <c r="E829" s="17"/>
      <c r="N829" s="17"/>
      <c r="Q829" s="17"/>
    </row>
    <row r="830">
      <c r="B830" s="11">
        <f>IFERROR(__xludf.DUMMYFUNCTION("""COMPUTED_VALUE"""),44816.66666666667)</f>
        <v>44816.66667</v>
      </c>
      <c r="C830" s="9">
        <f>IFERROR(__xludf.DUMMYFUNCTION("""COMPUTED_VALUE"""),95.86)</f>
        <v>95.86</v>
      </c>
      <c r="E830" s="17"/>
      <c r="N830" s="17"/>
      <c r="Q830" s="17"/>
    </row>
    <row r="831">
      <c r="B831" s="11">
        <f>IFERROR(__xludf.DUMMYFUNCTION("""COMPUTED_VALUE"""),44813.66666666667)</f>
        <v>44813.66667</v>
      </c>
      <c r="C831" s="9">
        <f>IFERROR(__xludf.DUMMYFUNCTION("""COMPUTED_VALUE"""),95.29)</f>
        <v>95.29</v>
      </c>
      <c r="E831" s="17"/>
      <c r="N831" s="17"/>
      <c r="Q831" s="17"/>
    </row>
    <row r="832">
      <c r="B832" s="11">
        <f>IFERROR(__xludf.DUMMYFUNCTION("""COMPUTED_VALUE"""),44812.66666666667)</f>
        <v>44812.66667</v>
      </c>
      <c r="C832" s="9">
        <f>IFERROR(__xludf.DUMMYFUNCTION("""COMPUTED_VALUE"""),94.07)</f>
        <v>94.07</v>
      </c>
      <c r="E832" s="17"/>
      <c r="N832" s="17"/>
      <c r="Q832" s="17"/>
    </row>
    <row r="833">
      <c r="B833" s="11">
        <f>IFERROR(__xludf.DUMMYFUNCTION("""COMPUTED_VALUE"""),44811.66666666667)</f>
        <v>44811.66667</v>
      </c>
      <c r="C833" s="9">
        <f>IFERROR(__xludf.DUMMYFUNCTION("""COMPUTED_VALUE"""),93.79)</f>
        <v>93.79</v>
      </c>
      <c r="E833" s="17"/>
      <c r="N833" s="17"/>
      <c r="Q833" s="17"/>
    </row>
    <row r="834">
      <c r="B834" s="11">
        <f>IFERROR(__xludf.DUMMYFUNCTION("""COMPUTED_VALUE"""),44810.66666666667)</f>
        <v>44810.66667</v>
      </c>
      <c r="C834" s="9">
        <f>IFERROR(__xludf.DUMMYFUNCTION("""COMPUTED_VALUE"""),92.31)</f>
        <v>92.31</v>
      </c>
      <c r="E834" s="17"/>
      <c r="N834" s="17"/>
      <c r="Q834" s="17"/>
    </row>
    <row r="835">
      <c r="B835" s="11">
        <f>IFERROR(__xludf.DUMMYFUNCTION("""COMPUTED_VALUE"""),44806.66666666667)</f>
        <v>44806.66667</v>
      </c>
      <c r="C835" s="9">
        <f>IFERROR(__xludf.DUMMYFUNCTION("""COMPUTED_VALUE"""),92.16)</f>
        <v>92.16</v>
      </c>
      <c r="E835" s="17"/>
      <c r="N835" s="17"/>
      <c r="Q835" s="17"/>
    </row>
    <row r="836">
      <c r="B836" s="11">
        <f>IFERROR(__xludf.DUMMYFUNCTION("""COMPUTED_VALUE"""),44805.66666666667)</f>
        <v>44805.66667</v>
      </c>
      <c r="C836" s="9">
        <f>IFERROR(__xludf.DUMMYFUNCTION("""COMPUTED_VALUE"""),93.06)</f>
        <v>93.06</v>
      </c>
      <c r="E836" s="17"/>
      <c r="N836" s="17"/>
      <c r="Q836" s="17"/>
    </row>
    <row r="837">
      <c r="B837" s="11">
        <f>IFERROR(__xludf.DUMMYFUNCTION("""COMPUTED_VALUE"""),44804.66666666667)</f>
        <v>44804.66667</v>
      </c>
      <c r="C837" s="9">
        <f>IFERROR(__xludf.DUMMYFUNCTION("""COMPUTED_VALUE"""),92.93)</f>
        <v>92.93</v>
      </c>
      <c r="E837" s="17"/>
      <c r="N837" s="17"/>
      <c r="Q837" s="17"/>
    </row>
    <row r="838">
      <c r="B838" s="11">
        <f>IFERROR(__xludf.DUMMYFUNCTION("""COMPUTED_VALUE"""),44803.66666666667)</f>
        <v>44803.66667</v>
      </c>
      <c r="C838" s="9">
        <f>IFERROR(__xludf.DUMMYFUNCTION("""COMPUTED_VALUE"""),93.72)</f>
        <v>93.72</v>
      </c>
      <c r="E838" s="17"/>
      <c r="N838" s="17"/>
      <c r="Q838" s="17"/>
    </row>
    <row r="839">
      <c r="B839" s="11">
        <f>IFERROR(__xludf.DUMMYFUNCTION("""COMPUTED_VALUE"""),44802.66666666667)</f>
        <v>44802.66667</v>
      </c>
      <c r="C839" s="9">
        <f>IFERROR(__xludf.DUMMYFUNCTION("""COMPUTED_VALUE"""),95.09)</f>
        <v>95.09</v>
      </c>
      <c r="E839" s="17"/>
      <c r="N839" s="17"/>
      <c r="Q839" s="17"/>
    </row>
    <row r="840">
      <c r="B840" s="11">
        <f>IFERROR(__xludf.DUMMYFUNCTION("""COMPUTED_VALUE"""),44799.66666666667)</f>
        <v>44799.66667</v>
      </c>
      <c r="C840" s="9">
        <f>IFERROR(__xludf.DUMMYFUNCTION("""COMPUTED_VALUE"""),95.52)</f>
        <v>95.52</v>
      </c>
      <c r="E840" s="17"/>
      <c r="N840" s="17"/>
      <c r="Q840" s="17"/>
    </row>
    <row r="841">
      <c r="B841" s="11">
        <f>IFERROR(__xludf.DUMMYFUNCTION("""COMPUTED_VALUE"""),44798.66666666667)</f>
        <v>44798.66667</v>
      </c>
      <c r="C841" s="9">
        <f>IFERROR(__xludf.DUMMYFUNCTION("""COMPUTED_VALUE"""),98.95)</f>
        <v>98.95</v>
      </c>
      <c r="E841" s="17"/>
      <c r="N841" s="17"/>
      <c r="Q841" s="17"/>
    </row>
    <row r="842">
      <c r="B842" s="11">
        <f>IFERROR(__xludf.DUMMYFUNCTION("""COMPUTED_VALUE"""),44797.66666666667)</f>
        <v>44797.66667</v>
      </c>
      <c r="C842" s="9">
        <f>IFERROR(__xludf.DUMMYFUNCTION("""COMPUTED_VALUE"""),97.46)</f>
        <v>97.46</v>
      </c>
      <c r="E842" s="17"/>
      <c r="N842" s="17"/>
      <c r="Q842" s="17"/>
    </row>
    <row r="843">
      <c r="B843" s="11">
        <f>IFERROR(__xludf.DUMMYFUNCTION("""COMPUTED_VALUE"""),44796.66666666667)</f>
        <v>44796.66667</v>
      </c>
      <c r="C843" s="9">
        <f>IFERROR(__xludf.DUMMYFUNCTION("""COMPUTED_VALUE"""),97.14)</f>
        <v>97.14</v>
      </c>
      <c r="E843" s="17"/>
      <c r="N843" s="17"/>
      <c r="Q843" s="17"/>
    </row>
    <row r="844">
      <c r="B844" s="11">
        <f>IFERROR(__xludf.DUMMYFUNCTION("""COMPUTED_VALUE"""),44795.66666666667)</f>
        <v>44795.66667</v>
      </c>
      <c r="C844" s="9">
        <f>IFERROR(__xludf.DUMMYFUNCTION("""COMPUTED_VALUE"""),96.96)</f>
        <v>96.96</v>
      </c>
      <c r="E844" s="17"/>
      <c r="N844" s="17"/>
      <c r="Q844" s="17"/>
    </row>
    <row r="845">
      <c r="B845" s="11">
        <f>IFERROR(__xludf.DUMMYFUNCTION("""COMPUTED_VALUE"""),44792.66666666667)</f>
        <v>44792.66667</v>
      </c>
      <c r="C845" s="9">
        <f>IFERROR(__xludf.DUMMYFUNCTION("""COMPUTED_VALUE"""),98.84)</f>
        <v>98.84</v>
      </c>
      <c r="E845" s="17"/>
      <c r="N845" s="17"/>
      <c r="Q845" s="17"/>
    </row>
    <row r="846">
      <c r="B846" s="11">
        <f>IFERROR(__xludf.DUMMYFUNCTION("""COMPUTED_VALUE"""),44791.66666666667)</f>
        <v>44791.66667</v>
      </c>
      <c r="C846" s="9">
        <f>IFERROR(__xludf.DUMMYFUNCTION("""COMPUTED_VALUE"""),100.13)</f>
        <v>100.13</v>
      </c>
      <c r="E846" s="17"/>
      <c r="N846" s="17"/>
      <c r="Q846" s="17"/>
    </row>
    <row r="847">
      <c r="B847" s="11">
        <f>IFERROR(__xludf.DUMMYFUNCTION("""COMPUTED_VALUE"""),44790.66666666667)</f>
        <v>44790.66667</v>
      </c>
      <c r="C847" s="9">
        <f>IFERROR(__xludf.DUMMYFUNCTION("""COMPUTED_VALUE"""),99.73)</f>
        <v>99.73</v>
      </c>
      <c r="E847" s="17"/>
      <c r="N847" s="17"/>
      <c r="Q847" s="17"/>
    </row>
    <row r="848">
      <c r="B848" s="11">
        <f>IFERROR(__xludf.DUMMYFUNCTION("""COMPUTED_VALUE"""),44789.66666666667)</f>
        <v>44789.66667</v>
      </c>
      <c r="C848" s="9">
        <f>IFERROR(__xludf.DUMMYFUNCTION("""COMPUTED_VALUE"""),100.53)</f>
        <v>100.53</v>
      </c>
      <c r="E848" s="17"/>
      <c r="N848" s="17"/>
      <c r="Q848" s="17"/>
    </row>
    <row r="849">
      <c r="B849" s="11">
        <f>IFERROR(__xludf.DUMMYFUNCTION("""COMPUTED_VALUE"""),44788.66666666667)</f>
        <v>44788.66667</v>
      </c>
      <c r="C849" s="9">
        <f>IFERROR(__xludf.DUMMYFUNCTION("""COMPUTED_VALUE"""),100.08)</f>
        <v>100.08</v>
      </c>
      <c r="E849" s="17"/>
      <c r="N849" s="17"/>
      <c r="Q849" s="17"/>
    </row>
    <row r="850">
      <c r="B850" s="11">
        <f>IFERROR(__xludf.DUMMYFUNCTION("""COMPUTED_VALUE"""),44785.66666666667)</f>
        <v>44785.66667</v>
      </c>
      <c r="C850" s="9">
        <f>IFERROR(__xludf.DUMMYFUNCTION("""COMPUTED_VALUE"""),99.84)</f>
        <v>99.84</v>
      </c>
      <c r="E850" s="17"/>
      <c r="N850" s="17"/>
      <c r="Q850" s="17"/>
    </row>
    <row r="851">
      <c r="B851" s="11">
        <f>IFERROR(__xludf.DUMMYFUNCTION("""COMPUTED_VALUE"""),44784.66666666667)</f>
        <v>44784.66667</v>
      </c>
      <c r="C851" s="9">
        <f>IFERROR(__xludf.DUMMYFUNCTION("""COMPUTED_VALUE"""),98.36)</f>
        <v>98.36</v>
      </c>
      <c r="E851" s="17"/>
      <c r="N851" s="17"/>
      <c r="Q851" s="17"/>
    </row>
    <row r="852">
      <c r="B852" s="11">
        <f>IFERROR(__xludf.DUMMYFUNCTION("""COMPUTED_VALUE"""),44783.66666666667)</f>
        <v>44783.66667</v>
      </c>
      <c r="C852" s="9">
        <f>IFERROR(__xludf.DUMMYFUNCTION("""COMPUTED_VALUE"""),97.84)</f>
        <v>97.84</v>
      </c>
      <c r="E852" s="17"/>
      <c r="N852" s="17"/>
      <c r="Q852" s="17"/>
    </row>
    <row r="853">
      <c r="B853" s="11">
        <f>IFERROR(__xludf.DUMMYFUNCTION("""COMPUTED_VALUE"""),44782.66666666667)</f>
        <v>44782.66667</v>
      </c>
      <c r="C853" s="9">
        <f>IFERROR(__xludf.DUMMYFUNCTION("""COMPUTED_VALUE"""),95.74)</f>
        <v>95.74</v>
      </c>
      <c r="E853" s="17"/>
      <c r="N853" s="17"/>
      <c r="Q853" s="17"/>
    </row>
    <row r="854">
      <c r="B854" s="11">
        <f>IFERROR(__xludf.DUMMYFUNCTION("""COMPUTED_VALUE"""),44781.66666666667)</f>
        <v>44781.66667</v>
      </c>
      <c r="C854" s="9">
        <f>IFERROR(__xludf.DUMMYFUNCTION("""COMPUTED_VALUE"""),96.09)</f>
        <v>96.09</v>
      </c>
      <c r="E854" s="17"/>
      <c r="N854" s="17"/>
      <c r="Q854" s="17"/>
    </row>
    <row r="855">
      <c r="B855" s="11">
        <f>IFERROR(__xludf.DUMMYFUNCTION("""COMPUTED_VALUE"""),44778.66666666667)</f>
        <v>44778.66667</v>
      </c>
      <c r="C855" s="9">
        <f>IFERROR(__xludf.DUMMYFUNCTION("""COMPUTED_VALUE"""),96.12)</f>
        <v>96.12</v>
      </c>
      <c r="E855" s="17"/>
      <c r="N855" s="17"/>
      <c r="Q855" s="17"/>
    </row>
    <row r="856">
      <c r="B856" s="11">
        <f>IFERROR(__xludf.DUMMYFUNCTION("""COMPUTED_VALUE"""),44777.66666666667)</f>
        <v>44777.66667</v>
      </c>
      <c r="C856" s="9">
        <f>IFERROR(__xludf.DUMMYFUNCTION("""COMPUTED_VALUE"""),95.97)</f>
        <v>95.97</v>
      </c>
      <c r="E856" s="17"/>
      <c r="N856" s="17"/>
      <c r="Q856" s="17"/>
    </row>
    <row r="857">
      <c r="B857" s="11">
        <f>IFERROR(__xludf.DUMMYFUNCTION("""COMPUTED_VALUE"""),44776.66666666667)</f>
        <v>44776.66667</v>
      </c>
      <c r="C857" s="9">
        <f>IFERROR(__xludf.DUMMYFUNCTION("""COMPUTED_VALUE"""),95.62)</f>
        <v>95.62</v>
      </c>
      <c r="E857" s="17"/>
      <c r="N857" s="17"/>
      <c r="Q857" s="17"/>
    </row>
    <row r="858">
      <c r="B858" s="11">
        <f>IFERROR(__xludf.DUMMYFUNCTION("""COMPUTED_VALUE"""),44775.66666666667)</f>
        <v>44775.66667</v>
      </c>
      <c r="C858" s="9">
        <f>IFERROR(__xludf.DUMMYFUNCTION("""COMPUTED_VALUE"""),94.73)</f>
        <v>94.73</v>
      </c>
      <c r="E858" s="17"/>
      <c r="N858" s="17"/>
      <c r="Q858" s="17"/>
    </row>
    <row r="859">
      <c r="B859" s="11">
        <f>IFERROR(__xludf.DUMMYFUNCTION("""COMPUTED_VALUE"""),44774.66666666667)</f>
        <v>44774.66667</v>
      </c>
      <c r="C859" s="9">
        <f>IFERROR(__xludf.DUMMYFUNCTION("""COMPUTED_VALUE"""),95.74)</f>
        <v>95.74</v>
      </c>
      <c r="E859" s="17"/>
      <c r="N859" s="17"/>
      <c r="Q859" s="17"/>
    </row>
    <row r="860">
      <c r="B860" s="11">
        <f>IFERROR(__xludf.DUMMYFUNCTION("""COMPUTED_VALUE"""),44771.66666666667)</f>
        <v>44771.66667</v>
      </c>
      <c r="C860" s="9">
        <f>IFERROR(__xludf.DUMMYFUNCTION("""COMPUTED_VALUE"""),95.64)</f>
        <v>95.64</v>
      </c>
      <c r="E860" s="17"/>
      <c r="N860" s="17"/>
      <c r="Q860" s="17"/>
    </row>
    <row r="861">
      <c r="B861" s="11">
        <f>IFERROR(__xludf.DUMMYFUNCTION("""COMPUTED_VALUE"""),44770.66666666667)</f>
        <v>44770.66667</v>
      </c>
      <c r="C861" s="9">
        <f>IFERROR(__xludf.DUMMYFUNCTION("""COMPUTED_VALUE"""),93.71)</f>
        <v>93.71</v>
      </c>
      <c r="E861" s="17"/>
      <c r="N861" s="17"/>
      <c r="Q861" s="17"/>
    </row>
    <row r="862">
      <c r="B862" s="11">
        <f>IFERROR(__xludf.DUMMYFUNCTION("""COMPUTED_VALUE"""),44769.66666666667)</f>
        <v>44769.66667</v>
      </c>
      <c r="C862" s="9">
        <f>IFERROR(__xludf.DUMMYFUNCTION("""COMPUTED_VALUE"""),91.79)</f>
        <v>91.79</v>
      </c>
      <c r="E862" s="17"/>
      <c r="N862" s="17"/>
      <c r="Q862" s="17"/>
    </row>
    <row r="863">
      <c r="B863" s="11">
        <f>IFERROR(__xludf.DUMMYFUNCTION("""COMPUTED_VALUE"""),44768.66666666667)</f>
        <v>44768.66667</v>
      </c>
      <c r="C863" s="9">
        <f>IFERROR(__xludf.DUMMYFUNCTION("""COMPUTED_VALUE"""),90.39)</f>
        <v>90.39</v>
      </c>
      <c r="E863" s="17"/>
      <c r="N863" s="17"/>
      <c r="Q863" s="17"/>
    </row>
    <row r="864">
      <c r="B864" s="11">
        <f>IFERROR(__xludf.DUMMYFUNCTION("""COMPUTED_VALUE"""),44767.66666666667)</f>
        <v>44767.66667</v>
      </c>
      <c r="C864" s="9">
        <f>IFERROR(__xludf.DUMMYFUNCTION("""COMPUTED_VALUE"""),90.88)</f>
        <v>90.88</v>
      </c>
      <c r="E864" s="17"/>
      <c r="N864" s="17"/>
      <c r="Q864" s="17"/>
    </row>
    <row r="865">
      <c r="B865" s="11">
        <f>IFERROR(__xludf.DUMMYFUNCTION("""COMPUTED_VALUE"""),44764.66666666667)</f>
        <v>44764.66667</v>
      </c>
      <c r="C865" s="9">
        <f>IFERROR(__xludf.DUMMYFUNCTION("""COMPUTED_VALUE"""),90.45)</f>
        <v>90.45</v>
      </c>
      <c r="E865" s="17"/>
      <c r="N865" s="17"/>
      <c r="Q865" s="17"/>
    </row>
    <row r="866">
      <c r="B866" s="11">
        <f>IFERROR(__xludf.DUMMYFUNCTION("""COMPUTED_VALUE"""),44763.66666666667)</f>
        <v>44763.66667</v>
      </c>
      <c r="C866" s="9">
        <f>IFERROR(__xludf.DUMMYFUNCTION("""COMPUTED_VALUE"""),90.74)</f>
        <v>90.74</v>
      </c>
      <c r="E866" s="17"/>
      <c r="N866" s="17"/>
      <c r="Q866" s="17"/>
    </row>
    <row r="867">
      <c r="B867" s="11">
        <f>IFERROR(__xludf.DUMMYFUNCTION("""COMPUTED_VALUE"""),44762.66666666667)</f>
        <v>44762.66667</v>
      </c>
      <c r="C867" s="9">
        <f>IFERROR(__xludf.DUMMYFUNCTION("""COMPUTED_VALUE"""),90.09)</f>
        <v>90.09</v>
      </c>
      <c r="E867" s="17"/>
      <c r="N867" s="17"/>
      <c r="Q867" s="17"/>
    </row>
    <row r="868">
      <c r="B868" s="11">
        <f>IFERROR(__xludf.DUMMYFUNCTION("""COMPUTED_VALUE"""),44761.66666666667)</f>
        <v>44761.66667</v>
      </c>
      <c r="C868" s="9">
        <f>IFERROR(__xludf.DUMMYFUNCTION("""COMPUTED_VALUE"""),89.4)</f>
        <v>89.4</v>
      </c>
      <c r="E868" s="17"/>
      <c r="N868" s="17"/>
      <c r="Q868" s="17"/>
    </row>
    <row r="869">
      <c r="B869" s="11">
        <f>IFERROR(__xludf.DUMMYFUNCTION("""COMPUTED_VALUE"""),44760.66666666667)</f>
        <v>44760.66667</v>
      </c>
      <c r="C869" s="9">
        <f>IFERROR(__xludf.DUMMYFUNCTION("""COMPUTED_VALUE"""),86.32)</f>
        <v>86.32</v>
      </c>
      <c r="E869" s="17"/>
      <c r="N869" s="17"/>
      <c r="Q869" s="17"/>
    </row>
    <row r="870">
      <c r="B870" s="11">
        <f>IFERROR(__xludf.DUMMYFUNCTION("""COMPUTED_VALUE"""),44757.66666666667)</f>
        <v>44757.66667</v>
      </c>
      <c r="C870" s="9">
        <f>IFERROR(__xludf.DUMMYFUNCTION("""COMPUTED_VALUE"""),86.84)</f>
        <v>86.84</v>
      </c>
      <c r="E870" s="17"/>
      <c r="N870" s="17"/>
      <c r="Q870" s="17"/>
    </row>
    <row r="871">
      <c r="B871" s="11">
        <f>IFERROR(__xludf.DUMMYFUNCTION("""COMPUTED_VALUE"""),44756.66666666667)</f>
        <v>44756.66667</v>
      </c>
      <c r="C871" s="9">
        <f>IFERROR(__xludf.DUMMYFUNCTION("""COMPUTED_VALUE"""),85.5)</f>
        <v>85.5</v>
      </c>
      <c r="E871" s="17"/>
      <c r="N871" s="17"/>
      <c r="Q871" s="17"/>
    </row>
    <row r="872">
      <c r="B872" s="11">
        <f>IFERROR(__xludf.DUMMYFUNCTION("""COMPUTED_VALUE"""),44755.66666666667)</f>
        <v>44755.66667</v>
      </c>
      <c r="C872" s="9">
        <f>IFERROR(__xludf.DUMMYFUNCTION("""COMPUTED_VALUE"""),85.99)</f>
        <v>85.99</v>
      </c>
      <c r="E872" s="17"/>
      <c r="N872" s="17"/>
      <c r="Q872" s="17"/>
    </row>
    <row r="873">
      <c r="B873" s="11">
        <f>IFERROR(__xludf.DUMMYFUNCTION("""COMPUTED_VALUE"""),44754.66666666667)</f>
        <v>44754.66667</v>
      </c>
      <c r="C873" s="9">
        <f>IFERROR(__xludf.DUMMYFUNCTION("""COMPUTED_VALUE"""),87.05)</f>
        <v>87.05</v>
      </c>
      <c r="E873" s="17"/>
      <c r="N873" s="17"/>
      <c r="Q873" s="17"/>
    </row>
    <row r="874">
      <c r="B874" s="11">
        <f>IFERROR(__xludf.DUMMYFUNCTION("""COMPUTED_VALUE"""),44753.66666666667)</f>
        <v>44753.66667</v>
      </c>
      <c r="C874" s="9">
        <f>IFERROR(__xludf.DUMMYFUNCTION("""COMPUTED_VALUE"""),87.32)</f>
        <v>87.32</v>
      </c>
      <c r="E874" s="17"/>
      <c r="N874" s="17"/>
      <c r="Q874" s="17"/>
    </row>
    <row r="875">
      <c r="B875" s="11">
        <f>IFERROR(__xludf.DUMMYFUNCTION("""COMPUTED_VALUE"""),44750.66666666667)</f>
        <v>44750.66667</v>
      </c>
      <c r="C875" s="9">
        <f>IFERROR(__xludf.DUMMYFUNCTION("""COMPUTED_VALUE"""),87.91)</f>
        <v>87.91</v>
      </c>
      <c r="E875" s="17"/>
      <c r="N875" s="17"/>
      <c r="Q875" s="17"/>
    </row>
    <row r="876">
      <c r="B876" s="11">
        <f>IFERROR(__xludf.DUMMYFUNCTION("""COMPUTED_VALUE"""),44749.66666666667)</f>
        <v>44749.66667</v>
      </c>
      <c r="C876" s="9">
        <f>IFERROR(__xludf.DUMMYFUNCTION("""COMPUTED_VALUE"""),88.31)</f>
        <v>88.31</v>
      </c>
      <c r="E876" s="17"/>
      <c r="N876" s="17"/>
      <c r="Q876" s="17"/>
    </row>
    <row r="877">
      <c r="B877" s="11">
        <f>IFERROR(__xludf.DUMMYFUNCTION("""COMPUTED_VALUE"""),44748.66666666667)</f>
        <v>44748.66667</v>
      </c>
      <c r="C877" s="9">
        <f>IFERROR(__xludf.DUMMYFUNCTION("""COMPUTED_VALUE"""),87.28)</f>
        <v>87.28</v>
      </c>
      <c r="E877" s="17"/>
      <c r="N877" s="17"/>
      <c r="Q877" s="17"/>
    </row>
    <row r="878">
      <c r="B878" s="11">
        <f>IFERROR(__xludf.DUMMYFUNCTION("""COMPUTED_VALUE"""),44747.66666666667)</f>
        <v>44747.66667</v>
      </c>
      <c r="C878" s="9">
        <f>IFERROR(__xludf.DUMMYFUNCTION("""COMPUTED_VALUE"""),86.78)</f>
        <v>86.78</v>
      </c>
      <c r="E878" s="17"/>
      <c r="N878" s="17"/>
      <c r="Q878" s="17"/>
    </row>
    <row r="879">
      <c r="B879" s="11">
        <f>IFERROR(__xludf.DUMMYFUNCTION("""COMPUTED_VALUE"""),44743.66666666667)</f>
        <v>44743.66667</v>
      </c>
      <c r="C879" s="9">
        <f>IFERROR(__xludf.DUMMYFUNCTION("""COMPUTED_VALUE"""),88.1)</f>
        <v>88.1</v>
      </c>
      <c r="E879" s="17"/>
      <c r="N879" s="17"/>
      <c r="Q879" s="17"/>
    </row>
    <row r="880">
      <c r="B880" s="11">
        <f>IFERROR(__xludf.DUMMYFUNCTION("""COMPUTED_VALUE"""),44742.66666666667)</f>
        <v>44742.66667</v>
      </c>
      <c r="C880" s="9">
        <f>IFERROR(__xludf.DUMMYFUNCTION("""COMPUTED_VALUE"""),87.34)</f>
        <v>87.34</v>
      </c>
      <c r="E880" s="17"/>
      <c r="N880" s="17"/>
      <c r="Q880" s="17"/>
    </row>
    <row r="881">
      <c r="B881" s="11">
        <f>IFERROR(__xludf.DUMMYFUNCTION("""COMPUTED_VALUE"""),44741.66666666667)</f>
        <v>44741.66667</v>
      </c>
      <c r="C881" s="9">
        <f>IFERROR(__xludf.DUMMYFUNCTION("""COMPUTED_VALUE"""),87.07)</f>
        <v>87.07</v>
      </c>
      <c r="E881" s="17"/>
      <c r="N881" s="17"/>
      <c r="Q881" s="17"/>
    </row>
    <row r="882">
      <c r="B882" s="11">
        <f>IFERROR(__xludf.DUMMYFUNCTION("""COMPUTED_VALUE"""),44740.66666666667)</f>
        <v>44740.66667</v>
      </c>
      <c r="C882" s="9">
        <f>IFERROR(__xludf.DUMMYFUNCTION("""COMPUTED_VALUE"""),87.58)</f>
        <v>87.58</v>
      </c>
      <c r="E882" s="17"/>
      <c r="N882" s="17"/>
      <c r="Q882" s="17"/>
    </row>
    <row r="883">
      <c r="B883" s="11">
        <f>IFERROR(__xludf.DUMMYFUNCTION("""COMPUTED_VALUE"""),44739.66666666667)</f>
        <v>44739.66667</v>
      </c>
      <c r="C883" s="9">
        <f>IFERROR(__xludf.DUMMYFUNCTION("""COMPUTED_VALUE"""),88.61)</f>
        <v>88.61</v>
      </c>
      <c r="E883" s="17"/>
      <c r="N883" s="17"/>
      <c r="Q883" s="17"/>
    </row>
    <row r="884">
      <c r="B884" s="11">
        <f>IFERROR(__xludf.DUMMYFUNCTION("""COMPUTED_VALUE"""),44736.66666666667)</f>
        <v>44736.66667</v>
      </c>
      <c r="C884" s="9">
        <f>IFERROR(__xludf.DUMMYFUNCTION("""COMPUTED_VALUE"""),88.82)</f>
        <v>88.82</v>
      </c>
      <c r="E884" s="17"/>
      <c r="N884" s="17"/>
      <c r="Q884" s="17"/>
    </row>
    <row r="885">
      <c r="B885" s="11">
        <f>IFERROR(__xludf.DUMMYFUNCTION("""COMPUTED_VALUE"""),44735.66666666667)</f>
        <v>44735.66667</v>
      </c>
      <c r="C885" s="9">
        <f>IFERROR(__xludf.DUMMYFUNCTION("""COMPUTED_VALUE"""),85.82)</f>
        <v>85.82</v>
      </c>
      <c r="E885" s="17"/>
      <c r="N885" s="17"/>
      <c r="Q885" s="17"/>
    </row>
    <row r="886">
      <c r="B886" s="11">
        <f>IFERROR(__xludf.DUMMYFUNCTION("""COMPUTED_VALUE"""),44734.66666666667)</f>
        <v>44734.66667</v>
      </c>
      <c r="C886" s="9">
        <f>IFERROR(__xludf.DUMMYFUNCTION("""COMPUTED_VALUE"""),86.26)</f>
        <v>86.26</v>
      </c>
      <c r="E886" s="17"/>
      <c r="N886" s="17"/>
      <c r="Q886" s="17"/>
    </row>
    <row r="887">
      <c r="B887" s="11">
        <f>IFERROR(__xludf.DUMMYFUNCTION("""COMPUTED_VALUE"""),44733.66666666667)</f>
        <v>44733.66667</v>
      </c>
      <c r="C887" s="9">
        <f>IFERROR(__xludf.DUMMYFUNCTION("""COMPUTED_VALUE"""),86.74)</f>
        <v>86.74</v>
      </c>
      <c r="E887" s="17"/>
      <c r="N887" s="17"/>
      <c r="Q887" s="17"/>
    </row>
    <row r="888">
      <c r="B888" s="11">
        <f>IFERROR(__xludf.DUMMYFUNCTION("""COMPUTED_VALUE"""),44729.66666666667)</f>
        <v>44729.66667</v>
      </c>
      <c r="C888" s="9">
        <f>IFERROR(__xludf.DUMMYFUNCTION("""COMPUTED_VALUE"""),85.56)</f>
        <v>85.56</v>
      </c>
      <c r="E888" s="17"/>
      <c r="N888" s="17"/>
      <c r="Q888" s="17"/>
    </row>
    <row r="889">
      <c r="B889" s="11">
        <f>IFERROR(__xludf.DUMMYFUNCTION("""COMPUTED_VALUE"""),44728.66666666667)</f>
        <v>44728.66667</v>
      </c>
      <c r="C889" s="9">
        <f>IFERROR(__xludf.DUMMYFUNCTION("""COMPUTED_VALUE"""),85.78)</f>
        <v>85.78</v>
      </c>
      <c r="E889" s="17"/>
      <c r="N889" s="17"/>
      <c r="Q889" s="17"/>
    </row>
    <row r="890">
      <c r="B890" s="11">
        <f>IFERROR(__xludf.DUMMYFUNCTION("""COMPUTED_VALUE"""),44727.66666666667)</f>
        <v>44727.66667</v>
      </c>
      <c r="C890" s="9">
        <f>IFERROR(__xludf.DUMMYFUNCTION("""COMPUTED_VALUE"""),88.74)</f>
        <v>88.74</v>
      </c>
      <c r="E890" s="17"/>
      <c r="N890" s="17"/>
      <c r="Q890" s="17"/>
    </row>
    <row r="891">
      <c r="B891" s="11">
        <f>IFERROR(__xludf.DUMMYFUNCTION("""COMPUTED_VALUE"""),44726.66666666667)</f>
        <v>44726.66667</v>
      </c>
      <c r="C891" s="9">
        <f>IFERROR(__xludf.DUMMYFUNCTION("""COMPUTED_VALUE"""),87.89)</f>
        <v>87.89</v>
      </c>
      <c r="E891" s="17"/>
      <c r="N891" s="17"/>
      <c r="Q891" s="17"/>
    </row>
    <row r="892">
      <c r="B892" s="11">
        <f>IFERROR(__xludf.DUMMYFUNCTION("""COMPUTED_VALUE"""),44725.66666666667)</f>
        <v>44725.66667</v>
      </c>
      <c r="C892" s="9">
        <f>IFERROR(__xludf.DUMMYFUNCTION("""COMPUTED_VALUE"""),88.11)</f>
        <v>88.11</v>
      </c>
      <c r="E892" s="17"/>
      <c r="N892" s="17"/>
      <c r="Q892" s="17"/>
    </row>
    <row r="893">
      <c r="B893" s="11">
        <f>IFERROR(__xludf.DUMMYFUNCTION("""COMPUTED_VALUE"""),44722.66666666667)</f>
        <v>44722.66667</v>
      </c>
      <c r="C893" s="9">
        <f>IFERROR(__xludf.DUMMYFUNCTION("""COMPUTED_VALUE"""),90.84)</f>
        <v>90.84</v>
      </c>
      <c r="E893" s="17"/>
      <c r="N893" s="17"/>
      <c r="Q893" s="17"/>
    </row>
    <row r="894">
      <c r="B894" s="11">
        <f>IFERROR(__xludf.DUMMYFUNCTION("""COMPUTED_VALUE"""),44721.66666666667)</f>
        <v>44721.66667</v>
      </c>
      <c r="C894" s="9">
        <f>IFERROR(__xludf.DUMMYFUNCTION("""COMPUTED_VALUE"""),93.6)</f>
        <v>93.6</v>
      </c>
      <c r="E894" s="17"/>
      <c r="N894" s="17"/>
      <c r="Q894" s="17"/>
    </row>
    <row r="895">
      <c r="B895" s="11">
        <f>IFERROR(__xludf.DUMMYFUNCTION("""COMPUTED_VALUE"""),44720.66666666667)</f>
        <v>44720.66667</v>
      </c>
      <c r="C895" s="9">
        <f>IFERROR(__xludf.DUMMYFUNCTION("""COMPUTED_VALUE"""),95.48)</f>
        <v>95.48</v>
      </c>
      <c r="E895" s="17"/>
      <c r="N895" s="17"/>
      <c r="Q895" s="17"/>
    </row>
    <row r="896">
      <c r="B896" s="11">
        <f>IFERROR(__xludf.DUMMYFUNCTION("""COMPUTED_VALUE"""),44719.66666666667)</f>
        <v>44719.66667</v>
      </c>
      <c r="C896" s="9">
        <f>IFERROR(__xludf.DUMMYFUNCTION("""COMPUTED_VALUE"""),97.24)</f>
        <v>97.24</v>
      </c>
      <c r="E896" s="17"/>
      <c r="N896" s="17"/>
      <c r="Q896" s="17"/>
    </row>
    <row r="897">
      <c r="B897" s="11">
        <f>IFERROR(__xludf.DUMMYFUNCTION("""COMPUTED_VALUE"""),44718.66666666667)</f>
        <v>44718.66667</v>
      </c>
      <c r="C897" s="9">
        <f>IFERROR(__xludf.DUMMYFUNCTION("""COMPUTED_VALUE"""),95.95)</f>
        <v>95.95</v>
      </c>
      <c r="E897" s="17"/>
      <c r="N897" s="17"/>
      <c r="Q897" s="17"/>
    </row>
    <row r="898">
      <c r="B898" s="11">
        <f>IFERROR(__xludf.DUMMYFUNCTION("""COMPUTED_VALUE"""),44715.66666666667)</f>
        <v>44715.66667</v>
      </c>
      <c r="C898" s="9">
        <f>IFERROR(__xludf.DUMMYFUNCTION("""COMPUTED_VALUE"""),95.55)</f>
        <v>95.55</v>
      </c>
      <c r="E898" s="17"/>
      <c r="N898" s="17"/>
      <c r="Q898" s="17"/>
    </row>
    <row r="899">
      <c r="B899" s="11">
        <f>IFERROR(__xludf.DUMMYFUNCTION("""COMPUTED_VALUE"""),44714.66666666667)</f>
        <v>44714.66667</v>
      </c>
      <c r="C899" s="9">
        <f>IFERROR(__xludf.DUMMYFUNCTION("""COMPUTED_VALUE"""),95.92)</f>
        <v>95.92</v>
      </c>
      <c r="E899" s="17"/>
      <c r="N899" s="17"/>
      <c r="Q899" s="17"/>
    </row>
    <row r="900">
      <c r="B900" s="11">
        <f>IFERROR(__xludf.DUMMYFUNCTION("""COMPUTED_VALUE"""),44713.66666666667)</f>
        <v>44713.66667</v>
      </c>
      <c r="C900" s="9">
        <f>IFERROR(__xludf.DUMMYFUNCTION("""COMPUTED_VALUE"""),94.12)</f>
        <v>94.12</v>
      </c>
      <c r="E900" s="17"/>
      <c r="N900" s="17"/>
      <c r="Q900" s="17"/>
    </row>
    <row r="901">
      <c r="B901" s="11">
        <f>IFERROR(__xludf.DUMMYFUNCTION("""COMPUTED_VALUE"""),44712.66666666667)</f>
        <v>44712.66667</v>
      </c>
      <c r="C901" s="9">
        <f>IFERROR(__xludf.DUMMYFUNCTION("""COMPUTED_VALUE"""),94.7)</f>
        <v>94.7</v>
      </c>
      <c r="E901" s="17"/>
      <c r="N901" s="17"/>
      <c r="Q901" s="17"/>
    </row>
    <row r="902">
      <c r="B902" s="11">
        <f>IFERROR(__xludf.DUMMYFUNCTION("""COMPUTED_VALUE"""),44708.66666666667)</f>
        <v>44708.66667</v>
      </c>
      <c r="C902" s="9">
        <f>IFERROR(__xludf.DUMMYFUNCTION("""COMPUTED_VALUE"""),95.47)</f>
        <v>95.47</v>
      </c>
      <c r="E902" s="17"/>
      <c r="N902" s="17"/>
      <c r="Q902" s="17"/>
    </row>
    <row r="903">
      <c r="B903" s="11">
        <f>IFERROR(__xludf.DUMMYFUNCTION("""COMPUTED_VALUE"""),44707.66666666667)</f>
        <v>44707.66667</v>
      </c>
      <c r="C903" s="9">
        <f>IFERROR(__xludf.DUMMYFUNCTION("""COMPUTED_VALUE"""),93.55)</f>
        <v>93.55</v>
      </c>
      <c r="E903" s="17"/>
      <c r="N903" s="17"/>
      <c r="Q903" s="17"/>
    </row>
    <row r="904">
      <c r="B904" s="11">
        <f>IFERROR(__xludf.DUMMYFUNCTION("""COMPUTED_VALUE"""),44706.66666666667)</f>
        <v>44706.66667</v>
      </c>
      <c r="C904" s="9">
        <f>IFERROR(__xludf.DUMMYFUNCTION("""COMPUTED_VALUE"""),91.69)</f>
        <v>91.69</v>
      </c>
      <c r="E904" s="17"/>
      <c r="N904" s="17"/>
      <c r="Q904" s="17"/>
    </row>
    <row r="905">
      <c r="B905" s="11">
        <f>IFERROR(__xludf.DUMMYFUNCTION("""COMPUTED_VALUE"""),44705.66666666667)</f>
        <v>44705.66667</v>
      </c>
      <c r="C905" s="9">
        <f>IFERROR(__xludf.DUMMYFUNCTION("""COMPUTED_VALUE"""),91.16)</f>
        <v>91.16</v>
      </c>
      <c r="E905" s="17"/>
      <c r="N905" s="17"/>
      <c r="Q905" s="17"/>
    </row>
    <row r="906">
      <c r="B906" s="11">
        <f>IFERROR(__xludf.DUMMYFUNCTION("""COMPUTED_VALUE"""),44704.66666666667)</f>
        <v>44704.66667</v>
      </c>
      <c r="C906" s="9">
        <f>IFERROR(__xludf.DUMMYFUNCTION("""COMPUTED_VALUE"""),91.21)</f>
        <v>91.21</v>
      </c>
      <c r="E906" s="17"/>
      <c r="N906" s="17"/>
      <c r="Q906" s="17"/>
    </row>
    <row r="907">
      <c r="B907" s="11">
        <f>IFERROR(__xludf.DUMMYFUNCTION("""COMPUTED_VALUE"""),44701.66666666667)</f>
        <v>44701.66667</v>
      </c>
      <c r="C907" s="9">
        <f>IFERROR(__xludf.DUMMYFUNCTION("""COMPUTED_VALUE"""),89.74)</f>
        <v>89.74</v>
      </c>
      <c r="E907" s="17"/>
      <c r="N907" s="17"/>
      <c r="Q907" s="17"/>
    </row>
    <row r="908">
      <c r="B908" s="11">
        <f>IFERROR(__xludf.DUMMYFUNCTION("""COMPUTED_VALUE"""),44700.66666666667)</f>
        <v>44700.66667</v>
      </c>
      <c r="C908" s="9">
        <f>IFERROR(__xludf.DUMMYFUNCTION("""COMPUTED_VALUE"""),90.72)</f>
        <v>90.72</v>
      </c>
      <c r="E908" s="17"/>
      <c r="N908" s="17"/>
      <c r="Q908" s="17"/>
    </row>
    <row r="909">
      <c r="B909" s="11">
        <f>IFERROR(__xludf.DUMMYFUNCTION("""COMPUTED_VALUE"""),44699.66666666667)</f>
        <v>44699.66667</v>
      </c>
      <c r="C909" s="9">
        <f>IFERROR(__xludf.DUMMYFUNCTION("""COMPUTED_VALUE"""),91.54)</f>
        <v>91.54</v>
      </c>
      <c r="E909" s="17"/>
      <c r="N909" s="17"/>
      <c r="Q909" s="17"/>
    </row>
    <row r="910">
      <c r="B910" s="11">
        <f>IFERROR(__xludf.DUMMYFUNCTION("""COMPUTED_VALUE"""),44698.66666666667)</f>
        <v>44698.66667</v>
      </c>
      <c r="C910" s="9">
        <f>IFERROR(__xludf.DUMMYFUNCTION("""COMPUTED_VALUE"""),95.08)</f>
        <v>95.08</v>
      </c>
      <c r="E910" s="17"/>
      <c r="N910" s="17"/>
      <c r="Q910" s="17"/>
    </row>
    <row r="911">
      <c r="B911" s="11">
        <f>IFERROR(__xludf.DUMMYFUNCTION("""COMPUTED_VALUE"""),44697.66666666667)</f>
        <v>44697.66667</v>
      </c>
      <c r="C911" s="9">
        <f>IFERROR(__xludf.DUMMYFUNCTION("""COMPUTED_VALUE"""),92.97)</f>
        <v>92.97</v>
      </c>
      <c r="E911" s="17"/>
      <c r="N911" s="17"/>
      <c r="Q911" s="17"/>
    </row>
    <row r="912">
      <c r="B912" s="11">
        <f>IFERROR(__xludf.DUMMYFUNCTION("""COMPUTED_VALUE"""),44694.66666666667)</f>
        <v>44694.66667</v>
      </c>
      <c r="C912" s="9">
        <f>IFERROR(__xludf.DUMMYFUNCTION("""COMPUTED_VALUE"""),93.1)</f>
        <v>93.1</v>
      </c>
      <c r="E912" s="17"/>
      <c r="N912" s="17"/>
      <c r="Q912" s="17"/>
    </row>
    <row r="913">
      <c r="B913" s="11">
        <f>IFERROR(__xludf.DUMMYFUNCTION("""COMPUTED_VALUE"""),44693.66666666667)</f>
        <v>44693.66667</v>
      </c>
      <c r="C913" s="9">
        <f>IFERROR(__xludf.DUMMYFUNCTION("""COMPUTED_VALUE"""),91.93)</f>
        <v>91.93</v>
      </c>
      <c r="E913" s="17"/>
      <c r="N913" s="17"/>
      <c r="Q913" s="17"/>
    </row>
    <row r="914">
      <c r="B914" s="11">
        <f>IFERROR(__xludf.DUMMYFUNCTION("""COMPUTED_VALUE"""),44692.66666666667)</f>
        <v>44692.66667</v>
      </c>
      <c r="C914" s="9">
        <f>IFERROR(__xludf.DUMMYFUNCTION("""COMPUTED_VALUE"""),91.76)</f>
        <v>91.76</v>
      </c>
      <c r="E914" s="17"/>
      <c r="N914" s="17"/>
      <c r="Q914" s="17"/>
    </row>
    <row r="915">
      <c r="B915" s="11">
        <f>IFERROR(__xludf.DUMMYFUNCTION("""COMPUTED_VALUE"""),44691.66666666667)</f>
        <v>44691.66667</v>
      </c>
      <c r="C915" s="9">
        <f>IFERROR(__xludf.DUMMYFUNCTION("""COMPUTED_VALUE"""),92.6)</f>
        <v>92.6</v>
      </c>
      <c r="E915" s="17"/>
      <c r="N915" s="17"/>
      <c r="Q915" s="17"/>
    </row>
    <row r="916">
      <c r="B916" s="11">
        <f>IFERROR(__xludf.DUMMYFUNCTION("""COMPUTED_VALUE"""),44690.66666666667)</f>
        <v>44690.66667</v>
      </c>
      <c r="C916" s="9">
        <f>IFERROR(__xludf.DUMMYFUNCTION("""COMPUTED_VALUE"""),93.21)</f>
        <v>93.21</v>
      </c>
      <c r="E916" s="17"/>
      <c r="N916" s="17"/>
      <c r="Q916" s="17"/>
    </row>
    <row r="917">
      <c r="B917" s="11">
        <f>IFERROR(__xludf.DUMMYFUNCTION("""COMPUTED_VALUE"""),44687.66666666667)</f>
        <v>44687.66667</v>
      </c>
      <c r="C917" s="9">
        <f>IFERROR(__xludf.DUMMYFUNCTION("""COMPUTED_VALUE"""),95.52)</f>
        <v>95.52</v>
      </c>
      <c r="E917" s="17"/>
      <c r="N917" s="17"/>
      <c r="Q917" s="17"/>
    </row>
    <row r="918">
      <c r="B918" s="11">
        <f>IFERROR(__xludf.DUMMYFUNCTION("""COMPUTED_VALUE"""),44686.66666666667)</f>
        <v>44686.66667</v>
      </c>
      <c r="C918" s="9">
        <f>IFERROR(__xludf.DUMMYFUNCTION("""COMPUTED_VALUE"""),96.17)</f>
        <v>96.17</v>
      </c>
      <c r="E918" s="17"/>
      <c r="N918" s="17"/>
      <c r="Q918" s="17"/>
    </row>
    <row r="919">
      <c r="B919" s="11">
        <f>IFERROR(__xludf.DUMMYFUNCTION("""COMPUTED_VALUE"""),44685.66666666667)</f>
        <v>44685.66667</v>
      </c>
      <c r="C919" s="9">
        <f>IFERROR(__xludf.DUMMYFUNCTION("""COMPUTED_VALUE"""),98.75)</f>
        <v>98.75</v>
      </c>
      <c r="E919" s="17"/>
      <c r="N919" s="17"/>
      <c r="Q919" s="17"/>
    </row>
    <row r="920">
      <c r="B920" s="11">
        <f>IFERROR(__xludf.DUMMYFUNCTION("""COMPUTED_VALUE"""),44684.66666666667)</f>
        <v>44684.66667</v>
      </c>
      <c r="C920" s="9">
        <f>IFERROR(__xludf.DUMMYFUNCTION("""COMPUTED_VALUE"""),95.97)</f>
        <v>95.97</v>
      </c>
      <c r="E920" s="17"/>
      <c r="N920" s="17"/>
      <c r="Q920" s="17"/>
    </row>
    <row r="921">
      <c r="B921" s="11">
        <f>IFERROR(__xludf.DUMMYFUNCTION("""COMPUTED_VALUE"""),44683.66666666667)</f>
        <v>44683.66667</v>
      </c>
      <c r="C921" s="9">
        <f>IFERROR(__xludf.DUMMYFUNCTION("""COMPUTED_VALUE"""),95.34)</f>
        <v>95.34</v>
      </c>
      <c r="E921" s="17"/>
      <c r="N921" s="17"/>
      <c r="Q921" s="17"/>
    </row>
    <row r="922">
      <c r="B922" s="11">
        <f>IFERROR(__xludf.DUMMYFUNCTION("""COMPUTED_VALUE"""),44680.66666666667)</f>
        <v>44680.66667</v>
      </c>
      <c r="C922" s="9">
        <f>IFERROR(__xludf.DUMMYFUNCTION("""COMPUTED_VALUE"""),95.14)</f>
        <v>95.14</v>
      </c>
      <c r="E922" s="17"/>
      <c r="N922" s="17"/>
      <c r="Q922" s="17"/>
    </row>
    <row r="923">
      <c r="B923" s="11">
        <f>IFERROR(__xludf.DUMMYFUNCTION("""COMPUTED_VALUE"""),44679.66666666667)</f>
        <v>44679.66667</v>
      </c>
      <c r="C923" s="9">
        <f>IFERROR(__xludf.DUMMYFUNCTION("""COMPUTED_VALUE"""),97.73)</f>
        <v>97.73</v>
      </c>
      <c r="E923" s="17"/>
      <c r="N923" s="17"/>
      <c r="Q923" s="17"/>
    </row>
    <row r="924">
      <c r="B924" s="11">
        <f>IFERROR(__xludf.DUMMYFUNCTION("""COMPUTED_VALUE"""),44678.66666666667)</f>
        <v>44678.66667</v>
      </c>
      <c r="C924" s="9">
        <f>IFERROR(__xludf.DUMMYFUNCTION("""COMPUTED_VALUE"""),96.64)</f>
        <v>96.64</v>
      </c>
      <c r="E924" s="17"/>
      <c r="N924" s="17"/>
      <c r="Q924" s="17"/>
    </row>
    <row r="925">
      <c r="B925" s="11">
        <f>IFERROR(__xludf.DUMMYFUNCTION("""COMPUTED_VALUE"""),44677.66666666667)</f>
        <v>44677.66667</v>
      </c>
      <c r="C925" s="9">
        <f>IFERROR(__xludf.DUMMYFUNCTION("""COMPUTED_VALUE"""),96.28)</f>
        <v>96.28</v>
      </c>
      <c r="E925" s="17"/>
      <c r="N925" s="17"/>
      <c r="Q925" s="17"/>
    </row>
    <row r="926">
      <c r="B926" s="11">
        <f>IFERROR(__xludf.DUMMYFUNCTION("""COMPUTED_VALUE"""),44676.66666666667)</f>
        <v>44676.66667</v>
      </c>
      <c r="C926" s="9">
        <f>IFERROR(__xludf.DUMMYFUNCTION("""COMPUTED_VALUE"""),98.43)</f>
        <v>98.43</v>
      </c>
      <c r="E926" s="17"/>
      <c r="N926" s="17"/>
      <c r="Q926" s="17"/>
    </row>
    <row r="927">
      <c r="B927" s="11">
        <f>IFERROR(__xludf.DUMMYFUNCTION("""COMPUTED_VALUE"""),44673.66666666667)</f>
        <v>44673.66667</v>
      </c>
      <c r="C927" s="9">
        <f>IFERROR(__xludf.DUMMYFUNCTION("""COMPUTED_VALUE"""),98.43)</f>
        <v>98.43</v>
      </c>
      <c r="E927" s="17"/>
      <c r="N927" s="17"/>
      <c r="Q927" s="17"/>
    </row>
    <row r="928">
      <c r="B928" s="11">
        <f>IFERROR(__xludf.DUMMYFUNCTION("""COMPUTED_VALUE"""),44672.66666666667)</f>
        <v>44672.66667</v>
      </c>
      <c r="C928" s="9">
        <f>IFERROR(__xludf.DUMMYFUNCTION("""COMPUTED_VALUE"""),100.91)</f>
        <v>100.91</v>
      </c>
      <c r="E928" s="17"/>
      <c r="N928" s="17"/>
      <c r="Q928" s="17"/>
    </row>
    <row r="929">
      <c r="B929" s="11">
        <f>IFERROR(__xludf.DUMMYFUNCTION("""COMPUTED_VALUE"""),44671.66666666667)</f>
        <v>44671.66667</v>
      </c>
      <c r="C929" s="9">
        <f>IFERROR(__xludf.DUMMYFUNCTION("""COMPUTED_VALUE"""),101.95)</f>
        <v>101.95</v>
      </c>
      <c r="E929" s="17"/>
      <c r="N929" s="17"/>
      <c r="Q929" s="17"/>
    </row>
    <row r="930">
      <c r="B930" s="11">
        <f>IFERROR(__xludf.DUMMYFUNCTION("""COMPUTED_VALUE"""),44670.66666666667)</f>
        <v>44670.66667</v>
      </c>
      <c r="C930" s="9">
        <f>IFERROR(__xludf.DUMMYFUNCTION("""COMPUTED_VALUE"""),101.4)</f>
        <v>101.4</v>
      </c>
      <c r="E930" s="17"/>
      <c r="N930" s="17"/>
      <c r="Q930" s="17"/>
    </row>
    <row r="931">
      <c r="B931" s="11">
        <f>IFERROR(__xludf.DUMMYFUNCTION("""COMPUTED_VALUE"""),44669.66666666667)</f>
        <v>44669.66667</v>
      </c>
      <c r="C931" s="9">
        <f>IFERROR(__xludf.DUMMYFUNCTION("""COMPUTED_VALUE"""),99.59)</f>
        <v>99.59</v>
      </c>
      <c r="E931" s="17"/>
      <c r="N931" s="17"/>
      <c r="Q931" s="17"/>
    </row>
    <row r="932">
      <c r="B932" s="11">
        <f>IFERROR(__xludf.DUMMYFUNCTION("""COMPUTED_VALUE"""),44665.66666666667)</f>
        <v>44665.66667</v>
      </c>
      <c r="C932" s="9">
        <f>IFERROR(__xludf.DUMMYFUNCTION("""COMPUTED_VALUE"""),99.94)</f>
        <v>99.94</v>
      </c>
      <c r="E932" s="17"/>
      <c r="N932" s="17"/>
      <c r="Q932" s="17"/>
    </row>
    <row r="933">
      <c r="B933" s="11">
        <f>IFERROR(__xludf.DUMMYFUNCTION("""COMPUTED_VALUE"""),44664.66666666667)</f>
        <v>44664.66667</v>
      </c>
      <c r="C933" s="9">
        <f>IFERROR(__xludf.DUMMYFUNCTION("""COMPUTED_VALUE"""),100.05)</f>
        <v>100.05</v>
      </c>
      <c r="E933" s="17"/>
      <c r="N933" s="17"/>
      <c r="Q933" s="17"/>
    </row>
    <row r="934">
      <c r="B934" s="11">
        <f>IFERROR(__xludf.DUMMYFUNCTION("""COMPUTED_VALUE"""),44663.66666666667)</f>
        <v>44663.66667</v>
      </c>
      <c r="C934" s="9">
        <f>IFERROR(__xludf.DUMMYFUNCTION("""COMPUTED_VALUE"""),99.12)</f>
        <v>99.12</v>
      </c>
      <c r="E934" s="17"/>
      <c r="N934" s="17"/>
      <c r="Q934" s="17"/>
    </row>
    <row r="935">
      <c r="B935" s="11">
        <f>IFERROR(__xludf.DUMMYFUNCTION("""COMPUTED_VALUE"""),44662.66666666667)</f>
        <v>44662.66667</v>
      </c>
      <c r="C935" s="9">
        <f>IFERROR(__xludf.DUMMYFUNCTION("""COMPUTED_VALUE"""),99.28)</f>
        <v>99.28</v>
      </c>
      <c r="E935" s="17"/>
      <c r="N935" s="17"/>
      <c r="Q935" s="17"/>
    </row>
    <row r="936">
      <c r="B936" s="11">
        <f>IFERROR(__xludf.DUMMYFUNCTION("""COMPUTED_VALUE"""),44659.66666666667)</f>
        <v>44659.66667</v>
      </c>
      <c r="C936" s="9">
        <f>IFERROR(__xludf.DUMMYFUNCTION("""COMPUTED_VALUE"""),99.6)</f>
        <v>99.6</v>
      </c>
      <c r="E936" s="17"/>
      <c r="N936" s="17"/>
      <c r="Q936" s="17"/>
    </row>
    <row r="937">
      <c r="B937" s="11">
        <f>IFERROR(__xludf.DUMMYFUNCTION("""COMPUTED_VALUE"""),44658.66666666667)</f>
        <v>44658.66667</v>
      </c>
      <c r="C937" s="9">
        <f>IFERROR(__xludf.DUMMYFUNCTION("""COMPUTED_VALUE"""),100.16)</f>
        <v>100.16</v>
      </c>
      <c r="E937" s="17"/>
      <c r="N937" s="17"/>
      <c r="Q937" s="17"/>
    </row>
    <row r="938">
      <c r="B938" s="11">
        <f>IFERROR(__xludf.DUMMYFUNCTION("""COMPUTED_VALUE"""),44657.66666666667)</f>
        <v>44657.66667</v>
      </c>
      <c r="C938" s="9">
        <f>IFERROR(__xludf.DUMMYFUNCTION("""COMPUTED_VALUE"""),99.82)</f>
        <v>99.82</v>
      </c>
      <c r="E938" s="17"/>
      <c r="N938" s="17"/>
      <c r="Q938" s="17"/>
    </row>
    <row r="939">
      <c r="B939" s="11">
        <f>IFERROR(__xludf.DUMMYFUNCTION("""COMPUTED_VALUE"""),44656.66666666667)</f>
        <v>44656.66667</v>
      </c>
      <c r="C939" s="9">
        <f>IFERROR(__xludf.DUMMYFUNCTION("""COMPUTED_VALUE"""),100.6)</f>
        <v>100.6</v>
      </c>
      <c r="E939" s="17"/>
      <c r="N939" s="17"/>
      <c r="Q939" s="17"/>
    </row>
    <row r="940">
      <c r="B940" s="11">
        <f>IFERROR(__xludf.DUMMYFUNCTION("""COMPUTED_VALUE"""),44655.66666666667)</f>
        <v>44655.66667</v>
      </c>
      <c r="C940" s="9">
        <f>IFERROR(__xludf.DUMMYFUNCTION("""COMPUTED_VALUE"""),102.05)</f>
        <v>102.05</v>
      </c>
      <c r="E940" s="17"/>
      <c r="N940" s="17"/>
      <c r="Q940" s="17"/>
    </row>
    <row r="941">
      <c r="B941" s="11">
        <f>IFERROR(__xludf.DUMMYFUNCTION("""COMPUTED_VALUE"""),44652.66666666667)</f>
        <v>44652.66667</v>
      </c>
      <c r="C941" s="9">
        <f>IFERROR(__xludf.DUMMYFUNCTION("""COMPUTED_VALUE"""),102.18)</f>
        <v>102.18</v>
      </c>
      <c r="E941" s="17"/>
      <c r="N941" s="17"/>
      <c r="Q941" s="17"/>
    </row>
    <row r="942">
      <c r="B942" s="11">
        <f>IFERROR(__xludf.DUMMYFUNCTION("""COMPUTED_VALUE"""),44651.66666666667)</f>
        <v>44651.66667</v>
      </c>
      <c r="C942" s="9">
        <f>IFERROR(__xludf.DUMMYFUNCTION("""COMPUTED_VALUE"""),102.98)</f>
        <v>102.98</v>
      </c>
      <c r="E942" s="17"/>
      <c r="N942" s="17"/>
      <c r="Q942" s="17"/>
    </row>
    <row r="943">
      <c r="B943" s="11">
        <f>IFERROR(__xludf.DUMMYFUNCTION("""COMPUTED_VALUE"""),44650.66666666667)</f>
        <v>44650.66667</v>
      </c>
      <c r="C943" s="9">
        <f>IFERROR(__xludf.DUMMYFUNCTION("""COMPUTED_VALUE"""),104.59)</f>
        <v>104.59</v>
      </c>
      <c r="E943" s="17"/>
      <c r="N943" s="17"/>
      <c r="Q943" s="17"/>
    </row>
    <row r="944">
      <c r="B944" s="11">
        <f>IFERROR(__xludf.DUMMYFUNCTION("""COMPUTED_VALUE"""),44649.66666666667)</f>
        <v>44649.66667</v>
      </c>
      <c r="C944" s="9">
        <f>IFERROR(__xludf.DUMMYFUNCTION("""COMPUTED_VALUE"""),104.71)</f>
        <v>104.71</v>
      </c>
      <c r="E944" s="17"/>
      <c r="N944" s="17"/>
      <c r="Q944" s="17"/>
    </row>
    <row r="945">
      <c r="B945" s="11">
        <f>IFERROR(__xludf.DUMMYFUNCTION("""COMPUTED_VALUE"""),44648.66666666667)</f>
        <v>44648.66667</v>
      </c>
      <c r="C945" s="9">
        <f>IFERROR(__xludf.DUMMYFUNCTION("""COMPUTED_VALUE"""),103.75)</f>
        <v>103.75</v>
      </c>
      <c r="E945" s="17"/>
      <c r="N945" s="17"/>
      <c r="Q945" s="17"/>
    </row>
    <row r="946">
      <c r="B946" s="11">
        <f>IFERROR(__xludf.DUMMYFUNCTION("""COMPUTED_VALUE"""),44645.66666666667)</f>
        <v>44645.66667</v>
      </c>
      <c r="C946" s="9">
        <f>IFERROR(__xludf.DUMMYFUNCTION("""COMPUTED_VALUE"""),103.72)</f>
        <v>103.72</v>
      </c>
      <c r="E946" s="17"/>
      <c r="N946" s="17"/>
      <c r="Q946" s="17"/>
    </row>
    <row r="947">
      <c r="B947" s="11">
        <f>IFERROR(__xludf.DUMMYFUNCTION("""COMPUTED_VALUE"""),44644.66666666667)</f>
        <v>44644.66667</v>
      </c>
      <c r="C947" s="9">
        <f>IFERROR(__xludf.DUMMYFUNCTION("""COMPUTED_VALUE"""),103.08)</f>
        <v>103.08</v>
      </c>
      <c r="E947" s="17"/>
      <c r="N947" s="17"/>
      <c r="Q947" s="17"/>
    </row>
    <row r="948">
      <c r="B948" s="11">
        <f>IFERROR(__xludf.DUMMYFUNCTION("""COMPUTED_VALUE"""),44643.66666666667)</f>
        <v>44643.66667</v>
      </c>
      <c r="C948" s="9">
        <f>IFERROR(__xludf.DUMMYFUNCTION("""COMPUTED_VALUE"""),102.3)</f>
        <v>102.3</v>
      </c>
      <c r="E948" s="17"/>
      <c r="N948" s="17"/>
      <c r="Q948" s="17"/>
    </row>
    <row r="949">
      <c r="B949" s="11">
        <f>IFERROR(__xludf.DUMMYFUNCTION("""COMPUTED_VALUE"""),44642.66666666667)</f>
        <v>44642.66667</v>
      </c>
      <c r="C949" s="9">
        <f>IFERROR(__xludf.DUMMYFUNCTION("""COMPUTED_VALUE"""),103.29)</f>
        <v>103.29</v>
      </c>
      <c r="E949" s="17"/>
      <c r="N949" s="17"/>
      <c r="Q949" s="17"/>
    </row>
    <row r="950">
      <c r="B950" s="11">
        <f>IFERROR(__xludf.DUMMYFUNCTION("""COMPUTED_VALUE"""),44641.66666666667)</f>
        <v>44641.66667</v>
      </c>
      <c r="C950" s="9">
        <f>IFERROR(__xludf.DUMMYFUNCTION("""COMPUTED_VALUE"""),102.73)</f>
        <v>102.73</v>
      </c>
      <c r="E950" s="17"/>
      <c r="N950" s="17"/>
      <c r="Q950" s="17"/>
    </row>
    <row r="951">
      <c r="B951" s="11">
        <f>IFERROR(__xludf.DUMMYFUNCTION("""COMPUTED_VALUE"""),44638.66666666667)</f>
        <v>44638.66667</v>
      </c>
      <c r="C951" s="9">
        <f>IFERROR(__xludf.DUMMYFUNCTION("""COMPUTED_VALUE"""),102.84)</f>
        <v>102.84</v>
      </c>
      <c r="E951" s="17"/>
      <c r="N951" s="17"/>
      <c r="Q951" s="17"/>
    </row>
    <row r="952">
      <c r="B952" s="11">
        <f>IFERROR(__xludf.DUMMYFUNCTION("""COMPUTED_VALUE"""),44637.66666666667)</f>
        <v>44637.66667</v>
      </c>
      <c r="C952" s="9">
        <f>IFERROR(__xludf.DUMMYFUNCTION("""COMPUTED_VALUE"""),102.45)</f>
        <v>102.45</v>
      </c>
      <c r="E952" s="17"/>
      <c r="N952" s="17"/>
      <c r="Q952" s="17"/>
    </row>
    <row r="953">
      <c r="B953" s="11">
        <f>IFERROR(__xludf.DUMMYFUNCTION("""COMPUTED_VALUE"""),44636.66666666667)</f>
        <v>44636.66667</v>
      </c>
      <c r="C953" s="9">
        <f>IFERROR(__xludf.DUMMYFUNCTION("""COMPUTED_VALUE"""),101.15)</f>
        <v>101.15</v>
      </c>
      <c r="E953" s="17"/>
      <c r="N953" s="17"/>
      <c r="Q953" s="17"/>
    </row>
    <row r="954">
      <c r="B954" s="11">
        <f>IFERROR(__xludf.DUMMYFUNCTION("""COMPUTED_VALUE"""),44635.66666666667)</f>
        <v>44635.66667</v>
      </c>
      <c r="C954" s="9">
        <f>IFERROR(__xludf.DUMMYFUNCTION("""COMPUTED_VALUE"""),99.83)</f>
        <v>99.83</v>
      </c>
      <c r="E954" s="17"/>
      <c r="N954" s="17"/>
      <c r="Q954" s="17"/>
    </row>
    <row r="955">
      <c r="B955" s="11">
        <f>IFERROR(__xludf.DUMMYFUNCTION("""COMPUTED_VALUE"""),44634.66666666667)</f>
        <v>44634.66667</v>
      </c>
      <c r="C955" s="9">
        <f>IFERROR(__xludf.DUMMYFUNCTION("""COMPUTED_VALUE"""),98.27)</f>
        <v>98.27</v>
      </c>
      <c r="E955" s="17"/>
      <c r="N955" s="17"/>
      <c r="Q955" s="17"/>
    </row>
    <row r="956">
      <c r="B956" s="11">
        <f>IFERROR(__xludf.DUMMYFUNCTION("""COMPUTED_VALUE"""),44631.66666666667)</f>
        <v>44631.66667</v>
      </c>
      <c r="C956" s="9">
        <f>IFERROR(__xludf.DUMMYFUNCTION("""COMPUTED_VALUE"""),97.94)</f>
        <v>97.94</v>
      </c>
      <c r="E956" s="17"/>
      <c r="N956" s="17"/>
      <c r="Q956" s="17"/>
    </row>
    <row r="957">
      <c r="B957" s="11">
        <f>IFERROR(__xludf.DUMMYFUNCTION("""COMPUTED_VALUE"""),44630.66666666667)</f>
        <v>44630.66667</v>
      </c>
      <c r="C957" s="9">
        <f>IFERROR(__xludf.DUMMYFUNCTION("""COMPUTED_VALUE"""),98.73)</f>
        <v>98.73</v>
      </c>
      <c r="E957" s="17"/>
      <c r="N957" s="17"/>
      <c r="Q957" s="17"/>
    </row>
    <row r="958">
      <c r="B958" s="11">
        <f>IFERROR(__xludf.DUMMYFUNCTION("""COMPUTED_VALUE"""),44629.66666666667)</f>
        <v>44629.66667</v>
      </c>
      <c r="C958" s="9">
        <f>IFERROR(__xludf.DUMMYFUNCTION("""COMPUTED_VALUE"""),98.86)</f>
        <v>98.86</v>
      </c>
      <c r="E958" s="17"/>
      <c r="N958" s="17"/>
      <c r="Q958" s="17"/>
    </row>
    <row r="959">
      <c r="B959" s="11">
        <f>IFERROR(__xludf.DUMMYFUNCTION("""COMPUTED_VALUE"""),44628.66666666667)</f>
        <v>44628.66667</v>
      </c>
      <c r="C959" s="9">
        <f>IFERROR(__xludf.DUMMYFUNCTION("""COMPUTED_VALUE"""),97.1)</f>
        <v>97.1</v>
      </c>
      <c r="E959" s="17"/>
      <c r="N959" s="17"/>
      <c r="Q959" s="17"/>
    </row>
    <row r="960">
      <c r="B960" s="11">
        <f>IFERROR(__xludf.DUMMYFUNCTION("""COMPUTED_VALUE"""),44627.66666666667)</f>
        <v>44627.66667</v>
      </c>
      <c r="C960" s="9">
        <f>IFERROR(__xludf.DUMMYFUNCTION("""COMPUTED_VALUE"""),97.7)</f>
        <v>97.7</v>
      </c>
      <c r="E960" s="17"/>
      <c r="N960" s="17"/>
      <c r="Q960" s="17"/>
    </row>
    <row r="961">
      <c r="B961" s="11">
        <f>IFERROR(__xludf.DUMMYFUNCTION("""COMPUTED_VALUE"""),44624.66666666667)</f>
        <v>44624.66667</v>
      </c>
      <c r="C961" s="9">
        <f>IFERROR(__xludf.DUMMYFUNCTION("""COMPUTED_VALUE"""),100.39)</f>
        <v>100.39</v>
      </c>
      <c r="E961" s="17"/>
      <c r="N961" s="17"/>
      <c r="Q961" s="17"/>
    </row>
    <row r="962">
      <c r="B962" s="11">
        <f>IFERROR(__xludf.DUMMYFUNCTION("""COMPUTED_VALUE"""),44623.66666666667)</f>
        <v>44623.66667</v>
      </c>
      <c r="C962" s="9">
        <f>IFERROR(__xludf.DUMMYFUNCTION("""COMPUTED_VALUE"""),100.61)</f>
        <v>100.61</v>
      </c>
      <c r="E962" s="17"/>
      <c r="N962" s="17"/>
      <c r="Q962" s="17"/>
    </row>
    <row r="963">
      <c r="B963" s="11">
        <f>IFERROR(__xludf.DUMMYFUNCTION("""COMPUTED_VALUE"""),44622.66666666667)</f>
        <v>44622.66667</v>
      </c>
      <c r="C963" s="9">
        <f>IFERROR(__xludf.DUMMYFUNCTION("""COMPUTED_VALUE"""),100.5)</f>
        <v>100.5</v>
      </c>
      <c r="E963" s="17"/>
      <c r="N963" s="17"/>
      <c r="Q963" s="17"/>
    </row>
    <row r="964">
      <c r="B964" s="11">
        <f>IFERROR(__xludf.DUMMYFUNCTION("""COMPUTED_VALUE"""),44621.66666666667)</f>
        <v>44621.66667</v>
      </c>
      <c r="C964" s="9">
        <f>IFERROR(__xludf.DUMMYFUNCTION("""COMPUTED_VALUE"""),98.4)</f>
        <v>98.4</v>
      </c>
      <c r="E964" s="17"/>
      <c r="N964" s="17"/>
      <c r="Q964" s="17"/>
    </row>
    <row r="965">
      <c r="B965" s="11">
        <f>IFERROR(__xludf.DUMMYFUNCTION("""COMPUTED_VALUE"""),44620.66666666667)</f>
        <v>44620.66667</v>
      </c>
      <c r="C965" s="9">
        <f>IFERROR(__xludf.DUMMYFUNCTION("""COMPUTED_VALUE"""),99.89)</f>
        <v>99.89</v>
      </c>
      <c r="E965" s="17"/>
      <c r="N965" s="17"/>
      <c r="Q965" s="17"/>
    </row>
    <row r="966">
      <c r="B966" s="11">
        <f>IFERROR(__xludf.DUMMYFUNCTION("""COMPUTED_VALUE"""),44617.66666666667)</f>
        <v>44617.66667</v>
      </c>
      <c r="C966" s="9">
        <f>IFERROR(__xludf.DUMMYFUNCTION("""COMPUTED_VALUE"""),99.13)</f>
        <v>99.13</v>
      </c>
      <c r="E966" s="17"/>
      <c r="N966" s="17"/>
      <c r="Q966" s="17"/>
    </row>
    <row r="967">
      <c r="B967" s="11">
        <f>IFERROR(__xludf.DUMMYFUNCTION("""COMPUTED_VALUE"""),44616.66666666667)</f>
        <v>44616.66667</v>
      </c>
      <c r="C967" s="9">
        <f>IFERROR(__xludf.DUMMYFUNCTION("""COMPUTED_VALUE"""),96.82)</f>
        <v>96.82</v>
      </c>
      <c r="E967" s="17"/>
      <c r="N967" s="17"/>
      <c r="Q967" s="17"/>
    </row>
    <row r="968">
      <c r="B968" s="11">
        <f>IFERROR(__xludf.DUMMYFUNCTION("""COMPUTED_VALUE"""),44615.66666666667)</f>
        <v>44615.66667</v>
      </c>
      <c r="C968" s="9">
        <f>IFERROR(__xludf.DUMMYFUNCTION("""COMPUTED_VALUE"""),95.6)</f>
        <v>95.6</v>
      </c>
      <c r="E968" s="17"/>
      <c r="N968" s="17"/>
      <c r="Q968" s="17"/>
    </row>
    <row r="969">
      <c r="B969" s="11">
        <f>IFERROR(__xludf.DUMMYFUNCTION("""COMPUTED_VALUE"""),44614.66666666667)</f>
        <v>44614.66667</v>
      </c>
      <c r="C969" s="9">
        <f>IFERROR(__xludf.DUMMYFUNCTION("""COMPUTED_VALUE"""),97.39)</f>
        <v>97.39</v>
      </c>
      <c r="E969" s="17"/>
      <c r="N969" s="17"/>
      <c r="Q969" s="17"/>
    </row>
    <row r="970">
      <c r="B970" s="11">
        <f>IFERROR(__xludf.DUMMYFUNCTION("""COMPUTED_VALUE"""),44610.66666666667)</f>
        <v>44610.66667</v>
      </c>
      <c r="C970" s="9">
        <f>IFERROR(__xludf.DUMMYFUNCTION("""COMPUTED_VALUE"""),98.34)</f>
        <v>98.34</v>
      </c>
      <c r="E970" s="17"/>
      <c r="N970" s="17"/>
      <c r="Q970" s="17"/>
    </row>
    <row r="971">
      <c r="B971" s="11">
        <f>IFERROR(__xludf.DUMMYFUNCTION("""COMPUTED_VALUE"""),44609.66666666667)</f>
        <v>44609.66667</v>
      </c>
      <c r="C971" s="9">
        <f>IFERROR(__xludf.DUMMYFUNCTION("""COMPUTED_VALUE"""),99.16)</f>
        <v>99.16</v>
      </c>
      <c r="E971" s="17"/>
      <c r="N971" s="17"/>
      <c r="Q971" s="17"/>
    </row>
    <row r="972">
      <c r="B972" s="11">
        <f>IFERROR(__xludf.DUMMYFUNCTION("""COMPUTED_VALUE"""),44608.66666666667)</f>
        <v>44608.66667</v>
      </c>
      <c r="C972" s="9">
        <f>IFERROR(__xludf.DUMMYFUNCTION("""COMPUTED_VALUE"""),101.01)</f>
        <v>101.01</v>
      </c>
      <c r="E972" s="17"/>
      <c r="N972" s="17"/>
      <c r="Q972" s="17"/>
    </row>
    <row r="973">
      <c r="B973" s="11">
        <f>IFERROR(__xludf.DUMMYFUNCTION("""COMPUTED_VALUE"""),44607.66666666667)</f>
        <v>44607.66667</v>
      </c>
      <c r="C973" s="9">
        <f>IFERROR(__xludf.DUMMYFUNCTION("""COMPUTED_VALUE"""),100.48)</f>
        <v>100.48</v>
      </c>
      <c r="E973" s="17"/>
      <c r="N973" s="17"/>
      <c r="Q973" s="17"/>
    </row>
    <row r="974">
      <c r="B974" s="11">
        <f>IFERROR(__xludf.DUMMYFUNCTION("""COMPUTED_VALUE"""),44606.66666666667)</f>
        <v>44606.66667</v>
      </c>
      <c r="C974" s="9">
        <f>IFERROR(__xludf.DUMMYFUNCTION("""COMPUTED_VALUE"""),98.99)</f>
        <v>98.99</v>
      </c>
      <c r="E974" s="17"/>
      <c r="N974" s="17"/>
      <c r="Q974" s="17"/>
    </row>
    <row r="975">
      <c r="B975" s="11">
        <f>IFERROR(__xludf.DUMMYFUNCTION("""COMPUTED_VALUE"""),44603.66666666667)</f>
        <v>44603.66667</v>
      </c>
      <c r="C975" s="9">
        <f>IFERROR(__xludf.DUMMYFUNCTION("""COMPUTED_VALUE"""),99.36)</f>
        <v>99.36</v>
      </c>
      <c r="E975" s="17"/>
      <c r="N975" s="17"/>
      <c r="Q975" s="17"/>
    </row>
    <row r="976">
      <c r="B976" s="11">
        <f>IFERROR(__xludf.DUMMYFUNCTION("""COMPUTED_VALUE"""),44602.66666666667)</f>
        <v>44602.66667</v>
      </c>
      <c r="C976" s="9">
        <f>IFERROR(__xludf.DUMMYFUNCTION("""COMPUTED_VALUE"""),100.9)</f>
        <v>100.9</v>
      </c>
      <c r="E976" s="17"/>
      <c r="N976" s="17"/>
      <c r="Q976" s="17"/>
    </row>
    <row r="977">
      <c r="B977" s="11">
        <f>IFERROR(__xludf.DUMMYFUNCTION("""COMPUTED_VALUE"""),44601.66666666667)</f>
        <v>44601.66667</v>
      </c>
      <c r="C977" s="9">
        <f>IFERROR(__xludf.DUMMYFUNCTION("""COMPUTED_VALUE"""),102.58)</f>
        <v>102.58</v>
      </c>
      <c r="E977" s="17"/>
      <c r="N977" s="17"/>
      <c r="Q977" s="17"/>
    </row>
    <row r="978">
      <c r="B978" s="11">
        <f>IFERROR(__xludf.DUMMYFUNCTION("""COMPUTED_VALUE"""),44600.66666666667)</f>
        <v>44600.66667</v>
      </c>
      <c r="C978" s="9">
        <f>IFERROR(__xludf.DUMMYFUNCTION("""COMPUTED_VALUE"""),101.19)</f>
        <v>101.19</v>
      </c>
      <c r="E978" s="17"/>
      <c r="N978" s="17"/>
      <c r="Q978" s="17"/>
    </row>
    <row r="979">
      <c r="B979" s="11">
        <f>IFERROR(__xludf.DUMMYFUNCTION("""COMPUTED_VALUE"""),44599.66666666667)</f>
        <v>44599.66667</v>
      </c>
      <c r="C979" s="9">
        <f>IFERROR(__xludf.DUMMYFUNCTION("""COMPUTED_VALUE"""),100.19)</f>
        <v>100.19</v>
      </c>
      <c r="E979" s="17"/>
      <c r="N979" s="17"/>
      <c r="Q979" s="17"/>
    </row>
    <row r="980">
      <c r="B980" s="11">
        <f>IFERROR(__xludf.DUMMYFUNCTION("""COMPUTED_VALUE"""),44596.66666666667)</f>
        <v>44596.66667</v>
      </c>
      <c r="C980" s="9">
        <f>IFERROR(__xludf.DUMMYFUNCTION("""COMPUTED_VALUE"""),100.11)</f>
        <v>100.11</v>
      </c>
      <c r="E980" s="17"/>
      <c r="N980" s="17"/>
      <c r="Q980" s="17"/>
    </row>
    <row r="981">
      <c r="B981" s="11">
        <f>IFERROR(__xludf.DUMMYFUNCTION("""COMPUTED_VALUE"""),44595.66666666667)</f>
        <v>44595.66667</v>
      </c>
      <c r="C981" s="9">
        <f>IFERROR(__xludf.DUMMYFUNCTION("""COMPUTED_VALUE"""),101.2)</f>
        <v>101.2</v>
      </c>
      <c r="E981" s="17"/>
      <c r="N981" s="17"/>
      <c r="Q981" s="17"/>
    </row>
    <row r="982">
      <c r="B982" s="11">
        <f>IFERROR(__xludf.DUMMYFUNCTION("""COMPUTED_VALUE"""),44594.66666666667)</f>
        <v>44594.66667</v>
      </c>
      <c r="C982" s="9">
        <f>IFERROR(__xludf.DUMMYFUNCTION("""COMPUTED_VALUE"""),102.84)</f>
        <v>102.84</v>
      </c>
      <c r="E982" s="17"/>
      <c r="N982" s="17"/>
      <c r="Q982" s="17"/>
    </row>
    <row r="983">
      <c r="B983" s="11">
        <f>IFERROR(__xludf.DUMMYFUNCTION("""COMPUTED_VALUE"""),44593.66666666667)</f>
        <v>44593.66667</v>
      </c>
      <c r="C983" s="9">
        <f>IFERROR(__xludf.DUMMYFUNCTION("""COMPUTED_VALUE"""),102.13)</f>
        <v>102.13</v>
      </c>
      <c r="E983" s="17"/>
      <c r="N983" s="17"/>
      <c r="Q983" s="17"/>
    </row>
    <row r="984">
      <c r="B984" s="11">
        <f>IFERROR(__xludf.DUMMYFUNCTION("""COMPUTED_VALUE"""),44592.66666666667)</f>
        <v>44592.66667</v>
      </c>
      <c r="C984" s="9">
        <f>IFERROR(__xludf.DUMMYFUNCTION("""COMPUTED_VALUE"""),100.74)</f>
        <v>100.74</v>
      </c>
      <c r="E984" s="17"/>
      <c r="N984" s="17"/>
      <c r="Q984" s="17"/>
    </row>
    <row r="985">
      <c r="B985" s="11">
        <f>IFERROR(__xludf.DUMMYFUNCTION("""COMPUTED_VALUE"""),44589.66666666667)</f>
        <v>44589.66667</v>
      </c>
      <c r="C985" s="9">
        <f>IFERROR(__xludf.DUMMYFUNCTION("""COMPUTED_VALUE"""),99.7)</f>
        <v>99.7</v>
      </c>
      <c r="E985" s="17"/>
      <c r="N985" s="17"/>
      <c r="Q985" s="17"/>
    </row>
    <row r="986">
      <c r="B986" s="11">
        <f>IFERROR(__xludf.DUMMYFUNCTION("""COMPUTED_VALUE"""),44588.66666666667)</f>
        <v>44588.66667</v>
      </c>
      <c r="C986" s="9">
        <f>IFERROR(__xludf.DUMMYFUNCTION("""COMPUTED_VALUE"""),99.01)</f>
        <v>99.01</v>
      </c>
      <c r="E986" s="17"/>
      <c r="N986" s="17"/>
      <c r="Q986" s="17"/>
    </row>
    <row r="987">
      <c r="B987" s="11">
        <f>IFERROR(__xludf.DUMMYFUNCTION("""COMPUTED_VALUE"""),44587.66666666667)</f>
        <v>44587.66667</v>
      </c>
      <c r="C987" s="9">
        <f>IFERROR(__xludf.DUMMYFUNCTION("""COMPUTED_VALUE"""),99.9)</f>
        <v>99.9</v>
      </c>
      <c r="E987" s="17"/>
      <c r="N987" s="17"/>
      <c r="Q987" s="17"/>
    </row>
    <row r="988">
      <c r="B988" s="11">
        <f>IFERROR(__xludf.DUMMYFUNCTION("""COMPUTED_VALUE"""),44586.66666666667)</f>
        <v>44586.66667</v>
      </c>
      <c r="C988" s="9">
        <f>IFERROR(__xludf.DUMMYFUNCTION("""COMPUTED_VALUE"""),100.78)</f>
        <v>100.78</v>
      </c>
      <c r="E988" s="17"/>
      <c r="N988" s="17"/>
      <c r="Q988" s="17"/>
    </row>
    <row r="989">
      <c r="B989" s="11">
        <f>IFERROR(__xludf.DUMMYFUNCTION("""COMPUTED_VALUE"""),44585.66666666667)</f>
        <v>44585.66667</v>
      </c>
      <c r="C989" s="9">
        <f>IFERROR(__xludf.DUMMYFUNCTION("""COMPUTED_VALUE"""),101.78)</f>
        <v>101.78</v>
      </c>
      <c r="E989" s="17"/>
      <c r="N989" s="17"/>
      <c r="Q989" s="17"/>
    </row>
    <row r="990">
      <c r="B990" s="11">
        <f>IFERROR(__xludf.DUMMYFUNCTION("""COMPUTED_VALUE"""),44582.66666666667)</f>
        <v>44582.66667</v>
      </c>
      <c r="C990" s="9">
        <f>IFERROR(__xludf.DUMMYFUNCTION("""COMPUTED_VALUE"""),101.2)</f>
        <v>101.2</v>
      </c>
      <c r="E990" s="17"/>
      <c r="N990" s="17"/>
      <c r="Q990" s="17"/>
    </row>
    <row r="991">
      <c r="B991" s="11">
        <f>IFERROR(__xludf.DUMMYFUNCTION("""COMPUTED_VALUE"""),44581.66666666667)</f>
        <v>44581.66667</v>
      </c>
      <c r="C991" s="9">
        <f>IFERROR(__xludf.DUMMYFUNCTION("""COMPUTED_VALUE"""),102.14)</f>
        <v>102.14</v>
      </c>
      <c r="E991" s="17"/>
      <c r="N991" s="17"/>
      <c r="Q991" s="17"/>
    </row>
    <row r="992">
      <c r="B992" s="11">
        <f>IFERROR(__xludf.DUMMYFUNCTION("""COMPUTED_VALUE"""),44580.66666666667)</f>
        <v>44580.66667</v>
      </c>
      <c r="C992" s="9">
        <f>IFERROR(__xludf.DUMMYFUNCTION("""COMPUTED_VALUE"""),103.46)</f>
        <v>103.46</v>
      </c>
      <c r="E992" s="17"/>
      <c r="N992" s="17"/>
      <c r="Q992" s="17"/>
    </row>
    <row r="993">
      <c r="B993" s="11">
        <f>IFERROR(__xludf.DUMMYFUNCTION("""COMPUTED_VALUE"""),44579.66666666667)</f>
        <v>44579.66667</v>
      </c>
      <c r="C993" s="9">
        <f>IFERROR(__xludf.DUMMYFUNCTION("""COMPUTED_VALUE"""),104.63)</f>
        <v>104.63</v>
      </c>
      <c r="E993" s="17"/>
      <c r="N993" s="17"/>
      <c r="Q993" s="17"/>
    </row>
    <row r="994">
      <c r="B994" s="11">
        <f>IFERROR(__xludf.DUMMYFUNCTION("""COMPUTED_VALUE"""),44575.66666666667)</f>
        <v>44575.66667</v>
      </c>
      <c r="C994" s="9">
        <f>IFERROR(__xludf.DUMMYFUNCTION("""COMPUTED_VALUE"""),105.85)</f>
        <v>105.85</v>
      </c>
      <c r="E994" s="17"/>
      <c r="N994" s="17"/>
      <c r="Q994" s="17"/>
    </row>
    <row r="995">
      <c r="B995" s="11">
        <f>IFERROR(__xludf.DUMMYFUNCTION("""COMPUTED_VALUE"""),44574.66666666667)</f>
        <v>44574.66667</v>
      </c>
      <c r="C995" s="9">
        <f>IFERROR(__xludf.DUMMYFUNCTION("""COMPUTED_VALUE"""),106.49)</f>
        <v>106.49</v>
      </c>
      <c r="E995" s="17"/>
      <c r="N995" s="17"/>
      <c r="Q995" s="17"/>
    </row>
    <row r="996">
      <c r="B996" s="11">
        <f>IFERROR(__xludf.DUMMYFUNCTION("""COMPUTED_VALUE"""),44573.66666666667)</f>
        <v>44573.66667</v>
      </c>
      <c r="C996" s="9">
        <f>IFERROR(__xludf.DUMMYFUNCTION("""COMPUTED_VALUE"""),106.26)</f>
        <v>106.26</v>
      </c>
      <c r="E996" s="17"/>
      <c r="N996" s="17"/>
      <c r="Q996" s="17"/>
    </row>
    <row r="997">
      <c r="B997" s="11">
        <f>IFERROR(__xludf.DUMMYFUNCTION("""COMPUTED_VALUE"""),44572.66666666667)</f>
        <v>44572.66667</v>
      </c>
      <c r="C997" s="9">
        <f>IFERROR(__xludf.DUMMYFUNCTION("""COMPUTED_VALUE"""),105.92)</f>
        <v>105.92</v>
      </c>
      <c r="E997" s="17"/>
      <c r="N997" s="17"/>
      <c r="Q997" s="17"/>
    </row>
    <row r="998">
      <c r="B998" s="11">
        <f>IFERROR(__xludf.DUMMYFUNCTION("""COMPUTED_VALUE"""),44571.66666666667)</f>
        <v>44571.66667</v>
      </c>
      <c r="C998" s="9">
        <f>IFERROR(__xludf.DUMMYFUNCTION("""COMPUTED_VALUE"""),105.29)</f>
        <v>105.29</v>
      </c>
      <c r="E998" s="17"/>
      <c r="N998" s="17"/>
      <c r="Q998" s="17"/>
    </row>
    <row r="999">
      <c r="B999" s="11">
        <f>IFERROR(__xludf.DUMMYFUNCTION("""COMPUTED_VALUE"""),44568.66666666667)</f>
        <v>44568.66667</v>
      </c>
      <c r="C999" s="9">
        <f>IFERROR(__xludf.DUMMYFUNCTION("""COMPUTED_VALUE"""),106.49)</f>
        <v>106.49</v>
      </c>
      <c r="E999" s="17"/>
      <c r="N999" s="17"/>
      <c r="Q999" s="17"/>
    </row>
    <row r="1000">
      <c r="B1000" s="11">
        <f>IFERROR(__xludf.DUMMYFUNCTION("""COMPUTED_VALUE"""),44567.66666666667)</f>
        <v>44567.66667</v>
      </c>
      <c r="C1000" s="9">
        <f>IFERROR(__xludf.DUMMYFUNCTION("""COMPUTED_VALUE"""),106.52)</f>
        <v>106.52</v>
      </c>
      <c r="E1000" s="17"/>
      <c r="N1000" s="17"/>
      <c r="Q1000" s="17"/>
    </row>
    <row r="1001">
      <c r="B1001" s="11">
        <f>IFERROR(__xludf.DUMMYFUNCTION("""COMPUTED_VALUE"""),44566.66666666667)</f>
        <v>44566.66667</v>
      </c>
      <c r="C1001" s="9">
        <f>IFERROR(__xludf.DUMMYFUNCTION("""COMPUTED_VALUE"""),106.03)</f>
        <v>106.03</v>
      </c>
      <c r="E1001" s="17"/>
      <c r="N1001" s="17"/>
      <c r="Q1001" s="17"/>
    </row>
    <row r="1002">
      <c r="B1002" s="11">
        <f>IFERROR(__xludf.DUMMYFUNCTION("""COMPUTED_VALUE"""),44565.66666666667)</f>
        <v>44565.66667</v>
      </c>
      <c r="C1002" s="9">
        <f>IFERROR(__xludf.DUMMYFUNCTION("""COMPUTED_VALUE"""),107.05)</f>
        <v>107.05</v>
      </c>
      <c r="E1002" s="17"/>
      <c r="N1002" s="17"/>
      <c r="Q1002" s="17"/>
    </row>
    <row r="1003">
      <c r="B1003" s="11">
        <f>IFERROR(__xludf.DUMMYFUNCTION("""COMPUTED_VALUE"""),44564.66666666667)</f>
        <v>44564.66667</v>
      </c>
      <c r="C1003" s="9">
        <f>IFERROR(__xludf.DUMMYFUNCTION("""COMPUTED_VALUE"""),104.94)</f>
        <v>104.94</v>
      </c>
      <c r="E1003" s="17"/>
      <c r="N1003" s="17"/>
      <c r="Q1003" s="17"/>
    </row>
    <row r="1004">
      <c r="B1004" s="11">
        <f>IFERROR(__xludf.DUMMYFUNCTION("""COMPUTED_VALUE"""),44561.66666666667)</f>
        <v>44561.66667</v>
      </c>
      <c r="C1004" s="9">
        <f>IFERROR(__xludf.DUMMYFUNCTION("""COMPUTED_VALUE"""),105.81)</f>
        <v>105.81</v>
      </c>
      <c r="E1004" s="17"/>
      <c r="N1004" s="17"/>
      <c r="Q1004" s="17"/>
    </row>
    <row r="1005">
      <c r="B1005" s="11">
        <f>IFERROR(__xludf.DUMMYFUNCTION("""COMPUTED_VALUE"""),44560.66666666667)</f>
        <v>44560.66667</v>
      </c>
      <c r="C1005" s="9">
        <f>IFERROR(__xludf.DUMMYFUNCTION("""COMPUTED_VALUE"""),105.36)</f>
        <v>105.36</v>
      </c>
      <c r="E1005" s="17"/>
      <c r="N1005" s="17"/>
      <c r="Q1005" s="17"/>
    </row>
    <row r="1006">
      <c r="B1006" s="11">
        <f>IFERROR(__xludf.DUMMYFUNCTION("""COMPUTED_VALUE"""),44559.66666666667)</f>
        <v>44559.66667</v>
      </c>
      <c r="C1006" s="9">
        <f>IFERROR(__xludf.DUMMYFUNCTION("""COMPUTED_VALUE"""),105.74)</f>
        <v>105.74</v>
      </c>
      <c r="E1006" s="17"/>
      <c r="N1006" s="17"/>
      <c r="Q1006" s="17"/>
    </row>
    <row r="1007">
      <c r="B1007" s="11">
        <f>IFERROR(__xludf.DUMMYFUNCTION("""COMPUTED_VALUE"""),44558.66666666667)</f>
        <v>44558.66667</v>
      </c>
      <c r="C1007" s="9">
        <f>IFERROR(__xludf.DUMMYFUNCTION("""COMPUTED_VALUE"""),105.55)</f>
        <v>105.55</v>
      </c>
      <c r="E1007" s="17"/>
      <c r="N1007" s="17"/>
      <c r="Q1007" s="17"/>
    </row>
    <row r="1008">
      <c r="B1008" s="11">
        <f>IFERROR(__xludf.DUMMYFUNCTION("""COMPUTED_VALUE"""),44557.66666666667)</f>
        <v>44557.66667</v>
      </c>
      <c r="C1008" s="9">
        <f>IFERROR(__xludf.DUMMYFUNCTION("""COMPUTED_VALUE"""),105.02)</f>
        <v>105.02</v>
      </c>
      <c r="E1008" s="17"/>
      <c r="N1008" s="17"/>
      <c r="Q1008" s="17"/>
    </row>
    <row r="1009">
      <c r="B1009" s="11">
        <f>IFERROR(__xludf.DUMMYFUNCTION("""COMPUTED_VALUE"""),44553.66666666667)</f>
        <v>44553.66667</v>
      </c>
      <c r="C1009" s="9">
        <f>IFERROR(__xludf.DUMMYFUNCTION("""COMPUTED_VALUE"""),103.92)</f>
        <v>103.92</v>
      </c>
      <c r="E1009" s="17"/>
      <c r="N1009" s="17"/>
      <c r="Q1009" s="17"/>
    </row>
    <row r="1010">
      <c r="B1010" s="11">
        <f>IFERROR(__xludf.DUMMYFUNCTION("""COMPUTED_VALUE"""),44552.66666666667)</f>
        <v>44552.66667</v>
      </c>
      <c r="C1010" s="9">
        <f>IFERROR(__xludf.DUMMYFUNCTION("""COMPUTED_VALUE"""),102.71)</f>
        <v>102.71</v>
      </c>
      <c r="E1010" s="17"/>
      <c r="N1010" s="17"/>
      <c r="Q1010" s="17"/>
    </row>
    <row r="1011">
      <c r="B1011" s="11">
        <f>IFERROR(__xludf.DUMMYFUNCTION("""COMPUTED_VALUE"""),44551.66666666667)</f>
        <v>44551.66667</v>
      </c>
      <c r="C1011" s="9">
        <f>IFERROR(__xludf.DUMMYFUNCTION("""COMPUTED_VALUE"""),102.42)</f>
        <v>102.42</v>
      </c>
      <c r="E1011" s="17"/>
      <c r="N1011" s="17"/>
      <c r="Q1011" s="17"/>
    </row>
    <row r="1012">
      <c r="B1012" s="11">
        <f>IFERROR(__xludf.DUMMYFUNCTION("""COMPUTED_VALUE"""),44550.66666666667)</f>
        <v>44550.66667</v>
      </c>
      <c r="C1012" s="9">
        <f>IFERROR(__xludf.DUMMYFUNCTION("""COMPUTED_VALUE"""),100.42)</f>
        <v>100.42</v>
      </c>
      <c r="E1012" s="17"/>
      <c r="N1012" s="17"/>
      <c r="Q1012" s="17"/>
    </row>
    <row r="1013">
      <c r="B1013" s="11">
        <f>IFERROR(__xludf.DUMMYFUNCTION("""COMPUTED_VALUE"""),44547.66666666667)</f>
        <v>44547.66667</v>
      </c>
      <c r="C1013" s="9">
        <f>IFERROR(__xludf.DUMMYFUNCTION("""COMPUTED_VALUE"""),102.44)</f>
        <v>102.44</v>
      </c>
      <c r="E1013" s="17"/>
      <c r="N1013" s="17"/>
      <c r="Q1013" s="17"/>
    </row>
    <row r="1014">
      <c r="B1014" s="11">
        <f>IFERROR(__xludf.DUMMYFUNCTION("""COMPUTED_VALUE"""),44546.66666666667)</f>
        <v>44546.66667</v>
      </c>
      <c r="C1014" s="9">
        <f>IFERROR(__xludf.DUMMYFUNCTION("""COMPUTED_VALUE"""),104.22)</f>
        <v>104.22</v>
      </c>
      <c r="E1014" s="17"/>
      <c r="N1014" s="17"/>
      <c r="Q1014" s="17"/>
    </row>
    <row r="1015">
      <c r="B1015" s="11">
        <f>IFERROR(__xludf.DUMMYFUNCTION("""COMPUTED_VALUE"""),44545.66666666667)</f>
        <v>44545.66667</v>
      </c>
      <c r="C1015" s="9">
        <f>IFERROR(__xludf.DUMMYFUNCTION("""COMPUTED_VALUE"""),104.17)</f>
        <v>104.17</v>
      </c>
      <c r="E1015" s="17"/>
      <c r="N1015" s="17"/>
      <c r="Q1015" s="17"/>
    </row>
    <row r="1016">
      <c r="B1016" s="11">
        <f>IFERROR(__xludf.DUMMYFUNCTION("""COMPUTED_VALUE"""),44544.66666666667)</f>
        <v>44544.66667</v>
      </c>
      <c r="C1016" s="9">
        <f>IFERROR(__xludf.DUMMYFUNCTION("""COMPUTED_VALUE"""),103.27)</f>
        <v>103.27</v>
      </c>
      <c r="E1016" s="17"/>
      <c r="N1016" s="17"/>
      <c r="Q1016" s="17"/>
    </row>
    <row r="1017">
      <c r="B1017" s="11">
        <f>IFERROR(__xludf.DUMMYFUNCTION("""COMPUTED_VALUE"""),44543.66666666667)</f>
        <v>44543.66667</v>
      </c>
      <c r="C1017" s="9">
        <f>IFERROR(__xludf.DUMMYFUNCTION("""COMPUTED_VALUE"""),104.26)</f>
        <v>104.26</v>
      </c>
      <c r="E1017" s="17"/>
      <c r="N1017" s="17"/>
      <c r="Q1017" s="17"/>
    </row>
    <row r="1018">
      <c r="B1018" s="11">
        <f>IFERROR(__xludf.DUMMYFUNCTION("""COMPUTED_VALUE"""),44540.66666666667)</f>
        <v>44540.66667</v>
      </c>
      <c r="C1018" s="9">
        <f>IFERROR(__xludf.DUMMYFUNCTION("""COMPUTED_VALUE"""),105.35)</f>
        <v>105.35</v>
      </c>
      <c r="E1018" s="17"/>
      <c r="N1018" s="17"/>
      <c r="Q1018" s="17"/>
    </row>
    <row r="1019">
      <c r="B1019" s="11">
        <f>IFERROR(__xludf.DUMMYFUNCTION("""COMPUTED_VALUE"""),44539.66666666667)</f>
        <v>44539.66667</v>
      </c>
      <c r="C1019" s="9">
        <f>IFERROR(__xludf.DUMMYFUNCTION("""COMPUTED_VALUE"""),104.92)</f>
        <v>104.92</v>
      </c>
      <c r="E1019" s="17"/>
      <c r="N1019" s="17"/>
      <c r="Q1019" s="17"/>
    </row>
    <row r="1020">
      <c r="B1020" s="11">
        <f>IFERROR(__xludf.DUMMYFUNCTION("""COMPUTED_VALUE"""),44538.66666666667)</f>
        <v>44538.66667</v>
      </c>
      <c r="C1020" s="9">
        <f>IFERROR(__xludf.DUMMYFUNCTION("""COMPUTED_VALUE"""),105.25)</f>
        <v>105.25</v>
      </c>
      <c r="E1020" s="17"/>
      <c r="N1020" s="17"/>
      <c r="Q1020" s="17"/>
    </row>
    <row r="1021">
      <c r="B1021" s="11">
        <f>IFERROR(__xludf.DUMMYFUNCTION("""COMPUTED_VALUE"""),44537.66666666667)</f>
        <v>44537.66667</v>
      </c>
      <c r="C1021" s="9">
        <f>IFERROR(__xludf.DUMMYFUNCTION("""COMPUTED_VALUE"""),104.99)</f>
        <v>104.99</v>
      </c>
      <c r="E1021" s="17"/>
      <c r="N1021" s="17"/>
      <c r="Q1021" s="17"/>
    </row>
    <row r="1022">
      <c r="B1022" s="11">
        <f>IFERROR(__xludf.DUMMYFUNCTION("""COMPUTED_VALUE"""),44536.66666666667)</f>
        <v>44536.66667</v>
      </c>
      <c r="C1022" s="9">
        <f>IFERROR(__xludf.DUMMYFUNCTION("""COMPUTED_VALUE"""),103.93)</f>
        <v>103.93</v>
      </c>
      <c r="E1022" s="17"/>
      <c r="N1022" s="17"/>
      <c r="Q1022" s="17"/>
    </row>
    <row r="1023">
      <c r="B1023" s="11">
        <f>IFERROR(__xludf.DUMMYFUNCTION("""COMPUTED_VALUE"""),44533.66666666667)</f>
        <v>44533.66667</v>
      </c>
      <c r="C1023" s="9">
        <f>IFERROR(__xludf.DUMMYFUNCTION("""COMPUTED_VALUE"""),102.2)</f>
        <v>102.2</v>
      </c>
      <c r="E1023" s="17"/>
      <c r="N1023" s="17"/>
      <c r="Q1023" s="17"/>
    </row>
    <row r="1024">
      <c r="B1024" s="11">
        <f>IFERROR(__xludf.DUMMYFUNCTION("""COMPUTED_VALUE"""),44532.66666666667)</f>
        <v>44532.66667</v>
      </c>
      <c r="C1024" s="9">
        <f>IFERROR(__xludf.DUMMYFUNCTION("""COMPUTED_VALUE"""),102.32)</f>
        <v>102.32</v>
      </c>
      <c r="E1024" s="17"/>
      <c r="N1024" s="17"/>
      <c r="Q1024" s="17"/>
    </row>
    <row r="1025">
      <c r="B1025" s="11">
        <f>IFERROR(__xludf.DUMMYFUNCTION("""COMPUTED_VALUE"""),44531.66666666667)</f>
        <v>44531.66667</v>
      </c>
      <c r="C1025" s="9">
        <f>IFERROR(__xludf.DUMMYFUNCTION("""COMPUTED_VALUE"""),99.37)</f>
        <v>99.37</v>
      </c>
      <c r="E1025" s="17"/>
      <c r="N1025" s="17"/>
      <c r="Q1025" s="17"/>
    </row>
    <row r="1026">
      <c r="B1026" s="11">
        <f>IFERROR(__xludf.DUMMYFUNCTION("""COMPUTED_VALUE"""),44530.66666666667)</f>
        <v>44530.66667</v>
      </c>
      <c r="C1026" s="9">
        <f>IFERROR(__xludf.DUMMYFUNCTION("""COMPUTED_VALUE"""),100.77)</f>
        <v>100.77</v>
      </c>
      <c r="E1026" s="17"/>
      <c r="N1026" s="17"/>
      <c r="Q1026" s="17"/>
    </row>
    <row r="1027">
      <c r="B1027" s="11">
        <f>IFERROR(__xludf.DUMMYFUNCTION("""COMPUTED_VALUE"""),44529.66666666667)</f>
        <v>44529.66667</v>
      </c>
      <c r="C1027" s="9">
        <f>IFERROR(__xludf.DUMMYFUNCTION("""COMPUTED_VALUE"""),103.39)</f>
        <v>103.39</v>
      </c>
      <c r="E1027" s="17"/>
      <c r="N1027" s="17"/>
      <c r="Q1027" s="17"/>
    </row>
    <row r="1028">
      <c r="B1028" s="11">
        <f>IFERROR(__xludf.DUMMYFUNCTION("""COMPUTED_VALUE"""),44526.55208333333)</f>
        <v>44526.55208</v>
      </c>
      <c r="C1028" s="9">
        <f>IFERROR(__xludf.DUMMYFUNCTION("""COMPUTED_VALUE"""),103.21)</f>
        <v>103.21</v>
      </c>
      <c r="E1028" s="17"/>
      <c r="N1028" s="17"/>
      <c r="Q1028" s="17"/>
    </row>
    <row r="1029">
      <c r="B1029" s="11">
        <f>IFERROR(__xludf.DUMMYFUNCTION("""COMPUTED_VALUE"""),44524.66666666667)</f>
        <v>44524.66667</v>
      </c>
      <c r="C1029" s="9">
        <f>IFERROR(__xludf.DUMMYFUNCTION("""COMPUTED_VALUE"""),106.08)</f>
        <v>106.08</v>
      </c>
      <c r="E1029" s="17"/>
      <c r="N1029" s="17"/>
      <c r="Q1029" s="17"/>
    </row>
    <row r="1030">
      <c r="B1030" s="11">
        <f>IFERROR(__xludf.DUMMYFUNCTION("""COMPUTED_VALUE"""),44523.66666666667)</f>
        <v>44523.66667</v>
      </c>
      <c r="C1030" s="9">
        <f>IFERROR(__xludf.DUMMYFUNCTION("""COMPUTED_VALUE"""),106.2)</f>
        <v>106.2</v>
      </c>
      <c r="E1030" s="17"/>
      <c r="N1030" s="17"/>
      <c r="Q1030" s="17"/>
    </row>
    <row r="1031">
      <c r="B1031" s="11">
        <f>IFERROR(__xludf.DUMMYFUNCTION("""COMPUTED_VALUE"""),44522.66666666667)</f>
        <v>44522.66667</v>
      </c>
      <c r="C1031" s="9">
        <f>IFERROR(__xludf.DUMMYFUNCTION("""COMPUTED_VALUE"""),106.02)</f>
        <v>106.02</v>
      </c>
      <c r="E1031" s="17"/>
      <c r="N1031" s="17"/>
      <c r="Q1031" s="17"/>
    </row>
    <row r="1032">
      <c r="B1032" s="11">
        <f>IFERROR(__xludf.DUMMYFUNCTION("""COMPUTED_VALUE"""),44519.66666666667)</f>
        <v>44519.66667</v>
      </c>
      <c r="C1032" s="9">
        <f>IFERROR(__xludf.DUMMYFUNCTION("""COMPUTED_VALUE"""),105.73)</f>
        <v>105.73</v>
      </c>
      <c r="E1032" s="17"/>
      <c r="N1032" s="17"/>
      <c r="Q1032" s="17"/>
    </row>
    <row r="1033">
      <c r="B1033" s="11">
        <f>IFERROR(__xludf.DUMMYFUNCTION("""COMPUTED_VALUE"""),44518.66666666667)</f>
        <v>44518.66667</v>
      </c>
      <c r="C1033" s="9">
        <f>IFERROR(__xludf.DUMMYFUNCTION("""COMPUTED_VALUE"""),106.26)</f>
        <v>106.26</v>
      </c>
      <c r="E1033" s="17"/>
      <c r="N1033" s="17"/>
      <c r="Q1033" s="17"/>
    </row>
    <row r="1034">
      <c r="B1034" s="11">
        <f>IFERROR(__xludf.DUMMYFUNCTION("""COMPUTED_VALUE"""),44517.66666666667)</f>
        <v>44517.66667</v>
      </c>
      <c r="C1034" s="9">
        <f>IFERROR(__xludf.DUMMYFUNCTION("""COMPUTED_VALUE"""),106.48)</f>
        <v>106.48</v>
      </c>
      <c r="E1034" s="17"/>
      <c r="N1034" s="17"/>
      <c r="Q1034" s="17"/>
    </row>
    <row r="1035">
      <c r="B1035" s="11">
        <f>IFERROR(__xludf.DUMMYFUNCTION("""COMPUTED_VALUE"""),44516.66666666667)</f>
        <v>44516.66667</v>
      </c>
      <c r="C1035" s="9">
        <f>IFERROR(__xludf.DUMMYFUNCTION("""COMPUTED_VALUE"""),107.12)</f>
        <v>107.12</v>
      </c>
      <c r="E1035" s="17"/>
      <c r="N1035" s="17"/>
      <c r="Q1035" s="17"/>
    </row>
    <row r="1036">
      <c r="B1036" s="11">
        <f>IFERROR(__xludf.DUMMYFUNCTION("""COMPUTED_VALUE"""),44515.66666666667)</f>
        <v>44515.66667</v>
      </c>
      <c r="C1036" s="9">
        <f>IFERROR(__xludf.DUMMYFUNCTION("""COMPUTED_VALUE"""),107.1)</f>
        <v>107.1</v>
      </c>
      <c r="E1036" s="17"/>
      <c r="N1036" s="17"/>
      <c r="Q1036" s="17"/>
    </row>
    <row r="1037">
      <c r="B1037" s="11">
        <f>IFERROR(__xludf.DUMMYFUNCTION("""COMPUTED_VALUE"""),44512.66666666667)</f>
        <v>44512.66667</v>
      </c>
      <c r="C1037" s="9">
        <f>IFERROR(__xludf.DUMMYFUNCTION("""COMPUTED_VALUE"""),106.9)</f>
        <v>106.9</v>
      </c>
      <c r="E1037" s="17"/>
      <c r="N1037" s="17"/>
      <c r="Q1037" s="17"/>
    </row>
    <row r="1038">
      <c r="B1038" s="11">
        <f>IFERROR(__xludf.DUMMYFUNCTION("""COMPUTED_VALUE"""),44511.66666666667)</f>
        <v>44511.66667</v>
      </c>
      <c r="C1038" s="9">
        <f>IFERROR(__xludf.DUMMYFUNCTION("""COMPUTED_VALUE"""),106.06)</f>
        <v>106.06</v>
      </c>
      <c r="E1038" s="17"/>
      <c r="N1038" s="17"/>
      <c r="Q1038" s="17"/>
    </row>
    <row r="1039">
      <c r="B1039" s="11">
        <f>IFERROR(__xludf.DUMMYFUNCTION("""COMPUTED_VALUE"""),44510.66666666667)</f>
        <v>44510.66667</v>
      </c>
      <c r="C1039" s="9">
        <f>IFERROR(__xludf.DUMMYFUNCTION("""COMPUTED_VALUE"""),106.5)</f>
        <v>106.5</v>
      </c>
      <c r="E1039" s="17"/>
      <c r="N1039" s="17"/>
      <c r="Q1039" s="17"/>
    </row>
    <row r="1040">
      <c r="B1040" s="11">
        <f>IFERROR(__xludf.DUMMYFUNCTION("""COMPUTED_VALUE"""),44509.66666666667)</f>
        <v>44509.66667</v>
      </c>
      <c r="C1040" s="9">
        <f>IFERROR(__xludf.DUMMYFUNCTION("""COMPUTED_VALUE"""),107.1)</f>
        <v>107.1</v>
      </c>
      <c r="E1040" s="17"/>
      <c r="N1040" s="17"/>
      <c r="Q1040" s="17"/>
    </row>
    <row r="1041">
      <c r="B1041" s="11">
        <f>IFERROR(__xludf.DUMMYFUNCTION("""COMPUTED_VALUE"""),44508.66666666667)</f>
        <v>44508.66667</v>
      </c>
      <c r="C1041" s="9">
        <f>IFERROR(__xludf.DUMMYFUNCTION("""COMPUTED_VALUE"""),106.83)</f>
        <v>106.83</v>
      </c>
      <c r="E1041" s="17"/>
      <c r="N1041" s="17"/>
      <c r="Q1041" s="17"/>
    </row>
    <row r="1042">
      <c r="B1042" s="11">
        <f>IFERROR(__xludf.DUMMYFUNCTION("""COMPUTED_VALUE"""),44505.66666666667)</f>
        <v>44505.66667</v>
      </c>
      <c r="C1042" s="9">
        <f>IFERROR(__xludf.DUMMYFUNCTION("""COMPUTED_VALUE"""),106.39)</f>
        <v>106.39</v>
      </c>
      <c r="E1042" s="17"/>
      <c r="N1042" s="17"/>
      <c r="Q1042" s="17"/>
    </row>
    <row r="1043">
      <c r="B1043" s="11">
        <f>IFERROR(__xludf.DUMMYFUNCTION("""COMPUTED_VALUE"""),44504.66666666667)</f>
        <v>44504.66667</v>
      </c>
      <c r="C1043" s="9">
        <f>IFERROR(__xludf.DUMMYFUNCTION("""COMPUTED_VALUE"""),105.32)</f>
        <v>105.32</v>
      </c>
      <c r="E1043" s="17"/>
      <c r="N1043" s="17"/>
      <c r="Q1043" s="17"/>
    </row>
    <row r="1044">
      <c r="B1044" s="11">
        <f>IFERROR(__xludf.DUMMYFUNCTION("""COMPUTED_VALUE"""),44503.66666666667)</f>
        <v>44503.66667</v>
      </c>
      <c r="C1044" s="9">
        <f>IFERROR(__xludf.DUMMYFUNCTION("""COMPUTED_VALUE"""),104.9)</f>
        <v>104.9</v>
      </c>
      <c r="E1044" s="17"/>
      <c r="N1044" s="17"/>
      <c r="Q1044" s="17"/>
    </row>
    <row r="1045">
      <c r="B1045" s="11">
        <f>IFERROR(__xludf.DUMMYFUNCTION("""COMPUTED_VALUE"""),44502.66666666667)</f>
        <v>44502.66667</v>
      </c>
      <c r="C1045" s="9">
        <f>IFERROR(__xludf.DUMMYFUNCTION("""COMPUTED_VALUE"""),105.13)</f>
        <v>105.13</v>
      </c>
      <c r="E1045" s="17"/>
      <c r="N1045" s="17"/>
      <c r="Q1045" s="17"/>
    </row>
    <row r="1046">
      <c r="B1046" s="11">
        <f>IFERROR(__xludf.DUMMYFUNCTION("""COMPUTED_VALUE"""),44501.66666666667)</f>
        <v>44501.66667</v>
      </c>
      <c r="C1046" s="9">
        <f>IFERROR(__xludf.DUMMYFUNCTION("""COMPUTED_VALUE"""),104.78)</f>
        <v>104.78</v>
      </c>
      <c r="E1046" s="17"/>
      <c r="N1046" s="17"/>
      <c r="Q1046" s="17"/>
    </row>
    <row r="1047">
      <c r="B1047" s="11">
        <f>IFERROR(__xludf.DUMMYFUNCTION("""COMPUTED_VALUE"""),44498.66666666667)</f>
        <v>44498.66667</v>
      </c>
      <c r="C1047" s="9">
        <f>IFERROR(__xludf.DUMMYFUNCTION("""COMPUTED_VALUE"""),104.49)</f>
        <v>104.49</v>
      </c>
      <c r="E1047" s="17"/>
      <c r="N1047" s="17"/>
      <c r="Q1047" s="17"/>
    </row>
    <row r="1048">
      <c r="B1048" s="11">
        <f>IFERROR(__xludf.DUMMYFUNCTION("""COMPUTED_VALUE"""),44497.66666666667)</f>
        <v>44497.66667</v>
      </c>
      <c r="C1048" s="9">
        <f>IFERROR(__xludf.DUMMYFUNCTION("""COMPUTED_VALUE"""),104.46)</f>
        <v>104.46</v>
      </c>
      <c r="E1048" s="17"/>
      <c r="N1048" s="17"/>
      <c r="Q1048" s="17"/>
    </row>
    <row r="1049">
      <c r="B1049" s="11">
        <f>IFERROR(__xludf.DUMMYFUNCTION("""COMPUTED_VALUE"""),44496.66666666667)</f>
        <v>44496.66667</v>
      </c>
      <c r="C1049" s="9">
        <f>IFERROR(__xludf.DUMMYFUNCTION("""COMPUTED_VALUE"""),103.17)</f>
        <v>103.17</v>
      </c>
      <c r="E1049" s="17"/>
      <c r="N1049" s="17"/>
      <c r="Q1049" s="17"/>
    </row>
    <row r="1050">
      <c r="B1050" s="11">
        <f>IFERROR(__xludf.DUMMYFUNCTION("""COMPUTED_VALUE"""),44495.66666666667)</f>
        <v>44495.66667</v>
      </c>
      <c r="C1050" s="9">
        <f>IFERROR(__xludf.DUMMYFUNCTION("""COMPUTED_VALUE"""),104.39)</f>
        <v>104.39</v>
      </c>
      <c r="E1050" s="17"/>
      <c r="N1050" s="17"/>
      <c r="Q1050" s="17"/>
    </row>
    <row r="1051">
      <c r="B1051" s="11">
        <f>IFERROR(__xludf.DUMMYFUNCTION("""COMPUTED_VALUE"""),44494.66666666667)</f>
        <v>44494.66667</v>
      </c>
      <c r="C1051" s="9">
        <f>IFERROR(__xludf.DUMMYFUNCTION("""COMPUTED_VALUE"""),105.04)</f>
        <v>105.04</v>
      </c>
      <c r="E1051" s="17"/>
      <c r="N1051" s="17"/>
      <c r="Q1051" s="17"/>
    </row>
    <row r="1052">
      <c r="B1052" s="11">
        <f>IFERROR(__xludf.DUMMYFUNCTION("""COMPUTED_VALUE"""),44491.66666666667)</f>
        <v>44491.66667</v>
      </c>
      <c r="C1052" s="9">
        <f>IFERROR(__xludf.DUMMYFUNCTION("""COMPUTED_VALUE"""),104.8)</f>
        <v>104.8</v>
      </c>
      <c r="E1052" s="17"/>
      <c r="N1052" s="17"/>
      <c r="Q1052" s="17"/>
    </row>
    <row r="1053">
      <c r="B1053" s="11">
        <f>IFERROR(__xludf.DUMMYFUNCTION("""COMPUTED_VALUE"""),44490.66666666667)</f>
        <v>44490.66667</v>
      </c>
      <c r="C1053" s="9">
        <f>IFERROR(__xludf.DUMMYFUNCTION("""COMPUTED_VALUE"""),104.43)</f>
        <v>104.43</v>
      </c>
      <c r="E1053" s="17"/>
      <c r="N1053" s="17"/>
      <c r="Q1053" s="17"/>
    </row>
    <row r="1054">
      <c r="B1054" s="11">
        <f>IFERROR(__xludf.DUMMYFUNCTION("""COMPUTED_VALUE"""),44489.66666666667)</f>
        <v>44489.66667</v>
      </c>
      <c r="C1054" s="9">
        <f>IFERROR(__xludf.DUMMYFUNCTION("""COMPUTED_VALUE"""),104.22)</f>
        <v>104.22</v>
      </c>
      <c r="E1054" s="17"/>
      <c r="N1054" s="17"/>
      <c r="Q1054" s="17"/>
    </row>
    <row r="1055">
      <c r="B1055" s="11">
        <f>IFERROR(__xludf.DUMMYFUNCTION("""COMPUTED_VALUE"""),44488.66666666667)</f>
        <v>44488.66667</v>
      </c>
      <c r="C1055" s="9">
        <f>IFERROR(__xludf.DUMMYFUNCTION("""COMPUTED_VALUE"""),103.57)</f>
        <v>103.57</v>
      </c>
      <c r="E1055" s="17"/>
      <c r="N1055" s="17"/>
      <c r="Q1055" s="17"/>
    </row>
    <row r="1056">
      <c r="B1056" s="11">
        <f>IFERROR(__xludf.DUMMYFUNCTION("""COMPUTED_VALUE"""),44487.66666666667)</f>
        <v>44487.66667</v>
      </c>
      <c r="C1056" s="9">
        <f>IFERROR(__xludf.DUMMYFUNCTION("""COMPUTED_VALUE"""),102.96)</f>
        <v>102.96</v>
      </c>
      <c r="E1056" s="17"/>
      <c r="N1056" s="17"/>
      <c r="Q1056" s="17"/>
    </row>
    <row r="1057">
      <c r="B1057" s="11">
        <f>IFERROR(__xludf.DUMMYFUNCTION("""COMPUTED_VALUE"""),44484.66666666667)</f>
        <v>44484.66667</v>
      </c>
      <c r="C1057" s="9">
        <f>IFERROR(__xludf.DUMMYFUNCTION("""COMPUTED_VALUE"""),102.89)</f>
        <v>102.89</v>
      </c>
      <c r="E1057" s="17"/>
      <c r="N1057" s="17"/>
      <c r="Q1057" s="17"/>
    </row>
    <row r="1058">
      <c r="B1058" s="11">
        <f>IFERROR(__xludf.DUMMYFUNCTION("""COMPUTED_VALUE"""),44483.66666666667)</f>
        <v>44483.66667</v>
      </c>
      <c r="C1058" s="9">
        <f>IFERROR(__xludf.DUMMYFUNCTION("""COMPUTED_VALUE"""),101.91)</f>
        <v>101.91</v>
      </c>
      <c r="E1058" s="17"/>
      <c r="N1058" s="17"/>
      <c r="Q1058" s="17"/>
    </row>
    <row r="1059">
      <c r="B1059" s="11">
        <f>IFERROR(__xludf.DUMMYFUNCTION("""COMPUTED_VALUE"""),44482.66666666667)</f>
        <v>44482.66667</v>
      </c>
      <c r="C1059" s="9">
        <f>IFERROR(__xludf.DUMMYFUNCTION("""COMPUTED_VALUE"""),100.02)</f>
        <v>100.02</v>
      </c>
      <c r="E1059" s="17"/>
      <c r="N1059" s="17"/>
      <c r="Q1059" s="17"/>
    </row>
    <row r="1060">
      <c r="B1060" s="11">
        <f>IFERROR(__xludf.DUMMYFUNCTION("""COMPUTED_VALUE"""),44481.66666666667)</f>
        <v>44481.66667</v>
      </c>
      <c r="C1060" s="9">
        <f>IFERROR(__xludf.DUMMYFUNCTION("""COMPUTED_VALUE"""),99.81)</f>
        <v>99.81</v>
      </c>
      <c r="E1060" s="17"/>
      <c r="N1060" s="17"/>
      <c r="Q1060" s="17"/>
    </row>
    <row r="1061">
      <c r="B1061" s="11">
        <f>IFERROR(__xludf.DUMMYFUNCTION("""COMPUTED_VALUE"""),44480.66666666667)</f>
        <v>44480.66667</v>
      </c>
      <c r="C1061" s="9">
        <f>IFERROR(__xludf.DUMMYFUNCTION("""COMPUTED_VALUE"""),100.14)</f>
        <v>100.14</v>
      </c>
      <c r="E1061" s="17"/>
      <c r="N1061" s="17"/>
      <c r="Q1061" s="17"/>
    </row>
    <row r="1062">
      <c r="B1062" s="11">
        <f>IFERROR(__xludf.DUMMYFUNCTION("""COMPUTED_VALUE"""),44477.66666666667)</f>
        <v>44477.66667</v>
      </c>
      <c r="C1062" s="9">
        <f>IFERROR(__xludf.DUMMYFUNCTION("""COMPUTED_VALUE"""),100.95)</f>
        <v>100.95</v>
      </c>
      <c r="E1062" s="17"/>
      <c r="N1062" s="17"/>
      <c r="Q1062" s="17"/>
    </row>
    <row r="1063">
      <c r="B1063" s="11">
        <f>IFERROR(__xludf.DUMMYFUNCTION("""COMPUTED_VALUE"""),44476.66666666667)</f>
        <v>44476.66667</v>
      </c>
      <c r="C1063" s="9">
        <f>IFERROR(__xludf.DUMMYFUNCTION("""COMPUTED_VALUE"""),100.96)</f>
        <v>100.96</v>
      </c>
      <c r="E1063" s="17"/>
      <c r="N1063" s="17"/>
      <c r="Q1063" s="17"/>
    </row>
    <row r="1064">
      <c r="B1064" s="11">
        <f>IFERROR(__xludf.DUMMYFUNCTION("""COMPUTED_VALUE"""),44475.66666666667)</f>
        <v>44475.66667</v>
      </c>
      <c r="C1064" s="9">
        <f>IFERROR(__xludf.DUMMYFUNCTION("""COMPUTED_VALUE"""),100.18)</f>
        <v>100.18</v>
      </c>
      <c r="E1064" s="17"/>
      <c r="N1064" s="17"/>
      <c r="Q1064" s="17"/>
    </row>
    <row r="1065">
      <c r="B1065" s="11">
        <f>IFERROR(__xludf.DUMMYFUNCTION("""COMPUTED_VALUE"""),44474.66666666667)</f>
        <v>44474.66667</v>
      </c>
      <c r="C1065" s="9">
        <f>IFERROR(__xludf.DUMMYFUNCTION("""COMPUTED_VALUE"""),99.74)</f>
        <v>99.74</v>
      </c>
      <c r="E1065" s="17"/>
      <c r="N1065" s="17"/>
      <c r="Q1065" s="17"/>
    </row>
    <row r="1066">
      <c r="B1066" s="11">
        <f>IFERROR(__xludf.DUMMYFUNCTION("""COMPUTED_VALUE"""),44473.66666666667)</f>
        <v>44473.66667</v>
      </c>
      <c r="C1066" s="9">
        <f>IFERROR(__xludf.DUMMYFUNCTION("""COMPUTED_VALUE"""),98.64)</f>
        <v>98.64</v>
      </c>
      <c r="E1066" s="17"/>
      <c r="N1066" s="17"/>
      <c r="Q1066" s="17"/>
    </row>
    <row r="1067">
      <c r="B1067" s="11">
        <f>IFERROR(__xludf.DUMMYFUNCTION("""COMPUTED_VALUE"""),44470.66666666667)</f>
        <v>44470.66667</v>
      </c>
      <c r="C1067" s="9">
        <f>IFERROR(__xludf.DUMMYFUNCTION("""COMPUTED_VALUE"""),99.18)</f>
        <v>99.18</v>
      </c>
      <c r="E1067" s="17"/>
      <c r="N1067" s="17"/>
      <c r="Q1067" s="17"/>
    </row>
    <row r="1068">
      <c r="B1068" s="11">
        <f>IFERROR(__xludf.DUMMYFUNCTION("""COMPUTED_VALUE"""),44469.66666666667)</f>
        <v>44469.66667</v>
      </c>
      <c r="C1068" s="9">
        <f>IFERROR(__xludf.DUMMYFUNCTION("""COMPUTED_VALUE"""),97.84)</f>
        <v>97.84</v>
      </c>
      <c r="E1068" s="17"/>
      <c r="N1068" s="17"/>
      <c r="Q1068" s="17"/>
    </row>
    <row r="1069">
      <c r="B1069" s="11">
        <f>IFERROR(__xludf.DUMMYFUNCTION("""COMPUTED_VALUE"""),44468.66666666667)</f>
        <v>44468.66667</v>
      </c>
      <c r="C1069" s="9">
        <f>IFERROR(__xludf.DUMMYFUNCTION("""COMPUTED_VALUE"""),99.89)</f>
        <v>99.89</v>
      </c>
      <c r="E1069" s="17"/>
      <c r="N1069" s="17"/>
      <c r="Q1069" s="17"/>
    </row>
    <row r="1070">
      <c r="B1070" s="11">
        <f>IFERROR(__xludf.DUMMYFUNCTION("""COMPUTED_VALUE"""),44467.66666666667)</f>
        <v>44467.66667</v>
      </c>
      <c r="C1070" s="9">
        <f>IFERROR(__xludf.DUMMYFUNCTION("""COMPUTED_VALUE"""),99.78)</f>
        <v>99.78</v>
      </c>
      <c r="E1070" s="17"/>
      <c r="N1070" s="17"/>
      <c r="Q1070" s="17"/>
    </row>
    <row r="1071">
      <c r="B1071" s="11">
        <f>IFERROR(__xludf.DUMMYFUNCTION("""COMPUTED_VALUE"""),44466.66666666667)</f>
        <v>44466.66667</v>
      </c>
      <c r="C1071" s="9">
        <f>IFERROR(__xludf.DUMMYFUNCTION("""COMPUTED_VALUE"""),100.95)</f>
        <v>100.95</v>
      </c>
      <c r="E1071" s="17"/>
      <c r="N1071" s="17"/>
      <c r="Q1071" s="17"/>
    </row>
    <row r="1072">
      <c r="B1072" s="11">
        <f>IFERROR(__xludf.DUMMYFUNCTION("""COMPUTED_VALUE"""),44463.66666666667)</f>
        <v>44463.66667</v>
      </c>
      <c r="C1072" s="9">
        <f>IFERROR(__xludf.DUMMYFUNCTION("""COMPUTED_VALUE"""),100.85)</f>
        <v>100.85</v>
      </c>
      <c r="E1072" s="17"/>
      <c r="N1072" s="17"/>
      <c r="Q1072" s="17"/>
    </row>
    <row r="1073">
      <c r="B1073" s="11">
        <f>IFERROR(__xludf.DUMMYFUNCTION("""COMPUTED_VALUE"""),44462.66666666667)</f>
        <v>44462.66667</v>
      </c>
      <c r="C1073" s="9">
        <f>IFERROR(__xludf.DUMMYFUNCTION("""COMPUTED_VALUE"""),100.64)</f>
        <v>100.64</v>
      </c>
      <c r="E1073" s="17"/>
      <c r="N1073" s="17"/>
      <c r="Q1073" s="17"/>
    </row>
    <row r="1074">
      <c r="B1074" s="11">
        <f>IFERROR(__xludf.DUMMYFUNCTION("""COMPUTED_VALUE"""),44461.66666666667)</f>
        <v>44461.66667</v>
      </c>
      <c r="C1074" s="9">
        <f>IFERROR(__xludf.DUMMYFUNCTION("""COMPUTED_VALUE"""),99.12)</f>
        <v>99.12</v>
      </c>
      <c r="E1074" s="17"/>
      <c r="N1074" s="17"/>
      <c r="Q1074" s="17"/>
    </row>
    <row r="1075">
      <c r="B1075" s="11">
        <f>IFERROR(__xludf.DUMMYFUNCTION("""COMPUTED_VALUE"""),44460.66666666667)</f>
        <v>44460.66667</v>
      </c>
      <c r="C1075" s="9">
        <f>IFERROR(__xludf.DUMMYFUNCTION("""COMPUTED_VALUE"""),98.34)</f>
        <v>98.34</v>
      </c>
      <c r="E1075" s="17"/>
      <c r="N1075" s="17"/>
      <c r="Q1075" s="17"/>
    </row>
    <row r="1076">
      <c r="B1076" s="11">
        <f>IFERROR(__xludf.DUMMYFUNCTION("""COMPUTED_VALUE"""),44459.66666666667)</f>
        <v>44459.66667</v>
      </c>
      <c r="C1076" s="9">
        <f>IFERROR(__xludf.DUMMYFUNCTION("""COMPUTED_VALUE"""),98.86)</f>
        <v>98.86</v>
      </c>
      <c r="E1076" s="17"/>
      <c r="N1076" s="17"/>
      <c r="Q1076" s="17"/>
    </row>
    <row r="1077">
      <c r="B1077" s="11">
        <f>IFERROR(__xludf.DUMMYFUNCTION("""COMPUTED_VALUE"""),44456.66666666667)</f>
        <v>44456.66667</v>
      </c>
      <c r="C1077" s="9">
        <f>IFERROR(__xludf.DUMMYFUNCTION("""COMPUTED_VALUE"""),100.33)</f>
        <v>100.33</v>
      </c>
      <c r="E1077" s="17"/>
      <c r="N1077" s="17"/>
      <c r="Q1077" s="17"/>
    </row>
    <row r="1078">
      <c r="B1078" s="11">
        <f>IFERROR(__xludf.DUMMYFUNCTION("""COMPUTED_VALUE"""),44455.66666666667)</f>
        <v>44455.66667</v>
      </c>
      <c r="C1078" s="9">
        <f>IFERROR(__xludf.DUMMYFUNCTION("""COMPUTED_VALUE"""),101.41)</f>
        <v>101.41</v>
      </c>
      <c r="E1078" s="17"/>
      <c r="N1078" s="17"/>
      <c r="Q1078" s="17"/>
    </row>
    <row r="1079">
      <c r="B1079" s="11">
        <f>IFERROR(__xludf.DUMMYFUNCTION("""COMPUTED_VALUE"""),44454.66666666667)</f>
        <v>44454.66667</v>
      </c>
      <c r="C1079" s="9">
        <f>IFERROR(__xludf.DUMMYFUNCTION("""COMPUTED_VALUE"""),102.11)</f>
        <v>102.11</v>
      </c>
      <c r="E1079" s="17"/>
      <c r="N1079" s="17"/>
      <c r="Q1079" s="17"/>
    </row>
    <row r="1080">
      <c r="B1080" s="11">
        <f>IFERROR(__xludf.DUMMYFUNCTION("""COMPUTED_VALUE"""),44453.66666666667)</f>
        <v>44453.66667</v>
      </c>
      <c r="C1080" s="9">
        <f>IFERROR(__xludf.DUMMYFUNCTION("""COMPUTED_VALUE"""),101.0)</f>
        <v>101</v>
      </c>
      <c r="E1080" s="17"/>
      <c r="N1080" s="17"/>
      <c r="Q1080" s="17"/>
    </row>
    <row r="1081">
      <c r="B1081" s="11">
        <f>IFERROR(__xludf.DUMMYFUNCTION("""COMPUTED_VALUE"""),44452.66666666667)</f>
        <v>44452.66667</v>
      </c>
      <c r="C1081" s="9">
        <f>IFERROR(__xludf.DUMMYFUNCTION("""COMPUTED_VALUE"""),102.23)</f>
        <v>102.23</v>
      </c>
      <c r="E1081" s="17"/>
      <c r="N1081" s="17"/>
      <c r="Q1081" s="17"/>
    </row>
    <row r="1082">
      <c r="B1082" s="11">
        <f>IFERROR(__xludf.DUMMYFUNCTION("""COMPUTED_VALUE"""),44449.66666666667)</f>
        <v>44449.66667</v>
      </c>
      <c r="C1082" s="9">
        <f>IFERROR(__xludf.DUMMYFUNCTION("""COMPUTED_VALUE"""),101.96)</f>
        <v>101.96</v>
      </c>
      <c r="E1082" s="17"/>
      <c r="N1082" s="17"/>
      <c r="Q1082" s="17"/>
    </row>
    <row r="1083">
      <c r="B1083" s="11">
        <f>IFERROR(__xludf.DUMMYFUNCTION("""COMPUTED_VALUE"""),44448.66666666667)</f>
        <v>44448.66667</v>
      </c>
      <c r="C1083" s="9">
        <f>IFERROR(__xludf.DUMMYFUNCTION("""COMPUTED_VALUE"""),102.42)</f>
        <v>102.42</v>
      </c>
      <c r="E1083" s="17"/>
      <c r="N1083" s="17"/>
      <c r="Q1083" s="17"/>
    </row>
    <row r="1084">
      <c r="B1084" s="11">
        <f>IFERROR(__xludf.DUMMYFUNCTION("""COMPUTED_VALUE"""),44447.66666666667)</f>
        <v>44447.66667</v>
      </c>
      <c r="C1084" s="9">
        <f>IFERROR(__xludf.DUMMYFUNCTION("""COMPUTED_VALUE"""),102.92)</f>
        <v>102.92</v>
      </c>
      <c r="E1084" s="17"/>
      <c r="N1084" s="17"/>
      <c r="Q1084" s="17"/>
    </row>
    <row r="1085">
      <c r="B1085" s="11">
        <f>IFERROR(__xludf.DUMMYFUNCTION("""COMPUTED_VALUE"""),44446.66666666667)</f>
        <v>44446.66667</v>
      </c>
      <c r="C1085" s="9">
        <f>IFERROR(__xludf.DUMMYFUNCTION("""COMPUTED_VALUE"""),102.78)</f>
        <v>102.78</v>
      </c>
      <c r="E1085" s="17"/>
      <c r="N1085" s="17"/>
      <c r="Q1085" s="17"/>
    </row>
    <row r="1086">
      <c r="B1086" s="11">
        <f>IFERROR(__xludf.DUMMYFUNCTION("""COMPUTED_VALUE"""),44442.66666666667)</f>
        <v>44442.66667</v>
      </c>
      <c r="C1086" s="9">
        <f>IFERROR(__xludf.DUMMYFUNCTION("""COMPUTED_VALUE"""),104.59)</f>
        <v>104.59</v>
      </c>
      <c r="E1086" s="17"/>
      <c r="N1086" s="17"/>
      <c r="Q1086" s="17"/>
    </row>
    <row r="1087">
      <c r="B1087" s="11">
        <f>IFERROR(__xludf.DUMMYFUNCTION("""COMPUTED_VALUE"""),44441.66666666667)</f>
        <v>44441.66667</v>
      </c>
      <c r="C1087" s="9">
        <f>IFERROR(__xludf.DUMMYFUNCTION("""COMPUTED_VALUE"""),105.23)</f>
        <v>105.23</v>
      </c>
      <c r="E1087" s="17"/>
      <c r="N1087" s="17"/>
      <c r="Q1087" s="17"/>
    </row>
    <row r="1088">
      <c r="B1088" s="11">
        <f>IFERROR(__xludf.DUMMYFUNCTION("""COMPUTED_VALUE"""),44440.66666666667)</f>
        <v>44440.66667</v>
      </c>
      <c r="C1088" s="9">
        <f>IFERROR(__xludf.DUMMYFUNCTION("""COMPUTED_VALUE"""),104.11)</f>
        <v>104.11</v>
      </c>
      <c r="E1088" s="17"/>
      <c r="N1088" s="17"/>
      <c r="Q1088" s="17"/>
    </row>
    <row r="1089">
      <c r="B1089" s="11">
        <f>IFERROR(__xludf.DUMMYFUNCTION("""COMPUTED_VALUE"""),44439.66666666667)</f>
        <v>44439.66667</v>
      </c>
      <c r="C1089" s="9">
        <f>IFERROR(__xludf.DUMMYFUNCTION("""COMPUTED_VALUE"""),104.51)</f>
        <v>104.51</v>
      </c>
      <c r="E1089" s="17"/>
      <c r="N1089" s="17"/>
      <c r="Q1089" s="17"/>
    </row>
    <row r="1090">
      <c r="B1090" s="11">
        <f>IFERROR(__xludf.DUMMYFUNCTION("""COMPUTED_VALUE"""),44438.66666666667)</f>
        <v>44438.66667</v>
      </c>
      <c r="C1090" s="9">
        <f>IFERROR(__xludf.DUMMYFUNCTION("""COMPUTED_VALUE"""),104.8)</f>
        <v>104.8</v>
      </c>
      <c r="E1090" s="17"/>
      <c r="N1090" s="17"/>
      <c r="Q1090" s="17"/>
    </row>
    <row r="1091">
      <c r="B1091" s="11">
        <f>IFERROR(__xludf.DUMMYFUNCTION("""COMPUTED_VALUE"""),44435.66666666667)</f>
        <v>44435.66667</v>
      </c>
      <c r="C1091" s="9">
        <f>IFERROR(__xludf.DUMMYFUNCTION("""COMPUTED_VALUE"""),104.92)</f>
        <v>104.92</v>
      </c>
      <c r="E1091" s="17"/>
      <c r="N1091" s="17"/>
      <c r="Q1091" s="17"/>
    </row>
    <row r="1092">
      <c r="B1092" s="11">
        <f>IFERROR(__xludf.DUMMYFUNCTION("""COMPUTED_VALUE"""),44434.66666666667)</f>
        <v>44434.66667</v>
      </c>
      <c r="C1092" s="9">
        <f>IFERROR(__xludf.DUMMYFUNCTION("""COMPUTED_VALUE"""),104.2)</f>
        <v>104.2</v>
      </c>
      <c r="E1092" s="17"/>
      <c r="N1092" s="17"/>
      <c r="Q1092" s="17"/>
    </row>
    <row r="1093">
      <c r="B1093" s="11">
        <f>IFERROR(__xludf.DUMMYFUNCTION("""COMPUTED_VALUE"""),44433.66666666667)</f>
        <v>44433.66667</v>
      </c>
      <c r="C1093" s="9">
        <f>IFERROR(__xludf.DUMMYFUNCTION("""COMPUTED_VALUE"""),104.66)</f>
        <v>104.66</v>
      </c>
      <c r="E1093" s="17"/>
      <c r="N1093" s="17"/>
      <c r="Q1093" s="17"/>
    </row>
    <row r="1094">
      <c r="B1094" s="11">
        <f>IFERROR(__xludf.DUMMYFUNCTION("""COMPUTED_VALUE"""),44432.66666666667)</f>
        <v>44432.66667</v>
      </c>
      <c r="C1094" s="9">
        <f>IFERROR(__xludf.DUMMYFUNCTION("""COMPUTED_VALUE"""),103.99)</f>
        <v>103.99</v>
      </c>
      <c r="E1094" s="17"/>
      <c r="N1094" s="17"/>
      <c r="Q1094" s="17"/>
    </row>
    <row r="1095">
      <c r="B1095" s="11">
        <f>IFERROR(__xludf.DUMMYFUNCTION("""COMPUTED_VALUE"""),44431.66666666667)</f>
        <v>44431.66667</v>
      </c>
      <c r="C1095" s="9">
        <f>IFERROR(__xludf.DUMMYFUNCTION("""COMPUTED_VALUE"""),103.47)</f>
        <v>103.47</v>
      </c>
      <c r="E1095" s="17"/>
      <c r="N1095" s="17"/>
      <c r="Q1095" s="17"/>
    </row>
    <row r="1096">
      <c r="B1096" s="11">
        <f>IFERROR(__xludf.DUMMYFUNCTION("""COMPUTED_VALUE"""),44428.66666666667)</f>
        <v>44428.66667</v>
      </c>
      <c r="C1096" s="9">
        <f>IFERROR(__xludf.DUMMYFUNCTION("""COMPUTED_VALUE"""),102.63)</f>
        <v>102.63</v>
      </c>
      <c r="E1096" s="17"/>
      <c r="N1096" s="17"/>
      <c r="Q1096" s="17"/>
    </row>
    <row r="1097">
      <c r="B1097" s="11">
        <f>IFERROR(__xludf.DUMMYFUNCTION("""COMPUTED_VALUE"""),44427.66666666667)</f>
        <v>44427.66667</v>
      </c>
      <c r="C1097" s="9">
        <f>IFERROR(__xludf.DUMMYFUNCTION("""COMPUTED_VALUE"""),102.36)</f>
        <v>102.36</v>
      </c>
      <c r="E1097" s="17"/>
      <c r="N1097" s="17"/>
      <c r="Q1097" s="17"/>
    </row>
    <row r="1098">
      <c r="B1098" s="11">
        <f>IFERROR(__xludf.DUMMYFUNCTION("""COMPUTED_VALUE"""),44426.66666666667)</f>
        <v>44426.66667</v>
      </c>
      <c r="C1098" s="9">
        <f>IFERROR(__xludf.DUMMYFUNCTION("""COMPUTED_VALUE"""),103.08)</f>
        <v>103.08</v>
      </c>
      <c r="E1098" s="17"/>
      <c r="N1098" s="17"/>
      <c r="Q1098" s="17"/>
    </row>
    <row r="1099">
      <c r="B1099" s="11">
        <f>IFERROR(__xludf.DUMMYFUNCTION("""COMPUTED_VALUE"""),44425.66666666667)</f>
        <v>44425.66667</v>
      </c>
      <c r="C1099" s="9">
        <f>IFERROR(__xludf.DUMMYFUNCTION("""COMPUTED_VALUE"""),104.22)</f>
        <v>104.22</v>
      </c>
      <c r="E1099" s="17"/>
      <c r="N1099" s="17"/>
      <c r="Q1099" s="17"/>
    </row>
    <row r="1100">
      <c r="B1100" s="11">
        <f>IFERROR(__xludf.DUMMYFUNCTION("""COMPUTED_VALUE"""),44424.66666666667)</f>
        <v>44424.66667</v>
      </c>
      <c r="C1100" s="9">
        <f>IFERROR(__xludf.DUMMYFUNCTION("""COMPUTED_VALUE"""),105.36)</f>
        <v>105.36</v>
      </c>
      <c r="E1100" s="17"/>
      <c r="N1100" s="17"/>
      <c r="Q1100" s="17"/>
    </row>
    <row r="1101">
      <c r="B1101" s="11">
        <f>IFERROR(__xludf.DUMMYFUNCTION("""COMPUTED_VALUE"""),44421.66666666667)</f>
        <v>44421.66667</v>
      </c>
      <c r="C1101" s="9">
        <f>IFERROR(__xludf.DUMMYFUNCTION("""COMPUTED_VALUE"""),105.0)</f>
        <v>105</v>
      </c>
      <c r="E1101" s="17"/>
      <c r="N1101" s="17"/>
      <c r="Q1101" s="17"/>
    </row>
    <row r="1102">
      <c r="B1102" s="11">
        <f>IFERROR(__xludf.DUMMYFUNCTION("""COMPUTED_VALUE"""),44420.66666666667)</f>
        <v>44420.66667</v>
      </c>
      <c r="C1102" s="9">
        <f>IFERROR(__xludf.DUMMYFUNCTION("""COMPUTED_VALUE"""),105.33)</f>
        <v>105.33</v>
      </c>
      <c r="E1102" s="17"/>
      <c r="N1102" s="17"/>
      <c r="Q1102" s="17"/>
    </row>
    <row r="1103">
      <c r="B1103" s="11">
        <f>IFERROR(__xludf.DUMMYFUNCTION("""COMPUTED_VALUE"""),44419.66666666667)</f>
        <v>44419.66667</v>
      </c>
      <c r="C1103" s="9">
        <f>IFERROR(__xludf.DUMMYFUNCTION("""COMPUTED_VALUE"""),105.53)</f>
        <v>105.53</v>
      </c>
      <c r="E1103" s="17"/>
      <c r="N1103" s="17"/>
      <c r="Q1103" s="17"/>
    </row>
    <row r="1104">
      <c r="B1104" s="11">
        <f>IFERROR(__xludf.DUMMYFUNCTION("""COMPUTED_VALUE"""),44418.66666666667)</f>
        <v>44418.66667</v>
      </c>
      <c r="C1104" s="9">
        <f>IFERROR(__xludf.DUMMYFUNCTION("""COMPUTED_VALUE"""),104.18)</f>
        <v>104.18</v>
      </c>
      <c r="E1104" s="17"/>
      <c r="N1104" s="17"/>
      <c r="Q1104" s="17"/>
    </row>
    <row r="1105">
      <c r="B1105" s="11">
        <f>IFERROR(__xludf.DUMMYFUNCTION("""COMPUTED_VALUE"""),44417.66666666667)</f>
        <v>44417.66667</v>
      </c>
      <c r="C1105" s="9">
        <f>IFERROR(__xludf.DUMMYFUNCTION("""COMPUTED_VALUE"""),103.13)</f>
        <v>103.13</v>
      </c>
      <c r="E1105" s="17"/>
      <c r="N1105" s="17"/>
      <c r="Q1105" s="17"/>
    </row>
    <row r="1106">
      <c r="B1106" s="11">
        <f>IFERROR(__xludf.DUMMYFUNCTION("""COMPUTED_VALUE"""),44414.66666666667)</f>
        <v>44414.66667</v>
      </c>
      <c r="C1106" s="9">
        <f>IFERROR(__xludf.DUMMYFUNCTION("""COMPUTED_VALUE"""),103.54)</f>
        <v>103.54</v>
      </c>
      <c r="E1106" s="17"/>
      <c r="N1106" s="17"/>
      <c r="Q1106" s="17"/>
    </row>
    <row r="1107">
      <c r="B1107" s="11">
        <f>IFERROR(__xludf.DUMMYFUNCTION("""COMPUTED_VALUE"""),44413.66666666667)</f>
        <v>44413.66667</v>
      </c>
      <c r="C1107" s="9">
        <f>IFERROR(__xludf.DUMMYFUNCTION("""COMPUTED_VALUE"""),103.06)</f>
        <v>103.06</v>
      </c>
      <c r="E1107" s="17"/>
      <c r="N1107" s="17"/>
      <c r="Q1107" s="17"/>
    </row>
    <row r="1108">
      <c r="B1108" s="11">
        <f>IFERROR(__xludf.DUMMYFUNCTION("""COMPUTED_VALUE"""),44412.66666666667)</f>
        <v>44412.66667</v>
      </c>
      <c r="C1108" s="9">
        <f>IFERROR(__xludf.DUMMYFUNCTION("""COMPUTED_VALUE"""),102.58)</f>
        <v>102.58</v>
      </c>
      <c r="E1108" s="17"/>
      <c r="N1108" s="17"/>
      <c r="Q1108" s="17"/>
    </row>
    <row r="1109">
      <c r="B1109" s="11">
        <f>IFERROR(__xludf.DUMMYFUNCTION("""COMPUTED_VALUE"""),44411.66666666667)</f>
        <v>44411.66667</v>
      </c>
      <c r="C1109" s="9">
        <f>IFERROR(__xludf.DUMMYFUNCTION("""COMPUTED_VALUE"""),103.99)</f>
        <v>103.99</v>
      </c>
      <c r="E1109" s="17"/>
      <c r="N1109" s="17"/>
      <c r="Q1109" s="17"/>
    </row>
    <row r="1110">
      <c r="B1110" s="11">
        <f>IFERROR(__xludf.DUMMYFUNCTION("""COMPUTED_VALUE"""),44410.66666666667)</f>
        <v>44410.66667</v>
      </c>
      <c r="C1110" s="9">
        <f>IFERROR(__xludf.DUMMYFUNCTION("""COMPUTED_VALUE"""),102.65)</f>
        <v>102.65</v>
      </c>
      <c r="E1110" s="17"/>
      <c r="N1110" s="17"/>
      <c r="Q1110" s="17"/>
    </row>
    <row r="1111">
      <c r="B1111" s="11">
        <f>IFERROR(__xludf.DUMMYFUNCTION("""COMPUTED_VALUE"""),44407.66666666667)</f>
        <v>44407.66667</v>
      </c>
      <c r="C1111" s="9">
        <f>IFERROR(__xludf.DUMMYFUNCTION("""COMPUTED_VALUE"""),103.36)</f>
        <v>103.36</v>
      </c>
      <c r="E1111" s="17"/>
      <c r="N1111" s="17"/>
      <c r="Q1111" s="17"/>
    </row>
    <row r="1112">
      <c r="B1112" s="11">
        <f>IFERROR(__xludf.DUMMYFUNCTION("""COMPUTED_VALUE"""),44406.66666666667)</f>
        <v>44406.66667</v>
      </c>
      <c r="C1112" s="9">
        <f>IFERROR(__xludf.DUMMYFUNCTION("""COMPUTED_VALUE"""),103.56)</f>
        <v>103.56</v>
      </c>
      <c r="E1112" s="17"/>
      <c r="N1112" s="17"/>
      <c r="Q1112" s="17"/>
    </row>
    <row r="1113">
      <c r="B1113" s="11">
        <f>IFERROR(__xludf.DUMMYFUNCTION("""COMPUTED_VALUE"""),44405.66666666667)</f>
        <v>44405.66667</v>
      </c>
      <c r="C1113" s="9">
        <f>IFERROR(__xludf.DUMMYFUNCTION("""COMPUTED_VALUE"""),102.75)</f>
        <v>102.75</v>
      </c>
      <c r="E1113" s="17"/>
      <c r="N1113" s="17"/>
      <c r="Q1113" s="17"/>
    </row>
    <row r="1114">
      <c r="B1114" s="11">
        <f>IFERROR(__xludf.DUMMYFUNCTION("""COMPUTED_VALUE"""),44404.66666666667)</f>
        <v>44404.66667</v>
      </c>
      <c r="C1114" s="9">
        <f>IFERROR(__xludf.DUMMYFUNCTION("""COMPUTED_VALUE"""),102.99)</f>
        <v>102.99</v>
      </c>
      <c r="E1114" s="17"/>
      <c r="N1114" s="17"/>
      <c r="Q1114" s="17"/>
    </row>
    <row r="1115">
      <c r="B1115" s="11">
        <f>IFERROR(__xludf.DUMMYFUNCTION("""COMPUTED_VALUE"""),44403.66666666667)</f>
        <v>44403.66667</v>
      </c>
      <c r="C1115" s="9">
        <f>IFERROR(__xludf.DUMMYFUNCTION("""COMPUTED_VALUE"""),103.56)</f>
        <v>103.56</v>
      </c>
      <c r="E1115" s="17"/>
      <c r="N1115" s="17"/>
      <c r="Q1115" s="17"/>
    </row>
    <row r="1116">
      <c r="B1116" s="11">
        <f>IFERROR(__xludf.DUMMYFUNCTION("""COMPUTED_VALUE"""),44400.66666666667)</f>
        <v>44400.66667</v>
      </c>
      <c r="C1116" s="9">
        <f>IFERROR(__xludf.DUMMYFUNCTION("""COMPUTED_VALUE"""),103.61)</f>
        <v>103.61</v>
      </c>
      <c r="E1116" s="17"/>
      <c r="N1116" s="17"/>
      <c r="Q1116" s="17"/>
    </row>
    <row r="1117">
      <c r="B1117" s="11">
        <f>IFERROR(__xludf.DUMMYFUNCTION("""COMPUTED_VALUE"""),44399.66666666667)</f>
        <v>44399.66667</v>
      </c>
      <c r="C1117" s="9">
        <f>IFERROR(__xludf.DUMMYFUNCTION("""COMPUTED_VALUE"""),103.17)</f>
        <v>103.17</v>
      </c>
      <c r="E1117" s="17"/>
      <c r="N1117" s="17"/>
      <c r="Q1117" s="17"/>
    </row>
    <row r="1118">
      <c r="B1118" s="11">
        <f>IFERROR(__xludf.DUMMYFUNCTION("""COMPUTED_VALUE"""),44398.66666666667)</f>
        <v>44398.66667</v>
      </c>
      <c r="C1118" s="9">
        <f>IFERROR(__xludf.DUMMYFUNCTION("""COMPUTED_VALUE"""),103.55)</f>
        <v>103.55</v>
      </c>
      <c r="E1118" s="17"/>
      <c r="N1118" s="17"/>
      <c r="Q1118" s="17"/>
    </row>
    <row r="1119">
      <c r="B1119" s="11">
        <f>IFERROR(__xludf.DUMMYFUNCTION("""COMPUTED_VALUE"""),44397.66666666667)</f>
        <v>44397.66667</v>
      </c>
      <c r="C1119" s="9">
        <f>IFERROR(__xludf.DUMMYFUNCTION("""COMPUTED_VALUE"""),102.57)</f>
        <v>102.57</v>
      </c>
      <c r="E1119" s="17"/>
      <c r="N1119" s="17"/>
      <c r="Q1119" s="17"/>
    </row>
    <row r="1120">
      <c r="B1120" s="11">
        <f>IFERROR(__xludf.DUMMYFUNCTION("""COMPUTED_VALUE"""),44396.66666666667)</f>
        <v>44396.66667</v>
      </c>
      <c r="C1120" s="9">
        <f>IFERROR(__xludf.DUMMYFUNCTION("""COMPUTED_VALUE"""),99.78)</f>
        <v>99.78</v>
      </c>
      <c r="E1120" s="17"/>
      <c r="N1120" s="17"/>
      <c r="Q1120" s="17"/>
    </row>
    <row r="1121">
      <c r="B1121" s="11">
        <f>IFERROR(__xludf.DUMMYFUNCTION("""COMPUTED_VALUE"""),44393.66666666667)</f>
        <v>44393.66667</v>
      </c>
      <c r="C1121" s="9">
        <f>IFERROR(__xludf.DUMMYFUNCTION("""COMPUTED_VALUE"""),101.91)</f>
        <v>101.91</v>
      </c>
      <c r="E1121" s="17"/>
      <c r="N1121" s="17"/>
      <c r="Q1121" s="17"/>
    </row>
    <row r="1122">
      <c r="B1122" s="11">
        <f>IFERROR(__xludf.DUMMYFUNCTION("""COMPUTED_VALUE"""),44392.66666666667)</f>
        <v>44392.66667</v>
      </c>
      <c r="C1122" s="9">
        <f>IFERROR(__xludf.DUMMYFUNCTION("""COMPUTED_VALUE"""),102.82)</f>
        <v>102.82</v>
      </c>
      <c r="E1122" s="17"/>
      <c r="N1122" s="17"/>
      <c r="Q1122" s="17"/>
    </row>
    <row r="1123">
      <c r="B1123" s="11">
        <f>IFERROR(__xludf.DUMMYFUNCTION("""COMPUTED_VALUE"""),44391.66666666667)</f>
        <v>44391.66667</v>
      </c>
      <c r="C1123" s="9">
        <f>IFERROR(__xludf.DUMMYFUNCTION("""COMPUTED_VALUE"""),102.62)</f>
        <v>102.62</v>
      </c>
      <c r="E1123" s="17"/>
      <c r="N1123" s="17"/>
      <c r="Q1123" s="17"/>
    </row>
    <row r="1124">
      <c r="B1124" s="11">
        <f>IFERROR(__xludf.DUMMYFUNCTION("""COMPUTED_VALUE"""),44390.66666666667)</f>
        <v>44390.66667</v>
      </c>
      <c r="C1124" s="9">
        <f>IFERROR(__xludf.DUMMYFUNCTION("""COMPUTED_VALUE"""),102.63)</f>
        <v>102.63</v>
      </c>
      <c r="E1124" s="17"/>
      <c r="N1124" s="17"/>
      <c r="Q1124" s="17"/>
    </row>
    <row r="1125">
      <c r="B1125" s="11">
        <f>IFERROR(__xludf.DUMMYFUNCTION("""COMPUTED_VALUE"""),44389.66666666667)</f>
        <v>44389.66667</v>
      </c>
      <c r="C1125" s="9">
        <f>IFERROR(__xludf.DUMMYFUNCTION("""COMPUTED_VALUE"""),103.63)</f>
        <v>103.63</v>
      </c>
      <c r="E1125" s="17"/>
      <c r="N1125" s="17"/>
      <c r="Q1125" s="17"/>
    </row>
    <row r="1126">
      <c r="B1126" s="11">
        <f>IFERROR(__xludf.DUMMYFUNCTION("""COMPUTED_VALUE"""),44386.66666666667)</f>
        <v>44386.66667</v>
      </c>
      <c r="C1126" s="9">
        <f>IFERROR(__xludf.DUMMYFUNCTION("""COMPUTED_VALUE"""),103.49)</f>
        <v>103.49</v>
      </c>
      <c r="E1126" s="17"/>
      <c r="N1126" s="17"/>
      <c r="Q1126" s="17"/>
    </row>
    <row r="1127">
      <c r="B1127" s="11">
        <f>IFERROR(__xludf.DUMMYFUNCTION("""COMPUTED_VALUE"""),44385.66666666667)</f>
        <v>44385.66667</v>
      </c>
      <c r="C1127" s="9">
        <f>IFERROR(__xludf.DUMMYFUNCTION("""COMPUTED_VALUE"""),101.88)</f>
        <v>101.88</v>
      </c>
      <c r="E1127" s="17"/>
      <c r="N1127" s="17"/>
      <c r="Q1127" s="17"/>
    </row>
    <row r="1128">
      <c r="B1128" s="11">
        <f>IFERROR(__xludf.DUMMYFUNCTION("""COMPUTED_VALUE"""),44384.66666666667)</f>
        <v>44384.66667</v>
      </c>
      <c r="C1128" s="9">
        <f>IFERROR(__xludf.DUMMYFUNCTION("""COMPUTED_VALUE"""),103.32)</f>
        <v>103.32</v>
      </c>
      <c r="E1128" s="17"/>
      <c r="N1128" s="17"/>
      <c r="Q1128" s="17"/>
    </row>
    <row r="1129">
      <c r="B1129" s="11">
        <f>IFERROR(__xludf.DUMMYFUNCTION("""COMPUTED_VALUE"""),44383.66666666667)</f>
        <v>44383.66667</v>
      </c>
      <c r="C1129" s="9">
        <f>IFERROR(__xludf.DUMMYFUNCTION("""COMPUTED_VALUE"""),102.3)</f>
        <v>102.3</v>
      </c>
      <c r="E1129" s="17"/>
      <c r="N1129" s="17"/>
      <c r="Q1129" s="17"/>
    </row>
    <row r="1130">
      <c r="B1130" s="11">
        <f>IFERROR(__xludf.DUMMYFUNCTION("""COMPUTED_VALUE"""),44379.66666666667)</f>
        <v>44379.66667</v>
      </c>
      <c r="C1130" s="9">
        <f>IFERROR(__xludf.DUMMYFUNCTION("""COMPUTED_VALUE"""),103.29)</f>
        <v>103.29</v>
      </c>
      <c r="E1130" s="17"/>
      <c r="N1130" s="17"/>
      <c r="Q1130" s="17"/>
    </row>
    <row r="1131">
      <c r="B1131" s="11">
        <f>IFERROR(__xludf.DUMMYFUNCTION("""COMPUTED_VALUE"""),44378.66666666667)</f>
        <v>44378.66667</v>
      </c>
      <c r="C1131" s="9">
        <f>IFERROR(__xludf.DUMMYFUNCTION("""COMPUTED_VALUE"""),103.13)</f>
        <v>103.13</v>
      </c>
      <c r="E1131" s="17"/>
      <c r="N1131" s="17"/>
      <c r="Q1131" s="17"/>
    </row>
    <row r="1132">
      <c r="B1132" s="11">
        <f>IFERROR(__xludf.DUMMYFUNCTION("""COMPUTED_VALUE"""),44377.66666666667)</f>
        <v>44377.66667</v>
      </c>
      <c r="C1132" s="9">
        <f>IFERROR(__xludf.DUMMYFUNCTION("""COMPUTED_VALUE"""),102.4)</f>
        <v>102.4</v>
      </c>
      <c r="E1132" s="17"/>
      <c r="N1132" s="17"/>
      <c r="Q1132" s="17"/>
    </row>
    <row r="1133">
      <c r="B1133" s="11">
        <f>IFERROR(__xludf.DUMMYFUNCTION("""COMPUTED_VALUE"""),44376.66666666667)</f>
        <v>44376.66667</v>
      </c>
      <c r="C1133" s="9">
        <f>IFERROR(__xludf.DUMMYFUNCTION("""COMPUTED_VALUE"""),101.61)</f>
        <v>101.61</v>
      </c>
      <c r="E1133" s="17"/>
      <c r="N1133" s="17"/>
      <c r="Q1133" s="17"/>
    </row>
    <row r="1134">
      <c r="B1134" s="11">
        <f>IFERROR(__xludf.DUMMYFUNCTION("""COMPUTED_VALUE"""),44375.66666666667)</f>
        <v>44375.66667</v>
      </c>
      <c r="C1134" s="9">
        <f>IFERROR(__xludf.DUMMYFUNCTION("""COMPUTED_VALUE"""),101.81)</f>
        <v>101.81</v>
      </c>
      <c r="E1134" s="17"/>
      <c r="N1134" s="17"/>
      <c r="Q1134" s="17"/>
    </row>
    <row r="1135">
      <c r="B1135" s="11">
        <f>IFERROR(__xludf.DUMMYFUNCTION("""COMPUTED_VALUE"""),44372.66666666667)</f>
        <v>44372.66667</v>
      </c>
      <c r="C1135" s="9">
        <f>IFERROR(__xludf.DUMMYFUNCTION("""COMPUTED_VALUE"""),102.35)</f>
        <v>102.35</v>
      </c>
      <c r="E1135" s="17"/>
      <c r="N1135" s="17"/>
      <c r="Q1135" s="17"/>
    </row>
    <row r="1136">
      <c r="B1136" s="11">
        <f>IFERROR(__xludf.DUMMYFUNCTION("""COMPUTED_VALUE"""),44371.66666666667)</f>
        <v>44371.66667</v>
      </c>
      <c r="C1136" s="9">
        <f>IFERROR(__xludf.DUMMYFUNCTION("""COMPUTED_VALUE"""),102.15)</f>
        <v>102.15</v>
      </c>
      <c r="E1136" s="17"/>
      <c r="N1136" s="17"/>
      <c r="Q1136" s="17"/>
    </row>
    <row r="1137">
      <c r="B1137" s="11">
        <f>IFERROR(__xludf.DUMMYFUNCTION("""COMPUTED_VALUE"""),44370.66666666667)</f>
        <v>44370.66667</v>
      </c>
      <c r="C1137" s="9">
        <f>IFERROR(__xludf.DUMMYFUNCTION("""COMPUTED_VALUE"""),101.36)</f>
        <v>101.36</v>
      </c>
      <c r="E1137" s="17"/>
      <c r="N1137" s="17"/>
      <c r="Q1137" s="17"/>
    </row>
    <row r="1138">
      <c r="B1138" s="11">
        <f>IFERROR(__xludf.DUMMYFUNCTION("""COMPUTED_VALUE"""),44369.66666666667)</f>
        <v>44369.66667</v>
      </c>
      <c r="C1138" s="9">
        <f>IFERROR(__xludf.DUMMYFUNCTION("""COMPUTED_VALUE"""),101.59)</f>
        <v>101.59</v>
      </c>
      <c r="E1138" s="17"/>
      <c r="N1138" s="17"/>
      <c r="Q1138" s="17"/>
    </row>
    <row r="1139">
      <c r="B1139" s="11">
        <f>IFERROR(__xludf.DUMMYFUNCTION("""COMPUTED_VALUE"""),44368.66666666667)</f>
        <v>44368.66667</v>
      </c>
      <c r="C1139" s="9">
        <f>IFERROR(__xludf.DUMMYFUNCTION("""COMPUTED_VALUE"""),101.48)</f>
        <v>101.48</v>
      </c>
      <c r="E1139" s="17"/>
      <c r="N1139" s="17"/>
      <c r="Q1139" s="17"/>
    </row>
    <row r="1140">
      <c r="B1140" s="11">
        <f>IFERROR(__xludf.DUMMYFUNCTION("""COMPUTED_VALUE"""),44365.66666666667)</f>
        <v>44365.66667</v>
      </c>
      <c r="C1140" s="9">
        <f>IFERROR(__xludf.DUMMYFUNCTION("""COMPUTED_VALUE"""),99.61)</f>
        <v>99.61</v>
      </c>
      <c r="E1140" s="17"/>
      <c r="N1140" s="17"/>
      <c r="Q1140" s="17"/>
    </row>
    <row r="1141">
      <c r="B1141" s="11">
        <f>IFERROR(__xludf.DUMMYFUNCTION("""COMPUTED_VALUE"""),44364.66666666667)</f>
        <v>44364.66667</v>
      </c>
      <c r="C1141" s="9">
        <f>IFERROR(__xludf.DUMMYFUNCTION("""COMPUTED_VALUE"""),100.92)</f>
        <v>100.92</v>
      </c>
      <c r="E1141" s="17"/>
      <c r="N1141" s="17"/>
      <c r="Q1141" s="17"/>
    </row>
    <row r="1142">
      <c r="B1142" s="11">
        <f>IFERROR(__xludf.DUMMYFUNCTION("""COMPUTED_VALUE"""),44363.66666666667)</f>
        <v>44363.66667</v>
      </c>
      <c r="C1142" s="9">
        <f>IFERROR(__xludf.DUMMYFUNCTION("""COMPUTED_VALUE"""),102.5)</f>
        <v>102.5</v>
      </c>
      <c r="E1142" s="17"/>
      <c r="N1142" s="17"/>
      <c r="Q1142" s="17"/>
    </row>
    <row r="1143">
      <c r="B1143" s="11">
        <f>IFERROR(__xludf.DUMMYFUNCTION("""COMPUTED_VALUE"""),44362.66666666667)</f>
        <v>44362.66667</v>
      </c>
      <c r="C1143" s="9">
        <f>IFERROR(__xludf.DUMMYFUNCTION("""COMPUTED_VALUE"""),103.48)</f>
        <v>103.48</v>
      </c>
      <c r="E1143" s="17"/>
      <c r="N1143" s="17"/>
      <c r="Q1143" s="17"/>
    </row>
    <row r="1144">
      <c r="B1144" s="11">
        <f>IFERROR(__xludf.DUMMYFUNCTION("""COMPUTED_VALUE"""),44361.66666666667)</f>
        <v>44361.66667</v>
      </c>
      <c r="C1144" s="9">
        <f>IFERROR(__xludf.DUMMYFUNCTION("""COMPUTED_VALUE"""),103.04)</f>
        <v>103.04</v>
      </c>
      <c r="E1144" s="17"/>
      <c r="N1144" s="17"/>
      <c r="Q1144" s="17"/>
    </row>
    <row r="1145">
      <c r="B1145" s="11">
        <f>IFERROR(__xludf.DUMMYFUNCTION("""COMPUTED_VALUE"""),44358.66666666667)</f>
        <v>44358.66667</v>
      </c>
      <c r="C1145" s="9">
        <f>IFERROR(__xludf.DUMMYFUNCTION("""COMPUTED_VALUE"""),103.51)</f>
        <v>103.51</v>
      </c>
      <c r="E1145" s="17"/>
      <c r="N1145" s="17"/>
      <c r="Q1145" s="17"/>
    </row>
    <row r="1146">
      <c r="B1146" s="11">
        <f>IFERROR(__xludf.DUMMYFUNCTION("""COMPUTED_VALUE"""),44357.66666666667)</f>
        <v>44357.66667</v>
      </c>
      <c r="C1146" s="9">
        <f>IFERROR(__xludf.DUMMYFUNCTION("""COMPUTED_VALUE"""),103.3)</f>
        <v>103.3</v>
      </c>
      <c r="E1146" s="17"/>
      <c r="N1146" s="17"/>
      <c r="Q1146" s="17"/>
    </row>
    <row r="1147">
      <c r="B1147" s="11">
        <f>IFERROR(__xludf.DUMMYFUNCTION("""COMPUTED_VALUE"""),44356.66666666667)</f>
        <v>44356.66667</v>
      </c>
      <c r="C1147" s="9">
        <f>IFERROR(__xludf.DUMMYFUNCTION("""COMPUTED_VALUE"""),103.81)</f>
        <v>103.81</v>
      </c>
      <c r="E1147" s="17"/>
      <c r="N1147" s="17"/>
      <c r="Q1147" s="17"/>
    </row>
    <row r="1148">
      <c r="B1148" s="11">
        <f>IFERROR(__xludf.DUMMYFUNCTION("""COMPUTED_VALUE"""),44355.66666666667)</f>
        <v>44355.66667</v>
      </c>
      <c r="C1148" s="9">
        <f>IFERROR(__xludf.DUMMYFUNCTION("""COMPUTED_VALUE"""),104.88)</f>
        <v>104.88</v>
      </c>
      <c r="E1148" s="17"/>
      <c r="N1148" s="17"/>
      <c r="Q1148" s="17"/>
    </row>
    <row r="1149">
      <c r="B1149" s="11">
        <f>IFERROR(__xludf.DUMMYFUNCTION("""COMPUTED_VALUE"""),44354.66666666667)</f>
        <v>44354.66667</v>
      </c>
      <c r="C1149" s="9">
        <f>IFERROR(__xludf.DUMMYFUNCTION("""COMPUTED_VALUE"""),104.61)</f>
        <v>104.61</v>
      </c>
      <c r="E1149" s="17"/>
      <c r="N1149" s="17"/>
      <c r="Q1149" s="17"/>
    </row>
    <row r="1150">
      <c r="B1150" s="11">
        <f>IFERROR(__xludf.DUMMYFUNCTION("""COMPUTED_VALUE"""),44351.66666666667)</f>
        <v>44351.66667</v>
      </c>
      <c r="C1150" s="9">
        <f>IFERROR(__xludf.DUMMYFUNCTION("""COMPUTED_VALUE"""),105.34)</f>
        <v>105.34</v>
      </c>
      <c r="E1150" s="17"/>
      <c r="N1150" s="17"/>
      <c r="Q1150" s="17"/>
    </row>
    <row r="1151">
      <c r="B1151" s="11">
        <f>IFERROR(__xludf.DUMMYFUNCTION("""COMPUTED_VALUE"""),44350.66666666667)</f>
        <v>44350.66667</v>
      </c>
      <c r="C1151" s="9">
        <f>IFERROR(__xludf.DUMMYFUNCTION("""COMPUTED_VALUE"""),105.0)</f>
        <v>105</v>
      </c>
      <c r="E1151" s="17"/>
      <c r="N1151" s="17"/>
      <c r="Q1151" s="17"/>
    </row>
    <row r="1152">
      <c r="B1152" s="11">
        <f>IFERROR(__xludf.DUMMYFUNCTION("""COMPUTED_VALUE"""),44349.66666666667)</f>
        <v>44349.66667</v>
      </c>
      <c r="C1152" s="9">
        <f>IFERROR(__xludf.DUMMYFUNCTION("""COMPUTED_VALUE"""),105.23)</f>
        <v>105.23</v>
      </c>
      <c r="E1152" s="17"/>
      <c r="N1152" s="17"/>
      <c r="Q1152" s="17"/>
    </row>
    <row r="1153">
      <c r="B1153" s="11">
        <f>IFERROR(__xludf.DUMMYFUNCTION("""COMPUTED_VALUE"""),44348.66666666667)</f>
        <v>44348.66667</v>
      </c>
      <c r="C1153" s="9">
        <f>IFERROR(__xludf.DUMMYFUNCTION("""COMPUTED_VALUE"""),105.53)</f>
        <v>105.53</v>
      </c>
      <c r="E1153" s="17"/>
      <c r="N1153" s="17"/>
      <c r="Q1153" s="17"/>
    </row>
    <row r="1154">
      <c r="B1154" s="11">
        <f>IFERROR(__xludf.DUMMYFUNCTION("""COMPUTED_VALUE"""),44344.66666666667)</f>
        <v>44344.66667</v>
      </c>
      <c r="C1154" s="9">
        <f>IFERROR(__xludf.DUMMYFUNCTION("""COMPUTED_VALUE"""),105.12)</f>
        <v>105.12</v>
      </c>
      <c r="E1154" s="17"/>
      <c r="N1154" s="17"/>
      <c r="Q1154" s="17"/>
    </row>
    <row r="1155">
      <c r="B1155" s="11">
        <f>IFERROR(__xludf.DUMMYFUNCTION("""COMPUTED_VALUE"""),44343.66666666667)</f>
        <v>44343.66667</v>
      </c>
      <c r="C1155" s="9">
        <f>IFERROR(__xludf.DUMMYFUNCTION("""COMPUTED_VALUE"""),105.12)</f>
        <v>105.12</v>
      </c>
      <c r="E1155" s="17"/>
      <c r="N1155" s="17"/>
      <c r="Q1155" s="17"/>
    </row>
    <row r="1156">
      <c r="B1156" s="11">
        <f>IFERROR(__xludf.DUMMYFUNCTION("""COMPUTED_VALUE"""),44342.66666666667)</f>
        <v>44342.66667</v>
      </c>
      <c r="C1156" s="9">
        <f>IFERROR(__xludf.DUMMYFUNCTION("""COMPUTED_VALUE"""),103.7)</f>
        <v>103.7</v>
      </c>
      <c r="E1156" s="17"/>
      <c r="N1156" s="17"/>
      <c r="Q1156" s="17"/>
    </row>
    <row r="1157">
      <c r="B1157" s="11">
        <f>IFERROR(__xludf.DUMMYFUNCTION("""COMPUTED_VALUE"""),44341.66666666667)</f>
        <v>44341.66667</v>
      </c>
      <c r="C1157" s="9">
        <f>IFERROR(__xludf.DUMMYFUNCTION("""COMPUTED_VALUE"""),103.37)</f>
        <v>103.37</v>
      </c>
      <c r="E1157" s="17"/>
      <c r="N1157" s="17"/>
      <c r="Q1157" s="17"/>
    </row>
    <row r="1158">
      <c r="B1158" s="11">
        <f>IFERROR(__xludf.DUMMYFUNCTION("""COMPUTED_VALUE"""),44340.66666666667)</f>
        <v>44340.66667</v>
      </c>
      <c r="C1158" s="9">
        <f>IFERROR(__xludf.DUMMYFUNCTION("""COMPUTED_VALUE"""),103.68)</f>
        <v>103.68</v>
      </c>
      <c r="E1158" s="17"/>
      <c r="N1158" s="17"/>
      <c r="Q1158" s="17"/>
    </row>
    <row r="1159">
      <c r="B1159" s="11">
        <f>IFERROR(__xludf.DUMMYFUNCTION("""COMPUTED_VALUE"""),44337.66666666667)</f>
        <v>44337.66667</v>
      </c>
      <c r="C1159" s="9">
        <f>IFERROR(__xludf.DUMMYFUNCTION("""COMPUTED_VALUE"""),103.04)</f>
        <v>103.04</v>
      </c>
      <c r="E1159" s="17"/>
      <c r="N1159" s="17"/>
      <c r="Q1159" s="17"/>
    </row>
    <row r="1160">
      <c r="B1160" s="11">
        <f>IFERROR(__xludf.DUMMYFUNCTION("""COMPUTED_VALUE"""),44336.66666666667)</f>
        <v>44336.66667</v>
      </c>
      <c r="C1160" s="9">
        <f>IFERROR(__xludf.DUMMYFUNCTION("""COMPUTED_VALUE"""),102.54)</f>
        <v>102.54</v>
      </c>
      <c r="E1160" s="17"/>
      <c r="N1160" s="17"/>
      <c r="Q1160" s="17"/>
    </row>
    <row r="1161">
      <c r="B1161" s="11">
        <f>IFERROR(__xludf.DUMMYFUNCTION("""COMPUTED_VALUE"""),44335.66666666667)</f>
        <v>44335.66667</v>
      </c>
      <c r="C1161" s="9">
        <f>IFERROR(__xludf.DUMMYFUNCTION("""COMPUTED_VALUE"""),102.31)</f>
        <v>102.31</v>
      </c>
      <c r="E1161" s="17"/>
      <c r="N1161" s="17"/>
      <c r="Q1161" s="17"/>
    </row>
    <row r="1162">
      <c r="B1162" s="11">
        <f>IFERROR(__xludf.DUMMYFUNCTION("""COMPUTED_VALUE"""),44334.66666666667)</f>
        <v>44334.66667</v>
      </c>
      <c r="C1162" s="9">
        <f>IFERROR(__xludf.DUMMYFUNCTION("""COMPUTED_VALUE"""),102.89)</f>
        <v>102.89</v>
      </c>
      <c r="E1162" s="17"/>
      <c r="N1162" s="17"/>
      <c r="Q1162" s="17"/>
    </row>
    <row r="1163">
      <c r="B1163" s="11">
        <f>IFERROR(__xludf.DUMMYFUNCTION("""COMPUTED_VALUE"""),44333.66666666667)</f>
        <v>44333.66667</v>
      </c>
      <c r="C1163" s="9">
        <f>IFERROR(__xludf.DUMMYFUNCTION("""COMPUTED_VALUE"""),104.41)</f>
        <v>104.41</v>
      </c>
      <c r="E1163" s="17"/>
      <c r="N1163" s="17"/>
      <c r="Q1163" s="17"/>
    </row>
    <row r="1164">
      <c r="B1164" s="11">
        <f>IFERROR(__xludf.DUMMYFUNCTION("""COMPUTED_VALUE"""),44330.66666666667)</f>
        <v>44330.66667</v>
      </c>
      <c r="C1164" s="9">
        <f>IFERROR(__xludf.DUMMYFUNCTION("""COMPUTED_VALUE"""),104.73)</f>
        <v>104.73</v>
      </c>
      <c r="E1164" s="17"/>
      <c r="N1164" s="17"/>
      <c r="Q1164" s="17"/>
    </row>
    <row r="1165">
      <c r="B1165" s="11">
        <f>IFERROR(__xludf.DUMMYFUNCTION("""COMPUTED_VALUE"""),44329.66666666667)</f>
        <v>44329.66667</v>
      </c>
      <c r="C1165" s="9">
        <f>IFERROR(__xludf.DUMMYFUNCTION("""COMPUTED_VALUE"""),103.3)</f>
        <v>103.3</v>
      </c>
      <c r="E1165" s="17"/>
      <c r="N1165" s="17"/>
      <c r="Q1165" s="17"/>
    </row>
    <row r="1166">
      <c r="B1166" s="11">
        <f>IFERROR(__xludf.DUMMYFUNCTION("""COMPUTED_VALUE"""),44328.66666666667)</f>
        <v>44328.66667</v>
      </c>
      <c r="C1166" s="9">
        <f>IFERROR(__xludf.DUMMYFUNCTION("""COMPUTED_VALUE"""),101.4)</f>
        <v>101.4</v>
      </c>
      <c r="E1166" s="17"/>
      <c r="N1166" s="17"/>
      <c r="Q1166" s="17"/>
    </row>
    <row r="1167">
      <c r="B1167" s="11">
        <f>IFERROR(__xludf.DUMMYFUNCTION("""COMPUTED_VALUE"""),44327.66666666667)</f>
        <v>44327.66667</v>
      </c>
      <c r="C1167" s="9">
        <f>IFERROR(__xludf.DUMMYFUNCTION("""COMPUTED_VALUE"""),103.89)</f>
        <v>103.89</v>
      </c>
      <c r="E1167" s="17"/>
      <c r="N1167" s="17"/>
      <c r="Q1167" s="17"/>
    </row>
    <row r="1168">
      <c r="B1168" s="11">
        <f>IFERROR(__xludf.DUMMYFUNCTION("""COMPUTED_VALUE"""),44326.66666666667)</f>
        <v>44326.66667</v>
      </c>
      <c r="C1168" s="9">
        <f>IFERROR(__xludf.DUMMYFUNCTION("""COMPUTED_VALUE"""),105.45)</f>
        <v>105.45</v>
      </c>
      <c r="E1168" s="17"/>
      <c r="N1168" s="17"/>
      <c r="Q1168" s="17"/>
    </row>
    <row r="1169">
      <c r="B1169" s="11">
        <f>IFERROR(__xludf.DUMMYFUNCTION("""COMPUTED_VALUE"""),44323.66666666667)</f>
        <v>44323.66667</v>
      </c>
      <c r="C1169" s="9">
        <f>IFERROR(__xludf.DUMMYFUNCTION("""COMPUTED_VALUE"""),105.35)</f>
        <v>105.35</v>
      </c>
      <c r="E1169" s="17"/>
      <c r="N1169" s="17"/>
      <c r="Q1169" s="17"/>
    </row>
    <row r="1170">
      <c r="B1170" s="11">
        <f>IFERROR(__xludf.DUMMYFUNCTION("""COMPUTED_VALUE"""),44322.66666666667)</f>
        <v>44322.66667</v>
      </c>
      <c r="C1170" s="9">
        <f>IFERROR(__xludf.DUMMYFUNCTION("""COMPUTED_VALUE"""),104.25)</f>
        <v>104.25</v>
      </c>
      <c r="E1170" s="17"/>
      <c r="N1170" s="17"/>
      <c r="Q1170" s="17"/>
    </row>
    <row r="1171">
      <c r="B1171" s="11">
        <f>IFERROR(__xludf.DUMMYFUNCTION("""COMPUTED_VALUE"""),44321.66666666667)</f>
        <v>44321.66667</v>
      </c>
      <c r="C1171" s="9">
        <f>IFERROR(__xludf.DUMMYFUNCTION("""COMPUTED_VALUE"""),103.53)</f>
        <v>103.53</v>
      </c>
      <c r="E1171" s="17"/>
      <c r="N1171" s="17"/>
      <c r="Q1171" s="17"/>
    </row>
    <row r="1172">
      <c r="B1172" s="11">
        <f>IFERROR(__xludf.DUMMYFUNCTION("""COMPUTED_VALUE"""),44320.66666666667)</f>
        <v>44320.66667</v>
      </c>
      <c r="C1172" s="9">
        <f>IFERROR(__xludf.DUMMYFUNCTION("""COMPUTED_VALUE"""),103.43)</f>
        <v>103.43</v>
      </c>
      <c r="E1172" s="17"/>
      <c r="N1172" s="17"/>
      <c r="Q1172" s="17"/>
    </row>
    <row r="1173">
      <c r="B1173" s="11">
        <f>IFERROR(__xludf.DUMMYFUNCTION("""COMPUTED_VALUE"""),44319.66666666667)</f>
        <v>44319.66667</v>
      </c>
      <c r="C1173" s="9">
        <f>IFERROR(__xludf.DUMMYFUNCTION("""COMPUTED_VALUE"""),102.98)</f>
        <v>102.98</v>
      </c>
      <c r="E1173" s="17"/>
      <c r="N1173" s="17"/>
      <c r="Q1173" s="17"/>
    </row>
    <row r="1174">
      <c r="B1174" s="11">
        <f>IFERROR(__xludf.DUMMYFUNCTION("""COMPUTED_VALUE"""),44316.66666666667)</f>
        <v>44316.66667</v>
      </c>
      <c r="C1174" s="9">
        <f>IFERROR(__xludf.DUMMYFUNCTION("""COMPUTED_VALUE"""),101.93)</f>
        <v>101.93</v>
      </c>
      <c r="E1174" s="17"/>
      <c r="N1174" s="17"/>
      <c r="Q1174" s="17"/>
    </row>
    <row r="1175">
      <c r="B1175" s="11">
        <f>IFERROR(__xludf.DUMMYFUNCTION("""COMPUTED_VALUE"""),44315.66666666667)</f>
        <v>44315.66667</v>
      </c>
      <c r="C1175" s="9">
        <f>IFERROR(__xludf.DUMMYFUNCTION("""COMPUTED_VALUE"""),102.61)</f>
        <v>102.61</v>
      </c>
      <c r="E1175" s="17"/>
      <c r="N1175" s="17"/>
      <c r="Q1175" s="17"/>
    </row>
    <row r="1176">
      <c r="B1176" s="11">
        <f>IFERROR(__xludf.DUMMYFUNCTION("""COMPUTED_VALUE"""),44314.66666666667)</f>
        <v>44314.66667</v>
      </c>
      <c r="C1176" s="9">
        <f>IFERROR(__xludf.DUMMYFUNCTION("""COMPUTED_VALUE"""),101.89)</f>
        <v>101.89</v>
      </c>
      <c r="E1176" s="17"/>
      <c r="N1176" s="17"/>
      <c r="Q1176" s="17"/>
    </row>
    <row r="1177">
      <c r="B1177" s="11">
        <f>IFERROR(__xludf.DUMMYFUNCTION("""COMPUTED_VALUE"""),44313.66666666667)</f>
        <v>44313.66667</v>
      </c>
      <c r="C1177" s="9">
        <f>IFERROR(__xludf.DUMMYFUNCTION("""COMPUTED_VALUE"""),102.1)</f>
        <v>102.1</v>
      </c>
      <c r="E1177" s="17"/>
      <c r="N1177" s="17"/>
      <c r="Q1177" s="17"/>
    </row>
    <row r="1178">
      <c r="B1178" s="11">
        <f>IFERROR(__xludf.DUMMYFUNCTION("""COMPUTED_VALUE"""),44312.66666666667)</f>
        <v>44312.66667</v>
      </c>
      <c r="C1178" s="9">
        <f>IFERROR(__xludf.DUMMYFUNCTION("""COMPUTED_VALUE"""),101.26)</f>
        <v>101.26</v>
      </c>
      <c r="E1178" s="17"/>
      <c r="N1178" s="17"/>
      <c r="Q1178" s="17"/>
    </row>
    <row r="1179">
      <c r="B1179" s="11">
        <f>IFERROR(__xludf.DUMMYFUNCTION("""COMPUTED_VALUE"""),44309.66666666667)</f>
        <v>44309.66667</v>
      </c>
      <c r="C1179" s="9">
        <f>IFERROR(__xludf.DUMMYFUNCTION("""COMPUTED_VALUE"""),101.56)</f>
        <v>101.56</v>
      </c>
      <c r="E1179" s="17"/>
      <c r="N1179" s="17"/>
      <c r="Q1179" s="17"/>
    </row>
    <row r="1180">
      <c r="B1180" s="11">
        <f>IFERROR(__xludf.DUMMYFUNCTION("""COMPUTED_VALUE"""),44308.66666666667)</f>
        <v>44308.66667</v>
      </c>
      <c r="C1180" s="9">
        <f>IFERROR(__xludf.DUMMYFUNCTION("""COMPUTED_VALUE"""),100.46)</f>
        <v>100.46</v>
      </c>
      <c r="E1180" s="17"/>
      <c r="N1180" s="17"/>
      <c r="Q1180" s="17"/>
    </row>
    <row r="1181">
      <c r="B1181" s="11">
        <f>IFERROR(__xludf.DUMMYFUNCTION("""COMPUTED_VALUE"""),44307.66666666667)</f>
        <v>44307.66667</v>
      </c>
      <c r="C1181" s="9">
        <f>IFERROR(__xludf.DUMMYFUNCTION("""COMPUTED_VALUE"""),100.97)</f>
        <v>100.97</v>
      </c>
      <c r="E1181" s="17"/>
      <c r="N1181" s="17"/>
      <c r="Q1181" s="17"/>
    </row>
    <row r="1182">
      <c r="B1182" s="11">
        <f>IFERROR(__xludf.DUMMYFUNCTION("""COMPUTED_VALUE"""),44306.66666666667)</f>
        <v>44306.66667</v>
      </c>
      <c r="C1182" s="9">
        <f>IFERROR(__xludf.DUMMYFUNCTION("""COMPUTED_VALUE"""),99.61)</f>
        <v>99.61</v>
      </c>
      <c r="E1182" s="17"/>
      <c r="N1182" s="17"/>
      <c r="Q1182" s="17"/>
    </row>
    <row r="1183">
      <c r="B1183" s="11">
        <f>IFERROR(__xludf.DUMMYFUNCTION("""COMPUTED_VALUE"""),44305.66666666667)</f>
        <v>44305.66667</v>
      </c>
      <c r="C1183" s="9">
        <f>IFERROR(__xludf.DUMMYFUNCTION("""COMPUTED_VALUE"""),100.72)</f>
        <v>100.72</v>
      </c>
      <c r="E1183" s="17"/>
      <c r="N1183" s="17"/>
      <c r="Q1183" s="17"/>
    </row>
    <row r="1184">
      <c r="B1184" s="11">
        <f>IFERROR(__xludf.DUMMYFUNCTION("""COMPUTED_VALUE"""),44302.66666666667)</f>
        <v>44302.66667</v>
      </c>
      <c r="C1184" s="9">
        <f>IFERROR(__xludf.DUMMYFUNCTION("""COMPUTED_VALUE"""),101.14)</f>
        <v>101.14</v>
      </c>
      <c r="E1184" s="17"/>
      <c r="N1184" s="17"/>
      <c r="Q1184" s="17"/>
    </row>
    <row r="1185">
      <c r="B1185" s="11">
        <f>IFERROR(__xludf.DUMMYFUNCTION("""COMPUTED_VALUE"""),44301.66666666667)</f>
        <v>44301.66667</v>
      </c>
      <c r="C1185" s="9">
        <f>IFERROR(__xludf.DUMMYFUNCTION("""COMPUTED_VALUE"""),100.92)</f>
        <v>100.92</v>
      </c>
      <c r="E1185" s="17"/>
      <c r="N1185" s="17"/>
      <c r="Q1185" s="17"/>
    </row>
    <row r="1186">
      <c r="B1186" s="11">
        <f>IFERROR(__xludf.DUMMYFUNCTION("""COMPUTED_VALUE"""),44300.66666666667)</f>
        <v>44300.66667</v>
      </c>
      <c r="C1186" s="9">
        <f>IFERROR(__xludf.DUMMYFUNCTION("""COMPUTED_VALUE"""),100.52)</f>
        <v>100.52</v>
      </c>
      <c r="E1186" s="17"/>
      <c r="N1186" s="17"/>
      <c r="Q1186" s="17"/>
    </row>
    <row r="1187">
      <c r="B1187" s="11">
        <f>IFERROR(__xludf.DUMMYFUNCTION("""COMPUTED_VALUE"""),44299.66666666667)</f>
        <v>44299.66667</v>
      </c>
      <c r="C1187" s="9">
        <f>IFERROR(__xludf.DUMMYFUNCTION("""COMPUTED_VALUE"""),100.39)</f>
        <v>100.39</v>
      </c>
      <c r="E1187" s="17"/>
      <c r="N1187" s="17"/>
      <c r="Q1187" s="17"/>
    </row>
    <row r="1188">
      <c r="B1188" s="11">
        <f>IFERROR(__xludf.DUMMYFUNCTION("""COMPUTED_VALUE"""),44298.66666666667)</f>
        <v>44298.66667</v>
      </c>
      <c r="C1188" s="9">
        <f>IFERROR(__xludf.DUMMYFUNCTION("""COMPUTED_VALUE"""),100.88)</f>
        <v>100.88</v>
      </c>
      <c r="E1188" s="17"/>
      <c r="N1188" s="17"/>
      <c r="Q1188" s="17"/>
    </row>
    <row r="1189">
      <c r="B1189" s="11">
        <f>IFERROR(__xludf.DUMMYFUNCTION("""COMPUTED_VALUE"""),44295.66666666667)</f>
        <v>44295.66667</v>
      </c>
      <c r="C1189" s="9">
        <f>IFERROR(__xludf.DUMMYFUNCTION("""COMPUTED_VALUE"""),100.51)</f>
        <v>100.51</v>
      </c>
      <c r="E1189" s="17"/>
      <c r="N1189" s="17"/>
      <c r="Q1189" s="17"/>
    </row>
    <row r="1190">
      <c r="B1190" s="11">
        <f>IFERROR(__xludf.DUMMYFUNCTION("""COMPUTED_VALUE"""),44294.66666666667)</f>
        <v>44294.66667</v>
      </c>
      <c r="C1190" s="9">
        <f>IFERROR(__xludf.DUMMYFUNCTION("""COMPUTED_VALUE"""),99.54)</f>
        <v>99.54</v>
      </c>
      <c r="E1190" s="17"/>
      <c r="N1190" s="17"/>
      <c r="Q1190" s="17"/>
    </row>
    <row r="1191">
      <c r="B1191" s="11">
        <f>IFERROR(__xludf.DUMMYFUNCTION("""COMPUTED_VALUE"""),44293.66666666667)</f>
        <v>44293.66667</v>
      </c>
      <c r="C1191" s="9">
        <f>IFERROR(__xludf.DUMMYFUNCTION("""COMPUTED_VALUE"""),99.3)</f>
        <v>99.3</v>
      </c>
      <c r="E1191" s="17"/>
      <c r="N1191" s="17"/>
      <c r="Q1191" s="17"/>
    </row>
    <row r="1192">
      <c r="B1192" s="11">
        <f>IFERROR(__xludf.DUMMYFUNCTION("""COMPUTED_VALUE"""),44292.66666666667)</f>
        <v>44292.66667</v>
      </c>
      <c r="C1192" s="9">
        <f>IFERROR(__xludf.DUMMYFUNCTION("""COMPUTED_VALUE"""),99.76)</f>
        <v>99.76</v>
      </c>
      <c r="E1192" s="17"/>
      <c r="N1192" s="17"/>
      <c r="Q1192" s="17"/>
    </row>
    <row r="1193">
      <c r="B1193" s="11">
        <f>IFERROR(__xludf.DUMMYFUNCTION("""COMPUTED_VALUE"""),44291.66666666667)</f>
        <v>44291.66667</v>
      </c>
      <c r="C1193" s="9">
        <f>IFERROR(__xludf.DUMMYFUNCTION("""COMPUTED_VALUE"""),100.0)</f>
        <v>100</v>
      </c>
      <c r="E1193" s="17"/>
      <c r="N1193" s="17"/>
      <c r="Q1193" s="17"/>
    </row>
    <row r="1194">
      <c r="B1194" s="11">
        <f>IFERROR(__xludf.DUMMYFUNCTION("""COMPUTED_VALUE"""),44287.66666666667)</f>
        <v>44287.66667</v>
      </c>
      <c r="C1194" s="9">
        <f>IFERROR(__xludf.DUMMYFUNCTION("""COMPUTED_VALUE"""),98.78)</f>
        <v>98.78</v>
      </c>
      <c r="E1194" s="17"/>
      <c r="N1194" s="17"/>
      <c r="Q1194" s="17"/>
    </row>
    <row r="1195">
      <c r="B1195" s="11">
        <f>IFERROR(__xludf.DUMMYFUNCTION("""COMPUTED_VALUE"""),44286.66666666667)</f>
        <v>44286.66667</v>
      </c>
      <c r="C1195" s="9">
        <f>IFERROR(__xludf.DUMMYFUNCTION("""COMPUTED_VALUE"""),98.45)</f>
        <v>98.45</v>
      </c>
      <c r="E1195" s="17"/>
      <c r="N1195" s="17"/>
      <c r="Q1195" s="17"/>
    </row>
    <row r="1196">
      <c r="B1196" s="11">
        <f>IFERROR(__xludf.DUMMYFUNCTION("""COMPUTED_VALUE"""),44285.66666666667)</f>
        <v>44285.66667</v>
      </c>
      <c r="C1196" s="9">
        <f>IFERROR(__xludf.DUMMYFUNCTION("""COMPUTED_VALUE"""),98.77)</f>
        <v>98.77</v>
      </c>
      <c r="E1196" s="17"/>
      <c r="N1196" s="17"/>
      <c r="Q1196" s="17"/>
    </row>
    <row r="1197">
      <c r="B1197" s="11">
        <f>IFERROR(__xludf.DUMMYFUNCTION("""COMPUTED_VALUE"""),44284.66666666667)</f>
        <v>44284.66667</v>
      </c>
      <c r="C1197" s="9">
        <f>IFERROR(__xludf.DUMMYFUNCTION("""COMPUTED_VALUE"""),98.34)</f>
        <v>98.34</v>
      </c>
      <c r="E1197" s="17"/>
      <c r="N1197" s="17"/>
      <c r="Q1197" s="17"/>
    </row>
    <row r="1198">
      <c r="B1198" s="11">
        <f>IFERROR(__xludf.DUMMYFUNCTION("""COMPUTED_VALUE"""),44281.66666666667)</f>
        <v>44281.66667</v>
      </c>
      <c r="C1198" s="9">
        <f>IFERROR(__xludf.DUMMYFUNCTION("""COMPUTED_VALUE"""),98.32)</f>
        <v>98.32</v>
      </c>
      <c r="E1198" s="17"/>
      <c r="N1198" s="17"/>
      <c r="Q1198" s="17"/>
    </row>
    <row r="1199">
      <c r="B1199" s="11">
        <f>IFERROR(__xludf.DUMMYFUNCTION("""COMPUTED_VALUE"""),44280.66666666667)</f>
        <v>44280.66667</v>
      </c>
      <c r="C1199" s="9">
        <f>IFERROR(__xludf.DUMMYFUNCTION("""COMPUTED_VALUE"""),96.65)</f>
        <v>96.65</v>
      </c>
      <c r="E1199" s="17"/>
      <c r="N1199" s="17"/>
      <c r="Q1199" s="17"/>
    </row>
    <row r="1200">
      <c r="B1200" s="11">
        <f>IFERROR(__xludf.DUMMYFUNCTION("""COMPUTED_VALUE"""),44279.66666666667)</f>
        <v>44279.66667</v>
      </c>
      <c r="C1200" s="9">
        <f>IFERROR(__xludf.DUMMYFUNCTION("""COMPUTED_VALUE"""),95.13)</f>
        <v>95.13</v>
      </c>
      <c r="E1200" s="17"/>
      <c r="N1200" s="17"/>
      <c r="Q1200" s="17"/>
    </row>
    <row r="1201">
      <c r="B1201" s="11">
        <f>IFERROR(__xludf.DUMMYFUNCTION("""COMPUTED_VALUE"""),44278.66666666667)</f>
        <v>44278.66667</v>
      </c>
      <c r="C1201" s="9">
        <f>IFERROR(__xludf.DUMMYFUNCTION("""COMPUTED_VALUE"""),94.44)</f>
        <v>94.44</v>
      </c>
      <c r="E1201" s="17"/>
      <c r="N1201" s="17"/>
      <c r="Q1201" s="17"/>
    </row>
    <row r="1202">
      <c r="B1202" s="11">
        <f>IFERROR(__xludf.DUMMYFUNCTION("""COMPUTED_VALUE"""),44277.66666666667)</f>
        <v>44277.66667</v>
      </c>
      <c r="C1202" s="9">
        <f>IFERROR(__xludf.DUMMYFUNCTION("""COMPUTED_VALUE"""),96.12)</f>
        <v>96.12</v>
      </c>
      <c r="E1202" s="17"/>
      <c r="N1202" s="17"/>
      <c r="Q1202" s="17"/>
    </row>
    <row r="1203">
      <c r="B1203" s="11">
        <f>IFERROR(__xludf.DUMMYFUNCTION("""COMPUTED_VALUE"""),44274.66666666667)</f>
        <v>44274.66667</v>
      </c>
      <c r="C1203" s="9">
        <f>IFERROR(__xludf.DUMMYFUNCTION("""COMPUTED_VALUE"""),96.47)</f>
        <v>96.47</v>
      </c>
      <c r="E1203" s="17"/>
      <c r="N1203" s="17"/>
      <c r="Q1203" s="17"/>
    </row>
    <row r="1204">
      <c r="B1204" s="11">
        <f>IFERROR(__xludf.DUMMYFUNCTION("""COMPUTED_VALUE"""),44273.66666666667)</f>
        <v>44273.66667</v>
      </c>
      <c r="C1204" s="9">
        <f>IFERROR(__xludf.DUMMYFUNCTION("""COMPUTED_VALUE"""),97.21)</f>
        <v>97.21</v>
      </c>
      <c r="E1204" s="17"/>
      <c r="N1204" s="17"/>
      <c r="Q1204" s="17"/>
    </row>
    <row r="1205">
      <c r="B1205" s="11">
        <f>IFERROR(__xludf.DUMMYFUNCTION("""COMPUTED_VALUE"""),44272.66666666667)</f>
        <v>44272.66667</v>
      </c>
      <c r="C1205" s="9">
        <f>IFERROR(__xludf.DUMMYFUNCTION("""COMPUTED_VALUE"""),97.3)</f>
        <v>97.3</v>
      </c>
      <c r="E1205" s="17"/>
      <c r="N1205" s="17"/>
      <c r="Q1205" s="17"/>
    </row>
    <row r="1206">
      <c r="B1206" s="11">
        <f>IFERROR(__xludf.DUMMYFUNCTION("""COMPUTED_VALUE"""),44271.66666666667)</f>
        <v>44271.66667</v>
      </c>
      <c r="C1206" s="9">
        <f>IFERROR(__xludf.DUMMYFUNCTION("""COMPUTED_VALUE"""),96.19)</f>
        <v>96.19</v>
      </c>
      <c r="E1206" s="17"/>
      <c r="N1206" s="17"/>
      <c r="Q1206" s="17"/>
    </row>
    <row r="1207">
      <c r="B1207" s="11">
        <f>IFERROR(__xludf.DUMMYFUNCTION("""COMPUTED_VALUE"""),44270.66666666667)</f>
        <v>44270.66667</v>
      </c>
      <c r="C1207" s="9">
        <f>IFERROR(__xludf.DUMMYFUNCTION("""COMPUTED_VALUE"""),97.58)</f>
        <v>97.58</v>
      </c>
      <c r="E1207" s="17"/>
      <c r="N1207" s="17"/>
      <c r="Q1207" s="17"/>
    </row>
    <row r="1208">
      <c r="B1208" s="11">
        <f>IFERROR(__xludf.DUMMYFUNCTION("""COMPUTED_VALUE"""),44267.66666666667)</f>
        <v>44267.66667</v>
      </c>
      <c r="C1208" s="9">
        <f>IFERROR(__xludf.DUMMYFUNCTION("""COMPUTED_VALUE"""),96.77)</f>
        <v>96.77</v>
      </c>
      <c r="E1208" s="17"/>
      <c r="N1208" s="17"/>
      <c r="Q1208" s="17"/>
    </row>
    <row r="1209">
      <c r="B1209" s="11">
        <f>IFERROR(__xludf.DUMMYFUNCTION("""COMPUTED_VALUE"""),44266.66666666667)</f>
        <v>44266.66667</v>
      </c>
      <c r="C1209" s="9">
        <f>IFERROR(__xludf.DUMMYFUNCTION("""COMPUTED_VALUE"""),95.49)</f>
        <v>95.49</v>
      </c>
      <c r="E1209" s="17"/>
      <c r="N1209" s="17"/>
      <c r="Q1209" s="17"/>
    </row>
    <row r="1210">
      <c r="B1210" s="11">
        <f>IFERROR(__xludf.DUMMYFUNCTION("""COMPUTED_VALUE"""),44265.66666666667)</f>
        <v>44265.66667</v>
      </c>
      <c r="C1210" s="9">
        <f>IFERROR(__xludf.DUMMYFUNCTION("""COMPUTED_VALUE"""),95.42)</f>
        <v>95.42</v>
      </c>
      <c r="E1210" s="17"/>
      <c r="N1210" s="17"/>
      <c r="Q1210" s="17"/>
    </row>
    <row r="1211">
      <c r="B1211" s="11">
        <f>IFERROR(__xludf.DUMMYFUNCTION("""COMPUTED_VALUE"""),44264.66666666667)</f>
        <v>44264.66667</v>
      </c>
      <c r="C1211" s="9">
        <f>IFERROR(__xludf.DUMMYFUNCTION("""COMPUTED_VALUE"""),94.03)</f>
        <v>94.03</v>
      </c>
      <c r="E1211" s="17"/>
      <c r="N1211" s="17"/>
      <c r="Q1211" s="17"/>
    </row>
    <row r="1212">
      <c r="B1212" s="11">
        <f>IFERROR(__xludf.DUMMYFUNCTION("""COMPUTED_VALUE"""),44263.66666666667)</f>
        <v>44263.66667</v>
      </c>
      <c r="C1212" s="9">
        <f>IFERROR(__xludf.DUMMYFUNCTION("""COMPUTED_VALUE"""),94.42)</f>
        <v>94.42</v>
      </c>
      <c r="E1212" s="17"/>
      <c r="N1212" s="17"/>
      <c r="Q1212" s="17"/>
    </row>
    <row r="1213">
      <c r="B1213" s="11">
        <f>IFERROR(__xludf.DUMMYFUNCTION("""COMPUTED_VALUE"""),44260.66666666667)</f>
        <v>44260.66667</v>
      </c>
      <c r="C1213" s="9">
        <f>IFERROR(__xludf.DUMMYFUNCTION("""COMPUTED_VALUE"""),93.44)</f>
        <v>93.44</v>
      </c>
      <c r="E1213" s="17"/>
      <c r="N1213" s="17"/>
      <c r="Q1213" s="17"/>
    </row>
    <row r="1214">
      <c r="B1214" s="11">
        <f>IFERROR(__xludf.DUMMYFUNCTION("""COMPUTED_VALUE"""),44259.66666666667)</f>
        <v>44259.66667</v>
      </c>
      <c r="C1214" s="9">
        <f>IFERROR(__xludf.DUMMYFUNCTION("""COMPUTED_VALUE"""),91.28)</f>
        <v>91.28</v>
      </c>
      <c r="E1214" s="17"/>
      <c r="N1214" s="17"/>
      <c r="Q1214" s="17"/>
    </row>
    <row r="1215">
      <c r="B1215" s="11">
        <f>IFERROR(__xludf.DUMMYFUNCTION("""COMPUTED_VALUE"""),44258.66666666667)</f>
        <v>44258.66667</v>
      </c>
      <c r="C1215" s="9">
        <f>IFERROR(__xludf.DUMMYFUNCTION("""COMPUTED_VALUE"""),92.76)</f>
        <v>92.76</v>
      </c>
      <c r="E1215" s="17"/>
      <c r="N1215" s="17"/>
      <c r="Q1215" s="17"/>
    </row>
    <row r="1216">
      <c r="B1216" s="11">
        <f>IFERROR(__xludf.DUMMYFUNCTION("""COMPUTED_VALUE"""),44257.66666666667)</f>
        <v>44257.66667</v>
      </c>
      <c r="C1216" s="9">
        <f>IFERROR(__xludf.DUMMYFUNCTION("""COMPUTED_VALUE"""),92.66)</f>
        <v>92.66</v>
      </c>
      <c r="E1216" s="17"/>
      <c r="N1216" s="17"/>
      <c r="Q1216" s="17"/>
    </row>
    <row r="1217">
      <c r="B1217" s="11">
        <f>IFERROR(__xludf.DUMMYFUNCTION("""COMPUTED_VALUE"""),44256.66666666667)</f>
        <v>44256.66667</v>
      </c>
      <c r="C1217" s="9">
        <f>IFERROR(__xludf.DUMMYFUNCTION("""COMPUTED_VALUE"""),92.93)</f>
        <v>92.93</v>
      </c>
      <c r="E1217" s="17"/>
      <c r="N1217" s="17"/>
      <c r="Q1217" s="17"/>
    </row>
    <row r="1218">
      <c r="B1218" s="11">
        <f>IFERROR(__xludf.DUMMYFUNCTION("""COMPUTED_VALUE"""),44253.66666666667)</f>
        <v>44253.66667</v>
      </c>
      <c r="C1218" s="9">
        <f>IFERROR(__xludf.DUMMYFUNCTION("""COMPUTED_VALUE"""),90.61)</f>
        <v>90.61</v>
      </c>
      <c r="E1218" s="17"/>
      <c r="N1218" s="17"/>
      <c r="Q1218" s="17"/>
    </row>
    <row r="1219">
      <c r="B1219" s="11">
        <f>IFERROR(__xludf.DUMMYFUNCTION("""COMPUTED_VALUE"""),44252.66666666667)</f>
        <v>44252.66667</v>
      </c>
      <c r="C1219" s="9">
        <f>IFERROR(__xludf.DUMMYFUNCTION("""COMPUTED_VALUE"""),91.56)</f>
        <v>91.56</v>
      </c>
      <c r="E1219" s="17"/>
      <c r="N1219" s="17"/>
      <c r="Q1219" s="17"/>
    </row>
    <row r="1220">
      <c r="B1220" s="11">
        <f>IFERROR(__xludf.DUMMYFUNCTION("""COMPUTED_VALUE"""),44251.66666666667)</f>
        <v>44251.66667</v>
      </c>
      <c r="C1220" s="9">
        <f>IFERROR(__xludf.DUMMYFUNCTION("""COMPUTED_VALUE"""),93.28)</f>
        <v>93.28</v>
      </c>
      <c r="E1220" s="17"/>
      <c r="N1220" s="17"/>
      <c r="Q1220" s="17"/>
    </row>
    <row r="1221">
      <c r="B1221" s="11">
        <f>IFERROR(__xludf.DUMMYFUNCTION("""COMPUTED_VALUE"""),44250.66666666667)</f>
        <v>44250.66667</v>
      </c>
      <c r="C1221" s="9">
        <f>IFERROR(__xludf.DUMMYFUNCTION("""COMPUTED_VALUE"""),91.55)</f>
        <v>91.55</v>
      </c>
      <c r="E1221" s="17"/>
      <c r="N1221" s="17"/>
      <c r="Q1221" s="17"/>
    </row>
    <row r="1222">
      <c r="B1222" s="11">
        <f>IFERROR(__xludf.DUMMYFUNCTION("""COMPUTED_VALUE"""),44249.66666666667)</f>
        <v>44249.66667</v>
      </c>
      <c r="C1222" s="9">
        <f>IFERROR(__xludf.DUMMYFUNCTION("""COMPUTED_VALUE"""),91.27)</f>
        <v>91.27</v>
      </c>
      <c r="E1222" s="17"/>
      <c r="N1222" s="17"/>
      <c r="Q1222" s="17"/>
    </row>
    <row r="1223">
      <c r="B1223" s="11">
        <f>IFERROR(__xludf.DUMMYFUNCTION("""COMPUTED_VALUE"""),44246.66666666667)</f>
        <v>44246.66667</v>
      </c>
      <c r="C1223" s="9">
        <f>IFERROR(__xludf.DUMMYFUNCTION("""COMPUTED_VALUE"""),90.98)</f>
        <v>90.98</v>
      </c>
      <c r="E1223" s="17"/>
      <c r="N1223" s="17"/>
      <c r="Q1223" s="17"/>
    </row>
    <row r="1224">
      <c r="B1224" s="11">
        <f>IFERROR(__xludf.DUMMYFUNCTION("""COMPUTED_VALUE"""),44245.66666666667)</f>
        <v>44245.66667</v>
      </c>
      <c r="C1224" s="9">
        <f>IFERROR(__xludf.DUMMYFUNCTION("""COMPUTED_VALUE"""),89.51)</f>
        <v>89.51</v>
      </c>
      <c r="E1224" s="17"/>
      <c r="N1224" s="17"/>
      <c r="Q1224" s="17"/>
    </row>
    <row r="1225">
      <c r="B1225" s="11">
        <f>IFERROR(__xludf.DUMMYFUNCTION("""COMPUTED_VALUE"""),44244.66666666667)</f>
        <v>44244.66667</v>
      </c>
      <c r="C1225" s="9">
        <f>IFERROR(__xludf.DUMMYFUNCTION("""COMPUTED_VALUE"""),89.96)</f>
        <v>89.96</v>
      </c>
      <c r="E1225" s="17"/>
      <c r="N1225" s="17"/>
      <c r="Q1225" s="17"/>
    </row>
    <row r="1226">
      <c r="B1226" s="11">
        <f>IFERROR(__xludf.DUMMYFUNCTION("""COMPUTED_VALUE"""),44243.66666666667)</f>
        <v>44243.66667</v>
      </c>
      <c r="C1226" s="9">
        <f>IFERROR(__xludf.DUMMYFUNCTION("""COMPUTED_VALUE"""),90.21)</f>
        <v>90.21</v>
      </c>
      <c r="E1226" s="17"/>
      <c r="N1226" s="17"/>
      <c r="Q1226" s="17"/>
    </row>
    <row r="1227">
      <c r="B1227" s="11">
        <f>IFERROR(__xludf.DUMMYFUNCTION("""COMPUTED_VALUE"""),44239.66666666667)</f>
        <v>44239.66667</v>
      </c>
      <c r="C1227" s="9">
        <f>IFERROR(__xludf.DUMMYFUNCTION("""COMPUTED_VALUE"""),90.3)</f>
        <v>90.3</v>
      </c>
      <c r="E1227" s="17"/>
      <c r="N1227" s="17"/>
      <c r="Q1227" s="17"/>
    </row>
    <row r="1228">
      <c r="B1228" s="11">
        <f>IFERROR(__xludf.DUMMYFUNCTION("""COMPUTED_VALUE"""),44238.66666666667)</f>
        <v>44238.66667</v>
      </c>
      <c r="C1228" s="9">
        <f>IFERROR(__xludf.DUMMYFUNCTION("""COMPUTED_VALUE"""),89.65)</f>
        <v>89.65</v>
      </c>
      <c r="E1228" s="17"/>
      <c r="N1228" s="17"/>
      <c r="Q1228" s="17"/>
    </row>
    <row r="1229">
      <c r="B1229" s="11">
        <f>IFERROR(__xludf.DUMMYFUNCTION("""COMPUTED_VALUE"""),44237.66666666667)</f>
        <v>44237.66667</v>
      </c>
      <c r="C1229" s="9">
        <f>IFERROR(__xludf.DUMMYFUNCTION("""COMPUTED_VALUE"""),89.84)</f>
        <v>89.84</v>
      </c>
      <c r="E1229" s="17"/>
      <c r="N1229" s="17"/>
      <c r="Q1229" s="17"/>
    </row>
    <row r="1230">
      <c r="B1230" s="11">
        <f>IFERROR(__xludf.DUMMYFUNCTION("""COMPUTED_VALUE"""),44236.66666666667)</f>
        <v>44236.66667</v>
      </c>
      <c r="C1230" s="9">
        <f>IFERROR(__xludf.DUMMYFUNCTION("""COMPUTED_VALUE"""),89.98)</f>
        <v>89.98</v>
      </c>
      <c r="E1230" s="17"/>
      <c r="N1230" s="17"/>
      <c r="Q1230" s="17"/>
    </row>
    <row r="1231">
      <c r="B1231" s="11">
        <f>IFERROR(__xludf.DUMMYFUNCTION("""COMPUTED_VALUE"""),44235.66666666667)</f>
        <v>44235.66667</v>
      </c>
      <c r="C1231" s="9">
        <f>IFERROR(__xludf.DUMMYFUNCTION("""COMPUTED_VALUE"""),89.75)</f>
        <v>89.75</v>
      </c>
      <c r="E1231" s="17"/>
      <c r="N1231" s="17"/>
      <c r="Q1231" s="17"/>
    </row>
    <row r="1232">
      <c r="B1232" s="11">
        <f>IFERROR(__xludf.DUMMYFUNCTION("""COMPUTED_VALUE"""),44232.66666666667)</f>
        <v>44232.66667</v>
      </c>
      <c r="C1232" s="9">
        <f>IFERROR(__xludf.DUMMYFUNCTION("""COMPUTED_VALUE"""),88.99)</f>
        <v>88.99</v>
      </c>
      <c r="E1232" s="17"/>
      <c r="N1232" s="17"/>
      <c r="Q1232" s="17"/>
    </row>
    <row r="1233">
      <c r="B1233" s="11">
        <f>IFERROR(__xludf.DUMMYFUNCTION("""COMPUTED_VALUE"""),44231.66666666667)</f>
        <v>44231.66667</v>
      </c>
      <c r="C1233" s="9">
        <f>IFERROR(__xludf.DUMMYFUNCTION("""COMPUTED_VALUE"""),88.47)</f>
        <v>88.47</v>
      </c>
      <c r="E1233" s="17"/>
      <c r="N1233" s="17"/>
      <c r="Q1233" s="17"/>
    </row>
    <row r="1234">
      <c r="B1234" s="11">
        <f>IFERROR(__xludf.DUMMYFUNCTION("""COMPUTED_VALUE"""),44230.66666666667)</f>
        <v>44230.66667</v>
      </c>
      <c r="C1234" s="9">
        <f>IFERROR(__xludf.DUMMYFUNCTION("""COMPUTED_VALUE"""),87.53)</f>
        <v>87.53</v>
      </c>
      <c r="E1234" s="17"/>
      <c r="N1234" s="17"/>
      <c r="Q1234" s="17"/>
    </row>
    <row r="1235">
      <c r="B1235" s="11">
        <f>IFERROR(__xludf.DUMMYFUNCTION("""COMPUTED_VALUE"""),44229.66666666667)</f>
        <v>44229.66667</v>
      </c>
      <c r="C1235" s="9">
        <f>IFERROR(__xludf.DUMMYFUNCTION("""COMPUTED_VALUE"""),87.47)</f>
        <v>87.47</v>
      </c>
      <c r="E1235" s="17"/>
      <c r="N1235" s="17"/>
      <c r="Q1235" s="17"/>
    </row>
    <row r="1236">
      <c r="B1236" s="11">
        <f>IFERROR(__xludf.DUMMYFUNCTION("""COMPUTED_VALUE"""),44228.66666666667)</f>
        <v>44228.66667</v>
      </c>
      <c r="C1236" s="9">
        <f>IFERROR(__xludf.DUMMYFUNCTION("""COMPUTED_VALUE"""),85.65)</f>
        <v>85.65</v>
      </c>
      <c r="E1236" s="17"/>
      <c r="N1236" s="17"/>
      <c r="Q1236" s="17"/>
    </row>
    <row r="1237">
      <c r="B1237" s="11">
        <f>IFERROR(__xludf.DUMMYFUNCTION("""COMPUTED_VALUE"""),44225.66666666667)</f>
        <v>44225.66667</v>
      </c>
      <c r="C1237" s="9">
        <f>IFERROR(__xludf.DUMMYFUNCTION("""COMPUTED_VALUE"""),84.77)</f>
        <v>84.77</v>
      </c>
      <c r="E1237" s="17"/>
      <c r="N1237" s="17"/>
      <c r="Q1237" s="17"/>
    </row>
    <row r="1238">
      <c r="B1238" s="11">
        <f>IFERROR(__xludf.DUMMYFUNCTION("""COMPUTED_VALUE"""),44224.66666666667)</f>
        <v>44224.66667</v>
      </c>
      <c r="C1238" s="9">
        <f>IFERROR(__xludf.DUMMYFUNCTION("""COMPUTED_VALUE"""),86.64)</f>
        <v>86.64</v>
      </c>
      <c r="E1238" s="17"/>
      <c r="N1238" s="17"/>
      <c r="Q1238" s="17"/>
    </row>
    <row r="1239">
      <c r="B1239" s="11">
        <f>IFERROR(__xludf.DUMMYFUNCTION("""COMPUTED_VALUE"""),44223.66666666667)</f>
        <v>44223.66667</v>
      </c>
      <c r="C1239" s="9">
        <f>IFERROR(__xludf.DUMMYFUNCTION("""COMPUTED_VALUE"""),85.37)</f>
        <v>85.37</v>
      </c>
      <c r="E1239" s="17"/>
      <c r="N1239" s="17"/>
      <c r="Q1239" s="17"/>
    </row>
    <row r="1240">
      <c r="B1240" s="11">
        <f>IFERROR(__xludf.DUMMYFUNCTION("""COMPUTED_VALUE"""),44222.66666666667)</f>
        <v>44222.66667</v>
      </c>
      <c r="C1240" s="9">
        <f>IFERROR(__xludf.DUMMYFUNCTION("""COMPUTED_VALUE"""),87.1)</f>
        <v>87.1</v>
      </c>
      <c r="E1240" s="17"/>
      <c r="N1240" s="17"/>
      <c r="Q1240" s="17"/>
    </row>
    <row r="1241">
      <c r="B1241" s="11">
        <f>IFERROR(__xludf.DUMMYFUNCTION("""COMPUTED_VALUE"""),44221.66666666667)</f>
        <v>44221.66667</v>
      </c>
      <c r="C1241" s="9">
        <f>IFERROR(__xludf.DUMMYFUNCTION("""COMPUTED_VALUE"""),87.91)</f>
        <v>87.91</v>
      </c>
      <c r="E1241" s="17"/>
      <c r="N1241" s="17"/>
      <c r="Q1241" s="17"/>
    </row>
    <row r="1242">
      <c r="B1242" s="11">
        <f>IFERROR(__xludf.DUMMYFUNCTION("""COMPUTED_VALUE"""),44218.66666666667)</f>
        <v>44218.66667</v>
      </c>
      <c r="C1242" s="9">
        <f>IFERROR(__xludf.DUMMYFUNCTION("""COMPUTED_VALUE"""),88.51)</f>
        <v>88.51</v>
      </c>
      <c r="E1242" s="17"/>
      <c r="N1242" s="17"/>
      <c r="Q1242" s="17"/>
    </row>
    <row r="1243">
      <c r="B1243" s="11">
        <f>IFERROR(__xludf.DUMMYFUNCTION("""COMPUTED_VALUE"""),44217.66666666667)</f>
        <v>44217.66667</v>
      </c>
      <c r="C1243" s="9">
        <f>IFERROR(__xludf.DUMMYFUNCTION("""COMPUTED_VALUE"""),88.97)</f>
        <v>88.97</v>
      </c>
      <c r="E1243" s="17"/>
      <c r="N1243" s="17"/>
      <c r="Q1243" s="17"/>
    </row>
    <row r="1244">
      <c r="B1244" s="11">
        <f>IFERROR(__xludf.DUMMYFUNCTION("""COMPUTED_VALUE"""),44216.66666666667)</f>
        <v>44216.66667</v>
      </c>
      <c r="C1244" s="9">
        <f>IFERROR(__xludf.DUMMYFUNCTION("""COMPUTED_VALUE"""),89.67)</f>
        <v>89.67</v>
      </c>
      <c r="E1244" s="17"/>
      <c r="N1244" s="17"/>
      <c r="Q1244" s="17"/>
    </row>
    <row r="1245">
      <c r="B1245" s="11">
        <f>IFERROR(__xludf.DUMMYFUNCTION("""COMPUTED_VALUE"""),44215.66666666667)</f>
        <v>44215.66667</v>
      </c>
      <c r="C1245" s="9">
        <f>IFERROR(__xludf.DUMMYFUNCTION("""COMPUTED_VALUE"""),89.12)</f>
        <v>89.12</v>
      </c>
      <c r="E1245" s="17"/>
      <c r="N1245" s="17"/>
      <c r="Q1245" s="17"/>
    </row>
    <row r="1246">
      <c r="B1246" s="11">
        <f>IFERROR(__xludf.DUMMYFUNCTION("""COMPUTED_VALUE"""),44211.66666666667)</f>
        <v>44211.66667</v>
      </c>
      <c r="C1246" s="9">
        <f>IFERROR(__xludf.DUMMYFUNCTION("""COMPUTED_VALUE"""),88.83)</f>
        <v>88.83</v>
      </c>
      <c r="E1246" s="17"/>
      <c r="N1246" s="17"/>
      <c r="Q1246" s="17"/>
    </row>
    <row r="1247">
      <c r="B1247" s="11">
        <f>IFERROR(__xludf.DUMMYFUNCTION("""COMPUTED_VALUE"""),44210.66666666667)</f>
        <v>44210.66667</v>
      </c>
      <c r="C1247" s="9">
        <f>IFERROR(__xludf.DUMMYFUNCTION("""COMPUTED_VALUE"""),90.0)</f>
        <v>90</v>
      </c>
      <c r="E1247" s="17"/>
      <c r="N1247" s="17"/>
      <c r="Q1247" s="17"/>
    </row>
    <row r="1248">
      <c r="B1248" s="11">
        <f>IFERROR(__xludf.DUMMYFUNCTION("""COMPUTED_VALUE"""),44209.66666666667)</f>
        <v>44209.66667</v>
      </c>
      <c r="C1248" s="9">
        <f>IFERROR(__xludf.DUMMYFUNCTION("""COMPUTED_VALUE"""),89.69)</f>
        <v>89.69</v>
      </c>
      <c r="E1248" s="17"/>
      <c r="N1248" s="17"/>
      <c r="Q1248" s="17"/>
    </row>
    <row r="1249">
      <c r="B1249" s="11">
        <f>IFERROR(__xludf.DUMMYFUNCTION("""COMPUTED_VALUE"""),44208.66666666667)</f>
        <v>44208.66667</v>
      </c>
      <c r="C1249" s="9">
        <f>IFERROR(__xludf.DUMMYFUNCTION("""COMPUTED_VALUE"""),90.47)</f>
        <v>90.47</v>
      </c>
      <c r="E1249" s="17"/>
      <c r="N1249" s="17"/>
      <c r="Q1249" s="17"/>
    </row>
    <row r="1250">
      <c r="B1250" s="11">
        <f>IFERROR(__xludf.DUMMYFUNCTION("""COMPUTED_VALUE"""),44207.66666666667)</f>
        <v>44207.66667</v>
      </c>
      <c r="C1250" s="9">
        <f>IFERROR(__xludf.DUMMYFUNCTION("""COMPUTED_VALUE"""),89.58)</f>
        <v>89.58</v>
      </c>
      <c r="E1250" s="17"/>
      <c r="N1250" s="17"/>
      <c r="Q1250" s="17"/>
    </row>
    <row r="1251">
      <c r="B1251" s="11">
        <f>IFERROR(__xludf.DUMMYFUNCTION("""COMPUTED_VALUE"""),44204.66666666667)</f>
        <v>44204.66667</v>
      </c>
      <c r="C1251" s="9">
        <f>IFERROR(__xludf.DUMMYFUNCTION("""COMPUTED_VALUE"""),89.61)</f>
        <v>89.61</v>
      </c>
      <c r="E1251" s="17"/>
      <c r="N1251" s="17"/>
      <c r="Q1251" s="17"/>
    </row>
    <row r="1252">
      <c r="B1252" s="11">
        <f>IFERROR(__xludf.DUMMYFUNCTION("""COMPUTED_VALUE"""),44203.66666666667)</f>
        <v>44203.66667</v>
      </c>
      <c r="C1252" s="9">
        <f>IFERROR(__xludf.DUMMYFUNCTION("""COMPUTED_VALUE"""),89.83)</f>
        <v>89.83</v>
      </c>
      <c r="E1252" s="17"/>
      <c r="N1252" s="17"/>
      <c r="Q1252" s="17"/>
    </row>
    <row r="1253">
      <c r="B1253" s="11">
        <f>IFERROR(__xludf.DUMMYFUNCTION("""COMPUTED_VALUE"""),44202.66666666667)</f>
        <v>44202.66667</v>
      </c>
      <c r="C1253" s="9">
        <f>IFERROR(__xludf.DUMMYFUNCTION("""COMPUTED_VALUE"""),89.34)</f>
        <v>89.34</v>
      </c>
      <c r="E1253" s="17"/>
      <c r="N1253" s="17"/>
      <c r="Q1253" s="17"/>
    </row>
    <row r="1254">
      <c r="B1254" s="11">
        <f>IFERROR(__xludf.DUMMYFUNCTION("""COMPUTED_VALUE"""),44201.66666666667)</f>
        <v>44201.66667</v>
      </c>
      <c r="C1254" s="9">
        <f>IFERROR(__xludf.DUMMYFUNCTION("""COMPUTED_VALUE"""),87.26)</f>
        <v>87.26</v>
      </c>
      <c r="E1254" s="17"/>
      <c r="N1254" s="17"/>
      <c r="Q1254" s="17"/>
    </row>
    <row r="1255">
      <c r="B1255" s="11">
        <f>IFERROR(__xludf.DUMMYFUNCTION("""COMPUTED_VALUE"""),44200.66666666667)</f>
        <v>44200.66667</v>
      </c>
      <c r="C1255" s="9">
        <f>IFERROR(__xludf.DUMMYFUNCTION("""COMPUTED_VALUE"""),86.41)</f>
        <v>86.41</v>
      </c>
      <c r="E1255" s="17"/>
      <c r="N1255" s="17"/>
      <c r="Q1255" s="17"/>
    </row>
    <row r="1256">
      <c r="B1256" s="11">
        <f>IFERROR(__xludf.DUMMYFUNCTION("""COMPUTED_VALUE"""),44196.66666666667)</f>
        <v>44196.66667</v>
      </c>
      <c r="C1256" s="9">
        <f>IFERROR(__xludf.DUMMYFUNCTION("""COMPUTED_VALUE"""),88.55)</f>
        <v>88.55</v>
      </c>
      <c r="E1256" s="17"/>
      <c r="N1256" s="17"/>
      <c r="Q1256" s="17"/>
    </row>
    <row r="1257">
      <c r="B1257" s="11">
        <f>IFERROR(__xludf.DUMMYFUNCTION("""COMPUTED_VALUE"""),44195.66666666667)</f>
        <v>44195.66667</v>
      </c>
      <c r="C1257" s="9">
        <f>IFERROR(__xludf.DUMMYFUNCTION("""COMPUTED_VALUE"""),88.14)</f>
        <v>88.14</v>
      </c>
      <c r="E1257" s="17"/>
      <c r="N1257" s="17"/>
      <c r="Q1257" s="17"/>
    </row>
    <row r="1258">
      <c r="B1258" s="11">
        <f>IFERROR(__xludf.DUMMYFUNCTION("""COMPUTED_VALUE"""),44194.66666666667)</f>
        <v>44194.66667</v>
      </c>
      <c r="C1258" s="9">
        <f>IFERROR(__xludf.DUMMYFUNCTION("""COMPUTED_VALUE"""),87.58)</f>
        <v>87.58</v>
      </c>
      <c r="E1258" s="17"/>
      <c r="N1258" s="17"/>
      <c r="Q1258" s="17"/>
    </row>
    <row r="1259">
      <c r="B1259" s="11">
        <f>IFERROR(__xludf.DUMMYFUNCTION("""COMPUTED_VALUE"""),44193.66666666667)</f>
        <v>44193.66667</v>
      </c>
      <c r="C1259" s="9">
        <f>IFERROR(__xludf.DUMMYFUNCTION("""COMPUTED_VALUE"""),88.11)</f>
        <v>88.11</v>
      </c>
      <c r="E1259" s="17"/>
      <c r="N1259" s="17"/>
      <c r="Q1259" s="17"/>
    </row>
    <row r="1260">
      <c r="B1260" s="11">
        <f>IFERROR(__xludf.DUMMYFUNCTION("""COMPUTED_VALUE"""),44189.54166666667)</f>
        <v>44189.54167</v>
      </c>
      <c r="C1260" s="9">
        <f>IFERROR(__xludf.DUMMYFUNCTION("""COMPUTED_VALUE"""),88.0)</f>
        <v>88</v>
      </c>
      <c r="E1260" s="17"/>
      <c r="N1260" s="17"/>
      <c r="Q1260" s="17"/>
    </row>
    <row r="1261">
      <c r="B1261" s="11">
        <f>IFERROR(__xludf.DUMMYFUNCTION("""COMPUTED_VALUE"""),44188.66666666667)</f>
        <v>44188.66667</v>
      </c>
      <c r="C1261" s="9">
        <f>IFERROR(__xludf.DUMMYFUNCTION("""COMPUTED_VALUE"""),87.99)</f>
        <v>87.99</v>
      </c>
      <c r="E1261" s="17"/>
      <c r="N1261" s="17"/>
      <c r="Q1261" s="17"/>
    </row>
    <row r="1262">
      <c r="B1262" s="11">
        <f>IFERROR(__xludf.DUMMYFUNCTION("""COMPUTED_VALUE"""),44187.66666666667)</f>
        <v>44187.66667</v>
      </c>
      <c r="C1262" s="9">
        <f>IFERROR(__xludf.DUMMYFUNCTION("""COMPUTED_VALUE"""),87.53)</f>
        <v>87.53</v>
      </c>
      <c r="E1262" s="17"/>
      <c r="N1262" s="17"/>
      <c r="Q1262" s="17"/>
    </row>
    <row r="1263">
      <c r="B1263" s="11">
        <f>IFERROR(__xludf.DUMMYFUNCTION("""COMPUTED_VALUE"""),44186.66666666667)</f>
        <v>44186.66667</v>
      </c>
      <c r="C1263" s="9">
        <f>IFERROR(__xludf.DUMMYFUNCTION("""COMPUTED_VALUE"""),87.94)</f>
        <v>87.94</v>
      </c>
      <c r="E1263" s="17"/>
      <c r="N1263" s="17"/>
      <c r="Q1263" s="17"/>
    </row>
    <row r="1264">
      <c r="B1264" s="11">
        <f>IFERROR(__xludf.DUMMYFUNCTION("""COMPUTED_VALUE"""),44183.66666666667)</f>
        <v>44183.66667</v>
      </c>
      <c r="C1264" s="9">
        <f>IFERROR(__xludf.DUMMYFUNCTION("""COMPUTED_VALUE"""),88.84)</f>
        <v>88.84</v>
      </c>
      <c r="E1264" s="17"/>
      <c r="N1264" s="17"/>
      <c r="Q1264" s="17"/>
    </row>
    <row r="1265">
      <c r="B1265" s="11">
        <f>IFERROR(__xludf.DUMMYFUNCTION("""COMPUTED_VALUE"""),44182.66666666667)</f>
        <v>44182.66667</v>
      </c>
      <c r="C1265" s="9">
        <f>IFERROR(__xludf.DUMMYFUNCTION("""COMPUTED_VALUE"""),88.83)</f>
        <v>88.83</v>
      </c>
      <c r="E1265" s="17"/>
      <c r="N1265" s="17"/>
      <c r="Q1265" s="17"/>
    </row>
    <row r="1266">
      <c r="B1266" s="11">
        <f>IFERROR(__xludf.DUMMYFUNCTION("""COMPUTED_VALUE"""),44181.66666666667)</f>
        <v>44181.66667</v>
      </c>
      <c r="C1266" s="9">
        <f>IFERROR(__xludf.DUMMYFUNCTION("""COMPUTED_VALUE"""),88.29)</f>
        <v>88.29</v>
      </c>
      <c r="E1266" s="17"/>
      <c r="N1266" s="17"/>
      <c r="Q1266" s="17"/>
    </row>
    <row r="1267">
      <c r="B1267" s="11">
        <f>IFERROR(__xludf.DUMMYFUNCTION("""COMPUTED_VALUE"""),44180.66666666667)</f>
        <v>44180.66667</v>
      </c>
      <c r="C1267" s="9">
        <f>IFERROR(__xludf.DUMMYFUNCTION("""COMPUTED_VALUE"""),88.84)</f>
        <v>88.84</v>
      </c>
      <c r="E1267" s="17"/>
      <c r="N1267" s="17"/>
      <c r="Q1267" s="17"/>
    </row>
    <row r="1268">
      <c r="B1268" s="11">
        <f>IFERROR(__xludf.DUMMYFUNCTION("""COMPUTED_VALUE"""),44179.66666666667)</f>
        <v>44179.66667</v>
      </c>
      <c r="C1268" s="9">
        <f>IFERROR(__xludf.DUMMYFUNCTION("""COMPUTED_VALUE"""),87.62)</f>
        <v>87.62</v>
      </c>
      <c r="E1268" s="17"/>
      <c r="N1268" s="17"/>
      <c r="Q1268" s="17"/>
    </row>
    <row r="1269">
      <c r="B1269" s="11">
        <f>IFERROR(__xludf.DUMMYFUNCTION("""COMPUTED_VALUE"""),44176.66666666667)</f>
        <v>44176.66667</v>
      </c>
      <c r="C1269" s="9">
        <f>IFERROR(__xludf.DUMMYFUNCTION("""COMPUTED_VALUE"""),88.77)</f>
        <v>88.77</v>
      </c>
      <c r="E1269" s="17"/>
      <c r="N1269" s="17"/>
      <c r="Q1269" s="17"/>
    </row>
    <row r="1270">
      <c r="B1270" s="11">
        <f>IFERROR(__xludf.DUMMYFUNCTION("""COMPUTED_VALUE"""),44175.66666666667)</f>
        <v>44175.66667</v>
      </c>
      <c r="C1270" s="9">
        <f>IFERROR(__xludf.DUMMYFUNCTION("""COMPUTED_VALUE"""),88.56)</f>
        <v>88.56</v>
      </c>
      <c r="E1270" s="17"/>
      <c r="N1270" s="17"/>
      <c r="Q1270" s="17"/>
    </row>
    <row r="1271">
      <c r="B1271" s="11">
        <f>IFERROR(__xludf.DUMMYFUNCTION("""COMPUTED_VALUE"""),44174.66666666667)</f>
        <v>44174.66667</v>
      </c>
      <c r="C1271" s="9">
        <f>IFERROR(__xludf.DUMMYFUNCTION("""COMPUTED_VALUE"""),89.41)</f>
        <v>89.41</v>
      </c>
      <c r="E1271" s="17"/>
      <c r="N1271" s="17"/>
      <c r="Q1271" s="17"/>
    </row>
    <row r="1272">
      <c r="B1272" s="11">
        <f>IFERROR(__xludf.DUMMYFUNCTION("""COMPUTED_VALUE"""),44173.66666666667)</f>
        <v>44173.66667</v>
      </c>
      <c r="C1272" s="9">
        <f>IFERROR(__xludf.DUMMYFUNCTION("""COMPUTED_VALUE"""),89.21)</f>
        <v>89.21</v>
      </c>
      <c r="E1272" s="17"/>
      <c r="N1272" s="17"/>
      <c r="Q1272" s="17"/>
    </row>
    <row r="1273">
      <c r="B1273" s="11">
        <f>IFERROR(__xludf.DUMMYFUNCTION("""COMPUTED_VALUE"""),44172.66666666667)</f>
        <v>44172.66667</v>
      </c>
      <c r="C1273" s="9">
        <f>IFERROR(__xludf.DUMMYFUNCTION("""COMPUTED_VALUE"""),88.78)</f>
        <v>88.78</v>
      </c>
      <c r="E1273" s="17"/>
      <c r="N1273" s="17"/>
      <c r="Q1273" s="17"/>
    </row>
    <row r="1274">
      <c r="B1274" s="11">
        <f>IFERROR(__xludf.DUMMYFUNCTION("""COMPUTED_VALUE"""),44169.66666666667)</f>
        <v>44169.66667</v>
      </c>
      <c r="C1274" s="9">
        <f>IFERROR(__xludf.DUMMYFUNCTION("""COMPUTED_VALUE"""),89.21)</f>
        <v>89.21</v>
      </c>
      <c r="E1274" s="17"/>
      <c r="N1274" s="17"/>
      <c r="Q1274" s="17"/>
    </row>
    <row r="1275">
      <c r="B1275" s="11">
        <f>IFERROR(__xludf.DUMMYFUNCTION("""COMPUTED_VALUE"""),44168.66666666667)</f>
        <v>44168.66667</v>
      </c>
      <c r="C1275" s="9">
        <f>IFERROR(__xludf.DUMMYFUNCTION("""COMPUTED_VALUE"""),88.16)</f>
        <v>88.16</v>
      </c>
      <c r="E1275" s="17"/>
      <c r="N1275" s="17"/>
      <c r="Q1275" s="17"/>
    </row>
    <row r="1276">
      <c r="B1276" s="11">
        <f>IFERROR(__xludf.DUMMYFUNCTION("""COMPUTED_VALUE"""),44167.66666666667)</f>
        <v>44167.66667</v>
      </c>
      <c r="C1276" s="9">
        <f>IFERROR(__xludf.DUMMYFUNCTION("""COMPUTED_VALUE"""),87.93)</f>
        <v>87.93</v>
      </c>
      <c r="E1276" s="17"/>
      <c r="N1276" s="17"/>
      <c r="Q1276" s="17"/>
    </row>
    <row r="1277">
      <c r="B1277" s="11">
        <f>IFERROR(__xludf.DUMMYFUNCTION("""COMPUTED_VALUE"""),44166.66666666667)</f>
        <v>44166.66667</v>
      </c>
      <c r="C1277" s="9">
        <f>IFERROR(__xludf.DUMMYFUNCTION("""COMPUTED_VALUE"""),87.81)</f>
        <v>87.81</v>
      </c>
      <c r="E1277" s="17"/>
      <c r="N1277" s="17"/>
      <c r="Q1277" s="17"/>
    </row>
    <row r="1278">
      <c r="B1278" s="11">
        <f>IFERROR(__xludf.DUMMYFUNCTION("""COMPUTED_VALUE"""),44165.66666666667)</f>
        <v>44165.66667</v>
      </c>
      <c r="C1278" s="9">
        <f>IFERROR(__xludf.DUMMYFUNCTION("""COMPUTED_VALUE"""),88.03)</f>
        <v>88.03</v>
      </c>
      <c r="E1278" s="17"/>
      <c r="N1278" s="17"/>
      <c r="Q1278" s="17"/>
    </row>
    <row r="1279">
      <c r="B1279" s="11">
        <f>IFERROR(__xludf.DUMMYFUNCTION("""COMPUTED_VALUE"""),44162.54166666667)</f>
        <v>44162.54167</v>
      </c>
      <c r="C1279" s="9">
        <f>IFERROR(__xludf.DUMMYFUNCTION("""COMPUTED_VALUE"""),88.82)</f>
        <v>88.82</v>
      </c>
      <c r="E1279" s="17"/>
      <c r="N1279" s="17"/>
      <c r="Q1279" s="17"/>
    </row>
    <row r="1280">
      <c r="B1280" s="11">
        <f>IFERROR(__xludf.DUMMYFUNCTION("""COMPUTED_VALUE"""),44160.66666666667)</f>
        <v>44160.66667</v>
      </c>
      <c r="C1280" s="9">
        <f>IFERROR(__xludf.DUMMYFUNCTION("""COMPUTED_VALUE"""),88.97)</f>
        <v>88.97</v>
      </c>
      <c r="E1280" s="17"/>
      <c r="N1280" s="17"/>
      <c r="Q1280" s="17"/>
    </row>
    <row r="1281">
      <c r="B1281" s="11">
        <f>IFERROR(__xludf.DUMMYFUNCTION("""COMPUTED_VALUE"""),44159.66666666667)</f>
        <v>44159.66667</v>
      </c>
      <c r="C1281" s="9">
        <f>IFERROR(__xludf.DUMMYFUNCTION("""COMPUTED_VALUE"""),89.65)</f>
        <v>89.65</v>
      </c>
      <c r="E1281" s="17"/>
      <c r="N1281" s="17"/>
      <c r="Q1281" s="17"/>
    </row>
    <row r="1282">
      <c r="B1282" s="11">
        <f>IFERROR(__xludf.DUMMYFUNCTION("""COMPUTED_VALUE"""),44158.66666666667)</f>
        <v>44158.66667</v>
      </c>
      <c r="C1282" s="9">
        <f>IFERROR(__xludf.DUMMYFUNCTION("""COMPUTED_VALUE"""),88.11)</f>
        <v>88.11</v>
      </c>
      <c r="E1282" s="17"/>
      <c r="N1282" s="17"/>
      <c r="Q1282" s="17"/>
    </row>
    <row r="1283">
      <c r="B1283" s="11">
        <f>IFERROR(__xludf.DUMMYFUNCTION("""COMPUTED_VALUE"""),44155.66666666667)</f>
        <v>44155.66667</v>
      </c>
      <c r="C1283" s="9">
        <f>IFERROR(__xludf.DUMMYFUNCTION("""COMPUTED_VALUE"""),86.66)</f>
        <v>86.66</v>
      </c>
      <c r="E1283" s="17"/>
      <c r="N1283" s="17"/>
      <c r="Q1283" s="17"/>
    </row>
    <row r="1284">
      <c r="B1284" s="11">
        <f>IFERROR(__xludf.DUMMYFUNCTION("""COMPUTED_VALUE"""),44154.66666666667)</f>
        <v>44154.66667</v>
      </c>
      <c r="C1284" s="9">
        <f>IFERROR(__xludf.DUMMYFUNCTION("""COMPUTED_VALUE"""),87.45)</f>
        <v>87.45</v>
      </c>
      <c r="E1284" s="17"/>
      <c r="N1284" s="17"/>
      <c r="Q1284" s="17"/>
    </row>
    <row r="1285">
      <c r="B1285" s="11">
        <f>IFERROR(__xludf.DUMMYFUNCTION("""COMPUTED_VALUE"""),44153.66666666667)</f>
        <v>44153.66667</v>
      </c>
      <c r="C1285" s="9">
        <f>IFERROR(__xludf.DUMMYFUNCTION("""COMPUTED_VALUE"""),87.23)</f>
        <v>87.23</v>
      </c>
      <c r="E1285" s="17"/>
      <c r="N1285" s="17"/>
      <c r="Q1285" s="17"/>
    </row>
    <row r="1286">
      <c r="B1286" s="11">
        <f>IFERROR(__xludf.DUMMYFUNCTION("""COMPUTED_VALUE"""),44152.66666666667)</f>
        <v>44152.66667</v>
      </c>
      <c r="C1286" s="9">
        <f>IFERROR(__xludf.DUMMYFUNCTION("""COMPUTED_VALUE"""),87.62)</f>
        <v>87.62</v>
      </c>
      <c r="E1286" s="17"/>
      <c r="N1286" s="17"/>
      <c r="Q1286" s="17"/>
    </row>
    <row r="1287">
      <c r="B1287" s="11">
        <f>IFERROR(__xludf.DUMMYFUNCTION("""COMPUTED_VALUE"""),44151.66666666667)</f>
        <v>44151.66667</v>
      </c>
      <c r="C1287" s="9">
        <f>IFERROR(__xludf.DUMMYFUNCTION("""COMPUTED_VALUE"""),87.85)</f>
        <v>87.85</v>
      </c>
      <c r="E1287" s="17"/>
      <c r="N1287" s="17"/>
      <c r="Q1287" s="17"/>
    </row>
    <row r="1288">
      <c r="B1288" s="11">
        <f>IFERROR(__xludf.DUMMYFUNCTION("""COMPUTED_VALUE"""),44148.66666666667)</f>
        <v>44148.66667</v>
      </c>
      <c r="C1288" s="9">
        <f>IFERROR(__xludf.DUMMYFUNCTION("""COMPUTED_VALUE"""),85.76)</f>
        <v>85.76</v>
      </c>
      <c r="E1288" s="17"/>
      <c r="N1288" s="17"/>
      <c r="Q1288" s="17"/>
    </row>
    <row r="1289">
      <c r="B1289" s="11">
        <f>IFERROR(__xludf.DUMMYFUNCTION("""COMPUTED_VALUE"""),44147.66666666667)</f>
        <v>44147.66667</v>
      </c>
      <c r="C1289" s="9">
        <f>IFERROR(__xludf.DUMMYFUNCTION("""COMPUTED_VALUE"""),83.9)</f>
        <v>83.9</v>
      </c>
      <c r="E1289" s="17"/>
      <c r="N1289" s="17"/>
      <c r="Q1289" s="17"/>
    </row>
    <row r="1290">
      <c r="B1290" s="11">
        <f>IFERROR(__xludf.DUMMYFUNCTION("""COMPUTED_VALUE"""),44146.66666666667)</f>
        <v>44146.66667</v>
      </c>
      <c r="C1290" s="9">
        <f>IFERROR(__xludf.DUMMYFUNCTION("""COMPUTED_VALUE"""),84.87)</f>
        <v>84.87</v>
      </c>
      <c r="E1290" s="17"/>
      <c r="N1290" s="17"/>
      <c r="Q1290" s="17"/>
    </row>
    <row r="1291">
      <c r="B1291" s="11">
        <f>IFERROR(__xludf.DUMMYFUNCTION("""COMPUTED_VALUE"""),44145.66666666667)</f>
        <v>44145.66667</v>
      </c>
      <c r="C1291" s="9">
        <f>IFERROR(__xludf.DUMMYFUNCTION("""COMPUTED_VALUE"""),85.59)</f>
        <v>85.59</v>
      </c>
      <c r="E1291" s="17"/>
      <c r="N1291" s="17"/>
      <c r="Q1291" s="17"/>
    </row>
    <row r="1292">
      <c r="B1292" s="11">
        <f>IFERROR(__xludf.DUMMYFUNCTION("""COMPUTED_VALUE"""),44144.66666666667)</f>
        <v>44144.66667</v>
      </c>
      <c r="C1292" s="9">
        <f>IFERROR(__xludf.DUMMYFUNCTION("""COMPUTED_VALUE"""),84.11)</f>
        <v>84.11</v>
      </c>
      <c r="E1292" s="17"/>
      <c r="N1292" s="17"/>
      <c r="Q1292" s="17"/>
    </row>
    <row r="1293">
      <c r="B1293" s="11">
        <f>IFERROR(__xludf.DUMMYFUNCTION("""COMPUTED_VALUE"""),44141.66666666667)</f>
        <v>44141.66667</v>
      </c>
      <c r="C1293" s="9">
        <f>IFERROR(__xludf.DUMMYFUNCTION("""COMPUTED_VALUE"""),81.34)</f>
        <v>81.34</v>
      </c>
      <c r="E1293" s="17"/>
      <c r="N1293" s="17"/>
      <c r="Q1293" s="17"/>
    </row>
    <row r="1294">
      <c r="B1294" s="11">
        <f>IFERROR(__xludf.DUMMYFUNCTION("""COMPUTED_VALUE"""),44140.66666666667)</f>
        <v>44140.66667</v>
      </c>
      <c r="C1294" s="9">
        <f>IFERROR(__xludf.DUMMYFUNCTION("""COMPUTED_VALUE"""),81.26)</f>
        <v>81.26</v>
      </c>
      <c r="E1294" s="17"/>
      <c r="N1294" s="17"/>
      <c r="Q1294" s="17"/>
    </row>
    <row r="1295">
      <c r="B1295" s="11">
        <f>IFERROR(__xludf.DUMMYFUNCTION("""COMPUTED_VALUE"""),44139.66666666667)</f>
        <v>44139.66667</v>
      </c>
      <c r="C1295" s="9">
        <f>IFERROR(__xludf.DUMMYFUNCTION("""COMPUTED_VALUE"""),79.39)</f>
        <v>79.39</v>
      </c>
      <c r="E1295" s="17"/>
      <c r="N1295" s="17"/>
      <c r="Q1295" s="17"/>
    </row>
    <row r="1296">
      <c r="B1296" s="11">
        <f>IFERROR(__xludf.DUMMYFUNCTION("""COMPUTED_VALUE"""),44138.66666666667)</f>
        <v>44138.66667</v>
      </c>
      <c r="C1296" s="9">
        <f>IFERROR(__xludf.DUMMYFUNCTION("""COMPUTED_VALUE"""),80.22)</f>
        <v>80.22</v>
      </c>
      <c r="E1296" s="17"/>
      <c r="N1296" s="17"/>
      <c r="Q1296" s="17"/>
    </row>
    <row r="1297">
      <c r="B1297" s="11">
        <f>IFERROR(__xludf.DUMMYFUNCTION("""COMPUTED_VALUE"""),44137.66666666667)</f>
        <v>44137.66667</v>
      </c>
      <c r="C1297" s="9">
        <f>IFERROR(__xludf.DUMMYFUNCTION("""COMPUTED_VALUE"""),77.92)</f>
        <v>77.92</v>
      </c>
      <c r="E1297" s="17"/>
      <c r="N1297" s="17"/>
      <c r="Q1297" s="17"/>
    </row>
    <row r="1298">
      <c r="B1298" s="11">
        <f>IFERROR(__xludf.DUMMYFUNCTION("""COMPUTED_VALUE"""),44134.66666666667)</f>
        <v>44134.66667</v>
      </c>
      <c r="C1298" s="9">
        <f>IFERROR(__xludf.DUMMYFUNCTION("""COMPUTED_VALUE"""),75.87)</f>
        <v>75.87</v>
      </c>
      <c r="E1298" s="17"/>
      <c r="N1298" s="17"/>
      <c r="Q1298" s="17"/>
    </row>
    <row r="1299">
      <c r="B1299" s="11">
        <f>IFERROR(__xludf.DUMMYFUNCTION("""COMPUTED_VALUE"""),44133.66666666667)</f>
        <v>44133.66667</v>
      </c>
      <c r="C1299" s="9">
        <f>IFERROR(__xludf.DUMMYFUNCTION("""COMPUTED_VALUE"""),75.96)</f>
        <v>75.96</v>
      </c>
      <c r="E1299" s="17"/>
      <c r="N1299" s="17"/>
      <c r="Q1299" s="17"/>
    </row>
    <row r="1300">
      <c r="B1300" s="11">
        <f>IFERROR(__xludf.DUMMYFUNCTION("""COMPUTED_VALUE"""),44132.66666666667)</f>
        <v>44132.66667</v>
      </c>
      <c r="C1300" s="9">
        <f>IFERROR(__xludf.DUMMYFUNCTION("""COMPUTED_VALUE"""),74.87)</f>
        <v>74.87</v>
      </c>
      <c r="E1300" s="17"/>
      <c r="N1300" s="17"/>
      <c r="Q1300" s="17"/>
    </row>
    <row r="1301">
      <c r="B1301" s="11">
        <f>IFERROR(__xludf.DUMMYFUNCTION("""COMPUTED_VALUE"""),44131.66666666667)</f>
        <v>44131.66667</v>
      </c>
      <c r="C1301" s="9">
        <f>IFERROR(__xludf.DUMMYFUNCTION("""COMPUTED_VALUE"""),77.41)</f>
        <v>77.41</v>
      </c>
      <c r="E1301" s="17"/>
      <c r="N1301" s="17"/>
      <c r="Q1301" s="17"/>
    </row>
    <row r="1302">
      <c r="B1302" s="11">
        <f>IFERROR(__xludf.DUMMYFUNCTION("""COMPUTED_VALUE"""),44130.66666666667)</f>
        <v>44130.66667</v>
      </c>
      <c r="C1302" s="9">
        <f>IFERROR(__xludf.DUMMYFUNCTION("""COMPUTED_VALUE"""),79.14)</f>
        <v>79.14</v>
      </c>
      <c r="E1302" s="17"/>
      <c r="N1302" s="17"/>
      <c r="Q1302" s="17"/>
    </row>
    <row r="1303">
      <c r="B1303" s="11">
        <f>IFERROR(__xludf.DUMMYFUNCTION("""COMPUTED_VALUE"""),44127.66666666667)</f>
        <v>44127.66667</v>
      </c>
      <c r="C1303" s="9">
        <f>IFERROR(__xludf.DUMMYFUNCTION("""COMPUTED_VALUE"""),81.17)</f>
        <v>81.17</v>
      </c>
      <c r="E1303" s="17"/>
      <c r="N1303" s="17"/>
      <c r="Q1303" s="17"/>
    </row>
    <row r="1304">
      <c r="B1304" s="11">
        <f>IFERROR(__xludf.DUMMYFUNCTION("""COMPUTED_VALUE"""),44126.66666666667)</f>
        <v>44126.66667</v>
      </c>
      <c r="C1304" s="9">
        <f>IFERROR(__xludf.DUMMYFUNCTION("""COMPUTED_VALUE"""),80.85)</f>
        <v>80.85</v>
      </c>
      <c r="E1304" s="17"/>
      <c r="N1304" s="17"/>
      <c r="Q1304" s="17"/>
    </row>
    <row r="1305">
      <c r="B1305" s="11">
        <f>IFERROR(__xludf.DUMMYFUNCTION("""COMPUTED_VALUE"""),44125.66666666667)</f>
        <v>44125.66667</v>
      </c>
      <c r="C1305" s="9">
        <f>IFERROR(__xludf.DUMMYFUNCTION("""COMPUTED_VALUE"""),80.19)</f>
        <v>80.19</v>
      </c>
      <c r="E1305" s="17"/>
      <c r="N1305" s="17"/>
      <c r="Q1305" s="17"/>
    </row>
    <row r="1306">
      <c r="B1306" s="11">
        <f>IFERROR(__xludf.DUMMYFUNCTION("""COMPUTED_VALUE"""),44124.66666666667)</f>
        <v>44124.66667</v>
      </c>
      <c r="C1306" s="9">
        <f>IFERROR(__xludf.DUMMYFUNCTION("""COMPUTED_VALUE"""),81.01)</f>
        <v>81.01</v>
      </c>
      <c r="E1306" s="17"/>
      <c r="N1306" s="17"/>
      <c r="Q1306" s="17"/>
    </row>
    <row r="1307">
      <c r="B1307" s="11">
        <f>IFERROR(__xludf.DUMMYFUNCTION("""COMPUTED_VALUE"""),44123.66666666667)</f>
        <v>44123.66667</v>
      </c>
      <c r="C1307" s="9">
        <f>IFERROR(__xludf.DUMMYFUNCTION("""COMPUTED_VALUE"""),80.59)</f>
        <v>80.59</v>
      </c>
      <c r="E1307" s="17"/>
      <c r="N1307" s="17"/>
      <c r="Q1307" s="17"/>
    </row>
    <row r="1308">
      <c r="B1308" s="11">
        <f>IFERROR(__xludf.DUMMYFUNCTION("""COMPUTED_VALUE"""),44120.66666666667)</f>
        <v>44120.66667</v>
      </c>
      <c r="C1308" s="9">
        <f>IFERROR(__xludf.DUMMYFUNCTION("""COMPUTED_VALUE"""),81.6)</f>
        <v>81.6</v>
      </c>
      <c r="E1308" s="17"/>
      <c r="N1308" s="17"/>
      <c r="Q1308" s="17"/>
    </row>
    <row r="1309">
      <c r="B1309" s="11">
        <f>IFERROR(__xludf.DUMMYFUNCTION("""COMPUTED_VALUE"""),44119.66666666667)</f>
        <v>44119.66667</v>
      </c>
      <c r="C1309" s="9">
        <f>IFERROR(__xludf.DUMMYFUNCTION("""COMPUTED_VALUE"""),81.01)</f>
        <v>81.01</v>
      </c>
      <c r="E1309" s="17"/>
      <c r="N1309" s="17"/>
      <c r="Q1309" s="17"/>
    </row>
    <row r="1310">
      <c r="B1310" s="11">
        <f>IFERROR(__xludf.DUMMYFUNCTION("""COMPUTED_VALUE"""),44118.66666666667)</f>
        <v>44118.66667</v>
      </c>
      <c r="C1310" s="9">
        <f>IFERROR(__xludf.DUMMYFUNCTION("""COMPUTED_VALUE"""),80.72)</f>
        <v>80.72</v>
      </c>
      <c r="E1310" s="17"/>
      <c r="N1310" s="17"/>
      <c r="Q1310" s="17"/>
    </row>
    <row r="1311">
      <c r="B1311" s="11">
        <f>IFERROR(__xludf.DUMMYFUNCTION("""COMPUTED_VALUE"""),44117.66666666667)</f>
        <v>44117.66667</v>
      </c>
      <c r="C1311" s="9">
        <f>IFERROR(__xludf.DUMMYFUNCTION("""COMPUTED_VALUE"""),80.27)</f>
        <v>80.27</v>
      </c>
      <c r="E1311" s="17"/>
      <c r="N1311" s="17"/>
      <c r="Q1311" s="17"/>
    </row>
    <row r="1312">
      <c r="B1312" s="11">
        <f>IFERROR(__xludf.DUMMYFUNCTION("""COMPUTED_VALUE"""),44116.66666666667)</f>
        <v>44116.66667</v>
      </c>
      <c r="C1312" s="9">
        <f>IFERROR(__xludf.DUMMYFUNCTION("""COMPUTED_VALUE"""),81.17)</f>
        <v>81.17</v>
      </c>
      <c r="E1312" s="17"/>
      <c r="N1312" s="17"/>
      <c r="Q1312" s="17"/>
    </row>
    <row r="1313">
      <c r="B1313" s="11">
        <f>IFERROR(__xludf.DUMMYFUNCTION("""COMPUTED_VALUE"""),44113.66666666667)</f>
        <v>44113.66667</v>
      </c>
      <c r="C1313" s="9">
        <f>IFERROR(__xludf.DUMMYFUNCTION("""COMPUTED_VALUE"""),80.71)</f>
        <v>80.71</v>
      </c>
      <c r="E1313" s="17"/>
      <c r="N1313" s="17"/>
      <c r="Q1313" s="17"/>
    </row>
    <row r="1314">
      <c r="B1314" s="11">
        <f>IFERROR(__xludf.DUMMYFUNCTION("""COMPUTED_VALUE"""),44112.66666666667)</f>
        <v>44112.66667</v>
      </c>
      <c r="C1314" s="9">
        <f>IFERROR(__xludf.DUMMYFUNCTION("""COMPUTED_VALUE"""),80.41)</f>
        <v>80.41</v>
      </c>
      <c r="E1314" s="17"/>
      <c r="N1314" s="17"/>
      <c r="Q1314" s="17"/>
    </row>
    <row r="1315">
      <c r="B1315" s="11">
        <f>IFERROR(__xludf.DUMMYFUNCTION("""COMPUTED_VALUE"""),44111.66666666667)</f>
        <v>44111.66667</v>
      </c>
      <c r="C1315" s="9">
        <f>IFERROR(__xludf.DUMMYFUNCTION("""COMPUTED_VALUE"""),79.62)</f>
        <v>79.62</v>
      </c>
      <c r="E1315" s="17"/>
      <c r="N1315" s="17"/>
      <c r="Q1315" s="17"/>
    </row>
    <row r="1316">
      <c r="B1316" s="11">
        <f>IFERROR(__xludf.DUMMYFUNCTION("""COMPUTED_VALUE"""),44110.66666666667)</f>
        <v>44110.66667</v>
      </c>
      <c r="C1316" s="9">
        <f>IFERROR(__xludf.DUMMYFUNCTION("""COMPUTED_VALUE"""),77.9)</f>
        <v>77.9</v>
      </c>
      <c r="E1316" s="17"/>
      <c r="N1316" s="17"/>
      <c r="Q1316" s="17"/>
    </row>
    <row r="1317">
      <c r="B1317" s="11">
        <f>IFERROR(__xludf.DUMMYFUNCTION("""COMPUTED_VALUE"""),44109.66666666667)</f>
        <v>44109.66667</v>
      </c>
      <c r="C1317" s="9">
        <f>IFERROR(__xludf.DUMMYFUNCTION("""COMPUTED_VALUE"""),78.86)</f>
        <v>78.86</v>
      </c>
      <c r="E1317" s="17"/>
      <c r="N1317" s="17"/>
      <c r="Q1317" s="17"/>
    </row>
    <row r="1318">
      <c r="B1318" s="11">
        <f>IFERROR(__xludf.DUMMYFUNCTION("""COMPUTED_VALUE"""),44106.66666666667)</f>
        <v>44106.66667</v>
      </c>
      <c r="C1318" s="9">
        <f>IFERROR(__xludf.DUMMYFUNCTION("""COMPUTED_VALUE"""),77.61)</f>
        <v>77.61</v>
      </c>
      <c r="E1318" s="17"/>
      <c r="N1318" s="17"/>
      <c r="Q1318" s="17"/>
    </row>
    <row r="1319">
      <c r="B1319" s="11">
        <f>IFERROR(__xludf.DUMMYFUNCTION("""COMPUTED_VALUE"""),44105.66666666667)</f>
        <v>44105.66667</v>
      </c>
      <c r="C1319" s="9">
        <f>IFERROR(__xludf.DUMMYFUNCTION("""COMPUTED_VALUE"""),76.75)</f>
        <v>76.75</v>
      </c>
      <c r="E1319" s="17"/>
      <c r="N1319" s="17"/>
      <c r="Q1319" s="17"/>
    </row>
    <row r="1320">
      <c r="B1320" s="11">
        <f>IFERROR(__xludf.DUMMYFUNCTION("""COMPUTED_VALUE"""),44104.66666666667)</f>
        <v>44104.66667</v>
      </c>
      <c r="C1320" s="9">
        <f>IFERROR(__xludf.DUMMYFUNCTION("""COMPUTED_VALUE"""),76.98)</f>
        <v>76.98</v>
      </c>
      <c r="E1320" s="17"/>
      <c r="N1320" s="17"/>
      <c r="Q1320" s="17"/>
    </row>
    <row r="1321">
      <c r="B1321" s="11">
        <f>IFERROR(__xludf.DUMMYFUNCTION("""COMPUTED_VALUE"""),44103.66666666667)</f>
        <v>44103.66667</v>
      </c>
      <c r="C1321" s="9">
        <f>IFERROR(__xludf.DUMMYFUNCTION("""COMPUTED_VALUE"""),77.18)</f>
        <v>77.18</v>
      </c>
      <c r="E1321" s="17"/>
      <c r="N1321" s="17"/>
      <c r="Q1321" s="17"/>
    </row>
    <row r="1322">
      <c r="B1322" s="11">
        <f>IFERROR(__xludf.DUMMYFUNCTION("""COMPUTED_VALUE"""),44102.66666666667)</f>
        <v>44102.66667</v>
      </c>
      <c r="C1322" s="9">
        <f>IFERROR(__xludf.DUMMYFUNCTION("""COMPUTED_VALUE"""),77.87)</f>
        <v>77.87</v>
      </c>
      <c r="E1322" s="17"/>
      <c r="N1322" s="17"/>
      <c r="Q1322" s="17"/>
    </row>
    <row r="1323">
      <c r="B1323" s="11">
        <f>IFERROR(__xludf.DUMMYFUNCTION("""COMPUTED_VALUE"""),44099.66666666667)</f>
        <v>44099.66667</v>
      </c>
      <c r="C1323" s="9">
        <f>IFERROR(__xludf.DUMMYFUNCTION("""COMPUTED_VALUE"""),76.49)</f>
        <v>76.49</v>
      </c>
      <c r="E1323" s="17"/>
      <c r="N1323" s="17"/>
      <c r="Q1323" s="17"/>
    </row>
    <row r="1324">
      <c r="B1324" s="11">
        <f>IFERROR(__xludf.DUMMYFUNCTION("""COMPUTED_VALUE"""),44098.66666666667)</f>
        <v>44098.66667</v>
      </c>
      <c r="C1324" s="9">
        <f>IFERROR(__xludf.DUMMYFUNCTION("""COMPUTED_VALUE"""),75.36)</f>
        <v>75.36</v>
      </c>
      <c r="E1324" s="17"/>
      <c r="N1324" s="17"/>
      <c r="Q1324" s="17"/>
    </row>
    <row r="1325">
      <c r="B1325" s="11">
        <f>IFERROR(__xludf.DUMMYFUNCTION("""COMPUTED_VALUE"""),44097.66666666667)</f>
        <v>44097.66667</v>
      </c>
      <c r="C1325" s="9">
        <f>IFERROR(__xludf.DUMMYFUNCTION("""COMPUTED_VALUE"""),75.25)</f>
        <v>75.25</v>
      </c>
      <c r="E1325" s="17"/>
      <c r="N1325" s="17"/>
      <c r="Q1325" s="17"/>
    </row>
    <row r="1326">
      <c r="B1326" s="11">
        <f>IFERROR(__xludf.DUMMYFUNCTION("""COMPUTED_VALUE"""),44096.66666666667)</f>
        <v>44096.66667</v>
      </c>
      <c r="C1326" s="9">
        <f>IFERROR(__xludf.DUMMYFUNCTION("""COMPUTED_VALUE"""),76.62)</f>
        <v>76.62</v>
      </c>
      <c r="E1326" s="17"/>
      <c r="N1326" s="17"/>
      <c r="Q1326" s="17"/>
    </row>
    <row r="1327">
      <c r="B1327" s="11">
        <f>IFERROR(__xludf.DUMMYFUNCTION("""COMPUTED_VALUE"""),44095.66666666667)</f>
        <v>44095.66667</v>
      </c>
      <c r="C1327" s="9">
        <f>IFERROR(__xludf.DUMMYFUNCTION("""COMPUTED_VALUE"""),75.87)</f>
        <v>75.87</v>
      </c>
      <c r="E1327" s="17"/>
      <c r="N1327" s="17"/>
      <c r="Q1327" s="17"/>
    </row>
    <row r="1328">
      <c r="B1328" s="11">
        <f>IFERROR(__xludf.DUMMYFUNCTION("""COMPUTED_VALUE"""),44092.66666666667)</f>
        <v>44092.66667</v>
      </c>
      <c r="C1328" s="9">
        <f>IFERROR(__xludf.DUMMYFUNCTION("""COMPUTED_VALUE"""),78.78)</f>
        <v>78.78</v>
      </c>
      <c r="E1328" s="17"/>
      <c r="N1328" s="17"/>
      <c r="Q1328" s="17"/>
    </row>
    <row r="1329">
      <c r="B1329" s="11">
        <f>IFERROR(__xludf.DUMMYFUNCTION("""COMPUTED_VALUE"""),44091.66666666667)</f>
        <v>44091.66667</v>
      </c>
      <c r="C1329" s="9">
        <f>IFERROR(__xludf.DUMMYFUNCTION("""COMPUTED_VALUE"""),79.67)</f>
        <v>79.67</v>
      </c>
      <c r="E1329" s="17"/>
      <c r="N1329" s="17"/>
      <c r="Q1329" s="17"/>
    </row>
    <row r="1330">
      <c r="B1330" s="11">
        <f>IFERROR(__xludf.DUMMYFUNCTION("""COMPUTED_VALUE"""),44090.66666666667)</f>
        <v>44090.66667</v>
      </c>
      <c r="C1330" s="9">
        <f>IFERROR(__xludf.DUMMYFUNCTION("""COMPUTED_VALUE"""),79.51)</f>
        <v>79.51</v>
      </c>
      <c r="E1330" s="17"/>
      <c r="N1330" s="17"/>
      <c r="Q1330" s="17"/>
    </row>
    <row r="1331">
      <c r="B1331" s="11">
        <f>IFERROR(__xludf.DUMMYFUNCTION("""COMPUTED_VALUE"""),44089.66666666667)</f>
        <v>44089.66667</v>
      </c>
      <c r="C1331" s="9">
        <f>IFERROR(__xludf.DUMMYFUNCTION("""COMPUTED_VALUE"""),78.71)</f>
        <v>78.71</v>
      </c>
      <c r="E1331" s="17"/>
      <c r="N1331" s="17"/>
      <c r="Q1331" s="17"/>
    </row>
    <row r="1332">
      <c r="B1332" s="11">
        <f>IFERROR(__xludf.DUMMYFUNCTION("""COMPUTED_VALUE"""),44088.66666666667)</f>
        <v>44088.66667</v>
      </c>
      <c r="C1332" s="9">
        <f>IFERROR(__xludf.DUMMYFUNCTION("""COMPUTED_VALUE"""),78.66)</f>
        <v>78.66</v>
      </c>
      <c r="E1332" s="17"/>
      <c r="N1332" s="17"/>
      <c r="Q1332" s="17"/>
    </row>
    <row r="1333">
      <c r="B1333" s="11">
        <f>IFERROR(__xludf.DUMMYFUNCTION("""COMPUTED_VALUE"""),44085.66666666667)</f>
        <v>44085.66667</v>
      </c>
      <c r="C1333" s="9">
        <f>IFERROR(__xludf.DUMMYFUNCTION("""COMPUTED_VALUE"""),77.61)</f>
        <v>77.61</v>
      </c>
      <c r="E1333" s="17"/>
      <c r="N1333" s="17"/>
      <c r="Q1333" s="17"/>
    </row>
    <row r="1334">
      <c r="B1334" s="11">
        <f>IFERROR(__xludf.DUMMYFUNCTION("""COMPUTED_VALUE"""),44084.66666666667)</f>
        <v>44084.66667</v>
      </c>
      <c r="C1334" s="9">
        <f>IFERROR(__xludf.DUMMYFUNCTION("""COMPUTED_VALUE"""),76.57)</f>
        <v>76.57</v>
      </c>
      <c r="E1334" s="17"/>
      <c r="N1334" s="17"/>
      <c r="Q1334" s="17"/>
    </row>
    <row r="1335">
      <c r="B1335" s="11">
        <f>IFERROR(__xludf.DUMMYFUNCTION("""COMPUTED_VALUE"""),44083.66666666667)</f>
        <v>44083.66667</v>
      </c>
      <c r="C1335" s="9">
        <f>IFERROR(__xludf.DUMMYFUNCTION("""COMPUTED_VALUE"""),77.56)</f>
        <v>77.56</v>
      </c>
      <c r="E1335" s="17"/>
      <c r="N1335" s="17"/>
      <c r="Q1335" s="17"/>
    </row>
    <row r="1336">
      <c r="B1336" s="11">
        <f>IFERROR(__xludf.DUMMYFUNCTION("""COMPUTED_VALUE"""),44082.66666666667)</f>
        <v>44082.66667</v>
      </c>
      <c r="C1336" s="9">
        <f>IFERROR(__xludf.DUMMYFUNCTION("""COMPUTED_VALUE"""),76.38)</f>
        <v>76.38</v>
      </c>
      <c r="E1336" s="17"/>
      <c r="N1336" s="17"/>
      <c r="Q1336" s="17"/>
    </row>
    <row r="1337">
      <c r="B1337" s="11">
        <f>IFERROR(__xludf.DUMMYFUNCTION("""COMPUTED_VALUE"""),44078.66666666667)</f>
        <v>44078.66667</v>
      </c>
      <c r="C1337" s="9">
        <f>IFERROR(__xludf.DUMMYFUNCTION("""COMPUTED_VALUE"""),77.84)</f>
        <v>77.84</v>
      </c>
      <c r="E1337" s="17"/>
      <c r="N1337" s="17"/>
      <c r="Q1337" s="17"/>
    </row>
    <row r="1338">
      <c r="B1338" s="11">
        <f>IFERROR(__xludf.DUMMYFUNCTION("""COMPUTED_VALUE"""),44077.66666666667)</f>
        <v>44077.66667</v>
      </c>
      <c r="C1338" s="9">
        <f>IFERROR(__xludf.DUMMYFUNCTION("""COMPUTED_VALUE"""),77.66)</f>
        <v>77.66</v>
      </c>
      <c r="E1338" s="17"/>
      <c r="N1338" s="17"/>
      <c r="Q1338" s="17"/>
    </row>
    <row r="1339">
      <c r="B1339" s="11">
        <f>IFERROR(__xludf.DUMMYFUNCTION("""COMPUTED_VALUE"""),44076.66666666667)</f>
        <v>44076.66667</v>
      </c>
      <c r="C1339" s="9">
        <f>IFERROR(__xludf.DUMMYFUNCTION("""COMPUTED_VALUE"""),79.9)</f>
        <v>79.9</v>
      </c>
      <c r="E1339" s="17"/>
      <c r="N1339" s="17"/>
      <c r="Q1339" s="17"/>
    </row>
    <row r="1340">
      <c r="B1340" s="11">
        <f>IFERROR(__xludf.DUMMYFUNCTION("""COMPUTED_VALUE"""),44075.66666666667)</f>
        <v>44075.66667</v>
      </c>
      <c r="C1340" s="9">
        <f>IFERROR(__xludf.DUMMYFUNCTION("""COMPUTED_VALUE"""),78.6)</f>
        <v>78.6</v>
      </c>
      <c r="E1340" s="17"/>
      <c r="N1340" s="17"/>
      <c r="Q1340" s="17"/>
    </row>
    <row r="1341">
      <c r="B1341" s="11">
        <f>IFERROR(__xludf.DUMMYFUNCTION("""COMPUTED_VALUE"""),44074.66666666667)</f>
        <v>44074.66667</v>
      </c>
      <c r="C1341" s="9">
        <f>IFERROR(__xludf.DUMMYFUNCTION("""COMPUTED_VALUE"""),77.81)</f>
        <v>77.81</v>
      </c>
      <c r="E1341" s="17"/>
      <c r="N1341" s="17"/>
      <c r="Q1341" s="17"/>
    </row>
    <row r="1342">
      <c r="B1342" s="11">
        <f>IFERROR(__xludf.DUMMYFUNCTION("""COMPUTED_VALUE"""),44071.66666666667)</f>
        <v>44071.66667</v>
      </c>
      <c r="C1342" s="9">
        <f>IFERROR(__xludf.DUMMYFUNCTION("""COMPUTED_VALUE"""),78.79)</f>
        <v>78.79</v>
      </c>
      <c r="E1342" s="17"/>
      <c r="N1342" s="17"/>
      <c r="Q1342" s="17"/>
    </row>
    <row r="1343">
      <c r="B1343" s="11">
        <f>IFERROR(__xludf.DUMMYFUNCTION("""COMPUTED_VALUE"""),44070.66666666667)</f>
        <v>44070.66667</v>
      </c>
      <c r="C1343" s="9">
        <f>IFERROR(__xludf.DUMMYFUNCTION("""COMPUTED_VALUE"""),78.05)</f>
        <v>78.05</v>
      </c>
      <c r="E1343" s="17"/>
      <c r="N1343" s="17"/>
      <c r="Q1343" s="17"/>
    </row>
    <row r="1344">
      <c r="B1344" s="11">
        <f>IFERROR(__xludf.DUMMYFUNCTION("""COMPUTED_VALUE"""),44069.66666666667)</f>
        <v>44069.66667</v>
      </c>
      <c r="C1344" s="9">
        <f>IFERROR(__xludf.DUMMYFUNCTION("""COMPUTED_VALUE"""),77.77)</f>
        <v>77.77</v>
      </c>
      <c r="E1344" s="17"/>
      <c r="N1344" s="17"/>
      <c r="Q1344" s="17"/>
    </row>
    <row r="1345">
      <c r="B1345" s="11">
        <f>IFERROR(__xludf.DUMMYFUNCTION("""COMPUTED_VALUE"""),44068.66666666667)</f>
        <v>44068.66667</v>
      </c>
      <c r="C1345" s="9">
        <f>IFERROR(__xludf.DUMMYFUNCTION("""COMPUTED_VALUE"""),77.73)</f>
        <v>77.73</v>
      </c>
      <c r="E1345" s="17"/>
      <c r="N1345" s="17"/>
      <c r="Q1345" s="17"/>
    </row>
    <row r="1346">
      <c r="B1346" s="11">
        <f>IFERROR(__xludf.DUMMYFUNCTION("""COMPUTED_VALUE"""),44067.66666666667)</f>
        <v>44067.66667</v>
      </c>
      <c r="C1346" s="9">
        <f>IFERROR(__xludf.DUMMYFUNCTION("""COMPUTED_VALUE"""),77.83)</f>
        <v>77.83</v>
      </c>
      <c r="E1346" s="17"/>
      <c r="N1346" s="17"/>
      <c r="Q1346" s="17"/>
    </row>
    <row r="1347">
      <c r="B1347" s="11">
        <f>IFERROR(__xludf.DUMMYFUNCTION("""COMPUTED_VALUE"""),44064.66666666667)</f>
        <v>44064.66667</v>
      </c>
      <c r="C1347" s="9">
        <f>IFERROR(__xludf.DUMMYFUNCTION("""COMPUTED_VALUE"""),76.45)</f>
        <v>76.45</v>
      </c>
      <c r="E1347" s="17"/>
      <c r="N1347" s="17"/>
      <c r="Q1347" s="17"/>
    </row>
    <row r="1348">
      <c r="B1348" s="11">
        <f>IFERROR(__xludf.DUMMYFUNCTION("""COMPUTED_VALUE"""),44063.66666666667)</f>
        <v>44063.66667</v>
      </c>
      <c r="C1348" s="9">
        <f>IFERROR(__xludf.DUMMYFUNCTION("""COMPUTED_VALUE"""),76.14)</f>
        <v>76.14</v>
      </c>
      <c r="E1348" s="17"/>
      <c r="N1348" s="17"/>
      <c r="Q1348" s="17"/>
    </row>
    <row r="1349">
      <c r="B1349" s="11">
        <f>IFERROR(__xludf.DUMMYFUNCTION("""COMPUTED_VALUE"""),44062.66666666667)</f>
        <v>44062.66667</v>
      </c>
      <c r="C1349" s="9">
        <f>IFERROR(__xludf.DUMMYFUNCTION("""COMPUTED_VALUE"""),76.55)</f>
        <v>76.55</v>
      </c>
      <c r="E1349" s="17"/>
      <c r="N1349" s="17"/>
      <c r="Q1349" s="17"/>
    </row>
    <row r="1350">
      <c r="B1350" s="11">
        <f>IFERROR(__xludf.DUMMYFUNCTION("""COMPUTED_VALUE"""),44061.66666666667)</f>
        <v>44061.66667</v>
      </c>
      <c r="C1350" s="9">
        <f>IFERROR(__xludf.DUMMYFUNCTION("""COMPUTED_VALUE"""),76.75)</f>
        <v>76.75</v>
      </c>
      <c r="E1350" s="17"/>
      <c r="N1350" s="17"/>
      <c r="Q1350" s="17"/>
    </row>
    <row r="1351">
      <c r="B1351" s="11">
        <f>IFERROR(__xludf.DUMMYFUNCTION("""COMPUTED_VALUE"""),44060.66666666667)</f>
        <v>44060.66667</v>
      </c>
      <c r="C1351" s="9">
        <f>IFERROR(__xludf.DUMMYFUNCTION("""COMPUTED_VALUE"""),77.17)</f>
        <v>77.17</v>
      </c>
      <c r="E1351" s="17"/>
      <c r="N1351" s="17"/>
      <c r="Q1351" s="17"/>
    </row>
    <row r="1352">
      <c r="B1352" s="11">
        <f>IFERROR(__xludf.DUMMYFUNCTION("""COMPUTED_VALUE"""),44057.66666666667)</f>
        <v>44057.66667</v>
      </c>
      <c r="C1352" s="9">
        <f>IFERROR(__xludf.DUMMYFUNCTION("""COMPUTED_VALUE"""),77.53)</f>
        <v>77.53</v>
      </c>
      <c r="E1352" s="17"/>
      <c r="N1352" s="17"/>
      <c r="Q1352" s="17"/>
    </row>
    <row r="1353">
      <c r="B1353" s="11">
        <f>IFERROR(__xludf.DUMMYFUNCTION("""COMPUTED_VALUE"""),44056.66666666667)</f>
        <v>44056.66667</v>
      </c>
      <c r="C1353" s="9">
        <f>IFERROR(__xludf.DUMMYFUNCTION("""COMPUTED_VALUE"""),77.23)</f>
        <v>77.23</v>
      </c>
      <c r="E1353" s="17"/>
      <c r="N1353" s="17"/>
      <c r="Q1353" s="17"/>
    </row>
    <row r="1354">
      <c r="B1354" s="11">
        <f>IFERROR(__xludf.DUMMYFUNCTION("""COMPUTED_VALUE"""),44055.66666666667)</f>
        <v>44055.66667</v>
      </c>
      <c r="C1354" s="9">
        <f>IFERROR(__xludf.DUMMYFUNCTION("""COMPUTED_VALUE"""),77.64)</f>
        <v>77.64</v>
      </c>
      <c r="E1354" s="17"/>
      <c r="N1354" s="17"/>
      <c r="Q1354" s="17"/>
    </row>
    <row r="1355">
      <c r="B1355" s="11">
        <f>IFERROR(__xludf.DUMMYFUNCTION("""COMPUTED_VALUE"""),44054.66666666667)</f>
        <v>44054.66667</v>
      </c>
      <c r="C1355" s="9">
        <f>IFERROR(__xludf.DUMMYFUNCTION("""COMPUTED_VALUE"""),77.39)</f>
        <v>77.39</v>
      </c>
      <c r="E1355" s="17"/>
      <c r="N1355" s="17"/>
      <c r="Q1355" s="17"/>
    </row>
    <row r="1356">
      <c r="B1356" s="11">
        <f>IFERROR(__xludf.DUMMYFUNCTION("""COMPUTED_VALUE"""),44053.66666666667)</f>
        <v>44053.66667</v>
      </c>
      <c r="C1356" s="9">
        <f>IFERROR(__xludf.DUMMYFUNCTION("""COMPUTED_VALUE"""),76.98)</f>
        <v>76.98</v>
      </c>
      <c r="E1356" s="17"/>
      <c r="N1356" s="17"/>
      <c r="Q1356" s="17"/>
    </row>
    <row r="1357">
      <c r="B1357" s="11">
        <f>IFERROR(__xludf.DUMMYFUNCTION("""COMPUTED_VALUE"""),44050.66666666667)</f>
        <v>44050.66667</v>
      </c>
      <c r="C1357" s="9">
        <f>IFERROR(__xludf.DUMMYFUNCTION("""COMPUTED_VALUE"""),75.13)</f>
        <v>75.13</v>
      </c>
      <c r="E1357" s="17"/>
      <c r="N1357" s="17"/>
      <c r="Q1357" s="17"/>
    </row>
    <row r="1358">
      <c r="B1358" s="11">
        <f>IFERROR(__xludf.DUMMYFUNCTION("""COMPUTED_VALUE"""),44049.66666666667)</f>
        <v>44049.66667</v>
      </c>
      <c r="C1358" s="9">
        <f>IFERROR(__xludf.DUMMYFUNCTION("""COMPUTED_VALUE"""),73.87)</f>
        <v>73.87</v>
      </c>
      <c r="E1358" s="17"/>
      <c r="N1358" s="17"/>
      <c r="Q1358" s="17"/>
    </row>
    <row r="1359">
      <c r="B1359" s="11">
        <f>IFERROR(__xludf.DUMMYFUNCTION("""COMPUTED_VALUE"""),44048.66666666667)</f>
        <v>44048.66667</v>
      </c>
      <c r="C1359" s="9">
        <f>IFERROR(__xludf.DUMMYFUNCTION("""COMPUTED_VALUE"""),73.59)</f>
        <v>73.59</v>
      </c>
      <c r="E1359" s="17"/>
      <c r="N1359" s="17"/>
      <c r="Q1359" s="17"/>
    </row>
    <row r="1360">
      <c r="B1360" s="11">
        <f>IFERROR(__xludf.DUMMYFUNCTION("""COMPUTED_VALUE"""),44047.66666666667)</f>
        <v>44047.66667</v>
      </c>
      <c r="C1360" s="9">
        <f>IFERROR(__xludf.DUMMYFUNCTION("""COMPUTED_VALUE"""),72.21)</f>
        <v>72.21</v>
      </c>
      <c r="E1360" s="17"/>
      <c r="N1360" s="17"/>
      <c r="Q1360" s="17"/>
    </row>
    <row r="1361">
      <c r="B1361" s="11">
        <f>IFERROR(__xludf.DUMMYFUNCTION("""COMPUTED_VALUE"""),44046.66666666667)</f>
        <v>44046.66667</v>
      </c>
      <c r="C1361" s="9">
        <f>IFERROR(__xludf.DUMMYFUNCTION("""COMPUTED_VALUE"""),72.03)</f>
        <v>72.03</v>
      </c>
      <c r="E1361" s="17"/>
      <c r="N1361" s="17"/>
      <c r="Q1361" s="17"/>
    </row>
    <row r="1362">
      <c r="B1362" s="11">
        <f>IFERROR(__xludf.DUMMYFUNCTION("""COMPUTED_VALUE"""),44043.66666666667)</f>
        <v>44043.66667</v>
      </c>
      <c r="C1362" s="9">
        <f>IFERROR(__xludf.DUMMYFUNCTION("""COMPUTED_VALUE"""),71.73)</f>
        <v>71.73</v>
      </c>
      <c r="E1362" s="17"/>
      <c r="N1362" s="17"/>
      <c r="Q1362" s="17"/>
    </row>
    <row r="1363">
      <c r="B1363" s="11">
        <f>IFERROR(__xludf.DUMMYFUNCTION("""COMPUTED_VALUE"""),44042.66666666667)</f>
        <v>44042.66667</v>
      </c>
      <c r="C1363" s="9">
        <f>IFERROR(__xludf.DUMMYFUNCTION("""COMPUTED_VALUE"""),72.0)</f>
        <v>72</v>
      </c>
      <c r="E1363" s="17"/>
      <c r="N1363" s="17"/>
      <c r="Q1363" s="17"/>
    </row>
    <row r="1364">
      <c r="B1364" s="11">
        <f>IFERROR(__xludf.DUMMYFUNCTION("""COMPUTED_VALUE"""),44041.66666666667)</f>
        <v>44041.66667</v>
      </c>
      <c r="C1364" s="9">
        <f>IFERROR(__xludf.DUMMYFUNCTION("""COMPUTED_VALUE"""),72.73)</f>
        <v>72.73</v>
      </c>
      <c r="E1364" s="17"/>
      <c r="N1364" s="17"/>
      <c r="Q1364" s="17"/>
    </row>
    <row r="1365">
      <c r="B1365" s="11">
        <f>IFERROR(__xludf.DUMMYFUNCTION("""COMPUTED_VALUE"""),44040.66666666667)</f>
        <v>44040.66667</v>
      </c>
      <c r="C1365" s="9">
        <f>IFERROR(__xludf.DUMMYFUNCTION("""COMPUTED_VALUE"""),71.64)</f>
        <v>71.64</v>
      </c>
      <c r="E1365" s="17"/>
      <c r="N1365" s="17"/>
      <c r="Q1365" s="17"/>
    </row>
    <row r="1366">
      <c r="B1366" s="11">
        <f>IFERROR(__xludf.DUMMYFUNCTION("""COMPUTED_VALUE"""),44039.66666666667)</f>
        <v>44039.66667</v>
      </c>
      <c r="C1366" s="9">
        <f>IFERROR(__xludf.DUMMYFUNCTION("""COMPUTED_VALUE"""),72.14)</f>
        <v>72.14</v>
      </c>
      <c r="E1366" s="17"/>
      <c r="N1366" s="17"/>
      <c r="Q1366" s="17"/>
    </row>
    <row r="1367">
      <c r="B1367" s="11">
        <f>IFERROR(__xludf.DUMMYFUNCTION("""COMPUTED_VALUE"""),44036.66666666667)</f>
        <v>44036.66667</v>
      </c>
      <c r="C1367" s="9">
        <f>IFERROR(__xludf.DUMMYFUNCTION("""COMPUTED_VALUE"""),71.84)</f>
        <v>71.84</v>
      </c>
      <c r="E1367" s="17"/>
      <c r="N1367" s="17"/>
      <c r="Q1367" s="17"/>
    </row>
    <row r="1368">
      <c r="B1368" s="11">
        <f>IFERROR(__xludf.DUMMYFUNCTION("""COMPUTED_VALUE"""),44035.66666666667)</f>
        <v>44035.66667</v>
      </c>
      <c r="C1368" s="9">
        <f>IFERROR(__xludf.DUMMYFUNCTION("""COMPUTED_VALUE"""),72.42)</f>
        <v>72.42</v>
      </c>
      <c r="E1368" s="17"/>
      <c r="N1368" s="17"/>
      <c r="Q1368" s="17"/>
    </row>
    <row r="1369">
      <c r="B1369" s="11">
        <f>IFERROR(__xludf.DUMMYFUNCTION("""COMPUTED_VALUE"""),44034.66666666667)</f>
        <v>44034.66667</v>
      </c>
      <c r="C1369" s="9">
        <f>IFERROR(__xludf.DUMMYFUNCTION("""COMPUTED_VALUE"""),72.64)</f>
        <v>72.64</v>
      </c>
      <c r="E1369" s="17"/>
      <c r="N1369" s="17"/>
      <c r="Q1369" s="17"/>
    </row>
    <row r="1370">
      <c r="B1370" s="11">
        <f>IFERROR(__xludf.DUMMYFUNCTION("""COMPUTED_VALUE"""),44033.66666666667)</f>
        <v>44033.66667</v>
      </c>
      <c r="C1370" s="9">
        <f>IFERROR(__xludf.DUMMYFUNCTION("""COMPUTED_VALUE"""),72.06)</f>
        <v>72.06</v>
      </c>
      <c r="E1370" s="17"/>
      <c r="N1370" s="17"/>
      <c r="Q1370" s="17"/>
    </row>
    <row r="1371">
      <c r="B1371" s="11">
        <f>IFERROR(__xludf.DUMMYFUNCTION("""COMPUTED_VALUE"""),44032.66666666667)</f>
        <v>44032.66667</v>
      </c>
      <c r="C1371" s="9">
        <f>IFERROR(__xludf.DUMMYFUNCTION("""COMPUTED_VALUE"""),71.12)</f>
        <v>71.12</v>
      </c>
      <c r="E1371" s="17"/>
      <c r="N1371" s="17"/>
      <c r="Q1371" s="17"/>
    </row>
    <row r="1372">
      <c r="B1372" s="11">
        <f>IFERROR(__xludf.DUMMYFUNCTION("""COMPUTED_VALUE"""),44029.66666666667)</f>
        <v>44029.66667</v>
      </c>
      <c r="C1372" s="9">
        <f>IFERROR(__xludf.DUMMYFUNCTION("""COMPUTED_VALUE"""),72.0)</f>
        <v>72</v>
      </c>
      <c r="E1372" s="17"/>
      <c r="N1372" s="17"/>
      <c r="Q1372" s="17"/>
    </row>
    <row r="1373">
      <c r="B1373" s="11">
        <f>IFERROR(__xludf.DUMMYFUNCTION("""COMPUTED_VALUE"""),44028.66666666667)</f>
        <v>44028.66667</v>
      </c>
      <c r="C1373" s="9">
        <f>IFERROR(__xludf.DUMMYFUNCTION("""COMPUTED_VALUE"""),71.57)</f>
        <v>71.57</v>
      </c>
      <c r="E1373" s="17"/>
      <c r="N1373" s="17"/>
      <c r="Q1373" s="17"/>
    </row>
    <row r="1374">
      <c r="B1374" s="11">
        <f>IFERROR(__xludf.DUMMYFUNCTION("""COMPUTED_VALUE"""),44027.66666666667)</f>
        <v>44027.66667</v>
      </c>
      <c r="C1374" s="9">
        <f>IFERROR(__xludf.DUMMYFUNCTION("""COMPUTED_VALUE"""),71.55)</f>
        <v>71.55</v>
      </c>
      <c r="E1374" s="17"/>
      <c r="N1374" s="17"/>
      <c r="Q1374" s="17"/>
    </row>
    <row r="1375">
      <c r="B1375" s="11">
        <f>IFERROR(__xludf.DUMMYFUNCTION("""COMPUTED_VALUE"""),44026.66666666667)</f>
        <v>44026.66667</v>
      </c>
      <c r="C1375" s="9">
        <f>IFERROR(__xludf.DUMMYFUNCTION("""COMPUTED_VALUE"""),69.77)</f>
        <v>69.77</v>
      </c>
      <c r="E1375" s="17"/>
      <c r="N1375" s="17"/>
      <c r="Q1375" s="17"/>
    </row>
    <row r="1376">
      <c r="B1376" s="11">
        <f>IFERROR(__xludf.DUMMYFUNCTION("""COMPUTED_VALUE"""),44025.66666666667)</f>
        <v>44025.66667</v>
      </c>
      <c r="C1376" s="9">
        <f>IFERROR(__xludf.DUMMYFUNCTION("""COMPUTED_VALUE"""),68.29)</f>
        <v>68.29</v>
      </c>
      <c r="E1376" s="17"/>
      <c r="N1376" s="17"/>
      <c r="Q1376" s="17"/>
    </row>
    <row r="1377">
      <c r="B1377" s="11">
        <f>IFERROR(__xludf.DUMMYFUNCTION("""COMPUTED_VALUE"""),44022.66666666667)</f>
        <v>44022.66667</v>
      </c>
      <c r="C1377" s="9">
        <f>IFERROR(__xludf.DUMMYFUNCTION("""COMPUTED_VALUE"""),68.01)</f>
        <v>68.01</v>
      </c>
      <c r="E1377" s="17"/>
      <c r="N1377" s="17"/>
      <c r="Q1377" s="17"/>
    </row>
    <row r="1378">
      <c r="B1378" s="11">
        <f>IFERROR(__xludf.DUMMYFUNCTION("""COMPUTED_VALUE"""),44021.66666666667)</f>
        <v>44021.66667</v>
      </c>
      <c r="C1378" s="9">
        <f>IFERROR(__xludf.DUMMYFUNCTION("""COMPUTED_VALUE"""),67.14)</f>
        <v>67.14</v>
      </c>
      <c r="E1378" s="17"/>
      <c r="N1378" s="17"/>
      <c r="Q1378" s="17"/>
    </row>
    <row r="1379">
      <c r="B1379" s="11">
        <f>IFERROR(__xludf.DUMMYFUNCTION("""COMPUTED_VALUE"""),44020.66666666667)</f>
        <v>44020.66667</v>
      </c>
      <c r="C1379" s="9">
        <f>IFERROR(__xludf.DUMMYFUNCTION("""COMPUTED_VALUE"""),68.63)</f>
        <v>68.63</v>
      </c>
      <c r="E1379" s="17"/>
      <c r="N1379" s="17"/>
      <c r="Q1379" s="17"/>
    </row>
    <row r="1380">
      <c r="B1380" s="11">
        <f>IFERROR(__xludf.DUMMYFUNCTION("""COMPUTED_VALUE"""),44019.66666666667)</f>
        <v>44019.66667</v>
      </c>
      <c r="C1380" s="9">
        <f>IFERROR(__xludf.DUMMYFUNCTION("""COMPUTED_VALUE"""),68.63)</f>
        <v>68.63</v>
      </c>
      <c r="E1380" s="17"/>
      <c r="N1380" s="17"/>
      <c r="Q1380" s="17"/>
    </row>
    <row r="1381">
      <c r="B1381" s="11">
        <f>IFERROR(__xludf.DUMMYFUNCTION("""COMPUTED_VALUE"""),44018.66666666667)</f>
        <v>44018.66667</v>
      </c>
      <c r="C1381" s="9">
        <f>IFERROR(__xludf.DUMMYFUNCTION("""COMPUTED_VALUE"""),69.97)</f>
        <v>69.97</v>
      </c>
      <c r="E1381" s="17"/>
      <c r="N1381" s="17"/>
      <c r="Q1381" s="17"/>
    </row>
    <row r="1382">
      <c r="B1382" s="11">
        <f>IFERROR(__xludf.DUMMYFUNCTION("""COMPUTED_VALUE"""),44014.66666666667)</f>
        <v>44014.66667</v>
      </c>
      <c r="C1382" s="9">
        <f>IFERROR(__xludf.DUMMYFUNCTION("""COMPUTED_VALUE"""),68.98)</f>
        <v>68.98</v>
      </c>
      <c r="E1382" s="17"/>
      <c r="N1382" s="17"/>
      <c r="Q1382" s="17"/>
    </row>
    <row r="1383">
      <c r="B1383" s="11">
        <f>IFERROR(__xludf.DUMMYFUNCTION("""COMPUTED_VALUE"""),44013.66666666667)</f>
        <v>44013.66667</v>
      </c>
      <c r="C1383" s="9">
        <f>IFERROR(__xludf.DUMMYFUNCTION("""COMPUTED_VALUE"""),68.39)</f>
        <v>68.39</v>
      </c>
      <c r="E1383" s="17"/>
      <c r="N1383" s="17"/>
      <c r="Q1383" s="17"/>
    </row>
    <row r="1384">
      <c r="B1384" s="11">
        <f>IFERROR(__xludf.DUMMYFUNCTION("""COMPUTED_VALUE"""),44012.66666666667)</f>
        <v>44012.66667</v>
      </c>
      <c r="C1384" s="9">
        <f>IFERROR(__xludf.DUMMYFUNCTION("""COMPUTED_VALUE"""),68.7)</f>
        <v>68.7</v>
      </c>
      <c r="E1384" s="17"/>
      <c r="N1384" s="17"/>
      <c r="Q1384" s="17"/>
    </row>
    <row r="1385">
      <c r="B1385" s="11">
        <f>IFERROR(__xludf.DUMMYFUNCTION("""COMPUTED_VALUE"""),44011.66666666667)</f>
        <v>44011.66667</v>
      </c>
      <c r="C1385" s="9">
        <f>IFERROR(__xludf.DUMMYFUNCTION("""COMPUTED_VALUE"""),68.31)</f>
        <v>68.31</v>
      </c>
      <c r="E1385" s="17"/>
      <c r="N1385" s="17"/>
      <c r="Q1385" s="17"/>
    </row>
    <row r="1386">
      <c r="B1386" s="11">
        <f>IFERROR(__xludf.DUMMYFUNCTION("""COMPUTED_VALUE"""),44008.66666666667)</f>
        <v>44008.66667</v>
      </c>
      <c r="C1386" s="9">
        <f>IFERROR(__xludf.DUMMYFUNCTION("""COMPUTED_VALUE"""),66.14)</f>
        <v>66.14</v>
      </c>
      <c r="E1386" s="17"/>
      <c r="N1386" s="17"/>
      <c r="Q1386" s="17"/>
    </row>
    <row r="1387">
      <c r="B1387" s="11">
        <f>IFERROR(__xludf.DUMMYFUNCTION("""COMPUTED_VALUE"""),44007.66666666667)</f>
        <v>44007.66667</v>
      </c>
      <c r="C1387" s="9">
        <f>IFERROR(__xludf.DUMMYFUNCTION("""COMPUTED_VALUE"""),67.39)</f>
        <v>67.39</v>
      </c>
      <c r="E1387" s="17"/>
      <c r="N1387" s="17"/>
      <c r="Q1387" s="17"/>
    </row>
    <row r="1388">
      <c r="B1388" s="11">
        <f>IFERROR(__xludf.DUMMYFUNCTION("""COMPUTED_VALUE"""),44006.66666666667)</f>
        <v>44006.66667</v>
      </c>
      <c r="C1388" s="9">
        <f>IFERROR(__xludf.DUMMYFUNCTION("""COMPUTED_VALUE"""),66.65)</f>
        <v>66.65</v>
      </c>
      <c r="E1388" s="17"/>
      <c r="N1388" s="17"/>
      <c r="Q1388" s="17"/>
    </row>
    <row r="1389">
      <c r="B1389" s="11">
        <f>IFERROR(__xludf.DUMMYFUNCTION("""COMPUTED_VALUE"""),44005.66666666667)</f>
        <v>44005.66667</v>
      </c>
      <c r="C1389" s="9">
        <f>IFERROR(__xludf.DUMMYFUNCTION("""COMPUTED_VALUE"""),69.05)</f>
        <v>69.05</v>
      </c>
      <c r="E1389" s="17"/>
      <c r="N1389" s="17"/>
      <c r="Q1389" s="17"/>
    </row>
    <row r="1390">
      <c r="B1390" s="11">
        <f>IFERROR(__xludf.DUMMYFUNCTION("""COMPUTED_VALUE"""),44004.66666666667)</f>
        <v>44004.66667</v>
      </c>
      <c r="C1390" s="9">
        <f>IFERROR(__xludf.DUMMYFUNCTION("""COMPUTED_VALUE"""),69.04)</f>
        <v>69.04</v>
      </c>
      <c r="E1390" s="17"/>
      <c r="N1390" s="17"/>
      <c r="Q1390" s="17"/>
    </row>
    <row r="1391">
      <c r="B1391" s="11">
        <f>IFERROR(__xludf.DUMMYFUNCTION("""COMPUTED_VALUE"""),44001.66666666667)</f>
        <v>44001.66667</v>
      </c>
      <c r="C1391" s="9">
        <f>IFERROR(__xludf.DUMMYFUNCTION("""COMPUTED_VALUE"""),69.23)</f>
        <v>69.23</v>
      </c>
      <c r="E1391" s="17"/>
      <c r="N1391" s="17"/>
      <c r="Q1391" s="17"/>
    </row>
    <row r="1392">
      <c r="B1392" s="11">
        <f>IFERROR(__xludf.DUMMYFUNCTION("""COMPUTED_VALUE"""),44000.66666666667)</f>
        <v>44000.66667</v>
      </c>
      <c r="C1392" s="9">
        <f>IFERROR(__xludf.DUMMYFUNCTION("""COMPUTED_VALUE"""),70.09)</f>
        <v>70.09</v>
      </c>
      <c r="E1392" s="17"/>
      <c r="N1392" s="17"/>
      <c r="Q1392" s="17"/>
    </row>
    <row r="1393">
      <c r="B1393" s="11">
        <f>IFERROR(__xludf.DUMMYFUNCTION("""COMPUTED_VALUE"""),43999.66666666667)</f>
        <v>43999.66667</v>
      </c>
      <c r="C1393" s="9">
        <f>IFERROR(__xludf.DUMMYFUNCTION("""COMPUTED_VALUE"""),70.35)</f>
        <v>70.35</v>
      </c>
      <c r="E1393" s="17"/>
      <c r="N1393" s="17"/>
      <c r="Q1393" s="17"/>
    </row>
    <row r="1394">
      <c r="B1394" s="11">
        <f>IFERROR(__xludf.DUMMYFUNCTION("""COMPUTED_VALUE"""),43998.66666666667)</f>
        <v>43998.66667</v>
      </c>
      <c r="C1394" s="9">
        <f>IFERROR(__xludf.DUMMYFUNCTION("""COMPUTED_VALUE"""),70.86)</f>
        <v>70.86</v>
      </c>
      <c r="E1394" s="17"/>
      <c r="N1394" s="17"/>
      <c r="Q1394" s="17"/>
    </row>
    <row r="1395">
      <c r="B1395" s="11">
        <f>IFERROR(__xludf.DUMMYFUNCTION("""COMPUTED_VALUE"""),43997.66666666667)</f>
        <v>43997.66667</v>
      </c>
      <c r="C1395" s="9">
        <f>IFERROR(__xludf.DUMMYFUNCTION("""COMPUTED_VALUE"""),69.5)</f>
        <v>69.5</v>
      </c>
      <c r="E1395" s="17"/>
      <c r="N1395" s="17"/>
      <c r="Q1395" s="17"/>
    </row>
    <row r="1396">
      <c r="B1396" s="11">
        <f>IFERROR(__xludf.DUMMYFUNCTION("""COMPUTED_VALUE"""),43994.66666666667)</f>
        <v>43994.66667</v>
      </c>
      <c r="C1396" s="9">
        <f>IFERROR(__xludf.DUMMYFUNCTION("""COMPUTED_VALUE"""),68.82)</f>
        <v>68.82</v>
      </c>
      <c r="E1396" s="17"/>
      <c r="N1396" s="17"/>
      <c r="Q1396" s="17"/>
    </row>
    <row r="1397">
      <c r="B1397" s="11">
        <f>IFERROR(__xludf.DUMMYFUNCTION("""COMPUTED_VALUE"""),43993.66666666667)</f>
        <v>43993.66667</v>
      </c>
      <c r="C1397" s="9">
        <f>IFERROR(__xludf.DUMMYFUNCTION("""COMPUTED_VALUE"""),67.51)</f>
        <v>67.51</v>
      </c>
      <c r="E1397" s="17"/>
      <c r="N1397" s="17"/>
      <c r="Q1397" s="17"/>
    </row>
    <row r="1398">
      <c r="B1398" s="11">
        <f>IFERROR(__xludf.DUMMYFUNCTION("""COMPUTED_VALUE"""),43992.66666666667)</f>
        <v>43992.66667</v>
      </c>
      <c r="C1398" s="9">
        <f>IFERROR(__xludf.DUMMYFUNCTION("""COMPUTED_VALUE"""),72.61)</f>
        <v>72.61</v>
      </c>
      <c r="E1398" s="17"/>
      <c r="N1398" s="17"/>
      <c r="Q1398" s="17"/>
    </row>
    <row r="1399">
      <c r="B1399" s="11">
        <f>IFERROR(__xludf.DUMMYFUNCTION("""COMPUTED_VALUE"""),43991.66666666667)</f>
        <v>43991.66667</v>
      </c>
      <c r="C1399" s="9">
        <f>IFERROR(__xludf.DUMMYFUNCTION("""COMPUTED_VALUE"""),74.39)</f>
        <v>74.39</v>
      </c>
      <c r="E1399" s="17"/>
      <c r="N1399" s="17"/>
      <c r="Q1399" s="17"/>
    </row>
    <row r="1400">
      <c r="B1400" s="11">
        <f>IFERROR(__xludf.DUMMYFUNCTION("""COMPUTED_VALUE"""),43990.66666666667)</f>
        <v>43990.66667</v>
      </c>
      <c r="C1400" s="9">
        <f>IFERROR(__xludf.DUMMYFUNCTION("""COMPUTED_VALUE"""),76.29)</f>
        <v>76.29</v>
      </c>
      <c r="E1400" s="17"/>
      <c r="N1400" s="17"/>
      <c r="Q1400" s="17"/>
    </row>
    <row r="1401">
      <c r="B1401" s="11">
        <f>IFERROR(__xludf.DUMMYFUNCTION("""COMPUTED_VALUE"""),43987.66666666667)</f>
        <v>43987.66667</v>
      </c>
      <c r="C1401" s="9">
        <f>IFERROR(__xludf.DUMMYFUNCTION("""COMPUTED_VALUE"""),74.79)</f>
        <v>74.79</v>
      </c>
      <c r="E1401" s="17"/>
      <c r="N1401" s="17"/>
      <c r="Q1401" s="17"/>
    </row>
    <row r="1402">
      <c r="B1402" s="11">
        <f>IFERROR(__xludf.DUMMYFUNCTION("""COMPUTED_VALUE"""),43986.66666666667)</f>
        <v>43986.66667</v>
      </c>
      <c r="C1402" s="9">
        <f>IFERROR(__xludf.DUMMYFUNCTION("""COMPUTED_VALUE"""),72.14)</f>
        <v>72.14</v>
      </c>
      <c r="E1402" s="17"/>
      <c r="N1402" s="17"/>
      <c r="Q1402" s="17"/>
    </row>
    <row r="1403">
      <c r="B1403" s="11">
        <f>IFERROR(__xludf.DUMMYFUNCTION("""COMPUTED_VALUE"""),43985.66666666667)</f>
        <v>43985.66667</v>
      </c>
      <c r="C1403" s="9">
        <f>IFERROR(__xludf.DUMMYFUNCTION("""COMPUTED_VALUE"""),71.38)</f>
        <v>71.38</v>
      </c>
      <c r="E1403" s="17"/>
      <c r="N1403" s="17"/>
      <c r="Q1403" s="17"/>
    </row>
    <row r="1404">
      <c r="B1404" s="11">
        <f>IFERROR(__xludf.DUMMYFUNCTION("""COMPUTED_VALUE"""),43984.66666666667)</f>
        <v>43984.66667</v>
      </c>
      <c r="C1404" s="9">
        <f>IFERROR(__xludf.DUMMYFUNCTION("""COMPUTED_VALUE"""),68.7)</f>
        <v>68.7</v>
      </c>
      <c r="E1404" s="17"/>
      <c r="N1404" s="17"/>
      <c r="Q1404" s="17"/>
    </row>
    <row r="1405">
      <c r="B1405" s="11">
        <f>IFERROR(__xludf.DUMMYFUNCTION("""COMPUTED_VALUE"""),43983.66666666667)</f>
        <v>43983.66667</v>
      </c>
      <c r="C1405" s="9">
        <f>IFERROR(__xludf.DUMMYFUNCTION("""COMPUTED_VALUE"""),67.82)</f>
        <v>67.82</v>
      </c>
      <c r="E1405" s="17"/>
      <c r="N1405" s="17"/>
      <c r="Q1405" s="17"/>
    </row>
    <row r="1406">
      <c r="B1406" s="11">
        <f>IFERROR(__xludf.DUMMYFUNCTION("""COMPUTED_VALUE"""),43980.66666666667)</f>
        <v>43980.66667</v>
      </c>
      <c r="C1406" s="9">
        <f>IFERROR(__xludf.DUMMYFUNCTION("""COMPUTED_VALUE"""),67.67)</f>
        <v>67.67</v>
      </c>
      <c r="E1406" s="17"/>
      <c r="N1406" s="17"/>
      <c r="Q1406" s="17"/>
    </row>
    <row r="1407">
      <c r="B1407" s="11">
        <f>IFERROR(__xludf.DUMMYFUNCTION("""COMPUTED_VALUE"""),43979.66666666667)</f>
        <v>43979.66667</v>
      </c>
      <c r="C1407" s="9">
        <f>IFERROR(__xludf.DUMMYFUNCTION("""COMPUTED_VALUE"""),68.09)</f>
        <v>68.09</v>
      </c>
      <c r="E1407" s="17"/>
      <c r="N1407" s="17"/>
      <c r="Q1407" s="17"/>
    </row>
    <row r="1408">
      <c r="B1408" s="11">
        <f>IFERROR(__xludf.DUMMYFUNCTION("""COMPUTED_VALUE"""),43978.66666666667)</f>
        <v>43978.66667</v>
      </c>
      <c r="C1408" s="9">
        <f>IFERROR(__xludf.DUMMYFUNCTION("""COMPUTED_VALUE"""),68.74)</f>
        <v>68.74</v>
      </c>
      <c r="E1408" s="17"/>
      <c r="N1408" s="17"/>
      <c r="Q1408" s="17"/>
    </row>
    <row r="1409">
      <c r="B1409" s="11">
        <f>IFERROR(__xludf.DUMMYFUNCTION("""COMPUTED_VALUE"""),43977.66666666667)</f>
        <v>43977.66667</v>
      </c>
      <c r="C1409" s="9">
        <f>IFERROR(__xludf.DUMMYFUNCTION("""COMPUTED_VALUE"""),66.52)</f>
        <v>66.52</v>
      </c>
      <c r="E1409" s="17"/>
      <c r="N1409" s="17"/>
      <c r="Q1409" s="17"/>
    </row>
    <row r="1410">
      <c r="B1410" s="11">
        <f>IFERROR(__xludf.DUMMYFUNCTION("""COMPUTED_VALUE"""),43973.66666666667)</f>
        <v>43973.66667</v>
      </c>
      <c r="C1410" s="9">
        <f>IFERROR(__xludf.DUMMYFUNCTION("""COMPUTED_VALUE"""),63.84)</f>
        <v>63.84</v>
      </c>
      <c r="E1410" s="17"/>
      <c r="N1410" s="17"/>
      <c r="Q1410" s="17"/>
    </row>
    <row r="1411">
      <c r="B1411" s="11">
        <f>IFERROR(__xludf.DUMMYFUNCTION("""COMPUTED_VALUE"""),43972.66666666667)</f>
        <v>43972.66667</v>
      </c>
      <c r="C1411" s="9">
        <f>IFERROR(__xludf.DUMMYFUNCTION("""COMPUTED_VALUE"""),63.89)</f>
        <v>63.89</v>
      </c>
      <c r="E1411" s="17"/>
      <c r="N1411" s="17"/>
      <c r="Q1411" s="17"/>
    </row>
    <row r="1412">
      <c r="B1412" s="11">
        <f>IFERROR(__xludf.DUMMYFUNCTION("""COMPUTED_VALUE"""),43971.66666666667)</f>
        <v>43971.66667</v>
      </c>
      <c r="C1412" s="9">
        <f>IFERROR(__xludf.DUMMYFUNCTION("""COMPUTED_VALUE"""),63.74)</f>
        <v>63.74</v>
      </c>
      <c r="E1412" s="17"/>
      <c r="N1412" s="17"/>
      <c r="Q1412" s="17"/>
    </row>
    <row r="1413">
      <c r="B1413" s="11">
        <f>IFERROR(__xludf.DUMMYFUNCTION("""COMPUTED_VALUE"""),43970.66666666667)</f>
        <v>43970.66667</v>
      </c>
      <c r="C1413" s="9">
        <f>IFERROR(__xludf.DUMMYFUNCTION("""COMPUTED_VALUE"""),62.57)</f>
        <v>62.57</v>
      </c>
      <c r="E1413" s="17"/>
      <c r="N1413" s="17"/>
      <c r="Q1413" s="17"/>
    </row>
    <row r="1414">
      <c r="B1414" s="11">
        <f>IFERROR(__xludf.DUMMYFUNCTION("""COMPUTED_VALUE"""),43969.66666666667)</f>
        <v>43969.66667</v>
      </c>
      <c r="C1414" s="9">
        <f>IFERROR(__xludf.DUMMYFUNCTION("""COMPUTED_VALUE"""),63.38)</f>
        <v>63.38</v>
      </c>
      <c r="E1414" s="17"/>
      <c r="N1414" s="17"/>
      <c r="Q1414" s="17"/>
    </row>
    <row r="1415">
      <c r="B1415" s="11">
        <f>IFERROR(__xludf.DUMMYFUNCTION("""COMPUTED_VALUE"""),43966.66666666667)</f>
        <v>43966.66667</v>
      </c>
      <c r="C1415" s="9">
        <f>IFERROR(__xludf.DUMMYFUNCTION("""COMPUTED_VALUE"""),59.46)</f>
        <v>59.46</v>
      </c>
      <c r="E1415" s="17"/>
      <c r="N1415" s="17"/>
      <c r="Q1415" s="17"/>
    </row>
    <row r="1416">
      <c r="B1416" s="11">
        <f>IFERROR(__xludf.DUMMYFUNCTION("""COMPUTED_VALUE"""),43965.66666666667)</f>
        <v>43965.66667</v>
      </c>
      <c r="C1416" s="9">
        <f>IFERROR(__xludf.DUMMYFUNCTION("""COMPUTED_VALUE"""),59.67)</f>
        <v>59.67</v>
      </c>
      <c r="E1416" s="17"/>
      <c r="N1416" s="17"/>
      <c r="Q1416" s="17"/>
    </row>
    <row r="1417">
      <c r="B1417" s="11">
        <f>IFERROR(__xludf.DUMMYFUNCTION("""COMPUTED_VALUE"""),43964.66666666667)</f>
        <v>43964.66667</v>
      </c>
      <c r="C1417" s="9">
        <f>IFERROR(__xludf.DUMMYFUNCTION("""COMPUTED_VALUE"""),59.05)</f>
        <v>59.05</v>
      </c>
      <c r="E1417" s="17"/>
      <c r="N1417" s="17"/>
      <c r="Q1417" s="17"/>
    </row>
    <row r="1418">
      <c r="B1418" s="11">
        <f>IFERROR(__xludf.DUMMYFUNCTION("""COMPUTED_VALUE"""),43963.66666666667)</f>
        <v>43963.66667</v>
      </c>
      <c r="C1418" s="9">
        <f>IFERROR(__xludf.DUMMYFUNCTION("""COMPUTED_VALUE"""),60.57)</f>
        <v>60.57</v>
      </c>
      <c r="E1418" s="17"/>
      <c r="N1418" s="17"/>
      <c r="Q1418" s="17"/>
    </row>
    <row r="1419">
      <c r="B1419" s="11">
        <f>IFERROR(__xludf.DUMMYFUNCTION("""COMPUTED_VALUE"""),43962.66666666667)</f>
        <v>43962.66667</v>
      </c>
      <c r="C1419" s="9">
        <f>IFERROR(__xludf.DUMMYFUNCTION("""COMPUTED_VALUE"""),62.32)</f>
        <v>62.32</v>
      </c>
      <c r="E1419" s="17"/>
      <c r="N1419" s="17"/>
      <c r="Q1419" s="17"/>
    </row>
    <row r="1420">
      <c r="B1420" s="11">
        <f>IFERROR(__xludf.DUMMYFUNCTION("""COMPUTED_VALUE"""),43959.66666666667)</f>
        <v>43959.66667</v>
      </c>
      <c r="C1420" s="9">
        <f>IFERROR(__xludf.DUMMYFUNCTION("""COMPUTED_VALUE"""),63.11)</f>
        <v>63.11</v>
      </c>
      <c r="E1420" s="17"/>
      <c r="N1420" s="17"/>
      <c r="Q1420" s="17"/>
    </row>
    <row r="1421">
      <c r="B1421" s="11">
        <f>IFERROR(__xludf.DUMMYFUNCTION("""COMPUTED_VALUE"""),43958.66666666667)</f>
        <v>43958.66667</v>
      </c>
      <c r="C1421" s="9">
        <f>IFERROR(__xludf.DUMMYFUNCTION("""COMPUTED_VALUE"""),61.58)</f>
        <v>61.58</v>
      </c>
      <c r="E1421" s="17"/>
      <c r="N1421" s="17"/>
      <c r="Q1421" s="17"/>
    </row>
    <row r="1422">
      <c r="B1422" s="11">
        <f>IFERROR(__xludf.DUMMYFUNCTION("""COMPUTED_VALUE"""),43957.66666666667)</f>
        <v>43957.66667</v>
      </c>
      <c r="C1422" s="9">
        <f>IFERROR(__xludf.DUMMYFUNCTION("""COMPUTED_VALUE"""),60.87)</f>
        <v>60.87</v>
      </c>
      <c r="E1422" s="17"/>
      <c r="N1422" s="17"/>
      <c r="Q1422" s="17"/>
    </row>
    <row r="1423">
      <c r="B1423" s="11">
        <f>IFERROR(__xludf.DUMMYFUNCTION("""COMPUTED_VALUE"""),43956.66666666667)</f>
        <v>43956.66667</v>
      </c>
      <c r="C1423" s="9">
        <f>IFERROR(__xludf.DUMMYFUNCTION("""COMPUTED_VALUE"""),61.72)</f>
        <v>61.72</v>
      </c>
      <c r="E1423" s="17"/>
      <c r="N1423" s="17"/>
      <c r="Q1423" s="17"/>
    </row>
    <row r="1424">
      <c r="B1424" s="11">
        <f>IFERROR(__xludf.DUMMYFUNCTION("""COMPUTED_VALUE"""),43955.66666666667)</f>
        <v>43955.66667</v>
      </c>
      <c r="C1424" s="9">
        <f>IFERROR(__xludf.DUMMYFUNCTION("""COMPUTED_VALUE"""),61.48)</f>
        <v>61.48</v>
      </c>
      <c r="E1424" s="17"/>
      <c r="N1424" s="17"/>
      <c r="Q1424" s="17"/>
    </row>
    <row r="1425">
      <c r="B1425" s="11">
        <f>IFERROR(__xludf.DUMMYFUNCTION("""COMPUTED_VALUE"""),43952.66666666667)</f>
        <v>43952.66667</v>
      </c>
      <c r="C1425" s="9">
        <f>IFERROR(__xludf.DUMMYFUNCTION("""COMPUTED_VALUE"""),62.27)</f>
        <v>62.27</v>
      </c>
      <c r="E1425" s="17"/>
      <c r="N1425" s="17"/>
      <c r="Q1425" s="17"/>
    </row>
    <row r="1426">
      <c r="B1426" s="11">
        <f>IFERROR(__xludf.DUMMYFUNCTION("""COMPUTED_VALUE"""),43951.66666666667)</f>
        <v>43951.66667</v>
      </c>
      <c r="C1426" s="9">
        <f>IFERROR(__xludf.DUMMYFUNCTION("""COMPUTED_VALUE"""),64.21)</f>
        <v>64.21</v>
      </c>
      <c r="E1426" s="17"/>
      <c r="N1426" s="17"/>
      <c r="Q1426" s="17"/>
    </row>
    <row r="1427">
      <c r="B1427" s="11">
        <f>IFERROR(__xludf.DUMMYFUNCTION("""COMPUTED_VALUE"""),43950.66666666667)</f>
        <v>43950.66667</v>
      </c>
      <c r="C1427" s="9">
        <f>IFERROR(__xludf.DUMMYFUNCTION("""COMPUTED_VALUE"""),65.51)</f>
        <v>65.51</v>
      </c>
      <c r="E1427" s="17"/>
      <c r="N1427" s="17"/>
      <c r="Q1427" s="17"/>
    </row>
    <row r="1428">
      <c r="B1428" s="11">
        <f>IFERROR(__xludf.DUMMYFUNCTION("""COMPUTED_VALUE"""),43949.66666666667)</f>
        <v>43949.66667</v>
      </c>
      <c r="C1428" s="9">
        <f>IFERROR(__xludf.DUMMYFUNCTION("""COMPUTED_VALUE"""),64.28)</f>
        <v>64.28</v>
      </c>
      <c r="E1428" s="17"/>
      <c r="N1428" s="17"/>
      <c r="Q1428" s="17"/>
    </row>
    <row r="1429">
      <c r="B1429" s="11">
        <f>IFERROR(__xludf.DUMMYFUNCTION("""COMPUTED_VALUE"""),43948.66666666667)</f>
        <v>43948.66667</v>
      </c>
      <c r="C1429" s="9">
        <f>IFERROR(__xludf.DUMMYFUNCTION("""COMPUTED_VALUE"""),63.1)</f>
        <v>63.1</v>
      </c>
      <c r="E1429" s="17"/>
      <c r="N1429" s="17"/>
      <c r="Q1429" s="17"/>
    </row>
    <row r="1430">
      <c r="B1430" s="11">
        <f>IFERROR(__xludf.DUMMYFUNCTION("""COMPUTED_VALUE"""),43945.66666666667)</f>
        <v>43945.66667</v>
      </c>
      <c r="C1430" s="9">
        <f>IFERROR(__xludf.DUMMYFUNCTION("""COMPUTED_VALUE"""),61.57)</f>
        <v>61.57</v>
      </c>
      <c r="E1430" s="17"/>
      <c r="N1430" s="17"/>
      <c r="Q1430" s="17"/>
    </row>
    <row r="1431">
      <c r="B1431" s="11">
        <f>IFERROR(__xludf.DUMMYFUNCTION("""COMPUTED_VALUE"""),43944.66666666667)</f>
        <v>43944.66667</v>
      </c>
      <c r="C1431" s="9">
        <f>IFERROR(__xludf.DUMMYFUNCTION("""COMPUTED_VALUE"""),61.08)</f>
        <v>61.08</v>
      </c>
      <c r="E1431" s="17"/>
      <c r="N1431" s="17"/>
      <c r="Q1431" s="17"/>
    </row>
    <row r="1432">
      <c r="B1432" s="11">
        <f>IFERROR(__xludf.DUMMYFUNCTION("""COMPUTED_VALUE"""),43943.66666666667)</f>
        <v>43943.66667</v>
      </c>
      <c r="C1432" s="9">
        <f>IFERROR(__xludf.DUMMYFUNCTION("""COMPUTED_VALUE"""),60.6)</f>
        <v>60.6</v>
      </c>
      <c r="E1432" s="17"/>
      <c r="N1432" s="17"/>
      <c r="Q1432" s="17"/>
    </row>
    <row r="1433">
      <c r="B1433" s="11">
        <f>IFERROR(__xludf.DUMMYFUNCTION("""COMPUTED_VALUE"""),43942.66666666667)</f>
        <v>43942.66667</v>
      </c>
      <c r="C1433" s="9">
        <f>IFERROR(__xludf.DUMMYFUNCTION("""COMPUTED_VALUE"""),59.97)</f>
        <v>59.97</v>
      </c>
      <c r="E1433" s="17"/>
      <c r="N1433" s="17"/>
      <c r="Q1433" s="17"/>
    </row>
    <row r="1434">
      <c r="B1434" s="11">
        <f>IFERROR(__xludf.DUMMYFUNCTION("""COMPUTED_VALUE"""),43941.66666666667)</f>
        <v>43941.66667</v>
      </c>
      <c r="C1434" s="9">
        <f>IFERROR(__xludf.DUMMYFUNCTION("""COMPUTED_VALUE"""),61.42)</f>
        <v>61.42</v>
      </c>
      <c r="E1434" s="17"/>
      <c r="N1434" s="17"/>
      <c r="Q1434" s="17"/>
    </row>
    <row r="1435">
      <c r="B1435" s="11">
        <f>IFERROR(__xludf.DUMMYFUNCTION("""COMPUTED_VALUE"""),43938.66666666667)</f>
        <v>43938.66667</v>
      </c>
      <c r="C1435" s="9">
        <f>IFERROR(__xludf.DUMMYFUNCTION("""COMPUTED_VALUE"""),63.1)</f>
        <v>63.1</v>
      </c>
      <c r="E1435" s="17"/>
      <c r="N1435" s="17"/>
      <c r="Q1435" s="17"/>
    </row>
    <row r="1436">
      <c r="B1436" s="11">
        <f>IFERROR(__xludf.DUMMYFUNCTION("""COMPUTED_VALUE"""),43937.66666666667)</f>
        <v>43937.66667</v>
      </c>
      <c r="C1436" s="9">
        <f>IFERROR(__xludf.DUMMYFUNCTION("""COMPUTED_VALUE"""),60.27)</f>
        <v>60.27</v>
      </c>
      <c r="E1436" s="17"/>
      <c r="N1436" s="17"/>
      <c r="Q1436" s="17"/>
    </row>
    <row r="1437">
      <c r="B1437" s="11">
        <f>IFERROR(__xludf.DUMMYFUNCTION("""COMPUTED_VALUE"""),43936.66666666667)</f>
        <v>43936.66667</v>
      </c>
      <c r="C1437" s="9">
        <f>IFERROR(__xludf.DUMMYFUNCTION("""COMPUTED_VALUE"""),60.81)</f>
        <v>60.81</v>
      </c>
      <c r="E1437" s="17"/>
      <c r="N1437" s="17"/>
      <c r="Q1437" s="17"/>
    </row>
    <row r="1438">
      <c r="B1438" s="11">
        <f>IFERROR(__xludf.DUMMYFUNCTION("""COMPUTED_VALUE"""),43935.66666666667)</f>
        <v>43935.66667</v>
      </c>
      <c r="C1438" s="9">
        <f>IFERROR(__xludf.DUMMYFUNCTION("""COMPUTED_VALUE"""),62.54)</f>
        <v>62.54</v>
      </c>
      <c r="E1438" s="17"/>
      <c r="N1438" s="17"/>
      <c r="Q1438" s="17"/>
    </row>
    <row r="1439">
      <c r="B1439" s="11">
        <f>IFERROR(__xludf.DUMMYFUNCTION("""COMPUTED_VALUE"""),43934.66666666667)</f>
        <v>43934.66667</v>
      </c>
      <c r="C1439" s="9">
        <f>IFERROR(__xludf.DUMMYFUNCTION("""COMPUTED_VALUE"""),61.37)</f>
        <v>61.37</v>
      </c>
      <c r="E1439" s="17"/>
      <c r="N1439" s="17"/>
      <c r="Q1439" s="17"/>
    </row>
    <row r="1440">
      <c r="B1440" s="11">
        <f>IFERROR(__xludf.DUMMYFUNCTION("""COMPUTED_VALUE"""),43930.66666666667)</f>
        <v>43930.66667</v>
      </c>
      <c r="C1440" s="9">
        <f>IFERROR(__xludf.DUMMYFUNCTION("""COMPUTED_VALUE"""),63.22)</f>
        <v>63.22</v>
      </c>
      <c r="E1440" s="17"/>
      <c r="N1440" s="17"/>
      <c r="Q1440" s="17"/>
    </row>
    <row r="1441">
      <c r="B1441" s="11">
        <f>IFERROR(__xludf.DUMMYFUNCTION("""COMPUTED_VALUE"""),43929.66666666667)</f>
        <v>43929.66667</v>
      </c>
      <c r="C1441" s="9">
        <f>IFERROR(__xludf.DUMMYFUNCTION("""COMPUTED_VALUE"""),62.28)</f>
        <v>62.28</v>
      </c>
      <c r="E1441" s="17"/>
      <c r="N1441" s="17"/>
      <c r="Q1441" s="17"/>
    </row>
    <row r="1442">
      <c r="B1442" s="11">
        <f>IFERROR(__xludf.DUMMYFUNCTION("""COMPUTED_VALUE"""),43928.66666666667)</f>
        <v>43928.66667</v>
      </c>
      <c r="C1442" s="9">
        <f>IFERROR(__xludf.DUMMYFUNCTION("""COMPUTED_VALUE"""),60.1)</f>
        <v>60.1</v>
      </c>
      <c r="E1442" s="17"/>
      <c r="N1442" s="17"/>
      <c r="Q1442" s="17"/>
    </row>
    <row r="1443">
      <c r="B1443" s="11">
        <f>IFERROR(__xludf.DUMMYFUNCTION("""COMPUTED_VALUE"""),43927.66666666667)</f>
        <v>43927.66667</v>
      </c>
      <c r="C1443" s="9">
        <f>IFERROR(__xludf.DUMMYFUNCTION("""COMPUTED_VALUE"""),60.24)</f>
        <v>60.24</v>
      </c>
      <c r="E1443" s="17"/>
      <c r="N1443" s="17"/>
      <c r="Q1443" s="17"/>
    </row>
    <row r="1444">
      <c r="B1444" s="11">
        <f>IFERROR(__xludf.DUMMYFUNCTION("""COMPUTED_VALUE"""),43924.66666666667)</f>
        <v>43924.66667</v>
      </c>
      <c r="C1444" s="9">
        <f>IFERROR(__xludf.DUMMYFUNCTION("""COMPUTED_VALUE"""),56.34)</f>
        <v>56.34</v>
      </c>
      <c r="E1444" s="17"/>
      <c r="N1444" s="17"/>
      <c r="Q1444" s="17"/>
    </row>
    <row r="1445">
      <c r="B1445" s="11">
        <f>IFERROR(__xludf.DUMMYFUNCTION("""COMPUTED_VALUE"""),43923.66666666667)</f>
        <v>43923.66667</v>
      </c>
      <c r="C1445" s="9">
        <f>IFERROR(__xludf.DUMMYFUNCTION("""COMPUTED_VALUE"""),57.1)</f>
        <v>57.1</v>
      </c>
      <c r="E1445" s="17"/>
      <c r="N1445" s="17"/>
      <c r="Q1445" s="17"/>
    </row>
    <row r="1446">
      <c r="B1446" s="11">
        <f>IFERROR(__xludf.DUMMYFUNCTION("""COMPUTED_VALUE"""),43922.66666666667)</f>
        <v>43922.66667</v>
      </c>
      <c r="C1446" s="9">
        <f>IFERROR(__xludf.DUMMYFUNCTION("""COMPUTED_VALUE"""),56.35)</f>
        <v>56.35</v>
      </c>
      <c r="E1446" s="17"/>
      <c r="N1446" s="17"/>
      <c r="Q1446" s="17"/>
    </row>
    <row r="1447">
      <c r="B1447" s="11">
        <f>IFERROR(__xludf.DUMMYFUNCTION("""COMPUTED_VALUE"""),43921.66666666667)</f>
        <v>43921.66667</v>
      </c>
      <c r="C1447" s="9">
        <f>IFERROR(__xludf.DUMMYFUNCTION("""COMPUTED_VALUE"""),59.01)</f>
        <v>59.01</v>
      </c>
      <c r="E1447" s="17"/>
      <c r="N1447" s="17"/>
      <c r="Q1447" s="17"/>
    </row>
    <row r="1448">
      <c r="B1448" s="11">
        <f>IFERROR(__xludf.DUMMYFUNCTION("""COMPUTED_VALUE"""),43920.66666666667)</f>
        <v>43920.66667</v>
      </c>
      <c r="C1448" s="9">
        <f>IFERROR(__xludf.DUMMYFUNCTION("""COMPUTED_VALUE"""),59.75)</f>
        <v>59.75</v>
      </c>
      <c r="E1448" s="17"/>
      <c r="N1448" s="17"/>
      <c r="Q1448" s="17"/>
    </row>
    <row r="1449">
      <c r="B1449" s="11">
        <f>IFERROR(__xludf.DUMMYFUNCTION("""COMPUTED_VALUE"""),43917.66666666667)</f>
        <v>43917.66667</v>
      </c>
      <c r="C1449" s="9">
        <f>IFERROR(__xludf.DUMMYFUNCTION("""COMPUTED_VALUE"""),58.89)</f>
        <v>58.89</v>
      </c>
      <c r="E1449" s="17"/>
      <c r="N1449" s="17"/>
      <c r="Q1449" s="17"/>
    </row>
    <row r="1450">
      <c r="B1450" s="11">
        <f>IFERROR(__xludf.DUMMYFUNCTION("""COMPUTED_VALUE"""),43916.66666666667)</f>
        <v>43916.66667</v>
      </c>
      <c r="C1450" s="9">
        <f>IFERROR(__xludf.DUMMYFUNCTION("""COMPUTED_VALUE"""),61.48)</f>
        <v>61.48</v>
      </c>
      <c r="E1450" s="17"/>
      <c r="N1450" s="17"/>
      <c r="Q1450" s="17"/>
    </row>
    <row r="1451">
      <c r="B1451" s="11">
        <f>IFERROR(__xludf.DUMMYFUNCTION("""COMPUTED_VALUE"""),43915.66666666667)</f>
        <v>43915.66667</v>
      </c>
      <c r="C1451" s="9">
        <f>IFERROR(__xludf.DUMMYFUNCTION("""COMPUTED_VALUE"""),57.83)</f>
        <v>57.83</v>
      </c>
      <c r="E1451" s="17"/>
      <c r="N1451" s="17"/>
      <c r="Q1451" s="17"/>
    </row>
    <row r="1452">
      <c r="B1452" s="11">
        <f>IFERROR(__xludf.DUMMYFUNCTION("""COMPUTED_VALUE"""),43914.66666666667)</f>
        <v>43914.66667</v>
      </c>
      <c r="C1452" s="9">
        <f>IFERROR(__xludf.DUMMYFUNCTION("""COMPUTED_VALUE"""),54.94)</f>
        <v>54.94</v>
      </c>
      <c r="E1452" s="17"/>
      <c r="N1452" s="17"/>
      <c r="Q1452" s="17"/>
    </row>
    <row r="1453">
      <c r="B1453" s="11">
        <f>IFERROR(__xludf.DUMMYFUNCTION("""COMPUTED_VALUE"""),43913.66666666667)</f>
        <v>43913.66667</v>
      </c>
      <c r="C1453" s="9">
        <f>IFERROR(__xludf.DUMMYFUNCTION("""COMPUTED_VALUE"""),48.77)</f>
        <v>48.77</v>
      </c>
      <c r="E1453" s="17"/>
      <c r="N1453" s="17"/>
      <c r="Q1453" s="17"/>
    </row>
    <row r="1454">
      <c r="B1454" s="11">
        <f>IFERROR(__xludf.DUMMYFUNCTION("""COMPUTED_VALUE"""),43910.66666666667)</f>
        <v>43910.66667</v>
      </c>
      <c r="C1454" s="9">
        <f>IFERROR(__xludf.DUMMYFUNCTION("""COMPUTED_VALUE"""),51.4)</f>
        <v>51.4</v>
      </c>
      <c r="E1454" s="17"/>
      <c r="N1454" s="17"/>
      <c r="Q1454" s="17"/>
    </row>
    <row r="1455">
      <c r="B1455" s="11">
        <f>IFERROR(__xludf.DUMMYFUNCTION("""COMPUTED_VALUE"""),43909.66666666667)</f>
        <v>43909.66667</v>
      </c>
      <c r="C1455" s="9">
        <f>IFERROR(__xludf.DUMMYFUNCTION("""COMPUTED_VALUE"""),54.11)</f>
        <v>54.11</v>
      </c>
      <c r="E1455" s="17"/>
      <c r="N1455" s="17"/>
      <c r="Q1455" s="17"/>
    </row>
    <row r="1456">
      <c r="B1456" s="11">
        <f>IFERROR(__xludf.DUMMYFUNCTION("""COMPUTED_VALUE"""),43908.66666666667)</f>
        <v>43908.66667</v>
      </c>
      <c r="C1456" s="9">
        <f>IFERROR(__xludf.DUMMYFUNCTION("""COMPUTED_VALUE"""),54.07)</f>
        <v>54.07</v>
      </c>
      <c r="E1456" s="17"/>
      <c r="N1456" s="17"/>
      <c r="Q1456" s="17"/>
    </row>
    <row r="1457">
      <c r="B1457" s="11">
        <f>IFERROR(__xludf.DUMMYFUNCTION("""COMPUTED_VALUE"""),43907.66666666667)</f>
        <v>43907.66667</v>
      </c>
      <c r="C1457" s="9">
        <f>IFERROR(__xludf.DUMMYFUNCTION("""COMPUTED_VALUE"""),58.37)</f>
        <v>58.37</v>
      </c>
      <c r="E1457" s="17"/>
      <c r="N1457" s="17"/>
      <c r="Q1457" s="17"/>
    </row>
    <row r="1458">
      <c r="B1458" s="11">
        <f>IFERROR(__xludf.DUMMYFUNCTION("""COMPUTED_VALUE"""),43906.66666666667)</f>
        <v>43906.66667</v>
      </c>
      <c r="C1458" s="9">
        <f>IFERROR(__xludf.DUMMYFUNCTION("""COMPUTED_VALUE"""),55.8)</f>
        <v>55.8</v>
      </c>
      <c r="E1458" s="17"/>
      <c r="N1458" s="17"/>
      <c r="Q1458" s="17"/>
    </row>
    <row r="1459">
      <c r="B1459" s="11">
        <f>IFERROR(__xludf.DUMMYFUNCTION("""COMPUTED_VALUE"""),43903.66666666667)</f>
        <v>43903.66667</v>
      </c>
      <c r="C1459" s="9">
        <f>IFERROR(__xludf.DUMMYFUNCTION("""COMPUTED_VALUE"""),62.94)</f>
        <v>62.94</v>
      </c>
      <c r="E1459" s="17"/>
      <c r="N1459" s="17"/>
      <c r="Q1459" s="17"/>
    </row>
    <row r="1460">
      <c r="B1460" s="11">
        <f>IFERROR(__xludf.DUMMYFUNCTION("""COMPUTED_VALUE"""),43902.66666666667)</f>
        <v>43902.66667</v>
      </c>
      <c r="C1460" s="9">
        <f>IFERROR(__xludf.DUMMYFUNCTION("""COMPUTED_VALUE"""),58.38)</f>
        <v>58.38</v>
      </c>
      <c r="E1460" s="17"/>
      <c r="N1460" s="17"/>
      <c r="Q1460" s="17"/>
    </row>
    <row r="1461">
      <c r="B1461" s="11">
        <f>IFERROR(__xludf.DUMMYFUNCTION("""COMPUTED_VALUE"""),43901.66666666667)</f>
        <v>43901.66667</v>
      </c>
      <c r="C1461" s="9">
        <f>IFERROR(__xludf.DUMMYFUNCTION("""COMPUTED_VALUE"""),65.12)</f>
        <v>65.12</v>
      </c>
      <c r="E1461" s="17"/>
      <c r="N1461" s="17"/>
      <c r="Q1461" s="17"/>
    </row>
    <row r="1462">
      <c r="B1462" s="11">
        <f>IFERROR(__xludf.DUMMYFUNCTION("""COMPUTED_VALUE"""),43900.66666666667)</f>
        <v>43900.66667</v>
      </c>
      <c r="C1462" s="9">
        <f>IFERROR(__xludf.DUMMYFUNCTION("""COMPUTED_VALUE"""),69.18)</f>
        <v>69.18</v>
      </c>
      <c r="E1462" s="17"/>
      <c r="N1462" s="17"/>
      <c r="Q1462" s="17"/>
    </row>
    <row r="1463">
      <c r="B1463" s="11">
        <f>IFERROR(__xludf.DUMMYFUNCTION("""COMPUTED_VALUE"""),43899.66666666667)</f>
        <v>43899.66667</v>
      </c>
      <c r="C1463" s="9">
        <f>IFERROR(__xludf.DUMMYFUNCTION("""COMPUTED_VALUE"""),65.77)</f>
        <v>65.77</v>
      </c>
      <c r="E1463" s="17"/>
      <c r="N1463" s="17"/>
      <c r="Q1463" s="17"/>
    </row>
    <row r="1464">
      <c r="B1464" s="11">
        <f>IFERROR(__xludf.DUMMYFUNCTION("""COMPUTED_VALUE"""),43896.66666666667)</f>
        <v>43896.66667</v>
      </c>
      <c r="C1464" s="9">
        <f>IFERROR(__xludf.DUMMYFUNCTION("""COMPUTED_VALUE"""),72.45)</f>
        <v>72.45</v>
      </c>
      <c r="E1464" s="17"/>
      <c r="N1464" s="17"/>
      <c r="Q1464" s="17"/>
    </row>
    <row r="1465">
      <c r="B1465" s="11">
        <f>IFERROR(__xludf.DUMMYFUNCTION("""COMPUTED_VALUE"""),43895.66666666667)</f>
        <v>43895.66667</v>
      </c>
      <c r="C1465" s="9">
        <f>IFERROR(__xludf.DUMMYFUNCTION("""COMPUTED_VALUE"""),73.09)</f>
        <v>73.09</v>
      </c>
      <c r="E1465" s="17"/>
      <c r="N1465" s="17"/>
      <c r="Q1465" s="17"/>
    </row>
    <row r="1466">
      <c r="B1466" s="11">
        <f>IFERROR(__xludf.DUMMYFUNCTION("""COMPUTED_VALUE"""),43894.66666666667)</f>
        <v>43894.66667</v>
      </c>
      <c r="C1466" s="9">
        <f>IFERROR(__xludf.DUMMYFUNCTION("""COMPUTED_VALUE"""),76.85)</f>
        <v>76.85</v>
      </c>
      <c r="E1466" s="17"/>
      <c r="N1466" s="17"/>
      <c r="Q1466" s="17"/>
    </row>
    <row r="1467">
      <c r="B1467" s="11">
        <f>IFERROR(__xludf.DUMMYFUNCTION("""COMPUTED_VALUE"""),43893.66666666667)</f>
        <v>43893.66667</v>
      </c>
      <c r="C1467" s="9">
        <f>IFERROR(__xludf.DUMMYFUNCTION("""COMPUTED_VALUE"""),73.8)</f>
        <v>73.8</v>
      </c>
      <c r="E1467" s="17"/>
      <c r="N1467" s="17"/>
      <c r="Q1467" s="17"/>
    </row>
    <row r="1468">
      <c r="B1468" s="11">
        <f>IFERROR(__xludf.DUMMYFUNCTION("""COMPUTED_VALUE"""),43892.66666666667)</f>
        <v>43892.66667</v>
      </c>
      <c r="C1468" s="9">
        <f>IFERROR(__xludf.DUMMYFUNCTION("""COMPUTED_VALUE"""),75.65)</f>
        <v>75.65</v>
      </c>
      <c r="E1468" s="17"/>
      <c r="N1468" s="17"/>
      <c r="Q1468" s="17"/>
    </row>
    <row r="1469">
      <c r="B1469" s="11">
        <f>IFERROR(__xludf.DUMMYFUNCTION("""COMPUTED_VALUE"""),43889.66666666667)</f>
        <v>43889.66667</v>
      </c>
      <c r="C1469" s="9">
        <f>IFERROR(__xludf.DUMMYFUNCTION("""COMPUTED_VALUE"""),73.08)</f>
        <v>73.08</v>
      </c>
      <c r="E1469" s="17"/>
      <c r="N1469" s="17"/>
      <c r="Q1469" s="17"/>
    </row>
    <row r="1470">
      <c r="B1470" s="11">
        <f>IFERROR(__xludf.DUMMYFUNCTION("""COMPUTED_VALUE"""),43888.66666666667)</f>
        <v>43888.66667</v>
      </c>
      <c r="C1470" s="9">
        <f>IFERROR(__xludf.DUMMYFUNCTION("""COMPUTED_VALUE"""),74.44)</f>
        <v>74.44</v>
      </c>
      <c r="E1470" s="17"/>
      <c r="N1470" s="17"/>
      <c r="Q1470" s="17"/>
    </row>
    <row r="1471">
      <c r="B1471" s="11">
        <f>IFERROR(__xludf.DUMMYFUNCTION("""COMPUTED_VALUE"""),43887.66666666667)</f>
        <v>43887.66667</v>
      </c>
      <c r="C1471" s="9">
        <f>IFERROR(__xludf.DUMMYFUNCTION("""COMPUTED_VALUE"""),77.31)</f>
        <v>77.31</v>
      </c>
      <c r="E1471" s="17"/>
      <c r="N1471" s="17"/>
      <c r="Q1471" s="17"/>
    </row>
    <row r="1472">
      <c r="B1472" s="11">
        <f>IFERROR(__xludf.DUMMYFUNCTION("""COMPUTED_VALUE"""),43886.66666666667)</f>
        <v>43886.66667</v>
      </c>
      <c r="C1472" s="9">
        <f>IFERROR(__xludf.DUMMYFUNCTION("""COMPUTED_VALUE"""),77.9)</f>
        <v>77.9</v>
      </c>
      <c r="E1472" s="17"/>
      <c r="N1472" s="17"/>
      <c r="Q1472" s="17"/>
    </row>
    <row r="1473">
      <c r="B1473" s="11">
        <f>IFERROR(__xludf.DUMMYFUNCTION("""COMPUTED_VALUE"""),43885.66666666667)</f>
        <v>43885.66667</v>
      </c>
      <c r="C1473" s="9">
        <f>IFERROR(__xludf.DUMMYFUNCTION("""COMPUTED_VALUE"""),81.21)</f>
        <v>81.21</v>
      </c>
      <c r="E1473" s="17"/>
      <c r="N1473" s="17"/>
      <c r="Q1473" s="17"/>
    </row>
    <row r="1474">
      <c r="B1474" s="11">
        <f>IFERROR(__xludf.DUMMYFUNCTION("""COMPUTED_VALUE"""),43882.66666666667)</f>
        <v>43882.66667</v>
      </c>
      <c r="C1474" s="9">
        <f>IFERROR(__xludf.DUMMYFUNCTION("""COMPUTED_VALUE"""),83.59)</f>
        <v>83.59</v>
      </c>
      <c r="E1474" s="17"/>
      <c r="N1474" s="17"/>
      <c r="Q1474" s="17"/>
    </row>
    <row r="1475">
      <c r="B1475" s="11">
        <f>IFERROR(__xludf.DUMMYFUNCTION("""COMPUTED_VALUE"""),43881.66666666667)</f>
        <v>43881.66667</v>
      </c>
      <c r="C1475" s="9">
        <f>IFERROR(__xludf.DUMMYFUNCTION("""COMPUTED_VALUE"""),84.01)</f>
        <v>84.01</v>
      </c>
      <c r="E1475" s="17"/>
      <c r="N1475" s="17"/>
      <c r="Q1475" s="17"/>
    </row>
    <row r="1476">
      <c r="B1476" s="11">
        <f>IFERROR(__xludf.DUMMYFUNCTION("""COMPUTED_VALUE"""),43880.66666666667)</f>
        <v>43880.66667</v>
      </c>
      <c r="C1476" s="9">
        <f>IFERROR(__xludf.DUMMYFUNCTION("""COMPUTED_VALUE"""),84.13)</f>
        <v>84.13</v>
      </c>
      <c r="E1476" s="17"/>
      <c r="N1476" s="17"/>
      <c r="Q1476" s="17"/>
    </row>
    <row r="1477">
      <c r="B1477" s="11">
        <f>IFERROR(__xludf.DUMMYFUNCTION("""COMPUTED_VALUE"""),43879.66666666667)</f>
        <v>43879.66667</v>
      </c>
      <c r="C1477" s="9">
        <f>IFERROR(__xludf.DUMMYFUNCTION("""COMPUTED_VALUE"""),84.16)</f>
        <v>84.16</v>
      </c>
      <c r="E1477" s="17"/>
      <c r="N1477" s="17"/>
      <c r="Q1477" s="17"/>
    </row>
    <row r="1478">
      <c r="B1478" s="11">
        <f>IFERROR(__xludf.DUMMYFUNCTION("""COMPUTED_VALUE"""),43875.66666666667)</f>
        <v>43875.66667</v>
      </c>
      <c r="C1478" s="9">
        <f>IFERROR(__xludf.DUMMYFUNCTION("""COMPUTED_VALUE"""),84.64)</f>
        <v>84.64</v>
      </c>
      <c r="E1478" s="17"/>
      <c r="N1478" s="17"/>
      <c r="Q1478" s="17"/>
    </row>
    <row r="1479">
      <c r="B1479" s="11">
        <f>IFERROR(__xludf.DUMMYFUNCTION("""COMPUTED_VALUE"""),43874.66666666667)</f>
        <v>43874.66667</v>
      </c>
      <c r="C1479" s="9">
        <f>IFERROR(__xludf.DUMMYFUNCTION("""COMPUTED_VALUE"""),84.75)</f>
        <v>84.75</v>
      </c>
      <c r="E1479" s="17"/>
      <c r="N1479" s="17"/>
      <c r="Q1479" s="17"/>
    </row>
    <row r="1480">
      <c r="B1480" s="11">
        <f>IFERROR(__xludf.DUMMYFUNCTION("""COMPUTED_VALUE"""),43873.66666666667)</f>
        <v>43873.66667</v>
      </c>
      <c r="C1480" s="9">
        <f>IFERROR(__xludf.DUMMYFUNCTION("""COMPUTED_VALUE"""),85.23)</f>
        <v>85.23</v>
      </c>
      <c r="E1480" s="17"/>
      <c r="N1480" s="17"/>
      <c r="Q1480" s="17"/>
    </row>
    <row r="1481">
      <c r="B1481" s="11">
        <f>IFERROR(__xludf.DUMMYFUNCTION("""COMPUTED_VALUE"""),43872.66666666667)</f>
        <v>43872.66667</v>
      </c>
      <c r="C1481" s="9">
        <f>IFERROR(__xludf.DUMMYFUNCTION("""COMPUTED_VALUE"""),84.44)</f>
        <v>84.44</v>
      </c>
      <c r="E1481" s="17"/>
      <c r="N1481" s="17"/>
      <c r="Q1481" s="17"/>
    </row>
    <row r="1482">
      <c r="B1482" s="11">
        <f>IFERROR(__xludf.DUMMYFUNCTION("""COMPUTED_VALUE"""),43871.66666666667)</f>
        <v>43871.66667</v>
      </c>
      <c r="C1482" s="9">
        <f>IFERROR(__xludf.DUMMYFUNCTION("""COMPUTED_VALUE"""),84.12)</f>
        <v>84.12</v>
      </c>
      <c r="E1482" s="17"/>
      <c r="N1482" s="17"/>
      <c r="Q1482" s="17"/>
    </row>
    <row r="1483">
      <c r="B1483" s="11">
        <f>IFERROR(__xludf.DUMMYFUNCTION("""COMPUTED_VALUE"""),43868.66666666667)</f>
        <v>43868.66667</v>
      </c>
      <c r="C1483" s="9">
        <f>IFERROR(__xludf.DUMMYFUNCTION("""COMPUTED_VALUE"""),83.65)</f>
        <v>83.65</v>
      </c>
      <c r="E1483" s="17"/>
      <c r="N1483" s="17"/>
      <c r="Q1483" s="17"/>
    </row>
    <row r="1484">
      <c r="B1484" s="11">
        <f>IFERROR(__xludf.DUMMYFUNCTION("""COMPUTED_VALUE"""),43867.66666666667)</f>
        <v>43867.66667</v>
      </c>
      <c r="C1484" s="9">
        <f>IFERROR(__xludf.DUMMYFUNCTION("""COMPUTED_VALUE"""),84.26)</f>
        <v>84.26</v>
      </c>
      <c r="E1484" s="17"/>
      <c r="N1484" s="17"/>
      <c r="Q1484" s="17"/>
    </row>
    <row r="1485">
      <c r="B1485" s="11">
        <f>IFERROR(__xludf.DUMMYFUNCTION("""COMPUTED_VALUE"""),43866.66666666667)</f>
        <v>43866.66667</v>
      </c>
      <c r="C1485" s="9">
        <f>IFERROR(__xludf.DUMMYFUNCTION("""COMPUTED_VALUE"""),83.99)</f>
        <v>83.99</v>
      </c>
      <c r="E1485" s="17"/>
      <c r="N1485" s="17"/>
      <c r="Q1485" s="17"/>
    </row>
    <row r="1486">
      <c r="B1486" s="11">
        <f>IFERROR(__xludf.DUMMYFUNCTION("""COMPUTED_VALUE"""),43865.66666666667)</f>
        <v>43865.66667</v>
      </c>
      <c r="C1486" s="9">
        <f>IFERROR(__xludf.DUMMYFUNCTION("""COMPUTED_VALUE"""),82.61)</f>
        <v>82.61</v>
      </c>
      <c r="E1486" s="17"/>
      <c r="N1486" s="17"/>
      <c r="Q1486" s="17"/>
    </row>
    <row r="1487">
      <c r="B1487" s="11">
        <f>IFERROR(__xludf.DUMMYFUNCTION("""COMPUTED_VALUE"""),43864.66666666667)</f>
        <v>43864.66667</v>
      </c>
      <c r="C1487" s="9">
        <f>IFERROR(__xludf.DUMMYFUNCTION("""COMPUTED_VALUE"""),81.08)</f>
        <v>81.08</v>
      </c>
      <c r="E1487" s="17"/>
      <c r="N1487" s="17"/>
      <c r="Q1487" s="17"/>
    </row>
    <row r="1488">
      <c r="B1488" s="11">
        <f>IFERROR(__xludf.DUMMYFUNCTION("""COMPUTED_VALUE"""),43861.66666666667)</f>
        <v>43861.66667</v>
      </c>
      <c r="C1488" s="9">
        <f>IFERROR(__xludf.DUMMYFUNCTION("""COMPUTED_VALUE"""),81.11)</f>
        <v>81.11</v>
      </c>
      <c r="E1488" s="17"/>
      <c r="N1488" s="17"/>
      <c r="Q1488" s="17"/>
    </row>
    <row r="1489">
      <c r="B1489" s="11">
        <f>IFERROR(__xludf.DUMMYFUNCTION("""COMPUTED_VALUE"""),43860.66666666667)</f>
        <v>43860.66667</v>
      </c>
      <c r="C1489" s="9">
        <f>IFERROR(__xludf.DUMMYFUNCTION("""COMPUTED_VALUE"""),83.03)</f>
        <v>83.03</v>
      </c>
      <c r="E1489" s="17"/>
      <c r="N1489" s="17"/>
      <c r="Q1489" s="17"/>
    </row>
    <row r="1490">
      <c r="B1490" s="11">
        <f>IFERROR(__xludf.DUMMYFUNCTION("""COMPUTED_VALUE"""),43859.66666666667)</f>
        <v>43859.66667</v>
      </c>
      <c r="C1490" s="9">
        <f>IFERROR(__xludf.DUMMYFUNCTION("""COMPUTED_VALUE"""),82.94)</f>
        <v>82.94</v>
      </c>
      <c r="E1490" s="17"/>
      <c r="N1490" s="17"/>
      <c r="Q1490" s="17"/>
    </row>
    <row r="1491">
      <c r="B1491" s="11">
        <f>IFERROR(__xludf.DUMMYFUNCTION("""COMPUTED_VALUE"""),43858.66666666667)</f>
        <v>43858.66667</v>
      </c>
      <c r="C1491" s="9">
        <f>IFERROR(__xludf.DUMMYFUNCTION("""COMPUTED_VALUE"""),82.5)</f>
        <v>82.5</v>
      </c>
      <c r="E1491" s="17"/>
      <c r="N1491" s="17"/>
      <c r="Q1491" s="17"/>
    </row>
    <row r="1492">
      <c r="B1492" s="11">
        <f>IFERROR(__xludf.DUMMYFUNCTION("""COMPUTED_VALUE"""),43857.66666666667)</f>
        <v>43857.66667</v>
      </c>
      <c r="C1492" s="9">
        <f>IFERROR(__xludf.DUMMYFUNCTION("""COMPUTED_VALUE"""),81.97)</f>
        <v>81.97</v>
      </c>
      <c r="E1492" s="17"/>
      <c r="N1492" s="17"/>
      <c r="Q1492" s="17"/>
    </row>
    <row r="1493">
      <c r="B1493" s="11">
        <f>IFERROR(__xludf.DUMMYFUNCTION("""COMPUTED_VALUE"""),43854.66666666667)</f>
        <v>43854.66667</v>
      </c>
      <c r="C1493" s="9">
        <f>IFERROR(__xludf.DUMMYFUNCTION("""COMPUTED_VALUE"""),83.55)</f>
        <v>83.55</v>
      </c>
      <c r="E1493" s="17"/>
      <c r="N1493" s="17"/>
      <c r="Q1493" s="17"/>
    </row>
    <row r="1494">
      <c r="B1494" s="11">
        <f>IFERROR(__xludf.DUMMYFUNCTION("""COMPUTED_VALUE"""),43853.66666666667)</f>
        <v>43853.66667</v>
      </c>
      <c r="C1494" s="9">
        <f>IFERROR(__xludf.DUMMYFUNCTION("""COMPUTED_VALUE"""),83.94)</f>
        <v>83.94</v>
      </c>
      <c r="E1494" s="17"/>
      <c r="N1494" s="17"/>
      <c r="Q1494" s="17"/>
    </row>
    <row r="1495">
      <c r="B1495" s="11">
        <f>IFERROR(__xludf.DUMMYFUNCTION("""COMPUTED_VALUE"""),43852.66666666667)</f>
        <v>43852.66667</v>
      </c>
      <c r="C1495" s="9">
        <f>IFERROR(__xludf.DUMMYFUNCTION("""COMPUTED_VALUE"""),83.04)</f>
        <v>83.04</v>
      </c>
      <c r="E1495" s="17"/>
      <c r="N1495" s="17"/>
      <c r="Q1495" s="17"/>
    </row>
    <row r="1496">
      <c r="B1496" s="11">
        <f>IFERROR(__xludf.DUMMYFUNCTION("""COMPUTED_VALUE"""),43851.66666666667)</f>
        <v>43851.66667</v>
      </c>
      <c r="C1496" s="9">
        <f>IFERROR(__xludf.DUMMYFUNCTION("""COMPUTED_VALUE"""),83.48)</f>
        <v>83.48</v>
      </c>
      <c r="E1496" s="17"/>
      <c r="N1496" s="17"/>
      <c r="Q1496" s="17"/>
    </row>
    <row r="1497">
      <c r="B1497" s="11">
        <f>IFERROR(__xludf.DUMMYFUNCTION("""COMPUTED_VALUE"""),43847.66666666667)</f>
        <v>43847.66667</v>
      </c>
      <c r="C1497" s="9">
        <f>IFERROR(__xludf.DUMMYFUNCTION("""COMPUTED_VALUE"""),84.41)</f>
        <v>84.41</v>
      </c>
      <c r="E1497" s="17"/>
      <c r="N1497" s="17"/>
      <c r="Q1497" s="17"/>
    </row>
    <row r="1498">
      <c r="B1498" s="11">
        <f>IFERROR(__xludf.DUMMYFUNCTION("""COMPUTED_VALUE"""),43846.66666666667)</f>
        <v>43846.66667</v>
      </c>
      <c r="C1498" s="9">
        <f>IFERROR(__xludf.DUMMYFUNCTION("""COMPUTED_VALUE"""),84.4)</f>
        <v>84.4</v>
      </c>
      <c r="E1498" s="17"/>
      <c r="N1498" s="17"/>
      <c r="Q1498" s="17"/>
    </row>
    <row r="1499">
      <c r="B1499" s="11">
        <f>IFERROR(__xludf.DUMMYFUNCTION("""COMPUTED_VALUE"""),43845.66666666667)</f>
        <v>43845.66667</v>
      </c>
      <c r="C1499" s="9">
        <f>IFERROR(__xludf.DUMMYFUNCTION("""COMPUTED_VALUE"""),83.57)</f>
        <v>83.57</v>
      </c>
      <c r="E1499" s="17"/>
      <c r="N1499" s="17"/>
      <c r="Q1499" s="17"/>
    </row>
    <row r="1500">
      <c r="B1500" s="11">
        <f>IFERROR(__xludf.DUMMYFUNCTION("""COMPUTED_VALUE"""),43844.66666666667)</f>
        <v>43844.66667</v>
      </c>
      <c r="C1500" s="9">
        <f>IFERROR(__xludf.DUMMYFUNCTION("""COMPUTED_VALUE"""),83.44)</f>
        <v>83.44</v>
      </c>
      <c r="E1500" s="17"/>
      <c r="N1500" s="17"/>
      <c r="Q1500" s="17"/>
    </row>
    <row r="1501">
      <c r="B1501" s="11">
        <f>IFERROR(__xludf.DUMMYFUNCTION("""COMPUTED_VALUE"""),43843.66666666667)</f>
        <v>43843.66667</v>
      </c>
      <c r="C1501" s="9">
        <f>IFERROR(__xludf.DUMMYFUNCTION("""COMPUTED_VALUE"""),83.43)</f>
        <v>83.43</v>
      </c>
      <c r="E1501" s="17"/>
      <c r="N1501" s="17"/>
      <c r="Q1501" s="17"/>
    </row>
    <row r="1502">
      <c r="B1502" s="11">
        <f>IFERROR(__xludf.DUMMYFUNCTION("""COMPUTED_VALUE"""),43840.66666666667)</f>
        <v>43840.66667</v>
      </c>
      <c r="C1502" s="9">
        <f>IFERROR(__xludf.DUMMYFUNCTION("""COMPUTED_VALUE"""),82.75)</f>
        <v>82.75</v>
      </c>
      <c r="E1502" s="17"/>
      <c r="N1502" s="17"/>
      <c r="Q1502" s="17"/>
    </row>
    <row r="1503">
      <c r="B1503" s="11">
        <f>IFERROR(__xludf.DUMMYFUNCTION("""COMPUTED_VALUE"""),43839.66666666667)</f>
        <v>43839.66667</v>
      </c>
      <c r="C1503" s="9">
        <f>IFERROR(__xludf.DUMMYFUNCTION("""COMPUTED_VALUE"""),83.34)</f>
        <v>83.34</v>
      </c>
      <c r="E1503" s="17"/>
      <c r="N1503" s="17"/>
      <c r="Q1503" s="17"/>
    </row>
    <row r="1504">
      <c r="B1504" s="11">
        <f>IFERROR(__xludf.DUMMYFUNCTION("""COMPUTED_VALUE"""),43838.66666666667)</f>
        <v>43838.66667</v>
      </c>
      <c r="C1504" s="9">
        <f>IFERROR(__xludf.DUMMYFUNCTION("""COMPUTED_VALUE"""),82.99)</f>
        <v>82.99</v>
      </c>
      <c r="E1504" s="17"/>
      <c r="N1504" s="17"/>
      <c r="Q1504" s="17"/>
    </row>
    <row r="1505">
      <c r="B1505" s="11">
        <f>IFERROR(__xludf.DUMMYFUNCTION("""COMPUTED_VALUE"""),43837.66666666667)</f>
        <v>43837.66667</v>
      </c>
      <c r="C1505" s="9">
        <f>IFERROR(__xludf.DUMMYFUNCTION("""COMPUTED_VALUE"""),82.71)</f>
        <v>82.71</v>
      </c>
      <c r="E1505" s="17"/>
      <c r="N1505" s="17"/>
      <c r="Q1505" s="17"/>
    </row>
    <row r="1506">
      <c r="B1506" s="11">
        <f>IFERROR(__xludf.DUMMYFUNCTION("""COMPUTED_VALUE"""),43836.66666666667)</f>
        <v>43836.66667</v>
      </c>
      <c r="C1506" s="9">
        <f>IFERROR(__xludf.DUMMYFUNCTION("""COMPUTED_VALUE"""),82.88)</f>
        <v>82.88</v>
      </c>
      <c r="E1506" s="17"/>
      <c r="N1506" s="17"/>
      <c r="Q1506" s="17"/>
    </row>
    <row r="1507">
      <c r="B1507" s="11">
        <f>IFERROR(__xludf.DUMMYFUNCTION("""COMPUTED_VALUE"""),43833.66666666667)</f>
        <v>43833.66667</v>
      </c>
      <c r="C1507" s="9">
        <f>IFERROR(__xludf.DUMMYFUNCTION("""COMPUTED_VALUE"""),82.85)</f>
        <v>82.85</v>
      </c>
      <c r="E1507" s="17"/>
      <c r="N1507" s="17"/>
      <c r="Q1507" s="17"/>
    </row>
    <row r="1508">
      <c r="B1508" s="11">
        <f>IFERROR(__xludf.DUMMYFUNCTION("""COMPUTED_VALUE"""),43832.66666666667)</f>
        <v>43832.66667</v>
      </c>
      <c r="C1508" s="9">
        <f>IFERROR(__xludf.DUMMYFUNCTION("""COMPUTED_VALUE"""),83.01)</f>
        <v>83.01</v>
      </c>
      <c r="E1508" s="17"/>
      <c r="N1508" s="17"/>
      <c r="Q1508" s="17"/>
    </row>
    <row r="1509">
      <c r="B1509" s="11">
        <f>IFERROR(__xludf.DUMMYFUNCTION("""COMPUTED_VALUE"""),43830.66666666667)</f>
        <v>43830.66667</v>
      </c>
      <c r="C1509" s="9">
        <f>IFERROR(__xludf.DUMMYFUNCTION("""COMPUTED_VALUE"""),81.47)</f>
        <v>81.47</v>
      </c>
      <c r="E1509" s="17"/>
      <c r="N1509" s="17"/>
      <c r="Q1509" s="17"/>
    </row>
    <row r="1510">
      <c r="B1510" s="11">
        <f>IFERROR(__xludf.DUMMYFUNCTION("""COMPUTED_VALUE"""),43829.66666666667)</f>
        <v>43829.66667</v>
      </c>
      <c r="C1510" s="9">
        <f>IFERROR(__xludf.DUMMYFUNCTION("""COMPUTED_VALUE"""),81.52)</f>
        <v>81.52</v>
      </c>
      <c r="E1510" s="17"/>
      <c r="N1510" s="17"/>
      <c r="Q1510" s="17"/>
    </row>
    <row r="1511">
      <c r="B1511" s="11">
        <f>IFERROR(__xludf.DUMMYFUNCTION("""COMPUTED_VALUE"""),43826.66666666667)</f>
        <v>43826.66667</v>
      </c>
      <c r="C1511" s="9">
        <f>IFERROR(__xludf.DUMMYFUNCTION("""COMPUTED_VALUE"""),81.9)</f>
        <v>81.9</v>
      </c>
      <c r="E1511" s="17"/>
      <c r="N1511" s="17"/>
      <c r="Q1511" s="17"/>
    </row>
    <row r="1512">
      <c r="B1512" s="11">
        <f>IFERROR(__xludf.DUMMYFUNCTION("""COMPUTED_VALUE"""),43825.66666666667)</f>
        <v>43825.66667</v>
      </c>
      <c r="C1512" s="9">
        <f>IFERROR(__xludf.DUMMYFUNCTION("""COMPUTED_VALUE"""),81.97)</f>
        <v>81.97</v>
      </c>
      <c r="E1512" s="17"/>
      <c r="N1512" s="17"/>
      <c r="Q1512" s="17"/>
    </row>
    <row r="1513">
      <c r="B1513" s="11">
        <f>IFERROR(__xludf.DUMMYFUNCTION("""COMPUTED_VALUE"""),43823.54166666667)</f>
        <v>43823.54167</v>
      </c>
      <c r="C1513" s="9">
        <f>IFERROR(__xludf.DUMMYFUNCTION("""COMPUTED_VALUE"""),81.78)</f>
        <v>81.78</v>
      </c>
      <c r="E1513" s="17"/>
      <c r="N1513" s="17"/>
      <c r="Q1513" s="17"/>
    </row>
    <row r="1514">
      <c r="B1514" s="11">
        <f>IFERROR(__xludf.DUMMYFUNCTION("""COMPUTED_VALUE"""),43822.66666666667)</f>
        <v>43822.66667</v>
      </c>
      <c r="C1514" s="9">
        <f>IFERROR(__xludf.DUMMYFUNCTION("""COMPUTED_VALUE"""),82.11)</f>
        <v>82.11</v>
      </c>
      <c r="E1514" s="17"/>
      <c r="N1514" s="17"/>
      <c r="Q1514" s="17"/>
    </row>
    <row r="1515">
      <c r="B1515" s="11">
        <f>IFERROR(__xludf.DUMMYFUNCTION("""COMPUTED_VALUE"""),43819.66666666667)</f>
        <v>43819.66667</v>
      </c>
      <c r="C1515" s="9">
        <f>IFERROR(__xludf.DUMMYFUNCTION("""COMPUTED_VALUE"""),81.44)</f>
        <v>81.44</v>
      </c>
      <c r="E1515" s="17"/>
      <c r="N1515" s="17"/>
      <c r="Q1515" s="17"/>
    </row>
    <row r="1516">
      <c r="B1516" s="11">
        <f>IFERROR(__xludf.DUMMYFUNCTION("""COMPUTED_VALUE"""),43818.66666666667)</f>
        <v>43818.66667</v>
      </c>
      <c r="C1516" s="9">
        <f>IFERROR(__xludf.DUMMYFUNCTION("""COMPUTED_VALUE"""),81.47)</f>
        <v>81.47</v>
      </c>
      <c r="E1516" s="17"/>
      <c r="N1516" s="17"/>
      <c r="Q1516" s="17"/>
    </row>
    <row r="1517">
      <c r="B1517" s="11">
        <f>IFERROR(__xludf.DUMMYFUNCTION("""COMPUTED_VALUE"""),43817.66666666667)</f>
        <v>43817.66667</v>
      </c>
      <c r="C1517" s="9">
        <f>IFERROR(__xludf.DUMMYFUNCTION("""COMPUTED_VALUE"""),81.25)</f>
        <v>81.25</v>
      </c>
      <c r="E1517" s="17"/>
      <c r="N1517" s="17"/>
      <c r="Q1517" s="17"/>
    </row>
    <row r="1518">
      <c r="B1518" s="11">
        <f>IFERROR(__xludf.DUMMYFUNCTION("""COMPUTED_VALUE"""),43816.66666666667)</f>
        <v>43816.66667</v>
      </c>
      <c r="C1518" s="9">
        <f>IFERROR(__xludf.DUMMYFUNCTION("""COMPUTED_VALUE"""),81.59)</f>
        <v>81.59</v>
      </c>
      <c r="E1518" s="17"/>
      <c r="N1518" s="17"/>
      <c r="Q1518" s="17"/>
    </row>
    <row r="1519">
      <c r="B1519" s="11">
        <f>IFERROR(__xludf.DUMMYFUNCTION("""COMPUTED_VALUE"""),43815.66666666667)</f>
        <v>43815.66667</v>
      </c>
      <c r="C1519" s="9">
        <f>IFERROR(__xludf.DUMMYFUNCTION("""COMPUTED_VALUE"""),81.67)</f>
        <v>81.67</v>
      </c>
      <c r="E1519" s="17"/>
      <c r="N1519" s="17"/>
      <c r="Q1519" s="17"/>
    </row>
    <row r="1520">
      <c r="B1520" s="11">
        <f>IFERROR(__xludf.DUMMYFUNCTION("""COMPUTED_VALUE"""),43812.66666666667)</f>
        <v>43812.66667</v>
      </c>
      <c r="C1520" s="9">
        <f>IFERROR(__xludf.DUMMYFUNCTION("""COMPUTED_VALUE"""),81.71)</f>
        <v>81.71</v>
      </c>
      <c r="E1520" s="17"/>
      <c r="N1520" s="17"/>
      <c r="Q1520" s="17"/>
    </row>
    <row r="1521">
      <c r="B1521" s="11">
        <f>IFERROR(__xludf.DUMMYFUNCTION("""COMPUTED_VALUE"""),43811.66666666667)</f>
        <v>43811.66667</v>
      </c>
      <c r="C1521" s="9">
        <f>IFERROR(__xludf.DUMMYFUNCTION("""COMPUTED_VALUE"""),81.93)</f>
        <v>81.93</v>
      </c>
      <c r="E1521" s="17"/>
      <c r="N1521" s="17"/>
      <c r="Q1521" s="17"/>
    </row>
    <row r="1522">
      <c r="B1522" s="11">
        <f>IFERROR(__xludf.DUMMYFUNCTION("""COMPUTED_VALUE"""),43810.66666666667)</f>
        <v>43810.66667</v>
      </c>
      <c r="C1522" s="9">
        <f>IFERROR(__xludf.DUMMYFUNCTION("""COMPUTED_VALUE"""),81.21)</f>
        <v>81.21</v>
      </c>
      <c r="E1522" s="17"/>
      <c r="N1522" s="17"/>
      <c r="Q1522" s="17"/>
    </row>
    <row r="1523">
      <c r="B1523" s="11">
        <f>IFERROR(__xludf.DUMMYFUNCTION("""COMPUTED_VALUE"""),43809.66666666667)</f>
        <v>43809.66667</v>
      </c>
      <c r="C1523" s="9">
        <f>IFERROR(__xludf.DUMMYFUNCTION("""COMPUTED_VALUE"""),80.7)</f>
        <v>80.7</v>
      </c>
      <c r="E1523" s="17"/>
      <c r="N1523" s="17"/>
      <c r="Q1523" s="17"/>
    </row>
    <row r="1524">
      <c r="B1524" s="11">
        <f>IFERROR(__xludf.DUMMYFUNCTION("""COMPUTED_VALUE"""),43808.66666666667)</f>
        <v>43808.66667</v>
      </c>
      <c r="C1524" s="9">
        <f>IFERROR(__xludf.DUMMYFUNCTION("""COMPUTED_VALUE"""),80.8)</f>
        <v>80.8</v>
      </c>
      <c r="E1524" s="17"/>
      <c r="N1524" s="17"/>
      <c r="Q1524" s="17"/>
    </row>
    <row r="1525">
      <c r="B1525" s="11">
        <f>IFERROR(__xludf.DUMMYFUNCTION("""COMPUTED_VALUE"""),43805.66666666667)</f>
        <v>43805.66667</v>
      </c>
      <c r="C1525" s="9">
        <f>IFERROR(__xludf.DUMMYFUNCTION("""COMPUTED_VALUE"""),81.11)</f>
        <v>81.11</v>
      </c>
      <c r="E1525" s="17"/>
      <c r="N1525" s="17"/>
      <c r="Q1525" s="17"/>
    </row>
    <row r="1526">
      <c r="B1526" s="11">
        <f>IFERROR(__xludf.DUMMYFUNCTION("""COMPUTED_VALUE"""),43804.66666666667)</f>
        <v>43804.66667</v>
      </c>
      <c r="C1526" s="9">
        <f>IFERROR(__xludf.DUMMYFUNCTION("""COMPUTED_VALUE"""),80.14)</f>
        <v>80.14</v>
      </c>
      <c r="E1526" s="17"/>
      <c r="N1526" s="17"/>
      <c r="Q1526" s="17"/>
    </row>
    <row r="1527">
      <c r="B1527" s="11">
        <f>IFERROR(__xludf.DUMMYFUNCTION("""COMPUTED_VALUE"""),43803.66666666667)</f>
        <v>43803.66667</v>
      </c>
      <c r="C1527" s="9">
        <f>IFERROR(__xludf.DUMMYFUNCTION("""COMPUTED_VALUE"""),80.12)</f>
        <v>80.12</v>
      </c>
      <c r="E1527" s="17"/>
      <c r="N1527" s="17"/>
      <c r="Q1527" s="17"/>
    </row>
    <row r="1528">
      <c r="B1528" s="11">
        <f>IFERROR(__xludf.DUMMYFUNCTION("""COMPUTED_VALUE"""),43802.66666666667)</f>
        <v>43802.66667</v>
      </c>
      <c r="C1528" s="9">
        <f>IFERROR(__xludf.DUMMYFUNCTION("""COMPUTED_VALUE"""),79.81)</f>
        <v>79.81</v>
      </c>
      <c r="E1528" s="17"/>
      <c r="N1528" s="17"/>
      <c r="Q1528" s="17"/>
    </row>
    <row r="1529">
      <c r="B1529" s="11">
        <f>IFERROR(__xludf.DUMMYFUNCTION("""COMPUTED_VALUE"""),43801.66666666667)</f>
        <v>43801.66667</v>
      </c>
      <c r="C1529" s="9">
        <f>IFERROR(__xludf.DUMMYFUNCTION("""COMPUTED_VALUE"""),80.69)</f>
        <v>80.69</v>
      </c>
      <c r="E1529" s="17"/>
      <c r="N1529" s="17"/>
      <c r="Q1529" s="17"/>
    </row>
    <row r="1530">
      <c r="B1530" s="11">
        <f>IFERROR(__xludf.DUMMYFUNCTION("""COMPUTED_VALUE"""),43798.54166666667)</f>
        <v>43798.54167</v>
      </c>
      <c r="C1530" s="9">
        <f>IFERROR(__xludf.DUMMYFUNCTION("""COMPUTED_VALUE"""),82.04)</f>
        <v>82.04</v>
      </c>
      <c r="E1530" s="17"/>
      <c r="N1530" s="17"/>
      <c r="Q1530" s="17"/>
    </row>
    <row r="1531">
      <c r="B1531" s="11">
        <f>IFERROR(__xludf.DUMMYFUNCTION("""COMPUTED_VALUE"""),43796.66666666667)</f>
        <v>43796.66667</v>
      </c>
      <c r="C1531" s="9">
        <f>IFERROR(__xludf.DUMMYFUNCTION("""COMPUTED_VALUE"""),82.42)</f>
        <v>82.42</v>
      </c>
      <c r="E1531" s="17"/>
      <c r="N1531" s="17"/>
      <c r="Q1531" s="17"/>
    </row>
    <row r="1532">
      <c r="B1532" s="11">
        <f>IFERROR(__xludf.DUMMYFUNCTION("""COMPUTED_VALUE"""),43795.66666666667)</f>
        <v>43795.66667</v>
      </c>
      <c r="C1532" s="9">
        <f>IFERROR(__xludf.DUMMYFUNCTION("""COMPUTED_VALUE"""),82.5)</f>
        <v>82.5</v>
      </c>
      <c r="E1532" s="17"/>
      <c r="N1532" s="17"/>
      <c r="Q1532" s="17"/>
    </row>
    <row r="1533">
      <c r="B1533" s="11">
        <f>IFERROR(__xludf.DUMMYFUNCTION("""COMPUTED_VALUE"""),43794.66666666667)</f>
        <v>43794.66667</v>
      </c>
      <c r="C1533" s="9">
        <f>IFERROR(__xludf.DUMMYFUNCTION("""COMPUTED_VALUE"""),82.26)</f>
        <v>82.26</v>
      </c>
      <c r="E1533" s="17"/>
      <c r="N1533" s="17"/>
      <c r="Q1533" s="17"/>
    </row>
    <row r="1534">
      <c r="B1534" s="11">
        <f>IFERROR(__xludf.DUMMYFUNCTION("""COMPUTED_VALUE"""),43791.66666666667)</f>
        <v>43791.66667</v>
      </c>
      <c r="C1534" s="9">
        <f>IFERROR(__xludf.DUMMYFUNCTION("""COMPUTED_VALUE"""),81.67)</f>
        <v>81.67</v>
      </c>
      <c r="E1534" s="17"/>
      <c r="N1534" s="17"/>
      <c r="Q1534" s="17"/>
    </row>
    <row r="1535">
      <c r="B1535" s="11">
        <f>IFERROR(__xludf.DUMMYFUNCTION("""COMPUTED_VALUE"""),43790.66666666667)</f>
        <v>43790.66667</v>
      </c>
      <c r="C1535" s="9">
        <f>IFERROR(__xludf.DUMMYFUNCTION("""COMPUTED_VALUE"""),81.25)</f>
        <v>81.25</v>
      </c>
      <c r="E1535" s="17"/>
      <c r="N1535" s="17"/>
      <c r="Q1535" s="17"/>
    </row>
    <row r="1536">
      <c r="B1536" s="11">
        <f>IFERROR(__xludf.DUMMYFUNCTION("""COMPUTED_VALUE"""),43789.66666666667)</f>
        <v>43789.66667</v>
      </c>
      <c r="C1536" s="9">
        <f>IFERROR(__xludf.DUMMYFUNCTION("""COMPUTED_VALUE"""),81.28)</f>
        <v>81.28</v>
      </c>
      <c r="E1536" s="17"/>
      <c r="N1536" s="17"/>
      <c r="Q1536" s="17"/>
    </row>
    <row r="1537">
      <c r="B1537" s="11">
        <f>IFERROR(__xludf.DUMMYFUNCTION("""COMPUTED_VALUE"""),43788.66666666667)</f>
        <v>43788.66667</v>
      </c>
      <c r="C1537" s="9">
        <f>IFERROR(__xludf.DUMMYFUNCTION("""COMPUTED_VALUE"""),81.93)</f>
        <v>81.93</v>
      </c>
      <c r="E1537" s="17"/>
      <c r="N1537" s="17"/>
      <c r="Q1537" s="17"/>
    </row>
    <row r="1538">
      <c r="B1538" s="11">
        <f>IFERROR(__xludf.DUMMYFUNCTION("""COMPUTED_VALUE"""),43787.66666666667)</f>
        <v>43787.66667</v>
      </c>
      <c r="C1538" s="9">
        <f>IFERROR(__xludf.DUMMYFUNCTION("""COMPUTED_VALUE"""),82.0)</f>
        <v>82</v>
      </c>
      <c r="E1538" s="17"/>
      <c r="N1538" s="17"/>
      <c r="Q1538" s="17"/>
    </row>
    <row r="1539">
      <c r="B1539" s="11">
        <f>IFERROR(__xludf.DUMMYFUNCTION("""COMPUTED_VALUE"""),43784.66666666667)</f>
        <v>43784.66667</v>
      </c>
      <c r="C1539" s="9">
        <f>IFERROR(__xludf.DUMMYFUNCTION("""COMPUTED_VALUE"""),82.31)</f>
        <v>82.31</v>
      </c>
      <c r="E1539" s="17"/>
      <c r="N1539" s="17"/>
      <c r="Q1539" s="17"/>
    </row>
    <row r="1540">
      <c r="B1540" s="11">
        <f>IFERROR(__xludf.DUMMYFUNCTION("""COMPUTED_VALUE"""),43783.66666666667)</f>
        <v>43783.66667</v>
      </c>
      <c r="C1540" s="9">
        <f>IFERROR(__xludf.DUMMYFUNCTION("""COMPUTED_VALUE"""),81.71)</f>
        <v>81.71</v>
      </c>
      <c r="E1540" s="17"/>
      <c r="N1540" s="17"/>
      <c r="Q1540" s="17"/>
    </row>
    <row r="1541">
      <c r="B1541" s="11">
        <f>IFERROR(__xludf.DUMMYFUNCTION("""COMPUTED_VALUE"""),43782.66666666667)</f>
        <v>43782.66667</v>
      </c>
      <c r="C1541" s="9">
        <f>IFERROR(__xludf.DUMMYFUNCTION("""COMPUTED_VALUE"""),81.45)</f>
        <v>81.45</v>
      </c>
      <c r="E1541" s="17"/>
      <c r="N1541" s="17"/>
      <c r="Q1541" s="17"/>
    </row>
    <row r="1542">
      <c r="B1542" s="11">
        <f>IFERROR(__xludf.DUMMYFUNCTION("""COMPUTED_VALUE"""),43781.66666666667)</f>
        <v>43781.66667</v>
      </c>
      <c r="C1542" s="9">
        <f>IFERROR(__xludf.DUMMYFUNCTION("""COMPUTED_VALUE"""),81.79)</f>
        <v>81.79</v>
      </c>
      <c r="E1542" s="17"/>
      <c r="N1542" s="17"/>
      <c r="Q1542" s="17"/>
    </row>
    <row r="1543">
      <c r="B1543" s="11">
        <f>IFERROR(__xludf.DUMMYFUNCTION("""COMPUTED_VALUE"""),43780.66666666667)</f>
        <v>43780.66667</v>
      </c>
      <c r="C1543" s="9">
        <f>IFERROR(__xludf.DUMMYFUNCTION("""COMPUTED_VALUE"""),81.8)</f>
        <v>81.8</v>
      </c>
      <c r="E1543" s="17"/>
      <c r="N1543" s="17"/>
      <c r="Q1543" s="17"/>
    </row>
    <row r="1544">
      <c r="B1544" s="11">
        <f>IFERROR(__xludf.DUMMYFUNCTION("""COMPUTED_VALUE"""),43777.66666666667)</f>
        <v>43777.66667</v>
      </c>
      <c r="C1544" s="9">
        <f>IFERROR(__xludf.DUMMYFUNCTION("""COMPUTED_VALUE"""),81.76)</f>
        <v>81.76</v>
      </c>
      <c r="E1544" s="17"/>
      <c r="N1544" s="17"/>
      <c r="Q1544" s="17"/>
    </row>
    <row r="1545">
      <c r="B1545" s="11">
        <f>IFERROR(__xludf.DUMMYFUNCTION("""COMPUTED_VALUE"""),43776.66666666667)</f>
        <v>43776.66667</v>
      </c>
      <c r="C1545" s="9">
        <f>IFERROR(__xludf.DUMMYFUNCTION("""COMPUTED_VALUE"""),81.65)</f>
        <v>81.65</v>
      </c>
      <c r="E1545" s="17"/>
      <c r="N1545" s="17"/>
      <c r="Q1545" s="17"/>
    </row>
    <row r="1546">
      <c r="B1546" s="11">
        <f>IFERROR(__xludf.DUMMYFUNCTION("""COMPUTED_VALUE"""),43775.66666666667)</f>
        <v>43775.66667</v>
      </c>
      <c r="C1546" s="9">
        <f>IFERROR(__xludf.DUMMYFUNCTION("""COMPUTED_VALUE"""),81.37)</f>
        <v>81.37</v>
      </c>
      <c r="E1546" s="17"/>
      <c r="N1546" s="17"/>
      <c r="Q1546" s="17"/>
    </row>
    <row r="1547">
      <c r="B1547" s="11">
        <f>IFERROR(__xludf.DUMMYFUNCTION("""COMPUTED_VALUE"""),43774.66666666667)</f>
        <v>43774.66667</v>
      </c>
      <c r="C1547" s="9">
        <f>IFERROR(__xludf.DUMMYFUNCTION("""COMPUTED_VALUE"""),81.32)</f>
        <v>81.32</v>
      </c>
      <c r="E1547" s="17"/>
      <c r="N1547" s="17"/>
      <c r="Q1547" s="17"/>
    </row>
    <row r="1548">
      <c r="B1548" s="11">
        <f>IFERROR(__xludf.DUMMYFUNCTION("""COMPUTED_VALUE"""),43773.66666666667)</f>
        <v>43773.66667</v>
      </c>
      <c r="C1548" s="9">
        <f>IFERROR(__xludf.DUMMYFUNCTION("""COMPUTED_VALUE"""),81.15)</f>
        <v>81.15</v>
      </c>
      <c r="E1548" s="17"/>
      <c r="N1548" s="17"/>
      <c r="Q1548" s="17"/>
    </row>
    <row r="1549">
      <c r="B1549" s="11">
        <f>IFERROR(__xludf.DUMMYFUNCTION("""COMPUTED_VALUE"""),43770.66666666667)</f>
        <v>43770.66667</v>
      </c>
      <c r="C1549" s="9">
        <f>IFERROR(__xludf.DUMMYFUNCTION("""COMPUTED_VALUE"""),80.22)</f>
        <v>80.22</v>
      </c>
      <c r="E1549" s="17"/>
      <c r="N1549" s="17"/>
      <c r="Q1549" s="17"/>
    </row>
    <row r="1550">
      <c r="B1550" s="11">
        <f>IFERROR(__xludf.DUMMYFUNCTION("""COMPUTED_VALUE"""),43769.66666666667)</f>
        <v>43769.66667</v>
      </c>
      <c r="C1550" s="9">
        <f>IFERROR(__xludf.DUMMYFUNCTION("""COMPUTED_VALUE"""),78.51)</f>
        <v>78.51</v>
      </c>
      <c r="E1550" s="17"/>
      <c r="N1550" s="17"/>
      <c r="Q1550" s="17"/>
    </row>
    <row r="1551">
      <c r="B1551" s="11">
        <f>IFERROR(__xludf.DUMMYFUNCTION("""COMPUTED_VALUE"""),43768.66666666667)</f>
        <v>43768.66667</v>
      </c>
      <c r="C1551" s="9">
        <f>IFERROR(__xludf.DUMMYFUNCTION("""COMPUTED_VALUE"""),79.36)</f>
        <v>79.36</v>
      </c>
      <c r="E1551" s="17"/>
      <c r="N1551" s="17"/>
      <c r="Q1551" s="17"/>
    </row>
    <row r="1552">
      <c r="B1552" s="11">
        <f>IFERROR(__xludf.DUMMYFUNCTION("""COMPUTED_VALUE"""),43767.66666666667)</f>
        <v>43767.66667</v>
      </c>
      <c r="C1552" s="9">
        <f>IFERROR(__xludf.DUMMYFUNCTION("""COMPUTED_VALUE"""),79.08)</f>
        <v>79.08</v>
      </c>
      <c r="E1552" s="17"/>
      <c r="N1552" s="17"/>
      <c r="Q1552" s="17"/>
    </row>
    <row r="1553">
      <c r="B1553" s="11">
        <f>IFERROR(__xludf.DUMMYFUNCTION("""COMPUTED_VALUE"""),43766.66666666667)</f>
        <v>43766.66667</v>
      </c>
      <c r="C1553" s="9">
        <f>IFERROR(__xludf.DUMMYFUNCTION("""COMPUTED_VALUE"""),78.82)</f>
        <v>78.82</v>
      </c>
      <c r="E1553" s="17"/>
      <c r="N1553" s="17"/>
      <c r="Q1553" s="17"/>
    </row>
    <row r="1554">
      <c r="B1554" s="11">
        <f>IFERROR(__xludf.DUMMYFUNCTION("""COMPUTED_VALUE"""),43763.66666666667)</f>
        <v>43763.66667</v>
      </c>
      <c r="C1554" s="9">
        <f>IFERROR(__xludf.DUMMYFUNCTION("""COMPUTED_VALUE"""),78.6)</f>
        <v>78.6</v>
      </c>
      <c r="E1554" s="17"/>
      <c r="N1554" s="17"/>
      <c r="Q1554" s="17"/>
    </row>
    <row r="1555">
      <c r="B1555" s="11">
        <f>IFERROR(__xludf.DUMMYFUNCTION("""COMPUTED_VALUE"""),43762.66666666667)</f>
        <v>43762.66667</v>
      </c>
      <c r="C1555" s="9">
        <f>IFERROR(__xludf.DUMMYFUNCTION("""COMPUTED_VALUE"""),78.11)</f>
        <v>78.11</v>
      </c>
      <c r="E1555" s="17"/>
      <c r="N1555" s="17"/>
      <c r="Q1555" s="17"/>
    </row>
    <row r="1556">
      <c r="B1556" s="11">
        <f>IFERROR(__xludf.DUMMYFUNCTION("""COMPUTED_VALUE"""),43761.66666666667)</f>
        <v>43761.66667</v>
      </c>
      <c r="C1556" s="9">
        <f>IFERROR(__xludf.DUMMYFUNCTION("""COMPUTED_VALUE"""),78.0)</f>
        <v>78</v>
      </c>
      <c r="E1556" s="17"/>
      <c r="N1556" s="17"/>
      <c r="Q1556" s="17"/>
    </row>
    <row r="1557">
      <c r="B1557" s="11">
        <f>IFERROR(__xludf.DUMMYFUNCTION("""COMPUTED_VALUE"""),43760.66666666667)</f>
        <v>43760.66667</v>
      </c>
      <c r="C1557" s="9">
        <f>IFERROR(__xludf.DUMMYFUNCTION("""COMPUTED_VALUE"""),78.01)</f>
        <v>78.01</v>
      </c>
      <c r="E1557" s="17"/>
      <c r="N1557" s="17"/>
      <c r="Q1557" s="17"/>
    </row>
    <row r="1558">
      <c r="B1558" s="11">
        <f>IFERROR(__xludf.DUMMYFUNCTION("""COMPUTED_VALUE"""),43759.66666666667)</f>
        <v>43759.66667</v>
      </c>
      <c r="C1558" s="9">
        <f>IFERROR(__xludf.DUMMYFUNCTION("""COMPUTED_VALUE"""),77.4)</f>
        <v>77.4</v>
      </c>
      <c r="E1558" s="17"/>
      <c r="N1558" s="17"/>
      <c r="Q1558" s="17"/>
    </row>
    <row r="1559">
      <c r="B1559" s="11">
        <f>IFERROR(__xludf.DUMMYFUNCTION("""COMPUTED_VALUE"""),43756.66666666667)</f>
        <v>43756.66667</v>
      </c>
      <c r="C1559" s="9">
        <f>IFERROR(__xludf.DUMMYFUNCTION("""COMPUTED_VALUE"""),76.94)</f>
        <v>76.94</v>
      </c>
      <c r="E1559" s="17"/>
      <c r="N1559" s="17"/>
      <c r="Q1559" s="17"/>
    </row>
    <row r="1560">
      <c r="B1560" s="11">
        <f>IFERROR(__xludf.DUMMYFUNCTION("""COMPUTED_VALUE"""),43755.66666666667)</f>
        <v>43755.66667</v>
      </c>
      <c r="C1560" s="9">
        <f>IFERROR(__xludf.DUMMYFUNCTION("""COMPUTED_VALUE"""),77.61)</f>
        <v>77.61</v>
      </c>
      <c r="E1560" s="17"/>
      <c r="N1560" s="17"/>
      <c r="Q1560" s="17"/>
    </row>
    <row r="1561">
      <c r="B1561" s="11">
        <f>IFERROR(__xludf.DUMMYFUNCTION("""COMPUTED_VALUE"""),43754.66666666667)</f>
        <v>43754.66667</v>
      </c>
      <c r="C1561" s="9">
        <f>IFERROR(__xludf.DUMMYFUNCTION("""COMPUTED_VALUE"""),77.23)</f>
        <v>77.23</v>
      </c>
      <c r="E1561" s="17"/>
      <c r="N1561" s="17"/>
      <c r="Q1561" s="17"/>
    </row>
    <row r="1562">
      <c r="B1562" s="11">
        <f>IFERROR(__xludf.DUMMYFUNCTION("""COMPUTED_VALUE"""),43753.66666666667)</f>
        <v>43753.66667</v>
      </c>
      <c r="C1562" s="9">
        <f>IFERROR(__xludf.DUMMYFUNCTION("""COMPUTED_VALUE"""),77.27)</f>
        <v>77.27</v>
      </c>
      <c r="E1562" s="17"/>
      <c r="N1562" s="17"/>
      <c r="Q1562" s="17"/>
    </row>
    <row r="1563">
      <c r="B1563" s="11">
        <f>IFERROR(__xludf.DUMMYFUNCTION("""COMPUTED_VALUE"""),43752.66666666667)</f>
        <v>43752.66667</v>
      </c>
      <c r="C1563" s="9">
        <f>IFERROR(__xludf.DUMMYFUNCTION("""COMPUTED_VALUE"""),76.65)</f>
        <v>76.65</v>
      </c>
      <c r="E1563" s="17"/>
      <c r="N1563" s="17"/>
      <c r="Q1563" s="17"/>
    </row>
    <row r="1564">
      <c r="B1564" s="11">
        <f>IFERROR(__xludf.DUMMYFUNCTION("""COMPUTED_VALUE"""),43749.66666666667)</f>
        <v>43749.66667</v>
      </c>
      <c r="C1564" s="9">
        <f>IFERROR(__xludf.DUMMYFUNCTION("""COMPUTED_VALUE"""),76.8)</f>
        <v>76.8</v>
      </c>
      <c r="E1564" s="17"/>
      <c r="N1564" s="17"/>
      <c r="Q1564" s="17"/>
    </row>
    <row r="1565">
      <c r="B1565" s="11">
        <f>IFERROR(__xludf.DUMMYFUNCTION("""COMPUTED_VALUE"""),43748.66666666667)</f>
        <v>43748.66667</v>
      </c>
      <c r="C1565" s="9">
        <f>IFERROR(__xludf.DUMMYFUNCTION("""COMPUTED_VALUE"""),75.38)</f>
        <v>75.38</v>
      </c>
      <c r="E1565" s="17"/>
      <c r="N1565" s="17"/>
      <c r="Q1565" s="17"/>
    </row>
    <row r="1566">
      <c r="B1566" s="11">
        <f>IFERROR(__xludf.DUMMYFUNCTION("""COMPUTED_VALUE"""),43747.66666666667)</f>
        <v>43747.66667</v>
      </c>
      <c r="C1566" s="9">
        <f>IFERROR(__xludf.DUMMYFUNCTION("""COMPUTED_VALUE"""),74.7)</f>
        <v>74.7</v>
      </c>
      <c r="E1566" s="17"/>
      <c r="N1566" s="17"/>
      <c r="Q1566" s="17"/>
    </row>
    <row r="1567">
      <c r="B1567" s="11">
        <f>IFERROR(__xludf.DUMMYFUNCTION("""COMPUTED_VALUE"""),43746.66666666667)</f>
        <v>43746.66667</v>
      </c>
      <c r="C1567" s="9">
        <f>IFERROR(__xludf.DUMMYFUNCTION("""COMPUTED_VALUE"""),74.07)</f>
        <v>74.07</v>
      </c>
      <c r="E1567" s="17"/>
      <c r="N1567" s="17"/>
      <c r="Q1567" s="17"/>
    </row>
    <row r="1568">
      <c r="B1568" s="11">
        <f>IFERROR(__xludf.DUMMYFUNCTION("""COMPUTED_VALUE"""),43745.66666666667)</f>
        <v>43745.66667</v>
      </c>
      <c r="C1568" s="9">
        <f>IFERROR(__xludf.DUMMYFUNCTION("""COMPUTED_VALUE"""),75.23)</f>
        <v>75.23</v>
      </c>
      <c r="E1568" s="17"/>
      <c r="N1568" s="17"/>
      <c r="Q1568" s="17"/>
    </row>
    <row r="1569">
      <c r="B1569" s="11">
        <f>IFERROR(__xludf.DUMMYFUNCTION("""COMPUTED_VALUE"""),43742.66666666667)</f>
        <v>43742.66667</v>
      </c>
      <c r="C1569" s="9">
        <f>IFERROR(__xludf.DUMMYFUNCTION("""COMPUTED_VALUE"""),75.61)</f>
        <v>75.61</v>
      </c>
      <c r="E1569" s="17"/>
      <c r="N1569" s="17"/>
      <c r="Q1569" s="17"/>
    </row>
    <row r="1570">
      <c r="B1570" s="11">
        <f>IFERROR(__xludf.DUMMYFUNCTION("""COMPUTED_VALUE"""),43741.66666666667)</f>
        <v>43741.66667</v>
      </c>
      <c r="C1570" s="9">
        <f>IFERROR(__xludf.DUMMYFUNCTION("""COMPUTED_VALUE"""),74.83)</f>
        <v>74.83</v>
      </c>
      <c r="E1570" s="17"/>
      <c r="N1570" s="17"/>
      <c r="Q1570" s="17"/>
    </row>
    <row r="1571">
      <c r="B1571" s="11">
        <f>IFERROR(__xludf.DUMMYFUNCTION("""COMPUTED_VALUE"""),43740.66666666667)</f>
        <v>43740.66667</v>
      </c>
      <c r="C1571" s="9">
        <f>IFERROR(__xludf.DUMMYFUNCTION("""COMPUTED_VALUE"""),74.34)</f>
        <v>74.34</v>
      </c>
      <c r="E1571" s="17"/>
      <c r="N1571" s="17"/>
      <c r="Q1571" s="17"/>
    </row>
    <row r="1572">
      <c r="B1572" s="11">
        <f>IFERROR(__xludf.DUMMYFUNCTION("""COMPUTED_VALUE"""),43739.66666666667)</f>
        <v>43739.66667</v>
      </c>
      <c r="C1572" s="9">
        <f>IFERROR(__xludf.DUMMYFUNCTION("""COMPUTED_VALUE"""),75.77)</f>
        <v>75.77</v>
      </c>
      <c r="E1572" s="17"/>
      <c r="N1572" s="17"/>
      <c r="Q1572" s="17"/>
    </row>
    <row r="1573">
      <c r="B1573" s="11">
        <f>IFERROR(__xludf.DUMMYFUNCTION("""COMPUTED_VALUE"""),43738.66666666667)</f>
        <v>43738.66667</v>
      </c>
      <c r="C1573" s="9">
        <f>IFERROR(__xludf.DUMMYFUNCTION("""COMPUTED_VALUE"""),77.63)</f>
        <v>77.63</v>
      </c>
      <c r="E1573" s="17"/>
      <c r="N1573" s="17"/>
      <c r="Q1573" s="17"/>
    </row>
    <row r="1574">
      <c r="B1574" s="11">
        <f>IFERROR(__xludf.DUMMYFUNCTION("""COMPUTED_VALUE"""),43735.66666666667)</f>
        <v>43735.66667</v>
      </c>
      <c r="C1574" s="9">
        <f>IFERROR(__xludf.DUMMYFUNCTION("""COMPUTED_VALUE"""),77.52)</f>
        <v>77.52</v>
      </c>
      <c r="E1574" s="17"/>
      <c r="N1574" s="17"/>
      <c r="Q1574" s="17"/>
    </row>
    <row r="1575">
      <c r="B1575" s="11">
        <f>IFERROR(__xludf.DUMMYFUNCTION("""COMPUTED_VALUE"""),43734.66666666667)</f>
        <v>43734.66667</v>
      </c>
      <c r="C1575" s="9">
        <f>IFERROR(__xludf.DUMMYFUNCTION("""COMPUTED_VALUE"""),77.83)</f>
        <v>77.83</v>
      </c>
      <c r="E1575" s="17"/>
      <c r="N1575" s="17"/>
      <c r="Q1575" s="17"/>
    </row>
    <row r="1576">
      <c r="B1576" s="11">
        <f>IFERROR(__xludf.DUMMYFUNCTION("""COMPUTED_VALUE"""),43733.66666666667)</f>
        <v>43733.66667</v>
      </c>
      <c r="C1576" s="9">
        <f>IFERROR(__xludf.DUMMYFUNCTION("""COMPUTED_VALUE"""),77.72)</f>
        <v>77.72</v>
      </c>
      <c r="E1576" s="17"/>
      <c r="N1576" s="17"/>
      <c r="Q1576" s="17"/>
    </row>
    <row r="1577">
      <c r="B1577" s="11">
        <f>IFERROR(__xludf.DUMMYFUNCTION("""COMPUTED_VALUE"""),43732.66666666667)</f>
        <v>43732.66667</v>
      </c>
      <c r="C1577" s="9">
        <f>IFERROR(__xludf.DUMMYFUNCTION("""COMPUTED_VALUE"""),77.22)</f>
        <v>77.22</v>
      </c>
      <c r="E1577" s="17"/>
      <c r="N1577" s="17"/>
      <c r="Q1577" s="17"/>
    </row>
    <row r="1578">
      <c r="B1578" s="11">
        <f>IFERROR(__xludf.DUMMYFUNCTION("""COMPUTED_VALUE"""),43731.66666666667)</f>
        <v>43731.66667</v>
      </c>
      <c r="C1578" s="9">
        <f>IFERROR(__xludf.DUMMYFUNCTION("""COMPUTED_VALUE"""),77.66)</f>
        <v>77.66</v>
      </c>
      <c r="E1578" s="17"/>
      <c r="N1578" s="17"/>
      <c r="Q1578" s="17"/>
    </row>
    <row r="1579">
      <c r="B1579" s="11">
        <f>IFERROR(__xludf.DUMMYFUNCTION("""COMPUTED_VALUE"""),43728.66666666667)</f>
        <v>43728.66667</v>
      </c>
      <c r="C1579" s="9">
        <f>IFERROR(__xludf.DUMMYFUNCTION("""COMPUTED_VALUE"""),77.81)</f>
        <v>77.81</v>
      </c>
      <c r="E1579" s="17"/>
      <c r="N1579" s="17"/>
      <c r="Q1579" s="17"/>
    </row>
    <row r="1580">
      <c r="B1580" s="11">
        <f>IFERROR(__xludf.DUMMYFUNCTION("""COMPUTED_VALUE"""),43727.66666666667)</f>
        <v>43727.66667</v>
      </c>
      <c r="C1580" s="9">
        <f>IFERROR(__xludf.DUMMYFUNCTION("""COMPUTED_VALUE"""),78.72)</f>
        <v>78.72</v>
      </c>
      <c r="E1580" s="17"/>
      <c r="N1580" s="17"/>
      <c r="Q1580" s="17"/>
    </row>
    <row r="1581">
      <c r="B1581" s="11">
        <f>IFERROR(__xludf.DUMMYFUNCTION("""COMPUTED_VALUE"""),43726.66666666667)</f>
        <v>43726.66667</v>
      </c>
      <c r="C1581" s="9">
        <f>IFERROR(__xludf.DUMMYFUNCTION("""COMPUTED_VALUE"""),79.12)</f>
        <v>79.12</v>
      </c>
      <c r="E1581" s="17"/>
      <c r="N1581" s="17"/>
      <c r="Q1581" s="17"/>
    </row>
    <row r="1582">
      <c r="B1582" s="11">
        <f>IFERROR(__xludf.DUMMYFUNCTION("""COMPUTED_VALUE"""),43725.66666666667)</f>
        <v>43725.66667</v>
      </c>
      <c r="C1582" s="9">
        <f>IFERROR(__xludf.DUMMYFUNCTION("""COMPUTED_VALUE"""),79.24)</f>
        <v>79.24</v>
      </c>
      <c r="E1582" s="17"/>
      <c r="N1582" s="17"/>
      <c r="Q1582" s="17"/>
    </row>
    <row r="1583">
      <c r="B1583" s="11">
        <f>IFERROR(__xludf.DUMMYFUNCTION("""COMPUTED_VALUE"""),43724.66666666667)</f>
        <v>43724.66667</v>
      </c>
      <c r="C1583" s="9">
        <f>IFERROR(__xludf.DUMMYFUNCTION("""COMPUTED_VALUE"""),79.28)</f>
        <v>79.28</v>
      </c>
      <c r="E1583" s="17"/>
      <c r="N1583" s="17"/>
      <c r="Q1583" s="17"/>
    </row>
    <row r="1584">
      <c r="B1584" s="11">
        <f>IFERROR(__xludf.DUMMYFUNCTION("""COMPUTED_VALUE"""),43721.66666666667)</f>
        <v>43721.66667</v>
      </c>
      <c r="C1584" s="9">
        <f>IFERROR(__xludf.DUMMYFUNCTION("""COMPUTED_VALUE"""),79.35)</f>
        <v>79.35</v>
      </c>
      <c r="E1584" s="17"/>
      <c r="N1584" s="17"/>
      <c r="Q1584" s="17"/>
    </row>
    <row r="1585">
      <c r="B1585" s="11">
        <f>IFERROR(__xludf.DUMMYFUNCTION("""COMPUTED_VALUE"""),43720.66666666667)</f>
        <v>43720.66667</v>
      </c>
      <c r="C1585" s="9">
        <f>IFERROR(__xludf.DUMMYFUNCTION("""COMPUTED_VALUE"""),78.92)</f>
        <v>78.92</v>
      </c>
      <c r="E1585" s="17"/>
      <c r="N1585" s="17"/>
      <c r="Q1585" s="17"/>
    </row>
    <row r="1586">
      <c r="B1586" s="11">
        <f>IFERROR(__xludf.DUMMYFUNCTION("""COMPUTED_VALUE"""),43719.66666666667)</f>
        <v>43719.66667</v>
      </c>
      <c r="C1586" s="9">
        <f>IFERROR(__xludf.DUMMYFUNCTION("""COMPUTED_VALUE"""),78.87)</f>
        <v>78.87</v>
      </c>
      <c r="E1586" s="17"/>
      <c r="N1586" s="17"/>
      <c r="Q1586" s="17"/>
    </row>
    <row r="1587">
      <c r="B1587" s="11">
        <f>IFERROR(__xludf.DUMMYFUNCTION("""COMPUTED_VALUE"""),43718.66666666667)</f>
        <v>43718.66667</v>
      </c>
      <c r="C1587" s="9">
        <f>IFERROR(__xludf.DUMMYFUNCTION("""COMPUTED_VALUE"""),78.14)</f>
        <v>78.14</v>
      </c>
      <c r="E1587" s="17"/>
      <c r="N1587" s="17"/>
      <c r="Q1587" s="17"/>
    </row>
    <row r="1588">
      <c r="B1588" s="11">
        <f>IFERROR(__xludf.DUMMYFUNCTION("""COMPUTED_VALUE"""),43717.66666666667)</f>
        <v>43717.66667</v>
      </c>
      <c r="C1588" s="9">
        <f>IFERROR(__xludf.DUMMYFUNCTION("""COMPUTED_VALUE"""),77.43)</f>
        <v>77.43</v>
      </c>
      <c r="E1588" s="17"/>
      <c r="N1588" s="17"/>
      <c r="Q1588" s="17"/>
    </row>
    <row r="1589">
      <c r="B1589" s="11">
        <f>IFERROR(__xludf.DUMMYFUNCTION("""COMPUTED_VALUE"""),43714.66666666667)</f>
        <v>43714.66667</v>
      </c>
      <c r="C1589" s="9">
        <f>IFERROR(__xludf.DUMMYFUNCTION("""COMPUTED_VALUE"""),77.2)</f>
        <v>77.2</v>
      </c>
      <c r="E1589" s="17"/>
      <c r="N1589" s="17"/>
      <c r="Q1589" s="17"/>
    </row>
    <row r="1590">
      <c r="B1590" s="11">
        <f>IFERROR(__xludf.DUMMYFUNCTION("""COMPUTED_VALUE"""),43713.66666666667)</f>
        <v>43713.66667</v>
      </c>
      <c r="C1590" s="9">
        <f>IFERROR(__xludf.DUMMYFUNCTION("""COMPUTED_VALUE"""),77.04)</f>
        <v>77.04</v>
      </c>
      <c r="E1590" s="17"/>
      <c r="N1590" s="17"/>
      <c r="Q1590" s="17"/>
    </row>
    <row r="1591">
      <c r="B1591" s="11">
        <f>IFERROR(__xludf.DUMMYFUNCTION("""COMPUTED_VALUE"""),43712.66666666667)</f>
        <v>43712.66667</v>
      </c>
      <c r="C1591" s="9">
        <f>IFERROR(__xludf.DUMMYFUNCTION("""COMPUTED_VALUE"""),75.68)</f>
        <v>75.68</v>
      </c>
      <c r="E1591" s="17"/>
      <c r="N1591" s="17"/>
      <c r="Q1591" s="17"/>
    </row>
    <row r="1592">
      <c r="B1592" s="11">
        <f>IFERROR(__xludf.DUMMYFUNCTION("""COMPUTED_VALUE"""),43711.66666666667)</f>
        <v>43711.66667</v>
      </c>
      <c r="C1592" s="9">
        <f>IFERROR(__xludf.DUMMYFUNCTION("""COMPUTED_VALUE"""),74.73)</f>
        <v>74.73</v>
      </c>
      <c r="E1592" s="17"/>
      <c r="N1592" s="17"/>
      <c r="Q1592" s="17"/>
    </row>
    <row r="1593">
      <c r="B1593" s="11">
        <f>IFERROR(__xludf.DUMMYFUNCTION("""COMPUTED_VALUE"""),43707.66666666667)</f>
        <v>43707.66667</v>
      </c>
      <c r="C1593" s="9">
        <f>IFERROR(__xludf.DUMMYFUNCTION("""COMPUTED_VALUE"""),75.76)</f>
        <v>75.76</v>
      </c>
      <c r="E1593" s="17"/>
      <c r="N1593" s="17"/>
      <c r="Q1593" s="17"/>
    </row>
    <row r="1594">
      <c r="B1594" s="11">
        <f>IFERROR(__xludf.DUMMYFUNCTION("""COMPUTED_VALUE"""),43706.66666666667)</f>
        <v>43706.66667</v>
      </c>
      <c r="C1594" s="9">
        <f>IFERROR(__xludf.DUMMYFUNCTION("""COMPUTED_VALUE"""),75.45)</f>
        <v>75.45</v>
      </c>
      <c r="E1594" s="17"/>
      <c r="N1594" s="17"/>
      <c r="Q1594" s="17"/>
    </row>
    <row r="1595">
      <c r="B1595" s="11">
        <f>IFERROR(__xludf.DUMMYFUNCTION("""COMPUTED_VALUE"""),43705.66666666667)</f>
        <v>43705.66667</v>
      </c>
      <c r="C1595" s="9">
        <f>IFERROR(__xludf.DUMMYFUNCTION("""COMPUTED_VALUE"""),74.18)</f>
        <v>74.18</v>
      </c>
      <c r="E1595" s="17"/>
      <c r="N1595" s="17"/>
      <c r="Q1595" s="17"/>
    </row>
    <row r="1596">
      <c r="B1596" s="11">
        <f>IFERROR(__xludf.DUMMYFUNCTION("""COMPUTED_VALUE"""),43704.66666666667)</f>
        <v>43704.66667</v>
      </c>
      <c r="C1596" s="9">
        <f>IFERROR(__xludf.DUMMYFUNCTION("""COMPUTED_VALUE"""),73.28)</f>
        <v>73.28</v>
      </c>
      <c r="E1596" s="17"/>
      <c r="N1596" s="17"/>
      <c r="Q1596" s="17"/>
    </row>
    <row r="1597">
      <c r="B1597" s="11">
        <f>IFERROR(__xludf.DUMMYFUNCTION("""COMPUTED_VALUE"""),43703.66666666667)</f>
        <v>43703.66667</v>
      </c>
      <c r="C1597" s="9">
        <f>IFERROR(__xludf.DUMMYFUNCTION("""COMPUTED_VALUE"""),73.66)</f>
        <v>73.66</v>
      </c>
      <c r="E1597" s="17"/>
      <c r="N1597" s="17"/>
      <c r="Q1597" s="17"/>
    </row>
    <row r="1598">
      <c r="B1598" s="11">
        <f>IFERROR(__xludf.DUMMYFUNCTION("""COMPUTED_VALUE"""),43700.66666666667)</f>
        <v>43700.66667</v>
      </c>
      <c r="C1598" s="9">
        <f>IFERROR(__xludf.DUMMYFUNCTION("""COMPUTED_VALUE"""),73.12)</f>
        <v>73.12</v>
      </c>
      <c r="E1598" s="17"/>
      <c r="N1598" s="17"/>
      <c r="Q1598" s="17"/>
    </row>
    <row r="1599">
      <c r="B1599" s="11">
        <f>IFERROR(__xludf.DUMMYFUNCTION("""COMPUTED_VALUE"""),43699.66666666667)</f>
        <v>43699.66667</v>
      </c>
      <c r="C1599" s="9">
        <f>IFERROR(__xludf.DUMMYFUNCTION("""COMPUTED_VALUE"""),75.13)</f>
        <v>75.13</v>
      </c>
      <c r="E1599" s="17"/>
      <c r="N1599" s="17"/>
      <c r="Q1599" s="17"/>
    </row>
    <row r="1600">
      <c r="B1600" s="11">
        <f>IFERROR(__xludf.DUMMYFUNCTION("""COMPUTED_VALUE"""),43698.66666666667)</f>
        <v>43698.66667</v>
      </c>
      <c r="C1600" s="9">
        <f>IFERROR(__xludf.DUMMYFUNCTION("""COMPUTED_VALUE"""),75.02)</f>
        <v>75.02</v>
      </c>
      <c r="E1600" s="17"/>
      <c r="N1600" s="17"/>
      <c r="Q1600" s="17"/>
    </row>
    <row r="1601">
      <c r="B1601" s="11">
        <f>IFERROR(__xludf.DUMMYFUNCTION("""COMPUTED_VALUE"""),43697.66666666667)</f>
        <v>43697.66667</v>
      </c>
      <c r="C1601" s="9">
        <f>IFERROR(__xludf.DUMMYFUNCTION("""COMPUTED_VALUE"""),74.56)</f>
        <v>74.56</v>
      </c>
      <c r="E1601" s="17"/>
      <c r="N1601" s="17"/>
      <c r="Q1601" s="17"/>
    </row>
    <row r="1602">
      <c r="B1602" s="11">
        <f>IFERROR(__xludf.DUMMYFUNCTION("""COMPUTED_VALUE"""),43696.66666666667)</f>
        <v>43696.66667</v>
      </c>
      <c r="C1602" s="9">
        <f>IFERROR(__xludf.DUMMYFUNCTION("""COMPUTED_VALUE"""),75.0)</f>
        <v>75</v>
      </c>
      <c r="E1602" s="17"/>
      <c r="N1602" s="17"/>
      <c r="Q1602" s="17"/>
    </row>
    <row r="1603">
      <c r="B1603" s="11">
        <f>IFERROR(__xludf.DUMMYFUNCTION("""COMPUTED_VALUE"""),43693.66666666667)</f>
        <v>43693.66667</v>
      </c>
      <c r="C1603" s="9">
        <f>IFERROR(__xludf.DUMMYFUNCTION("""COMPUTED_VALUE"""),74.3)</f>
        <v>74.3</v>
      </c>
      <c r="E1603" s="17"/>
      <c r="N1603" s="17"/>
      <c r="Q1603" s="17"/>
    </row>
    <row r="1604">
      <c r="B1604" s="11">
        <f>IFERROR(__xludf.DUMMYFUNCTION("""COMPUTED_VALUE"""),43692.66666666667)</f>
        <v>43692.66667</v>
      </c>
      <c r="C1604" s="9">
        <f>IFERROR(__xludf.DUMMYFUNCTION("""COMPUTED_VALUE"""),72.89)</f>
        <v>72.89</v>
      </c>
      <c r="E1604" s="17"/>
      <c r="N1604" s="17"/>
      <c r="Q1604" s="17"/>
    </row>
    <row r="1605">
      <c r="B1605" s="11">
        <f>IFERROR(__xludf.DUMMYFUNCTION("""COMPUTED_VALUE"""),43691.66666666667)</f>
        <v>43691.66667</v>
      </c>
      <c r="C1605" s="9">
        <f>IFERROR(__xludf.DUMMYFUNCTION("""COMPUTED_VALUE"""),72.97)</f>
        <v>72.97</v>
      </c>
      <c r="E1605" s="17"/>
      <c r="N1605" s="17"/>
      <c r="Q1605" s="17"/>
    </row>
    <row r="1606">
      <c r="B1606" s="11">
        <f>IFERROR(__xludf.DUMMYFUNCTION("""COMPUTED_VALUE"""),43690.66666666667)</f>
        <v>43690.66667</v>
      </c>
      <c r="C1606" s="9">
        <f>IFERROR(__xludf.DUMMYFUNCTION("""COMPUTED_VALUE"""),75.27)</f>
        <v>75.27</v>
      </c>
      <c r="E1606" s="17"/>
      <c r="N1606" s="17"/>
      <c r="Q1606" s="17"/>
    </row>
    <row r="1607">
      <c r="B1607" s="11">
        <f>IFERROR(__xludf.DUMMYFUNCTION("""COMPUTED_VALUE"""),43689.66666666667)</f>
        <v>43689.66667</v>
      </c>
      <c r="C1607" s="9">
        <f>IFERROR(__xludf.DUMMYFUNCTION("""COMPUTED_VALUE"""),74.38)</f>
        <v>74.38</v>
      </c>
      <c r="E1607" s="17"/>
      <c r="N1607" s="17"/>
      <c r="Q1607" s="17"/>
    </row>
    <row r="1608">
      <c r="B1608" s="11">
        <f>IFERROR(__xludf.DUMMYFUNCTION("""COMPUTED_VALUE"""),43686.66666666667)</f>
        <v>43686.66667</v>
      </c>
      <c r="C1608" s="9">
        <f>IFERROR(__xludf.DUMMYFUNCTION("""COMPUTED_VALUE"""),75.42)</f>
        <v>75.42</v>
      </c>
      <c r="E1608" s="17"/>
      <c r="N1608" s="17"/>
      <c r="Q1608" s="17"/>
    </row>
    <row r="1609">
      <c r="B1609" s="11">
        <f>IFERROR(__xludf.DUMMYFUNCTION("""COMPUTED_VALUE"""),43685.66666666667)</f>
        <v>43685.66667</v>
      </c>
      <c r="C1609" s="9">
        <f>IFERROR(__xludf.DUMMYFUNCTION("""COMPUTED_VALUE"""),76.06)</f>
        <v>76.06</v>
      </c>
      <c r="E1609" s="17"/>
      <c r="N1609" s="17"/>
      <c r="Q1609" s="17"/>
    </row>
    <row r="1610">
      <c r="B1610" s="11">
        <f>IFERROR(__xludf.DUMMYFUNCTION("""COMPUTED_VALUE"""),43684.66666666667)</f>
        <v>43684.66667</v>
      </c>
      <c r="C1610" s="9">
        <f>IFERROR(__xludf.DUMMYFUNCTION("""COMPUTED_VALUE"""),74.79)</f>
        <v>74.79</v>
      </c>
      <c r="E1610" s="17"/>
      <c r="N1610" s="17"/>
      <c r="Q1610" s="17"/>
    </row>
    <row r="1611">
      <c r="B1611" s="11">
        <f>IFERROR(__xludf.DUMMYFUNCTION("""COMPUTED_VALUE"""),43683.66666666667)</f>
        <v>43683.66667</v>
      </c>
      <c r="C1611" s="9">
        <f>IFERROR(__xludf.DUMMYFUNCTION("""COMPUTED_VALUE"""),74.83)</f>
        <v>74.83</v>
      </c>
      <c r="E1611" s="17"/>
      <c r="N1611" s="17"/>
      <c r="Q1611" s="17"/>
    </row>
    <row r="1612">
      <c r="B1612" s="11">
        <f>IFERROR(__xludf.DUMMYFUNCTION("""COMPUTED_VALUE"""),43682.66666666667)</f>
        <v>43682.66667</v>
      </c>
      <c r="C1612" s="9">
        <f>IFERROR(__xludf.DUMMYFUNCTION("""COMPUTED_VALUE"""),73.72)</f>
        <v>73.72</v>
      </c>
      <c r="E1612" s="17"/>
      <c r="N1612" s="17"/>
      <c r="Q1612" s="17"/>
    </row>
    <row r="1613">
      <c r="B1613" s="11">
        <f>IFERROR(__xludf.DUMMYFUNCTION("""COMPUTED_VALUE"""),43679.66666666667)</f>
        <v>43679.66667</v>
      </c>
      <c r="C1613" s="9">
        <f>IFERROR(__xludf.DUMMYFUNCTION("""COMPUTED_VALUE"""),75.82)</f>
        <v>75.82</v>
      </c>
      <c r="E1613" s="17"/>
      <c r="N1613" s="17"/>
      <c r="Q1613" s="17"/>
    </row>
    <row r="1614">
      <c r="B1614" s="11">
        <f>IFERROR(__xludf.DUMMYFUNCTION("""COMPUTED_VALUE"""),43678.66666666667)</f>
        <v>43678.66667</v>
      </c>
      <c r="C1614" s="9">
        <f>IFERROR(__xludf.DUMMYFUNCTION("""COMPUTED_VALUE"""),76.31)</f>
        <v>76.31</v>
      </c>
      <c r="E1614" s="17"/>
      <c r="N1614" s="17"/>
      <c r="Q1614" s="17"/>
    </row>
    <row r="1615">
      <c r="B1615" s="11">
        <f>IFERROR(__xludf.DUMMYFUNCTION("""COMPUTED_VALUE"""),43677.66666666667)</f>
        <v>43677.66667</v>
      </c>
      <c r="C1615" s="9">
        <f>IFERROR(__xludf.DUMMYFUNCTION("""COMPUTED_VALUE"""),77.82)</f>
        <v>77.82</v>
      </c>
      <c r="E1615" s="17"/>
      <c r="N1615" s="17"/>
      <c r="Q1615" s="17"/>
    </row>
    <row r="1616">
      <c r="B1616" s="11">
        <f>IFERROR(__xludf.DUMMYFUNCTION("""COMPUTED_VALUE"""),43676.66666666667)</f>
        <v>43676.66667</v>
      </c>
      <c r="C1616" s="9">
        <f>IFERROR(__xludf.DUMMYFUNCTION("""COMPUTED_VALUE"""),78.7)</f>
        <v>78.7</v>
      </c>
      <c r="E1616" s="17"/>
      <c r="N1616" s="17"/>
      <c r="Q1616" s="17"/>
    </row>
    <row r="1617">
      <c r="B1617" s="11">
        <f>IFERROR(__xludf.DUMMYFUNCTION("""COMPUTED_VALUE"""),43675.66666666667)</f>
        <v>43675.66667</v>
      </c>
      <c r="C1617" s="9">
        <f>IFERROR(__xludf.DUMMYFUNCTION("""COMPUTED_VALUE"""),78.36)</f>
        <v>78.36</v>
      </c>
      <c r="E1617" s="17"/>
      <c r="N1617" s="17"/>
      <c r="Q1617" s="17"/>
    </row>
    <row r="1618">
      <c r="B1618" s="11">
        <f>IFERROR(__xludf.DUMMYFUNCTION("""COMPUTED_VALUE"""),43672.66666666667)</f>
        <v>43672.66667</v>
      </c>
      <c r="C1618" s="9">
        <f>IFERROR(__xludf.DUMMYFUNCTION("""COMPUTED_VALUE"""),78.5)</f>
        <v>78.5</v>
      </c>
      <c r="E1618" s="17"/>
      <c r="N1618" s="17"/>
      <c r="Q1618" s="17"/>
    </row>
    <row r="1619">
      <c r="B1619" s="11">
        <f>IFERROR(__xludf.DUMMYFUNCTION("""COMPUTED_VALUE"""),43671.66666666667)</f>
        <v>43671.66667</v>
      </c>
      <c r="C1619" s="9">
        <f>IFERROR(__xludf.DUMMYFUNCTION("""COMPUTED_VALUE"""),78.67)</f>
        <v>78.67</v>
      </c>
      <c r="E1619" s="17"/>
      <c r="N1619" s="17"/>
      <c r="Q1619" s="17"/>
    </row>
    <row r="1620">
      <c r="B1620" s="11">
        <f>IFERROR(__xludf.DUMMYFUNCTION("""COMPUTED_VALUE"""),43670.66666666667)</f>
        <v>43670.66667</v>
      </c>
      <c r="C1620" s="9">
        <f>IFERROR(__xludf.DUMMYFUNCTION("""COMPUTED_VALUE"""),78.83)</f>
        <v>78.83</v>
      </c>
      <c r="E1620" s="17"/>
      <c r="N1620" s="17"/>
      <c r="Q1620" s="17"/>
    </row>
    <row r="1621">
      <c r="B1621" s="11">
        <f>IFERROR(__xludf.DUMMYFUNCTION("""COMPUTED_VALUE"""),43669.66666666667)</f>
        <v>43669.66667</v>
      </c>
      <c r="C1621" s="9">
        <f>IFERROR(__xludf.DUMMYFUNCTION("""COMPUTED_VALUE"""),78.49)</f>
        <v>78.49</v>
      </c>
      <c r="E1621" s="17"/>
      <c r="N1621" s="17"/>
      <c r="Q1621" s="17"/>
    </row>
    <row r="1622">
      <c r="B1622" s="11">
        <f>IFERROR(__xludf.DUMMYFUNCTION("""COMPUTED_VALUE"""),43668.66666666667)</f>
        <v>43668.66667</v>
      </c>
      <c r="C1622" s="9">
        <f>IFERROR(__xludf.DUMMYFUNCTION("""COMPUTED_VALUE"""),77.51)</f>
        <v>77.51</v>
      </c>
      <c r="E1622" s="17"/>
      <c r="N1622" s="17"/>
      <c r="Q1622" s="17"/>
    </row>
    <row r="1623">
      <c r="B1623" s="11">
        <f>IFERROR(__xludf.DUMMYFUNCTION("""COMPUTED_VALUE"""),43665.66666666667)</f>
        <v>43665.66667</v>
      </c>
      <c r="C1623" s="9">
        <f>IFERROR(__xludf.DUMMYFUNCTION("""COMPUTED_VALUE"""),77.45)</f>
        <v>77.45</v>
      </c>
      <c r="E1623" s="17"/>
      <c r="N1623" s="17"/>
      <c r="Q1623" s="17"/>
    </row>
    <row r="1624">
      <c r="B1624" s="11">
        <f>IFERROR(__xludf.DUMMYFUNCTION("""COMPUTED_VALUE"""),43664.66666666667)</f>
        <v>43664.66667</v>
      </c>
      <c r="C1624" s="9">
        <f>IFERROR(__xludf.DUMMYFUNCTION("""COMPUTED_VALUE"""),77.03)</f>
        <v>77.03</v>
      </c>
      <c r="E1624" s="17"/>
      <c r="N1624" s="17"/>
      <c r="Q1624" s="17"/>
    </row>
    <row r="1625">
      <c r="B1625" s="11">
        <f>IFERROR(__xludf.DUMMYFUNCTION("""COMPUTED_VALUE"""),43663.66666666667)</f>
        <v>43663.66667</v>
      </c>
      <c r="C1625" s="9">
        <f>IFERROR(__xludf.DUMMYFUNCTION("""COMPUTED_VALUE"""),76.89)</f>
        <v>76.89</v>
      </c>
      <c r="E1625" s="17"/>
      <c r="N1625" s="17"/>
      <c r="Q1625" s="17"/>
    </row>
    <row r="1626">
      <c r="B1626" s="11">
        <f>IFERROR(__xludf.DUMMYFUNCTION("""COMPUTED_VALUE"""),43662.66666666667)</f>
        <v>43662.66667</v>
      </c>
      <c r="C1626" s="9">
        <f>IFERROR(__xludf.DUMMYFUNCTION("""COMPUTED_VALUE"""),78.57)</f>
        <v>78.57</v>
      </c>
      <c r="E1626" s="17"/>
      <c r="N1626" s="17"/>
      <c r="Q1626" s="17"/>
    </row>
    <row r="1627">
      <c r="B1627" s="11">
        <f>IFERROR(__xludf.DUMMYFUNCTION("""COMPUTED_VALUE"""),43661.66666666667)</f>
        <v>43661.66667</v>
      </c>
      <c r="C1627" s="9">
        <f>IFERROR(__xludf.DUMMYFUNCTION("""COMPUTED_VALUE"""),78.07)</f>
        <v>78.07</v>
      </c>
      <c r="E1627" s="17"/>
      <c r="N1627" s="17"/>
      <c r="Q1627" s="17"/>
    </row>
    <row r="1628">
      <c r="B1628" s="11">
        <f>IFERROR(__xludf.DUMMYFUNCTION("""COMPUTED_VALUE"""),43658.66666666667)</f>
        <v>43658.66667</v>
      </c>
      <c r="C1628" s="9">
        <f>IFERROR(__xludf.DUMMYFUNCTION("""COMPUTED_VALUE"""),78.39)</f>
        <v>78.39</v>
      </c>
      <c r="E1628" s="17"/>
      <c r="N1628" s="17"/>
      <c r="Q1628" s="17"/>
    </row>
    <row r="1629">
      <c r="B1629" s="11">
        <f>IFERROR(__xludf.DUMMYFUNCTION("""COMPUTED_VALUE"""),43657.66666666667)</f>
        <v>43657.66667</v>
      </c>
      <c r="C1629" s="9">
        <f>IFERROR(__xludf.DUMMYFUNCTION("""COMPUTED_VALUE"""),77.04)</f>
        <v>77.04</v>
      </c>
      <c r="E1629" s="17"/>
      <c r="N1629" s="17"/>
      <c r="Q1629" s="17"/>
    </row>
    <row r="1630">
      <c r="B1630" s="11">
        <f>IFERROR(__xludf.DUMMYFUNCTION("""COMPUTED_VALUE"""),43656.66666666667)</f>
        <v>43656.66667</v>
      </c>
      <c r="C1630" s="9">
        <f>IFERROR(__xludf.DUMMYFUNCTION("""COMPUTED_VALUE"""),76.52)</f>
        <v>76.52</v>
      </c>
      <c r="E1630" s="17"/>
      <c r="N1630" s="17"/>
      <c r="Q1630" s="17"/>
    </row>
    <row r="1631">
      <c r="B1631" s="11">
        <f>IFERROR(__xludf.DUMMYFUNCTION("""COMPUTED_VALUE"""),43655.66666666667)</f>
        <v>43655.66667</v>
      </c>
      <c r="C1631" s="9">
        <f>IFERROR(__xludf.DUMMYFUNCTION("""COMPUTED_VALUE"""),76.7)</f>
        <v>76.7</v>
      </c>
      <c r="E1631" s="17"/>
      <c r="N1631" s="17"/>
      <c r="Q1631" s="17"/>
    </row>
    <row r="1632">
      <c r="B1632" s="11">
        <f>IFERROR(__xludf.DUMMYFUNCTION("""COMPUTED_VALUE"""),43654.66666666667)</f>
        <v>43654.66667</v>
      </c>
      <c r="C1632" s="9">
        <f>IFERROR(__xludf.DUMMYFUNCTION("""COMPUTED_VALUE"""),76.87)</f>
        <v>76.87</v>
      </c>
      <c r="E1632" s="17"/>
      <c r="N1632" s="17"/>
      <c r="Q1632" s="17"/>
    </row>
    <row r="1633">
      <c r="B1633" s="11">
        <f>IFERROR(__xludf.DUMMYFUNCTION("""COMPUTED_VALUE"""),43651.66666666667)</f>
        <v>43651.66667</v>
      </c>
      <c r="C1633" s="9">
        <f>IFERROR(__xludf.DUMMYFUNCTION("""COMPUTED_VALUE"""),77.51)</f>
        <v>77.51</v>
      </c>
      <c r="E1633" s="17"/>
      <c r="N1633" s="17"/>
      <c r="Q1633" s="17"/>
    </row>
    <row r="1634">
      <c r="B1634" s="11">
        <f>IFERROR(__xludf.DUMMYFUNCTION("""COMPUTED_VALUE"""),43649.54166666667)</f>
        <v>43649.54167</v>
      </c>
      <c r="C1634" s="9">
        <f>IFERROR(__xludf.DUMMYFUNCTION("""COMPUTED_VALUE"""),77.82)</f>
        <v>77.82</v>
      </c>
      <c r="E1634" s="17"/>
      <c r="N1634" s="17"/>
      <c r="Q1634" s="17"/>
    </row>
    <row r="1635">
      <c r="B1635" s="11">
        <f>IFERROR(__xludf.DUMMYFUNCTION("""COMPUTED_VALUE"""),43648.66666666667)</f>
        <v>43648.66667</v>
      </c>
      <c r="C1635" s="9">
        <f>IFERROR(__xludf.DUMMYFUNCTION("""COMPUTED_VALUE"""),77.39)</f>
        <v>77.39</v>
      </c>
      <c r="E1635" s="17"/>
      <c r="N1635" s="17"/>
      <c r="Q1635" s="17"/>
    </row>
    <row r="1636">
      <c r="B1636" s="11">
        <f>IFERROR(__xludf.DUMMYFUNCTION("""COMPUTED_VALUE"""),43647.66666666667)</f>
        <v>43647.66667</v>
      </c>
      <c r="C1636" s="9">
        <f>IFERROR(__xludf.DUMMYFUNCTION("""COMPUTED_VALUE"""),77.49)</f>
        <v>77.49</v>
      </c>
      <c r="E1636" s="17"/>
      <c r="N1636" s="17"/>
      <c r="Q1636" s="17"/>
    </row>
    <row r="1637">
      <c r="B1637" s="11">
        <f>IFERROR(__xludf.DUMMYFUNCTION("""COMPUTED_VALUE"""),43644.66666666667)</f>
        <v>43644.66667</v>
      </c>
      <c r="C1637" s="9">
        <f>IFERROR(__xludf.DUMMYFUNCTION("""COMPUTED_VALUE"""),77.42)</f>
        <v>77.42</v>
      </c>
      <c r="E1637" s="17"/>
      <c r="N1637" s="17"/>
      <c r="Q1637" s="17"/>
    </row>
    <row r="1638">
      <c r="B1638" s="11">
        <f>IFERROR(__xludf.DUMMYFUNCTION("""COMPUTED_VALUE"""),43643.66666666667)</f>
        <v>43643.66667</v>
      </c>
      <c r="C1638" s="9">
        <f>IFERROR(__xludf.DUMMYFUNCTION("""COMPUTED_VALUE"""),76.61)</f>
        <v>76.61</v>
      </c>
      <c r="E1638" s="17"/>
      <c r="N1638" s="17"/>
      <c r="Q1638" s="17"/>
    </row>
    <row r="1639">
      <c r="B1639" s="11">
        <f>IFERROR(__xludf.DUMMYFUNCTION("""COMPUTED_VALUE"""),43642.66666666667)</f>
        <v>43642.66667</v>
      </c>
      <c r="C1639" s="9">
        <f>IFERROR(__xludf.DUMMYFUNCTION("""COMPUTED_VALUE"""),76.54)</f>
        <v>76.54</v>
      </c>
      <c r="E1639" s="17"/>
      <c r="N1639" s="17"/>
      <c r="Q1639" s="17"/>
    </row>
    <row r="1640">
      <c r="B1640" s="11">
        <f>IFERROR(__xludf.DUMMYFUNCTION("""COMPUTED_VALUE"""),43641.66666666667)</f>
        <v>43641.66667</v>
      </c>
      <c r="C1640" s="9">
        <f>IFERROR(__xludf.DUMMYFUNCTION("""COMPUTED_VALUE"""),76.35)</f>
        <v>76.35</v>
      </c>
      <c r="E1640" s="17"/>
      <c r="N1640" s="17"/>
      <c r="Q1640" s="17"/>
    </row>
    <row r="1641">
      <c r="B1641" s="11">
        <f>IFERROR(__xludf.DUMMYFUNCTION("""COMPUTED_VALUE"""),43640.66666666667)</f>
        <v>43640.66667</v>
      </c>
      <c r="C1641" s="9">
        <f>IFERROR(__xludf.DUMMYFUNCTION("""COMPUTED_VALUE"""),76.93)</f>
        <v>76.93</v>
      </c>
      <c r="E1641" s="17"/>
      <c r="N1641" s="17"/>
      <c r="Q1641" s="17"/>
    </row>
    <row r="1642">
      <c r="B1642" s="11">
        <f>IFERROR(__xludf.DUMMYFUNCTION("""COMPUTED_VALUE"""),43637.66666666667)</f>
        <v>43637.66667</v>
      </c>
      <c r="C1642" s="9">
        <f>IFERROR(__xludf.DUMMYFUNCTION("""COMPUTED_VALUE"""),77.08)</f>
        <v>77.08</v>
      </c>
      <c r="E1642" s="17"/>
      <c r="N1642" s="17"/>
      <c r="Q1642" s="17"/>
    </row>
    <row r="1643">
      <c r="B1643" s="11">
        <f>IFERROR(__xludf.DUMMYFUNCTION("""COMPUTED_VALUE"""),43636.66666666667)</f>
        <v>43636.66667</v>
      </c>
      <c r="C1643" s="9">
        <f>IFERROR(__xludf.DUMMYFUNCTION("""COMPUTED_VALUE"""),77.83)</f>
        <v>77.83</v>
      </c>
      <c r="E1643" s="17"/>
      <c r="N1643" s="17"/>
      <c r="Q1643" s="17"/>
    </row>
    <row r="1644">
      <c r="B1644" s="11">
        <f>IFERROR(__xludf.DUMMYFUNCTION("""COMPUTED_VALUE"""),43635.66666666667)</f>
        <v>43635.66667</v>
      </c>
      <c r="C1644" s="9">
        <f>IFERROR(__xludf.DUMMYFUNCTION("""COMPUTED_VALUE"""),76.55)</f>
        <v>76.55</v>
      </c>
      <c r="E1644" s="17"/>
      <c r="N1644" s="17"/>
      <c r="Q1644" s="17"/>
    </row>
    <row r="1645">
      <c r="B1645" s="11">
        <f>IFERROR(__xludf.DUMMYFUNCTION("""COMPUTED_VALUE"""),43634.66666666667)</f>
        <v>43634.66667</v>
      </c>
      <c r="C1645" s="9">
        <f>IFERROR(__xludf.DUMMYFUNCTION("""COMPUTED_VALUE"""),76.61)</f>
        <v>76.61</v>
      </c>
      <c r="E1645" s="17"/>
      <c r="N1645" s="17"/>
      <c r="Q1645" s="17"/>
    </row>
    <row r="1646">
      <c r="B1646" s="11">
        <f>IFERROR(__xludf.DUMMYFUNCTION("""COMPUTED_VALUE"""),43633.66666666667)</f>
        <v>43633.66667</v>
      </c>
      <c r="C1646" s="9">
        <f>IFERROR(__xludf.DUMMYFUNCTION("""COMPUTED_VALUE"""),75.15)</f>
        <v>75.15</v>
      </c>
      <c r="E1646" s="17"/>
      <c r="N1646" s="17"/>
      <c r="Q1646" s="17"/>
    </row>
    <row r="1647">
      <c r="B1647" s="11">
        <f>IFERROR(__xludf.DUMMYFUNCTION("""COMPUTED_VALUE"""),43630.66666666667)</f>
        <v>43630.66667</v>
      </c>
      <c r="C1647" s="9">
        <f>IFERROR(__xludf.DUMMYFUNCTION("""COMPUTED_VALUE"""),75.41)</f>
        <v>75.41</v>
      </c>
      <c r="E1647" s="17"/>
      <c r="N1647" s="17"/>
      <c r="Q1647" s="17"/>
    </row>
    <row r="1648">
      <c r="B1648" s="11">
        <f>IFERROR(__xludf.DUMMYFUNCTION("""COMPUTED_VALUE"""),43629.66666666667)</f>
        <v>43629.66667</v>
      </c>
      <c r="C1648" s="9">
        <f>IFERROR(__xludf.DUMMYFUNCTION("""COMPUTED_VALUE"""),75.71)</f>
        <v>75.71</v>
      </c>
      <c r="E1648" s="17"/>
      <c r="N1648" s="17"/>
      <c r="Q1648" s="17"/>
    </row>
    <row r="1649">
      <c r="B1649" s="11">
        <f>IFERROR(__xludf.DUMMYFUNCTION("""COMPUTED_VALUE"""),43628.66666666667)</f>
        <v>43628.66667</v>
      </c>
      <c r="C1649" s="9">
        <f>IFERROR(__xludf.DUMMYFUNCTION("""COMPUTED_VALUE"""),75.33)</f>
        <v>75.33</v>
      </c>
      <c r="E1649" s="17"/>
      <c r="N1649" s="17"/>
      <c r="Q1649" s="17"/>
    </row>
    <row r="1650">
      <c r="B1650" s="11">
        <f>IFERROR(__xludf.DUMMYFUNCTION("""COMPUTED_VALUE"""),43627.66666666667)</f>
        <v>43627.66667</v>
      </c>
      <c r="C1650" s="9">
        <f>IFERROR(__xludf.DUMMYFUNCTION("""COMPUTED_VALUE"""),75.17)</f>
        <v>75.17</v>
      </c>
      <c r="E1650" s="17"/>
      <c r="N1650" s="17"/>
      <c r="Q1650" s="17"/>
    </row>
    <row r="1651">
      <c r="B1651" s="11">
        <f>IFERROR(__xludf.DUMMYFUNCTION("""COMPUTED_VALUE"""),43626.66666666667)</f>
        <v>43626.66667</v>
      </c>
      <c r="C1651" s="9">
        <f>IFERROR(__xludf.DUMMYFUNCTION("""COMPUTED_VALUE"""),75.82)</f>
        <v>75.82</v>
      </c>
      <c r="E1651" s="17"/>
      <c r="N1651" s="17"/>
      <c r="Q1651" s="17"/>
    </row>
    <row r="1652">
      <c r="B1652" s="11">
        <f>IFERROR(__xludf.DUMMYFUNCTION("""COMPUTED_VALUE"""),43623.66666666667)</f>
        <v>43623.66667</v>
      </c>
      <c r="C1652" s="9">
        <f>IFERROR(__xludf.DUMMYFUNCTION("""COMPUTED_VALUE"""),75.72)</f>
        <v>75.72</v>
      </c>
      <c r="E1652" s="17"/>
      <c r="N1652" s="17"/>
      <c r="Q1652" s="17"/>
    </row>
    <row r="1653">
      <c r="B1653" s="11">
        <f>IFERROR(__xludf.DUMMYFUNCTION("""COMPUTED_VALUE"""),43622.66666666667)</f>
        <v>43622.66667</v>
      </c>
      <c r="C1653" s="9">
        <f>IFERROR(__xludf.DUMMYFUNCTION("""COMPUTED_VALUE"""),75.12)</f>
        <v>75.12</v>
      </c>
      <c r="E1653" s="17"/>
      <c r="N1653" s="17"/>
      <c r="Q1653" s="17"/>
    </row>
    <row r="1654">
      <c r="B1654" s="11">
        <f>IFERROR(__xludf.DUMMYFUNCTION("""COMPUTED_VALUE"""),43621.66666666667)</f>
        <v>43621.66667</v>
      </c>
      <c r="C1654" s="9">
        <f>IFERROR(__xludf.DUMMYFUNCTION("""COMPUTED_VALUE"""),74.99)</f>
        <v>74.99</v>
      </c>
      <c r="E1654" s="17"/>
      <c r="N1654" s="17"/>
      <c r="Q1654" s="17"/>
    </row>
    <row r="1655">
      <c r="B1655" s="11">
        <f>IFERROR(__xludf.DUMMYFUNCTION("""COMPUTED_VALUE"""),43620.66666666667)</f>
        <v>43620.66667</v>
      </c>
      <c r="C1655" s="9">
        <f>IFERROR(__xludf.DUMMYFUNCTION("""COMPUTED_VALUE"""),74.27)</f>
        <v>74.27</v>
      </c>
      <c r="E1655" s="17"/>
      <c r="N1655" s="17"/>
      <c r="Q1655" s="17"/>
    </row>
    <row r="1656">
      <c r="B1656" s="11">
        <f>IFERROR(__xludf.DUMMYFUNCTION("""COMPUTED_VALUE"""),43619.66666666667)</f>
        <v>43619.66667</v>
      </c>
      <c r="C1656" s="9">
        <f>IFERROR(__xludf.DUMMYFUNCTION("""COMPUTED_VALUE"""),72.54)</f>
        <v>72.54</v>
      </c>
      <c r="E1656" s="17"/>
      <c r="N1656" s="17"/>
      <c r="Q1656" s="17"/>
    </row>
    <row r="1657">
      <c r="B1657" s="11">
        <f>IFERROR(__xludf.DUMMYFUNCTION("""COMPUTED_VALUE"""),43616.66666666667)</f>
        <v>43616.66667</v>
      </c>
      <c r="C1657" s="9">
        <f>IFERROR(__xludf.DUMMYFUNCTION("""COMPUTED_VALUE"""),72.05)</f>
        <v>72.05</v>
      </c>
      <c r="E1657" s="17"/>
      <c r="N1657" s="17"/>
      <c r="Q1657" s="17"/>
    </row>
    <row r="1658">
      <c r="B1658" s="11">
        <f>IFERROR(__xludf.DUMMYFUNCTION("""COMPUTED_VALUE"""),43615.66666666667)</f>
        <v>43615.66667</v>
      </c>
      <c r="C1658" s="9">
        <f>IFERROR(__xludf.DUMMYFUNCTION("""COMPUTED_VALUE"""),73.05)</f>
        <v>73.05</v>
      </c>
      <c r="E1658" s="17"/>
      <c r="N1658" s="17"/>
      <c r="Q1658" s="17"/>
    </row>
    <row r="1659">
      <c r="B1659" s="11">
        <f>IFERROR(__xludf.DUMMYFUNCTION("""COMPUTED_VALUE"""),43614.66666666667)</f>
        <v>43614.66667</v>
      </c>
      <c r="C1659" s="9">
        <f>IFERROR(__xludf.DUMMYFUNCTION("""COMPUTED_VALUE"""),72.77)</f>
        <v>72.77</v>
      </c>
      <c r="E1659" s="17"/>
      <c r="N1659" s="17"/>
      <c r="Q1659" s="17"/>
    </row>
    <row r="1660">
      <c r="B1660" s="11">
        <f>IFERROR(__xludf.DUMMYFUNCTION("""COMPUTED_VALUE"""),43613.66666666667)</f>
        <v>43613.66667</v>
      </c>
      <c r="C1660" s="9">
        <f>IFERROR(__xludf.DUMMYFUNCTION("""COMPUTED_VALUE"""),73.1)</f>
        <v>73.1</v>
      </c>
      <c r="E1660" s="17"/>
      <c r="N1660" s="17"/>
      <c r="Q1660" s="17"/>
    </row>
    <row r="1661">
      <c r="B1661" s="11">
        <f>IFERROR(__xludf.DUMMYFUNCTION("""COMPUTED_VALUE"""),43609.66666666667)</f>
        <v>43609.66667</v>
      </c>
      <c r="C1661" s="9">
        <f>IFERROR(__xludf.DUMMYFUNCTION("""COMPUTED_VALUE"""),73.78)</f>
        <v>73.78</v>
      </c>
      <c r="E1661" s="17"/>
      <c r="N1661" s="17"/>
      <c r="Q1661" s="17"/>
    </row>
    <row r="1662">
      <c r="B1662" s="11">
        <f>IFERROR(__xludf.DUMMYFUNCTION("""COMPUTED_VALUE"""),43608.66666666667)</f>
        <v>43608.66667</v>
      </c>
      <c r="C1662" s="9">
        <f>IFERROR(__xludf.DUMMYFUNCTION("""COMPUTED_VALUE"""),73.75)</f>
        <v>73.75</v>
      </c>
      <c r="E1662" s="17"/>
      <c r="N1662" s="17"/>
      <c r="Q1662" s="17"/>
    </row>
    <row r="1663">
      <c r="B1663" s="11">
        <f>IFERROR(__xludf.DUMMYFUNCTION("""COMPUTED_VALUE"""),43607.66666666667)</f>
        <v>43607.66667</v>
      </c>
      <c r="C1663" s="9">
        <f>IFERROR(__xludf.DUMMYFUNCTION("""COMPUTED_VALUE"""),74.89)</f>
        <v>74.89</v>
      </c>
      <c r="E1663" s="17"/>
      <c r="N1663" s="17"/>
      <c r="Q1663" s="17"/>
    </row>
    <row r="1664">
      <c r="B1664" s="11">
        <f>IFERROR(__xludf.DUMMYFUNCTION("""COMPUTED_VALUE"""),43606.66666666667)</f>
        <v>43606.66667</v>
      </c>
      <c r="C1664" s="9">
        <f>IFERROR(__xludf.DUMMYFUNCTION("""COMPUTED_VALUE"""),75.51)</f>
        <v>75.51</v>
      </c>
      <c r="E1664" s="17"/>
      <c r="N1664" s="17"/>
      <c r="Q1664" s="17"/>
    </row>
    <row r="1665">
      <c r="B1665" s="11">
        <f>IFERROR(__xludf.DUMMYFUNCTION("""COMPUTED_VALUE"""),43605.66666666667)</f>
        <v>43605.66667</v>
      </c>
      <c r="C1665" s="9">
        <f>IFERROR(__xludf.DUMMYFUNCTION("""COMPUTED_VALUE"""),74.63)</f>
        <v>74.63</v>
      </c>
      <c r="E1665" s="17"/>
      <c r="N1665" s="17"/>
      <c r="Q1665" s="17"/>
    </row>
    <row r="1666">
      <c r="B1666" s="11">
        <f>IFERROR(__xludf.DUMMYFUNCTION("""COMPUTED_VALUE"""),43602.66666666667)</f>
        <v>43602.66667</v>
      </c>
      <c r="C1666" s="9">
        <f>IFERROR(__xludf.DUMMYFUNCTION("""COMPUTED_VALUE"""),74.82)</f>
        <v>74.82</v>
      </c>
      <c r="E1666" s="17"/>
      <c r="N1666" s="17"/>
      <c r="Q1666" s="17"/>
    </row>
    <row r="1667">
      <c r="B1667" s="11">
        <f>IFERROR(__xludf.DUMMYFUNCTION("""COMPUTED_VALUE"""),43601.66666666667)</f>
        <v>43601.66667</v>
      </c>
      <c r="C1667" s="9">
        <f>IFERROR(__xludf.DUMMYFUNCTION("""COMPUTED_VALUE"""),75.66)</f>
        <v>75.66</v>
      </c>
      <c r="E1667" s="17"/>
      <c r="N1667" s="17"/>
      <c r="Q1667" s="17"/>
    </row>
    <row r="1668">
      <c r="B1668" s="11">
        <f>IFERROR(__xludf.DUMMYFUNCTION("""COMPUTED_VALUE"""),43600.66666666667)</f>
        <v>43600.66667</v>
      </c>
      <c r="C1668" s="9">
        <f>IFERROR(__xludf.DUMMYFUNCTION("""COMPUTED_VALUE"""),74.97)</f>
        <v>74.97</v>
      </c>
      <c r="E1668" s="17"/>
      <c r="N1668" s="17"/>
      <c r="Q1668" s="17"/>
    </row>
    <row r="1669">
      <c r="B1669" s="11">
        <f>IFERROR(__xludf.DUMMYFUNCTION("""COMPUTED_VALUE"""),43599.66666666667)</f>
        <v>43599.66667</v>
      </c>
      <c r="C1669" s="9">
        <f>IFERROR(__xludf.DUMMYFUNCTION("""COMPUTED_VALUE"""),74.87)</f>
        <v>74.87</v>
      </c>
      <c r="E1669" s="17"/>
      <c r="N1669" s="17"/>
      <c r="Q1669" s="17"/>
    </row>
    <row r="1670">
      <c r="B1670" s="11">
        <f>IFERROR(__xludf.DUMMYFUNCTION("""COMPUTED_VALUE"""),43598.66666666667)</f>
        <v>43598.66667</v>
      </c>
      <c r="C1670" s="9">
        <f>IFERROR(__xludf.DUMMYFUNCTION("""COMPUTED_VALUE"""),74.1)</f>
        <v>74.1</v>
      </c>
      <c r="E1670" s="17"/>
      <c r="N1670" s="17"/>
      <c r="Q1670" s="17"/>
    </row>
    <row r="1671">
      <c r="B1671" s="11">
        <f>IFERROR(__xludf.DUMMYFUNCTION("""COMPUTED_VALUE"""),43595.66666666667)</f>
        <v>43595.66667</v>
      </c>
      <c r="C1671" s="9">
        <f>IFERROR(__xludf.DUMMYFUNCTION("""COMPUTED_VALUE"""),76.27)</f>
        <v>76.27</v>
      </c>
      <c r="E1671" s="17"/>
      <c r="N1671" s="17"/>
      <c r="Q1671" s="17"/>
    </row>
    <row r="1672">
      <c r="B1672" s="11">
        <f>IFERROR(__xludf.DUMMYFUNCTION("""COMPUTED_VALUE"""),43594.66666666667)</f>
        <v>43594.66667</v>
      </c>
      <c r="C1672" s="9">
        <f>IFERROR(__xludf.DUMMYFUNCTION("""COMPUTED_VALUE"""),75.97)</f>
        <v>75.97</v>
      </c>
      <c r="E1672" s="17"/>
      <c r="N1672" s="17"/>
      <c r="Q1672" s="17"/>
    </row>
    <row r="1673">
      <c r="B1673" s="11">
        <f>IFERROR(__xludf.DUMMYFUNCTION("""COMPUTED_VALUE"""),43593.66666666667)</f>
        <v>43593.66667</v>
      </c>
      <c r="C1673" s="9">
        <f>IFERROR(__xludf.DUMMYFUNCTION("""COMPUTED_VALUE"""),76.08)</f>
        <v>76.08</v>
      </c>
      <c r="E1673" s="17"/>
      <c r="N1673" s="17"/>
      <c r="Q1673" s="17"/>
    </row>
    <row r="1674">
      <c r="B1674" s="11">
        <f>IFERROR(__xludf.DUMMYFUNCTION("""COMPUTED_VALUE"""),43592.66666666667)</f>
        <v>43592.66667</v>
      </c>
      <c r="C1674" s="9">
        <f>IFERROR(__xludf.DUMMYFUNCTION("""COMPUTED_VALUE"""),76.08)</f>
        <v>76.08</v>
      </c>
      <c r="E1674" s="17"/>
      <c r="N1674" s="17"/>
      <c r="Q1674" s="17"/>
    </row>
    <row r="1675">
      <c r="B1675" s="11">
        <f>IFERROR(__xludf.DUMMYFUNCTION("""COMPUTED_VALUE"""),43591.66666666667)</f>
        <v>43591.66667</v>
      </c>
      <c r="C1675" s="9">
        <f>IFERROR(__xludf.DUMMYFUNCTION("""COMPUTED_VALUE"""),77.65)</f>
        <v>77.65</v>
      </c>
      <c r="E1675" s="17"/>
      <c r="N1675" s="17"/>
      <c r="Q1675" s="17"/>
    </row>
    <row r="1676">
      <c r="B1676" s="11">
        <f>IFERROR(__xludf.DUMMYFUNCTION("""COMPUTED_VALUE"""),43588.66666666667)</f>
        <v>43588.66667</v>
      </c>
      <c r="C1676" s="9">
        <f>IFERROR(__xludf.DUMMYFUNCTION("""COMPUTED_VALUE"""),78.4)</f>
        <v>78.4</v>
      </c>
      <c r="E1676" s="17"/>
      <c r="N1676" s="17"/>
      <c r="Q1676" s="17"/>
    </row>
    <row r="1677">
      <c r="B1677" s="11">
        <f>IFERROR(__xludf.DUMMYFUNCTION("""COMPUTED_VALUE"""),43587.66666666667)</f>
        <v>43587.66667</v>
      </c>
      <c r="C1677" s="9">
        <f>IFERROR(__xludf.DUMMYFUNCTION("""COMPUTED_VALUE"""),77.46)</f>
        <v>77.46</v>
      </c>
      <c r="E1677" s="17"/>
      <c r="N1677" s="17"/>
      <c r="Q1677" s="17"/>
    </row>
    <row r="1678">
      <c r="B1678" s="11">
        <f>IFERROR(__xludf.DUMMYFUNCTION("""COMPUTED_VALUE"""),43586.66666666667)</f>
        <v>43586.66667</v>
      </c>
      <c r="C1678" s="9">
        <f>IFERROR(__xludf.DUMMYFUNCTION("""COMPUTED_VALUE"""),77.5)</f>
        <v>77.5</v>
      </c>
      <c r="E1678" s="17"/>
      <c r="N1678" s="17"/>
      <c r="Q1678" s="17"/>
    </row>
    <row r="1679">
      <c r="B1679" s="11">
        <f>IFERROR(__xludf.DUMMYFUNCTION("""COMPUTED_VALUE"""),43585.66666666667)</f>
        <v>43585.66667</v>
      </c>
      <c r="C1679" s="9">
        <f>IFERROR(__xludf.DUMMYFUNCTION("""COMPUTED_VALUE"""),78.01)</f>
        <v>78.01</v>
      </c>
      <c r="E1679" s="17"/>
      <c r="N1679" s="17"/>
      <c r="Q1679" s="17"/>
    </row>
    <row r="1680">
      <c r="B1680" s="11">
        <f>IFERROR(__xludf.DUMMYFUNCTION("""COMPUTED_VALUE"""),43584.66666666667)</f>
        <v>43584.66667</v>
      </c>
      <c r="C1680" s="9">
        <f>IFERROR(__xludf.DUMMYFUNCTION("""COMPUTED_VALUE"""),77.7)</f>
        <v>77.7</v>
      </c>
      <c r="E1680" s="17"/>
      <c r="N1680" s="17"/>
      <c r="Q1680" s="17"/>
    </row>
    <row r="1681">
      <c r="B1681" s="11">
        <f>IFERROR(__xludf.DUMMYFUNCTION("""COMPUTED_VALUE"""),43581.66666666667)</f>
        <v>43581.66667</v>
      </c>
      <c r="C1681" s="9">
        <f>IFERROR(__xludf.DUMMYFUNCTION("""COMPUTED_VALUE"""),77.52)</f>
        <v>77.52</v>
      </c>
      <c r="E1681" s="17"/>
      <c r="N1681" s="17"/>
      <c r="Q1681" s="17"/>
    </row>
    <row r="1682">
      <c r="B1682" s="11">
        <f>IFERROR(__xludf.DUMMYFUNCTION("""COMPUTED_VALUE"""),43580.66666666667)</f>
        <v>43580.66667</v>
      </c>
      <c r="C1682" s="9">
        <f>IFERROR(__xludf.DUMMYFUNCTION("""COMPUTED_VALUE"""),76.94)</f>
        <v>76.94</v>
      </c>
      <c r="E1682" s="17"/>
      <c r="N1682" s="17"/>
      <c r="Q1682" s="17"/>
    </row>
    <row r="1683">
      <c r="B1683" s="11">
        <f>IFERROR(__xludf.DUMMYFUNCTION("""COMPUTED_VALUE"""),43579.66666666667)</f>
        <v>43579.66667</v>
      </c>
      <c r="C1683" s="9">
        <f>IFERROR(__xludf.DUMMYFUNCTION("""COMPUTED_VALUE"""),78.52)</f>
        <v>78.52</v>
      </c>
      <c r="E1683" s="17"/>
      <c r="N1683" s="17"/>
      <c r="Q1683" s="17"/>
    </row>
    <row r="1684">
      <c r="B1684" s="11">
        <f>IFERROR(__xludf.DUMMYFUNCTION("""COMPUTED_VALUE"""),43578.66666666667)</f>
        <v>43578.66667</v>
      </c>
      <c r="C1684" s="9">
        <f>IFERROR(__xludf.DUMMYFUNCTION("""COMPUTED_VALUE"""),78.75)</f>
        <v>78.75</v>
      </c>
      <c r="E1684" s="17"/>
      <c r="N1684" s="17"/>
      <c r="Q1684" s="17"/>
    </row>
    <row r="1685">
      <c r="B1685" s="11">
        <f>IFERROR(__xludf.DUMMYFUNCTION("""COMPUTED_VALUE"""),43577.66666666667)</f>
        <v>43577.66667</v>
      </c>
      <c r="C1685" s="9">
        <f>IFERROR(__xludf.DUMMYFUNCTION("""COMPUTED_VALUE"""),78.07)</f>
        <v>78.07</v>
      </c>
      <c r="E1685" s="17"/>
      <c r="N1685" s="17"/>
      <c r="Q1685" s="17"/>
    </row>
    <row r="1686">
      <c r="B1686" s="11">
        <f>IFERROR(__xludf.DUMMYFUNCTION("""COMPUTED_VALUE"""),43573.66666666667)</f>
        <v>43573.66667</v>
      </c>
      <c r="C1686" s="9">
        <f>IFERROR(__xludf.DUMMYFUNCTION("""COMPUTED_VALUE"""),78.31)</f>
        <v>78.31</v>
      </c>
      <c r="E1686" s="17"/>
      <c r="N1686" s="17"/>
      <c r="Q1686" s="17"/>
    </row>
    <row r="1687">
      <c r="B1687" s="11">
        <f>IFERROR(__xludf.DUMMYFUNCTION("""COMPUTED_VALUE"""),43572.66666666667)</f>
        <v>43572.66667</v>
      </c>
      <c r="C1687" s="9">
        <f>IFERROR(__xludf.DUMMYFUNCTION("""COMPUTED_VALUE"""),77.42)</f>
        <v>77.42</v>
      </c>
      <c r="E1687" s="17"/>
      <c r="N1687" s="17"/>
      <c r="Q1687" s="17"/>
    </row>
    <row r="1688">
      <c r="B1688" s="11">
        <f>IFERROR(__xludf.DUMMYFUNCTION("""COMPUTED_VALUE"""),43571.66666666667)</f>
        <v>43571.66667</v>
      </c>
      <c r="C1688" s="9">
        <f>IFERROR(__xludf.DUMMYFUNCTION("""COMPUTED_VALUE"""),77.32)</f>
        <v>77.32</v>
      </c>
      <c r="E1688" s="17"/>
      <c r="N1688" s="17"/>
      <c r="Q1688" s="17"/>
    </row>
    <row r="1689">
      <c r="B1689" s="11">
        <f>IFERROR(__xludf.DUMMYFUNCTION("""COMPUTED_VALUE"""),43570.66666666667)</f>
        <v>43570.66667</v>
      </c>
      <c r="C1689" s="9">
        <f>IFERROR(__xludf.DUMMYFUNCTION("""COMPUTED_VALUE"""),76.85)</f>
        <v>76.85</v>
      </c>
      <c r="E1689" s="17"/>
      <c r="N1689" s="17"/>
      <c r="Q1689" s="17"/>
    </row>
    <row r="1690">
      <c r="B1690" s="11">
        <f>IFERROR(__xludf.DUMMYFUNCTION("""COMPUTED_VALUE"""),43567.66666666667)</f>
        <v>43567.66667</v>
      </c>
      <c r="C1690" s="9">
        <f>IFERROR(__xludf.DUMMYFUNCTION("""COMPUTED_VALUE"""),77.28)</f>
        <v>77.28</v>
      </c>
      <c r="E1690" s="17"/>
      <c r="N1690" s="17"/>
      <c r="Q1690" s="17"/>
    </row>
    <row r="1691">
      <c r="B1691" s="11">
        <f>IFERROR(__xludf.DUMMYFUNCTION("""COMPUTED_VALUE"""),43566.66666666667)</f>
        <v>43566.66667</v>
      </c>
      <c r="C1691" s="9">
        <f>IFERROR(__xludf.DUMMYFUNCTION("""COMPUTED_VALUE"""),76.27)</f>
        <v>76.27</v>
      </c>
      <c r="E1691" s="17"/>
      <c r="N1691" s="17"/>
      <c r="Q1691" s="17"/>
    </row>
    <row r="1692">
      <c r="B1692" s="11">
        <f>IFERROR(__xludf.DUMMYFUNCTION("""COMPUTED_VALUE"""),43565.66666666667)</f>
        <v>43565.66667</v>
      </c>
      <c r="C1692" s="9">
        <f>IFERROR(__xludf.DUMMYFUNCTION("""COMPUTED_VALUE"""),75.62)</f>
        <v>75.62</v>
      </c>
      <c r="E1692" s="17"/>
      <c r="N1692" s="17"/>
      <c r="Q1692" s="17"/>
    </row>
    <row r="1693">
      <c r="B1693" s="11">
        <f>IFERROR(__xludf.DUMMYFUNCTION("""COMPUTED_VALUE"""),43564.66666666667)</f>
        <v>43564.66667</v>
      </c>
      <c r="C1693" s="9">
        <f>IFERROR(__xludf.DUMMYFUNCTION("""COMPUTED_VALUE"""),75.64)</f>
        <v>75.64</v>
      </c>
      <c r="E1693" s="17"/>
      <c r="N1693" s="17"/>
      <c r="Q1693" s="17"/>
    </row>
    <row r="1694">
      <c r="B1694" s="11">
        <f>IFERROR(__xludf.DUMMYFUNCTION("""COMPUTED_VALUE"""),43563.66666666667)</f>
        <v>43563.66667</v>
      </c>
      <c r="C1694" s="9">
        <f>IFERROR(__xludf.DUMMYFUNCTION("""COMPUTED_VALUE"""),76.68)</f>
        <v>76.68</v>
      </c>
      <c r="E1694" s="17"/>
      <c r="N1694" s="17"/>
      <c r="Q1694" s="17"/>
    </row>
    <row r="1695">
      <c r="B1695" s="11">
        <f>IFERROR(__xludf.DUMMYFUNCTION("""COMPUTED_VALUE"""),43560.66666666667)</f>
        <v>43560.66667</v>
      </c>
      <c r="C1695" s="9">
        <f>IFERROR(__xludf.DUMMYFUNCTION("""COMPUTED_VALUE"""),77.01)</f>
        <v>77.01</v>
      </c>
      <c r="E1695" s="17"/>
      <c r="N1695" s="17"/>
      <c r="Q1695" s="17"/>
    </row>
    <row r="1696">
      <c r="B1696" s="11">
        <f>IFERROR(__xludf.DUMMYFUNCTION("""COMPUTED_VALUE"""),43559.66666666667)</f>
        <v>43559.66667</v>
      </c>
      <c r="C1696" s="9">
        <f>IFERROR(__xludf.DUMMYFUNCTION("""COMPUTED_VALUE"""),76.79)</f>
        <v>76.79</v>
      </c>
      <c r="E1696" s="17"/>
      <c r="N1696" s="17"/>
      <c r="Q1696" s="17"/>
    </row>
    <row r="1697">
      <c r="B1697" s="11">
        <f>IFERROR(__xludf.DUMMYFUNCTION("""COMPUTED_VALUE"""),43558.66666666667)</f>
        <v>43558.66667</v>
      </c>
      <c r="C1697" s="9">
        <f>IFERROR(__xludf.DUMMYFUNCTION("""COMPUTED_VALUE"""),76.32)</f>
        <v>76.32</v>
      </c>
      <c r="E1697" s="17"/>
      <c r="N1697" s="17"/>
      <c r="Q1697" s="17"/>
    </row>
    <row r="1698">
      <c r="B1698" s="11">
        <f>IFERROR(__xludf.DUMMYFUNCTION("""COMPUTED_VALUE"""),43557.66666666667)</f>
        <v>43557.66667</v>
      </c>
      <c r="C1698" s="9">
        <f>IFERROR(__xludf.DUMMYFUNCTION("""COMPUTED_VALUE"""),76.55)</f>
        <v>76.55</v>
      </c>
      <c r="E1698" s="17"/>
      <c r="N1698" s="17"/>
      <c r="Q1698" s="17"/>
    </row>
    <row r="1699">
      <c r="B1699" s="11">
        <f>IFERROR(__xludf.DUMMYFUNCTION("""COMPUTED_VALUE"""),43556.66666666667)</f>
        <v>43556.66667</v>
      </c>
      <c r="C1699" s="9">
        <f>IFERROR(__xludf.DUMMYFUNCTION("""COMPUTED_VALUE"""),76.58)</f>
        <v>76.58</v>
      </c>
      <c r="E1699" s="17"/>
      <c r="N1699" s="17"/>
      <c r="Q1699" s="17"/>
    </row>
    <row r="1700">
      <c r="B1700" s="11">
        <f>IFERROR(__xludf.DUMMYFUNCTION("""COMPUTED_VALUE"""),43553.66666666667)</f>
        <v>43553.66667</v>
      </c>
      <c r="C1700" s="9">
        <f>IFERROR(__xludf.DUMMYFUNCTION("""COMPUTED_VALUE"""),75.03)</f>
        <v>75.03</v>
      </c>
      <c r="E1700" s="17"/>
      <c r="N1700" s="17"/>
      <c r="Q1700" s="17"/>
    </row>
    <row r="1701">
      <c r="B1701" s="11">
        <f>IFERROR(__xludf.DUMMYFUNCTION("""COMPUTED_VALUE"""),43552.66666666667)</f>
        <v>43552.66667</v>
      </c>
      <c r="C1701" s="9">
        <f>IFERROR(__xludf.DUMMYFUNCTION("""COMPUTED_VALUE"""),74.23)</f>
        <v>74.23</v>
      </c>
      <c r="E1701" s="17"/>
      <c r="N1701" s="17"/>
      <c r="Q1701" s="17"/>
    </row>
    <row r="1702">
      <c r="B1702" s="11">
        <f>IFERROR(__xludf.DUMMYFUNCTION("""COMPUTED_VALUE"""),43551.66666666667)</f>
        <v>43551.66667</v>
      </c>
      <c r="C1702" s="9">
        <f>IFERROR(__xludf.DUMMYFUNCTION("""COMPUTED_VALUE"""),73.69)</f>
        <v>73.69</v>
      </c>
      <c r="E1702" s="17"/>
      <c r="N1702" s="17"/>
      <c r="Q1702" s="17"/>
    </row>
    <row r="1703">
      <c r="B1703" s="11">
        <f>IFERROR(__xludf.DUMMYFUNCTION("""COMPUTED_VALUE"""),43550.66666666667)</f>
        <v>43550.66667</v>
      </c>
      <c r="C1703" s="9">
        <f>IFERROR(__xludf.DUMMYFUNCTION("""COMPUTED_VALUE"""),73.61)</f>
        <v>73.61</v>
      </c>
      <c r="E1703" s="17"/>
      <c r="N1703" s="17"/>
      <c r="Q1703" s="17"/>
    </row>
    <row r="1704">
      <c r="B1704" s="11">
        <f>IFERROR(__xludf.DUMMYFUNCTION("""COMPUTED_VALUE"""),43549.66666666667)</f>
        <v>43549.66667</v>
      </c>
      <c r="C1704" s="9">
        <f>IFERROR(__xludf.DUMMYFUNCTION("""COMPUTED_VALUE"""),73.12)</f>
        <v>73.12</v>
      </c>
      <c r="E1704" s="17"/>
      <c r="N1704" s="17"/>
      <c r="Q1704" s="17"/>
    </row>
    <row r="1705">
      <c r="B1705" s="11">
        <f>IFERROR(__xludf.DUMMYFUNCTION("""COMPUTED_VALUE"""),43546.66666666667)</f>
        <v>43546.66667</v>
      </c>
      <c r="C1705" s="9">
        <f>IFERROR(__xludf.DUMMYFUNCTION("""COMPUTED_VALUE"""),72.95)</f>
        <v>72.95</v>
      </c>
      <c r="E1705" s="17"/>
      <c r="N1705" s="17"/>
      <c r="Q1705" s="17"/>
    </row>
    <row r="1706">
      <c r="B1706" s="11">
        <f>IFERROR(__xludf.DUMMYFUNCTION("""COMPUTED_VALUE"""),43545.66666666667)</f>
        <v>43545.66667</v>
      </c>
      <c r="C1706" s="9">
        <f>IFERROR(__xludf.DUMMYFUNCTION("""COMPUTED_VALUE"""),74.64)</f>
        <v>74.64</v>
      </c>
      <c r="E1706" s="17"/>
      <c r="N1706" s="17"/>
      <c r="Q1706" s="17"/>
    </row>
    <row r="1707">
      <c r="B1707" s="11">
        <f>IFERROR(__xludf.DUMMYFUNCTION("""COMPUTED_VALUE"""),43544.66666666667)</f>
        <v>43544.66667</v>
      </c>
      <c r="C1707" s="9">
        <f>IFERROR(__xludf.DUMMYFUNCTION("""COMPUTED_VALUE"""),73.93)</f>
        <v>73.93</v>
      </c>
      <c r="E1707" s="17"/>
      <c r="N1707" s="17"/>
      <c r="Q1707" s="17"/>
    </row>
    <row r="1708">
      <c r="B1708" s="11">
        <f>IFERROR(__xludf.DUMMYFUNCTION("""COMPUTED_VALUE"""),43543.66666666667)</f>
        <v>43543.66667</v>
      </c>
      <c r="C1708" s="9">
        <f>IFERROR(__xludf.DUMMYFUNCTION("""COMPUTED_VALUE"""),74.44)</f>
        <v>74.44</v>
      </c>
      <c r="E1708" s="17"/>
      <c r="N1708" s="17"/>
      <c r="Q1708" s="17"/>
    </row>
    <row r="1709">
      <c r="B1709" s="11">
        <f>IFERROR(__xludf.DUMMYFUNCTION("""COMPUTED_VALUE"""),43542.66666666667)</f>
        <v>43542.66667</v>
      </c>
      <c r="C1709" s="9">
        <f>IFERROR(__xludf.DUMMYFUNCTION("""COMPUTED_VALUE"""),74.71)</f>
        <v>74.71</v>
      </c>
      <c r="E1709" s="17"/>
      <c r="N1709" s="17"/>
      <c r="Q1709" s="17"/>
    </row>
    <row r="1710">
      <c r="B1710" s="11">
        <f>IFERROR(__xludf.DUMMYFUNCTION("""COMPUTED_VALUE"""),43539.66666666667)</f>
        <v>43539.66667</v>
      </c>
      <c r="C1710" s="9">
        <f>IFERROR(__xludf.DUMMYFUNCTION("""COMPUTED_VALUE"""),73.99)</f>
        <v>73.99</v>
      </c>
      <c r="E1710" s="17"/>
      <c r="N1710" s="17"/>
      <c r="Q1710" s="17"/>
    </row>
    <row r="1711">
      <c r="B1711" s="11">
        <f>IFERROR(__xludf.DUMMYFUNCTION("""COMPUTED_VALUE"""),43538.66666666667)</f>
        <v>43538.66667</v>
      </c>
      <c r="C1711" s="9">
        <f>IFERROR(__xludf.DUMMYFUNCTION("""COMPUTED_VALUE"""),74.68)</f>
        <v>74.68</v>
      </c>
      <c r="E1711" s="17"/>
      <c r="N1711" s="17"/>
      <c r="Q1711" s="17"/>
    </row>
    <row r="1712">
      <c r="B1712" s="11">
        <f>IFERROR(__xludf.DUMMYFUNCTION("""COMPUTED_VALUE"""),43537.66666666667)</f>
        <v>43537.66667</v>
      </c>
      <c r="C1712" s="9">
        <f>IFERROR(__xludf.DUMMYFUNCTION("""COMPUTED_VALUE"""),74.93)</f>
        <v>74.93</v>
      </c>
      <c r="E1712" s="17"/>
      <c r="N1712" s="17"/>
      <c r="Q1712" s="17"/>
    </row>
    <row r="1713">
      <c r="B1713" s="11">
        <f>IFERROR(__xludf.DUMMYFUNCTION("""COMPUTED_VALUE"""),43536.66666666667)</f>
        <v>43536.66667</v>
      </c>
      <c r="C1713" s="9">
        <f>IFERROR(__xludf.DUMMYFUNCTION("""COMPUTED_VALUE"""),74.28)</f>
        <v>74.28</v>
      </c>
      <c r="E1713" s="17"/>
      <c r="N1713" s="17"/>
      <c r="Q1713" s="17"/>
    </row>
    <row r="1714">
      <c r="B1714" s="11">
        <f>IFERROR(__xludf.DUMMYFUNCTION("""COMPUTED_VALUE"""),43535.66666666667)</f>
        <v>43535.66667</v>
      </c>
      <c r="C1714" s="9">
        <f>IFERROR(__xludf.DUMMYFUNCTION("""COMPUTED_VALUE"""),74.9)</f>
        <v>74.9</v>
      </c>
      <c r="E1714" s="17"/>
      <c r="N1714" s="17"/>
      <c r="Q1714" s="17"/>
    </row>
    <row r="1715">
      <c r="B1715" s="11">
        <f>IFERROR(__xludf.DUMMYFUNCTION("""COMPUTED_VALUE"""),43532.66666666667)</f>
        <v>43532.66667</v>
      </c>
      <c r="C1715" s="9">
        <f>IFERROR(__xludf.DUMMYFUNCTION("""COMPUTED_VALUE"""),74.27)</f>
        <v>74.27</v>
      </c>
      <c r="E1715" s="17"/>
      <c r="N1715" s="17"/>
      <c r="Q1715" s="17"/>
    </row>
    <row r="1716">
      <c r="B1716" s="11">
        <f>IFERROR(__xludf.DUMMYFUNCTION("""COMPUTED_VALUE"""),43531.66666666667)</f>
        <v>43531.66667</v>
      </c>
      <c r="C1716" s="9">
        <f>IFERROR(__xludf.DUMMYFUNCTION("""COMPUTED_VALUE"""),74.42)</f>
        <v>74.42</v>
      </c>
      <c r="E1716" s="17"/>
      <c r="N1716" s="17"/>
      <c r="Q1716" s="17"/>
    </row>
    <row r="1717">
      <c r="B1717" s="11">
        <f>IFERROR(__xludf.DUMMYFUNCTION("""COMPUTED_VALUE"""),43530.66666666667)</f>
        <v>43530.66667</v>
      </c>
      <c r="C1717" s="9">
        <f>IFERROR(__xludf.DUMMYFUNCTION("""COMPUTED_VALUE"""),74.87)</f>
        <v>74.87</v>
      </c>
      <c r="E1717" s="17"/>
      <c r="N1717" s="17"/>
      <c r="Q1717" s="17"/>
    </row>
    <row r="1718">
      <c r="B1718" s="11">
        <f>IFERROR(__xludf.DUMMYFUNCTION("""COMPUTED_VALUE"""),43529.66666666667)</f>
        <v>43529.66667</v>
      </c>
      <c r="C1718" s="9">
        <f>IFERROR(__xludf.DUMMYFUNCTION("""COMPUTED_VALUE"""),75.58)</f>
        <v>75.58</v>
      </c>
      <c r="E1718" s="17"/>
      <c r="N1718" s="17"/>
      <c r="Q1718" s="17"/>
    </row>
    <row r="1719">
      <c r="B1719" s="11">
        <f>IFERROR(__xludf.DUMMYFUNCTION("""COMPUTED_VALUE"""),43528.66666666667)</f>
        <v>43528.66667</v>
      </c>
      <c r="C1719" s="9">
        <f>IFERROR(__xludf.DUMMYFUNCTION("""COMPUTED_VALUE"""),76.07)</f>
        <v>76.07</v>
      </c>
      <c r="E1719" s="17"/>
      <c r="N1719" s="17"/>
      <c r="Q1719" s="17"/>
    </row>
    <row r="1720">
      <c r="B1720" s="11">
        <f>IFERROR(__xludf.DUMMYFUNCTION("""COMPUTED_VALUE"""),43525.66666666667)</f>
        <v>43525.66667</v>
      </c>
      <c r="C1720" s="9">
        <f>IFERROR(__xludf.DUMMYFUNCTION("""COMPUTED_VALUE"""),76.41)</f>
        <v>76.41</v>
      </c>
      <c r="E1720" s="17"/>
      <c r="N1720" s="17"/>
      <c r="Q1720" s="17"/>
    </row>
    <row r="1721">
      <c r="B1721" s="11">
        <f>IFERROR(__xludf.DUMMYFUNCTION("""COMPUTED_VALUE"""),43524.66666666667)</f>
        <v>43524.66667</v>
      </c>
      <c r="C1721" s="9">
        <f>IFERROR(__xludf.DUMMYFUNCTION("""COMPUTED_VALUE"""),76.34)</f>
        <v>76.34</v>
      </c>
      <c r="E1721" s="17"/>
      <c r="N1721" s="17"/>
      <c r="Q1721" s="17"/>
    </row>
    <row r="1722">
      <c r="B1722" s="11">
        <f>IFERROR(__xludf.DUMMYFUNCTION("""COMPUTED_VALUE"""),43523.66666666667)</f>
        <v>43523.66667</v>
      </c>
      <c r="C1722" s="9">
        <f>IFERROR(__xludf.DUMMYFUNCTION("""COMPUTED_VALUE"""),76.6)</f>
        <v>76.6</v>
      </c>
      <c r="E1722" s="17"/>
      <c r="N1722" s="17"/>
      <c r="Q1722" s="17"/>
    </row>
    <row r="1723">
      <c r="B1723" s="11">
        <f>IFERROR(__xludf.DUMMYFUNCTION("""COMPUTED_VALUE"""),43522.66666666667)</f>
        <v>43522.66667</v>
      </c>
      <c r="C1723" s="9">
        <f>IFERROR(__xludf.DUMMYFUNCTION("""COMPUTED_VALUE"""),76.3)</f>
        <v>76.3</v>
      </c>
      <c r="E1723" s="17"/>
      <c r="N1723" s="17"/>
      <c r="Q1723" s="17"/>
    </row>
    <row r="1724">
      <c r="B1724" s="11">
        <f>IFERROR(__xludf.DUMMYFUNCTION("""COMPUTED_VALUE"""),43521.66666666667)</f>
        <v>43521.66667</v>
      </c>
      <c r="C1724" s="9">
        <f>IFERROR(__xludf.DUMMYFUNCTION("""COMPUTED_VALUE"""),76.51)</f>
        <v>76.51</v>
      </c>
      <c r="E1724" s="17"/>
      <c r="N1724" s="17"/>
      <c r="Q1724" s="17"/>
    </row>
    <row r="1725">
      <c r="B1725" s="11">
        <f>IFERROR(__xludf.DUMMYFUNCTION("""COMPUTED_VALUE"""),43518.66666666667)</f>
        <v>43518.66667</v>
      </c>
      <c r="C1725" s="9">
        <f>IFERROR(__xludf.DUMMYFUNCTION("""COMPUTED_VALUE"""),76.21)</f>
        <v>76.21</v>
      </c>
      <c r="E1725" s="17"/>
      <c r="N1725" s="17"/>
      <c r="Q1725" s="17"/>
    </row>
    <row r="1726">
      <c r="B1726" s="11">
        <f>IFERROR(__xludf.DUMMYFUNCTION("""COMPUTED_VALUE"""),43517.66666666667)</f>
        <v>43517.66667</v>
      </c>
      <c r="C1726" s="9">
        <f>IFERROR(__xludf.DUMMYFUNCTION("""COMPUTED_VALUE"""),75.71)</f>
        <v>75.71</v>
      </c>
      <c r="E1726" s="17"/>
      <c r="N1726" s="17"/>
      <c r="Q1726" s="17"/>
    </row>
    <row r="1727">
      <c r="B1727" s="11">
        <f>IFERROR(__xludf.DUMMYFUNCTION("""COMPUTED_VALUE"""),43516.66666666667)</f>
        <v>43516.66667</v>
      </c>
      <c r="C1727" s="9">
        <f>IFERROR(__xludf.DUMMYFUNCTION("""COMPUTED_VALUE"""),76.02)</f>
        <v>76.02</v>
      </c>
      <c r="E1727" s="17"/>
      <c r="N1727" s="17"/>
      <c r="Q1727" s="17"/>
    </row>
    <row r="1728">
      <c r="B1728" s="11">
        <f>IFERROR(__xludf.DUMMYFUNCTION("""COMPUTED_VALUE"""),43515.66666666667)</f>
        <v>43515.66667</v>
      </c>
      <c r="C1728" s="9">
        <f>IFERROR(__xludf.DUMMYFUNCTION("""COMPUTED_VALUE"""),75.66)</f>
        <v>75.66</v>
      </c>
      <c r="E1728" s="17"/>
      <c r="N1728" s="17"/>
      <c r="Q1728" s="17"/>
    </row>
    <row r="1729">
      <c r="B1729" s="11">
        <f>IFERROR(__xludf.DUMMYFUNCTION("""COMPUTED_VALUE"""),43511.66666666667)</f>
        <v>43511.66667</v>
      </c>
      <c r="C1729" s="9">
        <f>IFERROR(__xludf.DUMMYFUNCTION("""COMPUTED_VALUE"""),75.69)</f>
        <v>75.69</v>
      </c>
      <c r="E1729" s="17"/>
      <c r="N1729" s="17"/>
      <c r="Q1729" s="17"/>
    </row>
    <row r="1730">
      <c r="B1730" s="11">
        <f>IFERROR(__xludf.DUMMYFUNCTION("""COMPUTED_VALUE"""),43510.66666666667)</f>
        <v>43510.66667</v>
      </c>
      <c r="C1730" s="9">
        <f>IFERROR(__xludf.DUMMYFUNCTION("""COMPUTED_VALUE"""),74.69)</f>
        <v>74.69</v>
      </c>
      <c r="E1730" s="17"/>
      <c r="N1730" s="17"/>
      <c r="Q1730" s="17"/>
    </row>
    <row r="1731">
      <c r="B1731" s="11">
        <f>IFERROR(__xludf.DUMMYFUNCTION("""COMPUTED_VALUE"""),43509.66666666667)</f>
        <v>43509.66667</v>
      </c>
      <c r="C1731" s="9">
        <f>IFERROR(__xludf.DUMMYFUNCTION("""COMPUTED_VALUE"""),75.04)</f>
        <v>75.04</v>
      </c>
      <c r="E1731" s="17"/>
      <c r="N1731" s="17"/>
      <c r="Q1731" s="17"/>
    </row>
    <row r="1732">
      <c r="B1732" s="11">
        <f>IFERROR(__xludf.DUMMYFUNCTION("""COMPUTED_VALUE"""),43508.66666666667)</f>
        <v>43508.66667</v>
      </c>
      <c r="C1732" s="9">
        <f>IFERROR(__xludf.DUMMYFUNCTION("""COMPUTED_VALUE"""),74.6)</f>
        <v>74.6</v>
      </c>
      <c r="E1732" s="17"/>
      <c r="N1732" s="17"/>
      <c r="Q1732" s="17"/>
    </row>
    <row r="1733">
      <c r="B1733" s="11">
        <f>IFERROR(__xludf.DUMMYFUNCTION("""COMPUTED_VALUE"""),43507.66666666667)</f>
        <v>43507.66667</v>
      </c>
      <c r="C1733" s="9">
        <f>IFERROR(__xludf.DUMMYFUNCTION("""COMPUTED_VALUE"""),73.46)</f>
        <v>73.46</v>
      </c>
      <c r="E1733" s="17"/>
      <c r="N1733" s="17"/>
      <c r="Q1733" s="17"/>
    </row>
    <row r="1734">
      <c r="B1734" s="11">
        <f>IFERROR(__xludf.DUMMYFUNCTION("""COMPUTED_VALUE"""),43504.66666666667)</f>
        <v>43504.66667</v>
      </c>
      <c r="C1734" s="9">
        <f>IFERROR(__xludf.DUMMYFUNCTION("""COMPUTED_VALUE"""),73.07)</f>
        <v>73.07</v>
      </c>
      <c r="E1734" s="17"/>
      <c r="N1734" s="17"/>
      <c r="Q1734" s="17"/>
    </row>
    <row r="1735">
      <c r="B1735" s="11">
        <f>IFERROR(__xludf.DUMMYFUNCTION("""COMPUTED_VALUE"""),43503.66666666667)</f>
        <v>43503.66667</v>
      </c>
      <c r="C1735" s="9">
        <f>IFERROR(__xludf.DUMMYFUNCTION("""COMPUTED_VALUE"""),72.96)</f>
        <v>72.96</v>
      </c>
      <c r="E1735" s="17"/>
      <c r="N1735" s="17"/>
      <c r="Q1735" s="17"/>
    </row>
    <row r="1736">
      <c r="B1736" s="11">
        <f>IFERROR(__xludf.DUMMYFUNCTION("""COMPUTED_VALUE"""),43502.66666666667)</f>
        <v>43502.66667</v>
      </c>
      <c r="C1736" s="9">
        <f>IFERROR(__xludf.DUMMYFUNCTION("""COMPUTED_VALUE"""),73.46)</f>
        <v>73.46</v>
      </c>
      <c r="E1736" s="17"/>
      <c r="N1736" s="17"/>
      <c r="Q1736" s="17"/>
    </row>
    <row r="1737">
      <c r="B1737" s="11">
        <f>IFERROR(__xludf.DUMMYFUNCTION("""COMPUTED_VALUE"""),43501.66666666667)</f>
        <v>43501.66667</v>
      </c>
      <c r="C1737" s="9">
        <f>IFERROR(__xludf.DUMMYFUNCTION("""COMPUTED_VALUE"""),73.44)</f>
        <v>73.44</v>
      </c>
      <c r="E1737" s="17"/>
      <c r="N1737" s="17"/>
      <c r="Q1737" s="17"/>
    </row>
    <row r="1738">
      <c r="B1738" s="11">
        <f>IFERROR(__xludf.DUMMYFUNCTION("""COMPUTED_VALUE"""),43500.66666666667)</f>
        <v>43500.66667</v>
      </c>
      <c r="C1738" s="9">
        <f>IFERROR(__xludf.DUMMYFUNCTION("""COMPUTED_VALUE"""),72.81)</f>
        <v>72.81</v>
      </c>
      <c r="E1738" s="17"/>
      <c r="N1738" s="17"/>
      <c r="Q1738" s="17"/>
    </row>
    <row r="1739">
      <c r="B1739" s="11">
        <f>IFERROR(__xludf.DUMMYFUNCTION("""COMPUTED_VALUE"""),43497.66666666667)</f>
        <v>43497.66667</v>
      </c>
      <c r="C1739" s="9">
        <f>IFERROR(__xludf.DUMMYFUNCTION("""COMPUTED_VALUE"""),71.88)</f>
        <v>71.88</v>
      </c>
      <c r="E1739" s="17"/>
      <c r="N1739" s="17"/>
      <c r="Q1739" s="17"/>
    </row>
    <row r="1740">
      <c r="B1740" s="11">
        <f>IFERROR(__xludf.DUMMYFUNCTION("""COMPUTED_VALUE"""),43496.66666666667)</f>
        <v>43496.66667</v>
      </c>
      <c r="C1740" s="9">
        <f>IFERROR(__xludf.DUMMYFUNCTION("""COMPUTED_VALUE"""),71.77)</f>
        <v>71.77</v>
      </c>
      <c r="E1740" s="17"/>
      <c r="N1740" s="17"/>
      <c r="Q1740" s="17"/>
    </row>
    <row r="1741">
      <c r="B1741" s="11">
        <f>IFERROR(__xludf.DUMMYFUNCTION("""COMPUTED_VALUE"""),43495.66666666667)</f>
        <v>43495.66667</v>
      </c>
      <c r="C1741" s="9">
        <f>IFERROR(__xludf.DUMMYFUNCTION("""COMPUTED_VALUE"""),71.46)</f>
        <v>71.46</v>
      </c>
      <c r="E1741" s="17"/>
      <c r="N1741" s="17"/>
      <c r="Q1741" s="17"/>
    </row>
    <row r="1742">
      <c r="B1742" s="11">
        <f>IFERROR(__xludf.DUMMYFUNCTION("""COMPUTED_VALUE"""),43494.66666666667)</f>
        <v>43494.66667</v>
      </c>
      <c r="C1742" s="9">
        <f>IFERROR(__xludf.DUMMYFUNCTION("""COMPUTED_VALUE"""),70.36)</f>
        <v>70.36</v>
      </c>
      <c r="E1742" s="17"/>
      <c r="N1742" s="17"/>
      <c r="Q1742" s="17"/>
    </row>
    <row r="1743">
      <c r="B1743" s="11">
        <f>IFERROR(__xludf.DUMMYFUNCTION("""COMPUTED_VALUE"""),43493.66666666667)</f>
        <v>43493.66667</v>
      </c>
      <c r="C1743" s="9">
        <f>IFERROR(__xludf.DUMMYFUNCTION("""COMPUTED_VALUE"""),69.4)</f>
        <v>69.4</v>
      </c>
      <c r="E1743" s="17"/>
      <c r="N1743" s="17"/>
      <c r="Q1743" s="17"/>
    </row>
    <row r="1744">
      <c r="B1744" s="11">
        <f>IFERROR(__xludf.DUMMYFUNCTION("""COMPUTED_VALUE"""),43490.66666666667)</f>
        <v>43490.66667</v>
      </c>
      <c r="C1744" s="9">
        <f>IFERROR(__xludf.DUMMYFUNCTION("""COMPUTED_VALUE"""),70.07)</f>
        <v>70.07</v>
      </c>
      <c r="E1744" s="17"/>
      <c r="N1744" s="17"/>
      <c r="Q1744" s="17"/>
    </row>
    <row r="1745">
      <c r="B1745" s="11">
        <f>IFERROR(__xludf.DUMMYFUNCTION("""COMPUTED_VALUE"""),43489.66666666667)</f>
        <v>43489.66667</v>
      </c>
      <c r="C1745" s="9">
        <f>IFERROR(__xludf.DUMMYFUNCTION("""COMPUTED_VALUE"""),69.19)</f>
        <v>69.19</v>
      </c>
      <c r="E1745" s="17"/>
      <c r="N1745" s="17"/>
      <c r="Q1745" s="17"/>
    </row>
    <row r="1746">
      <c r="B1746" s="11">
        <f>IFERROR(__xludf.DUMMYFUNCTION("""COMPUTED_VALUE"""),43488.66666666667)</f>
        <v>43488.66667</v>
      </c>
      <c r="C1746" s="9">
        <f>IFERROR(__xludf.DUMMYFUNCTION("""COMPUTED_VALUE"""),68.84)</f>
        <v>68.84</v>
      </c>
      <c r="E1746" s="17"/>
      <c r="N1746" s="17"/>
      <c r="Q1746" s="17"/>
    </row>
    <row r="1747">
      <c r="B1747" s="11">
        <f>IFERROR(__xludf.DUMMYFUNCTION("""COMPUTED_VALUE"""),43487.66666666667)</f>
        <v>43487.66667</v>
      </c>
      <c r="C1747" s="9">
        <f>IFERROR(__xludf.DUMMYFUNCTION("""COMPUTED_VALUE"""),68.74)</f>
        <v>68.74</v>
      </c>
      <c r="E1747" s="17"/>
      <c r="N1747" s="17"/>
      <c r="Q1747" s="17"/>
    </row>
    <row r="1748">
      <c r="B1748" s="11">
        <f>IFERROR(__xludf.DUMMYFUNCTION("""COMPUTED_VALUE"""),43483.66666666667)</f>
        <v>43483.66667</v>
      </c>
      <c r="C1748" s="9">
        <f>IFERROR(__xludf.DUMMYFUNCTION("""COMPUTED_VALUE"""),70.19)</f>
        <v>70.19</v>
      </c>
      <c r="E1748" s="17"/>
      <c r="N1748" s="17"/>
      <c r="Q1748" s="17"/>
    </row>
    <row r="1749">
      <c r="B1749" s="11">
        <f>IFERROR(__xludf.DUMMYFUNCTION("""COMPUTED_VALUE"""),43482.66666666667)</f>
        <v>43482.66667</v>
      </c>
      <c r="C1749" s="9">
        <f>IFERROR(__xludf.DUMMYFUNCTION("""COMPUTED_VALUE"""),68.88)</f>
        <v>68.88</v>
      </c>
      <c r="E1749" s="17"/>
      <c r="N1749" s="17"/>
      <c r="Q1749" s="17"/>
    </row>
    <row r="1750">
      <c r="B1750" s="11">
        <f>IFERROR(__xludf.DUMMYFUNCTION("""COMPUTED_VALUE"""),43481.66666666667)</f>
        <v>43481.66667</v>
      </c>
      <c r="C1750" s="9">
        <f>IFERROR(__xludf.DUMMYFUNCTION("""COMPUTED_VALUE"""),67.72)</f>
        <v>67.72</v>
      </c>
      <c r="E1750" s="17"/>
      <c r="N1750" s="17"/>
      <c r="Q1750" s="17"/>
    </row>
    <row r="1751">
      <c r="B1751" s="11">
        <f>IFERROR(__xludf.DUMMYFUNCTION("""COMPUTED_VALUE"""),43480.66666666667)</f>
        <v>43480.66667</v>
      </c>
      <c r="C1751" s="9">
        <f>IFERROR(__xludf.DUMMYFUNCTION("""COMPUTED_VALUE"""),67.65)</f>
        <v>67.65</v>
      </c>
      <c r="E1751" s="17"/>
      <c r="N1751" s="17"/>
      <c r="Q1751" s="17"/>
    </row>
    <row r="1752">
      <c r="B1752" s="11">
        <f>IFERROR(__xludf.DUMMYFUNCTION("""COMPUTED_VALUE"""),43479.66666666667)</f>
        <v>43479.66667</v>
      </c>
      <c r="C1752" s="9">
        <f>IFERROR(__xludf.DUMMYFUNCTION("""COMPUTED_VALUE"""),67.86)</f>
        <v>67.86</v>
      </c>
      <c r="E1752" s="17"/>
      <c r="N1752" s="17"/>
      <c r="Q1752" s="17"/>
    </row>
    <row r="1753">
      <c r="B1753" s="11">
        <f>IFERROR(__xludf.DUMMYFUNCTION("""COMPUTED_VALUE"""),43476.66666666667)</f>
        <v>43476.66667</v>
      </c>
      <c r="C1753" s="9">
        <f>IFERROR(__xludf.DUMMYFUNCTION("""COMPUTED_VALUE"""),67.87)</f>
        <v>67.87</v>
      </c>
      <c r="E1753" s="17"/>
      <c r="N1753" s="17"/>
      <c r="Q1753" s="17"/>
    </row>
    <row r="1754">
      <c r="B1754" s="11">
        <f>IFERROR(__xludf.DUMMYFUNCTION("""COMPUTED_VALUE"""),43475.66666666667)</f>
        <v>43475.66667</v>
      </c>
      <c r="C1754" s="9">
        <f>IFERROR(__xludf.DUMMYFUNCTION("""COMPUTED_VALUE"""),67.94)</f>
        <v>67.94</v>
      </c>
      <c r="E1754" s="17"/>
      <c r="N1754" s="17"/>
      <c r="Q1754" s="17"/>
    </row>
    <row r="1755">
      <c r="B1755" s="11">
        <f>IFERROR(__xludf.DUMMYFUNCTION("""COMPUTED_VALUE"""),43474.66666666667)</f>
        <v>43474.66667</v>
      </c>
      <c r="C1755" s="9">
        <f>IFERROR(__xludf.DUMMYFUNCTION("""COMPUTED_VALUE"""),67.03)</f>
        <v>67.03</v>
      </c>
      <c r="E1755" s="17"/>
      <c r="N1755" s="17"/>
      <c r="Q1755" s="17"/>
    </row>
    <row r="1756">
      <c r="B1756" s="11">
        <f>IFERROR(__xludf.DUMMYFUNCTION("""COMPUTED_VALUE"""),43473.66666666667)</f>
        <v>43473.66667</v>
      </c>
      <c r="C1756" s="9">
        <f>IFERROR(__xludf.DUMMYFUNCTION("""COMPUTED_VALUE"""),66.58)</f>
        <v>66.58</v>
      </c>
      <c r="E1756" s="17"/>
      <c r="N1756" s="17"/>
      <c r="Q1756" s="17"/>
    </row>
    <row r="1757">
      <c r="B1757" s="11">
        <f>IFERROR(__xludf.DUMMYFUNCTION("""COMPUTED_VALUE"""),43472.66666666667)</f>
        <v>43472.66667</v>
      </c>
      <c r="C1757" s="9">
        <f>IFERROR(__xludf.DUMMYFUNCTION("""COMPUTED_VALUE"""),65.68)</f>
        <v>65.68</v>
      </c>
      <c r="E1757" s="17"/>
      <c r="N1757" s="17"/>
      <c r="Q1757" s="17"/>
    </row>
    <row r="1758">
      <c r="B1758" s="11">
        <f>IFERROR(__xludf.DUMMYFUNCTION("""COMPUTED_VALUE"""),43469.66666666667)</f>
        <v>43469.66667</v>
      </c>
      <c r="C1758" s="9">
        <f>IFERROR(__xludf.DUMMYFUNCTION("""COMPUTED_VALUE"""),65.15)</f>
        <v>65.15</v>
      </c>
      <c r="E1758" s="17"/>
      <c r="N1758" s="17"/>
      <c r="Q1758" s="17"/>
    </row>
    <row r="1759">
      <c r="B1759" s="11">
        <f>IFERROR(__xludf.DUMMYFUNCTION("""COMPUTED_VALUE"""),43468.66666666667)</f>
        <v>43468.66667</v>
      </c>
      <c r="C1759" s="9">
        <f>IFERROR(__xludf.DUMMYFUNCTION("""COMPUTED_VALUE"""),62.77)</f>
        <v>62.77</v>
      </c>
      <c r="E1759" s="17"/>
      <c r="N1759" s="17"/>
      <c r="Q1759" s="17"/>
    </row>
    <row r="1760">
      <c r="B1760" s="11">
        <f>IFERROR(__xludf.DUMMYFUNCTION("""COMPUTED_VALUE"""),43467.66666666667)</f>
        <v>43467.66667</v>
      </c>
      <c r="C1760" s="9">
        <f>IFERROR(__xludf.DUMMYFUNCTION("""COMPUTED_VALUE"""),64.74)</f>
        <v>64.74</v>
      </c>
      <c r="E1760" s="17"/>
      <c r="N1760" s="17"/>
      <c r="Q1760" s="17"/>
    </row>
    <row r="1761">
      <c r="B1761" s="11">
        <f>IFERROR(__xludf.DUMMYFUNCTION("""COMPUTED_VALUE"""),43465.66666666667)</f>
        <v>43465.66667</v>
      </c>
      <c r="C1761" s="9">
        <f>IFERROR(__xludf.DUMMYFUNCTION("""COMPUTED_VALUE"""),64.41)</f>
        <v>64.41</v>
      </c>
      <c r="E1761" s="17"/>
      <c r="N1761" s="17"/>
      <c r="Q1761" s="17"/>
    </row>
    <row r="1762">
      <c r="B1762" s="11">
        <f>IFERROR(__xludf.DUMMYFUNCTION("""COMPUTED_VALUE"""),43462.66666666667)</f>
        <v>43462.66667</v>
      </c>
      <c r="C1762" s="9">
        <f>IFERROR(__xludf.DUMMYFUNCTION("""COMPUTED_VALUE"""),63.77)</f>
        <v>63.77</v>
      </c>
      <c r="E1762" s="17"/>
      <c r="N1762" s="17"/>
      <c r="Q1762" s="17"/>
    </row>
    <row r="1763">
      <c r="B1763" s="11">
        <f>IFERROR(__xludf.DUMMYFUNCTION("""COMPUTED_VALUE"""),43461.66666666667)</f>
        <v>43461.66667</v>
      </c>
      <c r="C1763" s="9">
        <f>IFERROR(__xludf.DUMMYFUNCTION("""COMPUTED_VALUE"""),63.94)</f>
        <v>63.94</v>
      </c>
      <c r="E1763" s="17"/>
      <c r="N1763" s="17"/>
      <c r="Q1763" s="17"/>
    </row>
    <row r="1764">
      <c r="B1764" s="11">
        <f>IFERROR(__xludf.DUMMYFUNCTION("""COMPUTED_VALUE"""),43460.66666666667)</f>
        <v>43460.66667</v>
      </c>
      <c r="C1764" s="9">
        <f>IFERROR(__xludf.DUMMYFUNCTION("""COMPUTED_VALUE"""),63.15)</f>
        <v>63.15</v>
      </c>
      <c r="E1764" s="17"/>
      <c r="N1764" s="17"/>
      <c r="Q1764" s="17"/>
    </row>
    <row r="1765">
      <c r="B1765" s="11">
        <f>IFERROR(__xludf.DUMMYFUNCTION("""COMPUTED_VALUE"""),43458.54166666667)</f>
        <v>43458.54167</v>
      </c>
      <c r="C1765" s="9">
        <f>IFERROR(__xludf.DUMMYFUNCTION("""COMPUTED_VALUE"""),60.34)</f>
        <v>60.34</v>
      </c>
      <c r="E1765" s="17"/>
      <c r="N1765" s="17"/>
      <c r="Q1765" s="17"/>
    </row>
    <row r="1766">
      <c r="B1766" s="11">
        <f>IFERROR(__xludf.DUMMYFUNCTION("""COMPUTED_VALUE"""),43455.66666666667)</f>
        <v>43455.66667</v>
      </c>
      <c r="C1766" s="9">
        <f>IFERROR(__xludf.DUMMYFUNCTION("""COMPUTED_VALUE"""),62.25)</f>
        <v>62.25</v>
      </c>
      <c r="E1766" s="17"/>
      <c r="N1766" s="17"/>
      <c r="Q1766" s="17"/>
    </row>
    <row r="1767">
      <c r="B1767" s="11">
        <f>IFERROR(__xludf.DUMMYFUNCTION("""COMPUTED_VALUE"""),43454.66666666667)</f>
        <v>43454.66667</v>
      </c>
      <c r="C1767" s="9">
        <f>IFERROR(__xludf.DUMMYFUNCTION("""COMPUTED_VALUE"""),63.84)</f>
        <v>63.84</v>
      </c>
      <c r="E1767" s="17"/>
      <c r="N1767" s="17"/>
      <c r="Q1767" s="17"/>
    </row>
    <row r="1768">
      <c r="B1768" s="11">
        <f>IFERROR(__xludf.DUMMYFUNCTION("""COMPUTED_VALUE"""),43453.66666666667)</f>
        <v>43453.66667</v>
      </c>
      <c r="C1768" s="9">
        <f>IFERROR(__xludf.DUMMYFUNCTION("""COMPUTED_VALUE"""),65.03)</f>
        <v>65.03</v>
      </c>
      <c r="E1768" s="17"/>
      <c r="N1768" s="17"/>
      <c r="Q1768" s="17"/>
    </row>
    <row r="1769">
      <c r="B1769" s="11">
        <f>IFERROR(__xludf.DUMMYFUNCTION("""COMPUTED_VALUE"""),43452.66666666667)</f>
        <v>43452.66667</v>
      </c>
      <c r="C1769" s="9">
        <f>IFERROR(__xludf.DUMMYFUNCTION("""COMPUTED_VALUE"""),66.28)</f>
        <v>66.28</v>
      </c>
      <c r="E1769" s="17"/>
      <c r="N1769" s="17"/>
      <c r="Q1769" s="17"/>
    </row>
    <row r="1770">
      <c r="B1770" s="11">
        <f>IFERROR(__xludf.DUMMYFUNCTION("""COMPUTED_VALUE"""),43451.66666666667)</f>
        <v>43451.66667</v>
      </c>
      <c r="C1770" s="9">
        <f>IFERROR(__xludf.DUMMYFUNCTION("""COMPUTED_VALUE"""),65.95)</f>
        <v>65.95</v>
      </c>
      <c r="E1770" s="17"/>
      <c r="N1770" s="17"/>
      <c r="Q1770" s="17"/>
    </row>
    <row r="1771">
      <c r="B1771" s="11">
        <f>IFERROR(__xludf.DUMMYFUNCTION("""COMPUTED_VALUE"""),43448.66666666667)</f>
        <v>43448.66667</v>
      </c>
      <c r="C1771" s="9">
        <f>IFERROR(__xludf.DUMMYFUNCTION("""COMPUTED_VALUE"""),67.05)</f>
        <v>67.05</v>
      </c>
      <c r="E1771" s="17"/>
      <c r="N1771" s="17"/>
      <c r="Q1771" s="17"/>
    </row>
    <row r="1772">
      <c r="B1772" s="11">
        <f>IFERROR(__xludf.DUMMYFUNCTION("""COMPUTED_VALUE"""),43447.66666666667)</f>
        <v>43447.66667</v>
      </c>
      <c r="C1772" s="9">
        <f>IFERROR(__xludf.DUMMYFUNCTION("""COMPUTED_VALUE"""),67.99)</f>
        <v>67.99</v>
      </c>
      <c r="E1772" s="17"/>
      <c r="N1772" s="17"/>
      <c r="Q1772" s="17"/>
    </row>
    <row r="1773">
      <c r="B1773" s="11">
        <f>IFERROR(__xludf.DUMMYFUNCTION("""COMPUTED_VALUE"""),43446.66666666667)</f>
        <v>43446.66667</v>
      </c>
      <c r="C1773" s="9">
        <f>IFERROR(__xludf.DUMMYFUNCTION("""COMPUTED_VALUE"""),68.18)</f>
        <v>68.18</v>
      </c>
      <c r="E1773" s="17"/>
      <c r="N1773" s="17"/>
      <c r="Q1773" s="17"/>
    </row>
    <row r="1774">
      <c r="B1774" s="11">
        <f>IFERROR(__xludf.DUMMYFUNCTION("""COMPUTED_VALUE"""),43445.66666666667)</f>
        <v>43445.66667</v>
      </c>
      <c r="C1774" s="9">
        <f>IFERROR(__xludf.DUMMYFUNCTION("""COMPUTED_VALUE"""),67.8)</f>
        <v>67.8</v>
      </c>
      <c r="E1774" s="17"/>
      <c r="N1774" s="17"/>
      <c r="Q1774" s="17"/>
    </row>
    <row r="1775">
      <c r="B1775" s="11">
        <f>IFERROR(__xludf.DUMMYFUNCTION("""COMPUTED_VALUE"""),43444.66666666667)</f>
        <v>43444.66667</v>
      </c>
      <c r="C1775" s="9">
        <f>IFERROR(__xludf.DUMMYFUNCTION("""COMPUTED_VALUE"""),68.2)</f>
        <v>68.2</v>
      </c>
      <c r="E1775" s="17"/>
      <c r="N1775" s="17"/>
      <c r="Q1775" s="17"/>
    </row>
    <row r="1776">
      <c r="B1776" s="11">
        <f>IFERROR(__xludf.DUMMYFUNCTION("""COMPUTED_VALUE"""),43441.66666666667)</f>
        <v>43441.66667</v>
      </c>
      <c r="C1776" s="9">
        <f>IFERROR(__xludf.DUMMYFUNCTION("""COMPUTED_VALUE"""),68.03)</f>
        <v>68.03</v>
      </c>
      <c r="E1776" s="17"/>
      <c r="N1776" s="17"/>
      <c r="Q1776" s="17"/>
    </row>
    <row r="1777">
      <c r="B1777" s="11">
        <f>IFERROR(__xludf.DUMMYFUNCTION("""COMPUTED_VALUE"""),43440.66666666667)</f>
        <v>43440.66667</v>
      </c>
      <c r="C1777" s="9">
        <f>IFERROR(__xludf.DUMMYFUNCTION("""COMPUTED_VALUE"""),69.87)</f>
        <v>69.87</v>
      </c>
      <c r="E1777" s="17"/>
      <c r="N1777" s="17"/>
      <c r="Q1777" s="17"/>
    </row>
    <row r="1778">
      <c r="B1778" s="11">
        <f>IFERROR(__xludf.DUMMYFUNCTION("""COMPUTED_VALUE"""),43438.66666666667)</f>
        <v>43438.66667</v>
      </c>
      <c r="C1778" s="9">
        <f>IFERROR(__xludf.DUMMYFUNCTION("""COMPUTED_VALUE"""),70.26)</f>
        <v>70.26</v>
      </c>
      <c r="E1778" s="17"/>
      <c r="N1778" s="17"/>
      <c r="Q1778" s="17"/>
    </row>
    <row r="1779">
      <c r="B1779" s="11">
        <f>IFERROR(__xludf.DUMMYFUNCTION("""COMPUTED_VALUE"""),43437.66666666667)</f>
        <v>43437.66667</v>
      </c>
      <c r="C1779" s="9">
        <f>IFERROR(__xludf.DUMMYFUNCTION("""COMPUTED_VALUE"""),73.38)</f>
        <v>73.38</v>
      </c>
      <c r="E1779" s="17"/>
      <c r="N1779" s="17"/>
      <c r="Q1779" s="17"/>
    </row>
    <row r="1780">
      <c r="B1780" s="11">
        <f>IFERROR(__xludf.DUMMYFUNCTION("""COMPUTED_VALUE"""),43434.66666666667)</f>
        <v>43434.66667</v>
      </c>
      <c r="C1780" s="9">
        <f>IFERROR(__xludf.DUMMYFUNCTION("""COMPUTED_VALUE"""),72.54)</f>
        <v>72.54</v>
      </c>
      <c r="E1780" s="17"/>
      <c r="N1780" s="17"/>
      <c r="Q1780" s="17"/>
    </row>
    <row r="1781">
      <c r="B1781" s="11">
        <f>IFERROR(__xludf.DUMMYFUNCTION("""COMPUTED_VALUE"""),43433.66666666667)</f>
        <v>43433.66667</v>
      </c>
      <c r="C1781" s="9">
        <f>IFERROR(__xludf.DUMMYFUNCTION("""COMPUTED_VALUE"""),71.84)</f>
        <v>71.84</v>
      </c>
      <c r="E1781" s="17"/>
      <c r="N1781" s="17"/>
      <c r="Q1781" s="17"/>
    </row>
    <row r="1782">
      <c r="B1782" s="11">
        <f>IFERROR(__xludf.DUMMYFUNCTION("""COMPUTED_VALUE"""),43432.66666666667)</f>
        <v>43432.66667</v>
      </c>
      <c r="C1782" s="9">
        <f>IFERROR(__xludf.DUMMYFUNCTION("""COMPUTED_VALUE"""),71.8)</f>
        <v>71.8</v>
      </c>
      <c r="E1782" s="17"/>
      <c r="N1782" s="17"/>
      <c r="Q1782" s="17"/>
    </row>
    <row r="1783">
      <c r="B1783" s="11">
        <f>IFERROR(__xludf.DUMMYFUNCTION("""COMPUTED_VALUE"""),43431.66666666667)</f>
        <v>43431.66667</v>
      </c>
      <c r="C1783" s="9">
        <f>IFERROR(__xludf.DUMMYFUNCTION("""COMPUTED_VALUE"""),70.12)</f>
        <v>70.12</v>
      </c>
      <c r="E1783" s="17"/>
      <c r="N1783" s="17"/>
      <c r="Q1783" s="17"/>
    </row>
    <row r="1784">
      <c r="B1784" s="11">
        <f>IFERROR(__xludf.DUMMYFUNCTION("""COMPUTED_VALUE"""),43430.66666666667)</f>
        <v>43430.66667</v>
      </c>
      <c r="C1784" s="9">
        <f>IFERROR(__xludf.DUMMYFUNCTION("""COMPUTED_VALUE"""),70.24)</f>
        <v>70.24</v>
      </c>
      <c r="E1784" s="17"/>
      <c r="N1784" s="17"/>
      <c r="Q1784" s="17"/>
    </row>
    <row r="1785">
      <c r="B1785" s="11">
        <f>IFERROR(__xludf.DUMMYFUNCTION("""COMPUTED_VALUE"""),43427.54166666667)</f>
        <v>43427.54167</v>
      </c>
      <c r="C1785" s="9">
        <f>IFERROR(__xludf.DUMMYFUNCTION("""COMPUTED_VALUE"""),69.73)</f>
        <v>69.73</v>
      </c>
      <c r="E1785" s="17"/>
      <c r="N1785" s="17"/>
      <c r="Q1785" s="17"/>
    </row>
    <row r="1786">
      <c r="B1786" s="11">
        <f>IFERROR(__xludf.DUMMYFUNCTION("""COMPUTED_VALUE"""),43425.66666666667)</f>
        <v>43425.66667</v>
      </c>
      <c r="C1786" s="9">
        <f>IFERROR(__xludf.DUMMYFUNCTION("""COMPUTED_VALUE"""),69.87)</f>
        <v>69.87</v>
      </c>
      <c r="E1786" s="17"/>
      <c r="N1786" s="17"/>
      <c r="Q1786" s="17"/>
    </row>
    <row r="1787">
      <c r="B1787" s="11">
        <f>IFERROR(__xludf.DUMMYFUNCTION("""COMPUTED_VALUE"""),43424.66666666667)</f>
        <v>43424.66667</v>
      </c>
      <c r="C1787" s="9">
        <f>IFERROR(__xludf.DUMMYFUNCTION("""COMPUTED_VALUE"""),69.38)</f>
        <v>69.38</v>
      </c>
      <c r="E1787" s="17"/>
      <c r="N1787" s="17"/>
      <c r="Q1787" s="17"/>
    </row>
    <row r="1788">
      <c r="B1788" s="11">
        <f>IFERROR(__xludf.DUMMYFUNCTION("""COMPUTED_VALUE"""),43423.66666666667)</f>
        <v>43423.66667</v>
      </c>
      <c r="C1788" s="9">
        <f>IFERROR(__xludf.DUMMYFUNCTION("""COMPUTED_VALUE"""),70.85)</f>
        <v>70.85</v>
      </c>
      <c r="E1788" s="17"/>
      <c r="N1788" s="17"/>
      <c r="Q1788" s="17"/>
    </row>
    <row r="1789">
      <c r="B1789" s="11">
        <f>IFERROR(__xludf.DUMMYFUNCTION("""COMPUTED_VALUE"""),43420.66666666667)</f>
        <v>43420.66667</v>
      </c>
      <c r="C1789" s="9">
        <f>IFERROR(__xludf.DUMMYFUNCTION("""COMPUTED_VALUE"""),71.99)</f>
        <v>71.99</v>
      </c>
      <c r="E1789" s="17"/>
      <c r="N1789" s="17"/>
      <c r="Q1789" s="17"/>
    </row>
    <row r="1790">
      <c r="B1790" s="11">
        <f>IFERROR(__xludf.DUMMYFUNCTION("""COMPUTED_VALUE"""),43419.66666666667)</f>
        <v>43419.66667</v>
      </c>
      <c r="C1790" s="9">
        <f>IFERROR(__xludf.DUMMYFUNCTION("""COMPUTED_VALUE"""),72.01)</f>
        <v>72.01</v>
      </c>
      <c r="E1790" s="17"/>
      <c r="N1790" s="17"/>
      <c r="Q1790" s="17"/>
    </row>
    <row r="1791">
      <c r="B1791" s="11">
        <f>IFERROR(__xludf.DUMMYFUNCTION("""COMPUTED_VALUE"""),43418.66666666667)</f>
        <v>43418.66667</v>
      </c>
      <c r="C1791" s="9">
        <f>IFERROR(__xludf.DUMMYFUNCTION("""COMPUTED_VALUE"""),71.07)</f>
        <v>71.07</v>
      </c>
      <c r="E1791" s="17"/>
      <c r="N1791" s="17"/>
      <c r="Q1791" s="17"/>
    </row>
    <row r="1792">
      <c r="B1792" s="11">
        <f>IFERROR(__xludf.DUMMYFUNCTION("""COMPUTED_VALUE"""),43417.66666666667)</f>
        <v>43417.66667</v>
      </c>
      <c r="C1792" s="9">
        <f>IFERROR(__xludf.DUMMYFUNCTION("""COMPUTED_VALUE"""),71.31)</f>
        <v>71.31</v>
      </c>
      <c r="E1792" s="17"/>
      <c r="N1792" s="17"/>
      <c r="Q1792" s="17"/>
    </row>
    <row r="1793">
      <c r="B1793" s="11">
        <f>IFERROR(__xludf.DUMMYFUNCTION("""COMPUTED_VALUE"""),43416.66666666667)</f>
        <v>43416.66667</v>
      </c>
      <c r="C1793" s="9">
        <f>IFERROR(__xludf.DUMMYFUNCTION("""COMPUTED_VALUE"""),70.99)</f>
        <v>70.99</v>
      </c>
      <c r="E1793" s="17"/>
      <c r="N1793" s="17"/>
      <c r="Q1793" s="17"/>
    </row>
    <row r="1794">
      <c r="B1794" s="11">
        <f>IFERROR(__xludf.DUMMYFUNCTION("""COMPUTED_VALUE"""),43413.66666666667)</f>
        <v>43413.66667</v>
      </c>
      <c r="C1794" s="9">
        <f>IFERROR(__xludf.DUMMYFUNCTION("""COMPUTED_VALUE"""),72.42)</f>
        <v>72.42</v>
      </c>
      <c r="E1794" s="17"/>
      <c r="N1794" s="17"/>
      <c r="Q1794" s="17"/>
    </row>
    <row r="1795">
      <c r="B1795" s="11">
        <f>IFERROR(__xludf.DUMMYFUNCTION("""COMPUTED_VALUE"""),43412.66666666667)</f>
        <v>43412.66667</v>
      </c>
      <c r="C1795" s="9">
        <f>IFERROR(__xludf.DUMMYFUNCTION("""COMPUTED_VALUE"""),73.16)</f>
        <v>73.16</v>
      </c>
      <c r="E1795" s="17"/>
      <c r="N1795" s="17"/>
      <c r="Q1795" s="17"/>
    </row>
    <row r="1796">
      <c r="B1796" s="11">
        <f>IFERROR(__xludf.DUMMYFUNCTION("""COMPUTED_VALUE"""),43411.66666666667)</f>
        <v>43411.66667</v>
      </c>
      <c r="C1796" s="9">
        <f>IFERROR(__xludf.DUMMYFUNCTION("""COMPUTED_VALUE"""),73.28)</f>
        <v>73.28</v>
      </c>
      <c r="E1796" s="17"/>
      <c r="N1796" s="17"/>
      <c r="Q1796" s="17"/>
    </row>
    <row r="1797">
      <c r="B1797" s="11">
        <f>IFERROR(__xludf.DUMMYFUNCTION("""COMPUTED_VALUE"""),43410.66666666667)</f>
        <v>43410.66667</v>
      </c>
      <c r="C1797" s="9">
        <f>IFERROR(__xludf.DUMMYFUNCTION("""COMPUTED_VALUE"""),72.11)</f>
        <v>72.11</v>
      </c>
      <c r="E1797" s="17"/>
      <c r="N1797" s="17"/>
      <c r="Q1797" s="17"/>
    </row>
    <row r="1798">
      <c r="B1798" s="11">
        <f>IFERROR(__xludf.DUMMYFUNCTION("""COMPUTED_VALUE"""),43409.66666666667)</f>
        <v>43409.66667</v>
      </c>
      <c r="C1798" s="9">
        <f>IFERROR(__xludf.DUMMYFUNCTION("""COMPUTED_VALUE"""),71.36)</f>
        <v>71.36</v>
      </c>
      <c r="E1798" s="17"/>
      <c r="N1798" s="17"/>
      <c r="Q1798" s="17"/>
    </row>
    <row r="1799">
      <c r="B1799" s="11">
        <f>IFERROR(__xludf.DUMMYFUNCTION("""COMPUTED_VALUE"""),43406.66666666667)</f>
        <v>43406.66667</v>
      </c>
      <c r="C1799" s="9">
        <f>IFERROR(__xludf.DUMMYFUNCTION("""COMPUTED_VALUE"""),70.99)</f>
        <v>70.99</v>
      </c>
      <c r="E1799" s="17"/>
      <c r="N1799" s="17"/>
      <c r="Q1799" s="17"/>
    </row>
    <row r="1800">
      <c r="B1800" s="11">
        <f>IFERROR(__xludf.DUMMYFUNCTION("""COMPUTED_VALUE"""),43405.66666666667)</f>
        <v>43405.66667</v>
      </c>
      <c r="C1800" s="9">
        <f>IFERROR(__xludf.DUMMYFUNCTION("""COMPUTED_VALUE"""),71.11)</f>
        <v>71.11</v>
      </c>
      <c r="E1800" s="17"/>
      <c r="N1800" s="17"/>
      <c r="Q1800" s="17"/>
    </row>
    <row r="1801">
      <c r="B1801" s="11">
        <f>IFERROR(__xludf.DUMMYFUNCTION("""COMPUTED_VALUE"""),43404.66666666667)</f>
        <v>43404.66667</v>
      </c>
      <c r="C1801" s="9">
        <f>IFERROR(__xludf.DUMMYFUNCTION("""COMPUTED_VALUE"""),69.88)</f>
        <v>69.88</v>
      </c>
      <c r="E1801" s="17"/>
      <c r="N1801" s="17"/>
      <c r="Q1801" s="17"/>
    </row>
    <row r="1802">
      <c r="B1802" s="11">
        <f>IFERROR(__xludf.DUMMYFUNCTION("""COMPUTED_VALUE"""),43403.66666666667)</f>
        <v>43403.66667</v>
      </c>
      <c r="C1802" s="9">
        <f>IFERROR(__xludf.DUMMYFUNCTION("""COMPUTED_VALUE"""),69.35)</f>
        <v>69.35</v>
      </c>
      <c r="E1802" s="17"/>
      <c r="N1802" s="17"/>
      <c r="Q1802" s="17"/>
    </row>
    <row r="1803">
      <c r="B1803" s="11">
        <f>IFERROR(__xludf.DUMMYFUNCTION("""COMPUTED_VALUE"""),43402.66666666667)</f>
        <v>43402.66667</v>
      </c>
      <c r="C1803" s="9">
        <f>IFERROR(__xludf.DUMMYFUNCTION("""COMPUTED_VALUE"""),67.95)</f>
        <v>67.95</v>
      </c>
      <c r="E1803" s="17"/>
      <c r="N1803" s="17"/>
      <c r="Q1803" s="17"/>
    </row>
    <row r="1804">
      <c r="B1804" s="11">
        <f>IFERROR(__xludf.DUMMYFUNCTION("""COMPUTED_VALUE"""),43399.66666666667)</f>
        <v>43399.66667</v>
      </c>
      <c r="C1804" s="9">
        <f>IFERROR(__xludf.DUMMYFUNCTION("""COMPUTED_VALUE"""),69.1)</f>
        <v>69.1</v>
      </c>
      <c r="E1804" s="17"/>
      <c r="N1804" s="17"/>
      <c r="Q1804" s="17"/>
    </row>
    <row r="1805">
      <c r="B1805" s="11">
        <f>IFERROR(__xludf.DUMMYFUNCTION("""COMPUTED_VALUE"""),43398.66666666667)</f>
        <v>43398.66667</v>
      </c>
      <c r="C1805" s="9">
        <f>IFERROR(__xludf.DUMMYFUNCTION("""COMPUTED_VALUE"""),69.79)</f>
        <v>69.79</v>
      </c>
      <c r="E1805" s="17"/>
      <c r="N1805" s="17"/>
      <c r="Q1805" s="17"/>
    </row>
    <row r="1806">
      <c r="B1806" s="11">
        <f>IFERROR(__xludf.DUMMYFUNCTION("""COMPUTED_VALUE"""),43397.66666666667)</f>
        <v>43397.66667</v>
      </c>
      <c r="C1806" s="9">
        <f>IFERROR(__xludf.DUMMYFUNCTION("""COMPUTED_VALUE"""),69.3)</f>
        <v>69.3</v>
      </c>
      <c r="E1806" s="17"/>
      <c r="N1806" s="17"/>
      <c r="Q1806" s="17"/>
    </row>
    <row r="1807">
      <c r="B1807" s="11">
        <f>IFERROR(__xludf.DUMMYFUNCTION("""COMPUTED_VALUE"""),43396.66666666667)</f>
        <v>43396.66667</v>
      </c>
      <c r="C1807" s="9">
        <f>IFERROR(__xludf.DUMMYFUNCTION("""COMPUTED_VALUE"""),71.73)</f>
        <v>71.73</v>
      </c>
      <c r="E1807" s="17"/>
      <c r="N1807" s="17"/>
      <c r="Q1807" s="17"/>
    </row>
    <row r="1808">
      <c r="B1808" s="11">
        <f>IFERROR(__xludf.DUMMYFUNCTION("""COMPUTED_VALUE"""),43395.66666666667)</f>
        <v>43395.66667</v>
      </c>
      <c r="C1808" s="9">
        <f>IFERROR(__xludf.DUMMYFUNCTION("""COMPUTED_VALUE"""),72.93)</f>
        <v>72.93</v>
      </c>
      <c r="E1808" s="17"/>
      <c r="N1808" s="17"/>
      <c r="Q1808" s="17"/>
    </row>
    <row r="1809">
      <c r="B1809" s="11">
        <f>IFERROR(__xludf.DUMMYFUNCTION("""COMPUTED_VALUE"""),43392.66666666667)</f>
        <v>43392.66667</v>
      </c>
      <c r="C1809" s="9">
        <f>IFERROR(__xludf.DUMMYFUNCTION("""COMPUTED_VALUE"""),73.18)</f>
        <v>73.18</v>
      </c>
      <c r="E1809" s="17"/>
      <c r="N1809" s="17"/>
      <c r="Q1809" s="17"/>
    </row>
    <row r="1810">
      <c r="B1810" s="11">
        <f>IFERROR(__xludf.DUMMYFUNCTION("""COMPUTED_VALUE"""),43391.66666666667)</f>
        <v>43391.66667</v>
      </c>
      <c r="C1810" s="9">
        <f>IFERROR(__xludf.DUMMYFUNCTION("""COMPUTED_VALUE"""),73.45)</f>
        <v>73.45</v>
      </c>
      <c r="E1810" s="17"/>
      <c r="N1810" s="17"/>
      <c r="Q1810" s="17"/>
    </row>
    <row r="1811">
      <c r="B1811" s="11">
        <f>IFERROR(__xludf.DUMMYFUNCTION("""COMPUTED_VALUE"""),43390.66666666667)</f>
        <v>43390.66667</v>
      </c>
      <c r="C1811" s="9">
        <f>IFERROR(__xludf.DUMMYFUNCTION("""COMPUTED_VALUE"""),74.74)</f>
        <v>74.74</v>
      </c>
      <c r="E1811" s="17"/>
      <c r="N1811" s="17"/>
      <c r="Q1811" s="17"/>
    </row>
    <row r="1812">
      <c r="B1812" s="11">
        <f>IFERROR(__xludf.DUMMYFUNCTION("""COMPUTED_VALUE"""),43389.66666666667)</f>
        <v>43389.66667</v>
      </c>
      <c r="C1812" s="9">
        <f>IFERROR(__xludf.DUMMYFUNCTION("""COMPUTED_VALUE"""),75.29)</f>
        <v>75.29</v>
      </c>
      <c r="E1812" s="17"/>
      <c r="N1812" s="17"/>
      <c r="Q1812" s="17"/>
    </row>
    <row r="1813">
      <c r="B1813" s="11">
        <f>IFERROR(__xludf.DUMMYFUNCTION("""COMPUTED_VALUE"""),43388.66666666667)</f>
        <v>43388.66667</v>
      </c>
      <c r="C1813" s="9">
        <f>IFERROR(__xludf.DUMMYFUNCTION("""COMPUTED_VALUE"""),74.04)</f>
        <v>74.04</v>
      </c>
      <c r="E1813" s="17"/>
      <c r="N1813" s="17"/>
      <c r="Q1813" s="17"/>
    </row>
    <row r="1814">
      <c r="B1814" s="11">
        <f>IFERROR(__xludf.DUMMYFUNCTION("""COMPUTED_VALUE"""),43385.66666666667)</f>
        <v>43385.66667</v>
      </c>
      <c r="C1814" s="9">
        <f>IFERROR(__xludf.DUMMYFUNCTION("""COMPUTED_VALUE"""),73.9)</f>
        <v>73.9</v>
      </c>
      <c r="E1814" s="17"/>
      <c r="N1814" s="17"/>
      <c r="Q1814" s="17"/>
    </row>
    <row r="1815">
      <c r="B1815" s="11">
        <f>IFERROR(__xludf.DUMMYFUNCTION("""COMPUTED_VALUE"""),43384.66666666667)</f>
        <v>43384.66667</v>
      </c>
      <c r="C1815" s="9">
        <f>IFERROR(__xludf.DUMMYFUNCTION("""COMPUTED_VALUE"""),73.41)</f>
        <v>73.41</v>
      </c>
      <c r="E1815" s="17"/>
      <c r="N1815" s="17"/>
      <c r="Q1815" s="17"/>
    </row>
    <row r="1816">
      <c r="B1816" s="11">
        <f>IFERROR(__xludf.DUMMYFUNCTION("""COMPUTED_VALUE"""),43383.66666666667)</f>
        <v>43383.66667</v>
      </c>
      <c r="C1816" s="9">
        <f>IFERROR(__xludf.DUMMYFUNCTION("""COMPUTED_VALUE"""),75.4)</f>
        <v>75.4</v>
      </c>
      <c r="E1816" s="17"/>
      <c r="N1816" s="17"/>
      <c r="Q1816" s="17"/>
    </row>
    <row r="1817">
      <c r="B1817" s="11">
        <f>IFERROR(__xludf.DUMMYFUNCTION("""COMPUTED_VALUE"""),43382.66666666667)</f>
        <v>43382.66667</v>
      </c>
      <c r="C1817" s="9">
        <f>IFERROR(__xludf.DUMMYFUNCTION("""COMPUTED_VALUE"""),77.91)</f>
        <v>77.91</v>
      </c>
      <c r="E1817" s="17"/>
      <c r="N1817" s="17"/>
      <c r="Q1817" s="17"/>
    </row>
    <row r="1818">
      <c r="B1818" s="11">
        <f>IFERROR(__xludf.DUMMYFUNCTION("""COMPUTED_VALUE"""),43381.66666666667)</f>
        <v>43381.66667</v>
      </c>
      <c r="C1818" s="9">
        <f>IFERROR(__xludf.DUMMYFUNCTION("""COMPUTED_VALUE"""),79.13)</f>
        <v>79.13</v>
      </c>
      <c r="E1818" s="17"/>
      <c r="N1818" s="17"/>
      <c r="Q1818" s="17"/>
    </row>
    <row r="1819">
      <c r="B1819" s="11">
        <f>IFERROR(__xludf.DUMMYFUNCTION("""COMPUTED_VALUE"""),43378.66666666667)</f>
        <v>43378.66667</v>
      </c>
      <c r="C1819" s="9">
        <f>IFERROR(__xludf.DUMMYFUNCTION("""COMPUTED_VALUE"""),78.93)</f>
        <v>78.93</v>
      </c>
      <c r="E1819" s="17"/>
      <c r="N1819" s="17"/>
      <c r="Q1819" s="17"/>
    </row>
    <row r="1820">
      <c r="B1820" s="11">
        <f>IFERROR(__xludf.DUMMYFUNCTION("""COMPUTED_VALUE"""),43377.66666666667)</f>
        <v>43377.66667</v>
      </c>
      <c r="C1820" s="9">
        <f>IFERROR(__xludf.DUMMYFUNCTION("""COMPUTED_VALUE"""),79.34)</f>
        <v>79.34</v>
      </c>
      <c r="E1820" s="17"/>
      <c r="N1820" s="17"/>
      <c r="Q1820" s="17"/>
    </row>
    <row r="1821">
      <c r="B1821" s="11">
        <f>IFERROR(__xludf.DUMMYFUNCTION("""COMPUTED_VALUE"""),43376.66666666667)</f>
        <v>43376.66667</v>
      </c>
      <c r="C1821" s="9">
        <f>IFERROR(__xludf.DUMMYFUNCTION("""COMPUTED_VALUE"""),79.6)</f>
        <v>79.6</v>
      </c>
      <c r="E1821" s="17"/>
      <c r="N1821" s="17"/>
      <c r="Q1821" s="17"/>
    </row>
    <row r="1822">
      <c r="B1822" s="11">
        <f>IFERROR(__xludf.DUMMYFUNCTION("""COMPUTED_VALUE"""),43375.66666666667)</f>
        <v>43375.66667</v>
      </c>
      <c r="C1822" s="9">
        <f>IFERROR(__xludf.DUMMYFUNCTION("""COMPUTED_VALUE"""),79.27)</f>
        <v>79.27</v>
      </c>
      <c r="E1822" s="17"/>
      <c r="N1822" s="17"/>
      <c r="Q1822" s="17"/>
    </row>
    <row r="1823">
      <c r="B1823" s="11">
        <f>IFERROR(__xludf.DUMMYFUNCTION("""COMPUTED_VALUE"""),43374.66666666667)</f>
        <v>43374.66667</v>
      </c>
      <c r="C1823" s="9">
        <f>IFERROR(__xludf.DUMMYFUNCTION("""COMPUTED_VALUE"""),79.09)</f>
        <v>79.09</v>
      </c>
      <c r="E1823" s="17"/>
      <c r="N1823" s="17"/>
      <c r="Q1823" s="17"/>
    </row>
    <row r="1824">
      <c r="B1824" s="11">
        <f>IFERROR(__xludf.DUMMYFUNCTION("""COMPUTED_VALUE"""),43371.66666666667)</f>
        <v>43371.66667</v>
      </c>
      <c r="C1824" s="9">
        <f>IFERROR(__xludf.DUMMYFUNCTION("""COMPUTED_VALUE"""),78.4)</f>
        <v>78.4</v>
      </c>
      <c r="E1824" s="17"/>
      <c r="N1824" s="17"/>
      <c r="Q1824" s="17"/>
    </row>
    <row r="1825">
      <c r="B1825" s="11">
        <f>IFERROR(__xludf.DUMMYFUNCTION("""COMPUTED_VALUE"""),43370.66666666667)</f>
        <v>43370.66667</v>
      </c>
      <c r="C1825" s="9">
        <f>IFERROR(__xludf.DUMMYFUNCTION("""COMPUTED_VALUE"""),78.45)</f>
        <v>78.45</v>
      </c>
      <c r="E1825" s="17"/>
      <c r="N1825" s="17"/>
      <c r="Q1825" s="17"/>
    </row>
    <row r="1826">
      <c r="B1826" s="11">
        <f>IFERROR(__xludf.DUMMYFUNCTION("""COMPUTED_VALUE"""),43369.66666666667)</f>
        <v>43369.66667</v>
      </c>
      <c r="C1826" s="9">
        <f>IFERROR(__xludf.DUMMYFUNCTION("""COMPUTED_VALUE"""),78.34)</f>
        <v>78.34</v>
      </c>
      <c r="E1826" s="17"/>
      <c r="N1826" s="17"/>
      <c r="Q1826" s="17"/>
    </row>
    <row r="1827">
      <c r="B1827" s="11">
        <f>IFERROR(__xludf.DUMMYFUNCTION("""COMPUTED_VALUE"""),43368.66666666667)</f>
        <v>43368.66667</v>
      </c>
      <c r="C1827" s="9">
        <f>IFERROR(__xludf.DUMMYFUNCTION("""COMPUTED_VALUE"""),78.39)</f>
        <v>78.39</v>
      </c>
      <c r="E1827" s="17"/>
      <c r="N1827" s="17"/>
      <c r="Q1827" s="17"/>
    </row>
    <row r="1828">
      <c r="B1828" s="11">
        <f>IFERROR(__xludf.DUMMYFUNCTION("""COMPUTED_VALUE"""),43367.66666666667)</f>
        <v>43367.66667</v>
      </c>
      <c r="C1828" s="9">
        <f>IFERROR(__xludf.DUMMYFUNCTION("""COMPUTED_VALUE"""),78.63)</f>
        <v>78.63</v>
      </c>
      <c r="E1828" s="17"/>
      <c r="N1828" s="17"/>
      <c r="Q1828" s="17"/>
    </row>
    <row r="1829">
      <c r="B1829" s="11">
        <f>IFERROR(__xludf.DUMMYFUNCTION("""COMPUTED_VALUE"""),43364.66666666667)</f>
        <v>43364.66667</v>
      </c>
      <c r="C1829" s="9">
        <f>IFERROR(__xludf.DUMMYFUNCTION("""COMPUTED_VALUE"""),80.0)</f>
        <v>80</v>
      </c>
      <c r="E1829" s="17"/>
      <c r="N1829" s="17"/>
      <c r="Q1829" s="17"/>
    </row>
    <row r="1830">
      <c r="B1830" s="11">
        <f>IFERROR(__xludf.DUMMYFUNCTION("""COMPUTED_VALUE"""),43363.66666666667)</f>
        <v>43363.66667</v>
      </c>
      <c r="C1830" s="9">
        <f>IFERROR(__xludf.DUMMYFUNCTION("""COMPUTED_VALUE"""),79.87)</f>
        <v>79.87</v>
      </c>
      <c r="E1830" s="17"/>
      <c r="N1830" s="17"/>
      <c r="Q1830" s="17"/>
    </row>
    <row r="1831">
      <c r="B1831" s="11">
        <f>IFERROR(__xludf.DUMMYFUNCTION("""COMPUTED_VALUE"""),43362.66666666667)</f>
        <v>43362.66667</v>
      </c>
      <c r="C1831" s="9">
        <f>IFERROR(__xludf.DUMMYFUNCTION("""COMPUTED_VALUE"""),79.75)</f>
        <v>79.75</v>
      </c>
      <c r="E1831" s="17"/>
      <c r="N1831" s="17"/>
      <c r="Q1831" s="17"/>
    </row>
    <row r="1832">
      <c r="B1832" s="11">
        <f>IFERROR(__xludf.DUMMYFUNCTION("""COMPUTED_VALUE"""),43361.66666666667)</f>
        <v>43361.66667</v>
      </c>
      <c r="C1832" s="9">
        <f>IFERROR(__xludf.DUMMYFUNCTION("""COMPUTED_VALUE"""),79.82)</f>
        <v>79.82</v>
      </c>
      <c r="E1832" s="17"/>
      <c r="N1832" s="17"/>
      <c r="Q1832" s="17"/>
    </row>
    <row r="1833">
      <c r="B1833" s="11">
        <f>IFERROR(__xludf.DUMMYFUNCTION("""COMPUTED_VALUE"""),43360.66666666667)</f>
        <v>43360.66667</v>
      </c>
      <c r="C1833" s="9">
        <f>IFERROR(__xludf.DUMMYFUNCTION("""COMPUTED_VALUE"""),79.1)</f>
        <v>79.1</v>
      </c>
      <c r="E1833" s="17"/>
      <c r="N1833" s="17"/>
      <c r="Q1833" s="17"/>
    </row>
    <row r="1834">
      <c r="B1834" s="11">
        <f>IFERROR(__xludf.DUMMYFUNCTION("""COMPUTED_VALUE"""),43357.66666666667)</f>
        <v>43357.66667</v>
      </c>
      <c r="C1834" s="9">
        <f>IFERROR(__xludf.DUMMYFUNCTION("""COMPUTED_VALUE"""),79.07)</f>
        <v>79.07</v>
      </c>
      <c r="E1834" s="17"/>
      <c r="N1834" s="17"/>
      <c r="Q1834" s="17"/>
    </row>
    <row r="1835">
      <c r="B1835" s="11">
        <f>IFERROR(__xludf.DUMMYFUNCTION("""COMPUTED_VALUE"""),43356.66666666667)</f>
        <v>43356.66667</v>
      </c>
      <c r="C1835" s="9">
        <f>IFERROR(__xludf.DUMMYFUNCTION("""COMPUTED_VALUE"""),78.68)</f>
        <v>78.68</v>
      </c>
      <c r="E1835" s="17"/>
      <c r="N1835" s="17"/>
      <c r="Q1835" s="17"/>
    </row>
    <row r="1836">
      <c r="B1836" s="11">
        <f>IFERROR(__xludf.DUMMYFUNCTION("""COMPUTED_VALUE"""),43355.66666666667)</f>
        <v>43355.66667</v>
      </c>
      <c r="C1836" s="9">
        <f>IFERROR(__xludf.DUMMYFUNCTION("""COMPUTED_VALUE"""),78.21)</f>
        <v>78.21</v>
      </c>
      <c r="E1836" s="17"/>
      <c r="N1836" s="17"/>
      <c r="Q1836" s="17"/>
    </row>
    <row r="1837">
      <c r="B1837" s="11">
        <f>IFERROR(__xludf.DUMMYFUNCTION("""COMPUTED_VALUE"""),43354.66666666667)</f>
        <v>43354.66667</v>
      </c>
      <c r="C1837" s="9">
        <f>IFERROR(__xludf.DUMMYFUNCTION("""COMPUTED_VALUE"""),77.97)</f>
        <v>77.97</v>
      </c>
      <c r="E1837" s="17"/>
      <c r="N1837" s="17"/>
      <c r="Q1837" s="17"/>
    </row>
    <row r="1838">
      <c r="B1838" s="11">
        <f>IFERROR(__xludf.DUMMYFUNCTION("""COMPUTED_VALUE"""),43353.66666666667)</f>
        <v>43353.66667</v>
      </c>
      <c r="C1838" s="9">
        <f>IFERROR(__xludf.DUMMYFUNCTION("""COMPUTED_VALUE"""),77.99)</f>
        <v>77.99</v>
      </c>
      <c r="E1838" s="17"/>
      <c r="N1838" s="17"/>
      <c r="Q1838" s="17"/>
    </row>
    <row r="1839">
      <c r="B1839" s="11">
        <f>IFERROR(__xludf.DUMMYFUNCTION("""COMPUTED_VALUE"""),43350.66666666667)</f>
        <v>43350.66667</v>
      </c>
      <c r="C1839" s="9">
        <f>IFERROR(__xludf.DUMMYFUNCTION("""COMPUTED_VALUE"""),77.59)</f>
        <v>77.59</v>
      </c>
      <c r="E1839" s="17"/>
      <c r="N1839" s="17"/>
      <c r="Q1839" s="17"/>
    </row>
    <row r="1840">
      <c r="B1840" s="11">
        <f>IFERROR(__xludf.DUMMYFUNCTION("""COMPUTED_VALUE"""),43349.66666666667)</f>
        <v>43349.66667</v>
      </c>
      <c r="C1840" s="9">
        <f>IFERROR(__xludf.DUMMYFUNCTION("""COMPUTED_VALUE"""),77.83)</f>
        <v>77.83</v>
      </c>
      <c r="E1840" s="17"/>
      <c r="N1840" s="17"/>
      <c r="Q1840" s="17"/>
    </row>
    <row r="1841">
      <c r="B1841" s="11">
        <f>IFERROR(__xludf.DUMMYFUNCTION("""COMPUTED_VALUE"""),43348.66666666667)</f>
        <v>43348.66667</v>
      </c>
      <c r="C1841" s="9">
        <f>IFERROR(__xludf.DUMMYFUNCTION("""COMPUTED_VALUE"""),77.59)</f>
        <v>77.59</v>
      </c>
      <c r="E1841" s="17"/>
      <c r="N1841" s="17"/>
      <c r="Q1841" s="17"/>
    </row>
    <row r="1842">
      <c r="B1842" s="11">
        <f>IFERROR(__xludf.DUMMYFUNCTION("""COMPUTED_VALUE"""),43347.66666666667)</f>
        <v>43347.66667</v>
      </c>
      <c r="C1842" s="9">
        <f>IFERROR(__xludf.DUMMYFUNCTION("""COMPUTED_VALUE"""),77.04)</f>
        <v>77.04</v>
      </c>
      <c r="E1842" s="17"/>
      <c r="N1842" s="17"/>
      <c r="Q1842" s="17"/>
    </row>
    <row r="1843">
      <c r="B1843" s="11">
        <f>IFERROR(__xludf.DUMMYFUNCTION("""COMPUTED_VALUE"""),43343.66666666667)</f>
        <v>43343.66667</v>
      </c>
      <c r="C1843" s="9">
        <f>IFERROR(__xludf.DUMMYFUNCTION("""COMPUTED_VALUE"""),77.1)</f>
        <v>77.1</v>
      </c>
      <c r="E1843" s="17"/>
      <c r="N1843" s="17"/>
      <c r="Q1843" s="17"/>
    </row>
    <row r="1844">
      <c r="B1844" s="11">
        <f>IFERROR(__xludf.DUMMYFUNCTION("""COMPUTED_VALUE"""),43342.66666666667)</f>
        <v>43342.66667</v>
      </c>
      <c r="C1844" s="9">
        <f>IFERROR(__xludf.DUMMYFUNCTION("""COMPUTED_VALUE"""),77.05)</f>
        <v>77.05</v>
      </c>
      <c r="E1844" s="17"/>
      <c r="N1844" s="17"/>
      <c r="Q1844" s="17"/>
    </row>
    <row r="1845">
      <c r="B1845" s="11">
        <f>IFERROR(__xludf.DUMMYFUNCTION("""COMPUTED_VALUE"""),43341.66666666667)</f>
        <v>43341.66667</v>
      </c>
      <c r="C1845" s="9">
        <f>IFERROR(__xludf.DUMMYFUNCTION("""COMPUTED_VALUE"""),77.59)</f>
        <v>77.59</v>
      </c>
      <c r="E1845" s="17"/>
      <c r="N1845" s="17"/>
      <c r="Q1845" s="17"/>
    </row>
    <row r="1846">
      <c r="B1846" s="11">
        <f>IFERROR(__xludf.DUMMYFUNCTION("""COMPUTED_VALUE"""),43340.66666666667)</f>
        <v>43340.66667</v>
      </c>
      <c r="C1846" s="9">
        <f>IFERROR(__xludf.DUMMYFUNCTION("""COMPUTED_VALUE"""),77.53)</f>
        <v>77.53</v>
      </c>
      <c r="E1846" s="17"/>
      <c r="N1846" s="17"/>
      <c r="Q1846" s="17"/>
    </row>
    <row r="1847">
      <c r="B1847" s="11">
        <f>IFERROR(__xludf.DUMMYFUNCTION("""COMPUTED_VALUE"""),43339.66666666667)</f>
        <v>43339.66667</v>
      </c>
      <c r="C1847" s="9">
        <f>IFERROR(__xludf.DUMMYFUNCTION("""COMPUTED_VALUE"""),77.69)</f>
        <v>77.69</v>
      </c>
      <c r="E1847" s="17"/>
      <c r="N1847" s="17"/>
      <c r="Q1847" s="17"/>
    </row>
    <row r="1848">
      <c r="B1848" s="11">
        <f>IFERROR(__xludf.DUMMYFUNCTION("""COMPUTED_VALUE"""),43336.66666666667)</f>
        <v>43336.66667</v>
      </c>
      <c r="C1848" s="9">
        <f>IFERROR(__xludf.DUMMYFUNCTION("""COMPUTED_VALUE"""),76.72)</f>
        <v>76.72</v>
      </c>
      <c r="E1848" s="17"/>
      <c r="N1848" s="17"/>
      <c r="Q1848" s="17"/>
    </row>
    <row r="1849">
      <c r="B1849" s="11">
        <f>IFERROR(__xludf.DUMMYFUNCTION("""COMPUTED_VALUE"""),43335.66666666667)</f>
        <v>43335.66667</v>
      </c>
      <c r="C1849" s="9">
        <f>IFERROR(__xludf.DUMMYFUNCTION("""COMPUTED_VALUE"""),76.39)</f>
        <v>76.39</v>
      </c>
      <c r="E1849" s="17"/>
      <c r="N1849" s="17"/>
      <c r="Q1849" s="17"/>
    </row>
    <row r="1850">
      <c r="B1850" s="11">
        <f>IFERROR(__xludf.DUMMYFUNCTION("""COMPUTED_VALUE"""),43334.66666666667)</f>
        <v>43334.66667</v>
      </c>
      <c r="C1850" s="9">
        <f>IFERROR(__xludf.DUMMYFUNCTION("""COMPUTED_VALUE"""),76.61)</f>
        <v>76.61</v>
      </c>
      <c r="E1850" s="17"/>
      <c r="N1850" s="17"/>
      <c r="Q1850" s="17"/>
    </row>
    <row r="1851">
      <c r="B1851" s="11">
        <f>IFERROR(__xludf.DUMMYFUNCTION("""COMPUTED_VALUE"""),43333.66666666667)</f>
        <v>43333.66667</v>
      </c>
      <c r="C1851" s="9">
        <f>IFERROR(__xludf.DUMMYFUNCTION("""COMPUTED_VALUE"""),77.36)</f>
        <v>77.36</v>
      </c>
      <c r="E1851" s="17"/>
      <c r="N1851" s="17"/>
      <c r="Q1851" s="17"/>
    </row>
    <row r="1852">
      <c r="B1852" s="11">
        <f>IFERROR(__xludf.DUMMYFUNCTION("""COMPUTED_VALUE"""),43332.66666666667)</f>
        <v>43332.66667</v>
      </c>
      <c r="C1852" s="9">
        <f>IFERROR(__xludf.DUMMYFUNCTION("""COMPUTED_VALUE"""),76.79)</f>
        <v>76.79</v>
      </c>
      <c r="E1852" s="17"/>
      <c r="N1852" s="17"/>
      <c r="Q1852" s="17"/>
    </row>
    <row r="1853">
      <c r="B1853" s="11">
        <f>IFERROR(__xludf.DUMMYFUNCTION("""COMPUTED_VALUE"""),43329.66666666667)</f>
        <v>43329.66667</v>
      </c>
      <c r="C1853" s="9">
        <f>IFERROR(__xludf.DUMMYFUNCTION("""COMPUTED_VALUE"""),76.28)</f>
        <v>76.28</v>
      </c>
      <c r="E1853" s="17"/>
      <c r="N1853" s="17"/>
      <c r="Q1853" s="17"/>
    </row>
    <row r="1854">
      <c r="B1854" s="11">
        <f>IFERROR(__xludf.DUMMYFUNCTION("""COMPUTED_VALUE"""),43328.66666666667)</f>
        <v>43328.66667</v>
      </c>
      <c r="C1854" s="9">
        <f>IFERROR(__xludf.DUMMYFUNCTION("""COMPUTED_VALUE"""),75.82)</f>
        <v>75.82</v>
      </c>
      <c r="E1854" s="17"/>
      <c r="N1854" s="17"/>
      <c r="Q1854" s="17"/>
    </row>
    <row r="1855">
      <c r="B1855" s="11">
        <f>IFERROR(__xludf.DUMMYFUNCTION("""COMPUTED_VALUE"""),43327.66666666667)</f>
        <v>43327.66667</v>
      </c>
      <c r="C1855" s="9">
        <f>IFERROR(__xludf.DUMMYFUNCTION("""COMPUTED_VALUE"""),74.87)</f>
        <v>74.87</v>
      </c>
      <c r="E1855" s="17"/>
      <c r="N1855" s="17"/>
      <c r="Q1855" s="17"/>
    </row>
    <row r="1856">
      <c r="B1856" s="11">
        <f>IFERROR(__xludf.DUMMYFUNCTION("""COMPUTED_VALUE"""),43326.66666666667)</f>
        <v>43326.66667</v>
      </c>
      <c r="C1856" s="9">
        <f>IFERROR(__xludf.DUMMYFUNCTION("""COMPUTED_VALUE"""),75.23)</f>
        <v>75.23</v>
      </c>
      <c r="E1856" s="17"/>
      <c r="N1856" s="17"/>
      <c r="Q1856" s="17"/>
    </row>
    <row r="1857">
      <c r="B1857" s="11">
        <f>IFERROR(__xludf.DUMMYFUNCTION("""COMPUTED_VALUE"""),43325.66666666667)</f>
        <v>43325.66667</v>
      </c>
      <c r="C1857" s="9">
        <f>IFERROR(__xludf.DUMMYFUNCTION("""COMPUTED_VALUE"""),74.71)</f>
        <v>74.71</v>
      </c>
      <c r="E1857" s="17"/>
      <c r="N1857" s="17"/>
      <c r="Q1857" s="17"/>
    </row>
    <row r="1858">
      <c r="B1858" s="11">
        <f>IFERROR(__xludf.DUMMYFUNCTION("""COMPUTED_VALUE"""),43322.66666666667)</f>
        <v>43322.66667</v>
      </c>
      <c r="C1858" s="9">
        <f>IFERROR(__xludf.DUMMYFUNCTION("""COMPUTED_VALUE"""),75.07)</f>
        <v>75.07</v>
      </c>
      <c r="E1858" s="17"/>
      <c r="N1858" s="17"/>
      <c r="Q1858" s="17"/>
    </row>
    <row r="1859">
      <c r="B1859" s="11">
        <f>IFERROR(__xludf.DUMMYFUNCTION("""COMPUTED_VALUE"""),43321.66666666667)</f>
        <v>43321.66667</v>
      </c>
      <c r="C1859" s="9">
        <f>IFERROR(__xludf.DUMMYFUNCTION("""COMPUTED_VALUE"""),75.74)</f>
        <v>75.74</v>
      </c>
      <c r="E1859" s="17"/>
      <c r="N1859" s="17"/>
      <c r="Q1859" s="17"/>
    </row>
    <row r="1860">
      <c r="B1860" s="11">
        <f>IFERROR(__xludf.DUMMYFUNCTION("""COMPUTED_VALUE"""),43320.66666666667)</f>
        <v>43320.66667</v>
      </c>
      <c r="C1860" s="9">
        <f>IFERROR(__xludf.DUMMYFUNCTION("""COMPUTED_VALUE"""),76.16)</f>
        <v>76.16</v>
      </c>
      <c r="E1860" s="17"/>
      <c r="N1860" s="17"/>
      <c r="Q1860" s="17"/>
    </row>
    <row r="1861">
      <c r="B1861" s="11">
        <f>IFERROR(__xludf.DUMMYFUNCTION("""COMPUTED_VALUE"""),43319.66666666667)</f>
        <v>43319.66667</v>
      </c>
      <c r="C1861" s="9">
        <f>IFERROR(__xludf.DUMMYFUNCTION("""COMPUTED_VALUE"""),76.5)</f>
        <v>76.5</v>
      </c>
      <c r="E1861" s="17"/>
      <c r="N1861" s="17"/>
      <c r="Q1861" s="17"/>
    </row>
    <row r="1862">
      <c r="B1862" s="11">
        <f>IFERROR(__xludf.DUMMYFUNCTION("""COMPUTED_VALUE"""),43318.66666666667)</f>
        <v>43318.66667</v>
      </c>
      <c r="C1862" s="9">
        <f>IFERROR(__xludf.DUMMYFUNCTION("""COMPUTED_VALUE"""),75.96)</f>
        <v>75.96</v>
      </c>
      <c r="E1862" s="17"/>
      <c r="N1862" s="17"/>
      <c r="Q1862" s="17"/>
    </row>
    <row r="1863">
      <c r="B1863" s="11">
        <f>IFERROR(__xludf.DUMMYFUNCTION("""COMPUTED_VALUE"""),43315.66666666667)</f>
        <v>43315.66667</v>
      </c>
      <c r="C1863" s="9">
        <f>IFERROR(__xludf.DUMMYFUNCTION("""COMPUTED_VALUE"""),75.85)</f>
        <v>75.85</v>
      </c>
      <c r="E1863" s="17"/>
      <c r="N1863" s="17"/>
      <c r="Q1863" s="17"/>
    </row>
    <row r="1864">
      <c r="B1864" s="11">
        <f>IFERROR(__xludf.DUMMYFUNCTION("""COMPUTED_VALUE"""),43314.66666666667)</f>
        <v>43314.66667</v>
      </c>
      <c r="C1864" s="9">
        <f>IFERROR(__xludf.DUMMYFUNCTION("""COMPUTED_VALUE"""),75.78)</f>
        <v>75.78</v>
      </c>
      <c r="E1864" s="17"/>
      <c r="N1864" s="17"/>
      <c r="Q1864" s="17"/>
    </row>
    <row r="1865">
      <c r="B1865" s="11">
        <f>IFERROR(__xludf.DUMMYFUNCTION("""COMPUTED_VALUE"""),43313.66666666667)</f>
        <v>43313.66667</v>
      </c>
      <c r="C1865" s="9">
        <f>IFERROR(__xludf.DUMMYFUNCTION("""COMPUTED_VALUE"""),75.88)</f>
        <v>75.88</v>
      </c>
      <c r="E1865" s="17"/>
      <c r="N1865" s="17"/>
      <c r="Q1865" s="17"/>
    </row>
    <row r="1866">
      <c r="B1866" s="11">
        <f>IFERROR(__xludf.DUMMYFUNCTION("""COMPUTED_VALUE"""),43312.66666666667)</f>
        <v>43312.66667</v>
      </c>
      <c r="C1866" s="9">
        <f>IFERROR(__xludf.DUMMYFUNCTION("""COMPUTED_VALUE"""),76.92)</f>
        <v>76.92</v>
      </c>
      <c r="E1866" s="17"/>
      <c r="N1866" s="17"/>
      <c r="Q1866" s="17"/>
    </row>
    <row r="1867">
      <c r="B1867" s="11">
        <f>IFERROR(__xludf.DUMMYFUNCTION("""COMPUTED_VALUE"""),43311.66666666667)</f>
        <v>43311.66667</v>
      </c>
      <c r="C1867" s="9">
        <f>IFERROR(__xludf.DUMMYFUNCTION("""COMPUTED_VALUE"""),75.26)</f>
        <v>75.26</v>
      </c>
      <c r="E1867" s="17"/>
      <c r="N1867" s="17"/>
      <c r="Q1867" s="17"/>
    </row>
    <row r="1868">
      <c r="B1868" s="11">
        <f>IFERROR(__xludf.DUMMYFUNCTION("""COMPUTED_VALUE"""),43308.66666666667)</f>
        <v>43308.66667</v>
      </c>
      <c r="C1868" s="9">
        <f>IFERROR(__xludf.DUMMYFUNCTION("""COMPUTED_VALUE"""),76.01)</f>
        <v>76.01</v>
      </c>
      <c r="E1868" s="17"/>
      <c r="N1868" s="17"/>
      <c r="Q1868" s="17"/>
    </row>
    <row r="1869">
      <c r="B1869" s="11">
        <f>IFERROR(__xludf.DUMMYFUNCTION("""COMPUTED_VALUE"""),43307.66666666667)</f>
        <v>43307.66667</v>
      </c>
      <c r="C1869" s="9">
        <f>IFERROR(__xludf.DUMMYFUNCTION("""COMPUTED_VALUE"""),76.0)</f>
        <v>76</v>
      </c>
      <c r="E1869" s="17"/>
      <c r="N1869" s="17"/>
      <c r="Q1869" s="17"/>
    </row>
    <row r="1870">
      <c r="B1870" s="11">
        <f>IFERROR(__xludf.DUMMYFUNCTION("""COMPUTED_VALUE"""),43306.66666666667)</f>
        <v>43306.66667</v>
      </c>
      <c r="C1870" s="9">
        <f>IFERROR(__xludf.DUMMYFUNCTION("""COMPUTED_VALUE"""),75.42)</f>
        <v>75.42</v>
      </c>
      <c r="E1870" s="17"/>
      <c r="N1870" s="17"/>
      <c r="Q1870" s="17"/>
    </row>
    <row r="1871">
      <c r="B1871" s="11">
        <f>IFERROR(__xludf.DUMMYFUNCTION("""COMPUTED_VALUE"""),43305.66666666667)</f>
        <v>43305.66667</v>
      </c>
      <c r="C1871" s="9">
        <f>IFERROR(__xludf.DUMMYFUNCTION("""COMPUTED_VALUE"""),74.29)</f>
        <v>74.29</v>
      </c>
      <c r="E1871" s="17"/>
      <c r="N1871" s="17"/>
      <c r="Q1871" s="17"/>
    </row>
    <row r="1872">
      <c r="B1872" s="11">
        <f>IFERROR(__xludf.DUMMYFUNCTION("""COMPUTED_VALUE"""),43304.66666666667)</f>
        <v>43304.66667</v>
      </c>
      <c r="C1872" s="9">
        <f>IFERROR(__xludf.DUMMYFUNCTION("""COMPUTED_VALUE"""),73.98)</f>
        <v>73.98</v>
      </c>
      <c r="E1872" s="17"/>
      <c r="N1872" s="17"/>
      <c r="Q1872" s="17"/>
    </row>
    <row r="1873">
      <c r="B1873" s="11">
        <f>IFERROR(__xludf.DUMMYFUNCTION("""COMPUTED_VALUE"""),43301.66666666667)</f>
        <v>43301.66667</v>
      </c>
      <c r="C1873" s="9">
        <f>IFERROR(__xludf.DUMMYFUNCTION("""COMPUTED_VALUE"""),74.44)</f>
        <v>74.44</v>
      </c>
      <c r="E1873" s="17"/>
      <c r="N1873" s="17"/>
      <c r="Q1873" s="17"/>
    </row>
    <row r="1874">
      <c r="B1874" s="11">
        <f>IFERROR(__xludf.DUMMYFUNCTION("""COMPUTED_VALUE"""),43300.66666666667)</f>
        <v>43300.66667</v>
      </c>
      <c r="C1874" s="9">
        <f>IFERROR(__xludf.DUMMYFUNCTION("""COMPUTED_VALUE"""),74.52)</f>
        <v>74.52</v>
      </c>
      <c r="E1874" s="17"/>
      <c r="N1874" s="17"/>
      <c r="Q1874" s="17"/>
    </row>
    <row r="1875">
      <c r="B1875" s="11">
        <f>IFERROR(__xludf.DUMMYFUNCTION("""COMPUTED_VALUE"""),43299.66666666667)</f>
        <v>43299.66667</v>
      </c>
      <c r="C1875" s="9">
        <f>IFERROR(__xludf.DUMMYFUNCTION("""COMPUTED_VALUE"""),74.55)</f>
        <v>74.55</v>
      </c>
      <c r="E1875" s="17"/>
      <c r="N1875" s="17"/>
      <c r="Q1875" s="17"/>
    </row>
    <row r="1876">
      <c r="B1876" s="11">
        <f>IFERROR(__xludf.DUMMYFUNCTION("""COMPUTED_VALUE"""),43298.66666666667)</f>
        <v>43298.66667</v>
      </c>
      <c r="C1876" s="9">
        <f>IFERROR(__xludf.DUMMYFUNCTION("""COMPUTED_VALUE"""),73.74)</f>
        <v>73.74</v>
      </c>
      <c r="E1876" s="17"/>
      <c r="N1876" s="17"/>
      <c r="Q1876" s="17"/>
    </row>
    <row r="1877">
      <c r="B1877" s="11">
        <f>IFERROR(__xludf.DUMMYFUNCTION("""COMPUTED_VALUE"""),43297.66666666667)</f>
        <v>43297.66667</v>
      </c>
      <c r="C1877" s="9">
        <f>IFERROR(__xludf.DUMMYFUNCTION("""COMPUTED_VALUE"""),73.45)</f>
        <v>73.45</v>
      </c>
      <c r="E1877" s="17"/>
      <c r="N1877" s="17"/>
      <c r="Q1877" s="17"/>
    </row>
    <row r="1878">
      <c r="B1878" s="11">
        <f>IFERROR(__xludf.DUMMYFUNCTION("""COMPUTED_VALUE"""),43294.66666666667)</f>
        <v>43294.66667</v>
      </c>
      <c r="C1878" s="9">
        <f>IFERROR(__xludf.DUMMYFUNCTION("""COMPUTED_VALUE"""),73.75)</f>
        <v>73.75</v>
      </c>
      <c r="E1878" s="17"/>
      <c r="N1878" s="17"/>
      <c r="Q1878" s="17"/>
    </row>
    <row r="1879">
      <c r="B1879" s="11">
        <f>IFERROR(__xludf.DUMMYFUNCTION("""COMPUTED_VALUE"""),43293.66666666667)</f>
        <v>43293.66667</v>
      </c>
      <c r="C1879" s="9">
        <f>IFERROR(__xludf.DUMMYFUNCTION("""COMPUTED_VALUE"""),73.37)</f>
        <v>73.37</v>
      </c>
      <c r="E1879" s="17"/>
      <c r="N1879" s="17"/>
      <c r="Q1879" s="17"/>
    </row>
    <row r="1880">
      <c r="B1880" s="11">
        <f>IFERROR(__xludf.DUMMYFUNCTION("""COMPUTED_VALUE"""),43292.66666666667)</f>
        <v>43292.66667</v>
      </c>
      <c r="C1880" s="9">
        <f>IFERROR(__xludf.DUMMYFUNCTION("""COMPUTED_VALUE"""),72.52)</f>
        <v>72.52</v>
      </c>
      <c r="E1880" s="17"/>
      <c r="N1880" s="17"/>
      <c r="Q1880" s="17"/>
    </row>
    <row r="1881">
      <c r="B1881" s="11">
        <f>IFERROR(__xludf.DUMMYFUNCTION("""COMPUTED_VALUE"""),43291.66666666667)</f>
        <v>43291.66667</v>
      </c>
      <c r="C1881" s="9">
        <f>IFERROR(__xludf.DUMMYFUNCTION("""COMPUTED_VALUE"""),73.73)</f>
        <v>73.73</v>
      </c>
      <c r="E1881" s="17"/>
      <c r="N1881" s="17"/>
      <c r="Q1881" s="17"/>
    </row>
    <row r="1882">
      <c r="B1882" s="11">
        <f>IFERROR(__xludf.DUMMYFUNCTION("""COMPUTED_VALUE"""),43290.66666666667)</f>
        <v>43290.66667</v>
      </c>
      <c r="C1882" s="9">
        <f>IFERROR(__xludf.DUMMYFUNCTION("""COMPUTED_VALUE"""),73.5)</f>
        <v>73.5</v>
      </c>
      <c r="E1882" s="17"/>
      <c r="N1882" s="17"/>
      <c r="Q1882" s="17"/>
    </row>
    <row r="1883">
      <c r="B1883" s="11">
        <f>IFERROR(__xludf.DUMMYFUNCTION("""COMPUTED_VALUE"""),43287.66666666667)</f>
        <v>43287.66667</v>
      </c>
      <c r="C1883" s="9">
        <f>IFERROR(__xludf.DUMMYFUNCTION("""COMPUTED_VALUE"""),72.16)</f>
        <v>72.16</v>
      </c>
      <c r="E1883" s="17"/>
      <c r="N1883" s="17"/>
      <c r="Q1883" s="17"/>
    </row>
    <row r="1884">
      <c r="B1884" s="11">
        <f>IFERROR(__xludf.DUMMYFUNCTION("""COMPUTED_VALUE"""),43286.66666666667)</f>
        <v>43286.66667</v>
      </c>
      <c r="C1884" s="9">
        <f>IFERROR(__xludf.DUMMYFUNCTION("""COMPUTED_VALUE"""),71.91)</f>
        <v>71.91</v>
      </c>
      <c r="E1884" s="17"/>
      <c r="N1884" s="17"/>
      <c r="Q1884" s="17"/>
    </row>
    <row r="1885">
      <c r="B1885" s="11">
        <f>IFERROR(__xludf.DUMMYFUNCTION("""COMPUTED_VALUE"""),43284.54166666667)</f>
        <v>43284.54167</v>
      </c>
      <c r="C1885" s="9">
        <f>IFERROR(__xludf.DUMMYFUNCTION("""COMPUTED_VALUE"""),71.56)</f>
        <v>71.56</v>
      </c>
      <c r="E1885" s="17"/>
      <c r="N1885" s="17"/>
      <c r="Q1885" s="17"/>
    </row>
    <row r="1886">
      <c r="B1886" s="11">
        <f>IFERROR(__xludf.DUMMYFUNCTION("""COMPUTED_VALUE"""),43283.66666666667)</f>
        <v>43283.66667</v>
      </c>
      <c r="C1886" s="9">
        <f>IFERROR(__xludf.DUMMYFUNCTION("""COMPUTED_VALUE"""),71.79)</f>
        <v>71.79</v>
      </c>
      <c r="E1886" s="17"/>
      <c r="N1886" s="17"/>
      <c r="Q1886" s="17"/>
    </row>
    <row r="1887">
      <c r="B1887" s="11">
        <f>IFERROR(__xludf.DUMMYFUNCTION("""COMPUTED_VALUE"""),43280.66666666667)</f>
        <v>43280.66667</v>
      </c>
      <c r="C1887" s="9">
        <f>IFERROR(__xludf.DUMMYFUNCTION("""COMPUTED_VALUE"""),71.63)</f>
        <v>71.63</v>
      </c>
      <c r="E1887" s="17"/>
      <c r="N1887" s="17"/>
      <c r="Q1887" s="17"/>
    </row>
    <row r="1888">
      <c r="B1888" s="11">
        <f>IFERROR(__xludf.DUMMYFUNCTION("""COMPUTED_VALUE"""),43279.66666666667)</f>
        <v>43279.66667</v>
      </c>
      <c r="C1888" s="9">
        <f>IFERROR(__xludf.DUMMYFUNCTION("""COMPUTED_VALUE"""),71.48)</f>
        <v>71.48</v>
      </c>
      <c r="E1888" s="17"/>
      <c r="N1888" s="17"/>
      <c r="Q1888" s="17"/>
    </row>
    <row r="1889">
      <c r="B1889" s="11">
        <f>IFERROR(__xludf.DUMMYFUNCTION("""COMPUTED_VALUE"""),43278.66666666667)</f>
        <v>43278.66667</v>
      </c>
      <c r="C1889" s="9">
        <f>IFERROR(__xludf.DUMMYFUNCTION("""COMPUTED_VALUE"""),71.38)</f>
        <v>71.38</v>
      </c>
      <c r="E1889" s="17"/>
      <c r="N1889" s="17"/>
      <c r="Q1889" s="17"/>
    </row>
    <row r="1890">
      <c r="B1890" s="11">
        <f>IFERROR(__xludf.DUMMYFUNCTION("""COMPUTED_VALUE"""),43277.66666666667)</f>
        <v>43277.66667</v>
      </c>
      <c r="C1890" s="9">
        <f>IFERROR(__xludf.DUMMYFUNCTION("""COMPUTED_VALUE"""),71.96)</f>
        <v>71.96</v>
      </c>
      <c r="E1890" s="17"/>
      <c r="N1890" s="17"/>
      <c r="Q1890" s="17"/>
    </row>
    <row r="1891">
      <c r="B1891" s="11">
        <f>IFERROR(__xludf.DUMMYFUNCTION("""COMPUTED_VALUE"""),43276.66666666667)</f>
        <v>43276.66667</v>
      </c>
      <c r="C1891" s="9">
        <f>IFERROR(__xludf.DUMMYFUNCTION("""COMPUTED_VALUE"""),71.69)</f>
        <v>71.69</v>
      </c>
      <c r="E1891" s="17"/>
      <c r="N1891" s="17"/>
      <c r="Q1891" s="17"/>
    </row>
    <row r="1892">
      <c r="B1892" s="11">
        <f>IFERROR(__xludf.DUMMYFUNCTION("""COMPUTED_VALUE"""),43273.66666666667)</f>
        <v>43273.66667</v>
      </c>
      <c r="C1892" s="9">
        <f>IFERROR(__xludf.DUMMYFUNCTION("""COMPUTED_VALUE"""),72.61)</f>
        <v>72.61</v>
      </c>
      <c r="E1892" s="17"/>
      <c r="N1892" s="17"/>
      <c r="Q1892" s="17"/>
    </row>
    <row r="1893">
      <c r="B1893" s="11">
        <f>IFERROR(__xludf.DUMMYFUNCTION("""COMPUTED_VALUE"""),43272.66666666667)</f>
        <v>43272.66667</v>
      </c>
      <c r="C1893" s="9">
        <f>IFERROR(__xludf.DUMMYFUNCTION("""COMPUTED_VALUE"""),72.36)</f>
        <v>72.36</v>
      </c>
      <c r="E1893" s="17"/>
      <c r="N1893" s="17"/>
      <c r="Q1893" s="17"/>
    </row>
    <row r="1894">
      <c r="B1894" s="11">
        <f>IFERROR(__xludf.DUMMYFUNCTION("""COMPUTED_VALUE"""),43271.66666666667)</f>
        <v>43271.66667</v>
      </c>
      <c r="C1894" s="9">
        <f>IFERROR(__xludf.DUMMYFUNCTION("""COMPUTED_VALUE"""),73.28)</f>
        <v>73.28</v>
      </c>
      <c r="E1894" s="17"/>
      <c r="N1894" s="17"/>
      <c r="Q1894" s="17"/>
    </row>
    <row r="1895">
      <c r="B1895" s="11">
        <f>IFERROR(__xludf.DUMMYFUNCTION("""COMPUTED_VALUE"""),43270.66666666667)</f>
        <v>43270.66667</v>
      </c>
      <c r="C1895" s="9">
        <f>IFERROR(__xludf.DUMMYFUNCTION("""COMPUTED_VALUE"""),73.23)</f>
        <v>73.23</v>
      </c>
      <c r="E1895" s="17"/>
      <c r="N1895" s="17"/>
      <c r="Q1895" s="17"/>
    </row>
    <row r="1896">
      <c r="B1896" s="11">
        <f>IFERROR(__xludf.DUMMYFUNCTION("""COMPUTED_VALUE"""),43269.66666666667)</f>
        <v>43269.66667</v>
      </c>
      <c r="C1896" s="9">
        <f>IFERROR(__xludf.DUMMYFUNCTION("""COMPUTED_VALUE"""),74.81)</f>
        <v>74.81</v>
      </c>
      <c r="E1896" s="17"/>
      <c r="N1896" s="17"/>
      <c r="Q1896" s="17"/>
    </row>
    <row r="1897">
      <c r="B1897" s="11">
        <f>IFERROR(__xludf.DUMMYFUNCTION("""COMPUTED_VALUE"""),43266.66666666667)</f>
        <v>43266.66667</v>
      </c>
      <c r="C1897" s="9">
        <f>IFERROR(__xludf.DUMMYFUNCTION("""COMPUTED_VALUE"""),75.12)</f>
        <v>75.12</v>
      </c>
      <c r="E1897" s="17"/>
      <c r="N1897" s="17"/>
      <c r="Q1897" s="17"/>
    </row>
    <row r="1898">
      <c r="B1898" s="11">
        <f>IFERROR(__xludf.DUMMYFUNCTION("""COMPUTED_VALUE"""),43265.66666666667)</f>
        <v>43265.66667</v>
      </c>
      <c r="C1898" s="9">
        <f>IFERROR(__xludf.DUMMYFUNCTION("""COMPUTED_VALUE"""),75.61)</f>
        <v>75.61</v>
      </c>
      <c r="E1898" s="17"/>
      <c r="N1898" s="17"/>
      <c r="Q1898" s="17"/>
    </row>
    <row r="1899">
      <c r="B1899" s="11">
        <f>IFERROR(__xludf.DUMMYFUNCTION("""COMPUTED_VALUE"""),43264.66666666667)</f>
        <v>43264.66667</v>
      </c>
      <c r="C1899" s="9">
        <f>IFERROR(__xludf.DUMMYFUNCTION("""COMPUTED_VALUE"""),75.9)</f>
        <v>75.9</v>
      </c>
      <c r="E1899" s="17"/>
      <c r="N1899" s="17"/>
      <c r="Q1899" s="17"/>
    </row>
    <row r="1900">
      <c r="B1900" s="11">
        <f>IFERROR(__xludf.DUMMYFUNCTION("""COMPUTED_VALUE"""),43263.66666666667)</f>
        <v>43263.66667</v>
      </c>
      <c r="C1900" s="9">
        <f>IFERROR(__xludf.DUMMYFUNCTION("""COMPUTED_VALUE"""),76.51)</f>
        <v>76.51</v>
      </c>
      <c r="E1900" s="17"/>
      <c r="N1900" s="17"/>
      <c r="Q1900" s="17"/>
    </row>
    <row r="1901">
      <c r="B1901" s="11">
        <f>IFERROR(__xludf.DUMMYFUNCTION("""COMPUTED_VALUE"""),43262.66666666667)</f>
        <v>43262.66667</v>
      </c>
      <c r="C1901" s="9">
        <f>IFERROR(__xludf.DUMMYFUNCTION("""COMPUTED_VALUE"""),76.59)</f>
        <v>76.59</v>
      </c>
      <c r="E1901" s="17"/>
      <c r="N1901" s="17"/>
      <c r="Q1901" s="17"/>
    </row>
    <row r="1902">
      <c r="B1902" s="11">
        <f>IFERROR(__xludf.DUMMYFUNCTION("""COMPUTED_VALUE"""),43259.66666666667)</f>
        <v>43259.66667</v>
      </c>
      <c r="C1902" s="9">
        <f>IFERROR(__xludf.DUMMYFUNCTION("""COMPUTED_VALUE"""),76.44)</f>
        <v>76.44</v>
      </c>
      <c r="E1902" s="17"/>
      <c r="N1902" s="17"/>
      <c r="Q1902" s="17"/>
    </row>
    <row r="1903">
      <c r="B1903" s="11">
        <f>IFERROR(__xludf.DUMMYFUNCTION("""COMPUTED_VALUE"""),43258.66666666667)</f>
        <v>43258.66667</v>
      </c>
      <c r="C1903" s="9">
        <f>IFERROR(__xludf.DUMMYFUNCTION("""COMPUTED_VALUE"""),76.19)</f>
        <v>76.19</v>
      </c>
      <c r="E1903" s="17"/>
      <c r="N1903" s="17"/>
      <c r="Q1903" s="17"/>
    </row>
    <row r="1904">
      <c r="B1904" s="11">
        <f>IFERROR(__xludf.DUMMYFUNCTION("""COMPUTED_VALUE"""),43257.66666666667)</f>
        <v>43257.66667</v>
      </c>
      <c r="C1904" s="9">
        <f>IFERROR(__xludf.DUMMYFUNCTION("""COMPUTED_VALUE"""),75.87)</f>
        <v>75.87</v>
      </c>
      <c r="E1904" s="17"/>
      <c r="N1904" s="17"/>
      <c r="Q1904" s="17"/>
    </row>
    <row r="1905">
      <c r="B1905" s="11">
        <f>IFERROR(__xludf.DUMMYFUNCTION("""COMPUTED_VALUE"""),43256.66666666667)</f>
        <v>43256.66667</v>
      </c>
      <c r="C1905" s="9">
        <f>IFERROR(__xludf.DUMMYFUNCTION("""COMPUTED_VALUE"""),75.24)</f>
        <v>75.24</v>
      </c>
      <c r="E1905" s="17"/>
      <c r="N1905" s="17"/>
      <c r="Q1905" s="17"/>
    </row>
    <row r="1906">
      <c r="B1906" s="11">
        <f>IFERROR(__xludf.DUMMYFUNCTION("""COMPUTED_VALUE"""),43255.66666666667)</f>
        <v>43255.66667</v>
      </c>
      <c r="C1906" s="9">
        <f>IFERROR(__xludf.DUMMYFUNCTION("""COMPUTED_VALUE"""),75.15)</f>
        <v>75.15</v>
      </c>
      <c r="E1906" s="17"/>
      <c r="N1906" s="17"/>
      <c r="Q1906" s="17"/>
    </row>
    <row r="1907">
      <c r="B1907" s="11">
        <f>IFERROR(__xludf.DUMMYFUNCTION("""COMPUTED_VALUE"""),43252.66666666667)</f>
        <v>43252.66667</v>
      </c>
      <c r="C1907" s="9">
        <f>IFERROR(__xludf.DUMMYFUNCTION("""COMPUTED_VALUE"""),75.26)</f>
        <v>75.26</v>
      </c>
      <c r="E1907" s="17"/>
      <c r="N1907" s="17"/>
      <c r="Q1907" s="17"/>
    </row>
    <row r="1908">
      <c r="B1908" s="11">
        <f>IFERROR(__xludf.DUMMYFUNCTION("""COMPUTED_VALUE"""),43251.66666666667)</f>
        <v>43251.66667</v>
      </c>
      <c r="C1908" s="9">
        <f>IFERROR(__xludf.DUMMYFUNCTION("""COMPUTED_VALUE"""),74.44)</f>
        <v>74.44</v>
      </c>
      <c r="E1908" s="17"/>
      <c r="N1908" s="17"/>
      <c r="Q1908" s="17"/>
    </row>
    <row r="1909">
      <c r="B1909" s="11">
        <f>IFERROR(__xludf.DUMMYFUNCTION("""COMPUTED_VALUE"""),43250.66666666667)</f>
        <v>43250.66667</v>
      </c>
      <c r="C1909" s="9">
        <f>IFERROR(__xludf.DUMMYFUNCTION("""COMPUTED_VALUE"""),75.53)</f>
        <v>75.53</v>
      </c>
      <c r="E1909" s="17"/>
      <c r="N1909" s="17"/>
      <c r="Q1909" s="17"/>
    </row>
    <row r="1910">
      <c r="B1910" s="11">
        <f>IFERROR(__xludf.DUMMYFUNCTION("""COMPUTED_VALUE"""),43249.66666666667)</f>
        <v>43249.66667</v>
      </c>
      <c r="C1910" s="9">
        <f>IFERROR(__xludf.DUMMYFUNCTION("""COMPUTED_VALUE"""),74.48)</f>
        <v>74.48</v>
      </c>
      <c r="E1910" s="17"/>
      <c r="N1910" s="17"/>
      <c r="Q1910" s="17"/>
    </row>
    <row r="1911">
      <c r="B1911" s="11">
        <f>IFERROR(__xludf.DUMMYFUNCTION("""COMPUTED_VALUE"""),43245.66666666667)</f>
        <v>43245.66667</v>
      </c>
      <c r="C1911" s="9">
        <f>IFERROR(__xludf.DUMMYFUNCTION("""COMPUTED_VALUE"""),75.69)</f>
        <v>75.69</v>
      </c>
      <c r="E1911" s="17"/>
      <c r="N1911" s="17"/>
      <c r="Q1911" s="17"/>
    </row>
    <row r="1912">
      <c r="B1912" s="11">
        <f>IFERROR(__xludf.DUMMYFUNCTION("""COMPUTED_VALUE"""),43244.66666666667)</f>
        <v>43244.66667</v>
      </c>
      <c r="C1912" s="9">
        <f>IFERROR(__xludf.DUMMYFUNCTION("""COMPUTED_VALUE"""),75.83)</f>
        <v>75.83</v>
      </c>
      <c r="E1912" s="17"/>
      <c r="N1912" s="17"/>
      <c r="Q1912" s="17"/>
    </row>
    <row r="1913">
      <c r="B1913" s="11">
        <f>IFERROR(__xludf.DUMMYFUNCTION("""COMPUTED_VALUE"""),43243.66666666667)</f>
        <v>43243.66667</v>
      </c>
      <c r="C1913" s="9">
        <f>IFERROR(__xludf.DUMMYFUNCTION("""COMPUTED_VALUE"""),75.46)</f>
        <v>75.46</v>
      </c>
      <c r="E1913" s="17"/>
      <c r="N1913" s="17"/>
      <c r="Q1913" s="17"/>
    </row>
    <row r="1914">
      <c r="B1914" s="11">
        <f>IFERROR(__xludf.DUMMYFUNCTION("""COMPUTED_VALUE"""),43242.66666666667)</f>
        <v>43242.66667</v>
      </c>
      <c r="C1914" s="9">
        <f>IFERROR(__xludf.DUMMYFUNCTION("""COMPUTED_VALUE"""),75.53)</f>
        <v>75.53</v>
      </c>
      <c r="E1914" s="17"/>
      <c r="N1914" s="17"/>
      <c r="Q1914" s="17"/>
    </row>
    <row r="1915">
      <c r="B1915" s="11">
        <f>IFERROR(__xludf.DUMMYFUNCTION("""COMPUTED_VALUE"""),43241.66666666667)</f>
        <v>43241.66667</v>
      </c>
      <c r="C1915" s="9">
        <f>IFERROR(__xludf.DUMMYFUNCTION("""COMPUTED_VALUE"""),76.47)</f>
        <v>76.47</v>
      </c>
      <c r="E1915" s="17"/>
      <c r="N1915" s="17"/>
      <c r="Q1915" s="17"/>
    </row>
    <row r="1916">
      <c r="B1916" s="11">
        <f>IFERROR(__xludf.DUMMYFUNCTION("""COMPUTED_VALUE"""),43238.66666666667)</f>
        <v>43238.66667</v>
      </c>
      <c r="C1916" s="9">
        <f>IFERROR(__xludf.DUMMYFUNCTION("""COMPUTED_VALUE"""),75.33)</f>
        <v>75.33</v>
      </c>
      <c r="E1916" s="17"/>
      <c r="N1916" s="17"/>
      <c r="Q1916" s="17"/>
    </row>
    <row r="1917">
      <c r="B1917" s="11">
        <f>IFERROR(__xludf.DUMMYFUNCTION("""COMPUTED_VALUE"""),43237.66666666667)</f>
        <v>43237.66667</v>
      </c>
      <c r="C1917" s="9">
        <f>IFERROR(__xludf.DUMMYFUNCTION("""COMPUTED_VALUE"""),74.89)</f>
        <v>74.89</v>
      </c>
      <c r="E1917" s="17"/>
      <c r="N1917" s="17"/>
      <c r="Q1917" s="17"/>
    </row>
    <row r="1918">
      <c r="B1918" s="11">
        <f>IFERROR(__xludf.DUMMYFUNCTION("""COMPUTED_VALUE"""),43236.66666666667)</f>
        <v>43236.66667</v>
      </c>
      <c r="C1918" s="9">
        <f>IFERROR(__xludf.DUMMYFUNCTION("""COMPUTED_VALUE"""),74.6)</f>
        <v>74.6</v>
      </c>
      <c r="E1918" s="17"/>
      <c r="N1918" s="17"/>
      <c r="Q1918" s="17"/>
    </row>
    <row r="1919">
      <c r="B1919" s="11">
        <f>IFERROR(__xludf.DUMMYFUNCTION("""COMPUTED_VALUE"""),43235.66666666667)</f>
        <v>43235.66667</v>
      </c>
      <c r="C1919" s="9">
        <f>IFERROR(__xludf.DUMMYFUNCTION("""COMPUTED_VALUE"""),74.33)</f>
        <v>74.33</v>
      </c>
      <c r="E1919" s="17"/>
      <c r="N1919" s="17"/>
      <c r="Q1919" s="17"/>
    </row>
    <row r="1920">
      <c r="B1920" s="11">
        <f>IFERROR(__xludf.DUMMYFUNCTION("""COMPUTED_VALUE"""),43234.66666666667)</f>
        <v>43234.66667</v>
      </c>
      <c r="C1920" s="9">
        <f>IFERROR(__xludf.DUMMYFUNCTION("""COMPUTED_VALUE"""),74.58)</f>
        <v>74.58</v>
      </c>
      <c r="E1920" s="17"/>
      <c r="N1920" s="17"/>
      <c r="Q1920" s="17"/>
    </row>
    <row r="1921">
      <c r="B1921" s="11">
        <f>IFERROR(__xludf.DUMMYFUNCTION("""COMPUTED_VALUE"""),43231.66666666667)</f>
        <v>43231.66667</v>
      </c>
      <c r="C1921" s="9">
        <f>IFERROR(__xludf.DUMMYFUNCTION("""COMPUTED_VALUE"""),74.71)</f>
        <v>74.71</v>
      </c>
      <c r="E1921" s="17"/>
      <c r="N1921" s="17"/>
      <c r="Q1921" s="17"/>
    </row>
    <row r="1922">
      <c r="B1922" s="11">
        <f>IFERROR(__xludf.DUMMYFUNCTION("""COMPUTED_VALUE"""),43230.66666666667)</f>
        <v>43230.66667</v>
      </c>
      <c r="C1922" s="9">
        <f>IFERROR(__xludf.DUMMYFUNCTION("""COMPUTED_VALUE"""),74.55)</f>
        <v>74.55</v>
      </c>
      <c r="E1922" s="17"/>
      <c r="N1922" s="17"/>
      <c r="Q1922" s="17"/>
    </row>
    <row r="1923">
      <c r="B1923" s="11">
        <f>IFERROR(__xludf.DUMMYFUNCTION("""COMPUTED_VALUE"""),43229.66666666667)</f>
        <v>43229.66667</v>
      </c>
      <c r="C1923" s="9">
        <f>IFERROR(__xludf.DUMMYFUNCTION("""COMPUTED_VALUE"""),74.05)</f>
        <v>74.05</v>
      </c>
      <c r="E1923" s="17"/>
      <c r="N1923" s="17"/>
      <c r="Q1923" s="17"/>
    </row>
    <row r="1924">
      <c r="B1924" s="11">
        <f>IFERROR(__xludf.DUMMYFUNCTION("""COMPUTED_VALUE"""),43228.66666666667)</f>
        <v>43228.66667</v>
      </c>
      <c r="C1924" s="9">
        <f>IFERROR(__xludf.DUMMYFUNCTION("""COMPUTED_VALUE"""),73.26)</f>
        <v>73.26</v>
      </c>
      <c r="E1924" s="17"/>
      <c r="N1924" s="17"/>
      <c r="Q1924" s="17"/>
    </row>
    <row r="1925">
      <c r="B1925" s="11">
        <f>IFERROR(__xludf.DUMMYFUNCTION("""COMPUTED_VALUE"""),43227.66666666667)</f>
        <v>43227.66667</v>
      </c>
      <c r="C1925" s="9">
        <f>IFERROR(__xludf.DUMMYFUNCTION("""COMPUTED_VALUE"""),72.74)</f>
        <v>72.74</v>
      </c>
      <c r="E1925" s="17"/>
      <c r="N1925" s="17"/>
      <c r="Q1925" s="17"/>
    </row>
    <row r="1926">
      <c r="B1926" s="11">
        <f>IFERROR(__xludf.DUMMYFUNCTION("""COMPUTED_VALUE"""),43224.66666666667)</f>
        <v>43224.66667</v>
      </c>
      <c r="C1926" s="9">
        <f>IFERROR(__xludf.DUMMYFUNCTION("""COMPUTED_VALUE"""),72.26)</f>
        <v>72.26</v>
      </c>
      <c r="E1926" s="17"/>
      <c r="N1926" s="17"/>
      <c r="Q1926" s="17"/>
    </row>
    <row r="1927">
      <c r="B1927" s="11">
        <f>IFERROR(__xludf.DUMMYFUNCTION("""COMPUTED_VALUE"""),43223.66666666667)</f>
        <v>43223.66667</v>
      </c>
      <c r="C1927" s="9">
        <f>IFERROR(__xludf.DUMMYFUNCTION("""COMPUTED_VALUE"""),71.43)</f>
        <v>71.43</v>
      </c>
      <c r="E1927" s="17"/>
      <c r="N1927" s="17"/>
      <c r="Q1927" s="17"/>
    </row>
    <row r="1928">
      <c r="B1928" s="11">
        <f>IFERROR(__xludf.DUMMYFUNCTION("""COMPUTED_VALUE"""),43222.66666666667)</f>
        <v>43222.66667</v>
      </c>
      <c r="C1928" s="9">
        <f>IFERROR(__xludf.DUMMYFUNCTION("""COMPUTED_VALUE"""),71.26)</f>
        <v>71.26</v>
      </c>
      <c r="E1928" s="17"/>
      <c r="N1928" s="17"/>
      <c r="Q1928" s="17"/>
    </row>
    <row r="1929">
      <c r="B1929" s="11">
        <f>IFERROR(__xludf.DUMMYFUNCTION("""COMPUTED_VALUE"""),43221.66666666667)</f>
        <v>43221.66667</v>
      </c>
      <c r="C1929" s="9">
        <f>IFERROR(__xludf.DUMMYFUNCTION("""COMPUTED_VALUE"""),71.89)</f>
        <v>71.89</v>
      </c>
      <c r="E1929" s="17"/>
      <c r="N1929" s="17"/>
      <c r="Q1929" s="17"/>
    </row>
    <row r="1930">
      <c r="B1930" s="11">
        <f>IFERROR(__xludf.DUMMYFUNCTION("""COMPUTED_VALUE"""),43220.66666666667)</f>
        <v>43220.66667</v>
      </c>
      <c r="C1930" s="9">
        <f>IFERROR(__xludf.DUMMYFUNCTION("""COMPUTED_VALUE"""),72.22)</f>
        <v>72.22</v>
      </c>
      <c r="E1930" s="17"/>
      <c r="N1930" s="17"/>
      <c r="Q1930" s="17"/>
    </row>
    <row r="1931">
      <c r="B1931" s="11">
        <f>IFERROR(__xludf.DUMMYFUNCTION("""COMPUTED_VALUE"""),43217.66666666667)</f>
        <v>43217.66667</v>
      </c>
      <c r="C1931" s="9">
        <f>IFERROR(__xludf.DUMMYFUNCTION("""COMPUTED_VALUE"""),73.19)</f>
        <v>73.19</v>
      </c>
      <c r="E1931" s="17"/>
      <c r="N1931" s="17"/>
      <c r="Q1931" s="17"/>
    </row>
    <row r="1932">
      <c r="B1932" s="11">
        <f>IFERROR(__xludf.DUMMYFUNCTION("""COMPUTED_VALUE"""),43216.66666666667)</f>
        <v>43216.66667</v>
      </c>
      <c r="C1932" s="9">
        <f>IFERROR(__xludf.DUMMYFUNCTION("""COMPUTED_VALUE"""),73.34)</f>
        <v>73.34</v>
      </c>
      <c r="E1932" s="17"/>
      <c r="N1932" s="17"/>
      <c r="Q1932" s="17"/>
    </row>
    <row r="1933">
      <c r="B1933" s="11">
        <f>IFERROR(__xludf.DUMMYFUNCTION("""COMPUTED_VALUE"""),43215.66666666667)</f>
        <v>43215.66667</v>
      </c>
      <c r="C1933" s="9">
        <f>IFERROR(__xludf.DUMMYFUNCTION("""COMPUTED_VALUE"""),73.61)</f>
        <v>73.61</v>
      </c>
      <c r="E1933" s="17"/>
      <c r="N1933" s="17"/>
      <c r="Q1933" s="17"/>
    </row>
    <row r="1934">
      <c r="B1934" s="11">
        <f>IFERROR(__xludf.DUMMYFUNCTION("""COMPUTED_VALUE"""),43214.66666666667)</f>
        <v>43214.66667</v>
      </c>
      <c r="C1934" s="9">
        <f>IFERROR(__xludf.DUMMYFUNCTION("""COMPUTED_VALUE"""),73.4)</f>
        <v>73.4</v>
      </c>
      <c r="E1934" s="17"/>
      <c r="N1934" s="17"/>
      <c r="Q1934" s="17"/>
    </row>
    <row r="1935">
      <c r="B1935" s="11">
        <f>IFERROR(__xludf.DUMMYFUNCTION("""COMPUTED_VALUE"""),43213.66666666667)</f>
        <v>43213.66667</v>
      </c>
      <c r="C1935" s="9">
        <f>IFERROR(__xludf.DUMMYFUNCTION("""COMPUTED_VALUE"""),75.51)</f>
        <v>75.51</v>
      </c>
      <c r="E1935" s="17"/>
      <c r="N1935" s="17"/>
      <c r="Q1935" s="17"/>
    </row>
    <row r="1936">
      <c r="B1936" s="11">
        <f>IFERROR(__xludf.DUMMYFUNCTION("""COMPUTED_VALUE"""),43210.66666666667)</f>
        <v>43210.66667</v>
      </c>
      <c r="C1936" s="9">
        <f>IFERROR(__xludf.DUMMYFUNCTION("""COMPUTED_VALUE"""),75.6)</f>
        <v>75.6</v>
      </c>
      <c r="E1936" s="17"/>
      <c r="N1936" s="17"/>
      <c r="Q1936" s="17"/>
    </row>
    <row r="1937">
      <c r="B1937" s="11">
        <f>IFERROR(__xludf.DUMMYFUNCTION("""COMPUTED_VALUE"""),43209.66666666667)</f>
        <v>43209.66667</v>
      </c>
      <c r="C1937" s="9">
        <f>IFERROR(__xludf.DUMMYFUNCTION("""COMPUTED_VALUE"""),75.93)</f>
        <v>75.93</v>
      </c>
      <c r="E1937" s="17"/>
      <c r="N1937" s="17"/>
      <c r="Q1937" s="17"/>
    </row>
    <row r="1938">
      <c r="B1938" s="11">
        <f>IFERROR(__xludf.DUMMYFUNCTION("""COMPUTED_VALUE"""),43208.66666666667)</f>
        <v>43208.66667</v>
      </c>
      <c r="C1938" s="9">
        <f>IFERROR(__xludf.DUMMYFUNCTION("""COMPUTED_VALUE"""),76.14)</f>
        <v>76.14</v>
      </c>
      <c r="E1938" s="17"/>
      <c r="N1938" s="17"/>
      <c r="Q1938" s="17"/>
    </row>
    <row r="1939">
      <c r="B1939" s="11">
        <f>IFERROR(__xludf.DUMMYFUNCTION("""COMPUTED_VALUE"""),43207.66666666667)</f>
        <v>43207.66667</v>
      </c>
      <c r="C1939" s="9">
        <f>IFERROR(__xludf.DUMMYFUNCTION("""COMPUTED_VALUE"""),75.36)</f>
        <v>75.36</v>
      </c>
      <c r="E1939" s="17"/>
      <c r="N1939" s="17"/>
      <c r="Q1939" s="17"/>
    </row>
    <row r="1940">
      <c r="B1940" s="11">
        <f>IFERROR(__xludf.DUMMYFUNCTION("""COMPUTED_VALUE"""),43206.66666666667)</f>
        <v>43206.66667</v>
      </c>
      <c r="C1940" s="9">
        <f>IFERROR(__xludf.DUMMYFUNCTION("""COMPUTED_VALUE"""),74.73)</f>
        <v>74.73</v>
      </c>
      <c r="E1940" s="17"/>
      <c r="N1940" s="17"/>
      <c r="Q1940" s="17"/>
    </row>
    <row r="1941">
      <c r="B1941" s="11">
        <f>IFERROR(__xludf.DUMMYFUNCTION("""COMPUTED_VALUE"""),43203.66666666667)</f>
        <v>43203.66667</v>
      </c>
      <c r="C1941" s="9">
        <f>IFERROR(__xludf.DUMMYFUNCTION("""COMPUTED_VALUE"""),73.99)</f>
        <v>73.99</v>
      </c>
      <c r="E1941" s="17"/>
      <c r="N1941" s="17"/>
      <c r="Q1941" s="17"/>
    </row>
    <row r="1942">
      <c r="B1942" s="11">
        <f>IFERROR(__xludf.DUMMYFUNCTION("""COMPUTED_VALUE"""),43202.66666666667)</f>
        <v>43202.66667</v>
      </c>
      <c r="C1942" s="9">
        <f>IFERROR(__xludf.DUMMYFUNCTION("""COMPUTED_VALUE"""),74.17)</f>
        <v>74.17</v>
      </c>
      <c r="E1942" s="17"/>
      <c r="N1942" s="17"/>
      <c r="Q1942" s="17"/>
    </row>
    <row r="1943">
      <c r="B1943" s="11">
        <f>IFERROR(__xludf.DUMMYFUNCTION("""COMPUTED_VALUE"""),43201.66666666667)</f>
        <v>43201.66667</v>
      </c>
      <c r="C1943" s="9">
        <f>IFERROR(__xludf.DUMMYFUNCTION("""COMPUTED_VALUE"""),73.12)</f>
        <v>73.12</v>
      </c>
      <c r="E1943" s="17"/>
      <c r="N1943" s="17"/>
      <c r="Q1943" s="17"/>
    </row>
    <row r="1944">
      <c r="B1944" s="11">
        <f>IFERROR(__xludf.DUMMYFUNCTION("""COMPUTED_VALUE"""),43200.66666666667)</f>
        <v>43200.66667</v>
      </c>
      <c r="C1944" s="9">
        <f>IFERROR(__xludf.DUMMYFUNCTION("""COMPUTED_VALUE"""),73.66)</f>
        <v>73.66</v>
      </c>
      <c r="E1944" s="17"/>
      <c r="N1944" s="17"/>
      <c r="Q1944" s="17"/>
    </row>
    <row r="1945">
      <c r="B1945" s="11">
        <f>IFERROR(__xludf.DUMMYFUNCTION("""COMPUTED_VALUE"""),43199.66666666667)</f>
        <v>43199.66667</v>
      </c>
      <c r="C1945" s="9">
        <f>IFERROR(__xludf.DUMMYFUNCTION("""COMPUTED_VALUE"""),72.55)</f>
        <v>72.55</v>
      </c>
      <c r="E1945" s="17"/>
      <c r="N1945" s="17"/>
      <c r="Q1945" s="17"/>
    </row>
    <row r="1946">
      <c r="B1946" s="11">
        <f>IFERROR(__xludf.DUMMYFUNCTION("""COMPUTED_VALUE"""),43196.66666666667)</f>
        <v>43196.66667</v>
      </c>
      <c r="C1946" s="9">
        <f>IFERROR(__xludf.DUMMYFUNCTION("""COMPUTED_VALUE"""),72.77)</f>
        <v>72.77</v>
      </c>
      <c r="E1946" s="17"/>
      <c r="N1946" s="17"/>
      <c r="Q1946" s="17"/>
    </row>
    <row r="1947">
      <c r="B1947" s="11">
        <f>IFERROR(__xludf.DUMMYFUNCTION("""COMPUTED_VALUE"""),43195.66666666667)</f>
        <v>43195.66667</v>
      </c>
      <c r="C1947" s="9">
        <f>IFERROR(__xludf.DUMMYFUNCTION("""COMPUTED_VALUE"""),74.84)</f>
        <v>74.84</v>
      </c>
      <c r="E1947" s="17"/>
      <c r="N1947" s="17"/>
      <c r="Q1947" s="17"/>
    </row>
    <row r="1948">
      <c r="B1948" s="11">
        <f>IFERROR(__xludf.DUMMYFUNCTION("""COMPUTED_VALUE"""),43194.66666666667)</f>
        <v>43194.66667</v>
      </c>
      <c r="C1948" s="9">
        <f>IFERROR(__xludf.DUMMYFUNCTION("""COMPUTED_VALUE"""),74.09)</f>
        <v>74.09</v>
      </c>
      <c r="E1948" s="17"/>
      <c r="N1948" s="17"/>
      <c r="Q1948" s="17"/>
    </row>
    <row r="1949">
      <c r="B1949" s="11">
        <f>IFERROR(__xludf.DUMMYFUNCTION("""COMPUTED_VALUE"""),43193.66666666667)</f>
        <v>43193.66667</v>
      </c>
      <c r="C1949" s="9">
        <f>IFERROR(__xludf.DUMMYFUNCTION("""COMPUTED_VALUE"""),73.77)</f>
        <v>73.77</v>
      </c>
      <c r="E1949" s="17"/>
      <c r="N1949" s="17"/>
      <c r="Q1949" s="17"/>
    </row>
    <row r="1950">
      <c r="B1950" s="11">
        <f>IFERROR(__xludf.DUMMYFUNCTION("""COMPUTED_VALUE"""),43192.66666666667)</f>
        <v>43192.66667</v>
      </c>
      <c r="C1950" s="9">
        <f>IFERROR(__xludf.DUMMYFUNCTION("""COMPUTED_VALUE"""),72.76)</f>
        <v>72.76</v>
      </c>
      <c r="E1950" s="17"/>
      <c r="N1950" s="17"/>
      <c r="Q1950" s="17"/>
    </row>
    <row r="1951">
      <c r="B1951" s="11">
        <f>IFERROR(__xludf.DUMMYFUNCTION("""COMPUTED_VALUE"""),43188.66666666667)</f>
        <v>43188.66667</v>
      </c>
      <c r="C1951" s="9">
        <f>IFERROR(__xludf.DUMMYFUNCTION("""COMPUTED_VALUE"""),74.29)</f>
        <v>74.29</v>
      </c>
      <c r="E1951" s="17"/>
      <c r="N1951" s="17"/>
      <c r="Q1951" s="17"/>
    </row>
    <row r="1952">
      <c r="B1952" s="11">
        <f>IFERROR(__xludf.DUMMYFUNCTION("""COMPUTED_VALUE"""),43187.66666666667)</f>
        <v>43187.66667</v>
      </c>
      <c r="C1952" s="9">
        <f>IFERROR(__xludf.DUMMYFUNCTION("""COMPUTED_VALUE"""),73.22)</f>
        <v>73.22</v>
      </c>
      <c r="E1952" s="17"/>
      <c r="N1952" s="17"/>
      <c r="Q1952" s="17"/>
    </row>
    <row r="1953">
      <c r="B1953" s="11">
        <f>IFERROR(__xludf.DUMMYFUNCTION("""COMPUTED_VALUE"""),43186.66666666667)</f>
        <v>43186.66667</v>
      </c>
      <c r="C1953" s="9">
        <f>IFERROR(__xludf.DUMMYFUNCTION("""COMPUTED_VALUE"""),73.47)</f>
        <v>73.47</v>
      </c>
      <c r="E1953" s="17"/>
      <c r="N1953" s="17"/>
      <c r="Q1953" s="17"/>
    </row>
    <row r="1954">
      <c r="B1954" s="11">
        <f>IFERROR(__xludf.DUMMYFUNCTION("""COMPUTED_VALUE"""),43185.66666666667)</f>
        <v>43185.66667</v>
      </c>
      <c r="C1954" s="9">
        <f>IFERROR(__xludf.DUMMYFUNCTION("""COMPUTED_VALUE"""),74.5)</f>
        <v>74.5</v>
      </c>
      <c r="E1954" s="17"/>
      <c r="N1954" s="17"/>
      <c r="Q1954" s="17"/>
    </row>
    <row r="1955">
      <c r="B1955" s="11">
        <f>IFERROR(__xludf.DUMMYFUNCTION("""COMPUTED_VALUE"""),43182.66666666667)</f>
        <v>43182.66667</v>
      </c>
      <c r="C1955" s="9">
        <f>IFERROR(__xludf.DUMMYFUNCTION("""COMPUTED_VALUE"""),72.74)</f>
        <v>72.74</v>
      </c>
      <c r="E1955" s="17"/>
      <c r="N1955" s="17"/>
      <c r="Q1955" s="17"/>
    </row>
    <row r="1956">
      <c r="B1956" s="11">
        <f>IFERROR(__xludf.DUMMYFUNCTION("""COMPUTED_VALUE"""),43181.66666666667)</f>
        <v>43181.66667</v>
      </c>
      <c r="C1956" s="9">
        <f>IFERROR(__xludf.DUMMYFUNCTION("""COMPUTED_VALUE"""),73.82)</f>
        <v>73.82</v>
      </c>
      <c r="E1956" s="17"/>
      <c r="N1956" s="17"/>
      <c r="Q1956" s="17"/>
    </row>
    <row r="1957">
      <c r="B1957" s="11">
        <f>IFERROR(__xludf.DUMMYFUNCTION("""COMPUTED_VALUE"""),43180.66666666667)</f>
        <v>43180.66667</v>
      </c>
      <c r="C1957" s="9">
        <f>IFERROR(__xludf.DUMMYFUNCTION("""COMPUTED_VALUE"""),76.34)</f>
        <v>76.34</v>
      </c>
      <c r="E1957" s="17"/>
      <c r="N1957" s="17"/>
      <c r="Q1957" s="17"/>
    </row>
    <row r="1958">
      <c r="B1958" s="11">
        <f>IFERROR(__xludf.DUMMYFUNCTION("""COMPUTED_VALUE"""),43179.66666666667)</f>
        <v>43179.66667</v>
      </c>
      <c r="C1958" s="9">
        <f>IFERROR(__xludf.DUMMYFUNCTION("""COMPUTED_VALUE"""),76.25)</f>
        <v>76.25</v>
      </c>
      <c r="E1958" s="17"/>
      <c r="N1958" s="17"/>
      <c r="Q1958" s="17"/>
    </row>
    <row r="1959">
      <c r="B1959" s="11">
        <f>IFERROR(__xludf.DUMMYFUNCTION("""COMPUTED_VALUE"""),43178.66666666667)</f>
        <v>43178.66667</v>
      </c>
      <c r="C1959" s="9">
        <f>IFERROR(__xludf.DUMMYFUNCTION("""COMPUTED_VALUE"""),75.99)</f>
        <v>75.99</v>
      </c>
      <c r="E1959" s="17"/>
      <c r="N1959" s="17"/>
      <c r="Q1959" s="17"/>
    </row>
    <row r="1960">
      <c r="B1960" s="11">
        <f>IFERROR(__xludf.DUMMYFUNCTION("""COMPUTED_VALUE"""),43175.66666666667)</f>
        <v>43175.66667</v>
      </c>
      <c r="C1960" s="9">
        <f>IFERROR(__xludf.DUMMYFUNCTION("""COMPUTED_VALUE"""),76.58)</f>
        <v>76.58</v>
      </c>
      <c r="E1960" s="17"/>
      <c r="N1960" s="17"/>
      <c r="Q1960" s="17"/>
    </row>
    <row r="1961">
      <c r="B1961" s="11">
        <f>IFERROR(__xludf.DUMMYFUNCTION("""COMPUTED_VALUE"""),43174.66666666667)</f>
        <v>43174.66667</v>
      </c>
      <c r="C1961" s="9">
        <f>IFERROR(__xludf.DUMMYFUNCTION("""COMPUTED_VALUE"""),76.48)</f>
        <v>76.48</v>
      </c>
      <c r="E1961" s="17"/>
      <c r="N1961" s="17"/>
      <c r="Q1961" s="17"/>
    </row>
    <row r="1962">
      <c r="B1962" s="11">
        <f>IFERROR(__xludf.DUMMYFUNCTION("""COMPUTED_VALUE"""),43173.66666666667)</f>
        <v>43173.66667</v>
      </c>
      <c r="C1962" s="9">
        <f>IFERROR(__xludf.DUMMYFUNCTION("""COMPUTED_VALUE"""),76.26)</f>
        <v>76.26</v>
      </c>
      <c r="E1962" s="17"/>
      <c r="N1962" s="17"/>
      <c r="Q1962" s="17"/>
    </row>
    <row r="1963">
      <c r="B1963" s="11">
        <f>IFERROR(__xludf.DUMMYFUNCTION("""COMPUTED_VALUE"""),43172.66666666667)</f>
        <v>43172.66667</v>
      </c>
      <c r="C1963" s="9">
        <f>IFERROR(__xludf.DUMMYFUNCTION("""COMPUTED_VALUE"""),77.1)</f>
        <v>77.1</v>
      </c>
      <c r="E1963" s="17"/>
      <c r="N1963" s="17"/>
      <c r="Q1963" s="17"/>
    </row>
    <row r="1964">
      <c r="B1964" s="11">
        <f>IFERROR(__xludf.DUMMYFUNCTION("""COMPUTED_VALUE"""),43171.66666666667)</f>
        <v>43171.66667</v>
      </c>
      <c r="C1964" s="9">
        <f>IFERROR(__xludf.DUMMYFUNCTION("""COMPUTED_VALUE"""),77.48)</f>
        <v>77.48</v>
      </c>
      <c r="E1964" s="17"/>
      <c r="N1964" s="17"/>
      <c r="Q1964" s="17"/>
    </row>
    <row r="1965">
      <c r="B1965" s="11">
        <f>IFERROR(__xludf.DUMMYFUNCTION("""COMPUTED_VALUE"""),43168.66666666667)</f>
        <v>43168.66667</v>
      </c>
      <c r="C1965" s="9">
        <f>IFERROR(__xludf.DUMMYFUNCTION("""COMPUTED_VALUE"""),78.45)</f>
        <v>78.45</v>
      </c>
      <c r="E1965" s="17"/>
      <c r="N1965" s="17"/>
      <c r="Q1965" s="17"/>
    </row>
    <row r="1966">
      <c r="B1966" s="11">
        <f>IFERROR(__xludf.DUMMYFUNCTION("""COMPUTED_VALUE"""),43167.66666666667)</f>
        <v>43167.66667</v>
      </c>
      <c r="C1966" s="9">
        <f>IFERROR(__xludf.DUMMYFUNCTION("""COMPUTED_VALUE"""),76.76)</f>
        <v>76.76</v>
      </c>
      <c r="E1966" s="17"/>
      <c r="N1966" s="17"/>
      <c r="Q1966" s="17"/>
    </row>
    <row r="1967">
      <c r="B1967" s="11">
        <f>IFERROR(__xludf.DUMMYFUNCTION("""COMPUTED_VALUE"""),43166.66666666667)</f>
        <v>43166.66667</v>
      </c>
      <c r="C1967" s="9">
        <f>IFERROR(__xludf.DUMMYFUNCTION("""COMPUTED_VALUE"""),76.36)</f>
        <v>76.36</v>
      </c>
      <c r="E1967" s="17"/>
      <c r="N1967" s="17"/>
      <c r="Q1967" s="17"/>
    </row>
    <row r="1968">
      <c r="B1968" s="11">
        <f>IFERROR(__xludf.DUMMYFUNCTION("""COMPUTED_VALUE"""),43165.66666666667)</f>
        <v>43165.66667</v>
      </c>
      <c r="C1968" s="9">
        <f>IFERROR(__xludf.DUMMYFUNCTION("""COMPUTED_VALUE"""),76.37)</f>
        <v>76.37</v>
      </c>
      <c r="E1968" s="17"/>
      <c r="N1968" s="17"/>
      <c r="Q1968" s="17"/>
    </row>
    <row r="1969">
      <c r="B1969" s="11">
        <f>IFERROR(__xludf.DUMMYFUNCTION("""COMPUTED_VALUE"""),43164.66666666667)</f>
        <v>43164.66667</v>
      </c>
      <c r="C1969" s="9">
        <f>IFERROR(__xludf.DUMMYFUNCTION("""COMPUTED_VALUE"""),76.03)</f>
        <v>76.03</v>
      </c>
      <c r="E1969" s="17"/>
      <c r="N1969" s="17"/>
      <c r="Q1969" s="17"/>
    </row>
    <row r="1970">
      <c r="B1970" s="11">
        <f>IFERROR(__xludf.DUMMYFUNCTION("""COMPUTED_VALUE"""),43161.66666666667)</f>
        <v>43161.66667</v>
      </c>
      <c r="C1970" s="9">
        <f>IFERROR(__xludf.DUMMYFUNCTION("""COMPUTED_VALUE"""),75.13)</f>
        <v>75.13</v>
      </c>
      <c r="E1970" s="17"/>
      <c r="N1970" s="17"/>
      <c r="Q1970" s="17"/>
    </row>
    <row r="1971">
      <c r="B1971" s="11">
        <f>IFERROR(__xludf.DUMMYFUNCTION("""COMPUTED_VALUE"""),43160.66666666667)</f>
        <v>43160.66667</v>
      </c>
      <c r="C1971" s="9">
        <f>IFERROR(__xludf.DUMMYFUNCTION("""COMPUTED_VALUE"""),75.15)</f>
        <v>75.15</v>
      </c>
      <c r="E1971" s="17"/>
      <c r="N1971" s="17"/>
      <c r="Q1971" s="17"/>
    </row>
    <row r="1972">
      <c r="B1972" s="11">
        <f>IFERROR(__xludf.DUMMYFUNCTION("""COMPUTED_VALUE"""),43159.66666666667)</f>
        <v>43159.66667</v>
      </c>
      <c r="C1972" s="9">
        <f>IFERROR(__xludf.DUMMYFUNCTION("""COMPUTED_VALUE"""),76.65)</f>
        <v>76.65</v>
      </c>
      <c r="E1972" s="17"/>
      <c r="N1972" s="17"/>
      <c r="Q1972" s="17"/>
    </row>
    <row r="1973">
      <c r="B1973" s="11">
        <f>IFERROR(__xludf.DUMMYFUNCTION("""COMPUTED_VALUE"""),43158.66666666667)</f>
        <v>43158.66667</v>
      </c>
      <c r="C1973" s="9">
        <f>IFERROR(__xludf.DUMMYFUNCTION("""COMPUTED_VALUE"""),77.76)</f>
        <v>77.76</v>
      </c>
      <c r="E1973" s="17"/>
      <c r="N1973" s="17"/>
      <c r="Q1973" s="17"/>
    </row>
    <row r="1974">
      <c r="B1974" s="11">
        <f>IFERROR(__xludf.DUMMYFUNCTION("""COMPUTED_VALUE"""),43157.66666666667)</f>
        <v>43157.66667</v>
      </c>
      <c r="C1974" s="9">
        <f>IFERROR(__xludf.DUMMYFUNCTION("""COMPUTED_VALUE"""),78.75)</f>
        <v>78.75</v>
      </c>
      <c r="E1974" s="17"/>
      <c r="N1974" s="17"/>
      <c r="Q1974" s="17"/>
    </row>
    <row r="1975">
      <c r="B1975" s="11">
        <f>IFERROR(__xludf.DUMMYFUNCTION("""COMPUTED_VALUE"""),43154.66666666667)</f>
        <v>43154.66667</v>
      </c>
      <c r="C1975" s="9">
        <f>IFERROR(__xludf.DUMMYFUNCTION("""COMPUTED_VALUE"""),77.68)</f>
        <v>77.68</v>
      </c>
      <c r="E1975" s="17"/>
      <c r="N1975" s="17"/>
      <c r="Q1975" s="17"/>
    </row>
    <row r="1976">
      <c r="B1976" s="11">
        <f>IFERROR(__xludf.DUMMYFUNCTION("""COMPUTED_VALUE"""),43153.66666666667)</f>
        <v>43153.66667</v>
      </c>
      <c r="C1976" s="9">
        <f>IFERROR(__xludf.DUMMYFUNCTION("""COMPUTED_VALUE"""),77.04)</f>
        <v>77.04</v>
      </c>
      <c r="E1976" s="17"/>
      <c r="N1976" s="17"/>
      <c r="Q1976" s="17"/>
    </row>
    <row r="1977">
      <c r="B1977" s="11">
        <f>IFERROR(__xludf.DUMMYFUNCTION("""COMPUTED_VALUE"""),43152.66666666667)</f>
        <v>43152.66667</v>
      </c>
      <c r="C1977" s="9">
        <f>IFERROR(__xludf.DUMMYFUNCTION("""COMPUTED_VALUE"""),76.53)</f>
        <v>76.53</v>
      </c>
      <c r="E1977" s="17"/>
      <c r="N1977" s="17"/>
      <c r="Q1977" s="17"/>
    </row>
    <row r="1978">
      <c r="B1978" s="11">
        <f>IFERROR(__xludf.DUMMYFUNCTION("""COMPUTED_VALUE"""),43151.66666666667)</f>
        <v>43151.66667</v>
      </c>
      <c r="C1978" s="9">
        <f>IFERROR(__xludf.DUMMYFUNCTION("""COMPUTED_VALUE"""),76.51)</f>
        <v>76.51</v>
      </c>
      <c r="E1978" s="17"/>
      <c r="N1978" s="17"/>
      <c r="Q1978" s="17"/>
    </row>
    <row r="1979">
      <c r="B1979" s="11">
        <f>IFERROR(__xludf.DUMMYFUNCTION("""COMPUTED_VALUE"""),43147.66666666667)</f>
        <v>43147.66667</v>
      </c>
      <c r="C1979" s="9">
        <f>IFERROR(__xludf.DUMMYFUNCTION("""COMPUTED_VALUE"""),77.29)</f>
        <v>77.29</v>
      </c>
      <c r="E1979" s="17"/>
      <c r="N1979" s="17"/>
      <c r="Q1979" s="17"/>
    </row>
    <row r="1980">
      <c r="B1980" s="11">
        <f>IFERROR(__xludf.DUMMYFUNCTION("""COMPUTED_VALUE"""),43146.66666666667)</f>
        <v>43146.66667</v>
      </c>
      <c r="C1980" s="9">
        <f>IFERROR(__xludf.DUMMYFUNCTION("""COMPUTED_VALUE"""),77.27)</f>
        <v>77.27</v>
      </c>
      <c r="E1980" s="17"/>
      <c r="N1980" s="17"/>
      <c r="Q1980" s="17"/>
    </row>
    <row r="1981">
      <c r="B1981" s="11">
        <f>IFERROR(__xludf.DUMMYFUNCTION("""COMPUTED_VALUE"""),43145.66666666667)</f>
        <v>43145.66667</v>
      </c>
      <c r="C1981" s="9">
        <f>IFERROR(__xludf.DUMMYFUNCTION("""COMPUTED_VALUE"""),76.12)</f>
        <v>76.12</v>
      </c>
      <c r="E1981" s="17"/>
      <c r="N1981" s="17"/>
      <c r="Q1981" s="17"/>
    </row>
    <row r="1982">
      <c r="B1982" s="11">
        <f>IFERROR(__xludf.DUMMYFUNCTION("""COMPUTED_VALUE"""),43144.66666666667)</f>
        <v>43144.66667</v>
      </c>
      <c r="C1982" s="9">
        <f>IFERROR(__xludf.DUMMYFUNCTION("""COMPUTED_VALUE"""),75.17)</f>
        <v>75.17</v>
      </c>
      <c r="E1982" s="17"/>
      <c r="N1982" s="17"/>
      <c r="Q1982" s="17"/>
    </row>
    <row r="1983">
      <c r="B1983" s="11">
        <f>IFERROR(__xludf.DUMMYFUNCTION("""COMPUTED_VALUE"""),43143.66666666667)</f>
        <v>43143.66667</v>
      </c>
      <c r="C1983" s="9">
        <f>IFERROR(__xludf.DUMMYFUNCTION("""COMPUTED_VALUE"""),75.0)</f>
        <v>75</v>
      </c>
      <c r="E1983" s="17"/>
      <c r="N1983" s="17"/>
      <c r="Q1983" s="17"/>
    </row>
    <row r="1984">
      <c r="B1984" s="11">
        <f>IFERROR(__xludf.DUMMYFUNCTION("""COMPUTED_VALUE"""),43140.66666666667)</f>
        <v>43140.66667</v>
      </c>
      <c r="C1984" s="9">
        <f>IFERROR(__xludf.DUMMYFUNCTION("""COMPUTED_VALUE"""),73.81)</f>
        <v>73.81</v>
      </c>
      <c r="E1984" s="17"/>
      <c r="N1984" s="17"/>
      <c r="Q1984" s="17"/>
    </row>
    <row r="1985">
      <c r="B1985" s="11">
        <f>IFERROR(__xludf.DUMMYFUNCTION("""COMPUTED_VALUE"""),43139.66666666667)</f>
        <v>43139.66667</v>
      </c>
      <c r="C1985" s="9">
        <f>IFERROR(__xludf.DUMMYFUNCTION("""COMPUTED_VALUE"""),73.02)</f>
        <v>73.02</v>
      </c>
      <c r="E1985" s="17"/>
      <c r="N1985" s="17"/>
      <c r="Q1985" s="17"/>
    </row>
    <row r="1986">
      <c r="B1986" s="11">
        <f>IFERROR(__xludf.DUMMYFUNCTION("""COMPUTED_VALUE"""),43138.66666666667)</f>
        <v>43138.66667</v>
      </c>
      <c r="C1986" s="9">
        <f>IFERROR(__xludf.DUMMYFUNCTION("""COMPUTED_VALUE"""),75.95)</f>
        <v>75.95</v>
      </c>
      <c r="E1986" s="17"/>
      <c r="N1986" s="17"/>
      <c r="Q1986" s="17"/>
    </row>
    <row r="1987">
      <c r="B1987" s="11">
        <f>IFERROR(__xludf.DUMMYFUNCTION("""COMPUTED_VALUE"""),43137.66666666667)</f>
        <v>43137.66667</v>
      </c>
      <c r="C1987" s="9">
        <f>IFERROR(__xludf.DUMMYFUNCTION("""COMPUTED_VALUE"""),75.81)</f>
        <v>75.81</v>
      </c>
      <c r="E1987" s="17"/>
      <c r="N1987" s="17"/>
      <c r="Q1987" s="17"/>
    </row>
    <row r="1988">
      <c r="B1988" s="11">
        <f>IFERROR(__xludf.DUMMYFUNCTION("""COMPUTED_VALUE"""),43136.66666666667)</f>
        <v>43136.66667</v>
      </c>
      <c r="C1988" s="9">
        <f>IFERROR(__xludf.DUMMYFUNCTION("""COMPUTED_VALUE"""),74.45)</f>
        <v>74.45</v>
      </c>
      <c r="E1988" s="17"/>
      <c r="N1988" s="17"/>
      <c r="Q1988" s="17"/>
    </row>
    <row r="1989">
      <c r="B1989" s="11">
        <f>IFERROR(__xludf.DUMMYFUNCTION("""COMPUTED_VALUE"""),43133.66666666667)</f>
        <v>43133.66667</v>
      </c>
      <c r="C1989" s="9">
        <f>IFERROR(__xludf.DUMMYFUNCTION("""COMPUTED_VALUE"""),77.99)</f>
        <v>77.99</v>
      </c>
      <c r="E1989" s="17"/>
      <c r="N1989" s="17"/>
      <c r="Q1989" s="17"/>
    </row>
    <row r="1990">
      <c r="B1990" s="11">
        <f>IFERROR(__xludf.DUMMYFUNCTION("""COMPUTED_VALUE"""),43132.66666666667)</f>
        <v>43132.66667</v>
      </c>
      <c r="C1990" s="9">
        <f>IFERROR(__xludf.DUMMYFUNCTION("""COMPUTED_VALUE"""),79.59)</f>
        <v>79.59</v>
      </c>
      <c r="E1990" s="17"/>
      <c r="N1990" s="17"/>
      <c r="Q1990" s="17"/>
    </row>
    <row r="1991">
      <c r="B1991" s="11">
        <f>IFERROR(__xludf.DUMMYFUNCTION("""COMPUTED_VALUE"""),43131.66666666667)</f>
        <v>43131.66667</v>
      </c>
      <c r="C1991" s="9">
        <f>IFERROR(__xludf.DUMMYFUNCTION("""COMPUTED_VALUE"""),79.73)</f>
        <v>79.73</v>
      </c>
      <c r="E1991" s="17"/>
      <c r="N1991" s="17"/>
      <c r="Q1991" s="17"/>
    </row>
    <row r="1992">
      <c r="B1992" s="11">
        <f>IFERROR(__xludf.DUMMYFUNCTION("""COMPUTED_VALUE"""),43130.66666666667)</f>
        <v>43130.66667</v>
      </c>
      <c r="C1992" s="9">
        <f>IFERROR(__xludf.DUMMYFUNCTION("""COMPUTED_VALUE"""),79.49)</f>
        <v>79.49</v>
      </c>
      <c r="E1992" s="17"/>
      <c r="N1992" s="17"/>
      <c r="Q1992" s="17"/>
    </row>
    <row r="1993">
      <c r="B1993" s="11">
        <f>IFERROR(__xludf.DUMMYFUNCTION("""COMPUTED_VALUE"""),43129.66666666667)</f>
        <v>43129.66667</v>
      </c>
      <c r="C1993" s="9">
        <f>IFERROR(__xludf.DUMMYFUNCTION("""COMPUTED_VALUE"""),80.12)</f>
        <v>80.12</v>
      </c>
      <c r="E1993" s="17"/>
      <c r="N1993" s="17"/>
      <c r="Q1993" s="17"/>
    </row>
    <row r="1994">
      <c r="B1994" s="11">
        <f>IFERROR(__xludf.DUMMYFUNCTION("""COMPUTED_VALUE"""),43126.66666666667)</f>
        <v>43126.66667</v>
      </c>
      <c r="C1994" s="9">
        <f>IFERROR(__xludf.DUMMYFUNCTION("""COMPUTED_VALUE"""),80.66)</f>
        <v>80.66</v>
      </c>
      <c r="E1994" s="17"/>
      <c r="N1994" s="17"/>
      <c r="Q1994" s="17"/>
    </row>
    <row r="1995">
      <c r="B1995" s="11">
        <f>IFERROR(__xludf.DUMMYFUNCTION("""COMPUTED_VALUE"""),43125.66666666667)</f>
        <v>43125.66667</v>
      </c>
      <c r="C1995" s="9">
        <f>IFERROR(__xludf.DUMMYFUNCTION("""COMPUTED_VALUE"""),79.74)</f>
        <v>79.74</v>
      </c>
      <c r="E1995" s="17"/>
      <c r="N1995" s="17"/>
      <c r="Q1995" s="17"/>
    </row>
    <row r="1996">
      <c r="B1996" s="11">
        <f>IFERROR(__xludf.DUMMYFUNCTION("""COMPUTED_VALUE"""),43124.66666666667)</f>
        <v>43124.66667</v>
      </c>
      <c r="C1996" s="9">
        <f>IFERROR(__xludf.DUMMYFUNCTION("""COMPUTED_VALUE"""),79.66)</f>
        <v>79.66</v>
      </c>
      <c r="E1996" s="17"/>
      <c r="N1996" s="17"/>
      <c r="Q1996" s="17"/>
    </row>
    <row r="1997">
      <c r="B1997" s="11">
        <f>IFERROR(__xludf.DUMMYFUNCTION("""COMPUTED_VALUE"""),43123.66666666667)</f>
        <v>43123.66667</v>
      </c>
      <c r="C1997" s="9">
        <f>IFERROR(__xludf.DUMMYFUNCTION("""COMPUTED_VALUE"""),79.73)</f>
        <v>79.73</v>
      </c>
      <c r="E1997" s="17"/>
      <c r="N1997" s="17"/>
      <c r="Q1997" s="17"/>
    </row>
    <row r="1998">
      <c r="B1998" s="11">
        <f>IFERROR(__xludf.DUMMYFUNCTION("""COMPUTED_VALUE"""),43122.66666666667)</f>
        <v>43122.66667</v>
      </c>
      <c r="C1998" s="9">
        <f>IFERROR(__xludf.DUMMYFUNCTION("""COMPUTED_VALUE"""),79.69)</f>
        <v>79.69</v>
      </c>
      <c r="E1998" s="17"/>
      <c r="N1998" s="17"/>
      <c r="Q1998" s="17"/>
    </row>
    <row r="1999">
      <c r="B1999" s="11">
        <f>IFERROR(__xludf.DUMMYFUNCTION("""COMPUTED_VALUE"""),43119.66666666667)</f>
        <v>43119.66667</v>
      </c>
      <c r="C1999" s="9">
        <f>IFERROR(__xludf.DUMMYFUNCTION("""COMPUTED_VALUE"""),79.69)</f>
        <v>79.69</v>
      </c>
      <c r="E1999" s="17"/>
      <c r="N1999" s="17"/>
      <c r="Q1999" s="17"/>
    </row>
    <row r="2000">
      <c r="B2000" s="11">
        <f>IFERROR(__xludf.DUMMYFUNCTION("""COMPUTED_VALUE"""),43118.66666666667)</f>
        <v>43118.66667</v>
      </c>
      <c r="C2000" s="9">
        <f>IFERROR(__xludf.DUMMYFUNCTION("""COMPUTED_VALUE"""),79.46)</f>
        <v>79.46</v>
      </c>
      <c r="E2000" s="17"/>
      <c r="N2000" s="17"/>
      <c r="Q2000" s="17"/>
    </row>
    <row r="2001">
      <c r="B2001" s="11">
        <f>IFERROR(__xludf.DUMMYFUNCTION("""COMPUTED_VALUE"""),43117.66666666667)</f>
        <v>43117.66667</v>
      </c>
      <c r="C2001" s="9">
        <f>IFERROR(__xludf.DUMMYFUNCTION("""COMPUTED_VALUE"""),79.89)</f>
        <v>79.89</v>
      </c>
      <c r="E2001" s="17"/>
      <c r="N2001" s="17"/>
      <c r="Q2001" s="17"/>
    </row>
    <row r="2002">
      <c r="B2002" s="11">
        <f>IFERROR(__xludf.DUMMYFUNCTION("""COMPUTED_VALUE"""),43116.66666666667)</f>
        <v>43116.66667</v>
      </c>
      <c r="C2002" s="9">
        <f>IFERROR(__xludf.DUMMYFUNCTION("""COMPUTED_VALUE"""),79.45)</f>
        <v>79.45</v>
      </c>
      <c r="E2002" s="17"/>
      <c r="N2002" s="17"/>
      <c r="Q2002" s="17"/>
    </row>
    <row r="2003">
      <c r="B2003" s="11">
        <f>IFERROR(__xludf.DUMMYFUNCTION("""COMPUTED_VALUE"""),43112.66666666667)</f>
        <v>43112.66667</v>
      </c>
      <c r="C2003" s="9">
        <f>IFERROR(__xludf.DUMMYFUNCTION("""COMPUTED_VALUE"""),80.17)</f>
        <v>80.17</v>
      </c>
      <c r="E2003" s="17"/>
      <c r="N2003" s="17"/>
      <c r="Q2003" s="17"/>
    </row>
    <row r="2004">
      <c r="B2004" s="11">
        <f>IFERROR(__xludf.DUMMYFUNCTION("""COMPUTED_VALUE"""),43111.66666666667)</f>
        <v>43111.66667</v>
      </c>
      <c r="C2004" s="9">
        <f>IFERROR(__xludf.DUMMYFUNCTION("""COMPUTED_VALUE"""),79.43)</f>
        <v>79.43</v>
      </c>
      <c r="E2004" s="17"/>
      <c r="N2004" s="17"/>
      <c r="Q2004" s="17"/>
    </row>
    <row r="2005">
      <c r="B2005" s="11">
        <f>IFERROR(__xludf.DUMMYFUNCTION("""COMPUTED_VALUE"""),43110.66666666667)</f>
        <v>43110.66667</v>
      </c>
      <c r="C2005" s="9">
        <f>IFERROR(__xludf.DUMMYFUNCTION("""COMPUTED_VALUE"""),78.43)</f>
        <v>78.43</v>
      </c>
      <c r="E2005" s="17"/>
      <c r="N2005" s="17"/>
      <c r="Q2005" s="17"/>
    </row>
    <row r="2006">
      <c r="B2006" s="11">
        <f>IFERROR(__xludf.DUMMYFUNCTION("""COMPUTED_VALUE"""),43109.66666666667)</f>
        <v>43109.66667</v>
      </c>
      <c r="C2006" s="9">
        <f>IFERROR(__xludf.DUMMYFUNCTION("""COMPUTED_VALUE"""),78.44)</f>
        <v>78.44</v>
      </c>
      <c r="E2006" s="17"/>
      <c r="N2006" s="17"/>
      <c r="Q2006" s="17"/>
    </row>
    <row r="2007">
      <c r="B2007" s="11">
        <f>IFERROR(__xludf.DUMMYFUNCTION("""COMPUTED_VALUE"""),43108.66666666667)</f>
        <v>43108.66667</v>
      </c>
      <c r="C2007" s="9">
        <f>IFERROR(__xludf.DUMMYFUNCTION("""COMPUTED_VALUE"""),77.94)</f>
        <v>77.94</v>
      </c>
      <c r="E2007" s="17"/>
      <c r="N2007" s="17"/>
      <c r="Q2007" s="17"/>
    </row>
    <row r="2008">
      <c r="B2008" s="11">
        <f>IFERROR(__xludf.DUMMYFUNCTION("""COMPUTED_VALUE"""),43105.66666666667)</f>
        <v>43105.66667</v>
      </c>
      <c r="C2008" s="9">
        <f>IFERROR(__xludf.DUMMYFUNCTION("""COMPUTED_VALUE"""),77.62)</f>
        <v>77.62</v>
      </c>
      <c r="E2008" s="17"/>
      <c r="N2008" s="17"/>
      <c r="Q2008" s="17"/>
    </row>
    <row r="2009">
      <c r="B2009" s="11">
        <f>IFERROR(__xludf.DUMMYFUNCTION("""COMPUTED_VALUE"""),43104.66666666667)</f>
        <v>43104.66667</v>
      </c>
      <c r="C2009" s="9">
        <f>IFERROR(__xludf.DUMMYFUNCTION("""COMPUTED_VALUE"""),77.09)</f>
        <v>77.09</v>
      </c>
      <c r="E2009" s="17"/>
      <c r="N2009" s="17"/>
      <c r="Q2009" s="17"/>
    </row>
    <row r="2010">
      <c r="B2010" s="11">
        <f>IFERROR(__xludf.DUMMYFUNCTION("""COMPUTED_VALUE"""),43103.66666666667)</f>
        <v>43103.66667</v>
      </c>
      <c r="C2010" s="9">
        <f>IFERROR(__xludf.DUMMYFUNCTION("""COMPUTED_VALUE"""),76.53)</f>
        <v>76.53</v>
      </c>
      <c r="E2010" s="17"/>
      <c r="N2010" s="17"/>
      <c r="Q2010" s="17"/>
    </row>
    <row r="2011">
      <c r="B2011" s="11">
        <f>IFERROR(__xludf.DUMMYFUNCTION("""COMPUTED_VALUE"""),43102.66666666667)</f>
        <v>43102.66667</v>
      </c>
      <c r="C2011" s="9">
        <f>IFERROR(__xludf.DUMMYFUNCTION("""COMPUTED_VALUE"""),76.12)</f>
        <v>76.12</v>
      </c>
      <c r="E2011" s="17"/>
      <c r="N2011" s="17"/>
      <c r="Q2011" s="17"/>
    </row>
    <row r="2012">
      <c r="B2012" s="11">
        <f>IFERROR(__xludf.DUMMYFUNCTION("""COMPUTED_VALUE"""),43098.66666666667)</f>
        <v>43098.66667</v>
      </c>
      <c r="C2012" s="9">
        <f>IFERROR(__xludf.DUMMYFUNCTION("""COMPUTED_VALUE"""),75.67)</f>
        <v>75.67</v>
      </c>
      <c r="E2012" s="17"/>
      <c r="N2012" s="17"/>
      <c r="Q2012" s="17"/>
    </row>
    <row r="2013">
      <c r="B2013" s="11">
        <f>IFERROR(__xludf.DUMMYFUNCTION("""COMPUTED_VALUE"""),43097.66666666667)</f>
        <v>43097.66667</v>
      </c>
      <c r="C2013" s="9">
        <f>IFERROR(__xludf.DUMMYFUNCTION("""COMPUTED_VALUE"""),75.81)</f>
        <v>75.81</v>
      </c>
      <c r="E2013" s="17"/>
      <c r="N2013" s="17"/>
      <c r="Q2013" s="17"/>
    </row>
    <row r="2014">
      <c r="B2014" s="11">
        <f>IFERROR(__xludf.DUMMYFUNCTION("""COMPUTED_VALUE"""),43096.66666666667)</f>
        <v>43096.66667</v>
      </c>
      <c r="C2014" s="9">
        <f>IFERROR(__xludf.DUMMYFUNCTION("""COMPUTED_VALUE"""),75.66)</f>
        <v>75.66</v>
      </c>
      <c r="E2014" s="17"/>
      <c r="N2014" s="17"/>
      <c r="Q2014" s="17"/>
    </row>
    <row r="2015">
      <c r="B2015" s="11">
        <f>IFERROR(__xludf.DUMMYFUNCTION("""COMPUTED_VALUE"""),43095.66666666667)</f>
        <v>43095.66667</v>
      </c>
      <c r="C2015" s="9">
        <f>IFERROR(__xludf.DUMMYFUNCTION("""COMPUTED_VALUE"""),75.48)</f>
        <v>75.48</v>
      </c>
      <c r="E2015" s="17"/>
      <c r="N2015" s="17"/>
      <c r="Q2015" s="17"/>
    </row>
    <row r="2016">
      <c r="B2016" s="11">
        <f>IFERROR(__xludf.DUMMYFUNCTION("""COMPUTED_VALUE"""),43091.66666666667)</f>
        <v>43091.66667</v>
      </c>
      <c r="C2016" s="9">
        <f>IFERROR(__xludf.DUMMYFUNCTION("""COMPUTED_VALUE"""),75.4)</f>
        <v>75.4</v>
      </c>
      <c r="E2016" s="17"/>
      <c r="N2016" s="17"/>
      <c r="Q2016" s="17"/>
    </row>
    <row r="2017">
      <c r="B2017" s="11">
        <f>IFERROR(__xludf.DUMMYFUNCTION("""COMPUTED_VALUE"""),43090.66666666667)</f>
        <v>43090.66667</v>
      </c>
      <c r="C2017" s="9">
        <f>IFERROR(__xludf.DUMMYFUNCTION("""COMPUTED_VALUE"""),75.38)</f>
        <v>75.38</v>
      </c>
      <c r="E2017" s="17"/>
      <c r="N2017" s="17"/>
      <c r="Q2017" s="17"/>
    </row>
    <row r="2018">
      <c r="B2018" s="11">
        <f>IFERROR(__xludf.DUMMYFUNCTION("""COMPUTED_VALUE"""),43089.66666666667)</f>
        <v>43089.66667</v>
      </c>
      <c r="C2018" s="9">
        <f>IFERROR(__xludf.DUMMYFUNCTION("""COMPUTED_VALUE"""),75.32)</f>
        <v>75.32</v>
      </c>
      <c r="E2018" s="17"/>
      <c r="N2018" s="17"/>
      <c r="Q2018" s="17"/>
    </row>
    <row r="2019">
      <c r="B2019" s="11">
        <f>IFERROR(__xludf.DUMMYFUNCTION("""COMPUTED_VALUE"""),43088.66666666667)</f>
        <v>43088.66667</v>
      </c>
      <c r="C2019" s="9">
        <f>IFERROR(__xludf.DUMMYFUNCTION("""COMPUTED_VALUE"""),75.07)</f>
        <v>75.07</v>
      </c>
      <c r="E2019" s="17"/>
      <c r="N2019" s="17"/>
      <c r="Q2019" s="17"/>
    </row>
    <row r="2020">
      <c r="B2020" s="11">
        <f>IFERROR(__xludf.DUMMYFUNCTION("""COMPUTED_VALUE"""),43087.66666666667)</f>
        <v>43087.66667</v>
      </c>
      <c r="C2020" s="9">
        <f>IFERROR(__xludf.DUMMYFUNCTION("""COMPUTED_VALUE"""),75.05)</f>
        <v>75.05</v>
      </c>
      <c r="E2020" s="17"/>
      <c r="N2020" s="17"/>
      <c r="Q2020" s="17"/>
    </row>
    <row r="2021">
      <c r="B2021" s="11">
        <f>IFERROR(__xludf.DUMMYFUNCTION("""COMPUTED_VALUE"""),43084.66666666667)</f>
        <v>43084.66667</v>
      </c>
      <c r="C2021" s="9">
        <f>IFERROR(__xludf.DUMMYFUNCTION("""COMPUTED_VALUE"""),74.52)</f>
        <v>74.52</v>
      </c>
      <c r="E2021" s="17"/>
      <c r="N2021" s="17"/>
      <c r="Q2021" s="17"/>
    </row>
    <row r="2022">
      <c r="B2022" s="11">
        <f>IFERROR(__xludf.DUMMYFUNCTION("""COMPUTED_VALUE"""),43083.66666666667)</f>
        <v>43083.66667</v>
      </c>
      <c r="C2022" s="9">
        <f>IFERROR(__xludf.DUMMYFUNCTION("""COMPUTED_VALUE"""),74.4)</f>
        <v>74.4</v>
      </c>
      <c r="E2022" s="17"/>
      <c r="N2022" s="17"/>
      <c r="Q2022" s="17"/>
    </row>
    <row r="2023">
      <c r="B2023" s="11">
        <f>IFERROR(__xludf.DUMMYFUNCTION("""COMPUTED_VALUE"""),43082.66666666667)</f>
        <v>43082.66667</v>
      </c>
      <c r="C2023" s="9">
        <f>IFERROR(__xludf.DUMMYFUNCTION("""COMPUTED_VALUE"""),74.91)</f>
        <v>74.91</v>
      </c>
      <c r="E2023" s="17"/>
      <c r="N2023" s="17"/>
      <c r="Q2023" s="17"/>
    </row>
    <row r="2024">
      <c r="B2024" s="11">
        <f>IFERROR(__xludf.DUMMYFUNCTION("""COMPUTED_VALUE"""),43081.66666666667)</f>
        <v>43081.66667</v>
      </c>
      <c r="C2024" s="9">
        <f>IFERROR(__xludf.DUMMYFUNCTION("""COMPUTED_VALUE"""),74.62)</f>
        <v>74.62</v>
      </c>
      <c r="E2024" s="17"/>
      <c r="N2024" s="17"/>
      <c r="Q2024" s="17"/>
    </row>
    <row r="2025">
      <c r="B2025" s="11">
        <f>IFERROR(__xludf.DUMMYFUNCTION("""COMPUTED_VALUE"""),43080.66666666667)</f>
        <v>43080.66667</v>
      </c>
      <c r="C2025" s="9">
        <f>IFERROR(__xludf.DUMMYFUNCTION("""COMPUTED_VALUE"""),74.54)</f>
        <v>74.54</v>
      </c>
      <c r="E2025" s="17"/>
      <c r="N2025" s="17"/>
      <c r="Q2025" s="17"/>
    </row>
    <row r="2026">
      <c r="B2026" s="11">
        <f>IFERROR(__xludf.DUMMYFUNCTION("""COMPUTED_VALUE"""),43077.66666666667)</f>
        <v>43077.66667</v>
      </c>
      <c r="C2026" s="9">
        <f>IFERROR(__xludf.DUMMYFUNCTION("""COMPUTED_VALUE"""),74.69)</f>
        <v>74.69</v>
      </c>
      <c r="E2026" s="17"/>
      <c r="N2026" s="17"/>
      <c r="Q2026" s="17"/>
    </row>
    <row r="2027">
      <c r="B2027" s="11">
        <f>IFERROR(__xludf.DUMMYFUNCTION("""COMPUTED_VALUE"""),43076.66666666667)</f>
        <v>43076.66667</v>
      </c>
      <c r="C2027" s="9">
        <f>IFERROR(__xludf.DUMMYFUNCTION("""COMPUTED_VALUE"""),74.37)</f>
        <v>74.37</v>
      </c>
      <c r="E2027" s="17"/>
      <c r="N2027" s="17"/>
      <c r="Q2027" s="17"/>
    </row>
    <row r="2028">
      <c r="B2028" s="11">
        <f>IFERROR(__xludf.DUMMYFUNCTION("""COMPUTED_VALUE"""),43075.66666666667)</f>
        <v>43075.66667</v>
      </c>
      <c r="C2028" s="9">
        <f>IFERROR(__xludf.DUMMYFUNCTION("""COMPUTED_VALUE"""),73.69)</f>
        <v>73.69</v>
      </c>
      <c r="E2028" s="17"/>
      <c r="N2028" s="17"/>
      <c r="Q2028" s="17"/>
    </row>
    <row r="2029">
      <c r="B2029" s="11">
        <f>IFERROR(__xludf.DUMMYFUNCTION("""COMPUTED_VALUE"""),43074.66666666667)</f>
        <v>43074.66667</v>
      </c>
      <c r="C2029" s="9">
        <f>IFERROR(__xludf.DUMMYFUNCTION("""COMPUTED_VALUE"""),73.58)</f>
        <v>73.58</v>
      </c>
      <c r="E2029" s="17"/>
      <c r="N2029" s="17"/>
      <c r="Q2029" s="17"/>
    </row>
    <row r="2030">
      <c r="B2030" s="11">
        <f>IFERROR(__xludf.DUMMYFUNCTION("""COMPUTED_VALUE"""),43073.66666666667)</f>
        <v>43073.66667</v>
      </c>
      <c r="C2030" s="9">
        <f>IFERROR(__xludf.DUMMYFUNCTION("""COMPUTED_VALUE"""),74.21)</f>
        <v>74.21</v>
      </c>
      <c r="E2030" s="17"/>
      <c r="N2030" s="17"/>
      <c r="Q2030" s="17"/>
    </row>
    <row r="2031">
      <c r="B2031" s="11">
        <f>IFERROR(__xludf.DUMMYFUNCTION("""COMPUTED_VALUE"""),43070.66666666667)</f>
        <v>43070.66667</v>
      </c>
      <c r="C2031" s="9">
        <f>IFERROR(__xludf.DUMMYFUNCTION("""COMPUTED_VALUE"""),73.59)</f>
        <v>73.59</v>
      </c>
      <c r="E2031" s="17"/>
      <c r="N2031" s="17"/>
      <c r="Q2031" s="17"/>
    </row>
    <row r="2032">
      <c r="B2032" s="11">
        <f>IFERROR(__xludf.DUMMYFUNCTION("""COMPUTED_VALUE"""),43069.66666666667)</f>
        <v>43069.66667</v>
      </c>
      <c r="C2032" s="9">
        <f>IFERROR(__xludf.DUMMYFUNCTION("""COMPUTED_VALUE"""),74.51)</f>
        <v>74.51</v>
      </c>
      <c r="E2032" s="17"/>
      <c r="N2032" s="17"/>
      <c r="Q2032" s="17"/>
    </row>
    <row r="2033">
      <c r="B2033" s="11">
        <f>IFERROR(__xludf.DUMMYFUNCTION("""COMPUTED_VALUE"""),43068.66666666667)</f>
        <v>43068.66667</v>
      </c>
      <c r="C2033" s="9">
        <f>IFERROR(__xludf.DUMMYFUNCTION("""COMPUTED_VALUE"""),73.26)</f>
        <v>73.26</v>
      </c>
      <c r="E2033" s="17"/>
      <c r="N2033" s="17"/>
      <c r="Q2033" s="17"/>
    </row>
    <row r="2034">
      <c r="B2034" s="11">
        <f>IFERROR(__xludf.DUMMYFUNCTION("""COMPUTED_VALUE"""),43067.66666666667)</f>
        <v>43067.66667</v>
      </c>
      <c r="C2034" s="9">
        <f>IFERROR(__xludf.DUMMYFUNCTION("""COMPUTED_VALUE"""),72.62)</f>
        <v>72.62</v>
      </c>
      <c r="E2034" s="17"/>
      <c r="N2034" s="17"/>
      <c r="Q2034" s="17"/>
    </row>
    <row r="2035">
      <c r="B2035" s="11">
        <f>IFERROR(__xludf.DUMMYFUNCTION("""COMPUTED_VALUE"""),43066.66666666667)</f>
        <v>43066.66667</v>
      </c>
      <c r="C2035" s="9">
        <f>IFERROR(__xludf.DUMMYFUNCTION("""COMPUTED_VALUE"""),71.53)</f>
        <v>71.53</v>
      </c>
      <c r="E2035" s="17"/>
      <c r="N2035" s="17"/>
      <c r="Q2035" s="17"/>
    </row>
    <row r="2036">
      <c r="B2036" s="11">
        <f>IFERROR(__xludf.DUMMYFUNCTION("""COMPUTED_VALUE"""),43063.66666666667)</f>
        <v>43063.66667</v>
      </c>
      <c r="C2036" s="9">
        <f>IFERROR(__xludf.DUMMYFUNCTION("""COMPUTED_VALUE"""),71.41)</f>
        <v>71.41</v>
      </c>
      <c r="E2036" s="17"/>
      <c r="N2036" s="17"/>
      <c r="Q2036" s="17"/>
    </row>
    <row r="2037">
      <c r="B2037" s="11">
        <f>IFERROR(__xludf.DUMMYFUNCTION("""COMPUTED_VALUE"""),43061.66666666667)</f>
        <v>43061.66667</v>
      </c>
      <c r="C2037" s="9">
        <f>IFERROR(__xludf.DUMMYFUNCTION("""COMPUTED_VALUE"""),71.41)</f>
        <v>71.41</v>
      </c>
      <c r="E2037" s="17"/>
      <c r="N2037" s="17"/>
      <c r="Q2037" s="17"/>
    </row>
    <row r="2038">
      <c r="B2038" s="11">
        <f>IFERROR(__xludf.DUMMYFUNCTION("""COMPUTED_VALUE"""),43060.66666666667)</f>
        <v>43060.66667</v>
      </c>
      <c r="C2038" s="9">
        <f>IFERROR(__xludf.DUMMYFUNCTION("""COMPUTED_VALUE"""),71.33)</f>
        <v>71.33</v>
      </c>
      <c r="E2038" s="17"/>
      <c r="N2038" s="17"/>
      <c r="Q2038" s="17"/>
    </row>
    <row r="2039">
      <c r="B2039" s="11">
        <f>IFERROR(__xludf.DUMMYFUNCTION("""COMPUTED_VALUE"""),43059.66666666667)</f>
        <v>43059.66667</v>
      </c>
      <c r="C2039" s="9">
        <f>IFERROR(__xludf.DUMMYFUNCTION("""COMPUTED_VALUE"""),70.82)</f>
        <v>70.82</v>
      </c>
      <c r="E2039" s="17"/>
      <c r="N2039" s="17"/>
      <c r="Q2039" s="17"/>
    </row>
    <row r="2040">
      <c r="B2040" s="11">
        <f>IFERROR(__xludf.DUMMYFUNCTION("""COMPUTED_VALUE"""),43056.66666666667)</f>
        <v>43056.66667</v>
      </c>
      <c r="C2040" s="9">
        <f>IFERROR(__xludf.DUMMYFUNCTION("""COMPUTED_VALUE"""),70.5)</f>
        <v>70.5</v>
      </c>
      <c r="E2040" s="17"/>
      <c r="N2040" s="17"/>
      <c r="Q2040" s="17"/>
    </row>
    <row r="2041">
      <c r="B2041" s="11">
        <f>IFERROR(__xludf.DUMMYFUNCTION("""COMPUTED_VALUE"""),43055.66666666667)</f>
        <v>43055.66667</v>
      </c>
      <c r="C2041" s="9">
        <f>IFERROR(__xludf.DUMMYFUNCTION("""COMPUTED_VALUE"""),70.89)</f>
        <v>70.89</v>
      </c>
      <c r="E2041" s="17"/>
      <c r="N2041" s="17"/>
      <c r="Q2041" s="17"/>
    </row>
    <row r="2042">
      <c r="B2042" s="11">
        <f>IFERROR(__xludf.DUMMYFUNCTION("""COMPUTED_VALUE"""),43054.66666666667)</f>
        <v>43054.66667</v>
      </c>
      <c r="C2042" s="9">
        <f>IFERROR(__xludf.DUMMYFUNCTION("""COMPUTED_VALUE"""),70.23)</f>
        <v>70.23</v>
      </c>
      <c r="E2042" s="17"/>
      <c r="N2042" s="17"/>
      <c r="Q2042" s="17"/>
    </row>
    <row r="2043">
      <c r="B2043" s="11">
        <f>IFERROR(__xludf.DUMMYFUNCTION("""COMPUTED_VALUE"""),43053.66666666667)</f>
        <v>43053.66667</v>
      </c>
      <c r="C2043" s="9">
        <f>IFERROR(__xludf.DUMMYFUNCTION("""COMPUTED_VALUE"""),70.63)</f>
        <v>70.63</v>
      </c>
      <c r="E2043" s="17"/>
      <c r="N2043" s="17"/>
      <c r="Q2043" s="17"/>
    </row>
    <row r="2044">
      <c r="B2044" s="11">
        <f>IFERROR(__xludf.DUMMYFUNCTION("""COMPUTED_VALUE"""),43052.66666666667)</f>
        <v>43052.66667</v>
      </c>
      <c r="C2044" s="9">
        <f>IFERROR(__xludf.DUMMYFUNCTION("""COMPUTED_VALUE"""),70.82)</f>
        <v>70.82</v>
      </c>
      <c r="E2044" s="17"/>
      <c r="N2044" s="17"/>
      <c r="Q2044" s="17"/>
    </row>
    <row r="2045">
      <c r="B2045" s="11">
        <f>IFERROR(__xludf.DUMMYFUNCTION("""COMPUTED_VALUE"""),43049.66666666667)</f>
        <v>43049.66667</v>
      </c>
      <c r="C2045" s="9">
        <f>IFERROR(__xludf.DUMMYFUNCTION("""COMPUTED_VALUE"""),71.06)</f>
        <v>71.06</v>
      </c>
      <c r="E2045" s="17"/>
      <c r="N2045" s="17"/>
      <c r="Q2045" s="17"/>
    </row>
    <row r="2046">
      <c r="B2046" s="11">
        <f>IFERROR(__xludf.DUMMYFUNCTION("""COMPUTED_VALUE"""),43048.66666666667)</f>
        <v>43048.66667</v>
      </c>
      <c r="C2046" s="9">
        <f>IFERROR(__xludf.DUMMYFUNCTION("""COMPUTED_VALUE"""),70.96)</f>
        <v>70.96</v>
      </c>
      <c r="E2046" s="17"/>
      <c r="N2046" s="17"/>
      <c r="Q2046" s="17"/>
    </row>
    <row r="2047">
      <c r="B2047" s="11">
        <f>IFERROR(__xludf.DUMMYFUNCTION("""COMPUTED_VALUE"""),43047.66666666667)</f>
        <v>43047.66667</v>
      </c>
      <c r="C2047" s="9">
        <f>IFERROR(__xludf.DUMMYFUNCTION("""COMPUTED_VALUE"""),71.86)</f>
        <v>71.86</v>
      </c>
      <c r="E2047" s="17"/>
      <c r="N2047" s="17"/>
      <c r="Q2047" s="17"/>
    </row>
    <row r="2048">
      <c r="B2048" s="11">
        <f>IFERROR(__xludf.DUMMYFUNCTION("""COMPUTED_VALUE"""),43046.66666666667)</f>
        <v>43046.66667</v>
      </c>
      <c r="C2048" s="9">
        <f>IFERROR(__xludf.DUMMYFUNCTION("""COMPUTED_VALUE"""),71.98)</f>
        <v>71.98</v>
      </c>
      <c r="E2048" s="17"/>
      <c r="N2048" s="17"/>
      <c r="Q2048" s="17"/>
    </row>
    <row r="2049">
      <c r="B2049" s="11">
        <f>IFERROR(__xludf.DUMMYFUNCTION("""COMPUTED_VALUE"""),43045.66666666667)</f>
        <v>43045.66667</v>
      </c>
      <c r="C2049" s="9">
        <f>IFERROR(__xludf.DUMMYFUNCTION("""COMPUTED_VALUE"""),71.87)</f>
        <v>71.87</v>
      </c>
      <c r="E2049" s="17"/>
      <c r="N2049" s="17"/>
      <c r="Q2049" s="17"/>
    </row>
    <row r="2050">
      <c r="B2050" s="11">
        <f>IFERROR(__xludf.DUMMYFUNCTION("""COMPUTED_VALUE"""),43042.66666666667)</f>
        <v>43042.66667</v>
      </c>
      <c r="C2050" s="9">
        <f>IFERROR(__xludf.DUMMYFUNCTION("""COMPUTED_VALUE"""),71.83)</f>
        <v>71.83</v>
      </c>
      <c r="E2050" s="17"/>
      <c r="N2050" s="17"/>
      <c r="Q2050" s="17"/>
    </row>
    <row r="2051">
      <c r="B2051" s="11">
        <f>IFERROR(__xludf.DUMMYFUNCTION("""COMPUTED_VALUE"""),43041.66666666667)</f>
        <v>43041.66667</v>
      </c>
      <c r="C2051" s="9">
        <f>IFERROR(__xludf.DUMMYFUNCTION("""COMPUTED_VALUE"""),71.9)</f>
        <v>71.9</v>
      </c>
      <c r="E2051" s="17"/>
      <c r="N2051" s="17"/>
      <c r="Q2051" s="17"/>
    </row>
    <row r="2052">
      <c r="B2052" s="11">
        <f>IFERROR(__xludf.DUMMYFUNCTION("""COMPUTED_VALUE"""),43040.66666666667)</f>
        <v>43040.66667</v>
      </c>
      <c r="C2052" s="9">
        <f>IFERROR(__xludf.DUMMYFUNCTION("""COMPUTED_VALUE"""),71.49)</f>
        <v>71.49</v>
      </c>
      <c r="E2052" s="17"/>
      <c r="N2052" s="17"/>
      <c r="Q2052" s="17"/>
    </row>
    <row r="2053">
      <c r="B2053" s="11">
        <f>IFERROR(__xludf.DUMMYFUNCTION("""COMPUTED_VALUE"""),43039.66666666667)</f>
        <v>43039.66667</v>
      </c>
      <c r="C2053" s="9">
        <f>IFERROR(__xludf.DUMMYFUNCTION("""COMPUTED_VALUE"""),71.53)</f>
        <v>71.53</v>
      </c>
      <c r="E2053" s="17"/>
      <c r="N2053" s="17"/>
      <c r="Q2053" s="17"/>
    </row>
    <row r="2054">
      <c r="B2054" s="11">
        <f>IFERROR(__xludf.DUMMYFUNCTION("""COMPUTED_VALUE"""),43038.66666666667)</f>
        <v>43038.66667</v>
      </c>
      <c r="C2054" s="9">
        <f>IFERROR(__xludf.DUMMYFUNCTION("""COMPUTED_VALUE"""),71.82)</f>
        <v>71.82</v>
      </c>
      <c r="E2054" s="17"/>
      <c r="N2054" s="17"/>
      <c r="Q2054" s="17"/>
    </row>
    <row r="2055">
      <c r="B2055" s="11">
        <f>IFERROR(__xludf.DUMMYFUNCTION("""COMPUTED_VALUE"""),43035.66666666667)</f>
        <v>43035.66667</v>
      </c>
      <c r="C2055" s="9">
        <f>IFERROR(__xludf.DUMMYFUNCTION("""COMPUTED_VALUE"""),72.32)</f>
        <v>72.32</v>
      </c>
      <c r="E2055" s="17"/>
      <c r="N2055" s="17"/>
      <c r="Q2055" s="17"/>
    </row>
    <row r="2056">
      <c r="B2056" s="11">
        <f>IFERROR(__xludf.DUMMYFUNCTION("""COMPUTED_VALUE"""),43034.66666666667)</f>
        <v>43034.66667</v>
      </c>
      <c r="C2056" s="9">
        <f>IFERROR(__xludf.DUMMYFUNCTION("""COMPUTED_VALUE"""),72.29)</f>
        <v>72.29</v>
      </c>
      <c r="E2056" s="17"/>
      <c r="N2056" s="17"/>
      <c r="Q2056" s="17"/>
    </row>
    <row r="2057">
      <c r="B2057" s="11">
        <f>IFERROR(__xludf.DUMMYFUNCTION("""COMPUTED_VALUE"""),43033.66666666667)</f>
        <v>43033.66667</v>
      </c>
      <c r="C2057" s="9">
        <f>IFERROR(__xludf.DUMMYFUNCTION("""COMPUTED_VALUE"""),72.19)</f>
        <v>72.19</v>
      </c>
      <c r="E2057" s="17"/>
      <c r="N2057" s="17"/>
      <c r="Q2057" s="17"/>
    </row>
    <row r="2058">
      <c r="B2058" s="11">
        <f>IFERROR(__xludf.DUMMYFUNCTION("""COMPUTED_VALUE"""),43032.66666666667)</f>
        <v>43032.66667</v>
      </c>
      <c r="C2058" s="9">
        <f>IFERROR(__xludf.DUMMYFUNCTION("""COMPUTED_VALUE"""),72.91)</f>
        <v>72.91</v>
      </c>
      <c r="E2058" s="17"/>
      <c r="N2058" s="17"/>
      <c r="Q2058" s="17"/>
    </row>
    <row r="2059">
      <c r="B2059" s="11">
        <f>IFERROR(__xludf.DUMMYFUNCTION("""COMPUTED_VALUE"""),43031.66666666667)</f>
        <v>43031.66667</v>
      </c>
      <c r="C2059" s="9">
        <f>IFERROR(__xludf.DUMMYFUNCTION("""COMPUTED_VALUE"""),72.5)</f>
        <v>72.5</v>
      </c>
      <c r="E2059" s="17"/>
      <c r="N2059" s="17"/>
      <c r="Q2059" s="17"/>
    </row>
    <row r="2060">
      <c r="B2060" s="11">
        <f>IFERROR(__xludf.DUMMYFUNCTION("""COMPUTED_VALUE"""),43028.66666666667)</f>
        <v>43028.66667</v>
      </c>
      <c r="C2060" s="9">
        <f>IFERROR(__xludf.DUMMYFUNCTION("""COMPUTED_VALUE"""),72.96)</f>
        <v>72.96</v>
      </c>
      <c r="E2060" s="17"/>
      <c r="N2060" s="17"/>
      <c r="Q2060" s="17"/>
    </row>
    <row r="2061">
      <c r="B2061" s="11">
        <f>IFERROR(__xludf.DUMMYFUNCTION("""COMPUTED_VALUE"""),43027.66666666667)</f>
        <v>43027.66667</v>
      </c>
      <c r="C2061" s="9">
        <f>IFERROR(__xludf.DUMMYFUNCTION("""COMPUTED_VALUE"""),72.18)</f>
        <v>72.18</v>
      </c>
      <c r="E2061" s="17"/>
      <c r="N2061" s="17"/>
      <c r="Q2061" s="17"/>
    </row>
    <row r="2062">
      <c r="B2062" s="11">
        <f>IFERROR(__xludf.DUMMYFUNCTION("""COMPUTED_VALUE"""),43026.66666666667)</f>
        <v>43026.66667</v>
      </c>
      <c r="C2062" s="9">
        <f>IFERROR(__xludf.DUMMYFUNCTION("""COMPUTED_VALUE"""),71.98)</f>
        <v>71.98</v>
      </c>
      <c r="E2062" s="17"/>
      <c r="N2062" s="17"/>
      <c r="Q2062" s="17"/>
    </row>
    <row r="2063">
      <c r="B2063" s="11">
        <f>IFERROR(__xludf.DUMMYFUNCTION("""COMPUTED_VALUE"""),43025.66666666667)</f>
        <v>43025.66667</v>
      </c>
      <c r="C2063" s="9">
        <f>IFERROR(__xludf.DUMMYFUNCTION("""COMPUTED_VALUE"""),71.95)</f>
        <v>71.95</v>
      </c>
      <c r="E2063" s="17"/>
      <c r="N2063" s="17"/>
      <c r="Q2063" s="17"/>
    </row>
    <row r="2064">
      <c r="B2064" s="11">
        <f>IFERROR(__xludf.DUMMYFUNCTION("""COMPUTED_VALUE"""),43024.66666666667)</f>
        <v>43024.66667</v>
      </c>
      <c r="C2064" s="9">
        <f>IFERROR(__xludf.DUMMYFUNCTION("""COMPUTED_VALUE"""),72.14)</f>
        <v>72.14</v>
      </c>
      <c r="E2064" s="17"/>
      <c r="N2064" s="17"/>
      <c r="Q2064" s="17"/>
    </row>
    <row r="2065">
      <c r="B2065" s="11">
        <f>IFERROR(__xludf.DUMMYFUNCTION("""COMPUTED_VALUE"""),43021.66666666667)</f>
        <v>43021.66667</v>
      </c>
      <c r="C2065" s="9">
        <f>IFERROR(__xludf.DUMMYFUNCTION("""COMPUTED_VALUE"""),72.06)</f>
        <v>72.06</v>
      </c>
      <c r="E2065" s="17"/>
      <c r="N2065" s="17"/>
      <c r="Q2065" s="17"/>
    </row>
    <row r="2066">
      <c r="B2066" s="11">
        <f>IFERROR(__xludf.DUMMYFUNCTION("""COMPUTED_VALUE"""),43020.66666666667)</f>
        <v>43020.66667</v>
      </c>
      <c r="C2066" s="9">
        <f>IFERROR(__xludf.DUMMYFUNCTION("""COMPUTED_VALUE"""),72.19)</f>
        <v>72.19</v>
      </c>
      <c r="E2066" s="17"/>
      <c r="N2066" s="17"/>
      <c r="Q2066" s="17"/>
    </row>
    <row r="2067">
      <c r="B2067" s="11">
        <f>IFERROR(__xludf.DUMMYFUNCTION("""COMPUTED_VALUE"""),43019.66666666667)</f>
        <v>43019.66667</v>
      </c>
      <c r="C2067" s="9">
        <f>IFERROR(__xludf.DUMMYFUNCTION("""COMPUTED_VALUE"""),71.81)</f>
        <v>71.81</v>
      </c>
      <c r="E2067" s="17"/>
      <c r="N2067" s="17"/>
      <c r="Q2067" s="17"/>
    </row>
    <row r="2068">
      <c r="B2068" s="11">
        <f>IFERROR(__xludf.DUMMYFUNCTION("""COMPUTED_VALUE"""),43018.66666666667)</f>
        <v>43018.66667</v>
      </c>
      <c r="C2068" s="9">
        <f>IFERROR(__xludf.DUMMYFUNCTION("""COMPUTED_VALUE"""),71.85)</f>
        <v>71.85</v>
      </c>
      <c r="E2068" s="17"/>
      <c r="N2068" s="17"/>
      <c r="Q2068" s="17"/>
    </row>
    <row r="2069">
      <c r="B2069" s="11">
        <f>IFERROR(__xludf.DUMMYFUNCTION("""COMPUTED_VALUE"""),43017.66666666667)</f>
        <v>43017.66667</v>
      </c>
      <c r="C2069" s="9">
        <f>IFERROR(__xludf.DUMMYFUNCTION("""COMPUTED_VALUE"""),71.74)</f>
        <v>71.74</v>
      </c>
      <c r="E2069" s="17"/>
      <c r="N2069" s="17"/>
      <c r="Q2069" s="17"/>
    </row>
    <row r="2070">
      <c r="B2070" s="11">
        <f>IFERROR(__xludf.DUMMYFUNCTION("""COMPUTED_VALUE"""),43014.66666666667)</f>
        <v>43014.66667</v>
      </c>
      <c r="C2070" s="9">
        <f>IFERROR(__xludf.DUMMYFUNCTION("""COMPUTED_VALUE"""),71.94)</f>
        <v>71.94</v>
      </c>
      <c r="E2070" s="17"/>
      <c r="N2070" s="17"/>
      <c r="Q2070" s="17"/>
    </row>
    <row r="2071">
      <c r="B2071" s="11">
        <f>IFERROR(__xludf.DUMMYFUNCTION("""COMPUTED_VALUE"""),43013.66666666667)</f>
        <v>43013.66667</v>
      </c>
      <c r="C2071" s="9">
        <f>IFERROR(__xludf.DUMMYFUNCTION("""COMPUTED_VALUE"""),71.95)</f>
        <v>71.95</v>
      </c>
      <c r="E2071" s="17"/>
      <c r="N2071" s="17"/>
      <c r="Q2071" s="17"/>
    </row>
    <row r="2072">
      <c r="B2072" s="11">
        <f>IFERROR(__xludf.DUMMYFUNCTION("""COMPUTED_VALUE"""),43012.66666666667)</f>
        <v>43012.66667</v>
      </c>
      <c r="C2072" s="9">
        <f>IFERROR(__xludf.DUMMYFUNCTION("""COMPUTED_VALUE"""),71.78)</f>
        <v>71.78</v>
      </c>
      <c r="E2072" s="17"/>
      <c r="N2072" s="17"/>
      <c r="Q2072" s="17"/>
    </row>
    <row r="2073">
      <c r="B2073" s="11">
        <f>IFERROR(__xludf.DUMMYFUNCTION("""COMPUTED_VALUE"""),43011.66666666667)</f>
        <v>43011.66667</v>
      </c>
      <c r="C2073" s="9">
        <f>IFERROR(__xludf.DUMMYFUNCTION("""COMPUTED_VALUE"""),71.8)</f>
        <v>71.8</v>
      </c>
      <c r="E2073" s="17"/>
      <c r="N2073" s="17"/>
      <c r="Q2073" s="17"/>
    </row>
    <row r="2074">
      <c r="B2074" s="11">
        <f>IFERROR(__xludf.DUMMYFUNCTION("""COMPUTED_VALUE"""),43010.66666666667)</f>
        <v>43010.66667</v>
      </c>
      <c r="C2074" s="9">
        <f>IFERROR(__xludf.DUMMYFUNCTION("""COMPUTED_VALUE"""),71.49)</f>
        <v>71.49</v>
      </c>
      <c r="E2074" s="17"/>
      <c r="N2074" s="17"/>
      <c r="Q2074" s="17"/>
    </row>
    <row r="2075">
      <c r="B2075" s="11">
        <f>IFERROR(__xludf.DUMMYFUNCTION("""COMPUTED_VALUE"""),43007.66666666667)</f>
        <v>43007.66667</v>
      </c>
      <c r="C2075" s="9">
        <f>IFERROR(__xludf.DUMMYFUNCTION("""COMPUTED_VALUE"""),71.0)</f>
        <v>71</v>
      </c>
      <c r="E2075" s="17"/>
      <c r="N2075" s="17"/>
      <c r="Q2075" s="17"/>
    </row>
    <row r="2076">
      <c r="B2076" s="11">
        <f>IFERROR(__xludf.DUMMYFUNCTION("""COMPUTED_VALUE"""),43006.66666666667)</f>
        <v>43006.66667</v>
      </c>
      <c r="C2076" s="9">
        <f>IFERROR(__xludf.DUMMYFUNCTION("""COMPUTED_VALUE"""),70.79)</f>
        <v>70.79</v>
      </c>
      <c r="E2076" s="17"/>
      <c r="N2076" s="17"/>
      <c r="Q2076" s="17"/>
    </row>
    <row r="2077">
      <c r="B2077" s="11">
        <f>IFERROR(__xludf.DUMMYFUNCTION("""COMPUTED_VALUE"""),43005.66666666667)</f>
        <v>43005.66667</v>
      </c>
      <c r="C2077" s="9">
        <f>IFERROR(__xludf.DUMMYFUNCTION("""COMPUTED_VALUE"""),70.83)</f>
        <v>70.83</v>
      </c>
      <c r="E2077" s="17"/>
      <c r="N2077" s="17"/>
      <c r="Q2077" s="17"/>
    </row>
    <row r="2078">
      <c r="B2078" s="11">
        <f>IFERROR(__xludf.DUMMYFUNCTION("""COMPUTED_VALUE"""),43004.66666666667)</f>
        <v>43004.66667</v>
      </c>
      <c r="C2078" s="9">
        <f>IFERROR(__xludf.DUMMYFUNCTION("""COMPUTED_VALUE"""),70.75)</f>
        <v>70.75</v>
      </c>
      <c r="E2078" s="17"/>
      <c r="N2078" s="17"/>
      <c r="Q2078" s="17"/>
    </row>
    <row r="2079">
      <c r="B2079" s="11">
        <f>IFERROR(__xludf.DUMMYFUNCTION("""COMPUTED_VALUE"""),43003.66666666667)</f>
        <v>43003.66667</v>
      </c>
      <c r="C2079" s="9">
        <f>IFERROR(__xludf.DUMMYFUNCTION("""COMPUTED_VALUE"""),70.75)</f>
        <v>70.75</v>
      </c>
      <c r="E2079" s="17"/>
      <c r="N2079" s="17"/>
      <c r="Q2079" s="17"/>
    </row>
    <row r="2080">
      <c r="B2080" s="11">
        <f>IFERROR(__xludf.DUMMYFUNCTION("""COMPUTED_VALUE"""),43000.66666666667)</f>
        <v>43000.66667</v>
      </c>
      <c r="C2080" s="9">
        <f>IFERROR(__xludf.DUMMYFUNCTION("""COMPUTED_VALUE"""),70.75)</f>
        <v>70.75</v>
      </c>
      <c r="E2080" s="17"/>
      <c r="N2080" s="17"/>
      <c r="Q2080" s="17"/>
    </row>
    <row r="2081">
      <c r="B2081" s="11">
        <f>IFERROR(__xludf.DUMMYFUNCTION("""COMPUTED_VALUE"""),42999.66666666667)</f>
        <v>42999.66667</v>
      </c>
      <c r="C2081" s="9">
        <f>IFERROR(__xludf.DUMMYFUNCTION("""COMPUTED_VALUE"""),70.57)</f>
        <v>70.57</v>
      </c>
      <c r="E2081" s="17"/>
      <c r="N2081" s="17"/>
      <c r="Q2081" s="17"/>
    </row>
    <row r="2082">
      <c r="B2082" s="11">
        <f>IFERROR(__xludf.DUMMYFUNCTION("""COMPUTED_VALUE"""),42998.66666666667)</f>
        <v>42998.66667</v>
      </c>
      <c r="C2082" s="9">
        <f>IFERROR(__xludf.DUMMYFUNCTION("""COMPUTED_VALUE"""),70.36)</f>
        <v>70.36</v>
      </c>
      <c r="E2082" s="17"/>
      <c r="N2082" s="17"/>
      <c r="Q2082" s="17"/>
    </row>
    <row r="2083">
      <c r="B2083" s="11">
        <f>IFERROR(__xludf.DUMMYFUNCTION("""COMPUTED_VALUE"""),42997.66666666667)</f>
        <v>42997.66667</v>
      </c>
      <c r="C2083" s="9">
        <f>IFERROR(__xludf.DUMMYFUNCTION("""COMPUTED_VALUE"""),69.85)</f>
        <v>69.85</v>
      </c>
      <c r="E2083" s="17"/>
      <c r="N2083" s="17"/>
      <c r="Q2083" s="17"/>
    </row>
    <row r="2084">
      <c r="B2084" s="11">
        <f>IFERROR(__xludf.DUMMYFUNCTION("""COMPUTED_VALUE"""),42996.66666666667)</f>
        <v>42996.66667</v>
      </c>
      <c r="C2084" s="9">
        <f>IFERROR(__xludf.DUMMYFUNCTION("""COMPUTED_VALUE"""),69.78)</f>
        <v>69.78</v>
      </c>
      <c r="E2084" s="17"/>
      <c r="N2084" s="17"/>
      <c r="Q2084" s="17"/>
    </row>
    <row r="2085">
      <c r="B2085" s="11">
        <f>IFERROR(__xludf.DUMMYFUNCTION("""COMPUTED_VALUE"""),42993.66666666667)</f>
        <v>42993.66667</v>
      </c>
      <c r="C2085" s="9">
        <f>IFERROR(__xludf.DUMMYFUNCTION("""COMPUTED_VALUE"""),69.39)</f>
        <v>69.39</v>
      </c>
      <c r="E2085" s="17"/>
      <c r="N2085" s="17"/>
      <c r="Q2085" s="17"/>
    </row>
    <row r="2086">
      <c r="B2086" s="11">
        <f>IFERROR(__xludf.DUMMYFUNCTION("""COMPUTED_VALUE"""),42992.66666666667)</f>
        <v>42992.66667</v>
      </c>
      <c r="C2086" s="9">
        <f>IFERROR(__xludf.DUMMYFUNCTION("""COMPUTED_VALUE"""),69.42)</f>
        <v>69.42</v>
      </c>
      <c r="E2086" s="17"/>
      <c r="N2086" s="17"/>
      <c r="Q2086" s="17"/>
    </row>
    <row r="2087">
      <c r="B2087" s="11">
        <f>IFERROR(__xludf.DUMMYFUNCTION("""COMPUTED_VALUE"""),42991.66666666667)</f>
        <v>42991.66667</v>
      </c>
      <c r="C2087" s="9">
        <f>IFERROR(__xludf.DUMMYFUNCTION("""COMPUTED_VALUE"""),69.09)</f>
        <v>69.09</v>
      </c>
      <c r="E2087" s="17"/>
      <c r="N2087" s="17"/>
      <c r="Q2087" s="17"/>
    </row>
    <row r="2088">
      <c r="B2088" s="11">
        <f>IFERROR(__xludf.DUMMYFUNCTION("""COMPUTED_VALUE"""),42990.66666666667)</f>
        <v>42990.66667</v>
      </c>
      <c r="C2088" s="9">
        <f>IFERROR(__xludf.DUMMYFUNCTION("""COMPUTED_VALUE"""),69.19)</f>
        <v>69.19</v>
      </c>
      <c r="E2088" s="17"/>
      <c r="N2088" s="17"/>
      <c r="Q2088" s="17"/>
    </row>
    <row r="2089">
      <c r="B2089" s="11">
        <f>IFERROR(__xludf.DUMMYFUNCTION("""COMPUTED_VALUE"""),42989.66666666667)</f>
        <v>42989.66667</v>
      </c>
      <c r="C2089" s="9">
        <f>IFERROR(__xludf.DUMMYFUNCTION("""COMPUTED_VALUE"""),68.86)</f>
        <v>68.86</v>
      </c>
      <c r="E2089" s="17"/>
      <c r="N2089" s="17"/>
      <c r="Q2089" s="17"/>
    </row>
    <row r="2090">
      <c r="B2090" s="11">
        <f>IFERROR(__xludf.DUMMYFUNCTION("""COMPUTED_VALUE"""),42986.66666666667)</f>
        <v>42986.66667</v>
      </c>
      <c r="C2090" s="9">
        <f>IFERROR(__xludf.DUMMYFUNCTION("""COMPUTED_VALUE"""),68.27)</f>
        <v>68.27</v>
      </c>
      <c r="E2090" s="17"/>
      <c r="N2090" s="17"/>
      <c r="Q2090" s="17"/>
    </row>
    <row r="2091">
      <c r="B2091" s="11">
        <f>IFERROR(__xludf.DUMMYFUNCTION("""COMPUTED_VALUE"""),42985.66666666667)</f>
        <v>42985.66667</v>
      </c>
      <c r="C2091" s="9">
        <f>IFERROR(__xludf.DUMMYFUNCTION("""COMPUTED_VALUE"""),68.04)</f>
        <v>68.04</v>
      </c>
      <c r="E2091" s="17"/>
      <c r="N2091" s="17"/>
      <c r="Q2091" s="17"/>
    </row>
    <row r="2092">
      <c r="B2092" s="11">
        <f>IFERROR(__xludf.DUMMYFUNCTION("""COMPUTED_VALUE"""),42984.66666666667)</f>
        <v>42984.66667</v>
      </c>
      <c r="C2092" s="9">
        <f>IFERROR(__xludf.DUMMYFUNCTION("""COMPUTED_VALUE"""),67.9)</f>
        <v>67.9</v>
      </c>
      <c r="E2092" s="17"/>
      <c r="N2092" s="17"/>
      <c r="Q2092" s="17"/>
    </row>
    <row r="2093">
      <c r="B2093" s="11">
        <f>IFERROR(__xludf.DUMMYFUNCTION("""COMPUTED_VALUE"""),42983.66666666667)</f>
        <v>42983.66667</v>
      </c>
      <c r="C2093" s="9">
        <f>IFERROR(__xludf.DUMMYFUNCTION("""COMPUTED_VALUE"""),67.83)</f>
        <v>67.83</v>
      </c>
      <c r="E2093" s="17"/>
      <c r="N2093" s="17"/>
      <c r="Q2093" s="17"/>
    </row>
    <row r="2094">
      <c r="B2094" s="11">
        <f>IFERROR(__xludf.DUMMYFUNCTION("""COMPUTED_VALUE"""),42979.66666666667)</f>
        <v>42979.66667</v>
      </c>
      <c r="C2094" s="9">
        <f>IFERROR(__xludf.DUMMYFUNCTION("""COMPUTED_VALUE"""),68.52)</f>
        <v>68.52</v>
      </c>
      <c r="E2094" s="17"/>
      <c r="N2094" s="17"/>
      <c r="Q2094" s="17"/>
    </row>
    <row r="2095">
      <c r="B2095" s="11">
        <f>IFERROR(__xludf.DUMMYFUNCTION("""COMPUTED_VALUE"""),42978.66666666667)</f>
        <v>42978.66667</v>
      </c>
      <c r="C2095" s="9">
        <f>IFERROR(__xludf.DUMMYFUNCTION("""COMPUTED_VALUE"""),68.46)</f>
        <v>68.46</v>
      </c>
      <c r="E2095" s="17"/>
      <c r="N2095" s="17"/>
      <c r="Q2095" s="17"/>
    </row>
    <row r="2096">
      <c r="B2096" s="11">
        <f>IFERROR(__xludf.DUMMYFUNCTION("""COMPUTED_VALUE"""),42977.66666666667)</f>
        <v>42977.66667</v>
      </c>
      <c r="C2096" s="9">
        <f>IFERROR(__xludf.DUMMYFUNCTION("""COMPUTED_VALUE"""),68.23)</f>
        <v>68.23</v>
      </c>
      <c r="E2096" s="17"/>
      <c r="N2096" s="17"/>
      <c r="Q2096" s="17"/>
    </row>
    <row r="2097">
      <c r="B2097" s="11">
        <f>IFERROR(__xludf.DUMMYFUNCTION("""COMPUTED_VALUE"""),42976.66666666667)</f>
        <v>42976.66667</v>
      </c>
      <c r="C2097" s="9">
        <f>IFERROR(__xludf.DUMMYFUNCTION("""COMPUTED_VALUE"""),67.95)</f>
        <v>67.95</v>
      </c>
      <c r="E2097" s="17"/>
      <c r="N2097" s="17"/>
      <c r="Q2097" s="17"/>
    </row>
    <row r="2098">
      <c r="B2098" s="11">
        <f>IFERROR(__xludf.DUMMYFUNCTION("""COMPUTED_VALUE"""),42975.66666666667)</f>
        <v>42975.66667</v>
      </c>
      <c r="C2098" s="9">
        <f>IFERROR(__xludf.DUMMYFUNCTION("""COMPUTED_VALUE"""),67.46)</f>
        <v>67.46</v>
      </c>
      <c r="E2098" s="17"/>
      <c r="N2098" s="17"/>
      <c r="Q2098" s="17"/>
    </row>
    <row r="2099">
      <c r="B2099" s="11">
        <f>IFERROR(__xludf.DUMMYFUNCTION("""COMPUTED_VALUE"""),42972.66666666667)</f>
        <v>42972.66667</v>
      </c>
      <c r="C2099" s="9">
        <f>IFERROR(__xludf.DUMMYFUNCTION("""COMPUTED_VALUE"""),67.5)</f>
        <v>67.5</v>
      </c>
      <c r="E2099" s="17"/>
      <c r="N2099" s="17"/>
      <c r="Q2099" s="17"/>
    </row>
    <row r="2100">
      <c r="B2100" s="11">
        <f>IFERROR(__xludf.DUMMYFUNCTION("""COMPUTED_VALUE"""),42971.66666666667)</f>
        <v>42971.66667</v>
      </c>
      <c r="C2100" s="9">
        <f>IFERROR(__xludf.DUMMYFUNCTION("""COMPUTED_VALUE"""),67.18)</f>
        <v>67.18</v>
      </c>
      <c r="E2100" s="17"/>
      <c r="N2100" s="17"/>
      <c r="Q2100" s="17"/>
    </row>
    <row r="2101">
      <c r="B2101" s="11">
        <f>IFERROR(__xludf.DUMMYFUNCTION("""COMPUTED_VALUE"""),42970.66666666667)</f>
        <v>42970.66667</v>
      </c>
      <c r="C2101" s="9">
        <f>IFERROR(__xludf.DUMMYFUNCTION("""COMPUTED_VALUE"""),67.39)</f>
        <v>67.39</v>
      </c>
      <c r="E2101" s="17"/>
      <c r="N2101" s="17"/>
      <c r="Q2101" s="17"/>
    </row>
    <row r="2102">
      <c r="B2102" s="11">
        <f>IFERROR(__xludf.DUMMYFUNCTION("""COMPUTED_VALUE"""),42969.66666666667)</f>
        <v>42969.66667</v>
      </c>
      <c r="C2102" s="9">
        <f>IFERROR(__xludf.DUMMYFUNCTION("""COMPUTED_VALUE"""),68.03)</f>
        <v>68.03</v>
      </c>
      <c r="E2102" s="17"/>
      <c r="N2102" s="17"/>
      <c r="Q2102" s="17"/>
    </row>
    <row r="2103">
      <c r="B2103" s="11">
        <f>IFERROR(__xludf.DUMMYFUNCTION("""COMPUTED_VALUE"""),42968.66666666667)</f>
        <v>42968.66667</v>
      </c>
      <c r="C2103" s="9">
        <f>IFERROR(__xludf.DUMMYFUNCTION("""COMPUTED_VALUE"""),67.26)</f>
        <v>67.26</v>
      </c>
      <c r="E2103" s="17"/>
      <c r="N2103" s="17"/>
      <c r="Q2103" s="17"/>
    </row>
    <row r="2104">
      <c r="B2104" s="11">
        <f>IFERROR(__xludf.DUMMYFUNCTION("""COMPUTED_VALUE"""),42965.66666666667)</f>
        <v>42965.66667</v>
      </c>
      <c r="C2104" s="9">
        <f>IFERROR(__xludf.DUMMYFUNCTION("""COMPUTED_VALUE"""),67.15)</f>
        <v>67.15</v>
      </c>
      <c r="E2104" s="17"/>
      <c r="N2104" s="17"/>
      <c r="Q2104" s="17"/>
    </row>
    <row r="2105">
      <c r="B2105" s="11">
        <f>IFERROR(__xludf.DUMMYFUNCTION("""COMPUTED_VALUE"""),42964.66666666667)</f>
        <v>42964.66667</v>
      </c>
      <c r="C2105" s="9">
        <f>IFERROR(__xludf.DUMMYFUNCTION("""COMPUTED_VALUE"""),67.42)</f>
        <v>67.42</v>
      </c>
      <c r="E2105" s="17"/>
      <c r="N2105" s="17"/>
      <c r="Q2105" s="17"/>
    </row>
    <row r="2106">
      <c r="B2106" s="11">
        <f>IFERROR(__xludf.DUMMYFUNCTION("""COMPUTED_VALUE"""),42963.66666666667)</f>
        <v>42963.66667</v>
      </c>
      <c r="C2106" s="9">
        <f>IFERROR(__xludf.DUMMYFUNCTION("""COMPUTED_VALUE"""),68.61)</f>
        <v>68.61</v>
      </c>
      <c r="E2106" s="17"/>
      <c r="N2106" s="17"/>
      <c r="Q2106" s="17"/>
    </row>
    <row r="2107">
      <c r="B2107" s="11">
        <f>IFERROR(__xludf.DUMMYFUNCTION("""COMPUTED_VALUE"""),42962.66666666667)</f>
        <v>42962.66667</v>
      </c>
      <c r="C2107" s="9">
        <f>IFERROR(__xludf.DUMMYFUNCTION("""COMPUTED_VALUE"""),68.42)</f>
        <v>68.42</v>
      </c>
      <c r="E2107" s="17"/>
      <c r="N2107" s="17"/>
      <c r="Q2107" s="17"/>
    </row>
    <row r="2108">
      <c r="B2108" s="11">
        <f>IFERROR(__xludf.DUMMYFUNCTION("""COMPUTED_VALUE"""),42961.66666666667)</f>
        <v>42961.66667</v>
      </c>
      <c r="C2108" s="9">
        <f>IFERROR(__xludf.DUMMYFUNCTION("""COMPUTED_VALUE"""),68.57)</f>
        <v>68.57</v>
      </c>
      <c r="E2108" s="17"/>
      <c r="N2108" s="17"/>
      <c r="Q2108" s="17"/>
    </row>
    <row r="2109">
      <c r="B2109" s="11">
        <f>IFERROR(__xludf.DUMMYFUNCTION("""COMPUTED_VALUE"""),42958.66666666667)</f>
        <v>42958.66667</v>
      </c>
      <c r="C2109" s="9">
        <f>IFERROR(__xludf.DUMMYFUNCTION("""COMPUTED_VALUE"""),67.86)</f>
        <v>67.86</v>
      </c>
      <c r="E2109" s="17"/>
      <c r="N2109" s="17"/>
      <c r="Q2109" s="17"/>
    </row>
    <row r="2110">
      <c r="B2110" s="11">
        <f>IFERROR(__xludf.DUMMYFUNCTION("""COMPUTED_VALUE"""),42957.66666666667)</f>
        <v>42957.66667</v>
      </c>
      <c r="C2110" s="9">
        <f>IFERROR(__xludf.DUMMYFUNCTION("""COMPUTED_VALUE"""),67.82)</f>
        <v>67.82</v>
      </c>
      <c r="E2110" s="17"/>
      <c r="N2110" s="17"/>
      <c r="Q2110" s="17"/>
    </row>
    <row r="2111">
      <c r="B2111" s="11">
        <f>IFERROR(__xludf.DUMMYFUNCTION("""COMPUTED_VALUE"""),42956.66666666667)</f>
        <v>42956.66667</v>
      </c>
      <c r="C2111" s="9">
        <f>IFERROR(__xludf.DUMMYFUNCTION("""COMPUTED_VALUE"""),68.69)</f>
        <v>68.69</v>
      </c>
      <c r="E2111" s="17"/>
      <c r="N2111" s="17"/>
      <c r="Q2111" s="17"/>
    </row>
    <row r="2112">
      <c r="B2112" s="11">
        <f>IFERROR(__xludf.DUMMYFUNCTION("""COMPUTED_VALUE"""),42955.66666666667)</f>
        <v>42955.66667</v>
      </c>
      <c r="C2112" s="9">
        <f>IFERROR(__xludf.DUMMYFUNCTION("""COMPUTED_VALUE"""),68.67)</f>
        <v>68.67</v>
      </c>
      <c r="E2112" s="17"/>
      <c r="N2112" s="17"/>
      <c r="Q2112" s="17"/>
    </row>
    <row r="2113">
      <c r="B2113" s="11">
        <f>IFERROR(__xludf.DUMMYFUNCTION("""COMPUTED_VALUE"""),42954.66666666667)</f>
        <v>42954.66667</v>
      </c>
      <c r="C2113" s="9">
        <f>IFERROR(__xludf.DUMMYFUNCTION("""COMPUTED_VALUE"""),68.88)</f>
        <v>68.88</v>
      </c>
      <c r="E2113" s="17"/>
      <c r="N2113" s="17"/>
      <c r="Q2113" s="17"/>
    </row>
    <row r="2114">
      <c r="B2114" s="11">
        <f>IFERROR(__xludf.DUMMYFUNCTION("""COMPUTED_VALUE"""),42951.66666666667)</f>
        <v>42951.66667</v>
      </c>
      <c r="C2114" s="9">
        <f>IFERROR(__xludf.DUMMYFUNCTION("""COMPUTED_VALUE"""),68.88)</f>
        <v>68.88</v>
      </c>
      <c r="E2114" s="17"/>
      <c r="N2114" s="17"/>
      <c r="Q2114" s="17"/>
    </row>
    <row r="2115">
      <c r="B2115" s="11">
        <f>IFERROR(__xludf.DUMMYFUNCTION("""COMPUTED_VALUE"""),42950.66666666667)</f>
        <v>42950.66667</v>
      </c>
      <c r="C2115" s="9">
        <f>IFERROR(__xludf.DUMMYFUNCTION("""COMPUTED_VALUE"""),68.75)</f>
        <v>68.75</v>
      </c>
      <c r="E2115" s="17"/>
      <c r="N2115" s="17"/>
      <c r="Q2115" s="17"/>
    </row>
    <row r="2116">
      <c r="B2116" s="11">
        <f>IFERROR(__xludf.DUMMYFUNCTION("""COMPUTED_VALUE"""),42949.66666666667)</f>
        <v>42949.66667</v>
      </c>
      <c r="C2116" s="9">
        <f>IFERROR(__xludf.DUMMYFUNCTION("""COMPUTED_VALUE"""),68.41)</f>
        <v>68.41</v>
      </c>
      <c r="E2116" s="17"/>
      <c r="N2116" s="17"/>
      <c r="Q2116" s="17"/>
    </row>
    <row r="2117">
      <c r="B2117" s="11">
        <f>IFERROR(__xludf.DUMMYFUNCTION("""COMPUTED_VALUE"""),42948.66666666667)</f>
        <v>42948.66667</v>
      </c>
      <c r="C2117" s="9">
        <f>IFERROR(__xludf.DUMMYFUNCTION("""COMPUTED_VALUE"""),68.11)</f>
        <v>68.11</v>
      </c>
      <c r="E2117" s="17"/>
      <c r="N2117" s="17"/>
      <c r="Q2117" s="17"/>
    </row>
    <row r="2118">
      <c r="B2118" s="11">
        <f>IFERROR(__xludf.DUMMYFUNCTION("""COMPUTED_VALUE"""),42947.66666666667)</f>
        <v>42947.66667</v>
      </c>
      <c r="C2118" s="9">
        <f>IFERROR(__xludf.DUMMYFUNCTION("""COMPUTED_VALUE"""),68.31)</f>
        <v>68.31</v>
      </c>
      <c r="E2118" s="17"/>
      <c r="N2118" s="17"/>
      <c r="Q2118" s="17"/>
    </row>
    <row r="2119">
      <c r="B2119" s="11">
        <f>IFERROR(__xludf.DUMMYFUNCTION("""COMPUTED_VALUE"""),42944.66666666667)</f>
        <v>42944.66667</v>
      </c>
      <c r="C2119" s="9">
        <f>IFERROR(__xludf.DUMMYFUNCTION("""COMPUTED_VALUE"""),68.4)</f>
        <v>68.4</v>
      </c>
      <c r="E2119" s="17"/>
      <c r="N2119" s="17"/>
      <c r="Q2119" s="17"/>
    </row>
    <row r="2120">
      <c r="B2120" s="11">
        <f>IFERROR(__xludf.DUMMYFUNCTION("""COMPUTED_VALUE"""),42943.66666666667)</f>
        <v>42943.66667</v>
      </c>
      <c r="C2120" s="9">
        <f>IFERROR(__xludf.DUMMYFUNCTION("""COMPUTED_VALUE"""),68.24)</f>
        <v>68.24</v>
      </c>
      <c r="E2120" s="17"/>
      <c r="N2120" s="17"/>
      <c r="Q2120" s="17"/>
    </row>
    <row r="2121">
      <c r="B2121" s="11">
        <f>IFERROR(__xludf.DUMMYFUNCTION("""COMPUTED_VALUE"""),42942.66666666667)</f>
        <v>42942.66667</v>
      </c>
      <c r="C2121" s="9">
        <f>IFERROR(__xludf.DUMMYFUNCTION("""COMPUTED_VALUE"""),68.63)</f>
        <v>68.63</v>
      </c>
      <c r="E2121" s="17"/>
      <c r="N2121" s="17"/>
      <c r="Q2121" s="17"/>
    </row>
    <row r="2122">
      <c r="B2122" s="11">
        <f>IFERROR(__xludf.DUMMYFUNCTION("""COMPUTED_VALUE"""),42941.66666666667)</f>
        <v>42941.66667</v>
      </c>
      <c r="C2122" s="9">
        <f>IFERROR(__xludf.DUMMYFUNCTION("""COMPUTED_VALUE"""),68.54)</f>
        <v>68.54</v>
      </c>
      <c r="E2122" s="17"/>
      <c r="N2122" s="17"/>
      <c r="Q2122" s="17"/>
    </row>
    <row r="2123">
      <c r="B2123" s="11">
        <f>IFERROR(__xludf.DUMMYFUNCTION("""COMPUTED_VALUE"""),42940.66666666667)</f>
        <v>42940.66667</v>
      </c>
      <c r="C2123" s="9">
        <f>IFERROR(__xludf.DUMMYFUNCTION("""COMPUTED_VALUE"""),68.63)</f>
        <v>68.63</v>
      </c>
      <c r="E2123" s="17"/>
      <c r="N2123" s="17"/>
      <c r="Q2123" s="17"/>
    </row>
    <row r="2124">
      <c r="B2124" s="11">
        <f>IFERROR(__xludf.DUMMYFUNCTION("""COMPUTED_VALUE"""),42937.66666666667)</f>
        <v>42937.66667</v>
      </c>
      <c r="C2124" s="9">
        <f>IFERROR(__xludf.DUMMYFUNCTION("""COMPUTED_VALUE"""),68.78)</f>
        <v>68.78</v>
      </c>
      <c r="E2124" s="17"/>
      <c r="N2124" s="17"/>
      <c r="Q2124" s="17"/>
    </row>
    <row r="2125">
      <c r="B2125" s="11">
        <f>IFERROR(__xludf.DUMMYFUNCTION("""COMPUTED_VALUE"""),42936.66666666667)</f>
        <v>42936.66667</v>
      </c>
      <c r="C2125" s="9">
        <f>IFERROR(__xludf.DUMMYFUNCTION("""COMPUTED_VALUE"""),68.91)</f>
        <v>68.91</v>
      </c>
      <c r="E2125" s="17"/>
      <c r="N2125" s="17"/>
      <c r="Q2125" s="17"/>
    </row>
    <row r="2126">
      <c r="B2126" s="11">
        <f>IFERROR(__xludf.DUMMYFUNCTION("""COMPUTED_VALUE"""),42935.66666666667)</f>
        <v>42935.66667</v>
      </c>
      <c r="C2126" s="9">
        <f>IFERROR(__xludf.DUMMYFUNCTION("""COMPUTED_VALUE"""),69.3)</f>
        <v>69.3</v>
      </c>
      <c r="E2126" s="17"/>
      <c r="N2126" s="17"/>
      <c r="Q2126" s="17"/>
    </row>
    <row r="2127">
      <c r="B2127" s="11">
        <f>IFERROR(__xludf.DUMMYFUNCTION("""COMPUTED_VALUE"""),42934.66666666667)</f>
        <v>42934.66667</v>
      </c>
      <c r="C2127" s="9">
        <f>IFERROR(__xludf.DUMMYFUNCTION("""COMPUTED_VALUE"""),69.23)</f>
        <v>69.23</v>
      </c>
      <c r="E2127" s="17"/>
      <c r="N2127" s="17"/>
      <c r="Q2127" s="17"/>
    </row>
    <row r="2128">
      <c r="B2128" s="11">
        <f>IFERROR(__xludf.DUMMYFUNCTION("""COMPUTED_VALUE"""),42933.66666666667)</f>
        <v>42933.66667</v>
      </c>
      <c r="C2128" s="9">
        <f>IFERROR(__xludf.DUMMYFUNCTION("""COMPUTED_VALUE"""),69.39)</f>
        <v>69.39</v>
      </c>
      <c r="E2128" s="17"/>
      <c r="N2128" s="17"/>
      <c r="Q2128" s="17"/>
    </row>
    <row r="2129">
      <c r="B2129" s="11">
        <f>IFERROR(__xludf.DUMMYFUNCTION("""COMPUTED_VALUE"""),42930.66666666667)</f>
        <v>42930.66667</v>
      </c>
      <c r="C2129" s="9">
        <f>IFERROR(__xludf.DUMMYFUNCTION("""COMPUTED_VALUE"""),69.43)</f>
        <v>69.43</v>
      </c>
      <c r="E2129" s="17"/>
      <c r="N2129" s="17"/>
      <c r="Q2129" s="17"/>
    </row>
    <row r="2130">
      <c r="B2130" s="11">
        <f>IFERROR(__xludf.DUMMYFUNCTION("""COMPUTED_VALUE"""),42929.66666666667)</f>
        <v>42929.66667</v>
      </c>
      <c r="C2130" s="9">
        <f>IFERROR(__xludf.DUMMYFUNCTION("""COMPUTED_VALUE"""),69.13)</f>
        <v>69.13</v>
      </c>
      <c r="E2130" s="17"/>
      <c r="N2130" s="17"/>
      <c r="Q2130" s="17"/>
    </row>
    <row r="2131">
      <c r="B2131" s="11">
        <f>IFERROR(__xludf.DUMMYFUNCTION("""COMPUTED_VALUE"""),42928.66666666667)</f>
        <v>42928.66667</v>
      </c>
      <c r="C2131" s="9">
        <f>IFERROR(__xludf.DUMMYFUNCTION("""COMPUTED_VALUE"""),69.18)</f>
        <v>69.18</v>
      </c>
      <c r="E2131" s="17"/>
      <c r="N2131" s="17"/>
      <c r="Q2131" s="17"/>
    </row>
    <row r="2132">
      <c r="B2132" s="11">
        <f>IFERROR(__xludf.DUMMYFUNCTION("""COMPUTED_VALUE"""),42927.66666666667)</f>
        <v>42927.66667</v>
      </c>
      <c r="C2132" s="9">
        <f>IFERROR(__xludf.DUMMYFUNCTION("""COMPUTED_VALUE"""),68.8)</f>
        <v>68.8</v>
      </c>
      <c r="E2132" s="17"/>
      <c r="N2132" s="17"/>
      <c r="Q2132" s="17"/>
    </row>
    <row r="2133">
      <c r="B2133" s="11">
        <f>IFERROR(__xludf.DUMMYFUNCTION("""COMPUTED_VALUE"""),42926.66666666667)</f>
        <v>42926.66667</v>
      </c>
      <c r="C2133" s="9">
        <f>IFERROR(__xludf.DUMMYFUNCTION("""COMPUTED_VALUE"""),68.86)</f>
        <v>68.86</v>
      </c>
      <c r="E2133" s="17"/>
      <c r="N2133" s="17"/>
      <c r="Q2133" s="17"/>
    </row>
    <row r="2134">
      <c r="B2134" s="11">
        <f>IFERROR(__xludf.DUMMYFUNCTION("""COMPUTED_VALUE"""),42923.66666666667)</f>
        <v>42923.66667</v>
      </c>
      <c r="C2134" s="9">
        <f>IFERROR(__xludf.DUMMYFUNCTION("""COMPUTED_VALUE"""),68.66)</f>
        <v>68.66</v>
      </c>
      <c r="E2134" s="17"/>
      <c r="N2134" s="17"/>
      <c r="Q2134" s="17"/>
    </row>
    <row r="2135">
      <c r="B2135" s="11">
        <f>IFERROR(__xludf.DUMMYFUNCTION("""COMPUTED_VALUE"""),42922.66666666667)</f>
        <v>42922.66667</v>
      </c>
      <c r="C2135" s="9">
        <f>IFERROR(__xludf.DUMMYFUNCTION("""COMPUTED_VALUE"""),68.13)</f>
        <v>68.13</v>
      </c>
      <c r="E2135" s="17"/>
      <c r="N2135" s="17"/>
      <c r="Q2135" s="17"/>
    </row>
    <row r="2136">
      <c r="B2136" s="11">
        <f>IFERROR(__xludf.DUMMYFUNCTION("""COMPUTED_VALUE"""),42921.66666666667)</f>
        <v>42921.66667</v>
      </c>
      <c r="C2136" s="9">
        <f>IFERROR(__xludf.DUMMYFUNCTION("""COMPUTED_VALUE"""),68.73)</f>
        <v>68.73</v>
      </c>
      <c r="E2136" s="17"/>
      <c r="N2136" s="17"/>
      <c r="Q2136" s="17"/>
    </row>
    <row r="2137">
      <c r="B2137" s="11">
        <f>IFERROR(__xludf.DUMMYFUNCTION("""COMPUTED_VALUE"""),42919.66666666667)</f>
        <v>42919.66667</v>
      </c>
      <c r="C2137" s="9">
        <f>IFERROR(__xludf.DUMMYFUNCTION("""COMPUTED_VALUE"""),68.53)</f>
        <v>68.53</v>
      </c>
      <c r="E2137" s="17"/>
      <c r="N2137" s="17"/>
      <c r="Q2137" s="17"/>
    </row>
    <row r="2138">
      <c r="B2138" s="11">
        <f>IFERROR(__xludf.DUMMYFUNCTION("""COMPUTED_VALUE"""),42916.66666666667)</f>
        <v>42916.66667</v>
      </c>
      <c r="C2138" s="9">
        <f>IFERROR(__xludf.DUMMYFUNCTION("""COMPUTED_VALUE"""),68.11)</f>
        <v>68.11</v>
      </c>
      <c r="E2138" s="17"/>
      <c r="N2138" s="17"/>
      <c r="Q2138" s="17"/>
    </row>
    <row r="2139">
      <c r="B2139" s="11">
        <f>IFERROR(__xludf.DUMMYFUNCTION("""COMPUTED_VALUE"""),42915.66666666667)</f>
        <v>42915.66667</v>
      </c>
      <c r="C2139" s="9">
        <f>IFERROR(__xludf.DUMMYFUNCTION("""COMPUTED_VALUE"""),67.55)</f>
        <v>67.55</v>
      </c>
      <c r="E2139" s="17"/>
      <c r="N2139" s="17"/>
      <c r="Q2139" s="17"/>
    </row>
    <row r="2140">
      <c r="B2140" s="11">
        <f>IFERROR(__xludf.DUMMYFUNCTION("""COMPUTED_VALUE"""),42914.66666666667)</f>
        <v>42914.66667</v>
      </c>
      <c r="C2140" s="9">
        <f>IFERROR(__xludf.DUMMYFUNCTION("""COMPUTED_VALUE"""),68.13)</f>
        <v>68.13</v>
      </c>
      <c r="E2140" s="17"/>
      <c r="N2140" s="17"/>
      <c r="Q2140" s="17"/>
    </row>
    <row r="2141">
      <c r="B2141" s="11">
        <f>IFERROR(__xludf.DUMMYFUNCTION("""COMPUTED_VALUE"""),42913.66666666667)</f>
        <v>42913.66667</v>
      </c>
      <c r="C2141" s="9">
        <f>IFERROR(__xludf.DUMMYFUNCTION("""COMPUTED_VALUE"""),67.52)</f>
        <v>67.52</v>
      </c>
      <c r="E2141" s="17"/>
      <c r="N2141" s="17"/>
      <c r="Q2141" s="17"/>
    </row>
    <row r="2142">
      <c r="B2142" s="11">
        <f>IFERROR(__xludf.DUMMYFUNCTION("""COMPUTED_VALUE"""),42912.66666666667)</f>
        <v>42912.66667</v>
      </c>
      <c r="C2142" s="9">
        <f>IFERROR(__xludf.DUMMYFUNCTION("""COMPUTED_VALUE"""),68.03)</f>
        <v>68.03</v>
      </c>
      <c r="E2142" s="17"/>
      <c r="N2142" s="17"/>
      <c r="Q2142" s="17"/>
    </row>
    <row r="2143">
      <c r="B2143" s="11">
        <f>IFERROR(__xludf.DUMMYFUNCTION("""COMPUTED_VALUE"""),42909.66666666667)</f>
        <v>42909.66667</v>
      </c>
      <c r="C2143" s="9">
        <f>IFERROR(__xludf.DUMMYFUNCTION("""COMPUTED_VALUE"""),68.01)</f>
        <v>68.01</v>
      </c>
      <c r="E2143" s="17"/>
      <c r="N2143" s="17"/>
      <c r="Q2143" s="17"/>
    </row>
    <row r="2144">
      <c r="B2144" s="11">
        <f>IFERROR(__xludf.DUMMYFUNCTION("""COMPUTED_VALUE"""),42908.66666666667)</f>
        <v>42908.66667</v>
      </c>
      <c r="C2144" s="9">
        <f>IFERROR(__xludf.DUMMYFUNCTION("""COMPUTED_VALUE"""),67.76)</f>
        <v>67.76</v>
      </c>
      <c r="E2144" s="17"/>
      <c r="N2144" s="17"/>
      <c r="Q2144" s="17"/>
    </row>
    <row r="2145">
      <c r="B2145" s="11">
        <f>IFERROR(__xludf.DUMMYFUNCTION("""COMPUTED_VALUE"""),42907.66666666667)</f>
        <v>42907.66667</v>
      </c>
      <c r="C2145" s="9">
        <f>IFERROR(__xludf.DUMMYFUNCTION("""COMPUTED_VALUE"""),67.9)</f>
        <v>67.9</v>
      </c>
      <c r="E2145" s="17"/>
      <c r="N2145" s="17"/>
      <c r="Q2145" s="17"/>
    </row>
    <row r="2146">
      <c r="B2146" s="11">
        <f>IFERROR(__xludf.DUMMYFUNCTION("""COMPUTED_VALUE"""),42906.66666666667)</f>
        <v>42906.66667</v>
      </c>
      <c r="C2146" s="9">
        <f>IFERROR(__xludf.DUMMYFUNCTION("""COMPUTED_VALUE"""),68.36)</f>
        <v>68.36</v>
      </c>
      <c r="E2146" s="17"/>
      <c r="N2146" s="17"/>
      <c r="Q2146" s="17"/>
    </row>
    <row r="2147">
      <c r="B2147" s="11">
        <f>IFERROR(__xludf.DUMMYFUNCTION("""COMPUTED_VALUE"""),42905.66666666667)</f>
        <v>42905.66667</v>
      </c>
      <c r="C2147" s="9">
        <f>IFERROR(__xludf.DUMMYFUNCTION("""COMPUTED_VALUE"""),69.1)</f>
        <v>69.1</v>
      </c>
      <c r="E2147" s="17"/>
      <c r="N2147" s="17"/>
      <c r="Q2147" s="17"/>
    </row>
    <row r="2148">
      <c r="B2148" s="11">
        <f>IFERROR(__xludf.DUMMYFUNCTION("""COMPUTED_VALUE"""),42902.66666666667)</f>
        <v>42902.66667</v>
      </c>
      <c r="C2148" s="9">
        <f>IFERROR(__xludf.DUMMYFUNCTION("""COMPUTED_VALUE"""),68.68)</f>
        <v>68.68</v>
      </c>
      <c r="E2148" s="17"/>
      <c r="N2148" s="17"/>
      <c r="Q2148" s="17"/>
    </row>
    <row r="2149">
      <c r="B2149" s="11">
        <f>IFERROR(__xludf.DUMMYFUNCTION("""COMPUTED_VALUE"""),42901.66666666667)</f>
        <v>42901.66667</v>
      </c>
      <c r="C2149" s="9">
        <f>IFERROR(__xludf.DUMMYFUNCTION("""COMPUTED_VALUE"""),68.78)</f>
        <v>68.78</v>
      </c>
      <c r="E2149" s="17"/>
      <c r="N2149" s="17"/>
      <c r="Q2149" s="17"/>
    </row>
    <row r="2150">
      <c r="B2150" s="11">
        <f>IFERROR(__xludf.DUMMYFUNCTION("""COMPUTED_VALUE"""),42900.66666666667)</f>
        <v>42900.66667</v>
      </c>
      <c r="C2150" s="9">
        <f>IFERROR(__xludf.DUMMYFUNCTION("""COMPUTED_VALUE"""),68.37)</f>
        <v>68.37</v>
      </c>
      <c r="E2150" s="17"/>
      <c r="N2150" s="17"/>
      <c r="Q2150" s="17"/>
    </row>
    <row r="2151">
      <c r="B2151" s="11">
        <f>IFERROR(__xludf.DUMMYFUNCTION("""COMPUTED_VALUE"""),42899.66666666667)</f>
        <v>42899.66667</v>
      </c>
      <c r="C2151" s="9">
        <f>IFERROR(__xludf.DUMMYFUNCTION("""COMPUTED_VALUE"""),68.44)</f>
        <v>68.44</v>
      </c>
      <c r="E2151" s="17"/>
      <c r="N2151" s="17"/>
      <c r="Q2151" s="17"/>
    </row>
    <row r="2152">
      <c r="B2152" s="11">
        <f>IFERROR(__xludf.DUMMYFUNCTION("""COMPUTED_VALUE"""),42898.66666666667)</f>
        <v>42898.66667</v>
      </c>
      <c r="C2152" s="9">
        <f>IFERROR(__xludf.DUMMYFUNCTION("""COMPUTED_VALUE"""),68.16)</f>
        <v>68.16</v>
      </c>
      <c r="E2152" s="17"/>
      <c r="N2152" s="17"/>
      <c r="Q2152" s="17"/>
    </row>
    <row r="2153">
      <c r="B2153" s="11">
        <f>IFERROR(__xludf.DUMMYFUNCTION("""COMPUTED_VALUE"""),42895.66666666667)</f>
        <v>42895.66667</v>
      </c>
      <c r="C2153" s="9">
        <f>IFERROR(__xludf.DUMMYFUNCTION("""COMPUTED_VALUE"""),67.91)</f>
        <v>67.91</v>
      </c>
      <c r="E2153" s="17"/>
      <c r="N2153" s="17"/>
      <c r="Q2153" s="17"/>
    </row>
    <row r="2154">
      <c r="B2154" s="11">
        <f>IFERROR(__xludf.DUMMYFUNCTION("""COMPUTED_VALUE"""),42894.66666666667)</f>
        <v>42894.66667</v>
      </c>
      <c r="C2154" s="9">
        <f>IFERROR(__xludf.DUMMYFUNCTION("""COMPUTED_VALUE"""),67.65)</f>
        <v>67.65</v>
      </c>
      <c r="E2154" s="17"/>
      <c r="N2154" s="17"/>
      <c r="Q2154" s="17"/>
    </row>
    <row r="2155">
      <c r="B2155" s="11">
        <f>IFERROR(__xludf.DUMMYFUNCTION("""COMPUTED_VALUE"""),42893.66666666667)</f>
        <v>42893.66667</v>
      </c>
      <c r="C2155" s="9">
        <f>IFERROR(__xludf.DUMMYFUNCTION("""COMPUTED_VALUE"""),67.43)</f>
        <v>67.43</v>
      </c>
      <c r="E2155" s="17"/>
      <c r="N2155" s="17"/>
      <c r="Q2155" s="17"/>
    </row>
    <row r="2156">
      <c r="B2156" s="11">
        <f>IFERROR(__xludf.DUMMYFUNCTION("""COMPUTED_VALUE"""),42892.66666666667)</f>
        <v>42892.66667</v>
      </c>
      <c r="C2156" s="9">
        <f>IFERROR(__xludf.DUMMYFUNCTION("""COMPUTED_VALUE"""),67.51)</f>
        <v>67.51</v>
      </c>
      <c r="E2156" s="17"/>
      <c r="N2156" s="17"/>
      <c r="Q2156" s="17"/>
    </row>
    <row r="2157">
      <c r="B2157" s="11">
        <f>IFERROR(__xludf.DUMMYFUNCTION("""COMPUTED_VALUE"""),42891.66666666667)</f>
        <v>42891.66667</v>
      </c>
      <c r="C2157" s="9">
        <f>IFERROR(__xludf.DUMMYFUNCTION("""COMPUTED_VALUE"""),67.97)</f>
        <v>67.97</v>
      </c>
      <c r="E2157" s="17"/>
      <c r="N2157" s="17"/>
      <c r="Q2157" s="17"/>
    </row>
    <row r="2158">
      <c r="B2158" s="11">
        <f>IFERROR(__xludf.DUMMYFUNCTION("""COMPUTED_VALUE"""),42888.66666666667)</f>
        <v>42888.66667</v>
      </c>
      <c r="C2158" s="9">
        <f>IFERROR(__xludf.DUMMYFUNCTION("""COMPUTED_VALUE"""),68.21)</f>
        <v>68.21</v>
      </c>
      <c r="E2158" s="17"/>
      <c r="N2158" s="17"/>
      <c r="Q2158" s="17"/>
    </row>
    <row r="2159">
      <c r="B2159" s="11">
        <f>IFERROR(__xludf.DUMMYFUNCTION("""COMPUTED_VALUE"""),42887.66666666667)</f>
        <v>42887.66667</v>
      </c>
      <c r="C2159" s="9">
        <f>IFERROR(__xludf.DUMMYFUNCTION("""COMPUTED_VALUE"""),67.94)</f>
        <v>67.94</v>
      </c>
      <c r="E2159" s="17"/>
      <c r="N2159" s="17"/>
      <c r="Q2159" s="17"/>
    </row>
    <row r="2160">
      <c r="B2160" s="11">
        <f>IFERROR(__xludf.DUMMYFUNCTION("""COMPUTED_VALUE"""),42886.66666666667)</f>
        <v>42886.66667</v>
      </c>
      <c r="C2160" s="9">
        <f>IFERROR(__xludf.DUMMYFUNCTION("""COMPUTED_VALUE"""),67.52)</f>
        <v>67.52</v>
      </c>
      <c r="E2160" s="17"/>
      <c r="N2160" s="17"/>
      <c r="Q2160" s="17"/>
    </row>
    <row r="2161">
      <c r="B2161" s="11">
        <f>IFERROR(__xludf.DUMMYFUNCTION("""COMPUTED_VALUE"""),42885.66666666667)</f>
        <v>42885.66667</v>
      </c>
      <c r="C2161" s="9">
        <f>IFERROR(__xludf.DUMMYFUNCTION("""COMPUTED_VALUE"""),67.39)</f>
        <v>67.39</v>
      </c>
      <c r="E2161" s="17"/>
      <c r="N2161" s="17"/>
      <c r="Q2161" s="17"/>
    </row>
    <row r="2162">
      <c r="B2162" s="11">
        <f>IFERROR(__xludf.DUMMYFUNCTION("""COMPUTED_VALUE"""),42881.66666666667)</f>
        <v>42881.66667</v>
      </c>
      <c r="C2162" s="9">
        <f>IFERROR(__xludf.DUMMYFUNCTION("""COMPUTED_VALUE"""),67.41)</f>
        <v>67.41</v>
      </c>
      <c r="E2162" s="17"/>
      <c r="N2162" s="17"/>
      <c r="Q2162" s="17"/>
    </row>
    <row r="2163">
      <c r="B2163" s="11">
        <f>IFERROR(__xludf.DUMMYFUNCTION("""COMPUTED_VALUE"""),42880.66666666667)</f>
        <v>42880.66667</v>
      </c>
      <c r="C2163" s="9">
        <f>IFERROR(__xludf.DUMMYFUNCTION("""COMPUTED_VALUE"""),67.33)</f>
        <v>67.33</v>
      </c>
      <c r="E2163" s="17"/>
      <c r="N2163" s="17"/>
      <c r="Q2163" s="17"/>
    </row>
    <row r="2164">
      <c r="B2164" s="11">
        <f>IFERROR(__xludf.DUMMYFUNCTION("""COMPUTED_VALUE"""),42879.66666666667)</f>
        <v>42879.66667</v>
      </c>
      <c r="C2164" s="9">
        <f>IFERROR(__xludf.DUMMYFUNCTION("""COMPUTED_VALUE"""),66.89)</f>
        <v>66.89</v>
      </c>
      <c r="E2164" s="17"/>
      <c r="N2164" s="17"/>
      <c r="Q2164" s="17"/>
    </row>
    <row r="2165">
      <c r="B2165" s="11">
        <f>IFERROR(__xludf.DUMMYFUNCTION("""COMPUTED_VALUE"""),42878.66666666667)</f>
        <v>42878.66667</v>
      </c>
      <c r="C2165" s="9">
        <f>IFERROR(__xludf.DUMMYFUNCTION("""COMPUTED_VALUE"""),66.81)</f>
        <v>66.81</v>
      </c>
      <c r="E2165" s="17"/>
      <c r="N2165" s="17"/>
      <c r="Q2165" s="17"/>
    </row>
    <row r="2166">
      <c r="B2166" s="11">
        <f>IFERROR(__xludf.DUMMYFUNCTION("""COMPUTED_VALUE"""),42877.66666666667)</f>
        <v>42877.66667</v>
      </c>
      <c r="C2166" s="9">
        <f>IFERROR(__xludf.DUMMYFUNCTION("""COMPUTED_VALUE"""),66.67)</f>
        <v>66.67</v>
      </c>
      <c r="E2166" s="17"/>
      <c r="N2166" s="17"/>
      <c r="Q2166" s="17"/>
    </row>
    <row r="2167">
      <c r="B2167" s="11">
        <f>IFERROR(__xludf.DUMMYFUNCTION("""COMPUTED_VALUE"""),42874.66666666667)</f>
        <v>42874.66667</v>
      </c>
      <c r="C2167" s="9">
        <f>IFERROR(__xludf.DUMMYFUNCTION("""COMPUTED_VALUE"""),66.16)</f>
        <v>66.16</v>
      </c>
      <c r="E2167" s="17"/>
      <c r="N2167" s="17"/>
      <c r="Q2167" s="17"/>
    </row>
    <row r="2168">
      <c r="B2168" s="11">
        <f>IFERROR(__xludf.DUMMYFUNCTION("""COMPUTED_VALUE"""),42873.66666666667)</f>
        <v>42873.66667</v>
      </c>
      <c r="C2168" s="9">
        <f>IFERROR(__xludf.DUMMYFUNCTION("""COMPUTED_VALUE"""),65.3)</f>
        <v>65.3</v>
      </c>
      <c r="E2168" s="17"/>
      <c r="N2168" s="17"/>
      <c r="Q2168" s="17"/>
    </row>
    <row r="2169">
      <c r="B2169" s="11">
        <f>IFERROR(__xludf.DUMMYFUNCTION("""COMPUTED_VALUE"""),42872.66666666667)</f>
        <v>42872.66667</v>
      </c>
      <c r="C2169" s="9">
        <f>IFERROR(__xludf.DUMMYFUNCTION("""COMPUTED_VALUE"""),65.21)</f>
        <v>65.21</v>
      </c>
      <c r="E2169" s="17"/>
      <c r="N2169" s="17"/>
      <c r="Q2169" s="17"/>
    </row>
    <row r="2170">
      <c r="B2170" s="11">
        <f>IFERROR(__xludf.DUMMYFUNCTION("""COMPUTED_VALUE"""),42871.66666666667)</f>
        <v>42871.66667</v>
      </c>
      <c r="C2170" s="9">
        <f>IFERROR(__xludf.DUMMYFUNCTION("""COMPUTED_VALUE"""),66.54)</f>
        <v>66.54</v>
      </c>
      <c r="E2170" s="17"/>
      <c r="N2170" s="17"/>
      <c r="Q2170" s="17"/>
    </row>
    <row r="2171">
      <c r="B2171" s="11">
        <f>IFERROR(__xludf.DUMMYFUNCTION("""COMPUTED_VALUE"""),42870.66666666667)</f>
        <v>42870.66667</v>
      </c>
      <c r="C2171" s="9">
        <f>IFERROR(__xludf.DUMMYFUNCTION("""COMPUTED_VALUE"""),66.61)</f>
        <v>66.61</v>
      </c>
      <c r="E2171" s="17"/>
      <c r="N2171" s="17"/>
      <c r="Q2171" s="17"/>
    </row>
    <row r="2172">
      <c r="B2172" s="11">
        <f>IFERROR(__xludf.DUMMYFUNCTION("""COMPUTED_VALUE"""),42867.66666666667)</f>
        <v>42867.66667</v>
      </c>
      <c r="C2172" s="9">
        <f>IFERROR(__xludf.DUMMYFUNCTION("""COMPUTED_VALUE"""),66.3)</f>
        <v>66.3</v>
      </c>
      <c r="E2172" s="17"/>
      <c r="N2172" s="17"/>
      <c r="Q2172" s="17"/>
    </row>
    <row r="2173">
      <c r="B2173" s="11">
        <f>IFERROR(__xludf.DUMMYFUNCTION("""COMPUTED_VALUE"""),42866.66666666667)</f>
        <v>42866.66667</v>
      </c>
      <c r="C2173" s="9">
        <f>IFERROR(__xludf.DUMMYFUNCTION("""COMPUTED_VALUE"""),66.67)</f>
        <v>66.67</v>
      </c>
      <c r="E2173" s="17"/>
      <c r="N2173" s="17"/>
      <c r="Q2173" s="17"/>
    </row>
    <row r="2174">
      <c r="B2174" s="11">
        <f>IFERROR(__xludf.DUMMYFUNCTION("""COMPUTED_VALUE"""),42865.66666666667)</f>
        <v>42865.66667</v>
      </c>
      <c r="C2174" s="9">
        <f>IFERROR(__xludf.DUMMYFUNCTION("""COMPUTED_VALUE"""),66.69)</f>
        <v>66.69</v>
      </c>
      <c r="E2174" s="17"/>
      <c r="N2174" s="17"/>
      <c r="Q2174" s="17"/>
    </row>
    <row r="2175">
      <c r="B2175" s="11">
        <f>IFERROR(__xludf.DUMMYFUNCTION("""COMPUTED_VALUE"""),42864.66666666667)</f>
        <v>42864.66667</v>
      </c>
      <c r="C2175" s="9">
        <f>IFERROR(__xludf.DUMMYFUNCTION("""COMPUTED_VALUE"""),66.83)</f>
        <v>66.83</v>
      </c>
      <c r="E2175" s="17"/>
      <c r="N2175" s="17"/>
      <c r="Q2175" s="17"/>
    </row>
    <row r="2176">
      <c r="B2176" s="11">
        <f>IFERROR(__xludf.DUMMYFUNCTION("""COMPUTED_VALUE"""),42863.66666666667)</f>
        <v>42863.66667</v>
      </c>
      <c r="C2176" s="9">
        <f>IFERROR(__xludf.DUMMYFUNCTION("""COMPUTED_VALUE"""),66.74)</f>
        <v>66.74</v>
      </c>
      <c r="E2176" s="17"/>
      <c r="N2176" s="17"/>
      <c r="Q2176" s="17"/>
    </row>
    <row r="2177">
      <c r="B2177" s="11">
        <f>IFERROR(__xludf.DUMMYFUNCTION("""COMPUTED_VALUE"""),42860.66666666667)</f>
        <v>42860.66667</v>
      </c>
      <c r="C2177" s="9">
        <f>IFERROR(__xludf.DUMMYFUNCTION("""COMPUTED_VALUE"""),66.92)</f>
        <v>66.92</v>
      </c>
      <c r="E2177" s="17"/>
      <c r="N2177" s="17"/>
      <c r="Q2177" s="17"/>
    </row>
    <row r="2178">
      <c r="B2178" s="11">
        <f>IFERROR(__xludf.DUMMYFUNCTION("""COMPUTED_VALUE"""),42859.66666666667)</f>
        <v>42859.66667</v>
      </c>
      <c r="C2178" s="9">
        <f>IFERROR(__xludf.DUMMYFUNCTION("""COMPUTED_VALUE"""),66.58)</f>
        <v>66.58</v>
      </c>
      <c r="E2178" s="17"/>
      <c r="N2178" s="17"/>
      <c r="Q2178" s="17"/>
    </row>
    <row r="2179">
      <c r="B2179" s="11">
        <f>IFERROR(__xludf.DUMMYFUNCTION("""COMPUTED_VALUE"""),42858.66666666667)</f>
        <v>42858.66667</v>
      </c>
      <c r="C2179" s="9">
        <f>IFERROR(__xludf.DUMMYFUNCTION("""COMPUTED_VALUE"""),66.51)</f>
        <v>66.51</v>
      </c>
      <c r="E2179" s="17"/>
      <c r="N2179" s="17"/>
      <c r="Q2179" s="17"/>
    </row>
    <row r="2180">
      <c r="B2180" s="11">
        <f>IFERROR(__xludf.DUMMYFUNCTION("""COMPUTED_VALUE"""),42857.66666666667)</f>
        <v>42857.66667</v>
      </c>
      <c r="C2180" s="9">
        <f>IFERROR(__xludf.DUMMYFUNCTION("""COMPUTED_VALUE"""),66.46)</f>
        <v>66.46</v>
      </c>
      <c r="E2180" s="17"/>
      <c r="N2180" s="17"/>
      <c r="Q2180" s="17"/>
    </row>
    <row r="2181">
      <c r="B2181" s="11">
        <f>IFERROR(__xludf.DUMMYFUNCTION("""COMPUTED_VALUE"""),42856.66666666667)</f>
        <v>42856.66667</v>
      </c>
      <c r="C2181" s="9">
        <f>IFERROR(__xludf.DUMMYFUNCTION("""COMPUTED_VALUE"""),66.14)</f>
        <v>66.14</v>
      </c>
      <c r="E2181" s="17"/>
      <c r="N2181" s="17"/>
      <c r="Q2181" s="17"/>
    </row>
    <row r="2182">
      <c r="B2182" s="11">
        <f>IFERROR(__xludf.DUMMYFUNCTION("""COMPUTED_VALUE"""),42853.66666666667)</f>
        <v>42853.66667</v>
      </c>
      <c r="C2182" s="9">
        <f>IFERROR(__xludf.DUMMYFUNCTION("""COMPUTED_VALUE"""),66.34)</f>
        <v>66.34</v>
      </c>
      <c r="E2182" s="17"/>
      <c r="N2182" s="17"/>
      <c r="Q2182" s="17"/>
    </row>
    <row r="2183">
      <c r="B2183" s="11">
        <f>IFERROR(__xludf.DUMMYFUNCTION("""COMPUTED_VALUE"""),42852.66666666667)</f>
        <v>42852.66667</v>
      </c>
      <c r="C2183" s="9">
        <f>IFERROR(__xludf.DUMMYFUNCTION("""COMPUTED_VALUE"""),66.65)</f>
        <v>66.65</v>
      </c>
      <c r="E2183" s="17"/>
      <c r="N2183" s="17"/>
      <c r="Q2183" s="17"/>
    </row>
    <row r="2184">
      <c r="B2184" s="11">
        <f>IFERROR(__xludf.DUMMYFUNCTION("""COMPUTED_VALUE"""),42851.66666666667)</f>
        <v>42851.66667</v>
      </c>
      <c r="C2184" s="9">
        <f>IFERROR(__xludf.DUMMYFUNCTION("""COMPUTED_VALUE"""),66.67)</f>
        <v>66.67</v>
      </c>
      <c r="E2184" s="17"/>
      <c r="N2184" s="17"/>
      <c r="Q2184" s="17"/>
    </row>
    <row r="2185">
      <c r="B2185" s="11">
        <f>IFERROR(__xludf.DUMMYFUNCTION("""COMPUTED_VALUE"""),42850.66666666667)</f>
        <v>42850.66667</v>
      </c>
      <c r="C2185" s="9">
        <f>IFERROR(__xludf.DUMMYFUNCTION("""COMPUTED_VALUE"""),66.66)</f>
        <v>66.66</v>
      </c>
      <c r="E2185" s="17"/>
      <c r="N2185" s="17"/>
      <c r="Q2185" s="17"/>
    </row>
    <row r="2186">
      <c r="B2186" s="11">
        <f>IFERROR(__xludf.DUMMYFUNCTION("""COMPUTED_VALUE"""),42849.66666666667)</f>
        <v>42849.66667</v>
      </c>
      <c r="C2186" s="9">
        <f>IFERROR(__xludf.DUMMYFUNCTION("""COMPUTED_VALUE"""),66.34)</f>
        <v>66.34</v>
      </c>
      <c r="E2186" s="17"/>
      <c r="N2186" s="17"/>
      <c r="Q2186" s="17"/>
    </row>
    <row r="2187">
      <c r="B2187" s="11">
        <f>IFERROR(__xludf.DUMMYFUNCTION("""COMPUTED_VALUE"""),42846.66666666667)</f>
        <v>42846.66667</v>
      </c>
      <c r="C2187" s="9">
        <f>IFERROR(__xludf.DUMMYFUNCTION("""COMPUTED_VALUE"""),65.41)</f>
        <v>65.41</v>
      </c>
      <c r="E2187" s="17"/>
      <c r="N2187" s="17"/>
      <c r="Q2187" s="17"/>
    </row>
    <row r="2188">
      <c r="B2188" s="11">
        <f>IFERROR(__xludf.DUMMYFUNCTION("""COMPUTED_VALUE"""),42845.66666666667)</f>
        <v>42845.66667</v>
      </c>
      <c r="C2188" s="9">
        <f>IFERROR(__xludf.DUMMYFUNCTION("""COMPUTED_VALUE"""),65.35)</f>
        <v>65.35</v>
      </c>
      <c r="E2188" s="17"/>
      <c r="N2188" s="17"/>
      <c r="Q2188" s="17"/>
    </row>
    <row r="2189">
      <c r="B2189" s="11">
        <f>IFERROR(__xludf.DUMMYFUNCTION("""COMPUTED_VALUE"""),42844.66666666667)</f>
        <v>42844.66667</v>
      </c>
      <c r="C2189" s="9">
        <f>IFERROR(__xludf.DUMMYFUNCTION("""COMPUTED_VALUE"""),64.57)</f>
        <v>64.57</v>
      </c>
      <c r="E2189" s="17"/>
      <c r="N2189" s="17"/>
      <c r="Q2189" s="17"/>
    </row>
    <row r="2190">
      <c r="B2190" s="11">
        <f>IFERROR(__xludf.DUMMYFUNCTION("""COMPUTED_VALUE"""),42843.66666666667)</f>
        <v>42843.66667</v>
      </c>
      <c r="C2190" s="9">
        <f>IFERROR(__xludf.DUMMYFUNCTION("""COMPUTED_VALUE"""),64.51)</f>
        <v>64.51</v>
      </c>
      <c r="E2190" s="17"/>
      <c r="N2190" s="17"/>
      <c r="Q2190" s="17"/>
    </row>
    <row r="2191">
      <c r="B2191" s="11">
        <f>IFERROR(__xludf.DUMMYFUNCTION("""COMPUTED_VALUE"""),42842.66666666667)</f>
        <v>42842.66667</v>
      </c>
      <c r="C2191" s="9">
        <f>IFERROR(__xludf.DUMMYFUNCTION("""COMPUTED_VALUE"""),64.72)</f>
        <v>64.72</v>
      </c>
      <c r="E2191" s="17"/>
      <c r="N2191" s="17"/>
      <c r="Q2191" s="17"/>
    </row>
    <row r="2192">
      <c r="B2192" s="11">
        <f>IFERROR(__xludf.DUMMYFUNCTION("""COMPUTED_VALUE"""),42838.66666666667)</f>
        <v>42838.66667</v>
      </c>
      <c r="C2192" s="9">
        <f>IFERROR(__xludf.DUMMYFUNCTION("""COMPUTED_VALUE"""),64.02)</f>
        <v>64.02</v>
      </c>
      <c r="E2192" s="17"/>
      <c r="N2192" s="17"/>
      <c r="Q2192" s="17"/>
    </row>
    <row r="2193">
      <c r="B2193" s="11">
        <f>IFERROR(__xludf.DUMMYFUNCTION("""COMPUTED_VALUE"""),42837.66666666667)</f>
        <v>42837.66667</v>
      </c>
      <c r="C2193" s="9">
        <f>IFERROR(__xludf.DUMMYFUNCTION("""COMPUTED_VALUE"""),64.48)</f>
        <v>64.48</v>
      </c>
      <c r="E2193" s="17"/>
      <c r="N2193" s="17"/>
      <c r="Q2193" s="17"/>
    </row>
    <row r="2194">
      <c r="B2194" s="11">
        <f>IFERROR(__xludf.DUMMYFUNCTION("""COMPUTED_VALUE"""),42836.66666666667)</f>
        <v>42836.66667</v>
      </c>
      <c r="C2194" s="9">
        <f>IFERROR(__xludf.DUMMYFUNCTION("""COMPUTED_VALUE"""),65.38)</f>
        <v>65.38</v>
      </c>
      <c r="E2194" s="17"/>
      <c r="N2194" s="17"/>
      <c r="Q2194" s="17"/>
    </row>
    <row r="2195">
      <c r="B2195" s="11">
        <f>IFERROR(__xludf.DUMMYFUNCTION("""COMPUTED_VALUE"""),42835.66666666667)</f>
        <v>42835.66667</v>
      </c>
      <c r="C2195" s="9">
        <f>IFERROR(__xludf.DUMMYFUNCTION("""COMPUTED_VALUE"""),65.29)</f>
        <v>65.29</v>
      </c>
      <c r="E2195" s="17"/>
      <c r="N2195" s="17"/>
      <c r="Q2195" s="17"/>
    </row>
    <row r="2196">
      <c r="B2196" s="11">
        <f>IFERROR(__xludf.DUMMYFUNCTION("""COMPUTED_VALUE"""),42832.66666666667)</f>
        <v>42832.66667</v>
      </c>
      <c r="C2196" s="9">
        <f>IFERROR(__xludf.DUMMYFUNCTION("""COMPUTED_VALUE"""),65.13)</f>
        <v>65.13</v>
      </c>
      <c r="E2196" s="17"/>
      <c r="N2196" s="17"/>
      <c r="Q2196" s="17"/>
    </row>
    <row r="2197">
      <c r="B2197" s="11">
        <f>IFERROR(__xludf.DUMMYFUNCTION("""COMPUTED_VALUE"""),42831.66666666667)</f>
        <v>42831.66667</v>
      </c>
      <c r="C2197" s="9">
        <f>IFERROR(__xludf.DUMMYFUNCTION("""COMPUTED_VALUE"""),65.06)</f>
        <v>65.06</v>
      </c>
      <c r="E2197" s="17"/>
      <c r="N2197" s="17"/>
      <c r="Q2197" s="17"/>
    </row>
    <row r="2198">
      <c r="B2198" s="11">
        <f>IFERROR(__xludf.DUMMYFUNCTION("""COMPUTED_VALUE"""),42830.66666666667)</f>
        <v>42830.66667</v>
      </c>
      <c r="C2198" s="9">
        <f>IFERROR(__xludf.DUMMYFUNCTION("""COMPUTED_VALUE"""),64.88)</f>
        <v>64.88</v>
      </c>
      <c r="E2198" s="17"/>
      <c r="N2198" s="17"/>
      <c r="Q2198" s="17"/>
    </row>
    <row r="2199">
      <c r="B2199" s="11">
        <f>IFERROR(__xludf.DUMMYFUNCTION("""COMPUTED_VALUE"""),42829.66666666667)</f>
        <v>42829.66667</v>
      </c>
      <c r="C2199" s="9">
        <f>IFERROR(__xludf.DUMMYFUNCTION("""COMPUTED_VALUE"""),65.09)</f>
        <v>65.09</v>
      </c>
      <c r="E2199" s="17"/>
      <c r="N2199" s="17"/>
      <c r="Q2199" s="17"/>
    </row>
    <row r="2200">
      <c r="B2200" s="11">
        <f>IFERROR(__xludf.DUMMYFUNCTION("""COMPUTED_VALUE"""),42828.66666666667)</f>
        <v>42828.66667</v>
      </c>
      <c r="C2200" s="9">
        <f>IFERROR(__xludf.DUMMYFUNCTION("""COMPUTED_VALUE"""),64.92)</f>
        <v>64.92</v>
      </c>
      <c r="E2200" s="17"/>
      <c r="N2200" s="17"/>
      <c r="Q2200" s="17"/>
    </row>
    <row r="2201">
      <c r="B2201" s="11">
        <f>IFERROR(__xludf.DUMMYFUNCTION("""COMPUTED_VALUE"""),42825.66666666667)</f>
        <v>42825.66667</v>
      </c>
      <c r="C2201" s="9">
        <f>IFERROR(__xludf.DUMMYFUNCTION("""COMPUTED_VALUE"""),65.06)</f>
        <v>65.06</v>
      </c>
      <c r="E2201" s="17"/>
      <c r="N2201" s="17"/>
      <c r="Q2201" s="17"/>
    </row>
    <row r="2202">
      <c r="B2202" s="11">
        <f>IFERROR(__xludf.DUMMYFUNCTION("""COMPUTED_VALUE"""),42824.66666666667)</f>
        <v>42824.66667</v>
      </c>
      <c r="C2202" s="9">
        <f>IFERROR(__xludf.DUMMYFUNCTION("""COMPUTED_VALUE"""),65.33)</f>
        <v>65.33</v>
      </c>
      <c r="E2202" s="17"/>
      <c r="N2202" s="17"/>
      <c r="Q2202" s="17"/>
    </row>
    <row r="2203">
      <c r="B2203" s="11">
        <f>IFERROR(__xludf.DUMMYFUNCTION("""COMPUTED_VALUE"""),42823.66666666667)</f>
        <v>42823.66667</v>
      </c>
      <c r="C2203" s="9">
        <f>IFERROR(__xludf.DUMMYFUNCTION("""COMPUTED_VALUE"""),64.97)</f>
        <v>64.97</v>
      </c>
      <c r="E2203" s="17"/>
      <c r="N2203" s="17"/>
      <c r="Q2203" s="17"/>
    </row>
    <row r="2204">
      <c r="B2204" s="11">
        <f>IFERROR(__xludf.DUMMYFUNCTION("""COMPUTED_VALUE"""),42822.66666666667)</f>
        <v>42822.66667</v>
      </c>
      <c r="C2204" s="9">
        <f>IFERROR(__xludf.DUMMYFUNCTION("""COMPUTED_VALUE"""),64.98)</f>
        <v>64.98</v>
      </c>
      <c r="E2204" s="17"/>
      <c r="N2204" s="17"/>
      <c r="Q2204" s="17"/>
    </row>
    <row r="2205">
      <c r="B2205" s="11">
        <f>IFERROR(__xludf.DUMMYFUNCTION("""COMPUTED_VALUE"""),42821.66666666667)</f>
        <v>42821.66667</v>
      </c>
      <c r="C2205" s="9">
        <f>IFERROR(__xludf.DUMMYFUNCTION("""COMPUTED_VALUE"""),64.3)</f>
        <v>64.3</v>
      </c>
      <c r="E2205" s="17"/>
      <c r="N2205" s="17"/>
      <c r="Q2205" s="17"/>
    </row>
    <row r="2206">
      <c r="B2206" s="11">
        <f>IFERROR(__xludf.DUMMYFUNCTION("""COMPUTED_VALUE"""),42818.66666666667)</f>
        <v>42818.66667</v>
      </c>
      <c r="C2206" s="9">
        <f>IFERROR(__xludf.DUMMYFUNCTION("""COMPUTED_VALUE"""),64.53)</f>
        <v>64.53</v>
      </c>
      <c r="E2206" s="17"/>
      <c r="N2206" s="17"/>
      <c r="Q2206" s="17"/>
    </row>
    <row r="2207">
      <c r="B2207" s="11">
        <f>IFERROR(__xludf.DUMMYFUNCTION("""COMPUTED_VALUE"""),42817.66666666667)</f>
        <v>42817.66667</v>
      </c>
      <c r="C2207" s="9">
        <f>IFERROR(__xludf.DUMMYFUNCTION("""COMPUTED_VALUE"""),64.7)</f>
        <v>64.7</v>
      </c>
      <c r="E2207" s="17"/>
      <c r="N2207" s="17"/>
      <c r="Q2207" s="17"/>
    </row>
    <row r="2208">
      <c r="B2208" s="11">
        <f>IFERROR(__xludf.DUMMYFUNCTION("""COMPUTED_VALUE"""),42816.66666666667)</f>
        <v>42816.66667</v>
      </c>
      <c r="C2208" s="9">
        <f>IFERROR(__xludf.DUMMYFUNCTION("""COMPUTED_VALUE"""),64.79)</f>
        <v>64.79</v>
      </c>
      <c r="E2208" s="17"/>
      <c r="N2208" s="17"/>
      <c r="Q2208" s="17"/>
    </row>
    <row r="2209">
      <c r="B2209" s="11">
        <f>IFERROR(__xludf.DUMMYFUNCTION("""COMPUTED_VALUE"""),42815.66666666667)</f>
        <v>42815.66667</v>
      </c>
      <c r="C2209" s="9">
        <f>IFERROR(__xludf.DUMMYFUNCTION("""COMPUTED_VALUE"""),64.56)</f>
        <v>64.56</v>
      </c>
      <c r="E2209" s="17"/>
      <c r="N2209" s="17"/>
      <c r="Q2209" s="17"/>
    </row>
    <row r="2210">
      <c r="B2210" s="11">
        <f>IFERROR(__xludf.DUMMYFUNCTION("""COMPUTED_VALUE"""),42814.66666666667)</f>
        <v>42814.66667</v>
      </c>
      <c r="C2210" s="9">
        <f>IFERROR(__xludf.DUMMYFUNCTION("""COMPUTED_VALUE"""),65.56)</f>
        <v>65.56</v>
      </c>
      <c r="E2210" s="17"/>
      <c r="N2210" s="17"/>
      <c r="Q2210" s="17"/>
    </row>
    <row r="2211">
      <c r="B2211" s="11">
        <f>IFERROR(__xludf.DUMMYFUNCTION("""COMPUTED_VALUE"""),42811.66666666667)</f>
        <v>42811.66667</v>
      </c>
      <c r="C2211" s="9">
        <f>IFERROR(__xludf.DUMMYFUNCTION("""COMPUTED_VALUE"""),65.68)</f>
        <v>65.68</v>
      </c>
      <c r="E2211" s="17"/>
      <c r="N2211" s="17"/>
      <c r="Q2211" s="17"/>
    </row>
    <row r="2212">
      <c r="B2212" s="11">
        <f>IFERROR(__xludf.DUMMYFUNCTION("""COMPUTED_VALUE"""),42810.66666666667)</f>
        <v>42810.66667</v>
      </c>
      <c r="C2212" s="9">
        <f>IFERROR(__xludf.DUMMYFUNCTION("""COMPUTED_VALUE"""),65.62)</f>
        <v>65.62</v>
      </c>
      <c r="E2212" s="17"/>
      <c r="N2212" s="17"/>
      <c r="Q2212" s="17"/>
    </row>
    <row r="2213">
      <c r="B2213" s="11">
        <f>IFERROR(__xludf.DUMMYFUNCTION("""COMPUTED_VALUE"""),42809.66666666667)</f>
        <v>42809.66667</v>
      </c>
      <c r="C2213" s="9">
        <f>IFERROR(__xludf.DUMMYFUNCTION("""COMPUTED_VALUE"""),65.92)</f>
        <v>65.92</v>
      </c>
      <c r="E2213" s="17"/>
      <c r="N2213" s="17"/>
      <c r="Q2213" s="17"/>
    </row>
    <row r="2214">
      <c r="B2214" s="11">
        <f>IFERROR(__xludf.DUMMYFUNCTION("""COMPUTED_VALUE"""),42808.66666666667)</f>
        <v>42808.66667</v>
      </c>
      <c r="C2214" s="9">
        <f>IFERROR(__xludf.DUMMYFUNCTION("""COMPUTED_VALUE"""),65.18)</f>
        <v>65.18</v>
      </c>
      <c r="E2214" s="17"/>
      <c r="N2214" s="17"/>
      <c r="Q2214" s="17"/>
    </row>
    <row r="2215">
      <c r="B2215" s="11">
        <f>IFERROR(__xludf.DUMMYFUNCTION("""COMPUTED_VALUE"""),42807.66666666667)</f>
        <v>42807.66667</v>
      </c>
      <c r="C2215" s="9">
        <f>IFERROR(__xludf.DUMMYFUNCTION("""COMPUTED_VALUE"""),65.8)</f>
        <v>65.8</v>
      </c>
      <c r="E2215" s="17"/>
      <c r="N2215" s="17"/>
      <c r="Q2215" s="17"/>
    </row>
    <row r="2216">
      <c r="B2216" s="11">
        <f>IFERROR(__xludf.DUMMYFUNCTION("""COMPUTED_VALUE"""),42804.66666666667)</f>
        <v>42804.66667</v>
      </c>
      <c r="C2216" s="9">
        <f>IFERROR(__xludf.DUMMYFUNCTION("""COMPUTED_VALUE"""),65.84)</f>
        <v>65.84</v>
      </c>
      <c r="E2216" s="17"/>
      <c r="N2216" s="17"/>
      <c r="Q2216" s="17"/>
    </row>
    <row r="2217">
      <c r="B2217" s="11">
        <f>IFERROR(__xludf.DUMMYFUNCTION("""COMPUTED_VALUE"""),42803.66666666667)</f>
        <v>42803.66667</v>
      </c>
      <c r="C2217" s="9">
        <f>IFERROR(__xludf.DUMMYFUNCTION("""COMPUTED_VALUE"""),65.44)</f>
        <v>65.44</v>
      </c>
      <c r="E2217" s="17"/>
      <c r="N2217" s="17"/>
      <c r="Q2217" s="17"/>
    </row>
    <row r="2218">
      <c r="B2218" s="11">
        <f>IFERROR(__xludf.DUMMYFUNCTION("""COMPUTED_VALUE"""),42802.66666666667)</f>
        <v>42802.66667</v>
      </c>
      <c r="C2218" s="9">
        <f>IFERROR(__xludf.DUMMYFUNCTION("""COMPUTED_VALUE"""),65.74)</f>
        <v>65.74</v>
      </c>
      <c r="E2218" s="17"/>
      <c r="N2218" s="17"/>
      <c r="Q2218" s="17"/>
    </row>
    <row r="2219">
      <c r="B2219" s="11">
        <f>IFERROR(__xludf.DUMMYFUNCTION("""COMPUTED_VALUE"""),42801.66666666667)</f>
        <v>42801.66667</v>
      </c>
      <c r="C2219" s="9">
        <f>IFERROR(__xludf.DUMMYFUNCTION("""COMPUTED_VALUE"""),65.97)</f>
        <v>65.97</v>
      </c>
      <c r="E2219" s="17"/>
      <c r="N2219" s="17"/>
      <c r="Q2219" s="17"/>
    </row>
    <row r="2220">
      <c r="B2220" s="11">
        <f>IFERROR(__xludf.DUMMYFUNCTION("""COMPUTED_VALUE"""),42800.66666666667)</f>
        <v>42800.66667</v>
      </c>
      <c r="C2220" s="9">
        <f>IFERROR(__xludf.DUMMYFUNCTION("""COMPUTED_VALUE"""),66.16)</f>
        <v>66.16</v>
      </c>
      <c r="E2220" s="17"/>
      <c r="N2220" s="17"/>
      <c r="Q2220" s="17"/>
    </row>
    <row r="2221">
      <c r="B2221" s="11">
        <f>IFERROR(__xludf.DUMMYFUNCTION("""COMPUTED_VALUE"""),42797.66666666667)</f>
        <v>42797.66667</v>
      </c>
      <c r="C2221" s="9">
        <f>IFERROR(__xludf.DUMMYFUNCTION("""COMPUTED_VALUE"""),66.32)</f>
        <v>66.32</v>
      </c>
      <c r="E2221" s="17"/>
      <c r="N2221" s="17"/>
      <c r="Q2221" s="17"/>
    </row>
    <row r="2222">
      <c r="B2222" s="11">
        <f>IFERROR(__xludf.DUMMYFUNCTION("""COMPUTED_VALUE"""),42796.66666666667)</f>
        <v>42796.66667</v>
      </c>
      <c r="C2222" s="9">
        <f>IFERROR(__xludf.DUMMYFUNCTION("""COMPUTED_VALUE"""),66.25)</f>
        <v>66.25</v>
      </c>
      <c r="E2222" s="17"/>
      <c r="N2222" s="17"/>
      <c r="Q2222" s="17"/>
    </row>
    <row r="2223">
      <c r="B2223" s="11">
        <f>IFERROR(__xludf.DUMMYFUNCTION("""COMPUTED_VALUE"""),42795.66666666667)</f>
        <v>42795.66667</v>
      </c>
      <c r="C2223" s="9">
        <f>IFERROR(__xludf.DUMMYFUNCTION("""COMPUTED_VALUE"""),66.97)</f>
        <v>66.97</v>
      </c>
      <c r="E2223" s="17"/>
      <c r="N2223" s="17"/>
      <c r="Q2223" s="17"/>
    </row>
    <row r="2224">
      <c r="B2224" s="11">
        <f>IFERROR(__xludf.DUMMYFUNCTION("""COMPUTED_VALUE"""),42794.66666666667)</f>
        <v>42794.66667</v>
      </c>
      <c r="C2224" s="9">
        <f>IFERROR(__xludf.DUMMYFUNCTION("""COMPUTED_VALUE"""),65.86)</f>
        <v>65.86</v>
      </c>
      <c r="E2224" s="17"/>
      <c r="N2224" s="17"/>
      <c r="Q2224" s="17"/>
    </row>
    <row r="2225">
      <c r="B2225" s="11">
        <f>IFERROR(__xludf.DUMMYFUNCTION("""COMPUTED_VALUE"""),42793.66666666667)</f>
        <v>42793.66667</v>
      </c>
      <c r="C2225" s="9">
        <f>IFERROR(__xludf.DUMMYFUNCTION("""COMPUTED_VALUE"""),66.13)</f>
        <v>66.13</v>
      </c>
      <c r="E2225" s="17"/>
      <c r="N2225" s="17"/>
      <c r="Q2225" s="17"/>
    </row>
    <row r="2226">
      <c r="B2226" s="11">
        <f>IFERROR(__xludf.DUMMYFUNCTION("""COMPUTED_VALUE"""),42790.66666666667)</f>
        <v>42790.66667</v>
      </c>
      <c r="C2226" s="9">
        <f>IFERROR(__xludf.DUMMYFUNCTION("""COMPUTED_VALUE"""),65.89)</f>
        <v>65.89</v>
      </c>
      <c r="E2226" s="17"/>
      <c r="N2226" s="17"/>
      <c r="Q2226" s="17"/>
    </row>
    <row r="2227">
      <c r="B2227" s="11">
        <f>IFERROR(__xludf.DUMMYFUNCTION("""COMPUTED_VALUE"""),42789.66666666667)</f>
        <v>42789.66667</v>
      </c>
      <c r="C2227" s="9">
        <f>IFERROR(__xludf.DUMMYFUNCTION("""COMPUTED_VALUE"""),65.61)</f>
        <v>65.61</v>
      </c>
      <c r="E2227" s="17"/>
      <c r="N2227" s="17"/>
      <c r="Q2227" s="17"/>
    </row>
    <row r="2228">
      <c r="B2228" s="11">
        <f>IFERROR(__xludf.DUMMYFUNCTION("""COMPUTED_VALUE"""),42788.66666666667)</f>
        <v>42788.66667</v>
      </c>
      <c r="C2228" s="9">
        <f>IFERROR(__xludf.DUMMYFUNCTION("""COMPUTED_VALUE"""),66.04)</f>
        <v>66.04</v>
      </c>
      <c r="E2228" s="17"/>
      <c r="N2228" s="17"/>
      <c r="Q2228" s="17"/>
    </row>
    <row r="2229">
      <c r="B2229" s="11">
        <f>IFERROR(__xludf.DUMMYFUNCTION("""COMPUTED_VALUE"""),42787.66666666667)</f>
        <v>42787.66667</v>
      </c>
      <c r="C2229" s="9">
        <f>IFERROR(__xludf.DUMMYFUNCTION("""COMPUTED_VALUE"""),66.22)</f>
        <v>66.22</v>
      </c>
      <c r="E2229" s="17"/>
      <c r="N2229" s="17"/>
      <c r="Q2229" s="17"/>
    </row>
    <row r="2230">
      <c r="B2230" s="11">
        <f>IFERROR(__xludf.DUMMYFUNCTION("""COMPUTED_VALUE"""),42783.66666666667)</f>
        <v>42783.66667</v>
      </c>
      <c r="C2230" s="9">
        <f>IFERROR(__xludf.DUMMYFUNCTION("""COMPUTED_VALUE"""),65.89)</f>
        <v>65.89</v>
      </c>
      <c r="E2230" s="17"/>
      <c r="N2230" s="17"/>
      <c r="Q2230" s="17"/>
    </row>
    <row r="2231">
      <c r="B2231" s="11">
        <f>IFERROR(__xludf.DUMMYFUNCTION("""COMPUTED_VALUE"""),42782.66666666667)</f>
        <v>42782.66667</v>
      </c>
      <c r="C2231" s="9">
        <f>IFERROR(__xludf.DUMMYFUNCTION("""COMPUTED_VALUE"""),65.78)</f>
        <v>65.78</v>
      </c>
      <c r="E2231" s="17"/>
      <c r="N2231" s="17"/>
      <c r="Q2231" s="17"/>
    </row>
    <row r="2232">
      <c r="B2232" s="11">
        <f>IFERROR(__xludf.DUMMYFUNCTION("""COMPUTED_VALUE"""),42781.66666666667)</f>
        <v>42781.66667</v>
      </c>
      <c r="C2232" s="9">
        <f>IFERROR(__xludf.DUMMYFUNCTION("""COMPUTED_VALUE"""),65.76)</f>
        <v>65.76</v>
      </c>
      <c r="E2232" s="17"/>
      <c r="N2232" s="17"/>
      <c r="Q2232" s="17"/>
    </row>
    <row r="2233">
      <c r="B2233" s="11">
        <f>IFERROR(__xludf.DUMMYFUNCTION("""COMPUTED_VALUE"""),42780.66666666667)</f>
        <v>42780.66667</v>
      </c>
      <c r="C2233" s="9">
        <f>IFERROR(__xludf.DUMMYFUNCTION("""COMPUTED_VALUE"""),65.41)</f>
        <v>65.41</v>
      </c>
      <c r="E2233" s="17"/>
      <c r="N2233" s="17"/>
      <c r="Q2233" s="17"/>
    </row>
    <row r="2234">
      <c r="B2234" s="11">
        <f>IFERROR(__xludf.DUMMYFUNCTION("""COMPUTED_VALUE"""),42779.66666666667)</f>
        <v>42779.66667</v>
      </c>
      <c r="C2234" s="9">
        <f>IFERROR(__xludf.DUMMYFUNCTION("""COMPUTED_VALUE"""),65.38)</f>
        <v>65.38</v>
      </c>
      <c r="E2234" s="17"/>
      <c r="N2234" s="17"/>
      <c r="Q2234" s="17"/>
    </row>
    <row r="2235">
      <c r="B2235" s="11">
        <f>IFERROR(__xludf.DUMMYFUNCTION("""COMPUTED_VALUE"""),42776.66666666667)</f>
        <v>42776.66667</v>
      </c>
      <c r="C2235" s="9">
        <f>IFERROR(__xludf.DUMMYFUNCTION("""COMPUTED_VALUE"""),64.73)</f>
        <v>64.73</v>
      </c>
      <c r="E2235" s="17"/>
      <c r="N2235" s="17"/>
      <c r="Q2235" s="17"/>
    </row>
    <row r="2236">
      <c r="B2236" s="11">
        <f>IFERROR(__xludf.DUMMYFUNCTION("""COMPUTED_VALUE"""),42775.66666666667)</f>
        <v>42775.66667</v>
      </c>
      <c r="C2236" s="9">
        <f>IFERROR(__xludf.DUMMYFUNCTION("""COMPUTED_VALUE"""),64.22)</f>
        <v>64.22</v>
      </c>
      <c r="E2236" s="17"/>
      <c r="N2236" s="17"/>
      <c r="Q2236" s="17"/>
    </row>
    <row r="2237">
      <c r="B2237" s="11">
        <f>IFERROR(__xludf.DUMMYFUNCTION("""COMPUTED_VALUE"""),42774.66666666667)</f>
        <v>42774.66667</v>
      </c>
      <c r="C2237" s="9">
        <f>IFERROR(__xludf.DUMMYFUNCTION("""COMPUTED_VALUE"""),63.73)</f>
        <v>63.73</v>
      </c>
      <c r="E2237" s="17"/>
      <c r="N2237" s="17"/>
      <c r="Q2237" s="17"/>
    </row>
    <row r="2238">
      <c r="B2238" s="11">
        <f>IFERROR(__xludf.DUMMYFUNCTION("""COMPUTED_VALUE"""),42773.66666666667)</f>
        <v>42773.66667</v>
      </c>
      <c r="C2238" s="9">
        <f>IFERROR(__xludf.DUMMYFUNCTION("""COMPUTED_VALUE"""),63.82)</f>
        <v>63.82</v>
      </c>
      <c r="E2238" s="17"/>
      <c r="N2238" s="17"/>
      <c r="Q2238" s="17"/>
    </row>
    <row r="2239">
      <c r="B2239" s="11">
        <f>IFERROR(__xludf.DUMMYFUNCTION("""COMPUTED_VALUE"""),42772.66666666667)</f>
        <v>42772.66667</v>
      </c>
      <c r="C2239" s="9">
        <f>IFERROR(__xludf.DUMMYFUNCTION("""COMPUTED_VALUE"""),63.71)</f>
        <v>63.71</v>
      </c>
      <c r="E2239" s="17"/>
      <c r="N2239" s="17"/>
      <c r="Q2239" s="17"/>
    </row>
    <row r="2240">
      <c r="B2240" s="11">
        <f>IFERROR(__xludf.DUMMYFUNCTION("""COMPUTED_VALUE"""),42769.66666666667)</f>
        <v>42769.66667</v>
      </c>
      <c r="C2240" s="9">
        <f>IFERROR(__xludf.DUMMYFUNCTION("""COMPUTED_VALUE"""),63.62)</f>
        <v>63.62</v>
      </c>
      <c r="E2240" s="17"/>
      <c r="N2240" s="17"/>
      <c r="Q2240" s="17"/>
    </row>
    <row r="2241">
      <c r="B2241" s="11">
        <f>IFERROR(__xludf.DUMMYFUNCTION("""COMPUTED_VALUE"""),42768.66666666667)</f>
        <v>42768.66667</v>
      </c>
      <c r="C2241" s="9">
        <f>IFERROR(__xludf.DUMMYFUNCTION("""COMPUTED_VALUE"""),63.15)</f>
        <v>63.15</v>
      </c>
      <c r="E2241" s="17"/>
      <c r="N2241" s="17"/>
      <c r="Q2241" s="17"/>
    </row>
    <row r="2242">
      <c r="B2242" s="11">
        <f>IFERROR(__xludf.DUMMYFUNCTION("""COMPUTED_VALUE"""),42767.66666666667)</f>
        <v>42767.66667</v>
      </c>
      <c r="C2242" s="9">
        <f>IFERROR(__xludf.DUMMYFUNCTION("""COMPUTED_VALUE"""),63.27)</f>
        <v>63.27</v>
      </c>
      <c r="E2242" s="17"/>
      <c r="N2242" s="17"/>
      <c r="Q2242" s="17"/>
    </row>
    <row r="2243">
      <c r="B2243" s="11">
        <f>IFERROR(__xludf.DUMMYFUNCTION("""COMPUTED_VALUE"""),42766.66666666667)</f>
        <v>42766.66667</v>
      </c>
      <c r="C2243" s="9">
        <f>IFERROR(__xludf.DUMMYFUNCTION("""COMPUTED_VALUE"""),63.38)</f>
        <v>63.38</v>
      </c>
      <c r="E2243" s="17"/>
      <c r="N2243" s="17"/>
      <c r="Q2243" s="17"/>
    </row>
    <row r="2244">
      <c r="B2244" s="11">
        <f>IFERROR(__xludf.DUMMYFUNCTION("""COMPUTED_VALUE"""),42765.66666666667)</f>
        <v>42765.66667</v>
      </c>
      <c r="C2244" s="9">
        <f>IFERROR(__xludf.DUMMYFUNCTION("""COMPUTED_VALUE"""),63.94)</f>
        <v>63.94</v>
      </c>
      <c r="E2244" s="17"/>
      <c r="N2244" s="17"/>
      <c r="Q2244" s="17"/>
    </row>
    <row r="2245">
      <c r="B2245" s="11">
        <f>IFERROR(__xludf.DUMMYFUNCTION("""COMPUTED_VALUE"""),42762.66666666667)</f>
        <v>42762.66667</v>
      </c>
      <c r="C2245" s="9">
        <f>IFERROR(__xludf.DUMMYFUNCTION("""COMPUTED_VALUE"""),64.49)</f>
        <v>64.49</v>
      </c>
      <c r="E2245" s="17"/>
      <c r="N2245" s="17"/>
      <c r="Q2245" s="17"/>
    </row>
    <row r="2246">
      <c r="B2246" s="11">
        <f>IFERROR(__xludf.DUMMYFUNCTION("""COMPUTED_VALUE"""),42761.66666666667)</f>
        <v>42761.66667</v>
      </c>
      <c r="C2246" s="9">
        <f>IFERROR(__xludf.DUMMYFUNCTION("""COMPUTED_VALUE"""),64.54)</f>
        <v>64.54</v>
      </c>
      <c r="E2246" s="17"/>
      <c r="N2246" s="17"/>
      <c r="Q2246" s="17"/>
    </row>
    <row r="2247">
      <c r="B2247" s="11">
        <f>IFERROR(__xludf.DUMMYFUNCTION("""COMPUTED_VALUE"""),42760.66666666667)</f>
        <v>42760.66667</v>
      </c>
      <c r="C2247" s="9">
        <f>IFERROR(__xludf.DUMMYFUNCTION("""COMPUTED_VALUE"""),64.39)</f>
        <v>64.39</v>
      </c>
      <c r="E2247" s="17"/>
      <c r="N2247" s="17"/>
      <c r="Q2247" s="17"/>
    </row>
    <row r="2248">
      <c r="B2248" s="11">
        <f>IFERROR(__xludf.DUMMYFUNCTION("""COMPUTED_VALUE"""),42759.66666666667)</f>
        <v>42759.66667</v>
      </c>
      <c r="C2248" s="9">
        <f>IFERROR(__xludf.DUMMYFUNCTION("""COMPUTED_VALUE"""),63.72)</f>
        <v>63.72</v>
      </c>
      <c r="E2248" s="17"/>
      <c r="N2248" s="17"/>
      <c r="Q2248" s="17"/>
    </row>
    <row r="2249">
      <c r="B2249" s="11">
        <f>IFERROR(__xludf.DUMMYFUNCTION("""COMPUTED_VALUE"""),42758.66666666667)</f>
        <v>42758.66667</v>
      </c>
      <c r="C2249" s="9">
        <f>IFERROR(__xludf.DUMMYFUNCTION("""COMPUTED_VALUE"""),63.09)</f>
        <v>63.09</v>
      </c>
      <c r="E2249" s="17"/>
      <c r="N2249" s="17"/>
      <c r="Q2249" s="17"/>
    </row>
    <row r="2250">
      <c r="B2250" s="11">
        <f>IFERROR(__xludf.DUMMYFUNCTION("""COMPUTED_VALUE"""),42755.66666666667)</f>
        <v>42755.66667</v>
      </c>
      <c r="C2250" s="9">
        <f>IFERROR(__xludf.DUMMYFUNCTION("""COMPUTED_VALUE"""),63.44)</f>
        <v>63.44</v>
      </c>
      <c r="E2250" s="17"/>
      <c r="N2250" s="17"/>
      <c r="Q2250" s="17"/>
    </row>
    <row r="2251">
      <c r="B2251" s="11">
        <f>IFERROR(__xludf.DUMMYFUNCTION("""COMPUTED_VALUE"""),42754.66666666667)</f>
        <v>42754.66667</v>
      </c>
      <c r="C2251" s="9">
        <f>IFERROR(__xludf.DUMMYFUNCTION("""COMPUTED_VALUE"""),63.43)</f>
        <v>63.43</v>
      </c>
      <c r="E2251" s="17"/>
      <c r="N2251" s="17"/>
      <c r="Q2251" s="17"/>
    </row>
    <row r="2252">
      <c r="B2252" s="11">
        <f>IFERROR(__xludf.DUMMYFUNCTION("""COMPUTED_VALUE"""),42753.66666666667)</f>
        <v>42753.66667</v>
      </c>
      <c r="C2252" s="9">
        <f>IFERROR(__xludf.DUMMYFUNCTION("""COMPUTED_VALUE"""),62.97)</f>
        <v>62.97</v>
      </c>
      <c r="E2252" s="17"/>
      <c r="N2252" s="17"/>
      <c r="Q2252" s="17"/>
    </row>
    <row r="2253">
      <c r="B2253" s="11">
        <f>IFERROR(__xludf.DUMMYFUNCTION("""COMPUTED_VALUE"""),42752.66666666667)</f>
        <v>42752.66667</v>
      </c>
      <c r="C2253" s="9">
        <f>IFERROR(__xludf.DUMMYFUNCTION("""COMPUTED_VALUE"""),62.73)</f>
        <v>62.73</v>
      </c>
      <c r="E2253" s="17"/>
      <c r="N2253" s="17"/>
      <c r="Q2253" s="17"/>
    </row>
    <row r="2254">
      <c r="B2254" s="11">
        <f>IFERROR(__xludf.DUMMYFUNCTION("""COMPUTED_VALUE"""),42748.66666666667)</f>
        <v>42748.66667</v>
      </c>
      <c r="C2254" s="9">
        <f>IFERROR(__xludf.DUMMYFUNCTION("""COMPUTED_VALUE"""),63.22)</f>
        <v>63.22</v>
      </c>
      <c r="E2254" s="17"/>
      <c r="N2254" s="17"/>
      <c r="Q2254" s="17"/>
    </row>
    <row r="2255">
      <c r="B2255" s="11">
        <f>IFERROR(__xludf.DUMMYFUNCTION("""COMPUTED_VALUE"""),42747.66666666667)</f>
        <v>42747.66667</v>
      </c>
      <c r="C2255" s="9">
        <f>IFERROR(__xludf.DUMMYFUNCTION("""COMPUTED_VALUE"""),62.98)</f>
        <v>62.98</v>
      </c>
      <c r="E2255" s="17"/>
      <c r="N2255" s="17"/>
      <c r="Q2255" s="17"/>
    </row>
    <row r="2256">
      <c r="B2256" s="11">
        <f>IFERROR(__xludf.DUMMYFUNCTION("""COMPUTED_VALUE"""),42746.66666666667)</f>
        <v>42746.66667</v>
      </c>
      <c r="C2256" s="9">
        <f>IFERROR(__xludf.DUMMYFUNCTION("""COMPUTED_VALUE"""),63.24)</f>
        <v>63.24</v>
      </c>
      <c r="E2256" s="17"/>
      <c r="N2256" s="17"/>
      <c r="Q2256" s="17"/>
    </row>
    <row r="2257">
      <c r="B2257" s="11">
        <f>IFERROR(__xludf.DUMMYFUNCTION("""COMPUTED_VALUE"""),42745.66666666667)</f>
        <v>42745.66667</v>
      </c>
      <c r="C2257" s="9">
        <f>IFERROR(__xludf.DUMMYFUNCTION("""COMPUTED_VALUE"""),62.91)</f>
        <v>62.91</v>
      </c>
      <c r="E2257" s="17"/>
      <c r="N2257" s="17"/>
      <c r="Q2257" s="17"/>
    </row>
    <row r="2258">
      <c r="B2258" s="11">
        <f>IFERROR(__xludf.DUMMYFUNCTION("""COMPUTED_VALUE"""),42744.66666666667)</f>
        <v>42744.66667</v>
      </c>
      <c r="C2258" s="9">
        <f>IFERROR(__xludf.DUMMYFUNCTION("""COMPUTED_VALUE"""),62.65)</f>
        <v>62.65</v>
      </c>
      <c r="E2258" s="17"/>
      <c r="N2258" s="17"/>
      <c r="Q2258" s="17"/>
    </row>
    <row r="2259">
      <c r="B2259" s="11">
        <f>IFERROR(__xludf.DUMMYFUNCTION("""COMPUTED_VALUE"""),42741.66666666667)</f>
        <v>42741.66667</v>
      </c>
      <c r="C2259" s="9">
        <f>IFERROR(__xludf.DUMMYFUNCTION("""COMPUTED_VALUE"""),63.14)</f>
        <v>63.14</v>
      </c>
      <c r="E2259" s="17"/>
      <c r="N2259" s="17"/>
      <c r="Q2259" s="17"/>
    </row>
    <row r="2260">
      <c r="B2260" s="11">
        <f>IFERROR(__xludf.DUMMYFUNCTION("""COMPUTED_VALUE"""),42740.66666666667)</f>
        <v>42740.66667</v>
      </c>
      <c r="C2260" s="9">
        <f>IFERROR(__xludf.DUMMYFUNCTION("""COMPUTED_VALUE"""),62.78)</f>
        <v>62.78</v>
      </c>
      <c r="E2260" s="17"/>
      <c r="N2260" s="17"/>
      <c r="Q2260" s="17"/>
    </row>
    <row r="2261">
      <c r="B2261" s="11">
        <f>IFERROR(__xludf.DUMMYFUNCTION("""COMPUTED_VALUE"""),42739.66666666667)</f>
        <v>42739.66667</v>
      </c>
      <c r="C2261" s="9">
        <f>IFERROR(__xludf.DUMMYFUNCTION("""COMPUTED_VALUE"""),62.96)</f>
        <v>62.96</v>
      </c>
      <c r="E2261" s="17"/>
      <c r="N2261" s="17"/>
      <c r="Q2261" s="17"/>
    </row>
    <row r="2262">
      <c r="B2262" s="11">
        <f>IFERROR(__xludf.DUMMYFUNCTION("""COMPUTED_VALUE"""),42738.66666666667)</f>
        <v>42738.66667</v>
      </c>
      <c r="C2262" s="9">
        <f>IFERROR(__xludf.DUMMYFUNCTION("""COMPUTED_VALUE"""),62.59)</f>
        <v>62.59</v>
      </c>
      <c r="E2262" s="17"/>
      <c r="N2262" s="17"/>
      <c r="Q2262" s="17"/>
    </row>
    <row r="2263">
      <c r="B2263" s="11">
        <f>IFERROR(__xludf.DUMMYFUNCTION("""COMPUTED_VALUE"""),42734.66666666667)</f>
        <v>42734.66667</v>
      </c>
      <c r="C2263" s="9">
        <f>IFERROR(__xludf.DUMMYFUNCTION("""COMPUTED_VALUE"""),62.22)</f>
        <v>62.22</v>
      </c>
      <c r="E2263" s="17"/>
      <c r="N2263" s="17"/>
      <c r="Q2263" s="17"/>
    </row>
    <row r="2264">
      <c r="B2264" s="11">
        <f>IFERROR(__xludf.DUMMYFUNCTION("""COMPUTED_VALUE"""),42733.66666666667)</f>
        <v>42733.66667</v>
      </c>
      <c r="C2264" s="9">
        <f>IFERROR(__xludf.DUMMYFUNCTION("""COMPUTED_VALUE"""),62.44)</f>
        <v>62.44</v>
      </c>
      <c r="E2264" s="17"/>
      <c r="N2264" s="17"/>
      <c r="Q2264" s="17"/>
    </row>
    <row r="2265">
      <c r="B2265" s="11">
        <f>IFERROR(__xludf.DUMMYFUNCTION("""COMPUTED_VALUE"""),42732.66666666667)</f>
        <v>42732.66667</v>
      </c>
      <c r="C2265" s="9">
        <f>IFERROR(__xludf.DUMMYFUNCTION("""COMPUTED_VALUE"""),62.46)</f>
        <v>62.46</v>
      </c>
      <c r="E2265" s="17"/>
      <c r="N2265" s="17"/>
      <c r="Q2265" s="17"/>
    </row>
    <row r="2266">
      <c r="B2266" s="11">
        <f>IFERROR(__xludf.DUMMYFUNCTION("""COMPUTED_VALUE"""),42731.66666666667)</f>
        <v>42731.66667</v>
      </c>
      <c r="C2266" s="9">
        <f>IFERROR(__xludf.DUMMYFUNCTION("""COMPUTED_VALUE"""),63.12)</f>
        <v>63.12</v>
      </c>
      <c r="E2266" s="17"/>
      <c r="N2266" s="17"/>
      <c r="Q2266" s="17"/>
    </row>
    <row r="2267">
      <c r="B2267" s="11">
        <f>IFERROR(__xludf.DUMMYFUNCTION("""COMPUTED_VALUE"""),42727.66666666667)</f>
        <v>42727.66667</v>
      </c>
      <c r="C2267" s="9">
        <f>IFERROR(__xludf.DUMMYFUNCTION("""COMPUTED_VALUE"""),62.99)</f>
        <v>62.99</v>
      </c>
      <c r="E2267" s="17"/>
      <c r="N2267" s="17"/>
      <c r="Q2267" s="17"/>
    </row>
    <row r="2268">
      <c r="B2268" s="11">
        <f>IFERROR(__xludf.DUMMYFUNCTION("""COMPUTED_VALUE"""),42726.66666666667)</f>
        <v>42726.66667</v>
      </c>
      <c r="C2268" s="9">
        <f>IFERROR(__xludf.DUMMYFUNCTION("""COMPUTED_VALUE"""),62.93)</f>
        <v>62.93</v>
      </c>
      <c r="E2268" s="17"/>
      <c r="N2268" s="17"/>
      <c r="Q2268" s="17"/>
    </row>
    <row r="2269">
      <c r="B2269" s="11">
        <f>IFERROR(__xludf.DUMMYFUNCTION("""COMPUTED_VALUE"""),42725.66666666667)</f>
        <v>42725.66667</v>
      </c>
      <c r="C2269" s="9">
        <f>IFERROR(__xludf.DUMMYFUNCTION("""COMPUTED_VALUE"""),63.05)</f>
        <v>63.05</v>
      </c>
      <c r="E2269" s="17"/>
      <c r="N2269" s="17"/>
      <c r="Q2269" s="17"/>
    </row>
    <row r="2270">
      <c r="B2270" s="11">
        <f>IFERROR(__xludf.DUMMYFUNCTION("""COMPUTED_VALUE"""),42724.66666666667)</f>
        <v>42724.66667</v>
      </c>
      <c r="C2270" s="9">
        <f>IFERROR(__xludf.DUMMYFUNCTION("""COMPUTED_VALUE"""),63.29)</f>
        <v>63.29</v>
      </c>
      <c r="E2270" s="17"/>
      <c r="N2270" s="17"/>
      <c r="Q2270" s="17"/>
    </row>
    <row r="2271">
      <c r="B2271" s="11">
        <f>IFERROR(__xludf.DUMMYFUNCTION("""COMPUTED_VALUE"""),42723.66666666667)</f>
        <v>42723.66667</v>
      </c>
      <c r="C2271" s="9">
        <f>IFERROR(__xludf.DUMMYFUNCTION("""COMPUTED_VALUE"""),62.93)</f>
        <v>62.93</v>
      </c>
      <c r="E2271" s="17"/>
      <c r="N2271" s="17"/>
      <c r="Q2271" s="17"/>
    </row>
    <row r="2272">
      <c r="B2272" s="11">
        <f>IFERROR(__xludf.DUMMYFUNCTION("""COMPUTED_VALUE"""),42720.66666666667)</f>
        <v>42720.66667</v>
      </c>
      <c r="C2272" s="9">
        <f>IFERROR(__xludf.DUMMYFUNCTION("""COMPUTED_VALUE"""),62.58)</f>
        <v>62.58</v>
      </c>
      <c r="E2272" s="17"/>
      <c r="N2272" s="17"/>
      <c r="Q2272" s="17"/>
    </row>
    <row r="2273">
      <c r="B2273" s="11">
        <f>IFERROR(__xludf.DUMMYFUNCTION("""COMPUTED_VALUE"""),42719.66666666667)</f>
        <v>42719.66667</v>
      </c>
      <c r="C2273" s="9">
        <f>IFERROR(__xludf.DUMMYFUNCTION("""COMPUTED_VALUE"""),63.09)</f>
        <v>63.09</v>
      </c>
      <c r="E2273" s="17"/>
      <c r="N2273" s="17"/>
      <c r="Q2273" s="17"/>
    </row>
    <row r="2274">
      <c r="B2274" s="11">
        <f>IFERROR(__xludf.DUMMYFUNCTION("""COMPUTED_VALUE"""),42718.66666666667)</f>
        <v>42718.66667</v>
      </c>
      <c r="C2274" s="9">
        <f>IFERROR(__xludf.DUMMYFUNCTION("""COMPUTED_VALUE"""),63.02)</f>
        <v>63.02</v>
      </c>
      <c r="E2274" s="17"/>
      <c r="N2274" s="17"/>
      <c r="Q2274" s="17"/>
    </row>
    <row r="2275">
      <c r="B2275" s="11">
        <f>IFERROR(__xludf.DUMMYFUNCTION("""COMPUTED_VALUE"""),42717.66666666667)</f>
        <v>42717.66667</v>
      </c>
      <c r="C2275" s="9">
        <f>IFERROR(__xludf.DUMMYFUNCTION("""COMPUTED_VALUE"""),63.66)</f>
        <v>63.66</v>
      </c>
      <c r="E2275" s="17"/>
      <c r="N2275" s="17"/>
      <c r="Q2275" s="17"/>
    </row>
    <row r="2276">
      <c r="B2276" s="11">
        <f>IFERROR(__xludf.DUMMYFUNCTION("""COMPUTED_VALUE"""),42716.66666666667)</f>
        <v>42716.66667</v>
      </c>
      <c r="C2276" s="9">
        <f>IFERROR(__xludf.DUMMYFUNCTION("""COMPUTED_VALUE"""),63.75)</f>
        <v>63.75</v>
      </c>
      <c r="E2276" s="17"/>
      <c r="N2276" s="17"/>
      <c r="Q2276" s="17"/>
    </row>
    <row r="2277">
      <c r="B2277" s="11">
        <f>IFERROR(__xludf.DUMMYFUNCTION("""COMPUTED_VALUE"""),42713.66666666667)</f>
        <v>42713.66667</v>
      </c>
      <c r="C2277" s="9">
        <f>IFERROR(__xludf.DUMMYFUNCTION("""COMPUTED_VALUE"""),63.98)</f>
        <v>63.98</v>
      </c>
      <c r="E2277" s="17"/>
      <c r="N2277" s="17"/>
      <c r="Q2277" s="17"/>
    </row>
    <row r="2278">
      <c r="B2278" s="11">
        <f>IFERROR(__xludf.DUMMYFUNCTION("""COMPUTED_VALUE"""),42712.66666666667)</f>
        <v>42712.66667</v>
      </c>
      <c r="C2278" s="9">
        <f>IFERROR(__xludf.DUMMYFUNCTION("""COMPUTED_VALUE"""),63.69)</f>
        <v>63.69</v>
      </c>
      <c r="E2278" s="17"/>
      <c r="N2278" s="17"/>
      <c r="Q2278" s="17"/>
    </row>
    <row r="2279">
      <c r="B2279" s="11">
        <f>IFERROR(__xludf.DUMMYFUNCTION("""COMPUTED_VALUE"""),42711.66666666667)</f>
        <v>42711.66667</v>
      </c>
      <c r="C2279" s="9">
        <f>IFERROR(__xludf.DUMMYFUNCTION("""COMPUTED_VALUE"""),64.05)</f>
        <v>64.05</v>
      </c>
      <c r="E2279" s="17"/>
      <c r="N2279" s="17"/>
      <c r="Q2279" s="17"/>
    </row>
    <row r="2280">
      <c r="B2280" s="11">
        <f>IFERROR(__xludf.DUMMYFUNCTION("""COMPUTED_VALUE"""),42710.66666666667)</f>
        <v>42710.66667</v>
      </c>
      <c r="C2280" s="9">
        <f>IFERROR(__xludf.DUMMYFUNCTION("""COMPUTED_VALUE"""),62.88)</f>
        <v>62.88</v>
      </c>
      <c r="E2280" s="17"/>
      <c r="N2280" s="17"/>
      <c r="Q2280" s="17"/>
    </row>
    <row r="2281">
      <c r="B2281" s="11">
        <f>IFERROR(__xludf.DUMMYFUNCTION("""COMPUTED_VALUE"""),42709.66666666667)</f>
        <v>42709.66667</v>
      </c>
      <c r="C2281" s="9">
        <f>IFERROR(__xludf.DUMMYFUNCTION("""COMPUTED_VALUE"""),62.76)</f>
        <v>62.76</v>
      </c>
      <c r="E2281" s="17"/>
      <c r="N2281" s="17"/>
      <c r="Q2281" s="17"/>
    </row>
    <row r="2282">
      <c r="B2282" s="11">
        <f>IFERROR(__xludf.DUMMYFUNCTION("""COMPUTED_VALUE"""),42706.66666666667)</f>
        <v>42706.66667</v>
      </c>
      <c r="C2282" s="9">
        <f>IFERROR(__xludf.DUMMYFUNCTION("""COMPUTED_VALUE"""),62.81)</f>
        <v>62.81</v>
      </c>
      <c r="E2282" s="17"/>
      <c r="N2282" s="17"/>
      <c r="Q2282" s="17"/>
    </row>
    <row r="2283">
      <c r="B2283" s="11">
        <f>IFERROR(__xludf.DUMMYFUNCTION("""COMPUTED_VALUE"""),42705.66666666667)</f>
        <v>42705.66667</v>
      </c>
      <c r="C2283" s="9">
        <f>IFERROR(__xludf.DUMMYFUNCTION("""COMPUTED_VALUE"""),62.82)</f>
        <v>62.82</v>
      </c>
      <c r="E2283" s="17"/>
      <c r="N2283" s="17"/>
      <c r="Q2283" s="17"/>
    </row>
    <row r="2284">
      <c r="B2284" s="11">
        <f>IFERROR(__xludf.DUMMYFUNCTION("""COMPUTED_VALUE"""),42704.66666666667)</f>
        <v>42704.66667</v>
      </c>
      <c r="C2284" s="9">
        <f>IFERROR(__xludf.DUMMYFUNCTION("""COMPUTED_VALUE"""),62.41)</f>
        <v>62.41</v>
      </c>
      <c r="E2284" s="17"/>
      <c r="N2284" s="17"/>
      <c r="Q2284" s="17"/>
    </row>
    <row r="2285">
      <c r="B2285" s="11">
        <f>IFERROR(__xludf.DUMMYFUNCTION("""COMPUTED_VALUE"""),42703.66666666667)</f>
        <v>42703.66667</v>
      </c>
      <c r="C2285" s="9">
        <f>IFERROR(__xludf.DUMMYFUNCTION("""COMPUTED_VALUE"""),62.33)</f>
        <v>62.33</v>
      </c>
      <c r="E2285" s="17"/>
      <c r="N2285" s="17"/>
      <c r="Q2285" s="17"/>
    </row>
    <row r="2286">
      <c r="B2286" s="11">
        <f>IFERROR(__xludf.DUMMYFUNCTION("""COMPUTED_VALUE"""),42702.66666666667)</f>
        <v>42702.66667</v>
      </c>
      <c r="C2286" s="9">
        <f>IFERROR(__xludf.DUMMYFUNCTION("""COMPUTED_VALUE"""),62.28)</f>
        <v>62.28</v>
      </c>
      <c r="E2286" s="17"/>
      <c r="N2286" s="17"/>
      <c r="Q2286" s="17"/>
    </row>
    <row r="2287">
      <c r="B2287" s="11">
        <f>IFERROR(__xludf.DUMMYFUNCTION("""COMPUTED_VALUE"""),42699.66666666667)</f>
        <v>42699.66667</v>
      </c>
      <c r="C2287" s="9">
        <f>IFERROR(__xludf.DUMMYFUNCTION("""COMPUTED_VALUE"""),62.71)</f>
        <v>62.71</v>
      </c>
      <c r="E2287" s="17"/>
      <c r="N2287" s="17"/>
      <c r="Q2287" s="17"/>
    </row>
    <row r="2288">
      <c r="B2288" s="11">
        <f>IFERROR(__xludf.DUMMYFUNCTION("""COMPUTED_VALUE"""),42697.66666666667)</f>
        <v>42697.66667</v>
      </c>
      <c r="C2288" s="9">
        <f>IFERROR(__xludf.DUMMYFUNCTION("""COMPUTED_VALUE"""),62.37)</f>
        <v>62.37</v>
      </c>
      <c r="E2288" s="17"/>
      <c r="N2288" s="17"/>
      <c r="Q2288" s="17"/>
    </row>
    <row r="2289">
      <c r="B2289" s="11">
        <f>IFERROR(__xludf.DUMMYFUNCTION("""COMPUTED_VALUE"""),42696.66666666667)</f>
        <v>42696.66667</v>
      </c>
      <c r="C2289" s="9">
        <f>IFERROR(__xludf.DUMMYFUNCTION("""COMPUTED_VALUE"""),61.91)</f>
        <v>61.91</v>
      </c>
      <c r="E2289" s="17"/>
      <c r="N2289" s="17"/>
      <c r="Q2289" s="17"/>
    </row>
    <row r="2290">
      <c r="B2290" s="11">
        <f>IFERROR(__xludf.DUMMYFUNCTION("""COMPUTED_VALUE"""),42695.66666666667)</f>
        <v>42695.66667</v>
      </c>
      <c r="C2290" s="9">
        <f>IFERROR(__xludf.DUMMYFUNCTION("""COMPUTED_VALUE"""),61.63)</f>
        <v>61.63</v>
      </c>
      <c r="E2290" s="17"/>
      <c r="N2290" s="17"/>
      <c r="Q2290" s="17"/>
    </row>
    <row r="2291">
      <c r="B2291" s="11">
        <f>IFERROR(__xludf.DUMMYFUNCTION("""COMPUTED_VALUE"""),42692.66666666667)</f>
        <v>42692.66667</v>
      </c>
      <c r="C2291" s="9">
        <f>IFERROR(__xludf.DUMMYFUNCTION("""COMPUTED_VALUE"""),61.3)</f>
        <v>61.3</v>
      </c>
      <c r="E2291" s="17"/>
      <c r="N2291" s="17"/>
      <c r="Q2291" s="17"/>
    </row>
    <row r="2292">
      <c r="B2292" s="11">
        <f>IFERROR(__xludf.DUMMYFUNCTION("""COMPUTED_VALUE"""),42691.66666666667)</f>
        <v>42691.66667</v>
      </c>
      <c r="C2292" s="9">
        <f>IFERROR(__xludf.DUMMYFUNCTION("""COMPUTED_VALUE"""),61.32)</f>
        <v>61.32</v>
      </c>
      <c r="E2292" s="17"/>
      <c r="N2292" s="17"/>
      <c r="Q2292" s="17"/>
    </row>
    <row r="2293">
      <c r="B2293" s="11">
        <f>IFERROR(__xludf.DUMMYFUNCTION("""COMPUTED_VALUE"""),42690.66666666667)</f>
        <v>42690.66667</v>
      </c>
      <c r="C2293" s="9">
        <f>IFERROR(__xludf.DUMMYFUNCTION("""COMPUTED_VALUE"""),61.19)</f>
        <v>61.19</v>
      </c>
      <c r="E2293" s="17"/>
      <c r="N2293" s="17"/>
      <c r="Q2293" s="17"/>
    </row>
    <row r="2294">
      <c r="B2294" s="11">
        <f>IFERROR(__xludf.DUMMYFUNCTION("""COMPUTED_VALUE"""),42689.66666666667)</f>
        <v>42689.66667</v>
      </c>
      <c r="C2294" s="9">
        <f>IFERROR(__xludf.DUMMYFUNCTION("""COMPUTED_VALUE"""),61.54)</f>
        <v>61.54</v>
      </c>
      <c r="E2294" s="17"/>
      <c r="N2294" s="17"/>
      <c r="Q2294" s="17"/>
    </row>
    <row r="2295">
      <c r="B2295" s="11">
        <f>IFERROR(__xludf.DUMMYFUNCTION("""COMPUTED_VALUE"""),42688.66666666667)</f>
        <v>42688.66667</v>
      </c>
      <c r="C2295" s="9">
        <f>IFERROR(__xludf.DUMMYFUNCTION("""COMPUTED_VALUE"""),61.31)</f>
        <v>61.31</v>
      </c>
      <c r="E2295" s="17"/>
      <c r="N2295" s="17"/>
      <c r="Q2295" s="17"/>
    </row>
    <row r="2296">
      <c r="B2296" s="11">
        <f>IFERROR(__xludf.DUMMYFUNCTION("""COMPUTED_VALUE"""),42685.66666666667)</f>
        <v>42685.66667</v>
      </c>
      <c r="C2296" s="9">
        <f>IFERROR(__xludf.DUMMYFUNCTION("""COMPUTED_VALUE"""),61.05)</f>
        <v>61.05</v>
      </c>
      <c r="E2296" s="17"/>
      <c r="N2296" s="17"/>
      <c r="Q2296" s="17"/>
    </row>
    <row r="2297">
      <c r="B2297" s="11">
        <f>IFERROR(__xludf.DUMMYFUNCTION("""COMPUTED_VALUE"""),42684.66666666667)</f>
        <v>42684.66667</v>
      </c>
      <c r="C2297" s="9">
        <f>IFERROR(__xludf.DUMMYFUNCTION("""COMPUTED_VALUE"""),60.94)</f>
        <v>60.94</v>
      </c>
      <c r="E2297" s="17"/>
      <c r="N2297" s="17"/>
      <c r="Q2297" s="17"/>
    </row>
    <row r="2298">
      <c r="B2298" s="11">
        <f>IFERROR(__xludf.DUMMYFUNCTION("""COMPUTED_VALUE"""),42683.66666666667)</f>
        <v>42683.66667</v>
      </c>
      <c r="C2298" s="9">
        <f>IFERROR(__xludf.DUMMYFUNCTION("""COMPUTED_VALUE"""),59.67)</f>
        <v>59.67</v>
      </c>
      <c r="E2298" s="17"/>
      <c r="N2298" s="17"/>
      <c r="Q2298" s="17"/>
    </row>
    <row r="2299">
      <c r="B2299" s="11">
        <f>IFERROR(__xludf.DUMMYFUNCTION("""COMPUTED_VALUE"""),42682.66666666667)</f>
        <v>42682.66667</v>
      </c>
      <c r="C2299" s="9">
        <f>IFERROR(__xludf.DUMMYFUNCTION("""COMPUTED_VALUE"""),58.21)</f>
        <v>58.21</v>
      </c>
      <c r="E2299" s="17"/>
      <c r="N2299" s="17"/>
      <c r="Q2299" s="17"/>
    </row>
    <row r="2300">
      <c r="B2300" s="11">
        <f>IFERROR(__xludf.DUMMYFUNCTION("""COMPUTED_VALUE"""),42681.66666666667)</f>
        <v>42681.66667</v>
      </c>
      <c r="C2300" s="9">
        <f>IFERROR(__xludf.DUMMYFUNCTION("""COMPUTED_VALUE"""),57.86)</f>
        <v>57.86</v>
      </c>
      <c r="E2300" s="17"/>
      <c r="N2300" s="17"/>
      <c r="Q2300" s="17"/>
    </row>
    <row r="2301">
      <c r="B2301" s="11">
        <f>IFERROR(__xludf.DUMMYFUNCTION("""COMPUTED_VALUE"""),42678.66666666667)</f>
        <v>42678.66667</v>
      </c>
      <c r="C2301" s="9">
        <f>IFERROR(__xludf.DUMMYFUNCTION("""COMPUTED_VALUE"""),56.47)</f>
        <v>56.47</v>
      </c>
      <c r="E2301" s="17"/>
      <c r="N2301" s="17"/>
      <c r="Q2301" s="17"/>
    </row>
    <row r="2302">
      <c r="B2302" s="11">
        <f>IFERROR(__xludf.DUMMYFUNCTION("""COMPUTED_VALUE"""),42677.66666666667)</f>
        <v>42677.66667</v>
      </c>
      <c r="C2302" s="9">
        <f>IFERROR(__xludf.DUMMYFUNCTION("""COMPUTED_VALUE"""),56.42)</f>
        <v>56.42</v>
      </c>
      <c r="E2302" s="17"/>
      <c r="N2302" s="17"/>
      <c r="Q2302" s="17"/>
    </row>
    <row r="2303">
      <c r="B2303" s="11">
        <f>IFERROR(__xludf.DUMMYFUNCTION("""COMPUTED_VALUE"""),42676.66666666667)</f>
        <v>42676.66667</v>
      </c>
      <c r="C2303" s="9">
        <f>IFERROR(__xludf.DUMMYFUNCTION("""COMPUTED_VALUE"""),56.51)</f>
        <v>56.51</v>
      </c>
      <c r="E2303" s="17"/>
      <c r="N2303" s="17"/>
      <c r="Q2303" s="17"/>
    </row>
    <row r="2304">
      <c r="B2304" s="11">
        <f>IFERROR(__xludf.DUMMYFUNCTION("""COMPUTED_VALUE"""),42675.66666666667)</f>
        <v>42675.66667</v>
      </c>
      <c r="C2304" s="9">
        <f>IFERROR(__xludf.DUMMYFUNCTION("""COMPUTED_VALUE"""),56.72)</f>
        <v>56.72</v>
      </c>
      <c r="E2304" s="17"/>
      <c r="N2304" s="17"/>
      <c r="Q2304" s="17"/>
    </row>
    <row r="2305">
      <c r="B2305" s="11">
        <f>IFERROR(__xludf.DUMMYFUNCTION("""COMPUTED_VALUE"""),42674.66666666667)</f>
        <v>42674.66667</v>
      </c>
      <c r="C2305" s="9">
        <f>IFERROR(__xludf.DUMMYFUNCTION("""COMPUTED_VALUE"""),57.21)</f>
        <v>57.21</v>
      </c>
      <c r="E2305" s="17"/>
      <c r="N2305" s="17"/>
      <c r="Q2305" s="17"/>
    </row>
    <row r="2306">
      <c r="B2306" s="11">
        <f>IFERROR(__xludf.DUMMYFUNCTION("""COMPUTED_VALUE"""),42671.66666666667)</f>
        <v>42671.66667</v>
      </c>
      <c r="C2306" s="9">
        <f>IFERROR(__xludf.DUMMYFUNCTION("""COMPUTED_VALUE"""),57.1)</f>
        <v>57.1</v>
      </c>
      <c r="E2306" s="17"/>
      <c r="N2306" s="17"/>
      <c r="Q2306" s="17"/>
    </row>
    <row r="2307">
      <c r="B2307" s="11">
        <f>IFERROR(__xludf.DUMMYFUNCTION("""COMPUTED_VALUE"""),42670.66666666667)</f>
        <v>42670.66667</v>
      </c>
      <c r="C2307" s="9">
        <f>IFERROR(__xludf.DUMMYFUNCTION("""COMPUTED_VALUE"""),56.76)</f>
        <v>56.76</v>
      </c>
      <c r="E2307" s="17"/>
      <c r="N2307" s="17"/>
      <c r="Q2307" s="17"/>
    </row>
    <row r="2308">
      <c r="B2308" s="11">
        <f>IFERROR(__xludf.DUMMYFUNCTION("""COMPUTED_VALUE"""),42669.66666666667)</f>
        <v>42669.66667</v>
      </c>
      <c r="C2308" s="9">
        <f>IFERROR(__xludf.DUMMYFUNCTION("""COMPUTED_VALUE"""),57.15)</f>
        <v>57.15</v>
      </c>
      <c r="E2308" s="17"/>
      <c r="N2308" s="17"/>
      <c r="Q2308" s="17"/>
    </row>
    <row r="2309">
      <c r="B2309" s="11">
        <f>IFERROR(__xludf.DUMMYFUNCTION("""COMPUTED_VALUE"""),42668.66666666667)</f>
        <v>42668.66667</v>
      </c>
      <c r="C2309" s="9">
        <f>IFERROR(__xludf.DUMMYFUNCTION("""COMPUTED_VALUE"""),56.95)</f>
        <v>56.95</v>
      </c>
      <c r="E2309" s="17"/>
      <c r="N2309" s="17"/>
      <c r="Q2309" s="17"/>
    </row>
    <row r="2310">
      <c r="B2310" s="11">
        <f>IFERROR(__xludf.DUMMYFUNCTION("""COMPUTED_VALUE"""),42667.66666666667)</f>
        <v>42667.66667</v>
      </c>
      <c r="C2310" s="9">
        <f>IFERROR(__xludf.DUMMYFUNCTION("""COMPUTED_VALUE"""),57.1)</f>
        <v>57.1</v>
      </c>
      <c r="E2310" s="17"/>
      <c r="N2310" s="17"/>
      <c r="Q2310" s="17"/>
    </row>
    <row r="2311">
      <c r="B2311" s="11">
        <f>IFERROR(__xludf.DUMMYFUNCTION("""COMPUTED_VALUE"""),42664.66666666667)</f>
        <v>42664.66667</v>
      </c>
      <c r="C2311" s="9">
        <f>IFERROR(__xludf.DUMMYFUNCTION("""COMPUTED_VALUE"""),56.99)</f>
        <v>56.99</v>
      </c>
      <c r="E2311" s="17"/>
      <c r="N2311" s="17"/>
      <c r="Q2311" s="17"/>
    </row>
    <row r="2312">
      <c r="B2312" s="11">
        <f>IFERROR(__xludf.DUMMYFUNCTION("""COMPUTED_VALUE"""),42663.66666666667)</f>
        <v>42663.66667</v>
      </c>
      <c r="C2312" s="9">
        <f>IFERROR(__xludf.DUMMYFUNCTION("""COMPUTED_VALUE"""),57.07)</f>
        <v>57.07</v>
      </c>
      <c r="E2312" s="17"/>
      <c r="N2312" s="17"/>
      <c r="Q2312" s="17"/>
    </row>
    <row r="2313">
      <c r="B2313" s="11">
        <f>IFERROR(__xludf.DUMMYFUNCTION("""COMPUTED_VALUE"""),42662.66666666667)</f>
        <v>42662.66667</v>
      </c>
      <c r="C2313" s="9">
        <f>IFERROR(__xludf.DUMMYFUNCTION("""COMPUTED_VALUE"""),57.38)</f>
        <v>57.38</v>
      </c>
      <c r="E2313" s="17"/>
      <c r="N2313" s="17"/>
      <c r="Q2313" s="17"/>
    </row>
    <row r="2314">
      <c r="B2314" s="11">
        <f>IFERROR(__xludf.DUMMYFUNCTION("""COMPUTED_VALUE"""),42661.66666666667)</f>
        <v>42661.66667</v>
      </c>
      <c r="C2314" s="9">
        <f>IFERROR(__xludf.DUMMYFUNCTION("""COMPUTED_VALUE"""),57.2)</f>
        <v>57.2</v>
      </c>
      <c r="E2314" s="17"/>
      <c r="N2314" s="17"/>
      <c r="Q2314" s="17"/>
    </row>
    <row r="2315">
      <c r="B2315" s="11">
        <f>IFERROR(__xludf.DUMMYFUNCTION("""COMPUTED_VALUE"""),42660.66666666667)</f>
        <v>42660.66667</v>
      </c>
      <c r="C2315" s="9">
        <f>IFERROR(__xludf.DUMMYFUNCTION("""COMPUTED_VALUE"""),57.08)</f>
        <v>57.08</v>
      </c>
      <c r="E2315" s="17"/>
      <c r="N2315" s="17"/>
      <c r="Q2315" s="17"/>
    </row>
    <row r="2316">
      <c r="B2316" s="11">
        <f>IFERROR(__xludf.DUMMYFUNCTION("""COMPUTED_VALUE"""),42657.66666666667)</f>
        <v>42657.66667</v>
      </c>
      <c r="C2316" s="9">
        <f>IFERROR(__xludf.DUMMYFUNCTION("""COMPUTED_VALUE"""),57.23)</f>
        <v>57.23</v>
      </c>
      <c r="E2316" s="17"/>
      <c r="N2316" s="17"/>
      <c r="Q2316" s="17"/>
    </row>
    <row r="2317">
      <c r="B2317" s="11">
        <f>IFERROR(__xludf.DUMMYFUNCTION("""COMPUTED_VALUE"""),42656.66666666667)</f>
        <v>42656.66667</v>
      </c>
      <c r="C2317" s="9">
        <f>IFERROR(__xludf.DUMMYFUNCTION("""COMPUTED_VALUE"""),57.11)</f>
        <v>57.11</v>
      </c>
      <c r="E2317" s="17"/>
      <c r="N2317" s="17"/>
      <c r="Q2317" s="17"/>
    </row>
    <row r="2318">
      <c r="B2318" s="11">
        <f>IFERROR(__xludf.DUMMYFUNCTION("""COMPUTED_VALUE"""),42655.66666666667)</f>
        <v>42655.66667</v>
      </c>
      <c r="C2318" s="9">
        <f>IFERROR(__xludf.DUMMYFUNCTION("""COMPUTED_VALUE"""),57.13)</f>
        <v>57.13</v>
      </c>
      <c r="E2318" s="17"/>
      <c r="N2318" s="17"/>
      <c r="Q2318" s="17"/>
    </row>
    <row r="2319">
      <c r="B2319" s="11">
        <f>IFERROR(__xludf.DUMMYFUNCTION("""COMPUTED_VALUE"""),42654.66666666667)</f>
        <v>42654.66667</v>
      </c>
      <c r="C2319" s="9">
        <f>IFERROR(__xludf.DUMMYFUNCTION("""COMPUTED_VALUE"""),57.02)</f>
        <v>57.02</v>
      </c>
      <c r="E2319" s="17"/>
      <c r="N2319" s="17"/>
      <c r="Q2319" s="17"/>
    </row>
    <row r="2320">
      <c r="B2320" s="11">
        <f>IFERROR(__xludf.DUMMYFUNCTION("""COMPUTED_VALUE"""),42653.66666666667)</f>
        <v>42653.66667</v>
      </c>
      <c r="C2320" s="9">
        <f>IFERROR(__xludf.DUMMYFUNCTION("""COMPUTED_VALUE"""),57.62)</f>
        <v>57.62</v>
      </c>
      <c r="E2320" s="17"/>
      <c r="N2320" s="17"/>
      <c r="Q2320" s="17"/>
    </row>
    <row r="2321">
      <c r="B2321" s="11">
        <f>IFERROR(__xludf.DUMMYFUNCTION("""COMPUTED_VALUE"""),42650.66666666667)</f>
        <v>42650.66667</v>
      </c>
      <c r="C2321" s="9">
        <f>IFERROR(__xludf.DUMMYFUNCTION("""COMPUTED_VALUE"""),57.56)</f>
        <v>57.56</v>
      </c>
      <c r="E2321" s="17"/>
      <c r="N2321" s="17"/>
      <c r="Q2321" s="17"/>
    </row>
    <row r="2322">
      <c r="B2322" s="11">
        <f>IFERROR(__xludf.DUMMYFUNCTION("""COMPUTED_VALUE"""),42649.66666666667)</f>
        <v>42649.66667</v>
      </c>
      <c r="C2322" s="9">
        <f>IFERROR(__xludf.DUMMYFUNCTION("""COMPUTED_VALUE"""),58.31)</f>
        <v>58.31</v>
      </c>
      <c r="E2322" s="17"/>
      <c r="N2322" s="17"/>
      <c r="Q2322" s="17"/>
    </row>
    <row r="2323">
      <c r="B2323" s="11">
        <f>IFERROR(__xludf.DUMMYFUNCTION("""COMPUTED_VALUE"""),42648.66666666667)</f>
        <v>42648.66667</v>
      </c>
      <c r="C2323" s="9">
        <f>IFERROR(__xludf.DUMMYFUNCTION("""COMPUTED_VALUE"""),58.31)</f>
        <v>58.31</v>
      </c>
      <c r="E2323" s="17"/>
      <c r="N2323" s="17"/>
      <c r="Q2323" s="17"/>
    </row>
    <row r="2324">
      <c r="B2324" s="11">
        <f>IFERROR(__xludf.DUMMYFUNCTION("""COMPUTED_VALUE"""),42647.66666666667)</f>
        <v>42647.66667</v>
      </c>
      <c r="C2324" s="9">
        <f>IFERROR(__xludf.DUMMYFUNCTION("""COMPUTED_VALUE"""),57.94)</f>
        <v>57.94</v>
      </c>
      <c r="E2324" s="17"/>
      <c r="N2324" s="17"/>
      <c r="Q2324" s="17"/>
    </row>
    <row r="2325">
      <c r="B2325" s="11">
        <f>IFERROR(__xludf.DUMMYFUNCTION("""COMPUTED_VALUE"""),42646.66666666667)</f>
        <v>42646.66667</v>
      </c>
      <c r="C2325" s="9">
        <f>IFERROR(__xludf.DUMMYFUNCTION("""COMPUTED_VALUE"""),58.43)</f>
        <v>58.43</v>
      </c>
      <c r="E2325" s="17"/>
      <c r="N2325" s="17"/>
      <c r="Q2325" s="17"/>
    </row>
    <row r="2326">
      <c r="B2326" s="11">
        <f>IFERROR(__xludf.DUMMYFUNCTION("""COMPUTED_VALUE"""),42643.66666666667)</f>
        <v>42643.66667</v>
      </c>
      <c r="C2326" s="9">
        <f>IFERROR(__xludf.DUMMYFUNCTION("""COMPUTED_VALUE"""),58.38)</f>
        <v>58.38</v>
      </c>
      <c r="E2326" s="17"/>
      <c r="N2326" s="17"/>
      <c r="Q2326" s="17"/>
    </row>
    <row r="2327">
      <c r="B2327" s="11">
        <f>IFERROR(__xludf.DUMMYFUNCTION("""COMPUTED_VALUE"""),42642.66666666667)</f>
        <v>42642.66667</v>
      </c>
      <c r="C2327" s="9">
        <f>IFERROR(__xludf.DUMMYFUNCTION("""COMPUTED_VALUE"""),57.86)</f>
        <v>57.86</v>
      </c>
      <c r="E2327" s="17"/>
      <c r="N2327" s="17"/>
      <c r="Q2327" s="17"/>
    </row>
    <row r="2328">
      <c r="B2328" s="11">
        <f>IFERROR(__xludf.DUMMYFUNCTION("""COMPUTED_VALUE"""),42641.66666666667)</f>
        <v>42641.66667</v>
      </c>
      <c r="C2328" s="9">
        <f>IFERROR(__xludf.DUMMYFUNCTION("""COMPUTED_VALUE"""),58.32)</f>
        <v>58.32</v>
      </c>
      <c r="E2328" s="17"/>
      <c r="N2328" s="17"/>
      <c r="Q2328" s="17"/>
    </row>
    <row r="2329">
      <c r="B2329" s="11">
        <f>IFERROR(__xludf.DUMMYFUNCTION("""COMPUTED_VALUE"""),42640.66666666667)</f>
        <v>42640.66667</v>
      </c>
      <c r="C2329" s="9">
        <f>IFERROR(__xludf.DUMMYFUNCTION("""COMPUTED_VALUE"""),57.87)</f>
        <v>57.87</v>
      </c>
      <c r="E2329" s="17"/>
      <c r="N2329" s="17"/>
      <c r="Q2329" s="17"/>
    </row>
    <row r="2330">
      <c r="B2330" s="11">
        <f>IFERROR(__xludf.DUMMYFUNCTION("""COMPUTED_VALUE"""),42639.66666666667)</f>
        <v>42639.66667</v>
      </c>
      <c r="C2330" s="9">
        <f>IFERROR(__xludf.DUMMYFUNCTION("""COMPUTED_VALUE"""),57.47)</f>
        <v>57.47</v>
      </c>
      <c r="E2330" s="17"/>
      <c r="N2330" s="17"/>
      <c r="Q2330" s="17"/>
    </row>
    <row r="2331">
      <c r="B2331" s="11">
        <f>IFERROR(__xludf.DUMMYFUNCTION("""COMPUTED_VALUE"""),42636.66666666667)</f>
        <v>42636.66667</v>
      </c>
      <c r="C2331" s="9">
        <f>IFERROR(__xludf.DUMMYFUNCTION("""COMPUTED_VALUE"""),57.72)</f>
        <v>57.72</v>
      </c>
      <c r="E2331" s="17"/>
      <c r="N2331" s="17"/>
      <c r="Q2331" s="17"/>
    </row>
    <row r="2332">
      <c r="B2332" s="11">
        <f>IFERROR(__xludf.DUMMYFUNCTION("""COMPUTED_VALUE"""),42635.66666666667)</f>
        <v>42635.66667</v>
      </c>
      <c r="C2332" s="9">
        <f>IFERROR(__xludf.DUMMYFUNCTION("""COMPUTED_VALUE"""),58.06)</f>
        <v>58.06</v>
      </c>
      <c r="E2332" s="17"/>
      <c r="N2332" s="17"/>
      <c r="Q2332" s="17"/>
    </row>
    <row r="2333">
      <c r="B2333" s="11">
        <f>IFERROR(__xludf.DUMMYFUNCTION("""COMPUTED_VALUE"""),42634.66666666667)</f>
        <v>42634.66667</v>
      </c>
      <c r="C2333" s="9">
        <f>IFERROR(__xludf.DUMMYFUNCTION("""COMPUTED_VALUE"""),57.65)</f>
        <v>57.65</v>
      </c>
      <c r="E2333" s="17"/>
      <c r="N2333" s="17"/>
      <c r="Q2333" s="17"/>
    </row>
    <row r="2334">
      <c r="B2334" s="11">
        <f>IFERROR(__xludf.DUMMYFUNCTION("""COMPUTED_VALUE"""),42633.66666666667)</f>
        <v>42633.66667</v>
      </c>
      <c r="C2334" s="9">
        <f>IFERROR(__xludf.DUMMYFUNCTION("""COMPUTED_VALUE"""),56.91)</f>
        <v>56.91</v>
      </c>
      <c r="E2334" s="17"/>
      <c r="N2334" s="17"/>
      <c r="Q2334" s="17"/>
    </row>
    <row r="2335">
      <c r="B2335" s="11">
        <f>IFERROR(__xludf.DUMMYFUNCTION("""COMPUTED_VALUE"""),42632.66666666667)</f>
        <v>42632.66667</v>
      </c>
      <c r="C2335" s="9">
        <f>IFERROR(__xludf.DUMMYFUNCTION("""COMPUTED_VALUE"""),56.86)</f>
        <v>56.86</v>
      </c>
      <c r="E2335" s="17"/>
      <c r="N2335" s="17"/>
      <c r="Q2335" s="17"/>
    </row>
    <row r="2336">
      <c r="B2336" s="11">
        <f>IFERROR(__xludf.DUMMYFUNCTION("""COMPUTED_VALUE"""),42629.66666666667)</f>
        <v>42629.66667</v>
      </c>
      <c r="C2336" s="9">
        <f>IFERROR(__xludf.DUMMYFUNCTION("""COMPUTED_VALUE"""),56.61)</f>
        <v>56.61</v>
      </c>
      <c r="E2336" s="17"/>
      <c r="N2336" s="17"/>
      <c r="Q2336" s="17"/>
    </row>
    <row r="2337">
      <c r="B2337" s="11">
        <f>IFERROR(__xludf.DUMMYFUNCTION("""COMPUTED_VALUE"""),42628.66666666667)</f>
        <v>42628.66667</v>
      </c>
      <c r="C2337" s="9">
        <f>IFERROR(__xludf.DUMMYFUNCTION("""COMPUTED_VALUE"""),57.4)</f>
        <v>57.4</v>
      </c>
      <c r="E2337" s="17"/>
      <c r="N2337" s="17"/>
      <c r="Q2337" s="17"/>
    </row>
    <row r="2338">
      <c r="B2338" s="11">
        <f>IFERROR(__xludf.DUMMYFUNCTION("""COMPUTED_VALUE"""),42627.66666666667)</f>
        <v>42627.66667</v>
      </c>
      <c r="C2338" s="9">
        <f>IFERROR(__xludf.DUMMYFUNCTION("""COMPUTED_VALUE"""),56.95)</f>
        <v>56.95</v>
      </c>
      <c r="E2338" s="17"/>
      <c r="N2338" s="17"/>
      <c r="Q2338" s="17"/>
    </row>
    <row r="2339">
      <c r="B2339" s="11">
        <f>IFERROR(__xludf.DUMMYFUNCTION("""COMPUTED_VALUE"""),42626.66666666667)</f>
        <v>42626.66667</v>
      </c>
      <c r="C2339" s="9">
        <f>IFERROR(__xludf.DUMMYFUNCTION("""COMPUTED_VALUE"""),57.0)</f>
        <v>57</v>
      </c>
      <c r="E2339" s="17"/>
      <c r="N2339" s="17"/>
      <c r="Q2339" s="17"/>
    </row>
    <row r="2340">
      <c r="B2340" s="11">
        <f>IFERROR(__xludf.DUMMYFUNCTION("""COMPUTED_VALUE"""),42625.66666666667)</f>
        <v>42625.66667</v>
      </c>
      <c r="C2340" s="9">
        <f>IFERROR(__xludf.DUMMYFUNCTION("""COMPUTED_VALUE"""),57.85)</f>
        <v>57.85</v>
      </c>
      <c r="E2340" s="17"/>
      <c r="N2340" s="17"/>
      <c r="Q2340" s="17"/>
    </row>
    <row r="2341">
      <c r="B2341" s="11">
        <f>IFERROR(__xludf.DUMMYFUNCTION("""COMPUTED_VALUE"""),42622.66666666667)</f>
        <v>42622.66667</v>
      </c>
      <c r="C2341" s="9">
        <f>IFERROR(__xludf.DUMMYFUNCTION("""COMPUTED_VALUE"""),57.12)</f>
        <v>57.12</v>
      </c>
      <c r="E2341" s="17"/>
      <c r="N2341" s="17"/>
      <c r="Q2341" s="17"/>
    </row>
    <row r="2342">
      <c r="B2342" s="11">
        <f>IFERROR(__xludf.DUMMYFUNCTION("""COMPUTED_VALUE"""),42621.66666666667)</f>
        <v>42621.66667</v>
      </c>
      <c r="C2342" s="9">
        <f>IFERROR(__xludf.DUMMYFUNCTION("""COMPUTED_VALUE"""),58.78)</f>
        <v>58.78</v>
      </c>
      <c r="E2342" s="17"/>
      <c r="N2342" s="17"/>
      <c r="Q2342" s="17"/>
    </row>
    <row r="2343">
      <c r="B2343" s="11">
        <f>IFERROR(__xludf.DUMMYFUNCTION("""COMPUTED_VALUE"""),42620.66666666667)</f>
        <v>42620.66667</v>
      </c>
      <c r="C2343" s="9">
        <f>IFERROR(__xludf.DUMMYFUNCTION("""COMPUTED_VALUE"""),58.83)</f>
        <v>58.83</v>
      </c>
      <c r="E2343" s="17"/>
      <c r="N2343" s="17"/>
      <c r="Q2343" s="17"/>
    </row>
    <row r="2344">
      <c r="B2344" s="11">
        <f>IFERROR(__xludf.DUMMYFUNCTION("""COMPUTED_VALUE"""),42619.66666666667)</f>
        <v>42619.66667</v>
      </c>
      <c r="C2344" s="9">
        <f>IFERROR(__xludf.DUMMYFUNCTION("""COMPUTED_VALUE"""),58.76)</f>
        <v>58.76</v>
      </c>
      <c r="E2344" s="17"/>
      <c r="N2344" s="17"/>
      <c r="Q2344" s="17"/>
    </row>
    <row r="2345">
      <c r="B2345" s="11">
        <f>IFERROR(__xludf.DUMMYFUNCTION("""COMPUTED_VALUE"""),42615.66666666667)</f>
        <v>42615.66667</v>
      </c>
      <c r="C2345" s="9">
        <f>IFERROR(__xludf.DUMMYFUNCTION("""COMPUTED_VALUE"""),58.93)</f>
        <v>58.93</v>
      </c>
      <c r="E2345" s="17"/>
      <c r="N2345" s="17"/>
      <c r="Q2345" s="17"/>
    </row>
    <row r="2346">
      <c r="B2346" s="11">
        <f>IFERROR(__xludf.DUMMYFUNCTION("""COMPUTED_VALUE"""),42614.66666666667)</f>
        <v>42614.66667</v>
      </c>
      <c r="C2346" s="9">
        <f>IFERROR(__xludf.DUMMYFUNCTION("""COMPUTED_VALUE"""),58.64)</f>
        <v>58.64</v>
      </c>
      <c r="E2346" s="17"/>
      <c r="N2346" s="17"/>
      <c r="Q2346" s="17"/>
    </row>
    <row r="2347">
      <c r="B2347" s="11">
        <f>IFERROR(__xludf.DUMMYFUNCTION("""COMPUTED_VALUE"""),42613.66666666667)</f>
        <v>42613.66667</v>
      </c>
      <c r="C2347" s="9">
        <f>IFERROR(__xludf.DUMMYFUNCTION("""COMPUTED_VALUE"""),58.59)</f>
        <v>58.59</v>
      </c>
      <c r="E2347" s="17"/>
      <c r="N2347" s="17"/>
      <c r="Q2347" s="17"/>
    </row>
    <row r="2348">
      <c r="B2348" s="11">
        <f>IFERROR(__xludf.DUMMYFUNCTION("""COMPUTED_VALUE"""),42612.66666666667)</f>
        <v>42612.66667</v>
      </c>
      <c r="C2348" s="9">
        <f>IFERROR(__xludf.DUMMYFUNCTION("""COMPUTED_VALUE"""),58.92)</f>
        <v>58.92</v>
      </c>
      <c r="E2348" s="17"/>
      <c r="N2348" s="17"/>
      <c r="Q2348" s="17"/>
    </row>
    <row r="2349">
      <c r="B2349" s="11">
        <f>IFERROR(__xludf.DUMMYFUNCTION("""COMPUTED_VALUE"""),42611.66666666667)</f>
        <v>42611.66667</v>
      </c>
      <c r="C2349" s="9">
        <f>IFERROR(__xludf.DUMMYFUNCTION("""COMPUTED_VALUE"""),59.08)</f>
        <v>59.08</v>
      </c>
      <c r="E2349" s="17"/>
      <c r="N2349" s="17"/>
      <c r="Q2349" s="17"/>
    </row>
    <row r="2350">
      <c r="B2350" s="11">
        <f>IFERROR(__xludf.DUMMYFUNCTION("""COMPUTED_VALUE"""),42608.66666666667)</f>
        <v>42608.66667</v>
      </c>
      <c r="C2350" s="9">
        <f>IFERROR(__xludf.DUMMYFUNCTION("""COMPUTED_VALUE"""),58.66)</f>
        <v>58.66</v>
      </c>
      <c r="E2350" s="17"/>
      <c r="N2350" s="17"/>
      <c r="Q2350" s="17"/>
    </row>
    <row r="2351">
      <c r="B2351" s="11">
        <f>IFERROR(__xludf.DUMMYFUNCTION("""COMPUTED_VALUE"""),42607.66666666667)</f>
        <v>42607.66667</v>
      </c>
      <c r="C2351" s="9">
        <f>IFERROR(__xludf.DUMMYFUNCTION("""COMPUTED_VALUE"""),58.83)</f>
        <v>58.83</v>
      </c>
      <c r="E2351" s="17"/>
      <c r="N2351" s="17"/>
      <c r="Q2351" s="17"/>
    </row>
    <row r="2352">
      <c r="B2352" s="11">
        <f>IFERROR(__xludf.DUMMYFUNCTION("""COMPUTED_VALUE"""),42606.66666666667)</f>
        <v>42606.66667</v>
      </c>
      <c r="C2352" s="9">
        <f>IFERROR(__xludf.DUMMYFUNCTION("""COMPUTED_VALUE"""),58.84)</f>
        <v>58.84</v>
      </c>
      <c r="E2352" s="17"/>
      <c r="N2352" s="17"/>
      <c r="Q2352" s="17"/>
    </row>
    <row r="2353">
      <c r="B2353" s="11">
        <f>IFERROR(__xludf.DUMMYFUNCTION("""COMPUTED_VALUE"""),42605.66666666667)</f>
        <v>42605.66667</v>
      </c>
      <c r="C2353" s="9">
        <f>IFERROR(__xludf.DUMMYFUNCTION("""COMPUTED_VALUE"""),59.02)</f>
        <v>59.02</v>
      </c>
      <c r="E2353" s="17"/>
      <c r="N2353" s="17"/>
      <c r="Q2353" s="17"/>
    </row>
    <row r="2354">
      <c r="B2354" s="11">
        <f>IFERROR(__xludf.DUMMYFUNCTION("""COMPUTED_VALUE"""),42604.66666666667)</f>
        <v>42604.66667</v>
      </c>
      <c r="C2354" s="9">
        <f>IFERROR(__xludf.DUMMYFUNCTION("""COMPUTED_VALUE"""),58.97)</f>
        <v>58.97</v>
      </c>
      <c r="E2354" s="17"/>
      <c r="N2354" s="17"/>
      <c r="Q2354" s="17"/>
    </row>
    <row r="2355">
      <c r="B2355" s="11">
        <f>IFERROR(__xludf.DUMMYFUNCTION("""COMPUTED_VALUE"""),42601.66666666667)</f>
        <v>42601.66667</v>
      </c>
      <c r="C2355" s="9">
        <f>IFERROR(__xludf.DUMMYFUNCTION("""COMPUTED_VALUE"""),59.02)</f>
        <v>59.02</v>
      </c>
      <c r="E2355" s="17"/>
      <c r="N2355" s="17"/>
      <c r="Q2355" s="17"/>
    </row>
    <row r="2356">
      <c r="B2356" s="11">
        <f>IFERROR(__xludf.DUMMYFUNCTION("""COMPUTED_VALUE"""),42600.66666666667)</f>
        <v>42600.66667</v>
      </c>
      <c r="C2356" s="9">
        <f>IFERROR(__xludf.DUMMYFUNCTION("""COMPUTED_VALUE"""),59.04)</f>
        <v>59.04</v>
      </c>
      <c r="E2356" s="17"/>
      <c r="N2356" s="17"/>
      <c r="Q2356" s="17"/>
    </row>
    <row r="2357">
      <c r="B2357" s="11">
        <f>IFERROR(__xludf.DUMMYFUNCTION("""COMPUTED_VALUE"""),42599.66666666667)</f>
        <v>42599.66667</v>
      </c>
      <c r="C2357" s="9">
        <f>IFERROR(__xludf.DUMMYFUNCTION("""COMPUTED_VALUE"""),58.86)</f>
        <v>58.86</v>
      </c>
      <c r="E2357" s="17"/>
      <c r="N2357" s="17"/>
      <c r="Q2357" s="17"/>
    </row>
    <row r="2358">
      <c r="B2358" s="11">
        <f>IFERROR(__xludf.DUMMYFUNCTION("""COMPUTED_VALUE"""),42598.66666666667)</f>
        <v>42598.66667</v>
      </c>
      <c r="C2358" s="9">
        <f>IFERROR(__xludf.DUMMYFUNCTION("""COMPUTED_VALUE"""),58.69)</f>
        <v>58.69</v>
      </c>
      <c r="E2358" s="17"/>
      <c r="N2358" s="17"/>
      <c r="Q2358" s="17"/>
    </row>
    <row r="2359">
      <c r="B2359" s="11">
        <f>IFERROR(__xludf.DUMMYFUNCTION("""COMPUTED_VALUE"""),42597.66666666667)</f>
        <v>42597.66667</v>
      </c>
      <c r="C2359" s="9">
        <f>IFERROR(__xludf.DUMMYFUNCTION("""COMPUTED_VALUE"""),58.95)</f>
        <v>58.95</v>
      </c>
      <c r="E2359" s="17"/>
      <c r="N2359" s="17"/>
      <c r="Q2359" s="17"/>
    </row>
    <row r="2360">
      <c r="B2360" s="11">
        <f>IFERROR(__xludf.DUMMYFUNCTION("""COMPUTED_VALUE"""),42594.66666666667)</f>
        <v>42594.66667</v>
      </c>
      <c r="C2360" s="9">
        <f>IFERROR(__xludf.DUMMYFUNCTION("""COMPUTED_VALUE"""),58.56)</f>
        <v>58.56</v>
      </c>
      <c r="E2360" s="17"/>
      <c r="N2360" s="17"/>
      <c r="Q2360" s="17"/>
    </row>
    <row r="2361">
      <c r="B2361" s="11">
        <f>IFERROR(__xludf.DUMMYFUNCTION("""COMPUTED_VALUE"""),42593.66666666667)</f>
        <v>42593.66667</v>
      </c>
      <c r="C2361" s="9">
        <f>IFERROR(__xludf.DUMMYFUNCTION("""COMPUTED_VALUE"""),58.72)</f>
        <v>58.72</v>
      </c>
      <c r="E2361" s="17"/>
      <c r="N2361" s="17"/>
      <c r="Q2361" s="17"/>
    </row>
    <row r="2362">
      <c r="B2362" s="11">
        <f>IFERROR(__xludf.DUMMYFUNCTION("""COMPUTED_VALUE"""),42592.66666666667)</f>
        <v>42592.66667</v>
      </c>
      <c r="C2362" s="9">
        <f>IFERROR(__xludf.DUMMYFUNCTION("""COMPUTED_VALUE"""),58.34)</f>
        <v>58.34</v>
      </c>
      <c r="E2362" s="17"/>
      <c r="N2362" s="17"/>
      <c r="Q2362" s="17"/>
    </row>
    <row r="2363">
      <c r="B2363" s="11">
        <f>IFERROR(__xludf.DUMMYFUNCTION("""COMPUTED_VALUE"""),42591.66666666667)</f>
        <v>42591.66667</v>
      </c>
      <c r="C2363" s="9">
        <f>IFERROR(__xludf.DUMMYFUNCTION("""COMPUTED_VALUE"""),58.37)</f>
        <v>58.37</v>
      </c>
      <c r="E2363" s="17"/>
      <c r="N2363" s="17"/>
      <c r="Q2363" s="17"/>
    </row>
    <row r="2364">
      <c r="B2364" s="11">
        <f>IFERROR(__xludf.DUMMYFUNCTION("""COMPUTED_VALUE"""),42590.66666666667)</f>
        <v>42590.66667</v>
      </c>
      <c r="C2364" s="9">
        <f>IFERROR(__xludf.DUMMYFUNCTION("""COMPUTED_VALUE"""),58.39)</f>
        <v>58.39</v>
      </c>
      <c r="E2364" s="17"/>
      <c r="N2364" s="17"/>
      <c r="Q2364" s="17"/>
    </row>
    <row r="2365">
      <c r="B2365" s="11">
        <f>IFERROR(__xludf.DUMMYFUNCTION("""COMPUTED_VALUE"""),42587.66666666667)</f>
        <v>42587.66667</v>
      </c>
      <c r="C2365" s="9">
        <f>IFERROR(__xludf.DUMMYFUNCTION("""COMPUTED_VALUE"""),58.31)</f>
        <v>58.31</v>
      </c>
      <c r="E2365" s="17"/>
      <c r="N2365" s="17"/>
      <c r="Q2365" s="17"/>
    </row>
    <row r="2366">
      <c r="B2366" s="11">
        <f>IFERROR(__xludf.DUMMYFUNCTION("""COMPUTED_VALUE"""),42586.66666666667)</f>
        <v>42586.66667</v>
      </c>
      <c r="C2366" s="9">
        <f>IFERROR(__xludf.DUMMYFUNCTION("""COMPUTED_VALUE"""),57.73)</f>
        <v>57.73</v>
      </c>
      <c r="E2366" s="17"/>
      <c r="N2366" s="17"/>
      <c r="Q2366" s="17"/>
    </row>
    <row r="2367">
      <c r="B2367" s="11">
        <f>IFERROR(__xludf.DUMMYFUNCTION("""COMPUTED_VALUE"""),42585.66666666667)</f>
        <v>42585.66667</v>
      </c>
      <c r="C2367" s="9">
        <f>IFERROR(__xludf.DUMMYFUNCTION("""COMPUTED_VALUE"""),57.71)</f>
        <v>57.71</v>
      </c>
      <c r="E2367" s="17"/>
      <c r="N2367" s="17"/>
      <c r="Q2367" s="17"/>
    </row>
    <row r="2368">
      <c r="B2368" s="11">
        <f>IFERROR(__xludf.DUMMYFUNCTION("""COMPUTED_VALUE"""),42584.66666666667)</f>
        <v>42584.66667</v>
      </c>
      <c r="C2368" s="9">
        <f>IFERROR(__xludf.DUMMYFUNCTION("""COMPUTED_VALUE"""),57.43)</f>
        <v>57.43</v>
      </c>
      <c r="E2368" s="17"/>
      <c r="N2368" s="17"/>
      <c r="Q2368" s="17"/>
    </row>
    <row r="2369">
      <c r="B2369" s="11">
        <f>IFERROR(__xludf.DUMMYFUNCTION("""COMPUTED_VALUE"""),42583.66666666667)</f>
        <v>42583.66667</v>
      </c>
      <c r="C2369" s="9">
        <f>IFERROR(__xludf.DUMMYFUNCTION("""COMPUTED_VALUE"""),57.97)</f>
        <v>57.97</v>
      </c>
      <c r="E2369" s="17"/>
      <c r="N2369" s="17"/>
      <c r="Q2369" s="17"/>
    </row>
    <row r="2370">
      <c r="B2370" s="11">
        <f>IFERROR(__xludf.DUMMYFUNCTION("""COMPUTED_VALUE"""),42580.66666666667)</f>
        <v>42580.66667</v>
      </c>
      <c r="C2370" s="9">
        <f>IFERROR(__xludf.DUMMYFUNCTION("""COMPUTED_VALUE"""),58.04)</f>
        <v>58.04</v>
      </c>
      <c r="E2370" s="17"/>
      <c r="N2370" s="17"/>
      <c r="Q2370" s="17"/>
    </row>
    <row r="2371">
      <c r="B2371" s="11">
        <f>IFERROR(__xludf.DUMMYFUNCTION("""COMPUTED_VALUE"""),42579.66666666667)</f>
        <v>42579.66667</v>
      </c>
      <c r="C2371" s="9">
        <f>IFERROR(__xludf.DUMMYFUNCTION("""COMPUTED_VALUE"""),58.21)</f>
        <v>58.21</v>
      </c>
      <c r="E2371" s="17"/>
      <c r="N2371" s="17"/>
      <c r="Q2371" s="17"/>
    </row>
    <row r="2372">
      <c r="B2372" s="11">
        <f>IFERROR(__xludf.DUMMYFUNCTION("""COMPUTED_VALUE"""),42578.66666666667)</f>
        <v>42578.66667</v>
      </c>
      <c r="C2372" s="9">
        <f>IFERROR(__xludf.DUMMYFUNCTION("""COMPUTED_VALUE"""),58.23)</f>
        <v>58.23</v>
      </c>
      <c r="E2372" s="17"/>
      <c r="N2372" s="17"/>
      <c r="Q2372" s="17"/>
    </row>
    <row r="2373">
      <c r="B2373" s="11">
        <f>IFERROR(__xludf.DUMMYFUNCTION("""COMPUTED_VALUE"""),42577.66666666667)</f>
        <v>42577.66667</v>
      </c>
      <c r="C2373" s="9">
        <f>IFERROR(__xludf.DUMMYFUNCTION("""COMPUTED_VALUE"""),58.46)</f>
        <v>58.46</v>
      </c>
      <c r="E2373" s="17"/>
      <c r="N2373" s="17"/>
      <c r="Q2373" s="17"/>
    </row>
    <row r="2374">
      <c r="B2374" s="11">
        <f>IFERROR(__xludf.DUMMYFUNCTION("""COMPUTED_VALUE"""),42576.66666666667)</f>
        <v>42576.66667</v>
      </c>
      <c r="C2374" s="9">
        <f>IFERROR(__xludf.DUMMYFUNCTION("""COMPUTED_VALUE"""),57.98)</f>
        <v>57.98</v>
      </c>
      <c r="E2374" s="17"/>
      <c r="N2374" s="17"/>
      <c r="Q2374" s="17"/>
    </row>
    <row r="2375">
      <c r="B2375" s="11">
        <f>IFERROR(__xludf.DUMMYFUNCTION("""COMPUTED_VALUE"""),42573.66666666667)</f>
        <v>42573.66667</v>
      </c>
      <c r="C2375" s="9">
        <f>IFERROR(__xludf.DUMMYFUNCTION("""COMPUTED_VALUE"""),58.29)</f>
        <v>58.29</v>
      </c>
      <c r="E2375" s="17"/>
      <c r="N2375" s="17"/>
      <c r="Q2375" s="17"/>
    </row>
    <row r="2376">
      <c r="B2376" s="11">
        <f>IFERROR(__xludf.DUMMYFUNCTION("""COMPUTED_VALUE"""),42572.66666666667)</f>
        <v>42572.66667</v>
      </c>
      <c r="C2376" s="9">
        <f>IFERROR(__xludf.DUMMYFUNCTION("""COMPUTED_VALUE"""),58.18)</f>
        <v>58.18</v>
      </c>
      <c r="E2376" s="17"/>
      <c r="N2376" s="17"/>
      <c r="Q2376" s="17"/>
    </row>
    <row r="2377">
      <c r="B2377" s="11">
        <f>IFERROR(__xludf.DUMMYFUNCTION("""COMPUTED_VALUE"""),42571.66666666667)</f>
        <v>42571.66667</v>
      </c>
      <c r="C2377" s="9">
        <f>IFERROR(__xludf.DUMMYFUNCTION("""COMPUTED_VALUE"""),58.78)</f>
        <v>58.78</v>
      </c>
      <c r="E2377" s="17"/>
      <c r="N2377" s="17"/>
      <c r="Q2377" s="17"/>
    </row>
    <row r="2378">
      <c r="B2378" s="11">
        <f>IFERROR(__xludf.DUMMYFUNCTION("""COMPUTED_VALUE"""),42570.66666666667)</f>
        <v>42570.66667</v>
      </c>
      <c r="C2378" s="9">
        <f>IFERROR(__xludf.DUMMYFUNCTION("""COMPUTED_VALUE"""),58.67)</f>
        <v>58.67</v>
      </c>
      <c r="E2378" s="17"/>
      <c r="N2378" s="17"/>
      <c r="Q2378" s="17"/>
    </row>
    <row r="2379">
      <c r="B2379" s="11">
        <f>IFERROR(__xludf.DUMMYFUNCTION("""COMPUTED_VALUE"""),42569.66666666667)</f>
        <v>42569.66667</v>
      </c>
      <c r="C2379" s="9">
        <f>IFERROR(__xludf.DUMMYFUNCTION("""COMPUTED_VALUE"""),58.64)</f>
        <v>58.64</v>
      </c>
      <c r="E2379" s="17"/>
      <c r="N2379" s="17"/>
      <c r="Q2379" s="17"/>
    </row>
    <row r="2380">
      <c r="B2380" s="11">
        <f>IFERROR(__xludf.DUMMYFUNCTION("""COMPUTED_VALUE"""),42566.66666666667)</f>
        <v>42566.66667</v>
      </c>
      <c r="C2380" s="9">
        <f>IFERROR(__xludf.DUMMYFUNCTION("""COMPUTED_VALUE"""),58.69)</f>
        <v>58.69</v>
      </c>
      <c r="E2380" s="17"/>
      <c r="N2380" s="17"/>
      <c r="Q2380" s="17"/>
    </row>
    <row r="2381">
      <c r="B2381" s="11">
        <f>IFERROR(__xludf.DUMMYFUNCTION("""COMPUTED_VALUE"""),42565.66666666667)</f>
        <v>42565.66667</v>
      </c>
      <c r="C2381" s="9">
        <f>IFERROR(__xludf.DUMMYFUNCTION("""COMPUTED_VALUE"""),58.7)</f>
        <v>58.7</v>
      </c>
      <c r="E2381" s="17"/>
      <c r="N2381" s="17"/>
      <c r="Q2381" s="17"/>
    </row>
    <row r="2382">
      <c r="B2382" s="11">
        <f>IFERROR(__xludf.DUMMYFUNCTION("""COMPUTED_VALUE"""),42564.66666666667)</f>
        <v>42564.66667</v>
      </c>
      <c r="C2382" s="9">
        <f>IFERROR(__xludf.DUMMYFUNCTION("""COMPUTED_VALUE"""),58.26)</f>
        <v>58.26</v>
      </c>
      <c r="E2382" s="17"/>
      <c r="N2382" s="17"/>
      <c r="Q2382" s="17"/>
    </row>
    <row r="2383">
      <c r="B2383" s="11">
        <f>IFERROR(__xludf.DUMMYFUNCTION("""COMPUTED_VALUE"""),42563.66666666667)</f>
        <v>42563.66667</v>
      </c>
      <c r="C2383" s="9">
        <f>IFERROR(__xludf.DUMMYFUNCTION("""COMPUTED_VALUE"""),58.12)</f>
        <v>58.12</v>
      </c>
      <c r="E2383" s="17"/>
      <c r="N2383" s="17"/>
      <c r="Q2383" s="17"/>
    </row>
    <row r="2384">
      <c r="B2384" s="11">
        <f>IFERROR(__xludf.DUMMYFUNCTION("""COMPUTED_VALUE"""),42562.66666666667)</f>
        <v>42562.66667</v>
      </c>
      <c r="C2384" s="9">
        <f>IFERROR(__xludf.DUMMYFUNCTION("""COMPUTED_VALUE"""),57.59)</f>
        <v>57.59</v>
      </c>
      <c r="E2384" s="17"/>
      <c r="N2384" s="17"/>
      <c r="Q2384" s="17"/>
    </row>
    <row r="2385">
      <c r="B2385" s="11">
        <f>IFERROR(__xludf.DUMMYFUNCTION("""COMPUTED_VALUE"""),42559.66666666667)</f>
        <v>42559.66667</v>
      </c>
      <c r="C2385" s="9">
        <f>IFERROR(__xludf.DUMMYFUNCTION("""COMPUTED_VALUE"""),57.23)</f>
        <v>57.23</v>
      </c>
      <c r="E2385" s="17"/>
      <c r="N2385" s="17"/>
      <c r="Q2385" s="17"/>
    </row>
    <row r="2386">
      <c r="B2386" s="11">
        <f>IFERROR(__xludf.DUMMYFUNCTION("""COMPUTED_VALUE"""),42558.66666666667)</f>
        <v>42558.66667</v>
      </c>
      <c r="C2386" s="9">
        <f>IFERROR(__xludf.DUMMYFUNCTION("""COMPUTED_VALUE"""),56.11)</f>
        <v>56.11</v>
      </c>
      <c r="E2386" s="17"/>
      <c r="N2386" s="17"/>
      <c r="Q2386" s="17"/>
    </row>
    <row r="2387">
      <c r="B2387" s="11">
        <f>IFERROR(__xludf.DUMMYFUNCTION("""COMPUTED_VALUE"""),42557.66666666667)</f>
        <v>42557.66667</v>
      </c>
      <c r="C2387" s="9">
        <f>IFERROR(__xludf.DUMMYFUNCTION("""COMPUTED_VALUE"""),55.96)</f>
        <v>55.96</v>
      </c>
      <c r="E2387" s="17"/>
      <c r="N2387" s="17"/>
      <c r="Q2387" s="17"/>
    </row>
    <row r="2388">
      <c r="B2388" s="11">
        <f>IFERROR(__xludf.DUMMYFUNCTION("""COMPUTED_VALUE"""),42556.66666666667)</f>
        <v>42556.66667</v>
      </c>
      <c r="C2388" s="9">
        <f>IFERROR(__xludf.DUMMYFUNCTION("""COMPUTED_VALUE"""),55.68)</f>
        <v>55.68</v>
      </c>
      <c r="E2388" s="17"/>
      <c r="N2388" s="17"/>
      <c r="Q2388" s="17"/>
    </row>
    <row r="2389">
      <c r="B2389" s="11">
        <f>IFERROR(__xludf.DUMMYFUNCTION("""COMPUTED_VALUE"""),42552.66666666667)</f>
        <v>42552.66667</v>
      </c>
      <c r="C2389" s="9">
        <f>IFERROR(__xludf.DUMMYFUNCTION("""COMPUTED_VALUE"""),56.19)</f>
        <v>56.19</v>
      </c>
      <c r="E2389" s="17"/>
      <c r="N2389" s="17"/>
      <c r="Q2389" s="17"/>
    </row>
    <row r="2390">
      <c r="B2390" s="11">
        <f>IFERROR(__xludf.DUMMYFUNCTION("""COMPUTED_VALUE"""),42551.66666666667)</f>
        <v>42551.66667</v>
      </c>
      <c r="C2390" s="9">
        <f>IFERROR(__xludf.DUMMYFUNCTION("""COMPUTED_VALUE"""),56.01)</f>
        <v>56.01</v>
      </c>
      <c r="E2390" s="17"/>
      <c r="N2390" s="17"/>
      <c r="Q2390" s="17"/>
    </row>
    <row r="2391">
      <c r="B2391" s="11">
        <f>IFERROR(__xludf.DUMMYFUNCTION("""COMPUTED_VALUE"""),42550.66666666667)</f>
        <v>42550.66667</v>
      </c>
      <c r="C2391" s="9">
        <f>IFERROR(__xludf.DUMMYFUNCTION("""COMPUTED_VALUE"""),54.96)</f>
        <v>54.96</v>
      </c>
      <c r="E2391" s="17"/>
      <c r="N2391" s="17"/>
      <c r="Q2391" s="17"/>
    </row>
    <row r="2392">
      <c r="B2392" s="11">
        <f>IFERROR(__xludf.DUMMYFUNCTION("""COMPUTED_VALUE"""),42549.66666666667)</f>
        <v>42549.66667</v>
      </c>
      <c r="C2392" s="9">
        <f>IFERROR(__xludf.DUMMYFUNCTION("""COMPUTED_VALUE"""),54.0)</f>
        <v>54</v>
      </c>
      <c r="E2392" s="17"/>
      <c r="N2392" s="17"/>
      <c r="Q2392" s="17"/>
    </row>
    <row r="2393">
      <c r="B2393" s="11">
        <f>IFERROR(__xludf.DUMMYFUNCTION("""COMPUTED_VALUE"""),42548.66666666667)</f>
        <v>42548.66667</v>
      </c>
      <c r="C2393" s="9">
        <f>IFERROR(__xludf.DUMMYFUNCTION("""COMPUTED_VALUE"""),53.1)</f>
        <v>53.1</v>
      </c>
      <c r="E2393" s="17"/>
      <c r="N2393" s="17"/>
      <c r="Q2393" s="17"/>
    </row>
    <row r="2394">
      <c r="B2394" s="11">
        <f>IFERROR(__xludf.DUMMYFUNCTION("""COMPUTED_VALUE"""),42545.66666666667)</f>
        <v>42545.66667</v>
      </c>
      <c r="C2394" s="9">
        <f>IFERROR(__xludf.DUMMYFUNCTION("""COMPUTED_VALUE"""),54.38)</f>
        <v>54.38</v>
      </c>
      <c r="E2394" s="17"/>
      <c r="N2394" s="17"/>
      <c r="Q2394" s="17"/>
    </row>
    <row r="2395">
      <c r="B2395" s="11">
        <f>IFERROR(__xludf.DUMMYFUNCTION("""COMPUTED_VALUE"""),42544.66666666667)</f>
        <v>42544.66667</v>
      </c>
      <c r="C2395" s="9">
        <f>IFERROR(__xludf.DUMMYFUNCTION("""COMPUTED_VALUE"""),56.69)</f>
        <v>56.69</v>
      </c>
      <c r="E2395" s="17"/>
      <c r="N2395" s="17"/>
      <c r="Q2395" s="17"/>
    </row>
    <row r="2396">
      <c r="B2396" s="11">
        <f>IFERROR(__xludf.DUMMYFUNCTION("""COMPUTED_VALUE"""),42543.66666666667)</f>
        <v>42543.66667</v>
      </c>
      <c r="C2396" s="9">
        <f>IFERROR(__xludf.DUMMYFUNCTION("""COMPUTED_VALUE"""),56.04)</f>
        <v>56.04</v>
      </c>
      <c r="E2396" s="17"/>
      <c r="N2396" s="17"/>
      <c r="Q2396" s="17"/>
    </row>
    <row r="2397">
      <c r="B2397" s="11">
        <f>IFERROR(__xludf.DUMMYFUNCTION("""COMPUTED_VALUE"""),42542.66666666667)</f>
        <v>42542.66667</v>
      </c>
      <c r="C2397" s="9">
        <f>IFERROR(__xludf.DUMMYFUNCTION("""COMPUTED_VALUE"""),56.2)</f>
        <v>56.2</v>
      </c>
      <c r="E2397" s="17"/>
      <c r="N2397" s="17"/>
      <c r="Q2397" s="17"/>
    </row>
    <row r="2398">
      <c r="B2398" s="11">
        <f>IFERROR(__xludf.DUMMYFUNCTION("""COMPUTED_VALUE"""),42541.66666666667)</f>
        <v>42541.66667</v>
      </c>
      <c r="C2398" s="9">
        <f>IFERROR(__xludf.DUMMYFUNCTION("""COMPUTED_VALUE"""),56.24)</f>
        <v>56.24</v>
      </c>
      <c r="E2398" s="17"/>
      <c r="N2398" s="17"/>
      <c r="Q2398" s="17"/>
    </row>
    <row r="2399">
      <c r="B2399" s="11">
        <f>IFERROR(__xludf.DUMMYFUNCTION("""COMPUTED_VALUE"""),42538.66666666667)</f>
        <v>42538.66667</v>
      </c>
      <c r="C2399" s="9">
        <f>IFERROR(__xludf.DUMMYFUNCTION("""COMPUTED_VALUE"""),55.73)</f>
        <v>55.73</v>
      </c>
      <c r="E2399" s="17"/>
      <c r="N2399" s="17"/>
      <c r="Q2399" s="17"/>
    </row>
    <row r="2400">
      <c r="B2400" s="11">
        <f>IFERROR(__xludf.DUMMYFUNCTION("""COMPUTED_VALUE"""),42537.66666666667)</f>
        <v>42537.66667</v>
      </c>
      <c r="C2400" s="9">
        <f>IFERROR(__xludf.DUMMYFUNCTION("""COMPUTED_VALUE"""),55.99)</f>
        <v>55.99</v>
      </c>
      <c r="E2400" s="17"/>
      <c r="N2400" s="17"/>
      <c r="Q2400" s="17"/>
    </row>
    <row r="2401">
      <c r="B2401" s="11">
        <f>IFERROR(__xludf.DUMMYFUNCTION("""COMPUTED_VALUE"""),42536.66666666667)</f>
        <v>42536.66667</v>
      </c>
      <c r="C2401" s="9">
        <f>IFERROR(__xludf.DUMMYFUNCTION("""COMPUTED_VALUE"""),55.89)</f>
        <v>55.89</v>
      </c>
      <c r="E2401" s="17"/>
      <c r="N2401" s="17"/>
      <c r="Q2401" s="17"/>
    </row>
    <row r="2402">
      <c r="B2402" s="11">
        <f>IFERROR(__xludf.DUMMYFUNCTION("""COMPUTED_VALUE"""),42535.66666666667)</f>
        <v>42535.66667</v>
      </c>
      <c r="C2402" s="9">
        <f>IFERROR(__xludf.DUMMYFUNCTION("""COMPUTED_VALUE"""),55.87)</f>
        <v>55.87</v>
      </c>
      <c r="E2402" s="17"/>
      <c r="N2402" s="17"/>
      <c r="Q2402" s="17"/>
    </row>
    <row r="2403">
      <c r="B2403" s="11">
        <f>IFERROR(__xludf.DUMMYFUNCTION("""COMPUTED_VALUE"""),42534.66666666667)</f>
        <v>42534.66667</v>
      </c>
      <c r="C2403" s="9">
        <f>IFERROR(__xludf.DUMMYFUNCTION("""COMPUTED_VALUE"""),55.86)</f>
        <v>55.86</v>
      </c>
      <c r="E2403" s="17"/>
      <c r="N2403" s="17"/>
      <c r="Q2403" s="17"/>
    </row>
    <row r="2404">
      <c r="B2404" s="11">
        <f>IFERROR(__xludf.DUMMYFUNCTION("""COMPUTED_VALUE"""),42531.66666666667)</f>
        <v>42531.66667</v>
      </c>
      <c r="C2404" s="9">
        <f>IFERROR(__xludf.DUMMYFUNCTION("""COMPUTED_VALUE"""),56.47)</f>
        <v>56.47</v>
      </c>
      <c r="E2404" s="17"/>
      <c r="N2404" s="17"/>
      <c r="Q2404" s="17"/>
    </row>
    <row r="2405">
      <c r="B2405" s="11">
        <f>IFERROR(__xludf.DUMMYFUNCTION("""COMPUTED_VALUE"""),42530.66666666667)</f>
        <v>42530.66667</v>
      </c>
      <c r="C2405" s="9">
        <f>IFERROR(__xludf.DUMMYFUNCTION("""COMPUTED_VALUE"""),57.14)</f>
        <v>57.14</v>
      </c>
      <c r="E2405" s="17"/>
      <c r="N2405" s="17"/>
      <c r="Q2405" s="17"/>
    </row>
    <row r="2406">
      <c r="B2406" s="11">
        <f>IFERROR(__xludf.DUMMYFUNCTION("""COMPUTED_VALUE"""),42529.66666666667)</f>
        <v>42529.66667</v>
      </c>
      <c r="C2406" s="9">
        <f>IFERROR(__xludf.DUMMYFUNCTION("""COMPUTED_VALUE"""),57.15)</f>
        <v>57.15</v>
      </c>
      <c r="E2406" s="17"/>
      <c r="N2406" s="17"/>
      <c r="Q2406" s="17"/>
    </row>
    <row r="2407">
      <c r="B2407" s="11">
        <f>IFERROR(__xludf.DUMMYFUNCTION("""COMPUTED_VALUE"""),42528.66666666667)</f>
        <v>42528.66667</v>
      </c>
      <c r="C2407" s="9">
        <f>IFERROR(__xludf.DUMMYFUNCTION("""COMPUTED_VALUE"""),56.79)</f>
        <v>56.79</v>
      </c>
      <c r="E2407" s="17"/>
      <c r="N2407" s="17"/>
      <c r="Q2407" s="17"/>
    </row>
    <row r="2408">
      <c r="B2408" s="11">
        <f>IFERROR(__xludf.DUMMYFUNCTION("""COMPUTED_VALUE"""),42527.66666666667)</f>
        <v>42527.66667</v>
      </c>
      <c r="C2408" s="9">
        <f>IFERROR(__xludf.DUMMYFUNCTION("""COMPUTED_VALUE"""),56.52)</f>
        <v>56.52</v>
      </c>
      <c r="E2408" s="17"/>
      <c r="N2408" s="17"/>
      <c r="Q2408" s="17"/>
    </row>
    <row r="2409">
      <c r="B2409" s="11">
        <f>IFERROR(__xludf.DUMMYFUNCTION("""COMPUTED_VALUE"""),42524.66666666667)</f>
        <v>42524.66667</v>
      </c>
      <c r="C2409" s="9">
        <f>IFERROR(__xludf.DUMMYFUNCTION("""COMPUTED_VALUE"""),55.99)</f>
        <v>55.99</v>
      </c>
      <c r="E2409" s="17"/>
      <c r="N2409" s="17"/>
      <c r="Q2409" s="17"/>
    </row>
    <row r="2410">
      <c r="B2410" s="11">
        <f>IFERROR(__xludf.DUMMYFUNCTION("""COMPUTED_VALUE"""),42523.66666666667)</f>
        <v>42523.66667</v>
      </c>
      <c r="C2410" s="9">
        <f>IFERROR(__xludf.DUMMYFUNCTION("""COMPUTED_VALUE"""),56.04)</f>
        <v>56.04</v>
      </c>
      <c r="E2410" s="17"/>
      <c r="N2410" s="17"/>
      <c r="Q2410" s="17"/>
    </row>
    <row r="2411">
      <c r="B2411" s="11">
        <f>IFERROR(__xludf.DUMMYFUNCTION("""COMPUTED_VALUE"""),42522.66666666667)</f>
        <v>42522.66667</v>
      </c>
      <c r="C2411" s="9">
        <f>IFERROR(__xludf.DUMMYFUNCTION("""COMPUTED_VALUE"""),55.97)</f>
        <v>55.97</v>
      </c>
      <c r="E2411" s="17"/>
      <c r="N2411" s="17"/>
      <c r="Q2411" s="17"/>
    </row>
    <row r="2412">
      <c r="B2412" s="11">
        <f>IFERROR(__xludf.DUMMYFUNCTION("""COMPUTED_VALUE"""),42521.66666666667)</f>
        <v>42521.66667</v>
      </c>
      <c r="C2412" s="9">
        <f>IFERROR(__xludf.DUMMYFUNCTION("""COMPUTED_VALUE"""),55.92)</f>
        <v>55.92</v>
      </c>
      <c r="E2412" s="17"/>
      <c r="N2412" s="17"/>
      <c r="Q2412" s="17"/>
    </row>
    <row r="2413">
      <c r="B2413" s="11">
        <f>IFERROR(__xludf.DUMMYFUNCTION("""COMPUTED_VALUE"""),42517.66666666667)</f>
        <v>42517.66667</v>
      </c>
      <c r="C2413" s="9">
        <f>IFERROR(__xludf.DUMMYFUNCTION("""COMPUTED_VALUE"""),55.93)</f>
        <v>55.93</v>
      </c>
      <c r="E2413" s="17"/>
      <c r="N2413" s="17"/>
      <c r="Q2413" s="17"/>
    </row>
    <row r="2414">
      <c r="B2414" s="11">
        <f>IFERROR(__xludf.DUMMYFUNCTION("""COMPUTED_VALUE"""),42516.66666666667)</f>
        <v>42516.66667</v>
      </c>
      <c r="C2414" s="9">
        <f>IFERROR(__xludf.DUMMYFUNCTION("""COMPUTED_VALUE"""),55.72)</f>
        <v>55.72</v>
      </c>
      <c r="E2414" s="17"/>
      <c r="N2414" s="17"/>
      <c r="Q2414" s="17"/>
    </row>
    <row r="2415">
      <c r="B2415" s="11">
        <f>IFERROR(__xludf.DUMMYFUNCTION("""COMPUTED_VALUE"""),42515.66666666667)</f>
        <v>42515.66667</v>
      </c>
      <c r="C2415" s="9">
        <f>IFERROR(__xludf.DUMMYFUNCTION("""COMPUTED_VALUE"""),55.88)</f>
        <v>55.88</v>
      </c>
      <c r="E2415" s="17"/>
      <c r="N2415" s="17"/>
      <c r="Q2415" s="17"/>
    </row>
    <row r="2416">
      <c r="B2416" s="11">
        <f>IFERROR(__xludf.DUMMYFUNCTION("""COMPUTED_VALUE"""),42514.66666666667)</f>
        <v>42514.66667</v>
      </c>
      <c r="C2416" s="9">
        <f>IFERROR(__xludf.DUMMYFUNCTION("""COMPUTED_VALUE"""),55.5)</f>
        <v>55.5</v>
      </c>
      <c r="E2416" s="17"/>
      <c r="N2416" s="17"/>
      <c r="Q2416" s="17"/>
    </row>
    <row r="2417">
      <c r="B2417" s="11">
        <f>IFERROR(__xludf.DUMMYFUNCTION("""COMPUTED_VALUE"""),42513.66666666667)</f>
        <v>42513.66667</v>
      </c>
      <c r="C2417" s="9">
        <f>IFERROR(__xludf.DUMMYFUNCTION("""COMPUTED_VALUE"""),54.93)</f>
        <v>54.93</v>
      </c>
      <c r="E2417" s="17"/>
      <c r="N2417" s="17"/>
      <c r="Q2417" s="17"/>
    </row>
    <row r="2418">
      <c r="B2418" s="11">
        <f>IFERROR(__xludf.DUMMYFUNCTION("""COMPUTED_VALUE"""),42510.66666666667)</f>
        <v>42510.66667</v>
      </c>
      <c r="C2418" s="9">
        <f>IFERROR(__xludf.DUMMYFUNCTION("""COMPUTED_VALUE"""),55.03)</f>
        <v>55.03</v>
      </c>
      <c r="E2418" s="17"/>
      <c r="N2418" s="17"/>
      <c r="Q2418" s="17"/>
    </row>
    <row r="2419">
      <c r="B2419" s="11">
        <f>IFERROR(__xludf.DUMMYFUNCTION("""COMPUTED_VALUE"""),42509.66666666667)</f>
        <v>42509.66667</v>
      </c>
      <c r="C2419" s="9">
        <f>IFERROR(__xludf.DUMMYFUNCTION("""COMPUTED_VALUE"""),54.75)</f>
        <v>54.75</v>
      </c>
      <c r="E2419" s="17"/>
      <c r="N2419" s="17"/>
      <c r="Q2419" s="17"/>
    </row>
    <row r="2420">
      <c r="B2420" s="11">
        <f>IFERROR(__xludf.DUMMYFUNCTION("""COMPUTED_VALUE"""),42508.66666666667)</f>
        <v>42508.66667</v>
      </c>
      <c r="C2420" s="9">
        <f>IFERROR(__xludf.DUMMYFUNCTION("""COMPUTED_VALUE"""),55.27)</f>
        <v>55.27</v>
      </c>
      <c r="E2420" s="17"/>
      <c r="N2420" s="17"/>
      <c r="Q2420" s="17"/>
    </row>
    <row r="2421">
      <c r="B2421" s="11">
        <f>IFERROR(__xludf.DUMMYFUNCTION("""COMPUTED_VALUE"""),42507.66666666667)</f>
        <v>42507.66667</v>
      </c>
      <c r="C2421" s="9">
        <f>IFERROR(__xludf.DUMMYFUNCTION("""COMPUTED_VALUE"""),55.46)</f>
        <v>55.46</v>
      </c>
      <c r="E2421" s="17"/>
      <c r="N2421" s="17"/>
      <c r="Q2421" s="17"/>
    </row>
    <row r="2422">
      <c r="B2422" s="11">
        <f>IFERROR(__xludf.DUMMYFUNCTION("""COMPUTED_VALUE"""),42506.66666666667)</f>
        <v>42506.66667</v>
      </c>
      <c r="C2422" s="9">
        <f>IFERROR(__xludf.DUMMYFUNCTION("""COMPUTED_VALUE"""),55.73)</f>
        <v>55.73</v>
      </c>
      <c r="E2422" s="17"/>
      <c r="N2422" s="17"/>
      <c r="Q2422" s="17"/>
    </row>
    <row r="2423">
      <c r="B2423" s="11">
        <f>IFERROR(__xludf.DUMMYFUNCTION("""COMPUTED_VALUE"""),42503.66666666667)</f>
        <v>42503.66667</v>
      </c>
      <c r="C2423" s="9">
        <f>IFERROR(__xludf.DUMMYFUNCTION("""COMPUTED_VALUE"""),55.05)</f>
        <v>55.05</v>
      </c>
      <c r="E2423" s="17"/>
      <c r="N2423" s="17"/>
      <c r="Q2423" s="17"/>
    </row>
    <row r="2424">
      <c r="B2424" s="11">
        <f>IFERROR(__xludf.DUMMYFUNCTION("""COMPUTED_VALUE"""),42502.66666666667)</f>
        <v>42502.66667</v>
      </c>
      <c r="C2424" s="9">
        <f>IFERROR(__xludf.DUMMYFUNCTION("""COMPUTED_VALUE"""),55.75)</f>
        <v>55.75</v>
      </c>
      <c r="E2424" s="17"/>
      <c r="N2424" s="17"/>
      <c r="Q2424" s="17"/>
    </row>
    <row r="2425">
      <c r="B2425" s="11">
        <f>IFERROR(__xludf.DUMMYFUNCTION("""COMPUTED_VALUE"""),42501.66666666667)</f>
        <v>42501.66667</v>
      </c>
      <c r="C2425" s="9">
        <f>IFERROR(__xludf.DUMMYFUNCTION("""COMPUTED_VALUE"""),55.87)</f>
        <v>55.87</v>
      </c>
      <c r="E2425" s="17"/>
      <c r="N2425" s="17"/>
      <c r="Q2425" s="17"/>
    </row>
    <row r="2426">
      <c r="B2426" s="11">
        <f>IFERROR(__xludf.DUMMYFUNCTION("""COMPUTED_VALUE"""),42500.66666666667)</f>
        <v>42500.66667</v>
      </c>
      <c r="C2426" s="9">
        <f>IFERROR(__xludf.DUMMYFUNCTION("""COMPUTED_VALUE"""),56.34)</f>
        <v>56.34</v>
      </c>
      <c r="E2426" s="17"/>
      <c r="N2426" s="17"/>
      <c r="Q2426" s="17"/>
    </row>
    <row r="2427">
      <c r="B2427" s="11">
        <f>IFERROR(__xludf.DUMMYFUNCTION("""COMPUTED_VALUE"""),42499.66666666667)</f>
        <v>42499.66667</v>
      </c>
      <c r="C2427" s="9">
        <f>IFERROR(__xludf.DUMMYFUNCTION("""COMPUTED_VALUE"""),55.39)</f>
        <v>55.39</v>
      </c>
      <c r="E2427" s="17"/>
      <c r="N2427" s="17"/>
      <c r="Q2427" s="17"/>
    </row>
    <row r="2428">
      <c r="B2428" s="11">
        <f>IFERROR(__xludf.DUMMYFUNCTION("""COMPUTED_VALUE"""),42496.66666666667)</f>
        <v>42496.66667</v>
      </c>
      <c r="C2428" s="9">
        <f>IFERROR(__xludf.DUMMYFUNCTION("""COMPUTED_VALUE"""),55.64)</f>
        <v>55.64</v>
      </c>
      <c r="E2428" s="17"/>
      <c r="N2428" s="17"/>
      <c r="Q2428" s="17"/>
    </row>
    <row r="2429">
      <c r="B2429" s="11">
        <f>IFERROR(__xludf.DUMMYFUNCTION("""COMPUTED_VALUE"""),42495.66666666667)</f>
        <v>42495.66667</v>
      </c>
      <c r="C2429" s="9">
        <f>IFERROR(__xludf.DUMMYFUNCTION("""COMPUTED_VALUE"""),55.27)</f>
        <v>55.27</v>
      </c>
      <c r="E2429" s="17"/>
      <c r="N2429" s="17"/>
      <c r="Q2429" s="17"/>
    </row>
    <row r="2430">
      <c r="B2430" s="11">
        <f>IFERROR(__xludf.DUMMYFUNCTION("""COMPUTED_VALUE"""),42494.66666666667)</f>
        <v>42494.66667</v>
      </c>
      <c r="C2430" s="9">
        <f>IFERROR(__xludf.DUMMYFUNCTION("""COMPUTED_VALUE"""),55.3)</f>
        <v>55.3</v>
      </c>
      <c r="E2430" s="17"/>
      <c r="N2430" s="17"/>
      <c r="Q2430" s="17"/>
    </row>
    <row r="2431">
      <c r="B2431" s="11">
        <f>IFERROR(__xludf.DUMMYFUNCTION("""COMPUTED_VALUE"""),42493.66666666667)</f>
        <v>42493.66667</v>
      </c>
      <c r="C2431" s="9">
        <f>IFERROR(__xludf.DUMMYFUNCTION("""COMPUTED_VALUE"""),55.99)</f>
        <v>55.99</v>
      </c>
      <c r="E2431" s="17"/>
      <c r="N2431" s="17"/>
      <c r="Q2431" s="17"/>
    </row>
    <row r="2432">
      <c r="B2432" s="11">
        <f>IFERROR(__xludf.DUMMYFUNCTION("""COMPUTED_VALUE"""),42492.66666666667)</f>
        <v>42492.66667</v>
      </c>
      <c r="C2432" s="9">
        <f>IFERROR(__xludf.DUMMYFUNCTION("""COMPUTED_VALUE"""),56.45)</f>
        <v>56.45</v>
      </c>
      <c r="E2432" s="17"/>
      <c r="N2432" s="17"/>
      <c r="Q2432" s="17"/>
    </row>
    <row r="2433">
      <c r="B2433" s="11">
        <f>IFERROR(__xludf.DUMMYFUNCTION("""COMPUTED_VALUE"""),42489.66666666667)</f>
        <v>42489.66667</v>
      </c>
      <c r="C2433" s="9">
        <f>IFERROR(__xludf.DUMMYFUNCTION("""COMPUTED_VALUE"""),56.16)</f>
        <v>56.16</v>
      </c>
      <c r="E2433" s="17"/>
      <c r="N2433" s="17"/>
      <c r="Q2433" s="17"/>
    </row>
    <row r="2434">
      <c r="B2434" s="11">
        <f>IFERROR(__xludf.DUMMYFUNCTION("""COMPUTED_VALUE"""),42488.66666666667)</f>
        <v>42488.66667</v>
      </c>
      <c r="C2434" s="9">
        <f>IFERROR(__xludf.DUMMYFUNCTION("""COMPUTED_VALUE"""),56.49)</f>
        <v>56.49</v>
      </c>
      <c r="E2434" s="17"/>
      <c r="N2434" s="17"/>
      <c r="Q2434" s="17"/>
    </row>
    <row r="2435">
      <c r="B2435" s="11">
        <f>IFERROR(__xludf.DUMMYFUNCTION("""COMPUTED_VALUE"""),42487.66666666667)</f>
        <v>42487.66667</v>
      </c>
      <c r="C2435" s="9">
        <f>IFERROR(__xludf.DUMMYFUNCTION("""COMPUTED_VALUE"""),57.04)</f>
        <v>57.04</v>
      </c>
      <c r="E2435" s="17"/>
      <c r="N2435" s="17"/>
      <c r="Q2435" s="17"/>
    </row>
    <row r="2436">
      <c r="B2436" s="11">
        <f>IFERROR(__xludf.DUMMYFUNCTION("""COMPUTED_VALUE"""),42486.66666666667)</f>
        <v>42486.66667</v>
      </c>
      <c r="C2436" s="9">
        <f>IFERROR(__xludf.DUMMYFUNCTION("""COMPUTED_VALUE"""),56.64)</f>
        <v>56.64</v>
      </c>
      <c r="E2436" s="17"/>
      <c r="N2436" s="17"/>
      <c r="Q2436" s="17"/>
    </row>
    <row r="2437">
      <c r="B2437" s="11">
        <f>IFERROR(__xludf.DUMMYFUNCTION("""COMPUTED_VALUE"""),42485.66666666667)</f>
        <v>42485.66667</v>
      </c>
      <c r="C2437" s="9">
        <f>IFERROR(__xludf.DUMMYFUNCTION("""COMPUTED_VALUE"""),56.14)</f>
        <v>56.14</v>
      </c>
      <c r="E2437" s="17"/>
      <c r="N2437" s="17"/>
      <c r="Q2437" s="17"/>
    </row>
    <row r="2438">
      <c r="B2438" s="11">
        <f>IFERROR(__xludf.DUMMYFUNCTION("""COMPUTED_VALUE"""),42482.66666666667)</f>
        <v>42482.66667</v>
      </c>
      <c r="C2438" s="9">
        <f>IFERROR(__xludf.DUMMYFUNCTION("""COMPUTED_VALUE"""),56.41)</f>
        <v>56.41</v>
      </c>
      <c r="E2438" s="17"/>
      <c r="N2438" s="17"/>
      <c r="Q2438" s="17"/>
    </row>
    <row r="2439">
      <c r="B2439" s="11">
        <f>IFERROR(__xludf.DUMMYFUNCTION("""COMPUTED_VALUE"""),42481.66666666667)</f>
        <v>42481.66667</v>
      </c>
      <c r="C2439" s="9">
        <f>IFERROR(__xludf.DUMMYFUNCTION("""COMPUTED_VALUE"""),56.27)</f>
        <v>56.27</v>
      </c>
      <c r="E2439" s="17"/>
      <c r="N2439" s="17"/>
      <c r="Q2439" s="17"/>
    </row>
    <row r="2440">
      <c r="B2440" s="11">
        <f>IFERROR(__xludf.DUMMYFUNCTION("""COMPUTED_VALUE"""),42480.66666666667)</f>
        <v>42480.66667</v>
      </c>
      <c r="C2440" s="9">
        <f>IFERROR(__xludf.DUMMYFUNCTION("""COMPUTED_VALUE"""),56.41)</f>
        <v>56.41</v>
      </c>
      <c r="E2440" s="17"/>
      <c r="N2440" s="17"/>
      <c r="Q2440" s="17"/>
    </row>
    <row r="2441">
      <c r="B2441" s="11">
        <f>IFERROR(__xludf.DUMMYFUNCTION("""COMPUTED_VALUE"""),42479.66666666667)</f>
        <v>42479.66667</v>
      </c>
      <c r="C2441" s="9">
        <f>IFERROR(__xludf.DUMMYFUNCTION("""COMPUTED_VALUE"""),56.5)</f>
        <v>56.5</v>
      </c>
      <c r="E2441" s="17"/>
      <c r="N2441" s="17"/>
      <c r="Q2441" s="17"/>
    </row>
    <row r="2442">
      <c r="B2442" s="11">
        <f>IFERROR(__xludf.DUMMYFUNCTION("""COMPUTED_VALUE"""),42478.66666666667)</f>
        <v>42478.66667</v>
      </c>
      <c r="C2442" s="9">
        <f>IFERROR(__xludf.DUMMYFUNCTION("""COMPUTED_VALUE"""),56.1)</f>
        <v>56.1</v>
      </c>
      <c r="E2442" s="17"/>
      <c r="N2442" s="17"/>
      <c r="Q2442" s="17"/>
    </row>
    <row r="2443">
      <c r="B2443" s="11">
        <f>IFERROR(__xludf.DUMMYFUNCTION("""COMPUTED_VALUE"""),42475.66666666667)</f>
        <v>42475.66667</v>
      </c>
      <c r="C2443" s="9">
        <f>IFERROR(__xludf.DUMMYFUNCTION("""COMPUTED_VALUE"""),56.05)</f>
        <v>56.05</v>
      </c>
      <c r="E2443" s="17"/>
      <c r="N2443" s="17"/>
      <c r="Q2443" s="17"/>
    </row>
    <row r="2444">
      <c r="B2444" s="11">
        <f>IFERROR(__xludf.DUMMYFUNCTION("""COMPUTED_VALUE"""),42474.66666666667)</f>
        <v>42474.66667</v>
      </c>
      <c r="C2444" s="9">
        <f>IFERROR(__xludf.DUMMYFUNCTION("""COMPUTED_VALUE"""),55.97)</f>
        <v>55.97</v>
      </c>
      <c r="E2444" s="17"/>
      <c r="N2444" s="17"/>
      <c r="Q2444" s="17"/>
    </row>
    <row r="2445">
      <c r="B2445" s="11">
        <f>IFERROR(__xludf.DUMMYFUNCTION("""COMPUTED_VALUE"""),42473.66666666667)</f>
        <v>42473.66667</v>
      </c>
      <c r="C2445" s="9">
        <f>IFERROR(__xludf.DUMMYFUNCTION("""COMPUTED_VALUE"""),55.87)</f>
        <v>55.87</v>
      </c>
      <c r="E2445" s="17"/>
      <c r="N2445" s="17"/>
      <c r="Q2445" s="17"/>
    </row>
    <row r="2446">
      <c r="B2446" s="11">
        <f>IFERROR(__xludf.DUMMYFUNCTION("""COMPUTED_VALUE"""),42472.66666666667)</f>
        <v>42472.66667</v>
      </c>
      <c r="C2446" s="9">
        <f>IFERROR(__xludf.DUMMYFUNCTION("""COMPUTED_VALUE"""),55.05)</f>
        <v>55.05</v>
      </c>
      <c r="E2446" s="17"/>
      <c r="N2446" s="17"/>
      <c r="Q2446" s="17"/>
    </row>
    <row r="2447">
      <c r="B2447" s="11">
        <f>IFERROR(__xludf.DUMMYFUNCTION("""COMPUTED_VALUE"""),42471.66666666667)</f>
        <v>42471.66667</v>
      </c>
      <c r="C2447" s="9">
        <f>IFERROR(__xludf.DUMMYFUNCTION("""COMPUTED_VALUE"""),54.73)</f>
        <v>54.73</v>
      </c>
      <c r="E2447" s="17"/>
      <c r="N2447" s="17"/>
      <c r="Q2447" s="17"/>
    </row>
    <row r="2448">
      <c r="B2448" s="11">
        <f>IFERROR(__xludf.DUMMYFUNCTION("""COMPUTED_VALUE"""),42468.66666666667)</f>
        <v>42468.66667</v>
      </c>
      <c r="C2448" s="9">
        <f>IFERROR(__xludf.DUMMYFUNCTION("""COMPUTED_VALUE"""),54.71)</f>
        <v>54.71</v>
      </c>
      <c r="E2448" s="17"/>
      <c r="N2448" s="17"/>
      <c r="Q2448" s="17"/>
    </row>
    <row r="2449">
      <c r="B2449" s="11">
        <f>IFERROR(__xludf.DUMMYFUNCTION("""COMPUTED_VALUE"""),42467.66666666667)</f>
        <v>42467.66667</v>
      </c>
      <c r="C2449" s="9">
        <f>IFERROR(__xludf.DUMMYFUNCTION("""COMPUTED_VALUE"""),54.5)</f>
        <v>54.5</v>
      </c>
      <c r="E2449" s="17"/>
      <c r="N2449" s="17"/>
      <c r="Q2449" s="17"/>
    </row>
    <row r="2450">
      <c r="B2450" s="11">
        <f>IFERROR(__xludf.DUMMYFUNCTION("""COMPUTED_VALUE"""),42466.66666666667)</f>
        <v>42466.66667</v>
      </c>
      <c r="C2450" s="9">
        <f>IFERROR(__xludf.DUMMYFUNCTION("""COMPUTED_VALUE"""),55.03)</f>
        <v>55.03</v>
      </c>
      <c r="E2450" s="17"/>
      <c r="N2450" s="17"/>
      <c r="Q2450" s="17"/>
    </row>
    <row r="2451">
      <c r="B2451" s="11">
        <f>IFERROR(__xludf.DUMMYFUNCTION("""COMPUTED_VALUE"""),42465.66666666667)</f>
        <v>42465.66667</v>
      </c>
      <c r="C2451" s="9">
        <f>IFERROR(__xludf.DUMMYFUNCTION("""COMPUTED_VALUE"""),54.76)</f>
        <v>54.76</v>
      </c>
      <c r="E2451" s="17"/>
      <c r="N2451" s="17"/>
      <c r="Q2451" s="17"/>
    </row>
    <row r="2452">
      <c r="B2452" s="11">
        <f>IFERROR(__xludf.DUMMYFUNCTION("""COMPUTED_VALUE"""),42464.66666666667)</f>
        <v>42464.66667</v>
      </c>
      <c r="C2452" s="9">
        <f>IFERROR(__xludf.DUMMYFUNCTION("""COMPUTED_VALUE"""),55.1)</f>
        <v>55.1</v>
      </c>
      <c r="E2452" s="17"/>
      <c r="N2452" s="17"/>
      <c r="Q2452" s="17"/>
    </row>
    <row r="2453">
      <c r="B2453" s="11">
        <f>IFERROR(__xludf.DUMMYFUNCTION("""COMPUTED_VALUE"""),42461.66666666667)</f>
        <v>42461.66667</v>
      </c>
      <c r="C2453" s="9">
        <f>IFERROR(__xludf.DUMMYFUNCTION("""COMPUTED_VALUE"""),55.73)</f>
        <v>55.73</v>
      </c>
      <c r="E2453" s="17"/>
      <c r="N2453" s="17"/>
      <c r="Q2453" s="17"/>
    </row>
    <row r="2454">
      <c r="B2454" s="11">
        <f>IFERROR(__xludf.DUMMYFUNCTION("""COMPUTED_VALUE"""),42460.66666666667)</f>
        <v>42460.66667</v>
      </c>
      <c r="C2454" s="9">
        <f>IFERROR(__xludf.DUMMYFUNCTION("""COMPUTED_VALUE"""),55.47)</f>
        <v>55.47</v>
      </c>
      <c r="E2454" s="17"/>
      <c r="N2454" s="17"/>
      <c r="Q2454" s="17"/>
    </row>
    <row r="2455">
      <c r="B2455" s="11">
        <f>IFERROR(__xludf.DUMMYFUNCTION("""COMPUTED_VALUE"""),42459.66666666667)</f>
        <v>42459.66667</v>
      </c>
      <c r="C2455" s="9">
        <f>IFERROR(__xludf.DUMMYFUNCTION("""COMPUTED_VALUE"""),55.6)</f>
        <v>55.6</v>
      </c>
      <c r="E2455" s="17"/>
      <c r="N2455" s="17"/>
      <c r="Q2455" s="17"/>
    </row>
    <row r="2456">
      <c r="B2456" s="11">
        <f>IFERROR(__xludf.DUMMYFUNCTION("""COMPUTED_VALUE"""),42458.66666666667)</f>
        <v>42458.66667</v>
      </c>
      <c r="C2456" s="9">
        <f>IFERROR(__xludf.DUMMYFUNCTION("""COMPUTED_VALUE"""),55.5)</f>
        <v>55.5</v>
      </c>
      <c r="E2456" s="17"/>
      <c r="N2456" s="17"/>
      <c r="Q2456" s="17"/>
    </row>
    <row r="2457">
      <c r="B2457" s="11">
        <f>IFERROR(__xludf.DUMMYFUNCTION("""COMPUTED_VALUE"""),42457.66666666667)</f>
        <v>42457.66667</v>
      </c>
      <c r="C2457" s="9">
        <f>IFERROR(__xludf.DUMMYFUNCTION("""COMPUTED_VALUE"""),55.14)</f>
        <v>55.14</v>
      </c>
      <c r="E2457" s="17"/>
      <c r="N2457" s="17"/>
      <c r="Q2457" s="17"/>
    </row>
    <row r="2458">
      <c r="B2458" s="11">
        <f>IFERROR(__xludf.DUMMYFUNCTION("""COMPUTED_VALUE"""),42453.66666666667)</f>
        <v>42453.66667</v>
      </c>
      <c r="C2458" s="9">
        <f>IFERROR(__xludf.DUMMYFUNCTION("""COMPUTED_VALUE"""),55.12)</f>
        <v>55.12</v>
      </c>
      <c r="E2458" s="17"/>
      <c r="N2458" s="17"/>
      <c r="Q2458" s="17"/>
    </row>
    <row r="2459">
      <c r="B2459" s="11">
        <f>IFERROR(__xludf.DUMMYFUNCTION("""COMPUTED_VALUE"""),42452.66666666667)</f>
        <v>42452.66667</v>
      </c>
      <c r="C2459" s="9">
        <f>IFERROR(__xludf.DUMMYFUNCTION("""COMPUTED_VALUE"""),55.28)</f>
        <v>55.28</v>
      </c>
      <c r="E2459" s="17"/>
      <c r="N2459" s="17"/>
      <c r="Q2459" s="17"/>
    </row>
    <row r="2460">
      <c r="B2460" s="11">
        <f>IFERROR(__xludf.DUMMYFUNCTION("""COMPUTED_VALUE"""),42451.66666666667)</f>
        <v>42451.66667</v>
      </c>
      <c r="C2460" s="9">
        <f>IFERROR(__xludf.DUMMYFUNCTION("""COMPUTED_VALUE"""),55.64)</f>
        <v>55.64</v>
      </c>
      <c r="E2460" s="17"/>
      <c r="N2460" s="17"/>
      <c r="Q2460" s="17"/>
    </row>
    <row r="2461">
      <c r="B2461" s="11">
        <f>IFERROR(__xludf.DUMMYFUNCTION("""COMPUTED_VALUE"""),42450.66666666667)</f>
        <v>42450.66667</v>
      </c>
      <c r="C2461" s="9">
        <f>IFERROR(__xludf.DUMMYFUNCTION("""COMPUTED_VALUE"""),55.96)</f>
        <v>55.96</v>
      </c>
      <c r="E2461" s="17"/>
      <c r="N2461" s="17"/>
      <c r="Q2461" s="17"/>
    </row>
    <row r="2462">
      <c r="B2462" s="11">
        <f>IFERROR(__xludf.DUMMYFUNCTION("""COMPUTED_VALUE"""),42447.66666666667)</f>
        <v>42447.66667</v>
      </c>
      <c r="C2462" s="9">
        <f>IFERROR(__xludf.DUMMYFUNCTION("""COMPUTED_VALUE"""),55.63)</f>
        <v>55.63</v>
      </c>
      <c r="E2462" s="17"/>
      <c r="N2462" s="17"/>
      <c r="Q2462" s="17"/>
    </row>
    <row r="2463">
      <c r="B2463" s="11">
        <f>IFERROR(__xludf.DUMMYFUNCTION("""COMPUTED_VALUE"""),42446.66666666667)</f>
        <v>42446.66667</v>
      </c>
      <c r="C2463" s="9">
        <f>IFERROR(__xludf.DUMMYFUNCTION("""COMPUTED_VALUE"""),55.44)</f>
        <v>55.44</v>
      </c>
      <c r="E2463" s="17"/>
      <c r="N2463" s="17"/>
      <c r="Q2463" s="17"/>
    </row>
    <row r="2464">
      <c r="B2464" s="11">
        <f>IFERROR(__xludf.DUMMYFUNCTION("""COMPUTED_VALUE"""),42445.66666666667)</f>
        <v>42445.66667</v>
      </c>
      <c r="C2464" s="9">
        <f>IFERROR(__xludf.DUMMYFUNCTION("""COMPUTED_VALUE"""),54.25)</f>
        <v>54.25</v>
      </c>
      <c r="E2464" s="17"/>
      <c r="N2464" s="17"/>
      <c r="Q2464" s="17"/>
    </row>
    <row r="2465">
      <c r="B2465" s="11">
        <f>IFERROR(__xludf.DUMMYFUNCTION("""COMPUTED_VALUE"""),42444.66666666667)</f>
        <v>42444.66667</v>
      </c>
      <c r="C2465" s="9">
        <f>IFERROR(__xludf.DUMMYFUNCTION("""COMPUTED_VALUE"""),54.06)</f>
        <v>54.06</v>
      </c>
      <c r="E2465" s="17"/>
      <c r="N2465" s="17"/>
      <c r="Q2465" s="17"/>
    </row>
    <row r="2466">
      <c r="B2466" s="11">
        <f>IFERROR(__xludf.DUMMYFUNCTION("""COMPUTED_VALUE"""),42443.66666666667)</f>
        <v>42443.66667</v>
      </c>
      <c r="C2466" s="9">
        <f>IFERROR(__xludf.DUMMYFUNCTION("""COMPUTED_VALUE"""),54.09)</f>
        <v>54.09</v>
      </c>
      <c r="E2466" s="17"/>
      <c r="N2466" s="17"/>
      <c r="Q2466" s="17"/>
    </row>
    <row r="2467">
      <c r="B2467" s="11">
        <f>IFERROR(__xludf.DUMMYFUNCTION("""COMPUTED_VALUE"""),42440.66666666667)</f>
        <v>42440.66667</v>
      </c>
      <c r="C2467" s="9">
        <f>IFERROR(__xludf.DUMMYFUNCTION("""COMPUTED_VALUE"""),54.04)</f>
        <v>54.04</v>
      </c>
      <c r="E2467" s="17"/>
      <c r="N2467" s="17"/>
      <c r="Q2467" s="17"/>
    </row>
    <row r="2468">
      <c r="B2468" s="11">
        <f>IFERROR(__xludf.DUMMYFUNCTION("""COMPUTED_VALUE"""),42439.66666666667)</f>
        <v>42439.66667</v>
      </c>
      <c r="C2468" s="9">
        <f>IFERROR(__xludf.DUMMYFUNCTION("""COMPUTED_VALUE"""),53.27)</f>
        <v>53.27</v>
      </c>
      <c r="E2468" s="17"/>
      <c r="N2468" s="17"/>
      <c r="Q2468" s="17"/>
    </row>
    <row r="2469">
      <c r="B2469" s="11">
        <f>IFERROR(__xludf.DUMMYFUNCTION("""COMPUTED_VALUE"""),42438.66666666667)</f>
        <v>42438.66667</v>
      </c>
      <c r="C2469" s="9">
        <f>IFERROR(__xludf.DUMMYFUNCTION("""COMPUTED_VALUE"""),53.35)</f>
        <v>53.35</v>
      </c>
      <c r="E2469" s="17"/>
      <c r="N2469" s="17"/>
      <c r="Q2469" s="17"/>
    </row>
    <row r="2470">
      <c r="B2470" s="11">
        <f>IFERROR(__xludf.DUMMYFUNCTION("""COMPUTED_VALUE"""),42437.66666666667)</f>
        <v>42437.66667</v>
      </c>
      <c r="C2470" s="9">
        <f>IFERROR(__xludf.DUMMYFUNCTION("""COMPUTED_VALUE"""),53.18)</f>
        <v>53.18</v>
      </c>
      <c r="E2470" s="17"/>
      <c r="N2470" s="17"/>
      <c r="Q2470" s="17"/>
    </row>
    <row r="2471">
      <c r="B2471" s="11">
        <f>IFERROR(__xludf.DUMMYFUNCTION("""COMPUTED_VALUE"""),42436.66666666667)</f>
        <v>42436.66667</v>
      </c>
      <c r="C2471" s="9">
        <f>IFERROR(__xludf.DUMMYFUNCTION("""COMPUTED_VALUE"""),53.94)</f>
        <v>53.94</v>
      </c>
      <c r="E2471" s="17"/>
      <c r="N2471" s="17"/>
      <c r="Q2471" s="17"/>
    </row>
    <row r="2472">
      <c r="B2472" s="11">
        <f>IFERROR(__xludf.DUMMYFUNCTION("""COMPUTED_VALUE"""),42433.66666666667)</f>
        <v>42433.66667</v>
      </c>
      <c r="C2472" s="9">
        <f>IFERROR(__xludf.DUMMYFUNCTION("""COMPUTED_VALUE"""),53.78)</f>
        <v>53.78</v>
      </c>
      <c r="E2472" s="17"/>
      <c r="N2472" s="17"/>
      <c r="Q2472" s="17"/>
    </row>
    <row r="2473">
      <c r="B2473" s="11">
        <f>IFERROR(__xludf.DUMMYFUNCTION("""COMPUTED_VALUE"""),42432.66666666667)</f>
        <v>42432.66667</v>
      </c>
      <c r="C2473" s="9">
        <f>IFERROR(__xludf.DUMMYFUNCTION("""COMPUTED_VALUE"""),53.56)</f>
        <v>53.56</v>
      </c>
      <c r="E2473" s="17"/>
      <c r="N2473" s="17"/>
      <c r="Q2473" s="17"/>
    </row>
    <row r="2474">
      <c r="B2474" s="11">
        <f>IFERROR(__xludf.DUMMYFUNCTION("""COMPUTED_VALUE"""),42431.66666666667)</f>
        <v>42431.66667</v>
      </c>
      <c r="C2474" s="9">
        <f>IFERROR(__xludf.DUMMYFUNCTION("""COMPUTED_VALUE"""),53.18)</f>
        <v>53.18</v>
      </c>
      <c r="E2474" s="17"/>
      <c r="N2474" s="17"/>
      <c r="Q2474" s="17"/>
    </row>
    <row r="2475">
      <c r="B2475" s="11">
        <f>IFERROR(__xludf.DUMMYFUNCTION("""COMPUTED_VALUE"""),42430.66666666667)</f>
        <v>42430.66667</v>
      </c>
      <c r="C2475" s="9">
        <f>IFERROR(__xludf.DUMMYFUNCTION("""COMPUTED_VALUE"""),53.14)</f>
        <v>53.14</v>
      </c>
      <c r="E2475" s="17"/>
      <c r="N2475" s="17"/>
      <c r="Q2475" s="17"/>
    </row>
    <row r="2476">
      <c r="B2476" s="11">
        <f>IFERROR(__xludf.DUMMYFUNCTION("""COMPUTED_VALUE"""),42429.66666666667)</f>
        <v>42429.66667</v>
      </c>
      <c r="C2476" s="9">
        <f>IFERROR(__xludf.DUMMYFUNCTION("""COMPUTED_VALUE"""),52.12)</f>
        <v>52.12</v>
      </c>
      <c r="E2476" s="17"/>
      <c r="N2476" s="17"/>
      <c r="Q2476" s="17"/>
    </row>
    <row r="2477">
      <c r="B2477" s="11">
        <f>IFERROR(__xludf.DUMMYFUNCTION("""COMPUTED_VALUE"""),42426.66666666667)</f>
        <v>42426.66667</v>
      </c>
      <c r="C2477" s="9">
        <f>IFERROR(__xludf.DUMMYFUNCTION("""COMPUTED_VALUE"""),52.45)</f>
        <v>52.45</v>
      </c>
      <c r="E2477" s="17"/>
      <c r="N2477" s="17"/>
      <c r="Q2477" s="17"/>
    </row>
    <row r="2478">
      <c r="B2478" s="11">
        <f>IFERROR(__xludf.DUMMYFUNCTION("""COMPUTED_VALUE"""),42425.66666666667)</f>
        <v>42425.66667</v>
      </c>
      <c r="C2478" s="9">
        <f>IFERROR(__xludf.DUMMYFUNCTION("""COMPUTED_VALUE"""),52.38)</f>
        <v>52.38</v>
      </c>
      <c r="E2478" s="17"/>
      <c r="N2478" s="17"/>
      <c r="Q2478" s="17"/>
    </row>
    <row r="2479">
      <c r="B2479" s="11">
        <f>IFERROR(__xludf.DUMMYFUNCTION("""COMPUTED_VALUE"""),42424.66666666667)</f>
        <v>42424.66667</v>
      </c>
      <c r="C2479" s="9">
        <f>IFERROR(__xludf.DUMMYFUNCTION("""COMPUTED_VALUE"""),51.7)</f>
        <v>51.7</v>
      </c>
      <c r="E2479" s="17"/>
      <c r="N2479" s="17"/>
      <c r="Q2479" s="17"/>
    </row>
    <row r="2480">
      <c r="B2480" s="11">
        <f>IFERROR(__xludf.DUMMYFUNCTION("""COMPUTED_VALUE"""),42423.66666666667)</f>
        <v>42423.66667</v>
      </c>
      <c r="C2480" s="9">
        <f>IFERROR(__xludf.DUMMYFUNCTION("""COMPUTED_VALUE"""),51.67)</f>
        <v>51.67</v>
      </c>
      <c r="E2480" s="17"/>
      <c r="N2480" s="17"/>
      <c r="Q2480" s="17"/>
    </row>
    <row r="2481">
      <c r="B2481" s="11">
        <f>IFERROR(__xludf.DUMMYFUNCTION("""COMPUTED_VALUE"""),42422.66666666667)</f>
        <v>42422.66667</v>
      </c>
      <c r="C2481" s="9">
        <f>IFERROR(__xludf.DUMMYFUNCTION("""COMPUTED_VALUE"""),52.19)</f>
        <v>52.19</v>
      </c>
      <c r="E2481" s="17"/>
      <c r="N2481" s="17"/>
      <c r="Q2481" s="17"/>
    </row>
    <row r="2482">
      <c r="B2482" s="11">
        <f>IFERROR(__xludf.DUMMYFUNCTION("""COMPUTED_VALUE"""),42419.66666666667)</f>
        <v>42419.66667</v>
      </c>
      <c r="C2482" s="9">
        <f>IFERROR(__xludf.DUMMYFUNCTION("""COMPUTED_VALUE"""),51.32)</f>
        <v>51.32</v>
      </c>
      <c r="E2482" s="17"/>
      <c r="N2482" s="17"/>
      <c r="Q2482" s="17"/>
    </row>
    <row r="2483">
      <c r="B2483" s="11">
        <f>IFERROR(__xludf.DUMMYFUNCTION("""COMPUTED_VALUE"""),42418.66666666667)</f>
        <v>42418.66667</v>
      </c>
      <c r="C2483" s="9">
        <f>IFERROR(__xludf.DUMMYFUNCTION("""COMPUTED_VALUE"""),51.42)</f>
        <v>51.42</v>
      </c>
      <c r="E2483" s="17"/>
      <c r="N2483" s="17"/>
      <c r="Q2483" s="17"/>
    </row>
    <row r="2484">
      <c r="B2484" s="11">
        <f>IFERROR(__xludf.DUMMYFUNCTION("""COMPUTED_VALUE"""),42417.66666666667)</f>
        <v>42417.66667</v>
      </c>
      <c r="C2484" s="9">
        <f>IFERROR(__xludf.DUMMYFUNCTION("""COMPUTED_VALUE"""),51.45)</f>
        <v>51.45</v>
      </c>
      <c r="E2484" s="17"/>
      <c r="N2484" s="17"/>
      <c r="Q2484" s="17"/>
    </row>
    <row r="2485">
      <c r="B2485" s="11">
        <f>IFERROR(__xludf.DUMMYFUNCTION("""COMPUTED_VALUE"""),42416.66666666667)</f>
        <v>42416.66667</v>
      </c>
      <c r="C2485" s="9">
        <f>IFERROR(__xludf.DUMMYFUNCTION("""COMPUTED_VALUE"""),50.67)</f>
        <v>50.67</v>
      </c>
      <c r="E2485" s="17"/>
      <c r="N2485" s="17"/>
      <c r="Q2485" s="17"/>
    </row>
    <row r="2486">
      <c r="B2486" s="11">
        <f>IFERROR(__xludf.DUMMYFUNCTION("""COMPUTED_VALUE"""),42412.66666666667)</f>
        <v>42412.66667</v>
      </c>
      <c r="C2486" s="9">
        <f>IFERROR(__xludf.DUMMYFUNCTION("""COMPUTED_VALUE"""),49.67)</f>
        <v>49.67</v>
      </c>
      <c r="E2486" s="17"/>
      <c r="N2486" s="17"/>
      <c r="Q2486" s="17"/>
    </row>
    <row r="2487">
      <c r="B2487" s="11">
        <f>IFERROR(__xludf.DUMMYFUNCTION("""COMPUTED_VALUE"""),42411.66666666667)</f>
        <v>42411.66667</v>
      </c>
      <c r="C2487" s="9">
        <f>IFERROR(__xludf.DUMMYFUNCTION("""COMPUTED_VALUE"""),48.69)</f>
        <v>48.69</v>
      </c>
      <c r="E2487" s="17"/>
      <c r="N2487" s="17"/>
      <c r="Q2487" s="17"/>
    </row>
    <row r="2488">
      <c r="B2488" s="11">
        <f>IFERROR(__xludf.DUMMYFUNCTION("""COMPUTED_VALUE"""),42410.66666666667)</f>
        <v>42410.66667</v>
      </c>
      <c r="C2488" s="9">
        <f>IFERROR(__xludf.DUMMYFUNCTION("""COMPUTED_VALUE"""),49.68)</f>
        <v>49.68</v>
      </c>
      <c r="E2488" s="17"/>
      <c r="N2488" s="17"/>
      <c r="Q2488" s="17"/>
    </row>
    <row r="2489">
      <c r="B2489" s="11">
        <f>IFERROR(__xludf.DUMMYFUNCTION("""COMPUTED_VALUE"""),42409.66666666667)</f>
        <v>42409.66667</v>
      </c>
      <c r="C2489" s="9">
        <f>IFERROR(__xludf.DUMMYFUNCTION("""COMPUTED_VALUE"""),49.92)</f>
        <v>49.92</v>
      </c>
      <c r="E2489" s="17"/>
      <c r="N2489" s="17"/>
      <c r="Q2489" s="17"/>
    </row>
    <row r="2490">
      <c r="B2490" s="11">
        <f>IFERROR(__xludf.DUMMYFUNCTION("""COMPUTED_VALUE"""),42408.66666666667)</f>
        <v>42408.66667</v>
      </c>
      <c r="C2490" s="9">
        <f>IFERROR(__xludf.DUMMYFUNCTION("""COMPUTED_VALUE"""),49.62)</f>
        <v>49.62</v>
      </c>
      <c r="E2490" s="17"/>
      <c r="N2490" s="17"/>
      <c r="Q2490" s="17"/>
    </row>
    <row r="2491">
      <c r="B2491" s="11">
        <f>IFERROR(__xludf.DUMMYFUNCTION("""COMPUTED_VALUE"""),42405.66666666667)</f>
        <v>42405.66667</v>
      </c>
      <c r="C2491" s="9">
        <f>IFERROR(__xludf.DUMMYFUNCTION("""COMPUTED_VALUE"""),50.04)</f>
        <v>50.04</v>
      </c>
      <c r="E2491" s="17"/>
      <c r="N2491" s="17"/>
      <c r="Q2491" s="17"/>
    </row>
    <row r="2492">
      <c r="B2492" s="11">
        <f>IFERROR(__xludf.DUMMYFUNCTION("""COMPUTED_VALUE"""),42404.66666666667)</f>
        <v>42404.66667</v>
      </c>
      <c r="C2492" s="9">
        <f>IFERROR(__xludf.DUMMYFUNCTION("""COMPUTED_VALUE"""),50.52)</f>
        <v>50.52</v>
      </c>
      <c r="E2492" s="17"/>
      <c r="N2492" s="17"/>
      <c r="Q2492" s="17"/>
    </row>
    <row r="2493">
      <c r="B2493" s="11">
        <f>IFERROR(__xludf.DUMMYFUNCTION("""COMPUTED_VALUE"""),42403.66666666667)</f>
        <v>42403.66667</v>
      </c>
      <c r="C2493" s="9">
        <f>IFERROR(__xludf.DUMMYFUNCTION("""COMPUTED_VALUE"""),49.66)</f>
        <v>49.66</v>
      </c>
      <c r="E2493" s="17"/>
      <c r="N2493" s="17"/>
      <c r="Q2493" s="17"/>
    </row>
    <row r="2494">
      <c r="B2494" s="11">
        <f>IFERROR(__xludf.DUMMYFUNCTION("""COMPUTED_VALUE"""),42402.66666666667)</f>
        <v>42402.66667</v>
      </c>
      <c r="C2494" s="9">
        <f>IFERROR(__xludf.DUMMYFUNCTION("""COMPUTED_VALUE"""),48.87)</f>
        <v>48.87</v>
      </c>
      <c r="E2494" s="17"/>
      <c r="N2494" s="17"/>
      <c r="Q2494" s="17"/>
    </row>
    <row r="2495">
      <c r="B2495" s="11">
        <f>IFERROR(__xludf.DUMMYFUNCTION("""COMPUTED_VALUE"""),42401.66666666667)</f>
        <v>42401.66667</v>
      </c>
      <c r="C2495" s="9">
        <f>IFERROR(__xludf.DUMMYFUNCTION("""COMPUTED_VALUE"""),49.87)</f>
        <v>49.87</v>
      </c>
      <c r="E2495" s="17"/>
      <c r="N2495" s="17"/>
      <c r="Q2495" s="17"/>
    </row>
    <row r="2496">
      <c r="B2496" s="11">
        <f>IFERROR(__xludf.DUMMYFUNCTION("""COMPUTED_VALUE"""),42398.66666666667)</f>
        <v>42398.66667</v>
      </c>
      <c r="C2496" s="9">
        <f>IFERROR(__xludf.DUMMYFUNCTION("""COMPUTED_VALUE"""),49.99)</f>
        <v>49.99</v>
      </c>
      <c r="E2496" s="17"/>
      <c r="N2496" s="17"/>
      <c r="Q2496" s="17"/>
    </row>
    <row r="2497">
      <c r="B2497" s="11">
        <f>IFERROR(__xludf.DUMMYFUNCTION("""COMPUTED_VALUE"""),42397.66666666667)</f>
        <v>42397.66667</v>
      </c>
      <c r="C2497" s="9">
        <f>IFERROR(__xludf.DUMMYFUNCTION("""COMPUTED_VALUE"""),48.68)</f>
        <v>48.68</v>
      </c>
      <c r="E2497" s="17"/>
      <c r="N2497" s="17"/>
      <c r="Q2497" s="17"/>
    </row>
    <row r="2498">
      <c r="B2498" s="11">
        <f>IFERROR(__xludf.DUMMYFUNCTION("""COMPUTED_VALUE"""),42396.66666666667)</f>
        <v>42396.66667</v>
      </c>
      <c r="C2498" s="9">
        <f>IFERROR(__xludf.DUMMYFUNCTION("""COMPUTED_VALUE"""),48.4)</f>
        <v>48.4</v>
      </c>
      <c r="E2498" s="17"/>
      <c r="N2498" s="17"/>
      <c r="Q2498" s="17"/>
    </row>
    <row r="2499">
      <c r="B2499" s="11">
        <f>IFERROR(__xludf.DUMMYFUNCTION("""COMPUTED_VALUE"""),42395.66666666667)</f>
        <v>42395.66667</v>
      </c>
      <c r="C2499" s="9">
        <f>IFERROR(__xludf.DUMMYFUNCTION("""COMPUTED_VALUE"""),48.95)</f>
        <v>48.95</v>
      </c>
      <c r="E2499" s="17"/>
      <c r="N2499" s="17"/>
      <c r="Q2499" s="17"/>
    </row>
    <row r="2500">
      <c r="B2500" s="11">
        <f>IFERROR(__xludf.DUMMYFUNCTION("""COMPUTED_VALUE"""),42394.66666666667)</f>
        <v>42394.66667</v>
      </c>
      <c r="C2500" s="9">
        <f>IFERROR(__xludf.DUMMYFUNCTION("""COMPUTED_VALUE"""),48.04)</f>
        <v>48.04</v>
      </c>
      <c r="E2500" s="17"/>
      <c r="N2500" s="17"/>
      <c r="Q2500" s="17"/>
    </row>
    <row r="2501">
      <c r="B2501" s="11">
        <f>IFERROR(__xludf.DUMMYFUNCTION("""COMPUTED_VALUE"""),42391.66666666667)</f>
        <v>42391.66667</v>
      </c>
      <c r="C2501" s="9">
        <f>IFERROR(__xludf.DUMMYFUNCTION("""COMPUTED_VALUE"""),48.64)</f>
        <v>48.64</v>
      </c>
      <c r="E2501" s="17"/>
      <c r="N2501" s="17"/>
      <c r="Q2501" s="17"/>
    </row>
    <row r="2502">
      <c r="B2502" s="11">
        <f>IFERROR(__xludf.DUMMYFUNCTION("""COMPUTED_VALUE"""),42390.66666666667)</f>
        <v>42390.66667</v>
      </c>
      <c r="C2502" s="9">
        <f>IFERROR(__xludf.DUMMYFUNCTION("""COMPUTED_VALUE"""),48.22)</f>
        <v>48.22</v>
      </c>
      <c r="E2502" s="17"/>
      <c r="N2502" s="17"/>
      <c r="Q2502" s="17"/>
    </row>
    <row r="2503">
      <c r="B2503" s="11">
        <f>IFERROR(__xludf.DUMMYFUNCTION("""COMPUTED_VALUE"""),42389.66666666667)</f>
        <v>42389.66667</v>
      </c>
      <c r="C2503" s="9">
        <f>IFERROR(__xludf.DUMMYFUNCTION("""COMPUTED_VALUE"""),48.01)</f>
        <v>48.01</v>
      </c>
      <c r="E2503" s="17"/>
      <c r="N2503" s="17"/>
      <c r="Q2503" s="17"/>
    </row>
    <row r="2504">
      <c r="B2504" s="11">
        <f>IFERROR(__xludf.DUMMYFUNCTION("""COMPUTED_VALUE"""),42388.66666666667)</f>
        <v>42388.66667</v>
      </c>
      <c r="C2504" s="9">
        <f>IFERROR(__xludf.DUMMYFUNCTION("""COMPUTED_VALUE"""),48.64)</f>
        <v>48.64</v>
      </c>
      <c r="E2504" s="17"/>
      <c r="N2504" s="17"/>
      <c r="Q2504" s="17"/>
    </row>
    <row r="2505">
      <c r="B2505" s="11">
        <f>IFERROR(__xludf.DUMMYFUNCTION("""COMPUTED_VALUE"""),42384.66666666667)</f>
        <v>42384.66667</v>
      </c>
      <c r="C2505" s="9">
        <f>IFERROR(__xludf.DUMMYFUNCTION("""COMPUTED_VALUE"""),48.65)</f>
        <v>48.65</v>
      </c>
      <c r="E2505" s="17"/>
      <c r="N2505" s="17"/>
      <c r="Q2505" s="17"/>
    </row>
    <row r="2506">
      <c r="B2506" s="11">
        <f>IFERROR(__xludf.DUMMYFUNCTION("""COMPUTED_VALUE"""),42383.66666666667)</f>
        <v>42383.66667</v>
      </c>
      <c r="C2506" s="9">
        <f>IFERROR(__xludf.DUMMYFUNCTION("""COMPUTED_VALUE"""),49.52)</f>
        <v>49.52</v>
      </c>
      <c r="E2506" s="17"/>
      <c r="N2506" s="17"/>
      <c r="Q2506" s="17"/>
    </row>
    <row r="2507">
      <c r="B2507" s="11">
        <f>IFERROR(__xludf.DUMMYFUNCTION("""COMPUTED_VALUE"""),42382.66666666667)</f>
        <v>42382.66667</v>
      </c>
      <c r="C2507" s="9">
        <f>IFERROR(__xludf.DUMMYFUNCTION("""COMPUTED_VALUE"""),48.94)</f>
        <v>48.94</v>
      </c>
      <c r="E2507" s="17"/>
      <c r="N2507" s="17"/>
      <c r="Q2507" s="17"/>
    </row>
    <row r="2508">
      <c r="B2508" s="11">
        <f>IFERROR(__xludf.DUMMYFUNCTION("""COMPUTED_VALUE"""),42381.66666666667)</f>
        <v>42381.66667</v>
      </c>
      <c r="C2508" s="9">
        <f>IFERROR(__xludf.DUMMYFUNCTION("""COMPUTED_VALUE"""),50.15)</f>
        <v>50.15</v>
      </c>
      <c r="E2508" s="17"/>
      <c r="N2508" s="17"/>
      <c r="Q2508" s="17"/>
    </row>
    <row r="2509">
      <c r="B2509" s="11">
        <f>IFERROR(__xludf.DUMMYFUNCTION("""COMPUTED_VALUE"""),42380.66666666667)</f>
        <v>42380.66667</v>
      </c>
      <c r="C2509" s="9">
        <f>IFERROR(__xludf.DUMMYFUNCTION("""COMPUTED_VALUE"""),49.75)</f>
        <v>49.75</v>
      </c>
      <c r="E2509" s="17"/>
      <c r="N2509" s="17"/>
      <c r="Q2509" s="17"/>
    </row>
    <row r="2510">
      <c r="B2510" s="11">
        <f>IFERROR(__xludf.DUMMYFUNCTION("""COMPUTED_VALUE"""),42377.66666666667)</f>
        <v>42377.66667</v>
      </c>
      <c r="C2510" s="9">
        <f>IFERROR(__xludf.DUMMYFUNCTION("""COMPUTED_VALUE"""),49.72)</f>
        <v>49.72</v>
      </c>
      <c r="E2510" s="17"/>
      <c r="N2510" s="17"/>
      <c r="Q2510" s="17"/>
    </row>
    <row r="2511">
      <c r="B2511" s="11">
        <f>IFERROR(__xludf.DUMMYFUNCTION("""COMPUTED_VALUE"""),42376.66666666667)</f>
        <v>42376.66667</v>
      </c>
      <c r="C2511" s="9">
        <f>IFERROR(__xludf.DUMMYFUNCTION("""COMPUTED_VALUE"""),50.23)</f>
        <v>50.23</v>
      </c>
      <c r="E2511" s="17"/>
      <c r="N2511" s="17"/>
      <c r="Q2511" s="17"/>
    </row>
    <row r="2512">
      <c r="B2512" s="11">
        <f>IFERROR(__xludf.DUMMYFUNCTION("""COMPUTED_VALUE"""),42375.66666666667)</f>
        <v>42375.66667</v>
      </c>
      <c r="C2512" s="9">
        <f>IFERROR(__xludf.DUMMYFUNCTION("""COMPUTED_VALUE"""),51.63)</f>
        <v>51.63</v>
      </c>
      <c r="E2512" s="17"/>
      <c r="N2512" s="17"/>
      <c r="Q2512" s="17"/>
    </row>
    <row r="2513">
      <c r="B2513" s="11">
        <f>IFERROR(__xludf.DUMMYFUNCTION("""COMPUTED_VALUE"""),42374.66666666667)</f>
        <v>42374.66667</v>
      </c>
      <c r="C2513" s="9">
        <f>IFERROR(__xludf.DUMMYFUNCTION("""COMPUTED_VALUE"""),52.44)</f>
        <v>52.44</v>
      </c>
      <c r="E2513" s="17"/>
      <c r="N2513" s="17"/>
      <c r="Q2513" s="17"/>
    </row>
    <row r="2514">
      <c r="B2514" s="11">
        <f>IFERROR(__xludf.DUMMYFUNCTION("""COMPUTED_VALUE"""),42373.66666666667)</f>
        <v>42373.66667</v>
      </c>
      <c r="C2514" s="9">
        <f>IFERROR(__xludf.DUMMYFUNCTION("""COMPUTED_VALUE"""),52.3)</f>
        <v>52.3</v>
      </c>
      <c r="E2514" s="17"/>
      <c r="N2514" s="17"/>
      <c r="Q2514" s="17"/>
    </row>
    <row r="2515">
      <c r="B2515" s="11">
        <f>IFERROR(__xludf.DUMMYFUNCTION("""COMPUTED_VALUE"""),42369.66666666667)</f>
        <v>42369.66667</v>
      </c>
      <c r="C2515" s="9">
        <f>IFERROR(__xludf.DUMMYFUNCTION("""COMPUTED_VALUE"""),53.01)</f>
        <v>53.01</v>
      </c>
      <c r="E2515" s="17"/>
      <c r="N2515" s="17"/>
      <c r="Q2515" s="17"/>
    </row>
    <row r="2516">
      <c r="B2516" s="11">
        <f>IFERROR(__xludf.DUMMYFUNCTION("""COMPUTED_VALUE"""),42368.66666666667)</f>
        <v>42368.66667</v>
      </c>
      <c r="C2516" s="9">
        <f>IFERROR(__xludf.DUMMYFUNCTION("""COMPUTED_VALUE"""),53.4)</f>
        <v>53.4</v>
      </c>
      <c r="E2516" s="17"/>
      <c r="N2516" s="17"/>
      <c r="Q2516" s="17"/>
    </row>
    <row r="2517">
      <c r="B2517" s="11">
        <f>IFERROR(__xludf.DUMMYFUNCTION("""COMPUTED_VALUE"""),42367.66666666667)</f>
        <v>42367.66667</v>
      </c>
      <c r="C2517" s="9">
        <f>IFERROR(__xludf.DUMMYFUNCTION("""COMPUTED_VALUE"""),53.85)</f>
        <v>53.85</v>
      </c>
      <c r="E2517" s="17"/>
      <c r="N2517" s="17"/>
      <c r="Q2517" s="17"/>
    </row>
    <row r="2518">
      <c r="B2518" s="11">
        <f>IFERROR(__xludf.DUMMYFUNCTION("""COMPUTED_VALUE"""),42366.66666666667)</f>
        <v>42366.66667</v>
      </c>
      <c r="C2518" s="9">
        <f>IFERROR(__xludf.DUMMYFUNCTION("""COMPUTED_VALUE"""),53.34)</f>
        <v>53.34</v>
      </c>
      <c r="E2518" s="17"/>
      <c r="N2518" s="17"/>
      <c r="Q2518" s="17"/>
    </row>
    <row r="2519">
      <c r="B2519" s="11">
        <f>IFERROR(__xludf.DUMMYFUNCTION("""COMPUTED_VALUE"""),42362.66666666667)</f>
        <v>42362.66667</v>
      </c>
      <c r="C2519" s="9">
        <f>IFERROR(__xludf.DUMMYFUNCTION("""COMPUTED_VALUE"""),53.46)</f>
        <v>53.46</v>
      </c>
      <c r="E2519" s="17"/>
      <c r="N2519" s="17"/>
      <c r="Q2519" s="17"/>
    </row>
    <row r="2520">
      <c r="B2520" s="11">
        <f>IFERROR(__xludf.DUMMYFUNCTION("""COMPUTED_VALUE"""),42361.66666666667)</f>
        <v>42361.66667</v>
      </c>
      <c r="C2520" s="9">
        <f>IFERROR(__xludf.DUMMYFUNCTION("""COMPUTED_VALUE"""),53.48)</f>
        <v>53.48</v>
      </c>
      <c r="E2520" s="17"/>
      <c r="N2520" s="17"/>
      <c r="Q2520" s="17"/>
    </row>
    <row r="2521">
      <c r="B2521" s="11">
        <f>IFERROR(__xludf.DUMMYFUNCTION("""COMPUTED_VALUE"""),42360.66666666667)</f>
        <v>42360.66667</v>
      </c>
      <c r="C2521" s="9">
        <f>IFERROR(__xludf.DUMMYFUNCTION("""COMPUTED_VALUE"""),52.86)</f>
        <v>52.86</v>
      </c>
      <c r="E2521" s="17"/>
      <c r="N2521" s="17"/>
      <c r="Q2521" s="17"/>
    </row>
    <row r="2522">
      <c r="B2522" s="11">
        <f>IFERROR(__xludf.DUMMYFUNCTION("""COMPUTED_VALUE"""),42359.66666666667)</f>
        <v>42359.66667</v>
      </c>
      <c r="C2522" s="9">
        <f>IFERROR(__xludf.DUMMYFUNCTION("""COMPUTED_VALUE"""),52.14)</f>
        <v>52.14</v>
      </c>
      <c r="E2522" s="17"/>
      <c r="N2522" s="17"/>
      <c r="Q2522" s="17"/>
    </row>
    <row r="2523">
      <c r="B2523" s="11">
        <f>IFERROR(__xludf.DUMMYFUNCTION("""COMPUTED_VALUE"""),42356.66666666667)</f>
        <v>42356.66667</v>
      </c>
      <c r="C2523" s="9">
        <f>IFERROR(__xludf.DUMMYFUNCTION("""COMPUTED_VALUE"""),51.74)</f>
        <v>51.74</v>
      </c>
      <c r="E2523" s="17"/>
      <c r="N2523" s="17"/>
      <c r="Q2523" s="17"/>
    </row>
    <row r="2524">
      <c r="B2524" s="11">
        <f>IFERROR(__xludf.DUMMYFUNCTION("""COMPUTED_VALUE"""),42355.66666666667)</f>
        <v>42355.66667</v>
      </c>
      <c r="C2524" s="9">
        <f>IFERROR(__xludf.DUMMYFUNCTION("""COMPUTED_VALUE"""),52.86)</f>
        <v>52.86</v>
      </c>
      <c r="E2524" s="17"/>
      <c r="N2524" s="17"/>
      <c r="Q2524" s="17"/>
    </row>
    <row r="2525">
      <c r="B2525" s="11">
        <f>IFERROR(__xludf.DUMMYFUNCTION("""COMPUTED_VALUE"""),42354.66666666667)</f>
        <v>42354.66667</v>
      </c>
      <c r="C2525" s="9">
        <f>IFERROR(__xludf.DUMMYFUNCTION("""COMPUTED_VALUE"""),53.75)</f>
        <v>53.75</v>
      </c>
      <c r="E2525" s="17"/>
      <c r="N2525" s="17"/>
      <c r="Q2525" s="17"/>
    </row>
    <row r="2526">
      <c r="B2526" s="11">
        <f>IFERROR(__xludf.DUMMYFUNCTION("""COMPUTED_VALUE"""),42353.66666666667)</f>
        <v>42353.66667</v>
      </c>
      <c r="C2526" s="9">
        <f>IFERROR(__xludf.DUMMYFUNCTION("""COMPUTED_VALUE"""),52.81)</f>
        <v>52.81</v>
      </c>
      <c r="E2526" s="17"/>
      <c r="N2526" s="17"/>
      <c r="Q2526" s="17"/>
    </row>
    <row r="2527">
      <c r="B2527" s="11">
        <f>IFERROR(__xludf.DUMMYFUNCTION("""COMPUTED_VALUE"""),42352.66666666667)</f>
        <v>42352.66667</v>
      </c>
      <c r="C2527" s="9">
        <f>IFERROR(__xludf.DUMMYFUNCTION("""COMPUTED_VALUE"""),52.8)</f>
        <v>52.8</v>
      </c>
      <c r="E2527" s="17"/>
      <c r="N2527" s="17"/>
      <c r="Q2527" s="17"/>
    </row>
    <row r="2528">
      <c r="B2528" s="11">
        <f>IFERROR(__xludf.DUMMYFUNCTION("""COMPUTED_VALUE"""),42349.66666666667)</f>
        <v>42349.66667</v>
      </c>
      <c r="C2528" s="9">
        <f>IFERROR(__xludf.DUMMYFUNCTION("""COMPUTED_VALUE"""),52.61)</f>
        <v>52.61</v>
      </c>
      <c r="E2528" s="17"/>
      <c r="N2528" s="17"/>
      <c r="Q2528" s="17"/>
    </row>
    <row r="2529">
      <c r="B2529" s="11">
        <f>IFERROR(__xludf.DUMMYFUNCTION("""COMPUTED_VALUE"""),42348.66666666667)</f>
        <v>42348.66667</v>
      </c>
      <c r="C2529" s="9">
        <f>IFERROR(__xludf.DUMMYFUNCTION("""COMPUTED_VALUE"""),53.51)</f>
        <v>53.51</v>
      </c>
      <c r="E2529" s="17"/>
      <c r="N2529" s="17"/>
      <c r="Q2529" s="17"/>
    </row>
    <row r="2530">
      <c r="B2530" s="11">
        <f>IFERROR(__xludf.DUMMYFUNCTION("""COMPUTED_VALUE"""),42347.66666666667)</f>
        <v>42347.66667</v>
      </c>
      <c r="C2530" s="9">
        <f>IFERROR(__xludf.DUMMYFUNCTION("""COMPUTED_VALUE"""),53.26)</f>
        <v>53.26</v>
      </c>
      <c r="E2530" s="17"/>
      <c r="N2530" s="17"/>
      <c r="Q2530" s="17"/>
    </row>
    <row r="2531">
      <c r="B2531" s="11">
        <f>IFERROR(__xludf.DUMMYFUNCTION("""COMPUTED_VALUE"""),42346.66666666667)</f>
        <v>42346.66667</v>
      </c>
      <c r="C2531" s="9">
        <f>IFERROR(__xludf.DUMMYFUNCTION("""COMPUTED_VALUE"""),53.42)</f>
        <v>53.42</v>
      </c>
      <c r="E2531" s="17"/>
      <c r="N2531" s="17"/>
      <c r="Q2531" s="17"/>
    </row>
    <row r="2532">
      <c r="B2532" s="11">
        <f>IFERROR(__xludf.DUMMYFUNCTION("""COMPUTED_VALUE"""),42345.66666666667)</f>
        <v>42345.66667</v>
      </c>
      <c r="C2532" s="9">
        <f>IFERROR(__xludf.DUMMYFUNCTION("""COMPUTED_VALUE"""),54.29)</f>
        <v>54.29</v>
      </c>
      <c r="E2532" s="17"/>
      <c r="N2532" s="17"/>
      <c r="Q2532" s="17"/>
    </row>
    <row r="2533">
      <c r="B2533" s="11">
        <f>IFERROR(__xludf.DUMMYFUNCTION("""COMPUTED_VALUE"""),42342.66666666667)</f>
        <v>42342.66667</v>
      </c>
      <c r="C2533" s="9">
        <f>IFERROR(__xludf.DUMMYFUNCTION("""COMPUTED_VALUE"""),54.56)</f>
        <v>54.56</v>
      </c>
      <c r="E2533" s="17"/>
      <c r="N2533" s="17"/>
      <c r="Q2533" s="17"/>
    </row>
    <row r="2534">
      <c r="B2534" s="11">
        <f>IFERROR(__xludf.DUMMYFUNCTION("""COMPUTED_VALUE"""),42341.66666666667)</f>
        <v>42341.66667</v>
      </c>
      <c r="C2534" s="9">
        <f>IFERROR(__xludf.DUMMYFUNCTION("""COMPUTED_VALUE"""),53.76)</f>
        <v>53.76</v>
      </c>
      <c r="E2534" s="17"/>
      <c r="N2534" s="17"/>
      <c r="Q2534" s="17"/>
    </row>
    <row r="2535">
      <c r="B2535" s="11">
        <f>IFERROR(__xludf.DUMMYFUNCTION("""COMPUTED_VALUE"""),42340.66666666667)</f>
        <v>42340.66667</v>
      </c>
      <c r="C2535" s="9">
        <f>IFERROR(__xludf.DUMMYFUNCTION("""COMPUTED_VALUE"""),54.44)</f>
        <v>54.44</v>
      </c>
      <c r="E2535" s="17"/>
      <c r="N2535" s="17"/>
      <c r="Q2535" s="17"/>
    </row>
    <row r="2536">
      <c r="B2536" s="11">
        <f>IFERROR(__xludf.DUMMYFUNCTION("""COMPUTED_VALUE"""),42339.66666666667)</f>
        <v>42339.66667</v>
      </c>
      <c r="C2536" s="9">
        <f>IFERROR(__xludf.DUMMYFUNCTION("""COMPUTED_VALUE"""),55.0)</f>
        <v>55</v>
      </c>
      <c r="E2536" s="17"/>
      <c r="N2536" s="17"/>
      <c r="Q2536" s="17"/>
    </row>
    <row r="2537">
      <c r="B2537" s="11">
        <f>IFERROR(__xludf.DUMMYFUNCTION("""COMPUTED_VALUE"""),42338.66666666667)</f>
        <v>42338.66667</v>
      </c>
      <c r="C2537" s="9">
        <f>IFERROR(__xludf.DUMMYFUNCTION("""COMPUTED_VALUE"""),54.74)</f>
        <v>54.74</v>
      </c>
      <c r="E2537" s="17"/>
      <c r="N2537" s="17"/>
      <c r="Q2537" s="17"/>
    </row>
    <row r="2538">
      <c r="B2538" s="11">
        <f>IFERROR(__xludf.DUMMYFUNCTION("""COMPUTED_VALUE"""),42335.66666666667)</f>
        <v>42335.66667</v>
      </c>
      <c r="C2538" s="9">
        <f>IFERROR(__xludf.DUMMYFUNCTION("""COMPUTED_VALUE"""),55.1)</f>
        <v>55.1</v>
      </c>
      <c r="E2538" s="17"/>
      <c r="N2538" s="17"/>
      <c r="Q2538" s="17"/>
    </row>
    <row r="2539">
      <c r="B2539" s="11">
        <f>IFERROR(__xludf.DUMMYFUNCTION("""COMPUTED_VALUE"""),42333.66666666667)</f>
        <v>42333.66667</v>
      </c>
      <c r="C2539" s="9">
        <f>IFERROR(__xludf.DUMMYFUNCTION("""COMPUTED_VALUE"""),55.0)</f>
        <v>55</v>
      </c>
      <c r="E2539" s="17"/>
      <c r="N2539" s="17"/>
      <c r="Q2539" s="17"/>
    </row>
    <row r="2540">
      <c r="B2540" s="11">
        <f>IFERROR(__xludf.DUMMYFUNCTION("""COMPUTED_VALUE"""),42332.66666666667)</f>
        <v>42332.66667</v>
      </c>
      <c r="C2540" s="9">
        <f>IFERROR(__xludf.DUMMYFUNCTION("""COMPUTED_VALUE"""),55.0)</f>
        <v>55</v>
      </c>
      <c r="E2540" s="17"/>
      <c r="N2540" s="17"/>
      <c r="Q2540" s="17"/>
    </row>
    <row r="2541">
      <c r="B2541" s="11">
        <f>IFERROR(__xludf.DUMMYFUNCTION("""COMPUTED_VALUE"""),42331.66666666667)</f>
        <v>42331.66667</v>
      </c>
      <c r="C2541" s="9">
        <f>IFERROR(__xludf.DUMMYFUNCTION("""COMPUTED_VALUE"""),55.09)</f>
        <v>55.09</v>
      </c>
      <c r="E2541" s="17"/>
      <c r="N2541" s="17"/>
      <c r="Q2541" s="17"/>
    </row>
    <row r="2542">
      <c r="B2542" s="11">
        <f>IFERROR(__xludf.DUMMYFUNCTION("""COMPUTED_VALUE"""),42328.66666666667)</f>
        <v>42328.66667</v>
      </c>
      <c r="C2542" s="9">
        <f>IFERROR(__xludf.DUMMYFUNCTION("""COMPUTED_VALUE"""),55.37)</f>
        <v>55.37</v>
      </c>
      <c r="E2542" s="17"/>
      <c r="N2542" s="17"/>
      <c r="Q2542" s="17"/>
    </row>
    <row r="2543">
      <c r="B2543" s="11">
        <f>IFERROR(__xludf.DUMMYFUNCTION("""COMPUTED_VALUE"""),42327.66666666667)</f>
        <v>42327.66667</v>
      </c>
      <c r="C2543" s="9">
        <f>IFERROR(__xludf.DUMMYFUNCTION("""COMPUTED_VALUE"""),55.09)</f>
        <v>55.09</v>
      </c>
      <c r="E2543" s="17"/>
      <c r="N2543" s="17"/>
      <c r="Q2543" s="17"/>
    </row>
    <row r="2544">
      <c r="B2544" s="11">
        <f>IFERROR(__xludf.DUMMYFUNCTION("""COMPUTED_VALUE"""),42326.66666666667)</f>
        <v>42326.66667</v>
      </c>
      <c r="C2544" s="9">
        <f>IFERROR(__xludf.DUMMYFUNCTION("""COMPUTED_VALUE"""),54.85)</f>
        <v>54.85</v>
      </c>
      <c r="E2544" s="17"/>
      <c r="N2544" s="17"/>
      <c r="Q2544" s="17"/>
    </row>
    <row r="2545">
      <c r="B2545" s="11">
        <f>IFERROR(__xludf.DUMMYFUNCTION("""COMPUTED_VALUE"""),42325.66666666667)</f>
        <v>42325.66667</v>
      </c>
      <c r="C2545" s="9">
        <f>IFERROR(__xludf.DUMMYFUNCTION("""COMPUTED_VALUE"""),54.1)</f>
        <v>54.1</v>
      </c>
      <c r="E2545" s="17"/>
      <c r="N2545" s="17"/>
      <c r="Q2545" s="17"/>
    </row>
    <row r="2546">
      <c r="B2546" s="11">
        <f>IFERROR(__xludf.DUMMYFUNCTION("""COMPUTED_VALUE"""),42324.66666666667)</f>
        <v>42324.66667</v>
      </c>
      <c r="C2546" s="9">
        <f>IFERROR(__xludf.DUMMYFUNCTION("""COMPUTED_VALUE"""),54.21)</f>
        <v>54.21</v>
      </c>
      <c r="E2546" s="17"/>
      <c r="N2546" s="17"/>
      <c r="Q2546" s="17"/>
    </row>
    <row r="2547">
      <c r="B2547" s="11">
        <f>IFERROR(__xludf.DUMMYFUNCTION("""COMPUTED_VALUE"""),42321.66666666667)</f>
        <v>42321.66667</v>
      </c>
      <c r="C2547" s="9">
        <f>IFERROR(__xludf.DUMMYFUNCTION("""COMPUTED_VALUE"""),53.52)</f>
        <v>53.52</v>
      </c>
      <c r="E2547" s="17"/>
      <c r="N2547" s="17"/>
      <c r="Q2547" s="17"/>
    </row>
    <row r="2548">
      <c r="B2548" s="11">
        <f>IFERROR(__xludf.DUMMYFUNCTION("""COMPUTED_VALUE"""),42320.66666666667)</f>
        <v>42320.66667</v>
      </c>
      <c r="C2548" s="9">
        <f>IFERROR(__xludf.DUMMYFUNCTION("""COMPUTED_VALUE"""),53.76)</f>
        <v>53.76</v>
      </c>
      <c r="E2548" s="17"/>
      <c r="N2548" s="17"/>
      <c r="Q2548" s="17"/>
    </row>
    <row r="2549">
      <c r="B2549" s="11">
        <f>IFERROR(__xludf.DUMMYFUNCTION("""COMPUTED_VALUE"""),42319.66666666667)</f>
        <v>42319.66667</v>
      </c>
      <c r="C2549" s="9">
        <f>IFERROR(__xludf.DUMMYFUNCTION("""COMPUTED_VALUE"""),54.5)</f>
        <v>54.5</v>
      </c>
      <c r="E2549" s="17"/>
      <c r="N2549" s="17"/>
      <c r="Q2549" s="17"/>
    </row>
    <row r="2550">
      <c r="B2550" s="11">
        <f>IFERROR(__xludf.DUMMYFUNCTION("""COMPUTED_VALUE"""),42318.66666666667)</f>
        <v>42318.66667</v>
      </c>
      <c r="C2550" s="9">
        <f>IFERROR(__xludf.DUMMYFUNCTION("""COMPUTED_VALUE"""),54.43)</f>
        <v>54.43</v>
      </c>
      <c r="E2550" s="17"/>
      <c r="N2550" s="17"/>
      <c r="Q2550" s="17"/>
    </row>
    <row r="2551">
      <c r="B2551" s="11">
        <f>IFERROR(__xludf.DUMMYFUNCTION("""COMPUTED_VALUE"""),42317.66666666667)</f>
        <v>42317.66667</v>
      </c>
      <c r="C2551" s="9">
        <f>IFERROR(__xludf.DUMMYFUNCTION("""COMPUTED_VALUE"""),54.44)</f>
        <v>54.44</v>
      </c>
      <c r="E2551" s="17"/>
      <c r="N2551" s="17"/>
      <c r="Q2551" s="17"/>
    </row>
    <row r="2552">
      <c r="B2552" s="11">
        <f>IFERROR(__xludf.DUMMYFUNCTION("""COMPUTED_VALUE"""),42314.66666666667)</f>
        <v>42314.66667</v>
      </c>
      <c r="C2552" s="9">
        <f>IFERROR(__xludf.DUMMYFUNCTION("""COMPUTED_VALUE"""),54.86)</f>
        <v>54.86</v>
      </c>
      <c r="E2552" s="17"/>
      <c r="N2552" s="17"/>
      <c r="Q2552" s="17"/>
    </row>
    <row r="2553">
      <c r="B2553" s="11">
        <f>IFERROR(__xludf.DUMMYFUNCTION("""COMPUTED_VALUE"""),42313.66666666667)</f>
        <v>42313.66667</v>
      </c>
      <c r="C2553" s="9">
        <f>IFERROR(__xludf.DUMMYFUNCTION("""COMPUTED_VALUE"""),54.86)</f>
        <v>54.86</v>
      </c>
      <c r="E2553" s="17"/>
      <c r="N2553" s="17"/>
      <c r="Q2553" s="17"/>
    </row>
    <row r="2554">
      <c r="B2554" s="11">
        <f>IFERROR(__xludf.DUMMYFUNCTION("""COMPUTED_VALUE"""),42312.66666666667)</f>
        <v>42312.66667</v>
      </c>
      <c r="C2554" s="9">
        <f>IFERROR(__xludf.DUMMYFUNCTION("""COMPUTED_VALUE"""),54.79)</f>
        <v>54.79</v>
      </c>
      <c r="E2554" s="17"/>
      <c r="N2554" s="17"/>
      <c r="Q2554" s="17"/>
    </row>
    <row r="2555">
      <c r="B2555" s="11">
        <f>IFERROR(__xludf.DUMMYFUNCTION("""COMPUTED_VALUE"""),42311.66666666667)</f>
        <v>42311.66667</v>
      </c>
      <c r="C2555" s="9">
        <f>IFERROR(__xludf.DUMMYFUNCTION("""COMPUTED_VALUE"""),54.94)</f>
        <v>54.94</v>
      </c>
      <c r="E2555" s="17"/>
      <c r="N2555" s="17"/>
      <c r="Q2555" s="17"/>
    </row>
    <row r="2556">
      <c r="B2556" s="11">
        <f>IFERROR(__xludf.DUMMYFUNCTION("""COMPUTED_VALUE"""),42310.66666666667)</f>
        <v>42310.66667</v>
      </c>
      <c r="C2556" s="9">
        <f>IFERROR(__xludf.DUMMYFUNCTION("""COMPUTED_VALUE"""),54.9)</f>
        <v>54.9</v>
      </c>
      <c r="E2556" s="17"/>
      <c r="N2556" s="17"/>
      <c r="Q2556" s="17"/>
    </row>
    <row r="2557">
      <c r="B2557" s="11">
        <f>IFERROR(__xludf.DUMMYFUNCTION("""COMPUTED_VALUE"""),42307.66666666667)</f>
        <v>42307.66667</v>
      </c>
      <c r="C2557" s="9">
        <f>IFERROR(__xludf.DUMMYFUNCTION("""COMPUTED_VALUE"""),54.27)</f>
        <v>54.27</v>
      </c>
      <c r="E2557" s="17"/>
      <c r="N2557" s="17"/>
      <c r="Q2557" s="17"/>
    </row>
    <row r="2558">
      <c r="B2558" s="11">
        <f>IFERROR(__xludf.DUMMYFUNCTION("""COMPUTED_VALUE"""),42306.66666666667)</f>
        <v>42306.66667</v>
      </c>
      <c r="C2558" s="9">
        <f>IFERROR(__xludf.DUMMYFUNCTION("""COMPUTED_VALUE"""),54.34)</f>
        <v>54.34</v>
      </c>
      <c r="E2558" s="17"/>
      <c r="N2558" s="17"/>
      <c r="Q2558" s="17"/>
    </row>
    <row r="2559">
      <c r="B2559" s="11">
        <f>IFERROR(__xludf.DUMMYFUNCTION("""COMPUTED_VALUE"""),42305.66666666667)</f>
        <v>42305.66667</v>
      </c>
      <c r="C2559" s="9">
        <f>IFERROR(__xludf.DUMMYFUNCTION("""COMPUTED_VALUE"""),54.37)</f>
        <v>54.37</v>
      </c>
      <c r="E2559" s="17"/>
      <c r="N2559" s="17"/>
      <c r="Q2559" s="17"/>
    </row>
    <row r="2560">
      <c r="B2560" s="11">
        <f>IFERROR(__xludf.DUMMYFUNCTION("""COMPUTED_VALUE"""),42304.66666666667)</f>
        <v>42304.66667</v>
      </c>
      <c r="C2560" s="9">
        <f>IFERROR(__xludf.DUMMYFUNCTION("""COMPUTED_VALUE"""),53.94)</f>
        <v>53.94</v>
      </c>
      <c r="E2560" s="17"/>
      <c r="N2560" s="17"/>
      <c r="Q2560" s="17"/>
    </row>
    <row r="2561">
      <c r="B2561" s="11">
        <f>IFERROR(__xludf.DUMMYFUNCTION("""COMPUTED_VALUE"""),42303.66666666667)</f>
        <v>42303.66667</v>
      </c>
      <c r="C2561" s="9">
        <f>IFERROR(__xludf.DUMMYFUNCTION("""COMPUTED_VALUE"""),54.54)</f>
        <v>54.54</v>
      </c>
      <c r="E2561" s="17"/>
      <c r="N2561" s="17"/>
      <c r="Q2561" s="17"/>
    </row>
    <row r="2562">
      <c r="B2562" s="11">
        <f>IFERROR(__xludf.DUMMYFUNCTION("""COMPUTED_VALUE"""),42300.66666666667)</f>
        <v>42300.66667</v>
      </c>
      <c r="C2562" s="9">
        <f>IFERROR(__xludf.DUMMYFUNCTION("""COMPUTED_VALUE"""),54.66)</f>
        <v>54.66</v>
      </c>
      <c r="E2562" s="17"/>
      <c r="N2562" s="17"/>
      <c r="Q2562" s="17"/>
    </row>
    <row r="2563">
      <c r="B2563" s="11">
        <f>IFERROR(__xludf.DUMMYFUNCTION("""COMPUTED_VALUE"""),42299.66666666667)</f>
        <v>42299.66667</v>
      </c>
      <c r="C2563" s="9">
        <f>IFERROR(__xludf.DUMMYFUNCTION("""COMPUTED_VALUE"""),54.46)</f>
        <v>54.46</v>
      </c>
      <c r="E2563" s="17"/>
      <c r="N2563" s="17"/>
      <c r="Q2563" s="17"/>
    </row>
    <row r="2564">
      <c r="B2564" s="11">
        <f>IFERROR(__xludf.DUMMYFUNCTION("""COMPUTED_VALUE"""),42298.66666666667)</f>
        <v>42298.66667</v>
      </c>
      <c r="C2564" s="9">
        <f>IFERROR(__xludf.DUMMYFUNCTION("""COMPUTED_VALUE"""),52.98)</f>
        <v>52.98</v>
      </c>
      <c r="E2564" s="17"/>
      <c r="N2564" s="17"/>
      <c r="Q2564" s="17"/>
    </row>
    <row r="2565">
      <c r="B2565" s="11">
        <f>IFERROR(__xludf.DUMMYFUNCTION("""COMPUTED_VALUE"""),42297.66666666667)</f>
        <v>42297.66667</v>
      </c>
      <c r="C2565" s="9">
        <f>IFERROR(__xludf.DUMMYFUNCTION("""COMPUTED_VALUE"""),52.97)</f>
        <v>52.97</v>
      </c>
      <c r="E2565" s="17"/>
      <c r="N2565" s="17"/>
      <c r="Q2565" s="17"/>
    </row>
    <row r="2566">
      <c r="B2566" s="11">
        <f>IFERROR(__xludf.DUMMYFUNCTION("""COMPUTED_VALUE"""),42296.66666666667)</f>
        <v>42296.66667</v>
      </c>
      <c r="C2566" s="9">
        <f>IFERROR(__xludf.DUMMYFUNCTION("""COMPUTED_VALUE"""),52.62)</f>
        <v>52.62</v>
      </c>
      <c r="E2566" s="17"/>
      <c r="N2566" s="17"/>
      <c r="Q2566" s="17"/>
    </row>
    <row r="2567">
      <c r="B2567" s="11">
        <f>IFERROR(__xludf.DUMMYFUNCTION("""COMPUTED_VALUE"""),42293.66666666667)</f>
        <v>42293.66667</v>
      </c>
      <c r="C2567" s="9">
        <f>IFERROR(__xludf.DUMMYFUNCTION("""COMPUTED_VALUE"""),52.55)</f>
        <v>52.55</v>
      </c>
      <c r="E2567" s="17"/>
      <c r="N2567" s="17"/>
      <c r="Q2567" s="17"/>
    </row>
    <row r="2568">
      <c r="B2568" s="11">
        <f>IFERROR(__xludf.DUMMYFUNCTION("""COMPUTED_VALUE"""),42292.66666666667)</f>
        <v>42292.66667</v>
      </c>
      <c r="C2568" s="9">
        <f>IFERROR(__xludf.DUMMYFUNCTION("""COMPUTED_VALUE"""),52.82)</f>
        <v>52.82</v>
      </c>
      <c r="E2568" s="17"/>
      <c r="N2568" s="17"/>
      <c r="Q2568" s="17"/>
    </row>
    <row r="2569">
      <c r="B2569" s="11">
        <f>IFERROR(__xludf.DUMMYFUNCTION("""COMPUTED_VALUE"""),42291.66666666667)</f>
        <v>42291.66667</v>
      </c>
      <c r="C2569" s="9">
        <f>IFERROR(__xludf.DUMMYFUNCTION("""COMPUTED_VALUE"""),52.25)</f>
        <v>52.25</v>
      </c>
      <c r="E2569" s="17"/>
      <c r="N2569" s="17"/>
      <c r="Q2569" s="17"/>
    </row>
    <row r="2570">
      <c r="B2570" s="11">
        <f>IFERROR(__xludf.DUMMYFUNCTION("""COMPUTED_VALUE"""),42290.66666666667)</f>
        <v>42290.66667</v>
      </c>
      <c r="C2570" s="9">
        <f>IFERROR(__xludf.DUMMYFUNCTION("""COMPUTED_VALUE"""),52.82)</f>
        <v>52.82</v>
      </c>
      <c r="E2570" s="17"/>
      <c r="N2570" s="17"/>
      <c r="Q2570" s="17"/>
    </row>
    <row r="2571">
      <c r="B2571" s="11">
        <f>IFERROR(__xludf.DUMMYFUNCTION("""COMPUTED_VALUE"""),42289.66666666667)</f>
        <v>42289.66667</v>
      </c>
      <c r="C2571" s="9">
        <f>IFERROR(__xludf.DUMMYFUNCTION("""COMPUTED_VALUE"""),53.39)</f>
        <v>53.39</v>
      </c>
      <c r="E2571" s="17"/>
      <c r="N2571" s="17"/>
      <c r="Q2571" s="17"/>
    </row>
    <row r="2572">
      <c r="B2572" s="11">
        <f>IFERROR(__xludf.DUMMYFUNCTION("""COMPUTED_VALUE"""),42286.66666666667)</f>
        <v>42286.66667</v>
      </c>
      <c r="C2572" s="9">
        <f>IFERROR(__xludf.DUMMYFUNCTION("""COMPUTED_VALUE"""),53.38)</f>
        <v>53.38</v>
      </c>
      <c r="E2572" s="17"/>
      <c r="N2572" s="17"/>
      <c r="Q2572" s="17"/>
    </row>
    <row r="2573">
      <c r="B2573" s="11">
        <f>IFERROR(__xludf.DUMMYFUNCTION("""COMPUTED_VALUE"""),42285.66666666667)</f>
        <v>42285.66667</v>
      </c>
      <c r="C2573" s="9">
        <f>IFERROR(__xludf.DUMMYFUNCTION("""COMPUTED_VALUE"""),53.2)</f>
        <v>53.2</v>
      </c>
      <c r="E2573" s="17"/>
      <c r="N2573" s="17"/>
      <c r="Q2573" s="17"/>
    </row>
    <row r="2574">
      <c r="B2574" s="11">
        <f>IFERROR(__xludf.DUMMYFUNCTION("""COMPUTED_VALUE"""),42284.66666666667)</f>
        <v>42284.66667</v>
      </c>
      <c r="C2574" s="9">
        <f>IFERROR(__xludf.DUMMYFUNCTION("""COMPUTED_VALUE"""),52.47)</f>
        <v>52.47</v>
      </c>
      <c r="E2574" s="17"/>
      <c r="N2574" s="17"/>
      <c r="Q2574" s="17"/>
    </row>
    <row r="2575">
      <c r="B2575" s="11">
        <f>IFERROR(__xludf.DUMMYFUNCTION("""COMPUTED_VALUE"""),42283.66666666667)</f>
        <v>42283.66667</v>
      </c>
      <c r="C2575" s="9">
        <f>IFERROR(__xludf.DUMMYFUNCTION("""COMPUTED_VALUE"""),51.79)</f>
        <v>51.79</v>
      </c>
      <c r="E2575" s="17"/>
      <c r="N2575" s="17"/>
      <c r="Q2575" s="17"/>
    </row>
    <row r="2576">
      <c r="B2576" s="11">
        <f>IFERROR(__xludf.DUMMYFUNCTION("""COMPUTED_VALUE"""),42282.66666666667)</f>
        <v>42282.66667</v>
      </c>
      <c r="C2576" s="9">
        <f>IFERROR(__xludf.DUMMYFUNCTION("""COMPUTED_VALUE"""),51.84)</f>
        <v>51.84</v>
      </c>
      <c r="E2576" s="17"/>
      <c r="N2576" s="17"/>
      <c r="Q2576" s="17"/>
    </row>
    <row r="2577">
      <c r="B2577" s="11">
        <f>IFERROR(__xludf.DUMMYFUNCTION("""COMPUTED_VALUE"""),42279.66666666667)</f>
        <v>42279.66667</v>
      </c>
      <c r="C2577" s="9">
        <f>IFERROR(__xludf.DUMMYFUNCTION("""COMPUTED_VALUE"""),50.41)</f>
        <v>50.41</v>
      </c>
      <c r="E2577" s="17"/>
      <c r="N2577" s="17"/>
      <c r="Q2577" s="17"/>
    </row>
    <row r="2578">
      <c r="B2578" s="11">
        <f>IFERROR(__xludf.DUMMYFUNCTION("""COMPUTED_VALUE"""),42278.66666666667)</f>
        <v>42278.66667</v>
      </c>
      <c r="C2578" s="9">
        <f>IFERROR(__xludf.DUMMYFUNCTION("""COMPUTED_VALUE"""),49.78)</f>
        <v>49.78</v>
      </c>
      <c r="E2578" s="17"/>
      <c r="N2578" s="17"/>
      <c r="Q2578" s="17"/>
    </row>
    <row r="2579">
      <c r="B2579" s="11">
        <f>IFERROR(__xludf.DUMMYFUNCTION("""COMPUTED_VALUE"""),42277.66666666667)</f>
        <v>42277.66667</v>
      </c>
      <c r="C2579" s="9">
        <f>IFERROR(__xludf.DUMMYFUNCTION("""COMPUTED_VALUE"""),49.89)</f>
        <v>49.89</v>
      </c>
      <c r="E2579" s="17"/>
      <c r="N2579" s="17"/>
      <c r="Q2579" s="17"/>
    </row>
    <row r="2580">
      <c r="B2580" s="11">
        <f>IFERROR(__xludf.DUMMYFUNCTION("""COMPUTED_VALUE"""),42276.66666666667)</f>
        <v>42276.66667</v>
      </c>
      <c r="C2580" s="9">
        <f>IFERROR(__xludf.DUMMYFUNCTION("""COMPUTED_VALUE"""),49.15)</f>
        <v>49.15</v>
      </c>
      <c r="E2580" s="17"/>
      <c r="N2580" s="17"/>
      <c r="Q2580" s="17"/>
    </row>
    <row r="2581">
      <c r="B2581" s="11">
        <f>IFERROR(__xludf.DUMMYFUNCTION("""COMPUTED_VALUE"""),42275.66666666667)</f>
        <v>42275.66667</v>
      </c>
      <c r="C2581" s="9">
        <f>IFERROR(__xludf.DUMMYFUNCTION("""COMPUTED_VALUE"""),48.83)</f>
        <v>48.83</v>
      </c>
      <c r="E2581" s="17"/>
      <c r="N2581" s="17"/>
      <c r="Q2581" s="17"/>
    </row>
    <row r="2582">
      <c r="B2582" s="11">
        <f>IFERROR(__xludf.DUMMYFUNCTION("""COMPUTED_VALUE"""),42272.66666666667)</f>
        <v>42272.66667</v>
      </c>
      <c r="C2582" s="9">
        <f>IFERROR(__xludf.DUMMYFUNCTION("""COMPUTED_VALUE"""),49.81)</f>
        <v>49.81</v>
      </c>
      <c r="E2582" s="17"/>
      <c r="N2582" s="17"/>
      <c r="Q2582" s="17"/>
    </row>
    <row r="2583">
      <c r="B2583" s="11">
        <f>IFERROR(__xludf.DUMMYFUNCTION("""COMPUTED_VALUE"""),42271.66666666667)</f>
        <v>42271.66667</v>
      </c>
      <c r="C2583" s="9">
        <f>IFERROR(__xludf.DUMMYFUNCTION("""COMPUTED_VALUE"""),49.71)</f>
        <v>49.71</v>
      </c>
      <c r="E2583" s="17"/>
      <c r="N2583" s="17"/>
      <c r="Q2583" s="17"/>
    </row>
    <row r="2584">
      <c r="B2584" s="11">
        <f>IFERROR(__xludf.DUMMYFUNCTION("""COMPUTED_VALUE"""),42270.66666666667)</f>
        <v>42270.66667</v>
      </c>
      <c r="C2584" s="9">
        <f>IFERROR(__xludf.DUMMYFUNCTION("""COMPUTED_VALUE"""),50.02)</f>
        <v>50.02</v>
      </c>
      <c r="E2584" s="17"/>
      <c r="N2584" s="17"/>
      <c r="Q2584" s="17"/>
    </row>
    <row r="2585">
      <c r="B2585" s="11">
        <f>IFERROR(__xludf.DUMMYFUNCTION("""COMPUTED_VALUE"""),42269.66666666667)</f>
        <v>42269.66667</v>
      </c>
      <c r="C2585" s="9">
        <f>IFERROR(__xludf.DUMMYFUNCTION("""COMPUTED_VALUE"""),50.37)</f>
        <v>50.37</v>
      </c>
      <c r="E2585" s="17"/>
      <c r="N2585" s="17"/>
      <c r="Q2585" s="17"/>
    </row>
    <row r="2586">
      <c r="B2586" s="11">
        <f>IFERROR(__xludf.DUMMYFUNCTION("""COMPUTED_VALUE"""),42268.66666666667)</f>
        <v>42268.66667</v>
      </c>
      <c r="C2586" s="9">
        <f>IFERROR(__xludf.DUMMYFUNCTION("""COMPUTED_VALUE"""),51.11)</f>
        <v>51.11</v>
      </c>
      <c r="E2586" s="17"/>
      <c r="N2586" s="17"/>
      <c r="Q2586" s="17"/>
    </row>
    <row r="2587">
      <c r="B2587" s="11">
        <f>IFERROR(__xludf.DUMMYFUNCTION("""COMPUTED_VALUE"""),42265.66666666667)</f>
        <v>42265.66667</v>
      </c>
      <c r="C2587" s="9">
        <f>IFERROR(__xludf.DUMMYFUNCTION("""COMPUTED_VALUE"""),50.86)</f>
        <v>50.86</v>
      </c>
      <c r="E2587" s="17"/>
      <c r="N2587" s="17"/>
      <c r="Q2587" s="17"/>
    </row>
    <row r="2588">
      <c r="B2588" s="11">
        <f>IFERROR(__xludf.DUMMYFUNCTION("""COMPUTED_VALUE"""),42264.66666666667)</f>
        <v>42264.66667</v>
      </c>
      <c r="C2588" s="9">
        <f>IFERROR(__xludf.DUMMYFUNCTION("""COMPUTED_VALUE"""),52.29)</f>
        <v>52.29</v>
      </c>
      <c r="E2588" s="17"/>
      <c r="N2588" s="17"/>
      <c r="Q2588" s="17"/>
    </row>
    <row r="2589">
      <c r="B2589" s="11">
        <f>IFERROR(__xludf.DUMMYFUNCTION("""COMPUTED_VALUE"""),42263.66666666667)</f>
        <v>42263.66667</v>
      </c>
      <c r="C2589" s="9">
        <f>IFERROR(__xludf.DUMMYFUNCTION("""COMPUTED_VALUE"""),52.52)</f>
        <v>52.52</v>
      </c>
      <c r="E2589" s="17"/>
      <c r="N2589" s="17"/>
      <c r="Q2589" s="17"/>
    </row>
    <row r="2590">
      <c r="B2590" s="11">
        <f>IFERROR(__xludf.DUMMYFUNCTION("""COMPUTED_VALUE"""),42262.66666666667)</f>
        <v>42262.66667</v>
      </c>
      <c r="C2590" s="9">
        <f>IFERROR(__xludf.DUMMYFUNCTION("""COMPUTED_VALUE"""),52.14)</f>
        <v>52.14</v>
      </c>
      <c r="E2590" s="17"/>
      <c r="N2590" s="17"/>
      <c r="Q2590" s="17"/>
    </row>
    <row r="2591">
      <c r="B2591" s="11">
        <f>IFERROR(__xludf.DUMMYFUNCTION("""COMPUTED_VALUE"""),42261.66666666667)</f>
        <v>42261.66667</v>
      </c>
      <c r="C2591" s="9">
        <f>IFERROR(__xludf.DUMMYFUNCTION("""COMPUTED_VALUE"""),51.25)</f>
        <v>51.25</v>
      </c>
      <c r="E2591" s="17"/>
      <c r="N2591" s="17"/>
      <c r="Q2591" s="17"/>
    </row>
    <row r="2592">
      <c r="B2592" s="11">
        <f>IFERROR(__xludf.DUMMYFUNCTION("""COMPUTED_VALUE"""),42258.66666666667)</f>
        <v>42258.66667</v>
      </c>
      <c r="C2592" s="9">
        <f>IFERROR(__xludf.DUMMYFUNCTION("""COMPUTED_VALUE"""),51.51)</f>
        <v>51.51</v>
      </c>
      <c r="E2592" s="17"/>
      <c r="N2592" s="17"/>
      <c r="Q2592" s="17"/>
    </row>
    <row r="2593">
      <c r="B2593" s="11">
        <f>IFERROR(__xludf.DUMMYFUNCTION("""COMPUTED_VALUE"""),42257.66666666667)</f>
        <v>42257.66667</v>
      </c>
      <c r="C2593" s="9">
        <f>IFERROR(__xludf.DUMMYFUNCTION("""COMPUTED_VALUE"""),51.23)</f>
        <v>51.23</v>
      </c>
      <c r="E2593" s="17"/>
      <c r="N2593" s="17"/>
      <c r="Q2593" s="17"/>
    </row>
    <row r="2594">
      <c r="B2594" s="11">
        <f>IFERROR(__xludf.DUMMYFUNCTION("""COMPUTED_VALUE"""),42256.66666666667)</f>
        <v>42256.66667</v>
      </c>
      <c r="C2594" s="9">
        <f>IFERROR(__xludf.DUMMYFUNCTION("""COMPUTED_VALUE"""),51.2)</f>
        <v>51.2</v>
      </c>
      <c r="E2594" s="17"/>
      <c r="N2594" s="17"/>
      <c r="Q2594" s="17"/>
    </row>
    <row r="2595">
      <c r="B2595" s="11">
        <f>IFERROR(__xludf.DUMMYFUNCTION("""COMPUTED_VALUE"""),42255.66666666667)</f>
        <v>42255.66667</v>
      </c>
      <c r="C2595" s="9">
        <f>IFERROR(__xludf.DUMMYFUNCTION("""COMPUTED_VALUE"""),51.75)</f>
        <v>51.75</v>
      </c>
      <c r="E2595" s="17"/>
      <c r="N2595" s="17"/>
      <c r="Q2595" s="17"/>
    </row>
    <row r="2596">
      <c r="B2596" s="11">
        <f>IFERROR(__xludf.DUMMYFUNCTION("""COMPUTED_VALUE"""),42251.66666666667)</f>
        <v>42251.66667</v>
      </c>
      <c r="C2596" s="9">
        <f>IFERROR(__xludf.DUMMYFUNCTION("""COMPUTED_VALUE"""),50.36)</f>
        <v>50.36</v>
      </c>
      <c r="E2596" s="17"/>
      <c r="N2596" s="17"/>
      <c r="Q2596" s="17"/>
    </row>
    <row r="2597">
      <c r="B2597" s="11">
        <f>IFERROR(__xludf.DUMMYFUNCTION("""COMPUTED_VALUE"""),42250.66666666667)</f>
        <v>42250.66667</v>
      </c>
      <c r="C2597" s="9">
        <f>IFERROR(__xludf.DUMMYFUNCTION("""COMPUTED_VALUE"""),51.07)</f>
        <v>51.07</v>
      </c>
      <c r="E2597" s="17"/>
      <c r="N2597" s="17"/>
      <c r="Q2597" s="17"/>
    </row>
    <row r="2598">
      <c r="B2598" s="11">
        <f>IFERROR(__xludf.DUMMYFUNCTION("""COMPUTED_VALUE"""),42249.66666666667)</f>
        <v>42249.66667</v>
      </c>
      <c r="C2598" s="9">
        <f>IFERROR(__xludf.DUMMYFUNCTION("""COMPUTED_VALUE"""),51.04)</f>
        <v>51.04</v>
      </c>
      <c r="E2598" s="17"/>
      <c r="N2598" s="17"/>
      <c r="Q2598" s="17"/>
    </row>
    <row r="2599">
      <c r="B2599" s="11">
        <f>IFERROR(__xludf.DUMMYFUNCTION("""COMPUTED_VALUE"""),42248.66666666667)</f>
        <v>42248.66667</v>
      </c>
      <c r="C2599" s="9">
        <f>IFERROR(__xludf.DUMMYFUNCTION("""COMPUTED_VALUE"""),49.93)</f>
        <v>49.93</v>
      </c>
      <c r="E2599" s="17"/>
      <c r="N2599" s="17"/>
      <c r="Q2599" s="17"/>
    </row>
    <row r="2600">
      <c r="B2600" s="11">
        <f>IFERROR(__xludf.DUMMYFUNCTION("""COMPUTED_VALUE"""),42247.66666666667)</f>
        <v>42247.66667</v>
      </c>
      <c r="C2600" s="9">
        <f>IFERROR(__xludf.DUMMYFUNCTION("""COMPUTED_VALUE"""),51.29)</f>
        <v>51.29</v>
      </c>
      <c r="E2600" s="17"/>
      <c r="N2600" s="17"/>
      <c r="Q2600" s="17"/>
    </row>
    <row r="2601">
      <c r="B2601" s="11">
        <f>IFERROR(__xludf.DUMMYFUNCTION("""COMPUTED_VALUE"""),42244.66666666667)</f>
        <v>42244.66667</v>
      </c>
      <c r="C2601" s="9">
        <f>IFERROR(__xludf.DUMMYFUNCTION("""COMPUTED_VALUE"""),51.75)</f>
        <v>51.75</v>
      </c>
      <c r="E2601" s="17"/>
      <c r="N2601" s="17"/>
      <c r="Q2601" s="17"/>
    </row>
    <row r="2602">
      <c r="B2602" s="11">
        <f>IFERROR(__xludf.DUMMYFUNCTION("""COMPUTED_VALUE"""),42243.66666666667)</f>
        <v>42243.66667</v>
      </c>
      <c r="C2602" s="9">
        <f>IFERROR(__xludf.DUMMYFUNCTION("""COMPUTED_VALUE"""),51.73)</f>
        <v>51.73</v>
      </c>
      <c r="E2602" s="17"/>
      <c r="N2602" s="17"/>
      <c r="Q2602" s="17"/>
    </row>
    <row r="2603">
      <c r="B2603" s="11">
        <f>IFERROR(__xludf.DUMMYFUNCTION("""COMPUTED_VALUE"""),42242.66666666667)</f>
        <v>42242.66667</v>
      </c>
      <c r="C2603" s="9">
        <f>IFERROR(__xludf.DUMMYFUNCTION("""COMPUTED_VALUE"""),50.51)</f>
        <v>50.51</v>
      </c>
      <c r="E2603" s="17"/>
      <c r="N2603" s="17"/>
      <c r="Q2603" s="17"/>
    </row>
    <row r="2604">
      <c r="B2604" s="11">
        <f>IFERROR(__xludf.DUMMYFUNCTION("""COMPUTED_VALUE"""),42241.66666666667)</f>
        <v>42241.66667</v>
      </c>
      <c r="C2604" s="9">
        <f>IFERROR(__xludf.DUMMYFUNCTION("""COMPUTED_VALUE"""),48.98)</f>
        <v>48.98</v>
      </c>
      <c r="E2604" s="17"/>
      <c r="N2604" s="17"/>
      <c r="Q2604" s="17"/>
    </row>
    <row r="2605">
      <c r="B2605" s="11">
        <f>IFERROR(__xludf.DUMMYFUNCTION("""COMPUTED_VALUE"""),42240.66666666667)</f>
        <v>42240.66667</v>
      </c>
      <c r="C2605" s="9">
        <f>IFERROR(__xludf.DUMMYFUNCTION("""COMPUTED_VALUE"""),49.57)</f>
        <v>49.57</v>
      </c>
      <c r="E2605" s="17"/>
      <c r="N2605" s="17"/>
      <c r="Q2605" s="17"/>
    </row>
    <row r="2606">
      <c r="B2606" s="11">
        <f>IFERROR(__xludf.DUMMYFUNCTION("""COMPUTED_VALUE"""),42237.66666666667)</f>
        <v>42237.66667</v>
      </c>
      <c r="C2606" s="9">
        <f>IFERROR(__xludf.DUMMYFUNCTION("""COMPUTED_VALUE"""),51.46)</f>
        <v>51.46</v>
      </c>
      <c r="E2606" s="17"/>
      <c r="N2606" s="17"/>
      <c r="Q2606" s="17"/>
    </row>
    <row r="2607">
      <c r="B2607" s="11">
        <f>IFERROR(__xludf.DUMMYFUNCTION("""COMPUTED_VALUE"""),42236.66666666667)</f>
        <v>42236.66667</v>
      </c>
      <c r="C2607" s="9">
        <f>IFERROR(__xludf.DUMMYFUNCTION("""COMPUTED_VALUE"""),52.92)</f>
        <v>52.92</v>
      </c>
      <c r="E2607" s="17"/>
      <c r="N2607" s="17"/>
      <c r="Q2607" s="17"/>
    </row>
    <row r="2608">
      <c r="B2608" s="11">
        <f>IFERROR(__xludf.DUMMYFUNCTION("""COMPUTED_VALUE"""),42235.66666666667)</f>
        <v>42235.66667</v>
      </c>
      <c r="C2608" s="9">
        <f>IFERROR(__xludf.DUMMYFUNCTION("""COMPUTED_VALUE"""),54.04)</f>
        <v>54.04</v>
      </c>
      <c r="E2608" s="17"/>
      <c r="N2608" s="17"/>
      <c r="Q2608" s="17"/>
    </row>
    <row r="2609">
      <c r="B2609" s="11">
        <f>IFERROR(__xludf.DUMMYFUNCTION("""COMPUTED_VALUE"""),42234.66666666667)</f>
        <v>42234.66667</v>
      </c>
      <c r="C2609" s="9">
        <f>IFERROR(__xludf.DUMMYFUNCTION("""COMPUTED_VALUE"""),54.55)</f>
        <v>54.55</v>
      </c>
      <c r="E2609" s="17"/>
      <c r="N2609" s="17"/>
      <c r="Q2609" s="17"/>
    </row>
    <row r="2610">
      <c r="B2610" s="11">
        <f>IFERROR(__xludf.DUMMYFUNCTION("""COMPUTED_VALUE"""),42233.66666666667)</f>
        <v>42233.66667</v>
      </c>
      <c r="C2610" s="9">
        <f>IFERROR(__xludf.DUMMYFUNCTION("""COMPUTED_VALUE"""),54.65)</f>
        <v>54.65</v>
      </c>
      <c r="E2610" s="17"/>
      <c r="N2610" s="17"/>
      <c r="Q2610" s="17"/>
    </row>
    <row r="2611">
      <c r="B2611" s="11">
        <f>IFERROR(__xludf.DUMMYFUNCTION("""COMPUTED_VALUE"""),42230.66666666667)</f>
        <v>42230.66667</v>
      </c>
      <c r="C2611" s="9">
        <f>IFERROR(__xludf.DUMMYFUNCTION("""COMPUTED_VALUE"""),54.38)</f>
        <v>54.38</v>
      </c>
      <c r="E2611" s="17"/>
      <c r="N2611" s="17"/>
      <c r="Q2611" s="17"/>
    </row>
    <row r="2612">
      <c r="B2612" s="11">
        <f>IFERROR(__xludf.DUMMYFUNCTION("""COMPUTED_VALUE"""),42229.66666666667)</f>
        <v>42229.66667</v>
      </c>
      <c r="C2612" s="9">
        <f>IFERROR(__xludf.DUMMYFUNCTION("""COMPUTED_VALUE"""),54.04)</f>
        <v>54.04</v>
      </c>
      <c r="E2612" s="17"/>
      <c r="N2612" s="17"/>
      <c r="Q2612" s="17"/>
    </row>
    <row r="2613">
      <c r="B2613" s="11">
        <f>IFERROR(__xludf.DUMMYFUNCTION("""COMPUTED_VALUE"""),42228.66666666667)</f>
        <v>42228.66667</v>
      </c>
      <c r="C2613" s="9">
        <f>IFERROR(__xludf.DUMMYFUNCTION("""COMPUTED_VALUE"""),54.08)</f>
        <v>54.08</v>
      </c>
      <c r="E2613" s="17"/>
      <c r="N2613" s="17"/>
      <c r="Q2613" s="17"/>
    </row>
    <row r="2614">
      <c r="B2614" s="11">
        <f>IFERROR(__xludf.DUMMYFUNCTION("""COMPUTED_VALUE"""),42227.66666666667)</f>
        <v>42227.66667</v>
      </c>
      <c r="C2614" s="9">
        <f>IFERROR(__xludf.DUMMYFUNCTION("""COMPUTED_VALUE"""),54.07)</f>
        <v>54.07</v>
      </c>
      <c r="E2614" s="17"/>
      <c r="N2614" s="17"/>
      <c r="Q2614" s="17"/>
    </row>
    <row r="2615">
      <c r="B2615" s="11">
        <f>IFERROR(__xludf.DUMMYFUNCTION("""COMPUTED_VALUE"""),42226.66666666667)</f>
        <v>42226.66667</v>
      </c>
      <c r="C2615" s="9">
        <f>IFERROR(__xludf.DUMMYFUNCTION("""COMPUTED_VALUE"""),54.74)</f>
        <v>54.74</v>
      </c>
      <c r="E2615" s="17"/>
      <c r="N2615" s="17"/>
      <c r="Q2615" s="17"/>
    </row>
    <row r="2616">
      <c r="B2616" s="11">
        <f>IFERROR(__xludf.DUMMYFUNCTION("""COMPUTED_VALUE"""),42223.66666666667)</f>
        <v>42223.66667</v>
      </c>
      <c r="C2616" s="9">
        <f>IFERROR(__xludf.DUMMYFUNCTION("""COMPUTED_VALUE"""),53.69)</f>
        <v>53.69</v>
      </c>
      <c r="E2616" s="17"/>
      <c r="N2616" s="17"/>
      <c r="Q2616" s="17"/>
    </row>
    <row r="2617">
      <c r="B2617" s="11">
        <f>IFERROR(__xludf.DUMMYFUNCTION("""COMPUTED_VALUE"""),42222.66666666667)</f>
        <v>42222.66667</v>
      </c>
      <c r="C2617" s="9">
        <f>IFERROR(__xludf.DUMMYFUNCTION("""COMPUTED_VALUE"""),53.95)</f>
        <v>53.95</v>
      </c>
      <c r="E2617" s="17"/>
      <c r="N2617" s="17"/>
      <c r="Q2617" s="17"/>
    </row>
    <row r="2618">
      <c r="B2618" s="11">
        <f>IFERROR(__xludf.DUMMYFUNCTION("""COMPUTED_VALUE"""),42221.66666666667)</f>
        <v>42221.66667</v>
      </c>
      <c r="C2618" s="9">
        <f>IFERROR(__xludf.DUMMYFUNCTION("""COMPUTED_VALUE"""),54.23)</f>
        <v>54.23</v>
      </c>
      <c r="E2618" s="17"/>
      <c r="N2618" s="17"/>
      <c r="Q2618" s="17"/>
    </row>
    <row r="2619">
      <c r="B2619" s="11">
        <f>IFERROR(__xludf.DUMMYFUNCTION("""COMPUTED_VALUE"""),42220.66666666667)</f>
        <v>42220.66667</v>
      </c>
      <c r="C2619" s="9">
        <f>IFERROR(__xludf.DUMMYFUNCTION("""COMPUTED_VALUE"""),53.93)</f>
        <v>53.93</v>
      </c>
      <c r="E2619" s="17"/>
      <c r="N2619" s="17"/>
      <c r="Q2619" s="17"/>
    </row>
    <row r="2620">
      <c r="B2620" s="11">
        <f>IFERROR(__xludf.DUMMYFUNCTION("""COMPUTED_VALUE"""),42219.66666666667)</f>
        <v>42219.66667</v>
      </c>
      <c r="C2620" s="9">
        <f>IFERROR(__xludf.DUMMYFUNCTION("""COMPUTED_VALUE"""),53.96)</f>
        <v>53.96</v>
      </c>
      <c r="E2620" s="17"/>
      <c r="N2620" s="17"/>
      <c r="Q2620" s="17"/>
    </row>
    <row r="2621">
      <c r="B2621" s="11">
        <f>IFERROR(__xludf.DUMMYFUNCTION("""COMPUTED_VALUE"""),42216.66666666667)</f>
        <v>42216.66667</v>
      </c>
      <c r="C2621" s="9">
        <f>IFERROR(__xludf.DUMMYFUNCTION("""COMPUTED_VALUE"""),54.22)</f>
        <v>54.22</v>
      </c>
      <c r="E2621" s="17"/>
      <c r="N2621" s="17"/>
      <c r="Q2621" s="17"/>
    </row>
    <row r="2622">
      <c r="B2622" s="11">
        <f>IFERROR(__xludf.DUMMYFUNCTION("""COMPUTED_VALUE"""),42215.66666666667)</f>
        <v>42215.66667</v>
      </c>
      <c r="C2622" s="9">
        <f>IFERROR(__xludf.DUMMYFUNCTION("""COMPUTED_VALUE"""),54.27)</f>
        <v>54.27</v>
      </c>
      <c r="E2622" s="17"/>
      <c r="N2622" s="17"/>
      <c r="Q2622" s="17"/>
    </row>
    <row r="2623">
      <c r="B2623" s="11">
        <f>IFERROR(__xludf.DUMMYFUNCTION("""COMPUTED_VALUE"""),42214.66666666667)</f>
        <v>42214.66667</v>
      </c>
      <c r="C2623" s="9">
        <f>IFERROR(__xludf.DUMMYFUNCTION("""COMPUTED_VALUE"""),54.32)</f>
        <v>54.32</v>
      </c>
      <c r="E2623" s="17"/>
      <c r="N2623" s="17"/>
      <c r="Q2623" s="17"/>
    </row>
    <row r="2624">
      <c r="B2624" s="11">
        <f>IFERROR(__xludf.DUMMYFUNCTION("""COMPUTED_VALUE"""),42213.66666666667)</f>
        <v>42213.66667</v>
      </c>
      <c r="C2624" s="9">
        <f>IFERROR(__xludf.DUMMYFUNCTION("""COMPUTED_VALUE"""),53.66)</f>
        <v>53.66</v>
      </c>
      <c r="E2624" s="17"/>
      <c r="N2624" s="17"/>
      <c r="Q2624" s="17"/>
    </row>
    <row r="2625">
      <c r="B2625" s="11">
        <f>IFERROR(__xludf.DUMMYFUNCTION("""COMPUTED_VALUE"""),42212.66666666667)</f>
        <v>42212.66667</v>
      </c>
      <c r="C2625" s="9">
        <f>IFERROR(__xludf.DUMMYFUNCTION("""COMPUTED_VALUE"""),52.64)</f>
        <v>52.64</v>
      </c>
      <c r="E2625" s="17"/>
      <c r="N2625" s="17"/>
      <c r="Q2625" s="17"/>
    </row>
    <row r="2626">
      <c r="B2626" s="11">
        <f>IFERROR(__xludf.DUMMYFUNCTION("""COMPUTED_VALUE"""),42209.66666666667)</f>
        <v>42209.66667</v>
      </c>
      <c r="C2626" s="9">
        <f>IFERROR(__xludf.DUMMYFUNCTION("""COMPUTED_VALUE"""),52.9)</f>
        <v>52.9</v>
      </c>
      <c r="E2626" s="17"/>
      <c r="N2626" s="17"/>
      <c r="Q2626" s="17"/>
    </row>
    <row r="2627">
      <c r="B2627" s="11">
        <f>IFERROR(__xludf.DUMMYFUNCTION("""COMPUTED_VALUE"""),42208.66666666667)</f>
        <v>42208.66667</v>
      </c>
      <c r="C2627" s="9">
        <f>IFERROR(__xludf.DUMMYFUNCTION("""COMPUTED_VALUE"""),53.6)</f>
        <v>53.6</v>
      </c>
      <c r="E2627" s="17"/>
      <c r="N2627" s="17"/>
      <c r="Q2627" s="17"/>
    </row>
    <row r="2628">
      <c r="B2628" s="11">
        <f>IFERROR(__xludf.DUMMYFUNCTION("""COMPUTED_VALUE"""),42207.66666666667)</f>
        <v>42207.66667</v>
      </c>
      <c r="C2628" s="9">
        <f>IFERROR(__xludf.DUMMYFUNCTION("""COMPUTED_VALUE"""),54.1)</f>
        <v>54.1</v>
      </c>
      <c r="E2628" s="17"/>
      <c r="N2628" s="17"/>
      <c r="Q2628" s="17"/>
    </row>
    <row r="2629">
      <c r="B2629" s="11">
        <f>IFERROR(__xludf.DUMMYFUNCTION("""COMPUTED_VALUE"""),42206.66666666667)</f>
        <v>42206.66667</v>
      </c>
      <c r="C2629" s="9">
        <f>IFERROR(__xludf.DUMMYFUNCTION("""COMPUTED_VALUE"""),54.34)</f>
        <v>54.34</v>
      </c>
      <c r="E2629" s="17"/>
      <c r="N2629" s="17"/>
      <c r="Q2629" s="17"/>
    </row>
    <row r="2630">
      <c r="B2630" s="11">
        <f>IFERROR(__xludf.DUMMYFUNCTION("""COMPUTED_VALUE"""),42205.66666666667)</f>
        <v>42205.66667</v>
      </c>
      <c r="C2630" s="9">
        <f>IFERROR(__xludf.DUMMYFUNCTION("""COMPUTED_VALUE"""),54.93)</f>
        <v>54.93</v>
      </c>
      <c r="E2630" s="17"/>
      <c r="N2630" s="17"/>
      <c r="Q2630" s="17"/>
    </row>
    <row r="2631">
      <c r="B2631" s="11">
        <f>IFERROR(__xludf.DUMMYFUNCTION("""COMPUTED_VALUE"""),42202.66666666667)</f>
        <v>42202.66667</v>
      </c>
      <c r="C2631" s="9">
        <f>IFERROR(__xludf.DUMMYFUNCTION("""COMPUTED_VALUE"""),54.92)</f>
        <v>54.92</v>
      </c>
      <c r="E2631" s="17"/>
      <c r="N2631" s="17"/>
      <c r="Q2631" s="17"/>
    </row>
    <row r="2632">
      <c r="B2632" s="11">
        <f>IFERROR(__xludf.DUMMYFUNCTION("""COMPUTED_VALUE"""),42201.66666666667)</f>
        <v>42201.66667</v>
      </c>
      <c r="C2632" s="9">
        <f>IFERROR(__xludf.DUMMYFUNCTION("""COMPUTED_VALUE"""),54.94)</f>
        <v>54.94</v>
      </c>
      <c r="E2632" s="17"/>
      <c r="N2632" s="17"/>
      <c r="Q2632" s="17"/>
    </row>
    <row r="2633">
      <c r="B2633" s="11">
        <f>IFERROR(__xludf.DUMMYFUNCTION("""COMPUTED_VALUE"""),42200.66666666667)</f>
        <v>42200.66667</v>
      </c>
      <c r="C2633" s="9">
        <f>IFERROR(__xludf.DUMMYFUNCTION("""COMPUTED_VALUE"""),54.69)</f>
        <v>54.69</v>
      </c>
      <c r="E2633" s="17"/>
      <c r="N2633" s="17"/>
      <c r="Q2633" s="17"/>
    </row>
    <row r="2634">
      <c r="B2634" s="11">
        <f>IFERROR(__xludf.DUMMYFUNCTION("""COMPUTED_VALUE"""),42199.66666666667)</f>
        <v>42199.66667</v>
      </c>
      <c r="C2634" s="9">
        <f>IFERROR(__xludf.DUMMYFUNCTION("""COMPUTED_VALUE"""),54.92)</f>
        <v>54.92</v>
      </c>
      <c r="E2634" s="17"/>
      <c r="N2634" s="17"/>
      <c r="Q2634" s="17"/>
    </row>
    <row r="2635">
      <c r="B2635" s="11">
        <f>IFERROR(__xludf.DUMMYFUNCTION("""COMPUTED_VALUE"""),42198.66666666667)</f>
        <v>42198.66667</v>
      </c>
      <c r="C2635" s="9">
        <f>IFERROR(__xludf.DUMMYFUNCTION("""COMPUTED_VALUE"""),54.77)</f>
        <v>54.77</v>
      </c>
      <c r="E2635" s="17"/>
      <c r="N2635" s="17"/>
      <c r="Q2635" s="17"/>
    </row>
    <row r="2636">
      <c r="B2636" s="11">
        <f>IFERROR(__xludf.DUMMYFUNCTION("""COMPUTED_VALUE"""),42195.66666666667)</f>
        <v>42195.66667</v>
      </c>
      <c r="C2636" s="9">
        <f>IFERROR(__xludf.DUMMYFUNCTION("""COMPUTED_VALUE"""),54.17)</f>
        <v>54.17</v>
      </c>
      <c r="E2636" s="17"/>
      <c r="N2636" s="17"/>
      <c r="Q2636" s="17"/>
    </row>
    <row r="2637">
      <c r="B2637" s="11">
        <f>IFERROR(__xludf.DUMMYFUNCTION("""COMPUTED_VALUE"""),42194.66666666667)</f>
        <v>42194.66667</v>
      </c>
      <c r="C2637" s="9">
        <f>IFERROR(__xludf.DUMMYFUNCTION("""COMPUTED_VALUE"""),53.61)</f>
        <v>53.61</v>
      </c>
      <c r="E2637" s="17"/>
      <c r="N2637" s="17"/>
      <c r="Q2637" s="17"/>
    </row>
    <row r="2638">
      <c r="B2638" s="11">
        <f>IFERROR(__xludf.DUMMYFUNCTION("""COMPUTED_VALUE"""),42193.66666666667)</f>
        <v>42193.66667</v>
      </c>
      <c r="C2638" s="9">
        <f>IFERROR(__xludf.DUMMYFUNCTION("""COMPUTED_VALUE"""),53.48)</f>
        <v>53.48</v>
      </c>
      <c r="E2638" s="17"/>
      <c r="N2638" s="17"/>
      <c r="Q2638" s="17"/>
    </row>
    <row r="2639">
      <c r="B2639" s="11">
        <f>IFERROR(__xludf.DUMMYFUNCTION("""COMPUTED_VALUE"""),42192.66666666667)</f>
        <v>42192.66667</v>
      </c>
      <c r="C2639" s="9">
        <f>IFERROR(__xludf.DUMMYFUNCTION("""COMPUTED_VALUE"""),54.46)</f>
        <v>54.46</v>
      </c>
      <c r="E2639" s="17"/>
      <c r="N2639" s="17"/>
      <c r="Q2639" s="17"/>
    </row>
    <row r="2640">
      <c r="B2640" s="11">
        <f>IFERROR(__xludf.DUMMYFUNCTION("""COMPUTED_VALUE"""),42191.66666666667)</f>
        <v>42191.66667</v>
      </c>
      <c r="C2640" s="9">
        <f>IFERROR(__xludf.DUMMYFUNCTION("""COMPUTED_VALUE"""),54.02)</f>
        <v>54.02</v>
      </c>
      <c r="E2640" s="17"/>
      <c r="N2640" s="17"/>
      <c r="Q2640" s="17"/>
    </row>
    <row r="2641">
      <c r="B2641" s="11">
        <f>IFERROR(__xludf.DUMMYFUNCTION("""COMPUTED_VALUE"""),42187.66666666667)</f>
        <v>42187.66667</v>
      </c>
      <c r="C2641" s="9">
        <f>IFERROR(__xludf.DUMMYFUNCTION("""COMPUTED_VALUE"""),54.23)</f>
        <v>54.23</v>
      </c>
      <c r="E2641" s="17"/>
      <c r="N2641" s="17"/>
      <c r="Q2641" s="17"/>
    </row>
    <row r="2642">
      <c r="B2642" s="11">
        <f>IFERROR(__xludf.DUMMYFUNCTION("""COMPUTED_VALUE"""),42186.66666666667)</f>
        <v>42186.66667</v>
      </c>
      <c r="C2642" s="9">
        <f>IFERROR(__xludf.DUMMYFUNCTION("""COMPUTED_VALUE"""),54.33)</f>
        <v>54.33</v>
      </c>
      <c r="E2642" s="17"/>
      <c r="N2642" s="17"/>
      <c r="Q2642" s="17"/>
    </row>
    <row r="2643">
      <c r="B2643" s="11">
        <f>IFERROR(__xludf.DUMMYFUNCTION("""COMPUTED_VALUE"""),42185.66666666667)</f>
        <v>42185.66667</v>
      </c>
      <c r="C2643" s="9">
        <f>IFERROR(__xludf.DUMMYFUNCTION("""COMPUTED_VALUE"""),54.06)</f>
        <v>54.06</v>
      </c>
      <c r="E2643" s="17"/>
      <c r="N2643" s="17"/>
      <c r="Q2643" s="17"/>
    </row>
    <row r="2644">
      <c r="B2644" s="11">
        <f>IFERROR(__xludf.DUMMYFUNCTION("""COMPUTED_VALUE"""),42184.66666666667)</f>
        <v>42184.66667</v>
      </c>
      <c r="C2644" s="9">
        <f>IFERROR(__xludf.DUMMYFUNCTION("""COMPUTED_VALUE"""),54.03)</f>
        <v>54.03</v>
      </c>
      <c r="E2644" s="17"/>
      <c r="N2644" s="17"/>
      <c r="Q2644" s="17"/>
    </row>
    <row r="2645">
      <c r="B2645" s="11">
        <f>IFERROR(__xludf.DUMMYFUNCTION("""COMPUTED_VALUE"""),42181.66666666667)</f>
        <v>42181.66667</v>
      </c>
      <c r="C2645" s="9">
        <f>IFERROR(__xludf.DUMMYFUNCTION("""COMPUTED_VALUE"""),55.07)</f>
        <v>55.07</v>
      </c>
      <c r="E2645" s="17"/>
      <c r="N2645" s="17"/>
      <c r="Q2645" s="17"/>
    </row>
    <row r="2646">
      <c r="B2646" s="11">
        <f>IFERROR(__xludf.DUMMYFUNCTION("""COMPUTED_VALUE"""),42180.66666666667)</f>
        <v>42180.66667</v>
      </c>
      <c r="C2646" s="9">
        <f>IFERROR(__xludf.DUMMYFUNCTION("""COMPUTED_VALUE"""),54.97)</f>
        <v>54.97</v>
      </c>
      <c r="E2646" s="17"/>
      <c r="N2646" s="17"/>
      <c r="Q2646" s="17"/>
    </row>
    <row r="2647">
      <c r="B2647" s="11">
        <f>IFERROR(__xludf.DUMMYFUNCTION("""COMPUTED_VALUE"""),42179.66666666667)</f>
        <v>42179.66667</v>
      </c>
      <c r="C2647" s="9">
        <f>IFERROR(__xludf.DUMMYFUNCTION("""COMPUTED_VALUE"""),55.4)</f>
        <v>55.4</v>
      </c>
      <c r="E2647" s="17"/>
      <c r="N2647" s="17"/>
      <c r="Q2647" s="17"/>
    </row>
    <row r="2648">
      <c r="B2648" s="11">
        <f>IFERROR(__xludf.DUMMYFUNCTION("""COMPUTED_VALUE"""),42178.66666666667)</f>
        <v>42178.66667</v>
      </c>
      <c r="C2648" s="9">
        <f>IFERROR(__xludf.DUMMYFUNCTION("""COMPUTED_VALUE"""),55.92)</f>
        <v>55.92</v>
      </c>
      <c r="E2648" s="17"/>
      <c r="N2648" s="17"/>
      <c r="Q2648" s="17"/>
    </row>
    <row r="2649">
      <c r="B2649" s="11">
        <f>IFERROR(__xludf.DUMMYFUNCTION("""COMPUTED_VALUE"""),42177.66666666667)</f>
        <v>42177.66667</v>
      </c>
      <c r="C2649" s="9">
        <f>IFERROR(__xludf.DUMMYFUNCTION("""COMPUTED_VALUE"""),56.06)</f>
        <v>56.06</v>
      </c>
      <c r="E2649" s="17"/>
      <c r="N2649" s="17"/>
      <c r="Q2649" s="17"/>
    </row>
    <row r="2650">
      <c r="B2650" s="11">
        <f>IFERROR(__xludf.DUMMYFUNCTION("""COMPUTED_VALUE"""),42174.66666666667)</f>
        <v>42174.66667</v>
      </c>
      <c r="C2650" s="9">
        <f>IFERROR(__xludf.DUMMYFUNCTION("""COMPUTED_VALUE"""),55.72)</f>
        <v>55.72</v>
      </c>
      <c r="E2650" s="17"/>
      <c r="N2650" s="17"/>
      <c r="Q2650" s="17"/>
    </row>
    <row r="2651">
      <c r="B2651" s="11">
        <f>IFERROR(__xludf.DUMMYFUNCTION("""COMPUTED_VALUE"""),42173.66666666667)</f>
        <v>42173.66667</v>
      </c>
      <c r="C2651" s="9">
        <f>IFERROR(__xludf.DUMMYFUNCTION("""COMPUTED_VALUE"""),56.27)</f>
        <v>56.27</v>
      </c>
      <c r="E2651" s="17"/>
      <c r="N2651" s="17"/>
      <c r="Q2651" s="17"/>
    </row>
    <row r="2652">
      <c r="B2652" s="11">
        <f>IFERROR(__xludf.DUMMYFUNCTION("""COMPUTED_VALUE"""),42172.66666666667)</f>
        <v>42172.66667</v>
      </c>
      <c r="C2652" s="9">
        <f>IFERROR(__xludf.DUMMYFUNCTION("""COMPUTED_VALUE"""),55.71)</f>
        <v>55.71</v>
      </c>
      <c r="E2652" s="17"/>
      <c r="N2652" s="17"/>
      <c r="Q2652" s="17"/>
    </row>
    <row r="2653">
      <c r="B2653" s="11">
        <f>IFERROR(__xludf.DUMMYFUNCTION("""COMPUTED_VALUE"""),42171.66666666667)</f>
        <v>42171.66667</v>
      </c>
      <c r="C2653" s="9">
        <f>IFERROR(__xludf.DUMMYFUNCTION("""COMPUTED_VALUE"""),55.56)</f>
        <v>55.56</v>
      </c>
      <c r="E2653" s="17"/>
      <c r="N2653" s="17"/>
      <c r="Q2653" s="17"/>
    </row>
    <row r="2654">
      <c r="B2654" s="11">
        <f>IFERROR(__xludf.DUMMYFUNCTION("""COMPUTED_VALUE"""),42170.66666666667)</f>
        <v>42170.66667</v>
      </c>
      <c r="C2654" s="9">
        <f>IFERROR(__xludf.DUMMYFUNCTION("""COMPUTED_VALUE"""),55.51)</f>
        <v>55.51</v>
      </c>
      <c r="E2654" s="17"/>
      <c r="N2654" s="17"/>
      <c r="Q2654" s="17"/>
    </row>
    <row r="2655">
      <c r="B2655" s="11">
        <f>IFERROR(__xludf.DUMMYFUNCTION("""COMPUTED_VALUE"""),42167.66666666667)</f>
        <v>42167.66667</v>
      </c>
      <c r="C2655" s="9">
        <f>IFERROR(__xludf.DUMMYFUNCTION("""COMPUTED_VALUE"""),55.98)</f>
        <v>55.98</v>
      </c>
      <c r="E2655" s="17"/>
      <c r="N2655" s="17"/>
      <c r="Q2655" s="17"/>
    </row>
    <row r="2656">
      <c r="B2656" s="11">
        <f>IFERROR(__xludf.DUMMYFUNCTION("""COMPUTED_VALUE"""),42166.66666666667)</f>
        <v>42166.66667</v>
      </c>
      <c r="C2656" s="9">
        <f>IFERROR(__xludf.DUMMYFUNCTION("""COMPUTED_VALUE"""),56.31)</f>
        <v>56.31</v>
      </c>
      <c r="E2656" s="17"/>
      <c r="N2656" s="17"/>
      <c r="Q2656" s="17"/>
    </row>
    <row r="2657">
      <c r="B2657" s="11">
        <f>IFERROR(__xludf.DUMMYFUNCTION("""COMPUTED_VALUE"""),42165.66666666667)</f>
        <v>42165.66667</v>
      </c>
      <c r="C2657" s="9">
        <f>IFERROR(__xludf.DUMMYFUNCTION("""COMPUTED_VALUE"""),55.99)</f>
        <v>55.99</v>
      </c>
      <c r="E2657" s="17"/>
      <c r="N2657" s="17"/>
      <c r="Q2657" s="17"/>
    </row>
    <row r="2658">
      <c r="B2658" s="11">
        <f>IFERROR(__xludf.DUMMYFUNCTION("""COMPUTED_VALUE"""),42164.66666666667)</f>
        <v>42164.66667</v>
      </c>
      <c r="C2658" s="9">
        <f>IFERROR(__xludf.DUMMYFUNCTION("""COMPUTED_VALUE"""),55.44)</f>
        <v>55.44</v>
      </c>
      <c r="E2658" s="17"/>
      <c r="N2658" s="17"/>
      <c r="Q2658" s="17"/>
    </row>
    <row r="2659">
      <c r="B2659" s="11">
        <f>IFERROR(__xludf.DUMMYFUNCTION("""COMPUTED_VALUE"""),42163.66666666667)</f>
        <v>42163.66667</v>
      </c>
      <c r="C2659" s="9">
        <f>IFERROR(__xludf.DUMMYFUNCTION("""COMPUTED_VALUE"""),55.45)</f>
        <v>55.45</v>
      </c>
      <c r="E2659" s="17"/>
      <c r="N2659" s="17"/>
      <c r="Q2659" s="17"/>
    </row>
    <row r="2660">
      <c r="B2660" s="11">
        <f>IFERROR(__xludf.DUMMYFUNCTION("""COMPUTED_VALUE"""),42160.66666666667)</f>
        <v>42160.66667</v>
      </c>
      <c r="C2660" s="9">
        <f>IFERROR(__xludf.DUMMYFUNCTION("""COMPUTED_VALUE"""),55.86)</f>
        <v>55.86</v>
      </c>
      <c r="E2660" s="17"/>
      <c r="N2660" s="17"/>
      <c r="Q2660" s="17"/>
    </row>
    <row r="2661">
      <c r="B2661" s="11">
        <f>IFERROR(__xludf.DUMMYFUNCTION("""COMPUTED_VALUE"""),42159.66666666667)</f>
        <v>42159.66667</v>
      </c>
      <c r="C2661" s="9">
        <f>IFERROR(__xludf.DUMMYFUNCTION("""COMPUTED_VALUE"""),55.82)</f>
        <v>55.82</v>
      </c>
      <c r="E2661" s="17"/>
      <c r="N2661" s="17"/>
      <c r="Q2661" s="17"/>
    </row>
    <row r="2662">
      <c r="B2662" s="11">
        <f>IFERROR(__xludf.DUMMYFUNCTION("""COMPUTED_VALUE"""),42158.66666666667)</f>
        <v>42158.66667</v>
      </c>
      <c r="C2662" s="9">
        <f>IFERROR(__xludf.DUMMYFUNCTION("""COMPUTED_VALUE"""),56.45)</f>
        <v>56.45</v>
      </c>
      <c r="E2662" s="17"/>
      <c r="N2662" s="17"/>
      <c r="Q2662" s="17"/>
    </row>
    <row r="2663">
      <c r="B2663" s="11">
        <f>IFERROR(__xludf.DUMMYFUNCTION("""COMPUTED_VALUE"""),42157.66666666667)</f>
        <v>42157.66667</v>
      </c>
      <c r="C2663" s="9">
        <f>IFERROR(__xludf.DUMMYFUNCTION("""COMPUTED_VALUE"""),56.17)</f>
        <v>56.17</v>
      </c>
      <c r="E2663" s="17"/>
      <c r="N2663" s="17"/>
      <c r="Q2663" s="17"/>
    </row>
    <row r="2664">
      <c r="B2664" s="11">
        <f>IFERROR(__xludf.DUMMYFUNCTION("""COMPUTED_VALUE"""),42156.66666666667)</f>
        <v>42156.66667</v>
      </c>
      <c r="C2664" s="9">
        <f>IFERROR(__xludf.DUMMYFUNCTION("""COMPUTED_VALUE"""),56.06)</f>
        <v>56.06</v>
      </c>
      <c r="E2664" s="17"/>
      <c r="N2664" s="17"/>
      <c r="Q2664" s="17"/>
    </row>
    <row r="2665">
      <c r="B2665" s="11">
        <f>IFERROR(__xludf.DUMMYFUNCTION("""COMPUTED_VALUE"""),42153.66666666667)</f>
        <v>42153.66667</v>
      </c>
      <c r="C2665" s="9">
        <f>IFERROR(__xludf.DUMMYFUNCTION("""COMPUTED_VALUE"""),55.81)</f>
        <v>55.81</v>
      </c>
      <c r="E2665" s="17"/>
      <c r="N2665" s="17"/>
      <c r="Q2665" s="17"/>
    </row>
    <row r="2666">
      <c r="B2666" s="11">
        <f>IFERROR(__xludf.DUMMYFUNCTION("""COMPUTED_VALUE"""),42152.66666666667)</f>
        <v>42152.66667</v>
      </c>
      <c r="C2666" s="9">
        <f>IFERROR(__xludf.DUMMYFUNCTION("""COMPUTED_VALUE"""),56.37)</f>
        <v>56.37</v>
      </c>
      <c r="E2666" s="17"/>
      <c r="N2666" s="17"/>
      <c r="Q2666" s="17"/>
    </row>
    <row r="2667">
      <c r="B2667" s="11">
        <f>IFERROR(__xludf.DUMMYFUNCTION("""COMPUTED_VALUE"""),42151.66666666667)</f>
        <v>42151.66667</v>
      </c>
      <c r="C2667" s="9">
        <f>IFERROR(__xludf.DUMMYFUNCTION("""COMPUTED_VALUE"""),56.64)</f>
        <v>56.64</v>
      </c>
      <c r="E2667" s="17"/>
      <c r="N2667" s="17"/>
      <c r="Q2667" s="17"/>
    </row>
    <row r="2668">
      <c r="B2668" s="11">
        <f>IFERROR(__xludf.DUMMYFUNCTION("""COMPUTED_VALUE"""),42150.66666666667)</f>
        <v>42150.66667</v>
      </c>
      <c r="C2668" s="9">
        <f>IFERROR(__xludf.DUMMYFUNCTION("""COMPUTED_VALUE"""),56.28)</f>
        <v>56.28</v>
      </c>
      <c r="E2668" s="17"/>
      <c r="N2668" s="17"/>
      <c r="Q2668" s="17"/>
    </row>
    <row r="2669">
      <c r="B2669" s="11">
        <f>IFERROR(__xludf.DUMMYFUNCTION("""COMPUTED_VALUE"""),42146.66666666667)</f>
        <v>42146.66667</v>
      </c>
      <c r="C2669" s="9">
        <f>IFERROR(__xludf.DUMMYFUNCTION("""COMPUTED_VALUE"""),56.9)</f>
        <v>56.9</v>
      </c>
      <c r="E2669" s="17"/>
      <c r="N2669" s="17"/>
      <c r="Q2669" s="17"/>
    </row>
    <row r="2670">
      <c r="B2670" s="11">
        <f>IFERROR(__xludf.DUMMYFUNCTION("""COMPUTED_VALUE"""),42145.66666666667)</f>
        <v>42145.66667</v>
      </c>
      <c r="C2670" s="9">
        <f>IFERROR(__xludf.DUMMYFUNCTION("""COMPUTED_VALUE"""),57.16)</f>
        <v>57.16</v>
      </c>
      <c r="E2670" s="17"/>
      <c r="N2670" s="17"/>
      <c r="Q2670" s="17"/>
    </row>
    <row r="2671">
      <c r="B2671" s="11">
        <f>IFERROR(__xludf.DUMMYFUNCTION("""COMPUTED_VALUE"""),42144.66666666667)</f>
        <v>42144.66667</v>
      </c>
      <c r="C2671" s="9">
        <f>IFERROR(__xludf.DUMMYFUNCTION("""COMPUTED_VALUE"""),56.85)</f>
        <v>56.85</v>
      </c>
      <c r="E2671" s="17"/>
      <c r="N2671" s="17"/>
      <c r="Q2671" s="17"/>
    </row>
    <row r="2672">
      <c r="B2672" s="11">
        <f>IFERROR(__xludf.DUMMYFUNCTION("""COMPUTED_VALUE"""),42143.66666666667)</f>
        <v>42143.66667</v>
      </c>
      <c r="C2672" s="9">
        <f>IFERROR(__xludf.DUMMYFUNCTION("""COMPUTED_VALUE"""),57.06)</f>
        <v>57.06</v>
      </c>
      <c r="E2672" s="17"/>
      <c r="N2672" s="17"/>
      <c r="Q2672" s="17"/>
    </row>
    <row r="2673">
      <c r="B2673" s="11">
        <f>IFERROR(__xludf.DUMMYFUNCTION("""COMPUTED_VALUE"""),42142.66666666667)</f>
        <v>42142.66667</v>
      </c>
      <c r="C2673" s="9">
        <f>IFERROR(__xludf.DUMMYFUNCTION("""COMPUTED_VALUE"""),57.22)</f>
        <v>57.22</v>
      </c>
      <c r="E2673" s="17"/>
      <c r="N2673" s="17"/>
      <c r="Q2673" s="17"/>
    </row>
    <row r="2674">
      <c r="B2674" s="11">
        <f>IFERROR(__xludf.DUMMYFUNCTION("""COMPUTED_VALUE"""),42139.66666666667)</f>
        <v>42139.66667</v>
      </c>
      <c r="C2674" s="9">
        <f>IFERROR(__xludf.DUMMYFUNCTION("""COMPUTED_VALUE"""),57.11)</f>
        <v>57.11</v>
      </c>
      <c r="E2674" s="17"/>
      <c r="N2674" s="17"/>
      <c r="Q2674" s="17"/>
    </row>
    <row r="2675">
      <c r="B2675" s="11">
        <f>IFERROR(__xludf.DUMMYFUNCTION("""COMPUTED_VALUE"""),42138.66666666667)</f>
        <v>42138.66667</v>
      </c>
      <c r="C2675" s="9">
        <f>IFERROR(__xludf.DUMMYFUNCTION("""COMPUTED_VALUE"""),57.16)</f>
        <v>57.16</v>
      </c>
      <c r="E2675" s="17"/>
      <c r="N2675" s="17"/>
      <c r="Q2675" s="17"/>
    </row>
    <row r="2676">
      <c r="B2676" s="11">
        <f>IFERROR(__xludf.DUMMYFUNCTION("""COMPUTED_VALUE"""),42137.66666666667)</f>
        <v>42137.66667</v>
      </c>
      <c r="C2676" s="9">
        <f>IFERROR(__xludf.DUMMYFUNCTION("""COMPUTED_VALUE"""),56.59)</f>
        <v>56.59</v>
      </c>
      <c r="E2676" s="17"/>
      <c r="N2676" s="17"/>
      <c r="Q2676" s="17"/>
    </row>
    <row r="2677">
      <c r="B2677" s="11">
        <f>IFERROR(__xludf.DUMMYFUNCTION("""COMPUTED_VALUE"""),42136.66666666667)</f>
        <v>42136.66667</v>
      </c>
      <c r="C2677" s="9">
        <f>IFERROR(__xludf.DUMMYFUNCTION("""COMPUTED_VALUE"""),56.47)</f>
        <v>56.47</v>
      </c>
      <c r="E2677" s="17"/>
      <c r="N2677" s="17"/>
      <c r="Q2677" s="17"/>
    </row>
    <row r="2678">
      <c r="B2678" s="11">
        <f>IFERROR(__xludf.DUMMYFUNCTION("""COMPUTED_VALUE"""),42135.66666666667)</f>
        <v>42135.66667</v>
      </c>
      <c r="C2678" s="9">
        <f>IFERROR(__xludf.DUMMYFUNCTION("""COMPUTED_VALUE"""),56.53)</f>
        <v>56.53</v>
      </c>
      <c r="E2678" s="17"/>
      <c r="N2678" s="17"/>
      <c r="Q2678" s="17"/>
    </row>
    <row r="2679">
      <c r="B2679" s="11">
        <f>IFERROR(__xludf.DUMMYFUNCTION("""COMPUTED_VALUE"""),42132.66666666667)</f>
        <v>42132.66667</v>
      </c>
      <c r="C2679" s="9">
        <f>IFERROR(__xludf.DUMMYFUNCTION("""COMPUTED_VALUE"""),56.58)</f>
        <v>56.58</v>
      </c>
      <c r="E2679" s="17"/>
      <c r="N2679" s="17"/>
      <c r="Q2679" s="17"/>
    </row>
    <row r="2680">
      <c r="B2680" s="11">
        <f>IFERROR(__xludf.DUMMYFUNCTION("""COMPUTED_VALUE"""),42131.66666666667)</f>
        <v>42131.66667</v>
      </c>
      <c r="C2680" s="9">
        <f>IFERROR(__xludf.DUMMYFUNCTION("""COMPUTED_VALUE"""),55.92)</f>
        <v>55.92</v>
      </c>
      <c r="E2680" s="17"/>
      <c r="N2680" s="17"/>
      <c r="Q2680" s="17"/>
    </row>
    <row r="2681">
      <c r="B2681" s="11">
        <f>IFERROR(__xludf.DUMMYFUNCTION("""COMPUTED_VALUE"""),42130.66666666667)</f>
        <v>42130.66667</v>
      </c>
      <c r="C2681" s="9">
        <f>IFERROR(__xludf.DUMMYFUNCTION("""COMPUTED_VALUE"""),55.63)</f>
        <v>55.63</v>
      </c>
      <c r="E2681" s="17"/>
      <c r="N2681" s="17"/>
      <c r="Q2681" s="17"/>
    </row>
    <row r="2682">
      <c r="B2682" s="11">
        <f>IFERROR(__xludf.DUMMYFUNCTION("""COMPUTED_VALUE"""),42129.66666666667)</f>
        <v>42129.66667</v>
      </c>
      <c r="C2682" s="9">
        <f>IFERROR(__xludf.DUMMYFUNCTION("""COMPUTED_VALUE"""),55.66)</f>
        <v>55.66</v>
      </c>
      <c r="E2682" s="17"/>
      <c r="N2682" s="17"/>
      <c r="Q2682" s="17"/>
    </row>
    <row r="2683">
      <c r="B2683" s="11">
        <f>IFERROR(__xludf.DUMMYFUNCTION("""COMPUTED_VALUE"""),42128.66666666667)</f>
        <v>42128.66667</v>
      </c>
      <c r="C2683" s="9">
        <f>IFERROR(__xludf.DUMMYFUNCTION("""COMPUTED_VALUE"""),56.42)</f>
        <v>56.42</v>
      </c>
      <c r="E2683" s="17"/>
      <c r="N2683" s="17"/>
      <c r="Q2683" s="17"/>
    </row>
    <row r="2684">
      <c r="B2684" s="11">
        <f>IFERROR(__xludf.DUMMYFUNCTION("""COMPUTED_VALUE"""),42125.66666666667)</f>
        <v>42125.66667</v>
      </c>
      <c r="C2684" s="9">
        <f>IFERROR(__xludf.DUMMYFUNCTION("""COMPUTED_VALUE"""),56.33)</f>
        <v>56.33</v>
      </c>
      <c r="E2684" s="17"/>
      <c r="N2684" s="17"/>
      <c r="Q2684" s="17"/>
    </row>
    <row r="2685">
      <c r="B2685" s="11">
        <f>IFERROR(__xludf.DUMMYFUNCTION("""COMPUTED_VALUE"""),42124.66666666667)</f>
        <v>42124.66667</v>
      </c>
      <c r="C2685" s="9">
        <f>IFERROR(__xludf.DUMMYFUNCTION("""COMPUTED_VALUE"""),55.63)</f>
        <v>55.63</v>
      </c>
      <c r="E2685" s="17"/>
      <c r="N2685" s="17"/>
      <c r="Q2685" s="17"/>
    </row>
    <row r="2686">
      <c r="B2686" s="11">
        <f>IFERROR(__xludf.DUMMYFUNCTION("""COMPUTED_VALUE"""),42123.66666666667)</f>
        <v>42123.66667</v>
      </c>
      <c r="C2686" s="9">
        <f>IFERROR(__xludf.DUMMYFUNCTION("""COMPUTED_VALUE"""),56.12)</f>
        <v>56.12</v>
      </c>
      <c r="E2686" s="17"/>
      <c r="N2686" s="17"/>
      <c r="Q2686" s="17"/>
    </row>
    <row r="2687">
      <c r="B2687" s="11">
        <f>IFERROR(__xludf.DUMMYFUNCTION("""COMPUTED_VALUE"""),42122.66666666667)</f>
        <v>42122.66667</v>
      </c>
      <c r="C2687" s="9">
        <f>IFERROR(__xludf.DUMMYFUNCTION("""COMPUTED_VALUE"""),56.4)</f>
        <v>56.4</v>
      </c>
      <c r="E2687" s="17"/>
      <c r="N2687" s="17"/>
      <c r="Q2687" s="17"/>
    </row>
    <row r="2688">
      <c r="B2688" s="11">
        <f>IFERROR(__xludf.DUMMYFUNCTION("""COMPUTED_VALUE"""),42121.66666666667)</f>
        <v>42121.66667</v>
      </c>
      <c r="C2688" s="9">
        <f>IFERROR(__xludf.DUMMYFUNCTION("""COMPUTED_VALUE"""),56.3)</f>
        <v>56.3</v>
      </c>
      <c r="E2688" s="17"/>
      <c r="N2688" s="17"/>
      <c r="Q2688" s="17"/>
    </row>
    <row r="2689">
      <c r="B2689" s="11">
        <f>IFERROR(__xludf.DUMMYFUNCTION("""COMPUTED_VALUE"""),42118.66666666667)</f>
        <v>42118.66667</v>
      </c>
      <c r="C2689" s="9">
        <f>IFERROR(__xludf.DUMMYFUNCTION("""COMPUTED_VALUE"""),56.32)</f>
        <v>56.32</v>
      </c>
      <c r="E2689" s="17"/>
      <c r="N2689" s="17"/>
      <c r="Q2689" s="17"/>
    </row>
    <row r="2690">
      <c r="B2690" s="11">
        <f>IFERROR(__xludf.DUMMYFUNCTION("""COMPUTED_VALUE"""),42117.66666666667)</f>
        <v>42117.66667</v>
      </c>
      <c r="C2690" s="9">
        <f>IFERROR(__xludf.DUMMYFUNCTION("""COMPUTED_VALUE"""),56.56)</f>
        <v>56.56</v>
      </c>
      <c r="E2690" s="17"/>
      <c r="N2690" s="17"/>
      <c r="Q2690" s="17"/>
    </row>
    <row r="2691">
      <c r="B2691" s="11">
        <f>IFERROR(__xludf.DUMMYFUNCTION("""COMPUTED_VALUE"""),42116.66666666667)</f>
        <v>42116.66667</v>
      </c>
      <c r="C2691" s="9">
        <f>IFERROR(__xludf.DUMMYFUNCTION("""COMPUTED_VALUE"""),56.62)</f>
        <v>56.62</v>
      </c>
      <c r="E2691" s="17"/>
      <c r="N2691" s="17"/>
      <c r="Q2691" s="17"/>
    </row>
    <row r="2692">
      <c r="B2692" s="11">
        <f>IFERROR(__xludf.DUMMYFUNCTION("""COMPUTED_VALUE"""),42115.66666666667)</f>
        <v>42115.66667</v>
      </c>
      <c r="C2692" s="9">
        <f>IFERROR(__xludf.DUMMYFUNCTION("""COMPUTED_VALUE"""),56.38)</f>
        <v>56.38</v>
      </c>
      <c r="E2692" s="17"/>
      <c r="N2692" s="17"/>
      <c r="Q2692" s="17"/>
    </row>
    <row r="2693">
      <c r="B2693" s="11">
        <f>IFERROR(__xludf.DUMMYFUNCTION("""COMPUTED_VALUE"""),42114.66666666667)</f>
        <v>42114.66667</v>
      </c>
      <c r="C2693" s="9">
        <f>IFERROR(__xludf.DUMMYFUNCTION("""COMPUTED_VALUE"""),56.45)</f>
        <v>56.45</v>
      </c>
      <c r="E2693" s="17"/>
      <c r="N2693" s="17"/>
      <c r="Q2693" s="17"/>
    </row>
    <row r="2694">
      <c r="B2694" s="11">
        <f>IFERROR(__xludf.DUMMYFUNCTION("""COMPUTED_VALUE"""),42111.66666666667)</f>
        <v>42111.66667</v>
      </c>
      <c r="C2694" s="9">
        <f>IFERROR(__xludf.DUMMYFUNCTION("""COMPUTED_VALUE"""),55.8)</f>
        <v>55.8</v>
      </c>
      <c r="E2694" s="17"/>
      <c r="N2694" s="17"/>
      <c r="Q2694" s="17"/>
    </row>
    <row r="2695">
      <c r="B2695" s="11">
        <f>IFERROR(__xludf.DUMMYFUNCTION("""COMPUTED_VALUE"""),42110.66666666667)</f>
        <v>42110.66667</v>
      </c>
      <c r="C2695" s="9">
        <f>IFERROR(__xludf.DUMMYFUNCTION("""COMPUTED_VALUE"""),56.48)</f>
        <v>56.48</v>
      </c>
      <c r="E2695" s="17"/>
      <c r="N2695" s="17"/>
      <c r="Q2695" s="17"/>
    </row>
    <row r="2696">
      <c r="B2696" s="11">
        <f>IFERROR(__xludf.DUMMYFUNCTION("""COMPUTED_VALUE"""),42109.66666666667)</f>
        <v>42109.66667</v>
      </c>
      <c r="C2696" s="9">
        <f>IFERROR(__xludf.DUMMYFUNCTION("""COMPUTED_VALUE"""),56.6)</f>
        <v>56.6</v>
      </c>
      <c r="E2696" s="17"/>
      <c r="N2696" s="17"/>
      <c r="Q2696" s="17"/>
    </row>
    <row r="2697">
      <c r="B2697" s="11">
        <f>IFERROR(__xludf.DUMMYFUNCTION("""COMPUTED_VALUE"""),42108.66666666667)</f>
        <v>42108.66667</v>
      </c>
      <c r="C2697" s="9">
        <f>IFERROR(__xludf.DUMMYFUNCTION("""COMPUTED_VALUE"""),56.5)</f>
        <v>56.5</v>
      </c>
      <c r="E2697" s="17"/>
      <c r="N2697" s="17"/>
      <c r="Q2697" s="17"/>
    </row>
    <row r="2698">
      <c r="B2698" s="11">
        <f>IFERROR(__xludf.DUMMYFUNCTION("""COMPUTED_VALUE"""),42107.66666666667)</f>
        <v>42107.66667</v>
      </c>
      <c r="C2698" s="9">
        <f>IFERROR(__xludf.DUMMYFUNCTION("""COMPUTED_VALUE"""),56.43)</f>
        <v>56.43</v>
      </c>
      <c r="E2698" s="17"/>
      <c r="N2698" s="17"/>
      <c r="Q2698" s="17"/>
    </row>
    <row r="2699">
      <c r="B2699" s="11">
        <f>IFERROR(__xludf.DUMMYFUNCTION("""COMPUTED_VALUE"""),42104.66666666667)</f>
        <v>42104.66667</v>
      </c>
      <c r="C2699" s="9">
        <f>IFERROR(__xludf.DUMMYFUNCTION("""COMPUTED_VALUE"""),56.97)</f>
        <v>56.97</v>
      </c>
      <c r="E2699" s="17"/>
      <c r="N2699" s="17"/>
      <c r="Q2699" s="17"/>
    </row>
    <row r="2700">
      <c r="B2700" s="11">
        <f>IFERROR(__xludf.DUMMYFUNCTION("""COMPUTED_VALUE"""),42103.66666666667)</f>
        <v>42103.66667</v>
      </c>
      <c r="C2700" s="9">
        <f>IFERROR(__xludf.DUMMYFUNCTION("""COMPUTED_VALUE"""),56.18)</f>
        <v>56.18</v>
      </c>
      <c r="E2700" s="17"/>
      <c r="N2700" s="17"/>
      <c r="Q2700" s="17"/>
    </row>
    <row r="2701">
      <c r="B2701" s="11">
        <f>IFERROR(__xludf.DUMMYFUNCTION("""COMPUTED_VALUE"""),42102.66666666667)</f>
        <v>42102.66667</v>
      </c>
      <c r="C2701" s="9">
        <f>IFERROR(__xludf.DUMMYFUNCTION("""COMPUTED_VALUE"""),55.91)</f>
        <v>55.91</v>
      </c>
      <c r="E2701" s="17"/>
      <c r="N2701" s="17"/>
      <c r="Q2701" s="17"/>
    </row>
    <row r="2702">
      <c r="B2702" s="11">
        <f>IFERROR(__xludf.DUMMYFUNCTION("""COMPUTED_VALUE"""),42101.66666666667)</f>
        <v>42101.66667</v>
      </c>
      <c r="C2702" s="9">
        <f>IFERROR(__xludf.DUMMYFUNCTION("""COMPUTED_VALUE"""),55.72)</f>
        <v>55.72</v>
      </c>
      <c r="E2702" s="17"/>
      <c r="N2702" s="17"/>
      <c r="Q2702" s="17"/>
    </row>
    <row r="2703">
      <c r="B2703" s="11">
        <f>IFERROR(__xludf.DUMMYFUNCTION("""COMPUTED_VALUE"""),42100.66666666667)</f>
        <v>42100.66667</v>
      </c>
      <c r="C2703" s="9">
        <f>IFERROR(__xludf.DUMMYFUNCTION("""COMPUTED_VALUE"""),55.85)</f>
        <v>55.85</v>
      </c>
      <c r="E2703" s="17"/>
      <c r="N2703" s="17"/>
      <c r="Q2703" s="17"/>
    </row>
    <row r="2704">
      <c r="B2704" s="11">
        <f>IFERROR(__xludf.DUMMYFUNCTION("""COMPUTED_VALUE"""),42096.66666666667)</f>
        <v>42096.66667</v>
      </c>
      <c r="C2704" s="9">
        <f>IFERROR(__xludf.DUMMYFUNCTION("""COMPUTED_VALUE"""),55.43)</f>
        <v>55.43</v>
      </c>
      <c r="E2704" s="17"/>
      <c r="N2704" s="17"/>
      <c r="Q2704" s="17"/>
    </row>
    <row r="2705">
      <c r="B2705" s="11">
        <f>IFERROR(__xludf.DUMMYFUNCTION("""COMPUTED_VALUE"""),42095.66666666667)</f>
        <v>42095.66667</v>
      </c>
      <c r="C2705" s="9">
        <f>IFERROR(__xludf.DUMMYFUNCTION("""COMPUTED_VALUE"""),55.4)</f>
        <v>55.4</v>
      </c>
      <c r="E2705" s="17"/>
      <c r="N2705" s="17"/>
      <c r="Q2705" s="17"/>
    </row>
    <row r="2706">
      <c r="B2706" s="11">
        <f>IFERROR(__xludf.DUMMYFUNCTION("""COMPUTED_VALUE"""),42094.66666666667)</f>
        <v>42094.66667</v>
      </c>
      <c r="C2706" s="9">
        <f>IFERROR(__xludf.DUMMYFUNCTION("""COMPUTED_VALUE"""),55.77)</f>
        <v>55.77</v>
      </c>
      <c r="E2706" s="17"/>
      <c r="N2706" s="17"/>
      <c r="Q2706" s="17"/>
    </row>
    <row r="2707">
      <c r="B2707" s="11">
        <f>IFERROR(__xludf.DUMMYFUNCTION("""COMPUTED_VALUE"""),42093.66666666667)</f>
        <v>42093.66667</v>
      </c>
      <c r="C2707" s="9">
        <f>IFERROR(__xludf.DUMMYFUNCTION("""COMPUTED_VALUE"""),56.33)</f>
        <v>56.33</v>
      </c>
      <c r="E2707" s="17"/>
      <c r="N2707" s="17"/>
      <c r="Q2707" s="17"/>
    </row>
    <row r="2708">
      <c r="B2708" s="11">
        <f>IFERROR(__xludf.DUMMYFUNCTION("""COMPUTED_VALUE"""),42090.66666666667)</f>
        <v>42090.66667</v>
      </c>
      <c r="C2708" s="9">
        <f>IFERROR(__xludf.DUMMYFUNCTION("""COMPUTED_VALUE"""),55.55)</f>
        <v>55.55</v>
      </c>
      <c r="E2708" s="17"/>
      <c r="N2708" s="17"/>
      <c r="Q2708" s="17"/>
    </row>
    <row r="2709">
      <c r="B2709" s="11">
        <f>IFERROR(__xludf.DUMMYFUNCTION("""COMPUTED_VALUE"""),42089.66666666667)</f>
        <v>42089.66667</v>
      </c>
      <c r="C2709" s="9">
        <f>IFERROR(__xludf.DUMMYFUNCTION("""COMPUTED_VALUE"""),55.34)</f>
        <v>55.34</v>
      </c>
      <c r="E2709" s="17"/>
      <c r="N2709" s="17"/>
      <c r="Q2709" s="17"/>
    </row>
    <row r="2710">
      <c r="B2710" s="11">
        <f>IFERROR(__xludf.DUMMYFUNCTION("""COMPUTED_VALUE"""),42088.66666666667)</f>
        <v>42088.66667</v>
      </c>
      <c r="C2710" s="9">
        <f>IFERROR(__xludf.DUMMYFUNCTION("""COMPUTED_VALUE"""),55.49)</f>
        <v>55.49</v>
      </c>
      <c r="E2710" s="17"/>
      <c r="N2710" s="17"/>
      <c r="Q2710" s="17"/>
    </row>
    <row r="2711">
      <c r="B2711" s="11">
        <f>IFERROR(__xludf.DUMMYFUNCTION("""COMPUTED_VALUE"""),42087.66666666667)</f>
        <v>42087.66667</v>
      </c>
      <c r="C2711" s="9">
        <f>IFERROR(__xludf.DUMMYFUNCTION("""COMPUTED_VALUE"""),56.45)</f>
        <v>56.45</v>
      </c>
      <c r="E2711" s="17"/>
      <c r="N2711" s="17"/>
      <c r="Q2711" s="17"/>
    </row>
    <row r="2712">
      <c r="B2712" s="11">
        <f>IFERROR(__xludf.DUMMYFUNCTION("""COMPUTED_VALUE"""),42086.66666666667)</f>
        <v>42086.66667</v>
      </c>
      <c r="C2712" s="9">
        <f>IFERROR(__xludf.DUMMYFUNCTION("""COMPUTED_VALUE"""),56.64)</f>
        <v>56.64</v>
      </c>
      <c r="E2712" s="17"/>
      <c r="N2712" s="17"/>
      <c r="Q2712" s="17"/>
    </row>
    <row r="2713">
      <c r="B2713" s="11">
        <f>IFERROR(__xludf.DUMMYFUNCTION("""COMPUTED_VALUE"""),42083.66666666667)</f>
        <v>42083.66667</v>
      </c>
      <c r="C2713" s="9">
        <f>IFERROR(__xludf.DUMMYFUNCTION("""COMPUTED_VALUE"""),57.12)</f>
        <v>57.12</v>
      </c>
      <c r="E2713" s="17"/>
      <c r="N2713" s="17"/>
      <c r="Q2713" s="17"/>
    </row>
    <row r="2714">
      <c r="B2714" s="11">
        <f>IFERROR(__xludf.DUMMYFUNCTION("""COMPUTED_VALUE"""),42082.66666666667)</f>
        <v>42082.66667</v>
      </c>
      <c r="C2714" s="9">
        <f>IFERROR(__xludf.DUMMYFUNCTION("""COMPUTED_VALUE"""),57.06)</f>
        <v>57.06</v>
      </c>
      <c r="E2714" s="17"/>
      <c r="N2714" s="17"/>
      <c r="Q2714" s="17"/>
    </row>
    <row r="2715">
      <c r="B2715" s="11">
        <f>IFERROR(__xludf.DUMMYFUNCTION("""COMPUTED_VALUE"""),42081.66666666667)</f>
        <v>42081.66667</v>
      </c>
      <c r="C2715" s="9">
        <f>IFERROR(__xludf.DUMMYFUNCTION("""COMPUTED_VALUE"""),57.45)</f>
        <v>57.45</v>
      </c>
      <c r="E2715" s="17"/>
      <c r="N2715" s="17"/>
      <c r="Q2715" s="17"/>
    </row>
    <row r="2716">
      <c r="B2716" s="11">
        <f>IFERROR(__xludf.DUMMYFUNCTION("""COMPUTED_VALUE"""),42080.66666666667)</f>
        <v>42080.66667</v>
      </c>
      <c r="C2716" s="9">
        <f>IFERROR(__xludf.DUMMYFUNCTION("""COMPUTED_VALUE"""),56.78)</f>
        <v>56.78</v>
      </c>
      <c r="E2716" s="17"/>
      <c r="N2716" s="17"/>
      <c r="Q2716" s="17"/>
    </row>
    <row r="2717">
      <c r="B2717" s="11">
        <f>IFERROR(__xludf.DUMMYFUNCTION("""COMPUTED_VALUE"""),42079.66666666667)</f>
        <v>42079.66667</v>
      </c>
      <c r="C2717" s="9">
        <f>IFERROR(__xludf.DUMMYFUNCTION("""COMPUTED_VALUE"""),57.01)</f>
        <v>57.01</v>
      </c>
      <c r="E2717" s="17"/>
      <c r="N2717" s="17"/>
      <c r="Q2717" s="17"/>
    </row>
    <row r="2718">
      <c r="B2718" s="11">
        <f>IFERROR(__xludf.DUMMYFUNCTION("""COMPUTED_VALUE"""),42076.66666666667)</f>
        <v>42076.66667</v>
      </c>
      <c r="C2718" s="9">
        <f>IFERROR(__xludf.DUMMYFUNCTION("""COMPUTED_VALUE"""),56.08)</f>
        <v>56.08</v>
      </c>
      <c r="E2718" s="17"/>
      <c r="N2718" s="17"/>
      <c r="Q2718" s="17"/>
    </row>
    <row r="2719">
      <c r="B2719" s="11">
        <f>IFERROR(__xludf.DUMMYFUNCTION("""COMPUTED_VALUE"""),42075.66666666667)</f>
        <v>42075.66667</v>
      </c>
      <c r="C2719" s="9">
        <f>IFERROR(__xludf.DUMMYFUNCTION("""COMPUTED_VALUE"""),56.6)</f>
        <v>56.6</v>
      </c>
      <c r="E2719" s="17"/>
      <c r="N2719" s="17"/>
      <c r="Q2719" s="17"/>
    </row>
    <row r="2720">
      <c r="B2720" s="11">
        <f>IFERROR(__xludf.DUMMYFUNCTION("""COMPUTED_VALUE"""),42074.66666666667)</f>
        <v>42074.66667</v>
      </c>
      <c r="C2720" s="9">
        <f>IFERROR(__xludf.DUMMYFUNCTION("""COMPUTED_VALUE"""),55.88)</f>
        <v>55.88</v>
      </c>
      <c r="E2720" s="17"/>
      <c r="N2720" s="17"/>
      <c r="Q2720" s="17"/>
    </row>
    <row r="2721">
      <c r="B2721" s="11">
        <f>IFERROR(__xludf.DUMMYFUNCTION("""COMPUTED_VALUE"""),42073.66666666667)</f>
        <v>42073.66667</v>
      </c>
      <c r="C2721" s="9">
        <f>IFERROR(__xludf.DUMMYFUNCTION("""COMPUTED_VALUE"""),55.94)</f>
        <v>55.94</v>
      </c>
      <c r="E2721" s="17"/>
      <c r="N2721" s="17"/>
      <c r="Q2721" s="17"/>
    </row>
    <row r="2722">
      <c r="B2722" s="11">
        <f>IFERROR(__xludf.DUMMYFUNCTION("""COMPUTED_VALUE"""),42072.66666666667)</f>
        <v>42072.66667</v>
      </c>
      <c r="C2722" s="9">
        <f>IFERROR(__xludf.DUMMYFUNCTION("""COMPUTED_VALUE"""),56.99)</f>
        <v>56.99</v>
      </c>
      <c r="E2722" s="17"/>
      <c r="N2722" s="17"/>
      <c r="Q2722" s="17"/>
    </row>
    <row r="2723">
      <c r="B2723" s="11">
        <f>IFERROR(__xludf.DUMMYFUNCTION("""COMPUTED_VALUE"""),42069.66666666667)</f>
        <v>42069.66667</v>
      </c>
      <c r="C2723" s="9">
        <f>IFERROR(__xludf.DUMMYFUNCTION("""COMPUTED_VALUE"""),56.46)</f>
        <v>56.46</v>
      </c>
      <c r="E2723" s="17"/>
      <c r="N2723" s="17"/>
      <c r="Q2723" s="17"/>
    </row>
    <row r="2724">
      <c r="B2724" s="11">
        <f>IFERROR(__xludf.DUMMYFUNCTION("""COMPUTED_VALUE"""),42068.66666666667)</f>
        <v>42068.66667</v>
      </c>
      <c r="C2724" s="9">
        <f>IFERROR(__xludf.DUMMYFUNCTION("""COMPUTED_VALUE"""),57.24)</f>
        <v>57.24</v>
      </c>
      <c r="E2724" s="17"/>
      <c r="N2724" s="17"/>
      <c r="Q2724" s="17"/>
    </row>
    <row r="2725">
      <c r="B2725" s="11">
        <f>IFERROR(__xludf.DUMMYFUNCTION("""COMPUTED_VALUE"""),42067.66666666667)</f>
        <v>42067.66667</v>
      </c>
      <c r="C2725" s="9">
        <f>IFERROR(__xludf.DUMMYFUNCTION("""COMPUTED_VALUE"""),57.2)</f>
        <v>57.2</v>
      </c>
      <c r="E2725" s="17"/>
      <c r="N2725" s="17"/>
      <c r="Q2725" s="17"/>
    </row>
    <row r="2726">
      <c r="B2726" s="11">
        <f>IFERROR(__xludf.DUMMYFUNCTION("""COMPUTED_VALUE"""),42066.66666666667)</f>
        <v>42066.66667</v>
      </c>
      <c r="C2726" s="9">
        <f>IFERROR(__xludf.DUMMYFUNCTION("""COMPUTED_VALUE"""),57.65)</f>
        <v>57.65</v>
      </c>
      <c r="E2726" s="17"/>
      <c r="N2726" s="17"/>
      <c r="Q2726" s="17"/>
    </row>
    <row r="2727">
      <c r="B2727" s="11">
        <f>IFERROR(__xludf.DUMMYFUNCTION("""COMPUTED_VALUE"""),42065.66666666667)</f>
        <v>42065.66667</v>
      </c>
      <c r="C2727" s="9">
        <f>IFERROR(__xludf.DUMMYFUNCTION("""COMPUTED_VALUE"""),58.02)</f>
        <v>58.02</v>
      </c>
      <c r="E2727" s="17"/>
      <c r="N2727" s="17"/>
      <c r="Q2727" s="17"/>
    </row>
    <row r="2728">
      <c r="B2728" s="11">
        <f>IFERROR(__xludf.DUMMYFUNCTION("""COMPUTED_VALUE"""),42062.66666666667)</f>
        <v>42062.66667</v>
      </c>
      <c r="C2728" s="9">
        <f>IFERROR(__xludf.DUMMYFUNCTION("""COMPUTED_VALUE"""),57.49)</f>
        <v>57.49</v>
      </c>
      <c r="E2728" s="17"/>
      <c r="N2728" s="17"/>
      <c r="Q2728" s="17"/>
    </row>
    <row r="2729">
      <c r="B2729" s="11">
        <f>IFERROR(__xludf.DUMMYFUNCTION("""COMPUTED_VALUE"""),42061.66666666667)</f>
        <v>42061.66667</v>
      </c>
      <c r="C2729" s="9">
        <f>IFERROR(__xludf.DUMMYFUNCTION("""COMPUTED_VALUE"""),57.76)</f>
        <v>57.76</v>
      </c>
      <c r="E2729" s="17"/>
      <c r="N2729" s="17"/>
      <c r="Q2729" s="17"/>
    </row>
    <row r="2730">
      <c r="B2730" s="11">
        <f>IFERROR(__xludf.DUMMYFUNCTION("""COMPUTED_VALUE"""),42060.66666666667)</f>
        <v>42060.66667</v>
      </c>
      <c r="C2730" s="9">
        <f>IFERROR(__xludf.DUMMYFUNCTION("""COMPUTED_VALUE"""),58.02)</f>
        <v>58.02</v>
      </c>
      <c r="E2730" s="17"/>
      <c r="N2730" s="17"/>
      <c r="Q2730" s="17"/>
    </row>
    <row r="2731">
      <c r="B2731" s="11">
        <f>IFERROR(__xludf.DUMMYFUNCTION("""COMPUTED_VALUE"""),42059.66666666667)</f>
        <v>42059.66667</v>
      </c>
      <c r="C2731" s="9">
        <f>IFERROR(__xludf.DUMMYFUNCTION("""COMPUTED_VALUE"""),58.14)</f>
        <v>58.14</v>
      </c>
      <c r="E2731" s="17"/>
      <c r="N2731" s="17"/>
      <c r="Q2731" s="17"/>
    </row>
    <row r="2732">
      <c r="B2732" s="11">
        <f>IFERROR(__xludf.DUMMYFUNCTION("""COMPUTED_VALUE"""),42058.66666666667)</f>
        <v>42058.66667</v>
      </c>
      <c r="C2732" s="9">
        <f>IFERROR(__xludf.DUMMYFUNCTION("""COMPUTED_VALUE"""),57.91)</f>
        <v>57.91</v>
      </c>
      <c r="E2732" s="17"/>
      <c r="N2732" s="17"/>
      <c r="Q2732" s="17"/>
    </row>
    <row r="2733">
      <c r="B2733" s="11">
        <f>IFERROR(__xludf.DUMMYFUNCTION("""COMPUTED_VALUE"""),42055.66666666667)</f>
        <v>42055.66667</v>
      </c>
      <c r="C2733" s="9">
        <f>IFERROR(__xludf.DUMMYFUNCTION("""COMPUTED_VALUE"""),58.16)</f>
        <v>58.16</v>
      </c>
      <c r="E2733" s="17"/>
      <c r="N2733" s="17"/>
      <c r="Q2733" s="17"/>
    </row>
    <row r="2734">
      <c r="B2734" s="11">
        <f>IFERROR(__xludf.DUMMYFUNCTION("""COMPUTED_VALUE"""),42054.66666666667)</f>
        <v>42054.66667</v>
      </c>
      <c r="C2734" s="9">
        <f>IFERROR(__xludf.DUMMYFUNCTION("""COMPUTED_VALUE"""),57.67)</f>
        <v>57.67</v>
      </c>
      <c r="E2734" s="17"/>
      <c r="N2734" s="17"/>
      <c r="Q2734" s="17"/>
    </row>
    <row r="2735">
      <c r="B2735" s="11">
        <f>IFERROR(__xludf.DUMMYFUNCTION("""COMPUTED_VALUE"""),42053.66666666667)</f>
        <v>42053.66667</v>
      </c>
      <c r="C2735" s="9">
        <f>IFERROR(__xludf.DUMMYFUNCTION("""COMPUTED_VALUE"""),57.57)</f>
        <v>57.57</v>
      </c>
      <c r="E2735" s="17"/>
      <c r="N2735" s="17"/>
      <c r="Q2735" s="17"/>
    </row>
    <row r="2736">
      <c r="B2736" s="11">
        <f>IFERROR(__xludf.DUMMYFUNCTION("""COMPUTED_VALUE"""),42052.66666666667)</f>
        <v>42052.66667</v>
      </c>
      <c r="C2736" s="9">
        <f>IFERROR(__xludf.DUMMYFUNCTION("""COMPUTED_VALUE"""),57.25)</f>
        <v>57.25</v>
      </c>
      <c r="E2736" s="17"/>
      <c r="N2736" s="17"/>
      <c r="Q2736" s="17"/>
    </row>
    <row r="2737">
      <c r="B2737" s="11">
        <f>IFERROR(__xludf.DUMMYFUNCTION("""COMPUTED_VALUE"""),42048.66666666667)</f>
        <v>42048.66667</v>
      </c>
      <c r="C2737" s="9">
        <f>IFERROR(__xludf.DUMMYFUNCTION("""COMPUTED_VALUE"""),57.17)</f>
        <v>57.17</v>
      </c>
      <c r="E2737" s="17"/>
      <c r="N2737" s="17"/>
      <c r="Q2737" s="17"/>
    </row>
    <row r="2738">
      <c r="B2738" s="11">
        <f>IFERROR(__xludf.DUMMYFUNCTION("""COMPUTED_VALUE"""),42047.66666666667)</f>
        <v>42047.66667</v>
      </c>
      <c r="C2738" s="9">
        <f>IFERROR(__xludf.DUMMYFUNCTION("""COMPUTED_VALUE"""),56.91)</f>
        <v>56.91</v>
      </c>
      <c r="E2738" s="17"/>
      <c r="N2738" s="17"/>
      <c r="Q2738" s="17"/>
    </row>
    <row r="2739">
      <c r="B2739" s="11">
        <f>IFERROR(__xludf.DUMMYFUNCTION("""COMPUTED_VALUE"""),42046.66666666667)</f>
        <v>42046.66667</v>
      </c>
      <c r="C2739" s="9">
        <f>IFERROR(__xludf.DUMMYFUNCTION("""COMPUTED_VALUE"""),56.38)</f>
        <v>56.38</v>
      </c>
      <c r="E2739" s="17"/>
      <c r="N2739" s="17"/>
      <c r="Q2739" s="17"/>
    </row>
    <row r="2740">
      <c r="B2740" s="11">
        <f>IFERROR(__xludf.DUMMYFUNCTION("""COMPUTED_VALUE"""),42045.66666666667)</f>
        <v>42045.66667</v>
      </c>
      <c r="C2740" s="9">
        <f>IFERROR(__xludf.DUMMYFUNCTION("""COMPUTED_VALUE"""),56.36)</f>
        <v>56.36</v>
      </c>
      <c r="E2740" s="17"/>
      <c r="N2740" s="17"/>
      <c r="Q2740" s="17"/>
    </row>
    <row r="2741">
      <c r="B2741" s="11">
        <f>IFERROR(__xludf.DUMMYFUNCTION("""COMPUTED_VALUE"""),42044.66666666667)</f>
        <v>42044.66667</v>
      </c>
      <c r="C2741" s="9">
        <f>IFERROR(__xludf.DUMMYFUNCTION("""COMPUTED_VALUE"""),56.05)</f>
        <v>56.05</v>
      </c>
      <c r="E2741" s="17"/>
      <c r="N2741" s="17"/>
      <c r="Q2741" s="17"/>
    </row>
    <row r="2742">
      <c r="B2742" s="11">
        <f>IFERROR(__xludf.DUMMYFUNCTION("""COMPUTED_VALUE"""),42041.66666666667)</f>
        <v>42041.66667</v>
      </c>
      <c r="C2742" s="9">
        <f>IFERROR(__xludf.DUMMYFUNCTION("""COMPUTED_VALUE"""),56.2)</f>
        <v>56.2</v>
      </c>
      <c r="E2742" s="17"/>
      <c r="N2742" s="17"/>
      <c r="Q2742" s="17"/>
    </row>
    <row r="2743">
      <c r="B2743" s="11">
        <f>IFERROR(__xludf.DUMMYFUNCTION("""COMPUTED_VALUE"""),42040.66666666667)</f>
        <v>42040.66667</v>
      </c>
      <c r="C2743" s="9">
        <f>IFERROR(__xludf.DUMMYFUNCTION("""COMPUTED_VALUE"""),56.33)</f>
        <v>56.33</v>
      </c>
      <c r="E2743" s="17"/>
      <c r="N2743" s="17"/>
      <c r="Q2743" s="17"/>
    </row>
    <row r="2744">
      <c r="B2744" s="11">
        <f>IFERROR(__xludf.DUMMYFUNCTION("""COMPUTED_VALUE"""),42039.66666666667)</f>
        <v>42039.66667</v>
      </c>
      <c r="C2744" s="9">
        <f>IFERROR(__xludf.DUMMYFUNCTION("""COMPUTED_VALUE"""),55.85)</f>
        <v>55.85</v>
      </c>
      <c r="E2744" s="17"/>
      <c r="N2744" s="17"/>
      <c r="Q2744" s="17"/>
    </row>
    <row r="2745">
      <c r="B2745" s="11">
        <f>IFERROR(__xludf.DUMMYFUNCTION("""COMPUTED_VALUE"""),42038.66666666667)</f>
        <v>42038.66667</v>
      </c>
      <c r="C2745" s="9">
        <f>IFERROR(__xludf.DUMMYFUNCTION("""COMPUTED_VALUE"""),56.28)</f>
        <v>56.28</v>
      </c>
      <c r="E2745" s="17"/>
      <c r="N2745" s="17"/>
      <c r="Q2745" s="17"/>
    </row>
    <row r="2746">
      <c r="B2746" s="11">
        <f>IFERROR(__xludf.DUMMYFUNCTION("""COMPUTED_VALUE"""),42037.66666666667)</f>
        <v>42037.66667</v>
      </c>
      <c r="C2746" s="9">
        <f>IFERROR(__xludf.DUMMYFUNCTION("""COMPUTED_VALUE"""),55.38)</f>
        <v>55.38</v>
      </c>
      <c r="E2746" s="17"/>
      <c r="N2746" s="17"/>
      <c r="Q2746" s="17"/>
    </row>
    <row r="2747">
      <c r="B2747" s="11">
        <f>IFERROR(__xludf.DUMMYFUNCTION("""COMPUTED_VALUE"""),42034.66666666667)</f>
        <v>42034.66667</v>
      </c>
      <c r="C2747" s="9">
        <f>IFERROR(__xludf.DUMMYFUNCTION("""COMPUTED_VALUE"""),54.57)</f>
        <v>54.57</v>
      </c>
      <c r="E2747" s="17"/>
      <c r="N2747" s="17"/>
      <c r="Q2747" s="17"/>
    </row>
    <row r="2748">
      <c r="B2748" s="11">
        <f>IFERROR(__xludf.DUMMYFUNCTION("""COMPUTED_VALUE"""),42033.66666666667)</f>
        <v>42033.66667</v>
      </c>
      <c r="C2748" s="9">
        <f>IFERROR(__xludf.DUMMYFUNCTION("""COMPUTED_VALUE"""),55.47)</f>
        <v>55.47</v>
      </c>
      <c r="E2748" s="17"/>
      <c r="N2748" s="17"/>
      <c r="Q2748" s="17"/>
    </row>
    <row r="2749">
      <c r="B2749" s="11">
        <f>IFERROR(__xludf.DUMMYFUNCTION("""COMPUTED_VALUE"""),42032.66666666667)</f>
        <v>42032.66667</v>
      </c>
      <c r="C2749" s="9">
        <f>IFERROR(__xludf.DUMMYFUNCTION("""COMPUTED_VALUE"""),54.84)</f>
        <v>54.84</v>
      </c>
      <c r="E2749" s="17"/>
      <c r="N2749" s="17"/>
      <c r="Q2749" s="17"/>
    </row>
    <row r="2750">
      <c r="B2750" s="11">
        <f>IFERROR(__xludf.DUMMYFUNCTION("""COMPUTED_VALUE"""),42031.66666666667)</f>
        <v>42031.66667</v>
      </c>
      <c r="C2750" s="9">
        <f>IFERROR(__xludf.DUMMYFUNCTION("""COMPUTED_VALUE"""),55.32)</f>
        <v>55.32</v>
      </c>
      <c r="E2750" s="17"/>
      <c r="N2750" s="17"/>
      <c r="Q2750" s="17"/>
    </row>
    <row r="2751">
      <c r="B2751" s="11">
        <f>IFERROR(__xludf.DUMMYFUNCTION("""COMPUTED_VALUE"""),42030.66666666667)</f>
        <v>42030.66667</v>
      </c>
      <c r="C2751" s="9">
        <f>IFERROR(__xludf.DUMMYFUNCTION("""COMPUTED_VALUE"""),56.06)</f>
        <v>56.06</v>
      </c>
      <c r="E2751" s="17"/>
      <c r="N2751" s="17"/>
      <c r="Q2751" s="17"/>
    </row>
    <row r="2752">
      <c r="B2752" s="11">
        <f>IFERROR(__xludf.DUMMYFUNCTION("""COMPUTED_VALUE"""),42027.66666666667)</f>
        <v>42027.66667</v>
      </c>
      <c r="C2752" s="9">
        <f>IFERROR(__xludf.DUMMYFUNCTION("""COMPUTED_VALUE"""),55.99)</f>
        <v>55.99</v>
      </c>
      <c r="E2752" s="17"/>
      <c r="N2752" s="17"/>
      <c r="Q2752" s="17"/>
    </row>
    <row r="2753">
      <c r="B2753" s="11">
        <f>IFERROR(__xludf.DUMMYFUNCTION("""COMPUTED_VALUE"""),42026.66666666667)</f>
        <v>42026.66667</v>
      </c>
      <c r="C2753" s="9">
        <f>IFERROR(__xludf.DUMMYFUNCTION("""COMPUTED_VALUE"""),56.46)</f>
        <v>56.46</v>
      </c>
      <c r="E2753" s="17"/>
      <c r="N2753" s="17"/>
      <c r="Q2753" s="17"/>
    </row>
    <row r="2754">
      <c r="B2754" s="11">
        <f>IFERROR(__xludf.DUMMYFUNCTION("""COMPUTED_VALUE"""),42025.66666666667)</f>
        <v>42025.66667</v>
      </c>
      <c r="C2754" s="9">
        <f>IFERROR(__xludf.DUMMYFUNCTION("""COMPUTED_VALUE"""),55.57)</f>
        <v>55.57</v>
      </c>
      <c r="E2754" s="17"/>
      <c r="N2754" s="17"/>
      <c r="Q2754" s="17"/>
    </row>
    <row r="2755">
      <c r="B2755" s="11">
        <f>IFERROR(__xludf.DUMMYFUNCTION("""COMPUTED_VALUE"""),42024.66666666667)</f>
        <v>42024.66667</v>
      </c>
      <c r="C2755" s="9">
        <f>IFERROR(__xludf.DUMMYFUNCTION("""COMPUTED_VALUE"""),55.12)</f>
        <v>55.12</v>
      </c>
      <c r="E2755" s="17"/>
      <c r="N2755" s="17"/>
      <c r="Q2755" s="17"/>
    </row>
    <row r="2756">
      <c r="B2756" s="11">
        <f>IFERROR(__xludf.DUMMYFUNCTION("""COMPUTED_VALUE"""),42020.66666666667)</f>
        <v>42020.66667</v>
      </c>
      <c r="C2756" s="9">
        <f>IFERROR(__xludf.DUMMYFUNCTION("""COMPUTED_VALUE"""),54.73)</f>
        <v>54.73</v>
      </c>
      <c r="E2756" s="17"/>
      <c r="N2756" s="17"/>
      <c r="Q2756" s="17"/>
    </row>
    <row r="2757">
      <c r="B2757" s="11">
        <f>IFERROR(__xludf.DUMMYFUNCTION("""COMPUTED_VALUE"""),42019.66666666667)</f>
        <v>42019.66667</v>
      </c>
      <c r="C2757" s="9">
        <f>IFERROR(__xludf.DUMMYFUNCTION("""COMPUTED_VALUE"""),54.37)</f>
        <v>54.37</v>
      </c>
      <c r="E2757" s="17"/>
      <c r="N2757" s="17"/>
      <c r="Q2757" s="17"/>
    </row>
    <row r="2758">
      <c r="B2758" s="11">
        <f>IFERROR(__xludf.DUMMYFUNCTION("""COMPUTED_VALUE"""),42018.66666666667)</f>
        <v>42018.66667</v>
      </c>
      <c r="C2758" s="9">
        <f>IFERROR(__xludf.DUMMYFUNCTION("""COMPUTED_VALUE"""),54.63)</f>
        <v>54.63</v>
      </c>
      <c r="E2758" s="17"/>
      <c r="N2758" s="17"/>
      <c r="Q2758" s="17"/>
    </row>
    <row r="2759">
      <c r="B2759" s="11">
        <f>IFERROR(__xludf.DUMMYFUNCTION("""COMPUTED_VALUE"""),42017.66666666667)</f>
        <v>42017.66667</v>
      </c>
      <c r="C2759" s="9">
        <f>IFERROR(__xludf.DUMMYFUNCTION("""COMPUTED_VALUE"""),54.93)</f>
        <v>54.93</v>
      </c>
      <c r="E2759" s="17"/>
      <c r="N2759" s="17"/>
      <c r="Q2759" s="17"/>
    </row>
    <row r="2760">
      <c r="B2760" s="11">
        <f>IFERROR(__xludf.DUMMYFUNCTION("""COMPUTED_VALUE"""),42016.66666666667)</f>
        <v>42016.66667</v>
      </c>
      <c r="C2760" s="9">
        <f>IFERROR(__xludf.DUMMYFUNCTION("""COMPUTED_VALUE"""),55.04)</f>
        <v>55.04</v>
      </c>
      <c r="E2760" s="17"/>
      <c r="N2760" s="17"/>
      <c r="Q2760" s="17"/>
    </row>
    <row r="2761">
      <c r="B2761" s="11">
        <f>IFERROR(__xludf.DUMMYFUNCTION("""COMPUTED_VALUE"""),42013.66666666667)</f>
        <v>42013.66667</v>
      </c>
      <c r="C2761" s="9">
        <f>IFERROR(__xludf.DUMMYFUNCTION("""COMPUTED_VALUE"""),55.42)</f>
        <v>55.42</v>
      </c>
      <c r="E2761" s="17"/>
      <c r="N2761" s="17"/>
      <c r="Q2761" s="17"/>
    </row>
    <row r="2762">
      <c r="B2762" s="11">
        <f>IFERROR(__xludf.DUMMYFUNCTION("""COMPUTED_VALUE"""),42012.66666666667)</f>
        <v>42012.66667</v>
      </c>
      <c r="C2762" s="9">
        <f>IFERROR(__xludf.DUMMYFUNCTION("""COMPUTED_VALUE"""),56.02)</f>
        <v>56.02</v>
      </c>
      <c r="E2762" s="17"/>
      <c r="N2762" s="17"/>
      <c r="Q2762" s="17"/>
    </row>
    <row r="2763">
      <c r="B2763" s="11">
        <f>IFERROR(__xludf.DUMMYFUNCTION("""COMPUTED_VALUE"""),42011.66666666667)</f>
        <v>42011.66667</v>
      </c>
      <c r="C2763" s="9">
        <f>IFERROR(__xludf.DUMMYFUNCTION("""COMPUTED_VALUE"""),54.92)</f>
        <v>54.92</v>
      </c>
      <c r="E2763" s="17"/>
      <c r="N2763" s="17"/>
      <c r="Q2763" s="17"/>
    </row>
    <row r="2764">
      <c r="B2764" s="11">
        <f>IFERROR(__xludf.DUMMYFUNCTION("""COMPUTED_VALUE"""),42010.66666666667)</f>
        <v>42010.66667</v>
      </c>
      <c r="C2764" s="9">
        <f>IFERROR(__xludf.DUMMYFUNCTION("""COMPUTED_VALUE"""),54.51)</f>
        <v>54.51</v>
      </c>
      <c r="E2764" s="17"/>
      <c r="N2764" s="17"/>
      <c r="Q2764" s="17"/>
    </row>
    <row r="2765">
      <c r="B2765" s="11">
        <f>IFERROR(__xludf.DUMMYFUNCTION("""COMPUTED_VALUE"""),42009.66666666667)</f>
        <v>42009.66667</v>
      </c>
      <c r="C2765" s="9">
        <f>IFERROR(__xludf.DUMMYFUNCTION("""COMPUTED_VALUE"""),55.19)</f>
        <v>55.19</v>
      </c>
      <c r="E2765" s="17"/>
      <c r="N2765" s="17"/>
      <c r="Q2765" s="17"/>
    </row>
    <row r="2766">
      <c r="B2766" s="11">
        <f>IFERROR(__xludf.DUMMYFUNCTION("""COMPUTED_VALUE"""),42006.66666666667)</f>
        <v>42006.66667</v>
      </c>
      <c r="C2766" s="9">
        <f>IFERROR(__xludf.DUMMYFUNCTION("""COMPUTED_VALUE"""),56.51)</f>
        <v>56.51</v>
      </c>
      <c r="E2766" s="17"/>
      <c r="N2766" s="17"/>
      <c r="Q2766" s="17"/>
    </row>
    <row r="2767">
      <c r="B2767" s="11">
        <f>IFERROR(__xludf.DUMMYFUNCTION("""COMPUTED_VALUE"""),42004.66666666667)</f>
        <v>42004.66667</v>
      </c>
      <c r="C2767" s="9">
        <f>IFERROR(__xludf.DUMMYFUNCTION("""COMPUTED_VALUE"""),56.58)</f>
        <v>56.58</v>
      </c>
      <c r="E2767" s="17"/>
      <c r="N2767" s="17"/>
      <c r="Q2767" s="17"/>
    </row>
    <row r="2768">
      <c r="B2768" s="11">
        <f>IFERROR(__xludf.DUMMYFUNCTION("""COMPUTED_VALUE"""),42003.66666666667)</f>
        <v>42003.66667</v>
      </c>
      <c r="C2768" s="9">
        <f>IFERROR(__xludf.DUMMYFUNCTION("""COMPUTED_VALUE"""),57.15)</f>
        <v>57.15</v>
      </c>
      <c r="E2768" s="17"/>
      <c r="N2768" s="17"/>
      <c r="Q2768" s="17"/>
    </row>
    <row r="2769">
      <c r="B2769" s="11">
        <f>IFERROR(__xludf.DUMMYFUNCTION("""COMPUTED_VALUE"""),42002.66666666667)</f>
        <v>42002.66667</v>
      </c>
      <c r="C2769" s="9">
        <f>IFERROR(__xludf.DUMMYFUNCTION("""COMPUTED_VALUE"""),57.49)</f>
        <v>57.49</v>
      </c>
      <c r="E2769" s="17"/>
      <c r="N2769" s="17"/>
      <c r="Q2769" s="17"/>
    </row>
    <row r="2770">
      <c r="B2770" s="11">
        <f>IFERROR(__xludf.DUMMYFUNCTION("""COMPUTED_VALUE"""),41999.66666666667)</f>
        <v>41999.66667</v>
      </c>
      <c r="C2770" s="9">
        <f>IFERROR(__xludf.DUMMYFUNCTION("""COMPUTED_VALUE"""),57.4)</f>
        <v>57.4</v>
      </c>
      <c r="E2770" s="17"/>
      <c r="N2770" s="17"/>
      <c r="Q2770" s="17"/>
    </row>
    <row r="2771">
      <c r="B2771" s="11">
        <f>IFERROR(__xludf.DUMMYFUNCTION("""COMPUTED_VALUE"""),41997.66666666667)</f>
        <v>41997.66667</v>
      </c>
      <c r="C2771" s="9">
        <f>IFERROR(__xludf.DUMMYFUNCTION("""COMPUTED_VALUE"""),57.4)</f>
        <v>57.4</v>
      </c>
      <c r="E2771" s="17"/>
      <c r="N2771" s="17"/>
      <c r="Q2771" s="17"/>
    </row>
    <row r="2772">
      <c r="B2772" s="11">
        <f>IFERROR(__xludf.DUMMYFUNCTION("""COMPUTED_VALUE"""),41996.66666666667)</f>
        <v>41996.66667</v>
      </c>
      <c r="C2772" s="9">
        <f>IFERROR(__xludf.DUMMYFUNCTION("""COMPUTED_VALUE"""),57.34)</f>
        <v>57.34</v>
      </c>
      <c r="E2772" s="17"/>
      <c r="N2772" s="17"/>
      <c r="Q2772" s="17"/>
    </row>
    <row r="2773">
      <c r="B2773" s="11">
        <f>IFERROR(__xludf.DUMMYFUNCTION("""COMPUTED_VALUE"""),41995.66666666667)</f>
        <v>41995.66667</v>
      </c>
      <c r="C2773" s="9">
        <f>IFERROR(__xludf.DUMMYFUNCTION("""COMPUTED_VALUE"""),57.13)</f>
        <v>57.13</v>
      </c>
      <c r="E2773" s="17"/>
      <c r="N2773" s="17"/>
      <c r="Q2773" s="17"/>
    </row>
    <row r="2774">
      <c r="B2774" s="11">
        <f>IFERROR(__xludf.DUMMYFUNCTION("""COMPUTED_VALUE"""),41992.66666666667)</f>
        <v>41992.66667</v>
      </c>
      <c r="C2774" s="9">
        <f>IFERROR(__xludf.DUMMYFUNCTION("""COMPUTED_VALUE"""),56.59)</f>
        <v>56.59</v>
      </c>
      <c r="E2774" s="17"/>
      <c r="N2774" s="17"/>
      <c r="Q2774" s="17"/>
    </row>
    <row r="2775">
      <c r="B2775" s="11">
        <f>IFERROR(__xludf.DUMMYFUNCTION("""COMPUTED_VALUE"""),41991.66666666667)</f>
        <v>41991.66667</v>
      </c>
      <c r="C2775" s="9">
        <f>IFERROR(__xludf.DUMMYFUNCTION("""COMPUTED_VALUE"""),56.59)</f>
        <v>56.59</v>
      </c>
      <c r="E2775" s="17"/>
      <c r="N2775" s="17"/>
      <c r="Q2775" s="17"/>
    </row>
    <row r="2776">
      <c r="B2776" s="11">
        <f>IFERROR(__xludf.DUMMYFUNCTION("""COMPUTED_VALUE"""),41990.66666666667)</f>
        <v>41990.66667</v>
      </c>
      <c r="C2776" s="9">
        <f>IFERROR(__xludf.DUMMYFUNCTION("""COMPUTED_VALUE"""),55.2)</f>
        <v>55.2</v>
      </c>
      <c r="E2776" s="17"/>
      <c r="N2776" s="17"/>
      <c r="Q2776" s="17"/>
    </row>
    <row r="2777">
      <c r="B2777" s="11">
        <f>IFERROR(__xludf.DUMMYFUNCTION("""COMPUTED_VALUE"""),41989.66666666667)</f>
        <v>41989.66667</v>
      </c>
      <c r="C2777" s="9">
        <f>IFERROR(__xludf.DUMMYFUNCTION("""COMPUTED_VALUE"""),54.69)</f>
        <v>54.69</v>
      </c>
      <c r="E2777" s="17"/>
      <c r="N2777" s="17"/>
      <c r="Q2777" s="17"/>
    </row>
    <row r="2778">
      <c r="B2778" s="11">
        <f>IFERROR(__xludf.DUMMYFUNCTION("""COMPUTED_VALUE"""),41988.66666666667)</f>
        <v>41988.66667</v>
      </c>
      <c r="C2778" s="9">
        <f>IFERROR(__xludf.DUMMYFUNCTION("""COMPUTED_VALUE"""),54.64)</f>
        <v>54.64</v>
      </c>
      <c r="E2778" s="17"/>
      <c r="N2778" s="17"/>
      <c r="Q2778" s="17"/>
    </row>
    <row r="2779">
      <c r="B2779" s="11">
        <f>IFERROR(__xludf.DUMMYFUNCTION("""COMPUTED_VALUE"""),41985.66666666667)</f>
        <v>41985.66667</v>
      </c>
      <c r="C2779" s="9">
        <f>IFERROR(__xludf.DUMMYFUNCTION("""COMPUTED_VALUE"""),54.82)</f>
        <v>54.82</v>
      </c>
      <c r="E2779" s="17"/>
      <c r="N2779" s="17"/>
      <c r="Q2779" s="17"/>
    </row>
    <row r="2780">
      <c r="B2780" s="11">
        <f>IFERROR(__xludf.DUMMYFUNCTION("""COMPUTED_VALUE"""),41984.66666666667)</f>
        <v>41984.66667</v>
      </c>
      <c r="C2780" s="9">
        <f>IFERROR(__xludf.DUMMYFUNCTION("""COMPUTED_VALUE"""),55.83)</f>
        <v>55.83</v>
      </c>
      <c r="E2780" s="17"/>
      <c r="N2780" s="17"/>
      <c r="Q2780" s="17"/>
    </row>
    <row r="2781">
      <c r="B2781" s="11">
        <f>IFERROR(__xludf.DUMMYFUNCTION("""COMPUTED_VALUE"""),41983.66666666667)</f>
        <v>41983.66667</v>
      </c>
      <c r="C2781" s="9">
        <f>IFERROR(__xludf.DUMMYFUNCTION("""COMPUTED_VALUE"""),55.56)</f>
        <v>55.56</v>
      </c>
      <c r="E2781" s="17"/>
      <c r="N2781" s="17"/>
      <c r="Q2781" s="17"/>
    </row>
    <row r="2782">
      <c r="B2782" s="11">
        <f>IFERROR(__xludf.DUMMYFUNCTION("""COMPUTED_VALUE"""),41982.66666666667)</f>
        <v>41982.66667</v>
      </c>
      <c r="C2782" s="9">
        <f>IFERROR(__xludf.DUMMYFUNCTION("""COMPUTED_VALUE"""),56.64)</f>
        <v>56.64</v>
      </c>
      <c r="E2782" s="17"/>
      <c r="N2782" s="17"/>
      <c r="Q2782" s="17"/>
    </row>
    <row r="2783">
      <c r="B2783" s="11">
        <f>IFERROR(__xludf.DUMMYFUNCTION("""COMPUTED_VALUE"""),41981.66666666667)</f>
        <v>41981.66667</v>
      </c>
      <c r="C2783" s="9">
        <f>IFERROR(__xludf.DUMMYFUNCTION("""COMPUTED_VALUE"""),56.63)</f>
        <v>56.63</v>
      </c>
      <c r="E2783" s="17"/>
      <c r="N2783" s="17"/>
      <c r="Q2783" s="17"/>
    </row>
    <row r="2784">
      <c r="B2784" s="11">
        <f>IFERROR(__xludf.DUMMYFUNCTION("""COMPUTED_VALUE"""),41978.66666666667)</f>
        <v>41978.66667</v>
      </c>
      <c r="C2784" s="9">
        <f>IFERROR(__xludf.DUMMYFUNCTION("""COMPUTED_VALUE"""),57.26)</f>
        <v>57.26</v>
      </c>
      <c r="E2784" s="17"/>
      <c r="N2784" s="17"/>
      <c r="Q2784" s="17"/>
    </row>
    <row r="2785">
      <c r="B2785" s="11">
        <f>IFERROR(__xludf.DUMMYFUNCTION("""COMPUTED_VALUE"""),41977.66666666667)</f>
        <v>41977.66667</v>
      </c>
      <c r="C2785" s="9">
        <f>IFERROR(__xludf.DUMMYFUNCTION("""COMPUTED_VALUE"""),57.13)</f>
        <v>57.13</v>
      </c>
      <c r="E2785" s="17"/>
      <c r="N2785" s="17"/>
      <c r="Q2785" s="17"/>
    </row>
    <row r="2786">
      <c r="B2786" s="11">
        <f>IFERROR(__xludf.DUMMYFUNCTION("""COMPUTED_VALUE"""),41976.66666666667)</f>
        <v>41976.66667</v>
      </c>
      <c r="C2786" s="9">
        <f>IFERROR(__xludf.DUMMYFUNCTION("""COMPUTED_VALUE"""),57.42)</f>
        <v>57.42</v>
      </c>
      <c r="E2786" s="17"/>
      <c r="N2786" s="17"/>
      <c r="Q2786" s="17"/>
    </row>
    <row r="2787">
      <c r="B2787" s="11">
        <f>IFERROR(__xludf.DUMMYFUNCTION("""COMPUTED_VALUE"""),41975.66666666667)</f>
        <v>41975.66667</v>
      </c>
      <c r="C2787" s="9">
        <f>IFERROR(__xludf.DUMMYFUNCTION("""COMPUTED_VALUE"""),56.66)</f>
        <v>56.66</v>
      </c>
      <c r="E2787" s="17"/>
      <c r="N2787" s="17"/>
      <c r="Q2787" s="17"/>
    </row>
    <row r="2788">
      <c r="B2788" s="11">
        <f>IFERROR(__xludf.DUMMYFUNCTION("""COMPUTED_VALUE"""),41974.66666666667)</f>
        <v>41974.66667</v>
      </c>
      <c r="C2788" s="9">
        <f>IFERROR(__xludf.DUMMYFUNCTION("""COMPUTED_VALUE"""),56.18)</f>
        <v>56.18</v>
      </c>
      <c r="E2788" s="17"/>
      <c r="N2788" s="17"/>
      <c r="Q2788" s="17"/>
    </row>
    <row r="2789">
      <c r="B2789" s="11">
        <f>IFERROR(__xludf.DUMMYFUNCTION("""COMPUTED_VALUE"""),41971.66666666667)</f>
        <v>41971.66667</v>
      </c>
      <c r="C2789" s="9">
        <f>IFERROR(__xludf.DUMMYFUNCTION("""COMPUTED_VALUE"""),56.91)</f>
        <v>56.91</v>
      </c>
      <c r="E2789" s="17"/>
      <c r="N2789" s="17"/>
      <c r="Q2789" s="17"/>
    </row>
    <row r="2790">
      <c r="B2790" s="11">
        <f>IFERROR(__xludf.DUMMYFUNCTION("""COMPUTED_VALUE"""),41969.66666666667)</f>
        <v>41969.66667</v>
      </c>
      <c r="C2790" s="9">
        <f>IFERROR(__xludf.DUMMYFUNCTION("""COMPUTED_VALUE"""),57.39)</f>
        <v>57.39</v>
      </c>
      <c r="E2790" s="17"/>
      <c r="N2790" s="17"/>
      <c r="Q2790" s="17"/>
    </row>
    <row r="2791">
      <c r="B2791" s="11">
        <f>IFERROR(__xludf.DUMMYFUNCTION("""COMPUTED_VALUE"""),41968.66666666667)</f>
        <v>41968.66667</v>
      </c>
      <c r="C2791" s="9">
        <f>IFERROR(__xludf.DUMMYFUNCTION("""COMPUTED_VALUE"""),57.5)</f>
        <v>57.5</v>
      </c>
      <c r="E2791" s="17"/>
      <c r="N2791" s="17"/>
      <c r="Q2791" s="17"/>
    </row>
    <row r="2792">
      <c r="B2792" s="11">
        <f>IFERROR(__xludf.DUMMYFUNCTION("""COMPUTED_VALUE"""),41967.66666666667)</f>
        <v>41967.66667</v>
      </c>
      <c r="C2792" s="9">
        <f>IFERROR(__xludf.DUMMYFUNCTION("""COMPUTED_VALUE"""),57.33)</f>
        <v>57.33</v>
      </c>
      <c r="E2792" s="17"/>
      <c r="N2792" s="17"/>
      <c r="Q2792" s="17"/>
    </row>
    <row r="2793">
      <c r="B2793" s="11">
        <f>IFERROR(__xludf.DUMMYFUNCTION("""COMPUTED_VALUE"""),41964.66666666667)</f>
        <v>41964.66667</v>
      </c>
      <c r="C2793" s="9">
        <f>IFERROR(__xludf.DUMMYFUNCTION("""COMPUTED_VALUE"""),57.18)</f>
        <v>57.18</v>
      </c>
      <c r="E2793" s="17"/>
      <c r="N2793" s="17"/>
      <c r="Q2793" s="17"/>
    </row>
    <row r="2794">
      <c r="B2794" s="11">
        <f>IFERROR(__xludf.DUMMYFUNCTION("""COMPUTED_VALUE"""),41963.66666666667)</f>
        <v>41963.66667</v>
      </c>
      <c r="C2794" s="9">
        <f>IFERROR(__xludf.DUMMYFUNCTION("""COMPUTED_VALUE"""),56.63)</f>
        <v>56.63</v>
      </c>
      <c r="E2794" s="17"/>
      <c r="N2794" s="17"/>
      <c r="Q2794" s="17"/>
    </row>
    <row r="2795">
      <c r="B2795" s="11">
        <f>IFERROR(__xludf.DUMMYFUNCTION("""COMPUTED_VALUE"""),41962.66666666667)</f>
        <v>41962.66667</v>
      </c>
      <c r="C2795" s="9">
        <f>IFERROR(__xludf.DUMMYFUNCTION("""COMPUTED_VALUE"""),56.48)</f>
        <v>56.48</v>
      </c>
      <c r="E2795" s="17"/>
      <c r="N2795" s="17"/>
      <c r="Q2795" s="17"/>
    </row>
    <row r="2796">
      <c r="B2796" s="11">
        <f>IFERROR(__xludf.DUMMYFUNCTION("""COMPUTED_VALUE"""),41961.66666666667)</f>
        <v>41961.66667</v>
      </c>
      <c r="C2796" s="9">
        <f>IFERROR(__xludf.DUMMYFUNCTION("""COMPUTED_VALUE"""),56.65)</f>
        <v>56.65</v>
      </c>
      <c r="E2796" s="17"/>
      <c r="N2796" s="17"/>
      <c r="Q2796" s="17"/>
    </row>
    <row r="2797">
      <c r="B2797" s="11">
        <f>IFERROR(__xludf.DUMMYFUNCTION("""COMPUTED_VALUE"""),41960.66666666667)</f>
        <v>41960.66667</v>
      </c>
      <c r="C2797" s="9">
        <f>IFERROR(__xludf.DUMMYFUNCTION("""COMPUTED_VALUE"""),56.23)</f>
        <v>56.23</v>
      </c>
      <c r="E2797" s="17"/>
      <c r="N2797" s="17"/>
      <c r="Q2797" s="17"/>
    </row>
    <row r="2798">
      <c r="B2798" s="11">
        <f>IFERROR(__xludf.DUMMYFUNCTION("""COMPUTED_VALUE"""),41957.66666666667)</f>
        <v>41957.66667</v>
      </c>
      <c r="C2798" s="9">
        <f>IFERROR(__xludf.DUMMYFUNCTION("""COMPUTED_VALUE"""),56.31)</f>
        <v>56.31</v>
      </c>
      <c r="E2798" s="17"/>
      <c r="N2798" s="17"/>
      <c r="Q2798" s="17"/>
    </row>
    <row r="2799">
      <c r="B2799" s="11">
        <f>IFERROR(__xludf.DUMMYFUNCTION("""COMPUTED_VALUE"""),41956.66666666667)</f>
        <v>41956.66667</v>
      </c>
      <c r="C2799" s="9">
        <f>IFERROR(__xludf.DUMMYFUNCTION("""COMPUTED_VALUE"""),56.24)</f>
        <v>56.24</v>
      </c>
      <c r="E2799" s="17"/>
      <c r="N2799" s="17"/>
      <c r="Q2799" s="17"/>
    </row>
    <row r="2800">
      <c r="B2800" s="11">
        <f>IFERROR(__xludf.DUMMYFUNCTION("""COMPUTED_VALUE"""),41955.66666666667)</f>
        <v>41955.66667</v>
      </c>
      <c r="C2800" s="9">
        <f>IFERROR(__xludf.DUMMYFUNCTION("""COMPUTED_VALUE"""),56.4)</f>
        <v>56.4</v>
      </c>
      <c r="E2800" s="17"/>
      <c r="N2800" s="17"/>
      <c r="Q2800" s="17"/>
    </row>
    <row r="2801">
      <c r="B2801" s="11">
        <f>IFERROR(__xludf.DUMMYFUNCTION("""COMPUTED_VALUE"""),41954.66666666667)</f>
        <v>41954.66667</v>
      </c>
      <c r="C2801" s="9">
        <f>IFERROR(__xludf.DUMMYFUNCTION("""COMPUTED_VALUE"""),56.32)</f>
        <v>56.32</v>
      </c>
      <c r="E2801" s="17"/>
      <c r="N2801" s="17"/>
      <c r="Q2801" s="17"/>
    </row>
    <row r="2802">
      <c r="B2802" s="11">
        <f>IFERROR(__xludf.DUMMYFUNCTION("""COMPUTED_VALUE"""),41953.66666666667)</f>
        <v>41953.66667</v>
      </c>
      <c r="C2802" s="9">
        <f>IFERROR(__xludf.DUMMYFUNCTION("""COMPUTED_VALUE"""),56.39)</f>
        <v>56.39</v>
      </c>
      <c r="E2802" s="17"/>
      <c r="N2802" s="17"/>
      <c r="Q2802" s="17"/>
    </row>
    <row r="2803">
      <c r="B2803" s="11">
        <f>IFERROR(__xludf.DUMMYFUNCTION("""COMPUTED_VALUE"""),41950.666666666664)</f>
        <v>41950.66667</v>
      </c>
      <c r="C2803" s="9">
        <f>IFERROR(__xludf.DUMMYFUNCTION("""COMPUTED_VALUE"""),56.11)</f>
        <v>56.11</v>
      </c>
      <c r="E2803" s="17"/>
      <c r="N2803" s="17"/>
      <c r="Q2803" s="17"/>
    </row>
    <row r="2804">
      <c r="B2804" s="11">
        <f>IFERROR(__xludf.DUMMYFUNCTION("""COMPUTED_VALUE"""),41949.666666666664)</f>
        <v>41949.66667</v>
      </c>
      <c r="C2804" s="9">
        <f>IFERROR(__xludf.DUMMYFUNCTION("""COMPUTED_VALUE"""),56.03)</f>
        <v>56.03</v>
      </c>
      <c r="E2804" s="17"/>
      <c r="N2804" s="17"/>
      <c r="Q2804" s="17"/>
    </row>
    <row r="2805">
      <c r="B2805" s="11">
        <f>IFERROR(__xludf.DUMMYFUNCTION("""COMPUTED_VALUE"""),41948.666666666664)</f>
        <v>41948.66667</v>
      </c>
      <c r="C2805" s="9">
        <f>IFERROR(__xludf.DUMMYFUNCTION("""COMPUTED_VALUE"""),55.45)</f>
        <v>55.45</v>
      </c>
      <c r="E2805" s="17"/>
      <c r="N2805" s="17"/>
      <c r="Q2805" s="17"/>
    </row>
    <row r="2806">
      <c r="B2806" s="11">
        <f>IFERROR(__xludf.DUMMYFUNCTION("""COMPUTED_VALUE"""),41947.666666666664)</f>
        <v>41947.66667</v>
      </c>
      <c r="C2806" s="9">
        <f>IFERROR(__xludf.DUMMYFUNCTION("""COMPUTED_VALUE"""),55.11)</f>
        <v>55.11</v>
      </c>
      <c r="E2806" s="17"/>
      <c r="N2806" s="17"/>
      <c r="Q2806" s="17"/>
    </row>
    <row r="2807">
      <c r="B2807" s="11">
        <f>IFERROR(__xludf.DUMMYFUNCTION("""COMPUTED_VALUE"""),41946.666666666664)</f>
        <v>41946.66667</v>
      </c>
      <c r="C2807" s="9">
        <f>IFERROR(__xludf.DUMMYFUNCTION("""COMPUTED_VALUE"""),55.14)</f>
        <v>55.14</v>
      </c>
      <c r="E2807" s="17"/>
      <c r="N2807" s="17"/>
      <c r="Q2807" s="17"/>
    </row>
    <row r="2808">
      <c r="B2808" s="11">
        <f>IFERROR(__xludf.DUMMYFUNCTION("""COMPUTED_VALUE"""),41943.666666666664)</f>
        <v>41943.66667</v>
      </c>
      <c r="C2808" s="9">
        <f>IFERROR(__xludf.DUMMYFUNCTION("""COMPUTED_VALUE"""),55.21)</f>
        <v>55.21</v>
      </c>
      <c r="E2808" s="17"/>
      <c r="N2808" s="17"/>
      <c r="Q2808" s="17"/>
    </row>
    <row r="2809">
      <c r="B2809" s="11">
        <f>IFERROR(__xludf.DUMMYFUNCTION("""COMPUTED_VALUE"""),41942.666666666664)</f>
        <v>41942.66667</v>
      </c>
      <c r="C2809" s="9">
        <f>IFERROR(__xludf.DUMMYFUNCTION("""COMPUTED_VALUE"""),54.67)</f>
        <v>54.67</v>
      </c>
      <c r="E2809" s="17"/>
      <c r="N2809" s="17"/>
      <c r="Q2809" s="17"/>
    </row>
    <row r="2810">
      <c r="B2810" s="11">
        <f>IFERROR(__xludf.DUMMYFUNCTION("""COMPUTED_VALUE"""),41941.666666666664)</f>
        <v>41941.66667</v>
      </c>
      <c r="C2810" s="9">
        <f>IFERROR(__xludf.DUMMYFUNCTION("""COMPUTED_VALUE"""),54.45)</f>
        <v>54.45</v>
      </c>
      <c r="E2810" s="17"/>
      <c r="N2810" s="17"/>
      <c r="Q2810" s="17"/>
    </row>
    <row r="2811">
      <c r="B2811" s="11">
        <f>IFERROR(__xludf.DUMMYFUNCTION("""COMPUTED_VALUE"""),41940.666666666664)</f>
        <v>41940.66667</v>
      </c>
      <c r="C2811" s="9">
        <f>IFERROR(__xludf.DUMMYFUNCTION("""COMPUTED_VALUE"""),54.64)</f>
        <v>54.64</v>
      </c>
      <c r="E2811" s="17"/>
      <c r="N2811" s="17"/>
      <c r="Q2811" s="17"/>
    </row>
    <row r="2812">
      <c r="B2812" s="11">
        <f>IFERROR(__xludf.DUMMYFUNCTION("""COMPUTED_VALUE"""),41939.666666666664)</f>
        <v>41939.66667</v>
      </c>
      <c r="C2812" s="9">
        <f>IFERROR(__xludf.DUMMYFUNCTION("""COMPUTED_VALUE"""),53.69)</f>
        <v>53.69</v>
      </c>
      <c r="E2812" s="17"/>
      <c r="N2812" s="17"/>
      <c r="Q2812" s="17"/>
    </row>
    <row r="2813">
      <c r="B2813" s="11">
        <f>IFERROR(__xludf.DUMMYFUNCTION("""COMPUTED_VALUE"""),41936.666666666664)</f>
        <v>41936.66667</v>
      </c>
      <c r="C2813" s="9">
        <f>IFERROR(__xludf.DUMMYFUNCTION("""COMPUTED_VALUE"""),53.71)</f>
        <v>53.71</v>
      </c>
      <c r="E2813" s="17"/>
      <c r="N2813" s="17"/>
      <c r="Q2813" s="17"/>
    </row>
    <row r="2814">
      <c r="B2814" s="11">
        <f>IFERROR(__xludf.DUMMYFUNCTION("""COMPUTED_VALUE"""),41935.666666666664)</f>
        <v>41935.66667</v>
      </c>
      <c r="C2814" s="9">
        <f>IFERROR(__xludf.DUMMYFUNCTION("""COMPUTED_VALUE"""),53.24)</f>
        <v>53.24</v>
      </c>
      <c r="E2814" s="17"/>
      <c r="N2814" s="17"/>
      <c r="Q2814" s="17"/>
    </row>
    <row r="2815">
      <c r="B2815" s="11">
        <f>IFERROR(__xludf.DUMMYFUNCTION("""COMPUTED_VALUE"""),41934.666666666664)</f>
        <v>41934.66667</v>
      </c>
      <c r="C2815" s="9">
        <f>IFERROR(__xludf.DUMMYFUNCTION("""COMPUTED_VALUE"""),52.09)</f>
        <v>52.09</v>
      </c>
      <c r="E2815" s="17"/>
      <c r="N2815" s="17"/>
      <c r="Q2815" s="17"/>
    </row>
    <row r="2816">
      <c r="B2816" s="11">
        <f>IFERROR(__xludf.DUMMYFUNCTION("""COMPUTED_VALUE"""),41933.666666666664)</f>
        <v>41933.66667</v>
      </c>
      <c r="C2816" s="9">
        <f>IFERROR(__xludf.DUMMYFUNCTION("""COMPUTED_VALUE"""),52.78)</f>
        <v>52.78</v>
      </c>
      <c r="E2816" s="17"/>
      <c r="N2816" s="17"/>
      <c r="Q2816" s="17"/>
    </row>
    <row r="2817">
      <c r="B2817" s="11">
        <f>IFERROR(__xludf.DUMMYFUNCTION("""COMPUTED_VALUE"""),41932.666666666664)</f>
        <v>41932.66667</v>
      </c>
      <c r="C2817" s="9">
        <f>IFERROR(__xludf.DUMMYFUNCTION("""COMPUTED_VALUE"""),51.63)</f>
        <v>51.63</v>
      </c>
      <c r="E2817" s="17"/>
      <c r="N2817" s="17"/>
      <c r="Q2817" s="17"/>
    </row>
    <row r="2818">
      <c r="B2818" s="11">
        <f>IFERROR(__xludf.DUMMYFUNCTION("""COMPUTED_VALUE"""),41929.666666666664)</f>
        <v>41929.66667</v>
      </c>
      <c r="C2818" s="9">
        <f>IFERROR(__xludf.DUMMYFUNCTION("""COMPUTED_VALUE"""),51.48)</f>
        <v>51.48</v>
      </c>
      <c r="E2818" s="17"/>
      <c r="N2818" s="17"/>
      <c r="Q2818" s="17"/>
    </row>
    <row r="2819">
      <c r="B2819" s="11">
        <f>IFERROR(__xludf.DUMMYFUNCTION("""COMPUTED_VALUE"""),41928.666666666664)</f>
        <v>41928.66667</v>
      </c>
      <c r="C2819" s="9">
        <f>IFERROR(__xludf.DUMMYFUNCTION("""COMPUTED_VALUE"""),50.48)</f>
        <v>50.48</v>
      </c>
      <c r="E2819" s="17"/>
      <c r="N2819" s="17"/>
      <c r="Q2819" s="17"/>
    </row>
    <row r="2820">
      <c r="B2820" s="11">
        <f>IFERROR(__xludf.DUMMYFUNCTION("""COMPUTED_VALUE"""),41927.666666666664)</f>
        <v>41927.66667</v>
      </c>
      <c r="C2820" s="9">
        <f>IFERROR(__xludf.DUMMYFUNCTION("""COMPUTED_VALUE"""),50.11)</f>
        <v>50.11</v>
      </c>
      <c r="E2820" s="17"/>
      <c r="N2820" s="17"/>
      <c r="Q2820" s="17"/>
    </row>
    <row r="2821">
      <c r="B2821" s="11">
        <f>IFERROR(__xludf.DUMMYFUNCTION("""COMPUTED_VALUE"""),41926.666666666664)</f>
        <v>41926.66667</v>
      </c>
      <c r="C2821" s="9">
        <f>IFERROR(__xludf.DUMMYFUNCTION("""COMPUTED_VALUE"""),50.23)</f>
        <v>50.23</v>
      </c>
      <c r="E2821" s="17"/>
      <c r="N2821" s="17"/>
      <c r="Q2821" s="17"/>
    </row>
    <row r="2822">
      <c r="B2822" s="11">
        <f>IFERROR(__xludf.DUMMYFUNCTION("""COMPUTED_VALUE"""),41925.666666666664)</f>
        <v>41925.66667</v>
      </c>
      <c r="C2822" s="9">
        <f>IFERROR(__xludf.DUMMYFUNCTION("""COMPUTED_VALUE"""),49.54)</f>
        <v>49.54</v>
      </c>
      <c r="E2822" s="17"/>
      <c r="N2822" s="17"/>
      <c r="Q2822" s="17"/>
    </row>
    <row r="2823">
      <c r="B2823" s="11">
        <f>IFERROR(__xludf.DUMMYFUNCTION("""COMPUTED_VALUE"""),41922.666666666664)</f>
        <v>41922.66667</v>
      </c>
      <c r="C2823" s="9">
        <f>IFERROR(__xludf.DUMMYFUNCTION("""COMPUTED_VALUE"""),50.32)</f>
        <v>50.32</v>
      </c>
      <c r="E2823" s="17"/>
      <c r="N2823" s="17"/>
      <c r="Q2823" s="17"/>
    </row>
    <row r="2824">
      <c r="B2824" s="11">
        <f>IFERROR(__xludf.DUMMYFUNCTION("""COMPUTED_VALUE"""),41921.666666666664)</f>
        <v>41921.66667</v>
      </c>
      <c r="C2824" s="9">
        <f>IFERROR(__xludf.DUMMYFUNCTION("""COMPUTED_VALUE"""),51.07)</f>
        <v>51.07</v>
      </c>
      <c r="E2824" s="17"/>
      <c r="N2824" s="17"/>
      <c r="Q2824" s="17"/>
    </row>
    <row r="2825">
      <c r="B2825" s="11">
        <f>IFERROR(__xludf.DUMMYFUNCTION("""COMPUTED_VALUE"""),41920.666666666664)</f>
        <v>41920.66667</v>
      </c>
      <c r="C2825" s="9">
        <f>IFERROR(__xludf.DUMMYFUNCTION("""COMPUTED_VALUE"""),52.28)</f>
        <v>52.28</v>
      </c>
      <c r="E2825" s="17"/>
      <c r="N2825" s="17"/>
      <c r="Q2825" s="17"/>
    </row>
    <row r="2826">
      <c r="B2826" s="11">
        <f>IFERROR(__xludf.DUMMYFUNCTION("""COMPUTED_VALUE"""),41919.666666666664)</f>
        <v>41919.66667</v>
      </c>
      <c r="C2826" s="9">
        <f>IFERROR(__xludf.DUMMYFUNCTION("""COMPUTED_VALUE"""),51.36)</f>
        <v>51.36</v>
      </c>
      <c r="E2826" s="17"/>
      <c r="N2826" s="17"/>
      <c r="Q2826" s="17"/>
    </row>
    <row r="2827">
      <c r="B2827" s="11">
        <f>IFERROR(__xludf.DUMMYFUNCTION("""COMPUTED_VALUE"""),41918.666666666664)</f>
        <v>41918.66667</v>
      </c>
      <c r="C2827" s="9">
        <f>IFERROR(__xludf.DUMMYFUNCTION("""COMPUTED_VALUE"""),52.64)</f>
        <v>52.64</v>
      </c>
      <c r="E2827" s="17"/>
      <c r="N2827" s="17"/>
      <c r="Q2827" s="17"/>
    </row>
    <row r="2828">
      <c r="B2828" s="11">
        <f>IFERROR(__xludf.DUMMYFUNCTION("""COMPUTED_VALUE"""),41915.666666666664)</f>
        <v>41915.66667</v>
      </c>
      <c r="C2828" s="9">
        <f>IFERROR(__xludf.DUMMYFUNCTION("""COMPUTED_VALUE"""),52.8)</f>
        <v>52.8</v>
      </c>
      <c r="E2828" s="17"/>
      <c r="N2828" s="17"/>
      <c r="Q2828" s="17"/>
    </row>
    <row r="2829">
      <c r="B2829" s="11">
        <f>IFERROR(__xludf.DUMMYFUNCTION("""COMPUTED_VALUE"""),41914.666666666664)</f>
        <v>41914.66667</v>
      </c>
      <c r="C2829" s="9">
        <f>IFERROR(__xludf.DUMMYFUNCTION("""COMPUTED_VALUE"""),52.09)</f>
        <v>52.09</v>
      </c>
      <c r="E2829" s="17"/>
      <c r="N2829" s="17"/>
      <c r="Q2829" s="17"/>
    </row>
    <row r="2830">
      <c r="B2830" s="11">
        <f>IFERROR(__xludf.DUMMYFUNCTION("""COMPUTED_VALUE"""),41913.666666666664)</f>
        <v>41913.66667</v>
      </c>
      <c r="C2830" s="9">
        <f>IFERROR(__xludf.DUMMYFUNCTION("""COMPUTED_VALUE"""),52.15)</f>
        <v>52.15</v>
      </c>
      <c r="E2830" s="17"/>
      <c r="N2830" s="17"/>
      <c r="Q2830" s="17"/>
    </row>
    <row r="2831">
      <c r="B2831" s="11">
        <f>IFERROR(__xludf.DUMMYFUNCTION("""COMPUTED_VALUE"""),41912.666666666664)</f>
        <v>41912.66667</v>
      </c>
      <c r="C2831" s="9">
        <f>IFERROR(__xludf.DUMMYFUNCTION("""COMPUTED_VALUE"""),53.15)</f>
        <v>53.15</v>
      </c>
      <c r="E2831" s="17"/>
      <c r="N2831" s="17"/>
      <c r="Q2831" s="17"/>
    </row>
    <row r="2832">
      <c r="B2832" s="11">
        <f>IFERROR(__xludf.DUMMYFUNCTION("""COMPUTED_VALUE"""),41911.666666666664)</f>
        <v>41911.66667</v>
      </c>
      <c r="C2832" s="9">
        <f>IFERROR(__xludf.DUMMYFUNCTION("""COMPUTED_VALUE"""),53.23)</f>
        <v>53.23</v>
      </c>
      <c r="E2832" s="17"/>
      <c r="N2832" s="17"/>
      <c r="Q2832" s="17"/>
    </row>
    <row r="2833">
      <c r="B2833" s="11">
        <f>IFERROR(__xludf.DUMMYFUNCTION("""COMPUTED_VALUE"""),41908.666666666664)</f>
        <v>41908.66667</v>
      </c>
      <c r="C2833" s="9">
        <f>IFERROR(__xludf.DUMMYFUNCTION("""COMPUTED_VALUE"""),53.31)</f>
        <v>53.31</v>
      </c>
      <c r="E2833" s="17"/>
      <c r="N2833" s="17"/>
      <c r="Q2833" s="17"/>
    </row>
    <row r="2834">
      <c r="B2834" s="11">
        <f>IFERROR(__xludf.DUMMYFUNCTION("""COMPUTED_VALUE"""),41907.666666666664)</f>
        <v>41907.66667</v>
      </c>
      <c r="C2834" s="9">
        <f>IFERROR(__xludf.DUMMYFUNCTION("""COMPUTED_VALUE"""),52.82)</f>
        <v>52.82</v>
      </c>
      <c r="E2834" s="17"/>
      <c r="N2834" s="17"/>
      <c r="Q2834" s="17"/>
    </row>
    <row r="2835">
      <c r="B2835" s="11">
        <f>IFERROR(__xludf.DUMMYFUNCTION("""COMPUTED_VALUE"""),41906.666666666664)</f>
        <v>41906.66667</v>
      </c>
      <c r="C2835" s="9">
        <f>IFERROR(__xludf.DUMMYFUNCTION("""COMPUTED_VALUE"""),53.66)</f>
        <v>53.66</v>
      </c>
      <c r="E2835" s="17"/>
      <c r="N2835" s="17"/>
      <c r="Q2835" s="17"/>
    </row>
    <row r="2836">
      <c r="B2836" s="11">
        <f>IFERROR(__xludf.DUMMYFUNCTION("""COMPUTED_VALUE"""),41905.666666666664)</f>
        <v>41905.66667</v>
      </c>
      <c r="C2836" s="9">
        <f>IFERROR(__xludf.DUMMYFUNCTION("""COMPUTED_VALUE"""),53.38)</f>
        <v>53.38</v>
      </c>
      <c r="E2836" s="17"/>
      <c r="N2836" s="17"/>
      <c r="Q2836" s="17"/>
    </row>
    <row r="2837">
      <c r="B2837" s="11">
        <f>IFERROR(__xludf.DUMMYFUNCTION("""COMPUTED_VALUE"""),41904.666666666664)</f>
        <v>41904.66667</v>
      </c>
      <c r="C2837" s="9">
        <f>IFERROR(__xludf.DUMMYFUNCTION("""COMPUTED_VALUE"""),53.82)</f>
        <v>53.82</v>
      </c>
      <c r="E2837" s="17"/>
      <c r="N2837" s="17"/>
      <c r="Q2837" s="17"/>
    </row>
    <row r="2838">
      <c r="B2838" s="11">
        <f>IFERROR(__xludf.DUMMYFUNCTION("""COMPUTED_VALUE"""),41901.666666666664)</f>
        <v>41901.66667</v>
      </c>
      <c r="C2838" s="9">
        <f>IFERROR(__xludf.DUMMYFUNCTION("""COMPUTED_VALUE"""),54.43)</f>
        <v>54.43</v>
      </c>
      <c r="E2838" s="17"/>
      <c r="N2838" s="17"/>
      <c r="Q2838" s="17"/>
    </row>
    <row r="2839">
      <c r="B2839" s="11">
        <f>IFERROR(__xludf.DUMMYFUNCTION("""COMPUTED_VALUE"""),41900.666666666664)</f>
        <v>41900.66667</v>
      </c>
      <c r="C2839" s="9">
        <f>IFERROR(__xludf.DUMMYFUNCTION("""COMPUTED_VALUE"""),54.74)</f>
        <v>54.74</v>
      </c>
      <c r="E2839" s="17"/>
      <c r="N2839" s="17"/>
      <c r="Q2839" s="17"/>
    </row>
    <row r="2840">
      <c r="B2840" s="11">
        <f>IFERROR(__xludf.DUMMYFUNCTION("""COMPUTED_VALUE"""),41899.666666666664)</f>
        <v>41899.66667</v>
      </c>
      <c r="C2840" s="9">
        <f>IFERROR(__xludf.DUMMYFUNCTION("""COMPUTED_VALUE"""),54.48)</f>
        <v>54.48</v>
      </c>
      <c r="E2840" s="17"/>
      <c r="N2840" s="17"/>
      <c r="Q2840" s="17"/>
    </row>
    <row r="2841">
      <c r="B2841" s="11">
        <f>IFERROR(__xludf.DUMMYFUNCTION("""COMPUTED_VALUE"""),41898.666666666664)</f>
        <v>41898.66667</v>
      </c>
      <c r="C2841" s="9">
        <f>IFERROR(__xludf.DUMMYFUNCTION("""COMPUTED_VALUE"""),54.27)</f>
        <v>54.27</v>
      </c>
      <c r="E2841" s="17"/>
      <c r="N2841" s="17"/>
      <c r="Q2841" s="17"/>
    </row>
    <row r="2842">
      <c r="B2842" s="11">
        <f>IFERROR(__xludf.DUMMYFUNCTION("""COMPUTED_VALUE"""),41897.666666666664)</f>
        <v>41897.66667</v>
      </c>
      <c r="C2842" s="9">
        <f>IFERROR(__xludf.DUMMYFUNCTION("""COMPUTED_VALUE"""),53.97)</f>
        <v>53.97</v>
      </c>
      <c r="E2842" s="17"/>
      <c r="N2842" s="17"/>
      <c r="Q2842" s="17"/>
    </row>
    <row r="2843">
      <c r="B2843" s="11">
        <f>IFERROR(__xludf.DUMMYFUNCTION("""COMPUTED_VALUE"""),41894.666666666664)</f>
        <v>41894.66667</v>
      </c>
      <c r="C2843" s="9">
        <f>IFERROR(__xludf.DUMMYFUNCTION("""COMPUTED_VALUE"""),53.99)</f>
        <v>53.99</v>
      </c>
      <c r="E2843" s="17"/>
      <c r="N2843" s="17"/>
      <c r="Q2843" s="17"/>
    </row>
    <row r="2844">
      <c r="B2844" s="11">
        <f>IFERROR(__xludf.DUMMYFUNCTION("""COMPUTED_VALUE"""),41893.666666666664)</f>
        <v>41893.66667</v>
      </c>
      <c r="C2844" s="9">
        <f>IFERROR(__xludf.DUMMYFUNCTION("""COMPUTED_VALUE"""),54.17)</f>
        <v>54.17</v>
      </c>
      <c r="E2844" s="17"/>
      <c r="N2844" s="17"/>
      <c r="Q2844" s="17"/>
    </row>
    <row r="2845">
      <c r="B2845" s="11">
        <f>IFERROR(__xludf.DUMMYFUNCTION("""COMPUTED_VALUE"""),41892.666666666664)</f>
        <v>41892.66667</v>
      </c>
      <c r="C2845" s="9">
        <f>IFERROR(__xludf.DUMMYFUNCTION("""COMPUTED_VALUE"""),54.15)</f>
        <v>54.15</v>
      </c>
      <c r="E2845" s="17"/>
      <c r="N2845" s="17"/>
      <c r="Q2845" s="17"/>
    </row>
    <row r="2846">
      <c r="B2846" s="11">
        <f>IFERROR(__xludf.DUMMYFUNCTION("""COMPUTED_VALUE"""),41891.666666666664)</f>
        <v>41891.66667</v>
      </c>
      <c r="C2846" s="9">
        <f>IFERROR(__xludf.DUMMYFUNCTION("""COMPUTED_VALUE"""),54.11)</f>
        <v>54.11</v>
      </c>
      <c r="E2846" s="17"/>
      <c r="N2846" s="17"/>
      <c r="Q2846" s="17"/>
    </row>
    <row r="2847">
      <c r="B2847" s="11">
        <f>IFERROR(__xludf.DUMMYFUNCTION("""COMPUTED_VALUE"""),41890.666666666664)</f>
        <v>41890.66667</v>
      </c>
      <c r="C2847" s="9">
        <f>IFERROR(__xludf.DUMMYFUNCTION("""COMPUTED_VALUE"""),54.28)</f>
        <v>54.28</v>
      </c>
      <c r="E2847" s="17"/>
      <c r="N2847" s="17"/>
      <c r="Q2847" s="17"/>
    </row>
    <row r="2848">
      <c r="B2848" s="11">
        <f>IFERROR(__xludf.DUMMYFUNCTION("""COMPUTED_VALUE"""),41887.666666666664)</f>
        <v>41887.66667</v>
      </c>
      <c r="C2848" s="9">
        <f>IFERROR(__xludf.DUMMYFUNCTION("""COMPUTED_VALUE"""),54.33)</f>
        <v>54.33</v>
      </c>
      <c r="E2848" s="17"/>
      <c r="N2848" s="17"/>
      <c r="Q2848" s="17"/>
    </row>
    <row r="2849">
      <c r="B2849" s="11">
        <f>IFERROR(__xludf.DUMMYFUNCTION("""COMPUTED_VALUE"""),41886.666666666664)</f>
        <v>41886.66667</v>
      </c>
      <c r="C2849" s="9">
        <f>IFERROR(__xludf.DUMMYFUNCTION("""COMPUTED_VALUE"""),54.15)</f>
        <v>54.15</v>
      </c>
      <c r="E2849" s="17"/>
      <c r="N2849" s="17"/>
      <c r="Q2849" s="17"/>
    </row>
    <row r="2850">
      <c r="B2850" s="11">
        <f>IFERROR(__xludf.DUMMYFUNCTION("""COMPUTED_VALUE"""),41885.666666666664)</f>
        <v>41885.66667</v>
      </c>
      <c r="C2850" s="9">
        <f>IFERROR(__xludf.DUMMYFUNCTION("""COMPUTED_VALUE"""),54.13)</f>
        <v>54.13</v>
      </c>
      <c r="E2850" s="17"/>
      <c r="N2850" s="17"/>
      <c r="Q2850" s="17"/>
    </row>
    <row r="2851">
      <c r="B2851" s="11">
        <f>IFERROR(__xludf.DUMMYFUNCTION("""COMPUTED_VALUE"""),41884.666666666664)</f>
        <v>41884.66667</v>
      </c>
      <c r="C2851" s="9">
        <f>IFERROR(__xludf.DUMMYFUNCTION("""COMPUTED_VALUE"""),54.2)</f>
        <v>54.2</v>
      </c>
      <c r="E2851" s="17"/>
      <c r="N2851" s="17"/>
      <c r="Q2851" s="17"/>
    </row>
    <row r="2852">
      <c r="B2852" s="11">
        <f>IFERROR(__xludf.DUMMYFUNCTION("""COMPUTED_VALUE"""),41880.666666666664)</f>
        <v>41880.66667</v>
      </c>
      <c r="C2852" s="9">
        <f>IFERROR(__xludf.DUMMYFUNCTION("""COMPUTED_VALUE"""),54.02)</f>
        <v>54.02</v>
      </c>
      <c r="E2852" s="17"/>
      <c r="N2852" s="17"/>
      <c r="Q2852" s="17"/>
    </row>
    <row r="2853">
      <c r="B2853" s="11">
        <f>IFERROR(__xludf.DUMMYFUNCTION("""COMPUTED_VALUE"""),41879.666666666664)</f>
        <v>41879.66667</v>
      </c>
      <c r="C2853" s="9">
        <f>IFERROR(__xludf.DUMMYFUNCTION("""COMPUTED_VALUE"""),54.07)</f>
        <v>54.07</v>
      </c>
      <c r="E2853" s="17"/>
      <c r="N2853" s="17"/>
      <c r="Q2853" s="17"/>
    </row>
    <row r="2854">
      <c r="B2854" s="11">
        <f>IFERROR(__xludf.DUMMYFUNCTION("""COMPUTED_VALUE"""),41878.666666666664)</f>
        <v>41878.66667</v>
      </c>
      <c r="C2854" s="9">
        <f>IFERROR(__xludf.DUMMYFUNCTION("""COMPUTED_VALUE"""),54.15)</f>
        <v>54.15</v>
      </c>
      <c r="E2854" s="17"/>
      <c r="N2854" s="17"/>
      <c r="Q2854" s="17"/>
    </row>
    <row r="2855">
      <c r="B2855" s="11">
        <f>IFERROR(__xludf.DUMMYFUNCTION("""COMPUTED_VALUE"""),41877.666666666664)</f>
        <v>41877.66667</v>
      </c>
      <c r="C2855" s="9">
        <f>IFERROR(__xludf.DUMMYFUNCTION("""COMPUTED_VALUE"""),54.18)</f>
        <v>54.18</v>
      </c>
      <c r="E2855" s="17"/>
      <c r="N2855" s="17"/>
      <c r="Q2855" s="17"/>
    </row>
    <row r="2856">
      <c r="B2856" s="11">
        <f>IFERROR(__xludf.DUMMYFUNCTION("""COMPUTED_VALUE"""),41876.666666666664)</f>
        <v>41876.66667</v>
      </c>
      <c r="C2856" s="9">
        <f>IFERROR(__xludf.DUMMYFUNCTION("""COMPUTED_VALUE"""),54.36)</f>
        <v>54.36</v>
      </c>
      <c r="E2856" s="17"/>
      <c r="N2856" s="17"/>
      <c r="Q2856" s="17"/>
    </row>
    <row r="2857">
      <c r="B2857" s="11">
        <f>IFERROR(__xludf.DUMMYFUNCTION("""COMPUTED_VALUE"""),41873.666666666664)</f>
        <v>41873.66667</v>
      </c>
      <c r="C2857" s="9">
        <f>IFERROR(__xludf.DUMMYFUNCTION("""COMPUTED_VALUE"""),54.15)</f>
        <v>54.15</v>
      </c>
      <c r="E2857" s="17"/>
      <c r="N2857" s="17"/>
      <c r="Q2857" s="17"/>
    </row>
    <row r="2858">
      <c r="B2858" s="11">
        <f>IFERROR(__xludf.DUMMYFUNCTION("""COMPUTED_VALUE"""),41872.666666666664)</f>
        <v>41872.66667</v>
      </c>
      <c r="C2858" s="9">
        <f>IFERROR(__xludf.DUMMYFUNCTION("""COMPUTED_VALUE"""),54.34)</f>
        <v>54.34</v>
      </c>
      <c r="E2858" s="17"/>
      <c r="N2858" s="17"/>
      <c r="Q2858" s="17"/>
    </row>
    <row r="2859">
      <c r="B2859" s="11">
        <f>IFERROR(__xludf.DUMMYFUNCTION("""COMPUTED_VALUE"""),41871.666666666664)</f>
        <v>41871.66667</v>
      </c>
      <c r="C2859" s="9">
        <f>IFERROR(__xludf.DUMMYFUNCTION("""COMPUTED_VALUE"""),54.39)</f>
        <v>54.39</v>
      </c>
      <c r="E2859" s="17"/>
      <c r="N2859" s="17"/>
      <c r="Q2859" s="17"/>
    </row>
    <row r="2860">
      <c r="B2860" s="11">
        <f>IFERROR(__xludf.DUMMYFUNCTION("""COMPUTED_VALUE"""),41870.666666666664)</f>
        <v>41870.66667</v>
      </c>
      <c r="C2860" s="9">
        <f>IFERROR(__xludf.DUMMYFUNCTION("""COMPUTED_VALUE"""),53.82)</f>
        <v>53.82</v>
      </c>
      <c r="E2860" s="17"/>
      <c r="N2860" s="17"/>
      <c r="Q2860" s="17"/>
    </row>
    <row r="2861">
      <c r="B2861" s="11">
        <f>IFERROR(__xludf.DUMMYFUNCTION("""COMPUTED_VALUE"""),41869.666666666664)</f>
        <v>41869.66667</v>
      </c>
      <c r="C2861" s="9">
        <f>IFERROR(__xludf.DUMMYFUNCTION("""COMPUTED_VALUE"""),53.69)</f>
        <v>53.69</v>
      </c>
      <c r="E2861" s="17"/>
      <c r="N2861" s="17"/>
      <c r="Q2861" s="17"/>
    </row>
    <row r="2862">
      <c r="B2862" s="11">
        <f>IFERROR(__xludf.DUMMYFUNCTION("""COMPUTED_VALUE"""),41866.666666666664)</f>
        <v>41866.66667</v>
      </c>
      <c r="C2862" s="9">
        <f>IFERROR(__xludf.DUMMYFUNCTION("""COMPUTED_VALUE"""),52.89)</f>
        <v>52.89</v>
      </c>
      <c r="E2862" s="17"/>
      <c r="N2862" s="17"/>
      <c r="Q2862" s="17"/>
    </row>
    <row r="2863">
      <c r="B2863" s="11">
        <f>IFERROR(__xludf.DUMMYFUNCTION("""COMPUTED_VALUE"""),41865.666666666664)</f>
        <v>41865.66667</v>
      </c>
      <c r="C2863" s="9">
        <f>IFERROR(__xludf.DUMMYFUNCTION("""COMPUTED_VALUE"""),53.0)</f>
        <v>53</v>
      </c>
      <c r="E2863" s="17"/>
      <c r="N2863" s="17"/>
      <c r="Q2863" s="17"/>
    </row>
    <row r="2864">
      <c r="B2864" s="11">
        <f>IFERROR(__xludf.DUMMYFUNCTION("""COMPUTED_VALUE"""),41864.666666666664)</f>
        <v>41864.66667</v>
      </c>
      <c r="C2864" s="9">
        <f>IFERROR(__xludf.DUMMYFUNCTION("""COMPUTED_VALUE"""),52.77)</f>
        <v>52.77</v>
      </c>
      <c r="E2864" s="17"/>
      <c r="N2864" s="17"/>
      <c r="Q2864" s="17"/>
    </row>
    <row r="2865">
      <c r="B2865" s="11">
        <f>IFERROR(__xludf.DUMMYFUNCTION("""COMPUTED_VALUE"""),41863.666666666664)</f>
        <v>41863.66667</v>
      </c>
      <c r="C2865" s="9">
        <f>IFERROR(__xludf.DUMMYFUNCTION("""COMPUTED_VALUE"""),52.26)</f>
        <v>52.26</v>
      </c>
      <c r="E2865" s="17"/>
      <c r="N2865" s="17"/>
      <c r="Q2865" s="17"/>
    </row>
    <row r="2866">
      <c r="B2866" s="11">
        <f>IFERROR(__xludf.DUMMYFUNCTION("""COMPUTED_VALUE"""),41862.666666666664)</f>
        <v>41862.66667</v>
      </c>
      <c r="C2866" s="9">
        <f>IFERROR(__xludf.DUMMYFUNCTION("""COMPUTED_VALUE"""),52.38)</f>
        <v>52.38</v>
      </c>
      <c r="E2866" s="17"/>
      <c r="N2866" s="17"/>
      <c r="Q2866" s="17"/>
    </row>
    <row r="2867">
      <c r="B2867" s="11">
        <f>IFERROR(__xludf.DUMMYFUNCTION("""COMPUTED_VALUE"""),41859.666666666664)</f>
        <v>41859.66667</v>
      </c>
      <c r="C2867" s="9">
        <f>IFERROR(__xludf.DUMMYFUNCTION("""COMPUTED_VALUE"""),52.17)</f>
        <v>52.17</v>
      </c>
      <c r="E2867" s="17"/>
      <c r="N2867" s="17"/>
      <c r="Q2867" s="17"/>
    </row>
    <row r="2868">
      <c r="B2868" s="11">
        <f>IFERROR(__xludf.DUMMYFUNCTION("""COMPUTED_VALUE"""),41858.666666666664)</f>
        <v>41858.66667</v>
      </c>
      <c r="C2868" s="9">
        <f>IFERROR(__xludf.DUMMYFUNCTION("""COMPUTED_VALUE"""),51.44)</f>
        <v>51.44</v>
      </c>
      <c r="E2868" s="17"/>
      <c r="N2868" s="17"/>
      <c r="Q2868" s="17"/>
    </row>
    <row r="2869">
      <c r="B2869" s="11">
        <f>IFERROR(__xludf.DUMMYFUNCTION("""COMPUTED_VALUE"""),41857.666666666664)</f>
        <v>41857.66667</v>
      </c>
      <c r="C2869" s="9">
        <f>IFERROR(__xludf.DUMMYFUNCTION("""COMPUTED_VALUE"""),51.39)</f>
        <v>51.39</v>
      </c>
      <c r="E2869" s="17"/>
      <c r="N2869" s="17"/>
      <c r="Q2869" s="17"/>
    </row>
    <row r="2870">
      <c r="B2870" s="11">
        <f>IFERROR(__xludf.DUMMYFUNCTION("""COMPUTED_VALUE"""),41856.666666666664)</f>
        <v>41856.66667</v>
      </c>
      <c r="C2870" s="9">
        <f>IFERROR(__xludf.DUMMYFUNCTION("""COMPUTED_VALUE"""),51.65)</f>
        <v>51.65</v>
      </c>
      <c r="E2870" s="17"/>
      <c r="N2870" s="17"/>
      <c r="Q2870" s="17"/>
    </row>
    <row r="2871">
      <c r="B2871" s="11">
        <f>IFERROR(__xludf.DUMMYFUNCTION("""COMPUTED_VALUE"""),41855.666666666664)</f>
        <v>41855.66667</v>
      </c>
      <c r="C2871" s="9">
        <f>IFERROR(__xludf.DUMMYFUNCTION("""COMPUTED_VALUE"""),51.96)</f>
        <v>51.96</v>
      </c>
      <c r="E2871" s="17"/>
      <c r="N2871" s="17"/>
      <c r="Q2871" s="17"/>
    </row>
    <row r="2872">
      <c r="B2872" s="11">
        <f>IFERROR(__xludf.DUMMYFUNCTION("""COMPUTED_VALUE"""),41852.666666666664)</f>
        <v>41852.66667</v>
      </c>
      <c r="C2872" s="9">
        <f>IFERROR(__xludf.DUMMYFUNCTION("""COMPUTED_VALUE"""),51.78)</f>
        <v>51.78</v>
      </c>
      <c r="E2872" s="17"/>
      <c r="N2872" s="17"/>
      <c r="Q2872" s="17"/>
    </row>
    <row r="2873">
      <c r="B2873" s="11">
        <f>IFERROR(__xludf.DUMMYFUNCTION("""COMPUTED_VALUE"""),41851.666666666664)</f>
        <v>41851.66667</v>
      </c>
      <c r="C2873" s="9">
        <f>IFERROR(__xludf.DUMMYFUNCTION("""COMPUTED_VALUE"""),51.83)</f>
        <v>51.83</v>
      </c>
      <c r="E2873" s="17"/>
      <c r="N2873" s="17"/>
      <c r="Q2873" s="17"/>
    </row>
    <row r="2874">
      <c r="B2874" s="11">
        <f>IFERROR(__xludf.DUMMYFUNCTION("""COMPUTED_VALUE"""),41850.666666666664)</f>
        <v>41850.66667</v>
      </c>
      <c r="C2874" s="9">
        <f>IFERROR(__xludf.DUMMYFUNCTION("""COMPUTED_VALUE"""),52.9)</f>
        <v>52.9</v>
      </c>
      <c r="E2874" s="17"/>
      <c r="N2874" s="17"/>
      <c r="Q2874" s="17"/>
    </row>
    <row r="2875">
      <c r="B2875" s="11">
        <f>IFERROR(__xludf.DUMMYFUNCTION("""COMPUTED_VALUE"""),41849.666666666664)</f>
        <v>41849.66667</v>
      </c>
      <c r="C2875" s="9">
        <f>IFERROR(__xludf.DUMMYFUNCTION("""COMPUTED_VALUE"""),52.85)</f>
        <v>52.85</v>
      </c>
      <c r="E2875" s="17"/>
      <c r="N2875" s="17"/>
      <c r="Q2875" s="17"/>
    </row>
    <row r="2876">
      <c r="B2876" s="11">
        <f>IFERROR(__xludf.DUMMYFUNCTION("""COMPUTED_VALUE"""),41848.666666666664)</f>
        <v>41848.66667</v>
      </c>
      <c r="C2876" s="9">
        <f>IFERROR(__xludf.DUMMYFUNCTION("""COMPUTED_VALUE"""),53.52)</f>
        <v>53.52</v>
      </c>
      <c r="E2876" s="17"/>
      <c r="N2876" s="17"/>
      <c r="Q2876" s="17"/>
    </row>
    <row r="2877">
      <c r="B2877" s="11">
        <f>IFERROR(__xludf.DUMMYFUNCTION("""COMPUTED_VALUE"""),41845.666666666664)</f>
        <v>41845.66667</v>
      </c>
      <c r="C2877" s="9">
        <f>IFERROR(__xludf.DUMMYFUNCTION("""COMPUTED_VALUE"""),53.79)</f>
        <v>53.79</v>
      </c>
      <c r="E2877" s="17"/>
      <c r="N2877" s="17"/>
      <c r="Q2877" s="17"/>
    </row>
    <row r="2878">
      <c r="B2878" s="11">
        <f>IFERROR(__xludf.DUMMYFUNCTION("""COMPUTED_VALUE"""),41844.666666666664)</f>
        <v>41844.66667</v>
      </c>
      <c r="C2878" s="9">
        <f>IFERROR(__xludf.DUMMYFUNCTION("""COMPUTED_VALUE"""),53.93)</f>
        <v>53.93</v>
      </c>
      <c r="E2878" s="17"/>
      <c r="N2878" s="17"/>
      <c r="Q2878" s="17"/>
    </row>
    <row r="2879">
      <c r="B2879" s="11">
        <f>IFERROR(__xludf.DUMMYFUNCTION("""COMPUTED_VALUE"""),41843.666666666664)</f>
        <v>41843.66667</v>
      </c>
      <c r="C2879" s="9">
        <f>IFERROR(__xludf.DUMMYFUNCTION("""COMPUTED_VALUE"""),54.19)</f>
        <v>54.19</v>
      </c>
      <c r="E2879" s="17"/>
      <c r="N2879" s="17"/>
      <c r="Q2879" s="17"/>
    </row>
    <row r="2880">
      <c r="B2880" s="11">
        <f>IFERROR(__xludf.DUMMYFUNCTION("""COMPUTED_VALUE"""),41842.666666666664)</f>
        <v>41842.66667</v>
      </c>
      <c r="C2880" s="9">
        <f>IFERROR(__xludf.DUMMYFUNCTION("""COMPUTED_VALUE"""),54.41)</f>
        <v>54.41</v>
      </c>
      <c r="E2880" s="17"/>
      <c r="N2880" s="17"/>
      <c r="Q2880" s="17"/>
    </row>
    <row r="2881">
      <c r="B2881" s="11">
        <f>IFERROR(__xludf.DUMMYFUNCTION("""COMPUTED_VALUE"""),41841.666666666664)</f>
        <v>41841.66667</v>
      </c>
      <c r="C2881" s="9">
        <f>IFERROR(__xludf.DUMMYFUNCTION("""COMPUTED_VALUE"""),54.21)</f>
        <v>54.21</v>
      </c>
      <c r="E2881" s="17"/>
      <c r="N2881" s="17"/>
      <c r="Q2881" s="17"/>
    </row>
    <row r="2882">
      <c r="B2882" s="11">
        <f>IFERROR(__xludf.DUMMYFUNCTION("""COMPUTED_VALUE"""),41838.666666666664)</f>
        <v>41838.66667</v>
      </c>
      <c r="C2882" s="9">
        <f>IFERROR(__xludf.DUMMYFUNCTION("""COMPUTED_VALUE"""),54.24)</f>
        <v>54.24</v>
      </c>
      <c r="E2882" s="17"/>
      <c r="N2882" s="17"/>
      <c r="Q2882" s="17"/>
    </row>
    <row r="2883">
      <c r="B2883" s="11">
        <f>IFERROR(__xludf.DUMMYFUNCTION("""COMPUTED_VALUE"""),41837.666666666664)</f>
        <v>41837.66667</v>
      </c>
      <c r="C2883" s="9">
        <f>IFERROR(__xludf.DUMMYFUNCTION("""COMPUTED_VALUE"""),53.79)</f>
        <v>53.79</v>
      </c>
      <c r="E2883" s="17"/>
      <c r="N2883" s="17"/>
      <c r="Q2883" s="17"/>
    </row>
    <row r="2884">
      <c r="B2884" s="11">
        <f>IFERROR(__xludf.DUMMYFUNCTION("""COMPUTED_VALUE"""),41836.666666666664)</f>
        <v>41836.66667</v>
      </c>
      <c r="C2884" s="9">
        <f>IFERROR(__xludf.DUMMYFUNCTION("""COMPUTED_VALUE"""),54.64)</f>
        <v>54.64</v>
      </c>
      <c r="E2884" s="17"/>
      <c r="N2884" s="17"/>
      <c r="Q2884" s="17"/>
    </row>
    <row r="2885">
      <c r="B2885" s="11">
        <f>IFERROR(__xludf.DUMMYFUNCTION("""COMPUTED_VALUE"""),41835.666666666664)</f>
        <v>41835.66667</v>
      </c>
      <c r="C2885" s="9">
        <f>IFERROR(__xludf.DUMMYFUNCTION("""COMPUTED_VALUE"""),54.41)</f>
        <v>54.41</v>
      </c>
      <c r="E2885" s="17"/>
      <c r="N2885" s="17"/>
      <c r="Q2885" s="17"/>
    </row>
    <row r="2886">
      <c r="B2886" s="11">
        <f>IFERROR(__xludf.DUMMYFUNCTION("""COMPUTED_VALUE"""),41834.666666666664)</f>
        <v>41834.66667</v>
      </c>
      <c r="C2886" s="9">
        <f>IFERROR(__xludf.DUMMYFUNCTION("""COMPUTED_VALUE"""),54.38)</f>
        <v>54.38</v>
      </c>
      <c r="E2886" s="17"/>
      <c r="N2886" s="17"/>
      <c r="Q2886" s="17"/>
    </row>
    <row r="2887">
      <c r="B2887" s="11">
        <f>IFERROR(__xludf.DUMMYFUNCTION("""COMPUTED_VALUE"""),41831.666666666664)</f>
        <v>41831.66667</v>
      </c>
      <c r="C2887" s="9">
        <f>IFERROR(__xludf.DUMMYFUNCTION("""COMPUTED_VALUE"""),54.07)</f>
        <v>54.07</v>
      </c>
      <c r="E2887" s="17"/>
      <c r="N2887" s="17"/>
      <c r="Q2887" s="17"/>
    </row>
    <row r="2888">
      <c r="B2888" s="11">
        <f>IFERROR(__xludf.DUMMYFUNCTION("""COMPUTED_VALUE"""),41830.666666666664)</f>
        <v>41830.66667</v>
      </c>
      <c r="C2888" s="9">
        <f>IFERROR(__xludf.DUMMYFUNCTION("""COMPUTED_VALUE"""),53.76)</f>
        <v>53.76</v>
      </c>
      <c r="E2888" s="17"/>
      <c r="N2888" s="17"/>
      <c r="Q2888" s="17"/>
    </row>
    <row r="2889">
      <c r="B2889" s="11">
        <f>IFERROR(__xludf.DUMMYFUNCTION("""COMPUTED_VALUE"""),41829.666666666664)</f>
        <v>41829.66667</v>
      </c>
      <c r="C2889" s="9">
        <f>IFERROR(__xludf.DUMMYFUNCTION("""COMPUTED_VALUE"""),54.08)</f>
        <v>54.08</v>
      </c>
      <c r="E2889" s="17"/>
      <c r="N2889" s="17"/>
      <c r="Q2889" s="17"/>
    </row>
    <row r="2890">
      <c r="B2890" s="11">
        <f>IFERROR(__xludf.DUMMYFUNCTION("""COMPUTED_VALUE"""),41828.666666666664)</f>
        <v>41828.66667</v>
      </c>
      <c r="C2890" s="9">
        <f>IFERROR(__xludf.DUMMYFUNCTION("""COMPUTED_VALUE"""),53.99)</f>
        <v>53.99</v>
      </c>
      <c r="E2890" s="17"/>
      <c r="N2890" s="17"/>
      <c r="Q2890" s="17"/>
    </row>
    <row r="2891">
      <c r="B2891" s="11">
        <f>IFERROR(__xludf.DUMMYFUNCTION("""COMPUTED_VALUE"""),41827.666666666664)</f>
        <v>41827.66667</v>
      </c>
      <c r="C2891" s="9">
        <f>IFERROR(__xludf.DUMMYFUNCTION("""COMPUTED_VALUE"""),54.36)</f>
        <v>54.36</v>
      </c>
      <c r="E2891" s="17"/>
      <c r="N2891" s="17"/>
      <c r="Q2891" s="17"/>
    </row>
    <row r="2892">
      <c r="B2892" s="11">
        <f>IFERROR(__xludf.DUMMYFUNCTION("""COMPUTED_VALUE"""),41823.666666666664)</f>
        <v>41823.66667</v>
      </c>
      <c r="C2892" s="9">
        <f>IFERROR(__xludf.DUMMYFUNCTION("""COMPUTED_VALUE"""),54.75)</f>
        <v>54.75</v>
      </c>
      <c r="E2892" s="17"/>
      <c r="N2892" s="17"/>
      <c r="Q2892" s="17"/>
    </row>
    <row r="2893">
      <c r="B2893" s="11">
        <f>IFERROR(__xludf.DUMMYFUNCTION("""COMPUTED_VALUE"""),41822.666666666664)</f>
        <v>41822.66667</v>
      </c>
      <c r="C2893" s="9">
        <f>IFERROR(__xludf.DUMMYFUNCTION("""COMPUTED_VALUE"""),54.3)</f>
        <v>54.3</v>
      </c>
      <c r="E2893" s="17"/>
      <c r="N2893" s="17"/>
      <c r="Q2893" s="17"/>
    </row>
    <row r="2894">
      <c r="B2894" s="11">
        <f>IFERROR(__xludf.DUMMYFUNCTION("""COMPUTED_VALUE"""),41821.666666666664)</f>
        <v>41821.66667</v>
      </c>
      <c r="C2894" s="9">
        <f>IFERROR(__xludf.DUMMYFUNCTION("""COMPUTED_VALUE"""),54.39)</f>
        <v>54.39</v>
      </c>
      <c r="E2894" s="17"/>
      <c r="N2894" s="17"/>
      <c r="Q2894" s="17"/>
    </row>
    <row r="2895">
      <c r="B2895" s="11">
        <f>IFERROR(__xludf.DUMMYFUNCTION("""COMPUTED_VALUE"""),41820.666666666664)</f>
        <v>41820.66667</v>
      </c>
      <c r="C2895" s="9">
        <f>IFERROR(__xludf.DUMMYFUNCTION("""COMPUTED_VALUE"""),54.06)</f>
        <v>54.06</v>
      </c>
      <c r="E2895" s="17"/>
      <c r="N2895" s="17"/>
      <c r="Q2895" s="17"/>
    </row>
    <row r="2896">
      <c r="B2896" s="11">
        <f>IFERROR(__xludf.DUMMYFUNCTION("""COMPUTED_VALUE"""),41817.666666666664)</f>
        <v>41817.66667</v>
      </c>
      <c r="C2896" s="9">
        <f>IFERROR(__xludf.DUMMYFUNCTION("""COMPUTED_VALUE"""),54.29)</f>
        <v>54.29</v>
      </c>
      <c r="E2896" s="17"/>
      <c r="N2896" s="17"/>
      <c r="Q2896" s="17"/>
    </row>
    <row r="2897">
      <c r="B2897" s="11">
        <f>IFERROR(__xludf.DUMMYFUNCTION("""COMPUTED_VALUE"""),41816.666666666664)</f>
        <v>41816.66667</v>
      </c>
      <c r="C2897" s="9">
        <f>IFERROR(__xludf.DUMMYFUNCTION("""COMPUTED_VALUE"""),54.16)</f>
        <v>54.16</v>
      </c>
      <c r="E2897" s="17"/>
      <c r="N2897" s="17"/>
      <c r="Q2897" s="17"/>
    </row>
    <row r="2898">
      <c r="B2898" s="11">
        <f>IFERROR(__xludf.DUMMYFUNCTION("""COMPUTED_VALUE"""),41815.666666666664)</f>
        <v>41815.66667</v>
      </c>
      <c r="C2898" s="9">
        <f>IFERROR(__xludf.DUMMYFUNCTION("""COMPUTED_VALUE"""),54.2)</f>
        <v>54.2</v>
      </c>
      <c r="E2898" s="17"/>
      <c r="N2898" s="17"/>
      <c r="Q2898" s="17"/>
    </row>
    <row r="2899">
      <c r="B2899" s="11">
        <f>IFERROR(__xludf.DUMMYFUNCTION("""COMPUTED_VALUE"""),41814.666666666664)</f>
        <v>41814.66667</v>
      </c>
      <c r="C2899" s="9">
        <f>IFERROR(__xludf.DUMMYFUNCTION("""COMPUTED_VALUE"""),54.15)</f>
        <v>54.15</v>
      </c>
      <c r="E2899" s="17"/>
      <c r="N2899" s="17"/>
      <c r="Q2899" s="17"/>
    </row>
    <row r="2900">
      <c r="B2900" s="11">
        <f>IFERROR(__xludf.DUMMYFUNCTION("""COMPUTED_VALUE"""),41813.666666666664)</f>
        <v>41813.66667</v>
      </c>
      <c r="C2900" s="9">
        <f>IFERROR(__xludf.DUMMYFUNCTION("""COMPUTED_VALUE"""),54.7)</f>
        <v>54.7</v>
      </c>
      <c r="E2900" s="17"/>
      <c r="N2900" s="17"/>
      <c r="Q2900" s="17"/>
    </row>
    <row r="2901">
      <c r="B2901" s="11">
        <f>IFERROR(__xludf.DUMMYFUNCTION("""COMPUTED_VALUE"""),41810.666666666664)</f>
        <v>41810.66667</v>
      </c>
      <c r="C2901" s="9">
        <f>IFERROR(__xludf.DUMMYFUNCTION("""COMPUTED_VALUE"""),55.02)</f>
        <v>55.02</v>
      </c>
      <c r="E2901" s="17"/>
      <c r="N2901" s="17"/>
      <c r="Q2901" s="17"/>
    </row>
    <row r="2902">
      <c r="B2902" s="11">
        <f>IFERROR(__xludf.DUMMYFUNCTION("""COMPUTED_VALUE"""),41809.666666666664)</f>
        <v>41809.66667</v>
      </c>
      <c r="C2902" s="9">
        <f>IFERROR(__xludf.DUMMYFUNCTION("""COMPUTED_VALUE"""),55.04)</f>
        <v>55.04</v>
      </c>
      <c r="E2902" s="17"/>
      <c r="N2902" s="17"/>
      <c r="Q2902" s="17"/>
    </row>
    <row r="2903">
      <c r="B2903" s="11">
        <f>IFERROR(__xludf.DUMMYFUNCTION("""COMPUTED_VALUE"""),41808.666666666664)</f>
        <v>41808.66667</v>
      </c>
      <c r="C2903" s="9">
        <f>IFERROR(__xludf.DUMMYFUNCTION("""COMPUTED_VALUE"""),54.9)</f>
        <v>54.9</v>
      </c>
      <c r="E2903" s="17"/>
      <c r="N2903" s="17"/>
      <c r="Q2903" s="17"/>
    </row>
    <row r="2904">
      <c r="B2904" s="11">
        <f>IFERROR(__xludf.DUMMYFUNCTION("""COMPUTED_VALUE"""),41807.666666666664)</f>
        <v>41807.66667</v>
      </c>
      <c r="C2904" s="9">
        <f>IFERROR(__xludf.DUMMYFUNCTION("""COMPUTED_VALUE"""),54.59)</f>
        <v>54.59</v>
      </c>
      <c r="E2904" s="17"/>
      <c r="N2904" s="17"/>
      <c r="Q2904" s="17"/>
    </row>
    <row r="2905">
      <c r="B2905" s="11">
        <f>IFERROR(__xludf.DUMMYFUNCTION("""COMPUTED_VALUE"""),41806.666666666664)</f>
        <v>41806.66667</v>
      </c>
      <c r="C2905" s="9">
        <f>IFERROR(__xludf.DUMMYFUNCTION("""COMPUTED_VALUE"""),54.44)</f>
        <v>54.44</v>
      </c>
      <c r="E2905" s="17"/>
      <c r="N2905" s="17"/>
      <c r="Q2905" s="17"/>
    </row>
    <row r="2906">
      <c r="B2906" s="11">
        <f>IFERROR(__xludf.DUMMYFUNCTION("""COMPUTED_VALUE"""),41803.666666666664)</f>
        <v>41803.66667</v>
      </c>
      <c r="C2906" s="9">
        <f>IFERROR(__xludf.DUMMYFUNCTION("""COMPUTED_VALUE"""),54.5)</f>
        <v>54.5</v>
      </c>
      <c r="E2906" s="17"/>
      <c r="N2906" s="17"/>
      <c r="Q2906" s="17"/>
    </row>
    <row r="2907">
      <c r="B2907" s="11">
        <f>IFERROR(__xludf.DUMMYFUNCTION("""COMPUTED_VALUE"""),41802.666666666664)</f>
        <v>41802.66667</v>
      </c>
      <c r="C2907" s="9">
        <f>IFERROR(__xludf.DUMMYFUNCTION("""COMPUTED_VALUE"""),54.31)</f>
        <v>54.31</v>
      </c>
      <c r="E2907" s="17"/>
      <c r="N2907" s="17"/>
      <c r="Q2907" s="17"/>
    </row>
    <row r="2908">
      <c r="B2908" s="11">
        <f>IFERROR(__xludf.DUMMYFUNCTION("""COMPUTED_VALUE"""),41801.666666666664)</f>
        <v>41801.66667</v>
      </c>
      <c r="C2908" s="9">
        <f>IFERROR(__xludf.DUMMYFUNCTION("""COMPUTED_VALUE"""),55.05)</f>
        <v>55.05</v>
      </c>
      <c r="E2908" s="17"/>
      <c r="N2908" s="17"/>
      <c r="Q2908" s="17"/>
    </row>
    <row r="2909">
      <c r="B2909" s="11">
        <f>IFERROR(__xludf.DUMMYFUNCTION("""COMPUTED_VALUE"""),41800.666666666664)</f>
        <v>41800.66667</v>
      </c>
      <c r="C2909" s="9">
        <f>IFERROR(__xludf.DUMMYFUNCTION("""COMPUTED_VALUE"""),55.46)</f>
        <v>55.46</v>
      </c>
      <c r="E2909" s="17"/>
      <c r="N2909" s="17"/>
      <c r="Q2909" s="17"/>
    </row>
    <row r="2910">
      <c r="B2910" s="11">
        <f>IFERROR(__xludf.DUMMYFUNCTION("""COMPUTED_VALUE"""),41799.666666666664)</f>
        <v>41799.66667</v>
      </c>
      <c r="C2910" s="9">
        <f>IFERROR(__xludf.DUMMYFUNCTION("""COMPUTED_VALUE"""),55.59)</f>
        <v>55.59</v>
      </c>
      <c r="E2910" s="17"/>
      <c r="N2910" s="17"/>
      <c r="Q2910" s="17"/>
    </row>
    <row r="2911">
      <c r="B2911" s="11">
        <f>IFERROR(__xludf.DUMMYFUNCTION("""COMPUTED_VALUE"""),41796.666666666664)</f>
        <v>41796.66667</v>
      </c>
      <c r="C2911" s="9">
        <f>IFERROR(__xludf.DUMMYFUNCTION("""COMPUTED_VALUE"""),55.31)</f>
        <v>55.31</v>
      </c>
      <c r="E2911" s="17"/>
      <c r="N2911" s="17"/>
      <c r="Q2911" s="17"/>
    </row>
    <row r="2912">
      <c r="B2912" s="11">
        <f>IFERROR(__xludf.DUMMYFUNCTION("""COMPUTED_VALUE"""),41795.666666666664)</f>
        <v>41795.66667</v>
      </c>
      <c r="C2912" s="9">
        <f>IFERROR(__xludf.DUMMYFUNCTION("""COMPUTED_VALUE"""),54.76)</f>
        <v>54.76</v>
      </c>
      <c r="E2912" s="17"/>
      <c r="N2912" s="17"/>
      <c r="Q2912" s="17"/>
    </row>
    <row r="2913">
      <c r="B2913" s="11">
        <f>IFERROR(__xludf.DUMMYFUNCTION("""COMPUTED_VALUE"""),41794.666666666664)</f>
        <v>41794.66667</v>
      </c>
      <c r="C2913" s="9">
        <f>IFERROR(__xludf.DUMMYFUNCTION("""COMPUTED_VALUE"""),54.21)</f>
        <v>54.21</v>
      </c>
      <c r="E2913" s="17"/>
      <c r="N2913" s="17"/>
      <c r="Q2913" s="17"/>
    </row>
    <row r="2914">
      <c r="B2914" s="11">
        <f>IFERROR(__xludf.DUMMYFUNCTION("""COMPUTED_VALUE"""),41793.666666666664)</f>
        <v>41793.66667</v>
      </c>
      <c r="C2914" s="9">
        <f>IFERROR(__xludf.DUMMYFUNCTION("""COMPUTED_VALUE"""),54.22)</f>
        <v>54.22</v>
      </c>
      <c r="E2914" s="17"/>
      <c r="N2914" s="17"/>
      <c r="Q2914" s="17"/>
    </row>
    <row r="2915">
      <c r="B2915" s="11">
        <f>IFERROR(__xludf.DUMMYFUNCTION("""COMPUTED_VALUE"""),41792.666666666664)</f>
        <v>41792.66667</v>
      </c>
      <c r="C2915" s="9">
        <f>IFERROR(__xludf.DUMMYFUNCTION("""COMPUTED_VALUE"""),54.28)</f>
        <v>54.28</v>
      </c>
      <c r="E2915" s="17"/>
      <c r="N2915" s="17"/>
      <c r="Q2915" s="17"/>
    </row>
    <row r="2916">
      <c r="B2916" s="11">
        <f>IFERROR(__xludf.DUMMYFUNCTION("""COMPUTED_VALUE"""),41789.666666666664)</f>
        <v>41789.66667</v>
      </c>
      <c r="C2916" s="9">
        <f>IFERROR(__xludf.DUMMYFUNCTION("""COMPUTED_VALUE"""),54.05)</f>
        <v>54.05</v>
      </c>
      <c r="E2916" s="17"/>
      <c r="N2916" s="17"/>
      <c r="Q2916" s="17"/>
    </row>
    <row r="2917">
      <c r="B2917" s="11">
        <f>IFERROR(__xludf.DUMMYFUNCTION("""COMPUTED_VALUE"""),41788.666666666664)</f>
        <v>41788.66667</v>
      </c>
      <c r="C2917" s="9">
        <f>IFERROR(__xludf.DUMMYFUNCTION("""COMPUTED_VALUE"""),54.09)</f>
        <v>54.09</v>
      </c>
      <c r="E2917" s="17"/>
      <c r="N2917" s="17"/>
      <c r="Q2917" s="17"/>
    </row>
    <row r="2918">
      <c r="B2918" s="11">
        <f>IFERROR(__xludf.DUMMYFUNCTION("""COMPUTED_VALUE"""),41787.666666666664)</f>
        <v>41787.66667</v>
      </c>
      <c r="C2918" s="9">
        <f>IFERROR(__xludf.DUMMYFUNCTION("""COMPUTED_VALUE"""),53.87)</f>
        <v>53.87</v>
      </c>
      <c r="E2918" s="17"/>
      <c r="N2918" s="17"/>
      <c r="Q2918" s="17"/>
    </row>
    <row r="2919">
      <c r="B2919" s="11">
        <f>IFERROR(__xludf.DUMMYFUNCTION("""COMPUTED_VALUE"""),41786.666666666664)</f>
        <v>41786.66667</v>
      </c>
      <c r="C2919" s="9">
        <f>IFERROR(__xludf.DUMMYFUNCTION("""COMPUTED_VALUE"""),53.83)</f>
        <v>53.83</v>
      </c>
      <c r="E2919" s="17"/>
      <c r="N2919" s="17"/>
      <c r="Q2919" s="17"/>
    </row>
    <row r="2920">
      <c r="B2920" s="11">
        <f>IFERROR(__xludf.DUMMYFUNCTION("""COMPUTED_VALUE"""),41782.666666666664)</f>
        <v>41782.66667</v>
      </c>
      <c r="C2920" s="9">
        <f>IFERROR(__xludf.DUMMYFUNCTION("""COMPUTED_VALUE"""),53.55)</f>
        <v>53.55</v>
      </c>
      <c r="E2920" s="17"/>
      <c r="N2920" s="17"/>
      <c r="Q2920" s="17"/>
    </row>
    <row r="2921">
      <c r="B2921" s="11">
        <f>IFERROR(__xludf.DUMMYFUNCTION("""COMPUTED_VALUE"""),41781.666666666664)</f>
        <v>41781.66667</v>
      </c>
      <c r="C2921" s="9">
        <f>IFERROR(__xludf.DUMMYFUNCTION("""COMPUTED_VALUE"""),53.21)</f>
        <v>53.21</v>
      </c>
      <c r="E2921" s="17"/>
      <c r="N2921" s="17"/>
      <c r="Q2921" s="17"/>
    </row>
    <row r="2922">
      <c r="B2922" s="11">
        <f>IFERROR(__xludf.DUMMYFUNCTION("""COMPUTED_VALUE"""),41780.666666666664)</f>
        <v>41780.66667</v>
      </c>
      <c r="C2922" s="9">
        <f>IFERROR(__xludf.DUMMYFUNCTION("""COMPUTED_VALUE"""),53.11)</f>
        <v>53.11</v>
      </c>
      <c r="E2922" s="17"/>
      <c r="N2922" s="17"/>
      <c r="Q2922" s="17"/>
    </row>
    <row r="2923">
      <c r="B2923" s="11">
        <f>IFERROR(__xludf.DUMMYFUNCTION("""COMPUTED_VALUE"""),41779.666666666664)</f>
        <v>41779.66667</v>
      </c>
      <c r="C2923" s="9">
        <f>IFERROR(__xludf.DUMMYFUNCTION("""COMPUTED_VALUE"""),52.59)</f>
        <v>52.59</v>
      </c>
      <c r="E2923" s="17"/>
      <c r="N2923" s="17"/>
      <c r="Q2923" s="17"/>
    </row>
    <row r="2924">
      <c r="B2924" s="11">
        <f>IFERROR(__xludf.DUMMYFUNCTION("""COMPUTED_VALUE"""),41778.666666666664)</f>
        <v>41778.66667</v>
      </c>
      <c r="C2924" s="9">
        <f>IFERROR(__xludf.DUMMYFUNCTION("""COMPUTED_VALUE"""),53.3)</f>
        <v>53.3</v>
      </c>
      <c r="E2924" s="17"/>
      <c r="N2924" s="17"/>
      <c r="Q2924" s="17"/>
    </row>
    <row r="2925">
      <c r="B2925" s="11">
        <f>IFERROR(__xludf.DUMMYFUNCTION("""COMPUTED_VALUE"""),41775.666666666664)</f>
        <v>41775.66667</v>
      </c>
      <c r="C2925" s="9">
        <f>IFERROR(__xludf.DUMMYFUNCTION("""COMPUTED_VALUE"""),53.09)</f>
        <v>53.09</v>
      </c>
      <c r="E2925" s="17"/>
      <c r="N2925" s="17"/>
      <c r="Q2925" s="17"/>
    </row>
    <row r="2926">
      <c r="B2926" s="11">
        <f>IFERROR(__xludf.DUMMYFUNCTION("""COMPUTED_VALUE"""),41774.666666666664)</f>
        <v>41774.66667</v>
      </c>
      <c r="C2926" s="9">
        <f>IFERROR(__xludf.DUMMYFUNCTION("""COMPUTED_VALUE"""),53.02)</f>
        <v>53.02</v>
      </c>
      <c r="E2926" s="17"/>
      <c r="N2926" s="17"/>
      <c r="Q2926" s="17"/>
    </row>
    <row r="2927">
      <c r="B2927" s="11">
        <f>IFERROR(__xludf.DUMMYFUNCTION("""COMPUTED_VALUE"""),41773.666666666664)</f>
        <v>41773.66667</v>
      </c>
      <c r="C2927" s="9">
        <f>IFERROR(__xludf.DUMMYFUNCTION("""COMPUTED_VALUE"""),53.49)</f>
        <v>53.49</v>
      </c>
      <c r="E2927" s="17"/>
      <c r="N2927" s="17"/>
      <c r="Q2927" s="17"/>
    </row>
    <row r="2928">
      <c r="B2928" s="11">
        <f>IFERROR(__xludf.DUMMYFUNCTION("""COMPUTED_VALUE"""),41772.666666666664)</f>
        <v>41772.66667</v>
      </c>
      <c r="C2928" s="9">
        <f>IFERROR(__xludf.DUMMYFUNCTION("""COMPUTED_VALUE"""),53.89)</f>
        <v>53.89</v>
      </c>
      <c r="E2928" s="17"/>
      <c r="N2928" s="17"/>
      <c r="Q2928" s="17"/>
    </row>
    <row r="2929">
      <c r="B2929" s="11">
        <f>IFERROR(__xludf.DUMMYFUNCTION("""COMPUTED_VALUE"""),41771.666666666664)</f>
        <v>41771.66667</v>
      </c>
      <c r="C2929" s="9">
        <f>IFERROR(__xludf.DUMMYFUNCTION("""COMPUTED_VALUE"""),53.8)</f>
        <v>53.8</v>
      </c>
      <c r="E2929" s="17"/>
      <c r="N2929" s="17"/>
      <c r="Q2929" s="17"/>
    </row>
    <row r="2930">
      <c r="B2930" s="11">
        <f>IFERROR(__xludf.DUMMYFUNCTION("""COMPUTED_VALUE"""),41768.666666666664)</f>
        <v>41768.66667</v>
      </c>
      <c r="C2930" s="9">
        <f>IFERROR(__xludf.DUMMYFUNCTION("""COMPUTED_VALUE"""),53.01)</f>
        <v>53.01</v>
      </c>
      <c r="E2930" s="17"/>
      <c r="N2930" s="17"/>
      <c r="Q2930" s="17"/>
    </row>
    <row r="2931">
      <c r="B2931" s="11">
        <f>IFERROR(__xludf.DUMMYFUNCTION("""COMPUTED_VALUE"""),41767.666666666664)</f>
        <v>41767.66667</v>
      </c>
      <c r="C2931" s="9">
        <f>IFERROR(__xludf.DUMMYFUNCTION("""COMPUTED_VALUE"""),52.97)</f>
        <v>52.97</v>
      </c>
      <c r="E2931" s="17"/>
      <c r="N2931" s="17"/>
      <c r="Q2931" s="17"/>
    </row>
    <row r="2932">
      <c r="B2932" s="11">
        <f>IFERROR(__xludf.DUMMYFUNCTION("""COMPUTED_VALUE"""),41766.666666666664)</f>
        <v>41766.66667</v>
      </c>
      <c r="C2932" s="9">
        <f>IFERROR(__xludf.DUMMYFUNCTION("""COMPUTED_VALUE"""),52.98)</f>
        <v>52.98</v>
      </c>
      <c r="E2932" s="17"/>
      <c r="N2932" s="17"/>
      <c r="Q2932" s="17"/>
    </row>
    <row r="2933">
      <c r="B2933" s="11">
        <f>IFERROR(__xludf.DUMMYFUNCTION("""COMPUTED_VALUE"""),41765.666666666664)</f>
        <v>41765.66667</v>
      </c>
      <c r="C2933" s="9">
        <f>IFERROR(__xludf.DUMMYFUNCTION("""COMPUTED_VALUE"""),52.53)</f>
        <v>52.53</v>
      </c>
      <c r="E2933" s="17"/>
      <c r="N2933" s="17"/>
      <c r="Q2933" s="17"/>
    </row>
    <row r="2934">
      <c r="B2934" s="11">
        <f>IFERROR(__xludf.DUMMYFUNCTION("""COMPUTED_VALUE"""),41764.666666666664)</f>
        <v>41764.66667</v>
      </c>
      <c r="C2934" s="9">
        <f>IFERROR(__xludf.DUMMYFUNCTION("""COMPUTED_VALUE"""),52.93)</f>
        <v>52.93</v>
      </c>
      <c r="E2934" s="17"/>
      <c r="N2934" s="17"/>
      <c r="Q2934" s="17"/>
    </row>
    <row r="2935">
      <c r="B2935" s="11">
        <f>IFERROR(__xludf.DUMMYFUNCTION("""COMPUTED_VALUE"""),41761.666666666664)</f>
        <v>41761.66667</v>
      </c>
      <c r="C2935" s="9">
        <f>IFERROR(__xludf.DUMMYFUNCTION("""COMPUTED_VALUE"""),52.82)</f>
        <v>52.82</v>
      </c>
      <c r="E2935" s="17"/>
      <c r="N2935" s="17"/>
      <c r="Q2935" s="17"/>
    </row>
    <row r="2936">
      <c r="B2936" s="11">
        <f>IFERROR(__xludf.DUMMYFUNCTION("""COMPUTED_VALUE"""),41760.666666666664)</f>
        <v>41760.66667</v>
      </c>
      <c r="C2936" s="9">
        <f>IFERROR(__xludf.DUMMYFUNCTION("""COMPUTED_VALUE"""),52.9)</f>
        <v>52.9</v>
      </c>
      <c r="E2936" s="17"/>
      <c r="N2936" s="17"/>
      <c r="Q2936" s="17"/>
    </row>
    <row r="2937">
      <c r="B2937" s="11">
        <f>IFERROR(__xludf.DUMMYFUNCTION("""COMPUTED_VALUE"""),41759.666666666664)</f>
        <v>41759.66667</v>
      </c>
      <c r="C2937" s="9">
        <f>IFERROR(__xludf.DUMMYFUNCTION("""COMPUTED_VALUE"""),53.03)</f>
        <v>53.03</v>
      </c>
      <c r="E2937" s="17"/>
      <c r="N2937" s="17"/>
      <c r="Q2937" s="17"/>
    </row>
    <row r="2938">
      <c r="B2938" s="11">
        <f>IFERROR(__xludf.DUMMYFUNCTION("""COMPUTED_VALUE"""),41758.666666666664)</f>
        <v>41758.66667</v>
      </c>
      <c r="C2938" s="9">
        <f>IFERROR(__xludf.DUMMYFUNCTION("""COMPUTED_VALUE"""),52.68)</f>
        <v>52.68</v>
      </c>
      <c r="E2938" s="17"/>
      <c r="N2938" s="17"/>
      <c r="Q2938" s="17"/>
    </row>
    <row r="2939">
      <c r="B2939" s="11">
        <f>IFERROR(__xludf.DUMMYFUNCTION("""COMPUTED_VALUE"""),41757.666666666664)</f>
        <v>41757.66667</v>
      </c>
      <c r="C2939" s="9">
        <f>IFERROR(__xludf.DUMMYFUNCTION("""COMPUTED_VALUE"""),52.54)</f>
        <v>52.54</v>
      </c>
      <c r="E2939" s="17"/>
      <c r="N2939" s="17"/>
      <c r="Q2939" s="17"/>
    </row>
    <row r="2940">
      <c r="B2940" s="11">
        <f>IFERROR(__xludf.DUMMYFUNCTION("""COMPUTED_VALUE"""),41754.666666666664)</f>
        <v>41754.66667</v>
      </c>
      <c r="C2940" s="9">
        <f>IFERROR(__xludf.DUMMYFUNCTION("""COMPUTED_VALUE"""),52.51)</f>
        <v>52.51</v>
      </c>
      <c r="E2940" s="17"/>
      <c r="N2940" s="17"/>
      <c r="Q2940" s="17"/>
    </row>
    <row r="2941">
      <c r="B2941" s="11">
        <f>IFERROR(__xludf.DUMMYFUNCTION("""COMPUTED_VALUE"""),41753.666666666664)</f>
        <v>41753.66667</v>
      </c>
      <c r="C2941" s="9">
        <f>IFERROR(__xludf.DUMMYFUNCTION("""COMPUTED_VALUE"""),53.03)</f>
        <v>53.03</v>
      </c>
      <c r="E2941" s="17"/>
      <c r="N2941" s="17"/>
      <c r="Q2941" s="17"/>
    </row>
    <row r="2942">
      <c r="B2942" s="11">
        <f>IFERROR(__xludf.DUMMYFUNCTION("""COMPUTED_VALUE"""),41752.666666666664)</f>
        <v>41752.66667</v>
      </c>
      <c r="C2942" s="9">
        <f>IFERROR(__xludf.DUMMYFUNCTION("""COMPUTED_VALUE"""),53.13)</f>
        <v>53.13</v>
      </c>
      <c r="E2942" s="17"/>
      <c r="N2942" s="17"/>
      <c r="Q2942" s="17"/>
    </row>
    <row r="2943">
      <c r="B2943" s="11">
        <f>IFERROR(__xludf.DUMMYFUNCTION("""COMPUTED_VALUE"""),41751.666666666664)</f>
        <v>41751.66667</v>
      </c>
      <c r="C2943" s="9">
        <f>IFERROR(__xludf.DUMMYFUNCTION("""COMPUTED_VALUE"""),52.93)</f>
        <v>52.93</v>
      </c>
      <c r="E2943" s="17"/>
      <c r="N2943" s="17"/>
      <c r="Q2943" s="17"/>
    </row>
    <row r="2944">
      <c r="B2944" s="11">
        <f>IFERROR(__xludf.DUMMYFUNCTION("""COMPUTED_VALUE"""),41750.666666666664)</f>
        <v>41750.66667</v>
      </c>
      <c r="C2944" s="9">
        <f>IFERROR(__xludf.DUMMYFUNCTION("""COMPUTED_VALUE"""),52.9)</f>
        <v>52.9</v>
      </c>
      <c r="E2944" s="17"/>
      <c r="N2944" s="17"/>
      <c r="Q2944" s="17"/>
    </row>
    <row r="2945">
      <c r="B2945" s="11">
        <f>IFERROR(__xludf.DUMMYFUNCTION("""COMPUTED_VALUE"""),41746.666666666664)</f>
        <v>41746.66667</v>
      </c>
      <c r="C2945" s="9">
        <f>IFERROR(__xludf.DUMMYFUNCTION("""COMPUTED_VALUE"""),52.75)</f>
        <v>52.75</v>
      </c>
      <c r="E2945" s="17"/>
      <c r="N2945" s="17"/>
      <c r="Q2945" s="17"/>
    </row>
    <row r="2946">
      <c r="B2946" s="11">
        <f>IFERROR(__xludf.DUMMYFUNCTION("""COMPUTED_VALUE"""),41745.666666666664)</f>
        <v>41745.66667</v>
      </c>
      <c r="C2946" s="9">
        <f>IFERROR(__xludf.DUMMYFUNCTION("""COMPUTED_VALUE"""),52.34)</f>
        <v>52.34</v>
      </c>
      <c r="E2946" s="17"/>
      <c r="N2946" s="17"/>
      <c r="Q2946" s="17"/>
    </row>
    <row r="2947">
      <c r="B2947" s="11">
        <f>IFERROR(__xludf.DUMMYFUNCTION("""COMPUTED_VALUE"""),41744.666666666664)</f>
        <v>41744.66667</v>
      </c>
      <c r="C2947" s="9">
        <f>IFERROR(__xludf.DUMMYFUNCTION("""COMPUTED_VALUE"""),51.55)</f>
        <v>51.55</v>
      </c>
      <c r="E2947" s="17"/>
      <c r="N2947" s="17"/>
      <c r="Q2947" s="17"/>
    </row>
    <row r="2948">
      <c r="B2948" s="11">
        <f>IFERROR(__xludf.DUMMYFUNCTION("""COMPUTED_VALUE"""),41743.666666666664)</f>
        <v>41743.66667</v>
      </c>
      <c r="C2948" s="9">
        <f>IFERROR(__xludf.DUMMYFUNCTION("""COMPUTED_VALUE"""),51.19)</f>
        <v>51.19</v>
      </c>
      <c r="E2948" s="17"/>
      <c r="N2948" s="17"/>
      <c r="Q2948" s="17"/>
    </row>
    <row r="2949">
      <c r="B2949" s="11">
        <f>IFERROR(__xludf.DUMMYFUNCTION("""COMPUTED_VALUE"""),41740.666666666664)</f>
        <v>41740.66667</v>
      </c>
      <c r="C2949" s="9">
        <f>IFERROR(__xludf.DUMMYFUNCTION("""COMPUTED_VALUE"""),50.9)</f>
        <v>50.9</v>
      </c>
      <c r="E2949" s="17"/>
      <c r="N2949" s="17"/>
      <c r="Q2949" s="17"/>
    </row>
    <row r="2950">
      <c r="B2950" s="11">
        <f>IFERROR(__xludf.DUMMYFUNCTION("""COMPUTED_VALUE"""),41739.666666666664)</f>
        <v>41739.66667</v>
      </c>
      <c r="C2950" s="9">
        <f>IFERROR(__xludf.DUMMYFUNCTION("""COMPUTED_VALUE"""),51.41)</f>
        <v>51.41</v>
      </c>
      <c r="E2950" s="17"/>
      <c r="N2950" s="17"/>
      <c r="Q2950" s="17"/>
    </row>
    <row r="2951">
      <c r="B2951" s="11">
        <f>IFERROR(__xludf.DUMMYFUNCTION("""COMPUTED_VALUE"""),41738.666666666664)</f>
        <v>41738.66667</v>
      </c>
      <c r="C2951" s="9">
        <f>IFERROR(__xludf.DUMMYFUNCTION("""COMPUTED_VALUE"""),52.45)</f>
        <v>52.45</v>
      </c>
      <c r="E2951" s="17"/>
      <c r="N2951" s="17"/>
      <c r="Q2951" s="17"/>
    </row>
    <row r="2952">
      <c r="B2952" s="11">
        <f>IFERROR(__xludf.DUMMYFUNCTION("""COMPUTED_VALUE"""),41737.666666666664)</f>
        <v>41737.66667</v>
      </c>
      <c r="C2952" s="9">
        <f>IFERROR(__xludf.DUMMYFUNCTION("""COMPUTED_VALUE"""),51.79)</f>
        <v>51.79</v>
      </c>
      <c r="E2952" s="17"/>
      <c r="N2952" s="17"/>
      <c r="Q2952" s="17"/>
    </row>
    <row r="2953">
      <c r="B2953" s="11">
        <f>IFERROR(__xludf.DUMMYFUNCTION("""COMPUTED_VALUE"""),41736.666666666664)</f>
        <v>41736.66667</v>
      </c>
      <c r="C2953" s="9">
        <f>IFERROR(__xludf.DUMMYFUNCTION("""COMPUTED_VALUE"""),51.79)</f>
        <v>51.79</v>
      </c>
      <c r="E2953" s="17"/>
      <c r="N2953" s="17"/>
      <c r="Q2953" s="17"/>
    </row>
    <row r="2954">
      <c r="B2954" s="11">
        <f>IFERROR(__xludf.DUMMYFUNCTION("""COMPUTED_VALUE"""),41733.666666666664)</f>
        <v>41733.66667</v>
      </c>
      <c r="C2954" s="9">
        <f>IFERROR(__xludf.DUMMYFUNCTION("""COMPUTED_VALUE"""),52.54)</f>
        <v>52.54</v>
      </c>
      <c r="E2954" s="17"/>
      <c r="N2954" s="17"/>
      <c r="Q2954" s="17"/>
    </row>
    <row r="2955">
      <c r="B2955" s="11">
        <f>IFERROR(__xludf.DUMMYFUNCTION("""COMPUTED_VALUE"""),41732.666666666664)</f>
        <v>41732.66667</v>
      </c>
      <c r="C2955" s="9">
        <f>IFERROR(__xludf.DUMMYFUNCTION("""COMPUTED_VALUE"""),53.15)</f>
        <v>53.15</v>
      </c>
      <c r="E2955" s="17"/>
      <c r="N2955" s="17"/>
      <c r="Q2955" s="17"/>
    </row>
    <row r="2956">
      <c r="B2956" s="11">
        <f>IFERROR(__xludf.DUMMYFUNCTION("""COMPUTED_VALUE"""),41731.666666666664)</f>
        <v>41731.66667</v>
      </c>
      <c r="C2956" s="9">
        <f>IFERROR(__xludf.DUMMYFUNCTION("""COMPUTED_VALUE"""),53.07)</f>
        <v>53.07</v>
      </c>
      <c r="E2956" s="17"/>
      <c r="N2956" s="17"/>
      <c r="Q2956" s="17"/>
    </row>
    <row r="2957">
      <c r="B2957" s="11">
        <f>IFERROR(__xludf.DUMMYFUNCTION("""COMPUTED_VALUE"""),41730.666666666664)</f>
        <v>41730.66667</v>
      </c>
      <c r="C2957" s="9">
        <f>IFERROR(__xludf.DUMMYFUNCTION("""COMPUTED_VALUE"""),52.7)</f>
        <v>52.7</v>
      </c>
      <c r="E2957" s="17"/>
      <c r="N2957" s="17"/>
      <c r="Q2957" s="17"/>
    </row>
    <row r="2958">
      <c r="B2958" s="11">
        <f>IFERROR(__xludf.DUMMYFUNCTION("""COMPUTED_VALUE"""),41729.666666666664)</f>
        <v>41729.66667</v>
      </c>
      <c r="C2958" s="9">
        <f>IFERROR(__xludf.DUMMYFUNCTION("""COMPUTED_VALUE"""),52.33)</f>
        <v>52.33</v>
      </c>
      <c r="E2958" s="17"/>
      <c r="N2958" s="17"/>
      <c r="Q2958" s="17"/>
    </row>
    <row r="2959">
      <c r="B2959" s="11">
        <f>IFERROR(__xludf.DUMMYFUNCTION("""COMPUTED_VALUE"""),41726.666666666664)</f>
        <v>41726.66667</v>
      </c>
      <c r="C2959" s="9">
        <f>IFERROR(__xludf.DUMMYFUNCTION("""COMPUTED_VALUE"""),51.73)</f>
        <v>51.73</v>
      </c>
      <c r="E2959" s="17"/>
      <c r="N2959" s="17"/>
      <c r="Q2959" s="17"/>
    </row>
    <row r="2960">
      <c r="B2960" s="11">
        <f>IFERROR(__xludf.DUMMYFUNCTION("""COMPUTED_VALUE"""),41725.666666666664)</f>
        <v>41725.66667</v>
      </c>
      <c r="C2960" s="9">
        <f>IFERROR(__xludf.DUMMYFUNCTION("""COMPUTED_VALUE"""),51.35)</f>
        <v>51.35</v>
      </c>
      <c r="E2960" s="17"/>
      <c r="N2960" s="17"/>
      <c r="Q2960" s="17"/>
    </row>
    <row r="2961">
      <c r="B2961" s="11">
        <f>IFERROR(__xludf.DUMMYFUNCTION("""COMPUTED_VALUE"""),41724.666666666664)</f>
        <v>41724.66667</v>
      </c>
      <c r="C2961" s="9">
        <f>IFERROR(__xludf.DUMMYFUNCTION("""COMPUTED_VALUE"""),51.42)</f>
        <v>51.42</v>
      </c>
      <c r="E2961" s="17"/>
      <c r="N2961" s="17"/>
      <c r="Q2961" s="17"/>
    </row>
    <row r="2962">
      <c r="B2962" s="11">
        <f>IFERROR(__xludf.DUMMYFUNCTION("""COMPUTED_VALUE"""),41723.666666666664)</f>
        <v>41723.66667</v>
      </c>
      <c r="C2962" s="9">
        <f>IFERROR(__xludf.DUMMYFUNCTION("""COMPUTED_VALUE"""),51.95)</f>
        <v>51.95</v>
      </c>
      <c r="E2962" s="17"/>
      <c r="N2962" s="17"/>
      <c r="Q2962" s="17"/>
    </row>
    <row r="2963">
      <c r="B2963" s="11">
        <f>IFERROR(__xludf.DUMMYFUNCTION("""COMPUTED_VALUE"""),41722.666666666664)</f>
        <v>41722.66667</v>
      </c>
      <c r="C2963" s="9">
        <f>IFERROR(__xludf.DUMMYFUNCTION("""COMPUTED_VALUE"""),51.48)</f>
        <v>51.48</v>
      </c>
      <c r="E2963" s="17"/>
      <c r="N2963" s="17"/>
      <c r="Q2963" s="17"/>
    </row>
    <row r="2964">
      <c r="B2964" s="11">
        <f>IFERROR(__xludf.DUMMYFUNCTION("""COMPUTED_VALUE"""),41719.666666666664)</f>
        <v>41719.66667</v>
      </c>
      <c r="C2964" s="9">
        <f>IFERROR(__xludf.DUMMYFUNCTION("""COMPUTED_VALUE"""),51.65)</f>
        <v>51.65</v>
      </c>
      <c r="E2964" s="17"/>
      <c r="N2964" s="17"/>
      <c r="Q2964" s="17"/>
    </row>
    <row r="2965">
      <c r="B2965" s="11">
        <f>IFERROR(__xludf.DUMMYFUNCTION("""COMPUTED_VALUE"""),41718.666666666664)</f>
        <v>41718.66667</v>
      </c>
      <c r="C2965" s="9">
        <f>IFERROR(__xludf.DUMMYFUNCTION("""COMPUTED_VALUE"""),51.87)</f>
        <v>51.87</v>
      </c>
      <c r="E2965" s="17"/>
      <c r="N2965" s="17"/>
      <c r="Q2965" s="17"/>
    </row>
    <row r="2966">
      <c r="B2966" s="11">
        <f>IFERROR(__xludf.DUMMYFUNCTION("""COMPUTED_VALUE"""),41717.666666666664)</f>
        <v>41717.66667</v>
      </c>
      <c r="C2966" s="9">
        <f>IFERROR(__xludf.DUMMYFUNCTION("""COMPUTED_VALUE"""),51.72)</f>
        <v>51.72</v>
      </c>
      <c r="E2966" s="17"/>
      <c r="N2966" s="17"/>
      <c r="Q2966" s="17"/>
    </row>
    <row r="2967">
      <c r="B2967" s="11">
        <f>IFERROR(__xludf.DUMMYFUNCTION("""COMPUTED_VALUE"""),41716.666666666664)</f>
        <v>41716.66667</v>
      </c>
      <c r="C2967" s="9">
        <f>IFERROR(__xludf.DUMMYFUNCTION("""COMPUTED_VALUE"""),52.26)</f>
        <v>52.26</v>
      </c>
      <c r="E2967" s="17"/>
      <c r="N2967" s="17"/>
      <c r="Q2967" s="17"/>
    </row>
    <row r="2968">
      <c r="B2968" s="11">
        <f>IFERROR(__xludf.DUMMYFUNCTION("""COMPUTED_VALUE"""),41715.666666666664)</f>
        <v>41715.66667</v>
      </c>
      <c r="C2968" s="9">
        <f>IFERROR(__xludf.DUMMYFUNCTION("""COMPUTED_VALUE"""),51.98)</f>
        <v>51.98</v>
      </c>
      <c r="E2968" s="17"/>
      <c r="N2968" s="17"/>
      <c r="Q2968" s="17"/>
    </row>
    <row r="2969">
      <c r="B2969" s="11">
        <f>IFERROR(__xludf.DUMMYFUNCTION("""COMPUTED_VALUE"""),41712.666666666664)</f>
        <v>41712.66667</v>
      </c>
      <c r="C2969" s="9">
        <f>IFERROR(__xludf.DUMMYFUNCTION("""COMPUTED_VALUE"""),51.35)</f>
        <v>51.35</v>
      </c>
      <c r="E2969" s="17"/>
      <c r="N2969" s="17"/>
      <c r="Q2969" s="17"/>
    </row>
    <row r="2970">
      <c r="B2970" s="11">
        <f>IFERROR(__xludf.DUMMYFUNCTION("""COMPUTED_VALUE"""),41711.666666666664)</f>
        <v>41711.66667</v>
      </c>
      <c r="C2970" s="9">
        <f>IFERROR(__xludf.DUMMYFUNCTION("""COMPUTED_VALUE"""),51.55)</f>
        <v>51.55</v>
      </c>
      <c r="E2970" s="17"/>
      <c r="N2970" s="17"/>
      <c r="Q2970" s="17"/>
    </row>
    <row r="2971">
      <c r="B2971" s="11">
        <f>IFERROR(__xludf.DUMMYFUNCTION("""COMPUTED_VALUE"""),41710.666666666664)</f>
        <v>41710.66667</v>
      </c>
      <c r="C2971" s="9">
        <f>IFERROR(__xludf.DUMMYFUNCTION("""COMPUTED_VALUE"""),52.29)</f>
        <v>52.29</v>
      </c>
      <c r="E2971" s="17"/>
      <c r="N2971" s="17"/>
      <c r="Q2971" s="17"/>
    </row>
    <row r="2972">
      <c r="B2972" s="11">
        <f>IFERROR(__xludf.DUMMYFUNCTION("""COMPUTED_VALUE"""),41709.666666666664)</f>
        <v>41709.66667</v>
      </c>
      <c r="C2972" s="9">
        <f>IFERROR(__xludf.DUMMYFUNCTION("""COMPUTED_VALUE"""),52.39)</f>
        <v>52.39</v>
      </c>
      <c r="E2972" s="17"/>
      <c r="N2972" s="17"/>
      <c r="Q2972" s="17"/>
    </row>
    <row r="2973">
      <c r="B2973" s="11">
        <f>IFERROR(__xludf.DUMMYFUNCTION("""COMPUTED_VALUE"""),41708.666666666664)</f>
        <v>41708.66667</v>
      </c>
      <c r="C2973" s="9">
        <f>IFERROR(__xludf.DUMMYFUNCTION("""COMPUTED_VALUE"""),52.77)</f>
        <v>52.77</v>
      </c>
      <c r="E2973" s="17"/>
      <c r="N2973" s="17"/>
      <c r="Q2973" s="17"/>
    </row>
    <row r="2974">
      <c r="B2974" s="11">
        <f>IFERROR(__xludf.DUMMYFUNCTION("""COMPUTED_VALUE"""),41705.666666666664)</f>
        <v>41705.66667</v>
      </c>
      <c r="C2974" s="9">
        <f>IFERROR(__xludf.DUMMYFUNCTION("""COMPUTED_VALUE"""),53.0)</f>
        <v>53</v>
      </c>
      <c r="E2974" s="17"/>
      <c r="N2974" s="17"/>
      <c r="Q2974" s="17"/>
    </row>
    <row r="2975">
      <c r="B2975" s="11">
        <f>IFERROR(__xludf.DUMMYFUNCTION("""COMPUTED_VALUE"""),41704.666666666664)</f>
        <v>41704.66667</v>
      </c>
      <c r="C2975" s="9">
        <f>IFERROR(__xludf.DUMMYFUNCTION("""COMPUTED_VALUE"""),52.83)</f>
        <v>52.83</v>
      </c>
      <c r="E2975" s="17"/>
      <c r="N2975" s="17"/>
      <c r="Q2975" s="17"/>
    </row>
    <row r="2976">
      <c r="B2976" s="11">
        <f>IFERROR(__xludf.DUMMYFUNCTION("""COMPUTED_VALUE"""),41703.666666666664)</f>
        <v>41703.66667</v>
      </c>
      <c r="C2976" s="9">
        <f>IFERROR(__xludf.DUMMYFUNCTION("""COMPUTED_VALUE"""),52.53)</f>
        <v>52.53</v>
      </c>
      <c r="E2976" s="17"/>
      <c r="N2976" s="17"/>
      <c r="Q2976" s="17"/>
    </row>
    <row r="2977">
      <c r="B2977" s="11">
        <f>IFERROR(__xludf.DUMMYFUNCTION("""COMPUTED_VALUE"""),41702.666666666664)</f>
        <v>41702.66667</v>
      </c>
      <c r="C2977" s="9">
        <f>IFERROR(__xludf.DUMMYFUNCTION("""COMPUTED_VALUE"""),52.46)</f>
        <v>52.46</v>
      </c>
      <c r="E2977" s="17"/>
      <c r="N2977" s="17"/>
      <c r="Q2977" s="17"/>
    </row>
    <row r="2978">
      <c r="B2978" s="11">
        <f>IFERROR(__xludf.DUMMYFUNCTION("""COMPUTED_VALUE"""),41701.666666666664)</f>
        <v>41701.66667</v>
      </c>
      <c r="C2978" s="9">
        <f>IFERROR(__xludf.DUMMYFUNCTION("""COMPUTED_VALUE"""),51.71)</f>
        <v>51.71</v>
      </c>
      <c r="E2978" s="17"/>
      <c r="N2978" s="17"/>
      <c r="Q2978" s="17"/>
    </row>
    <row r="2979">
      <c r="B2979" s="11">
        <f>IFERROR(__xludf.DUMMYFUNCTION("""COMPUTED_VALUE"""),41698.666666666664)</f>
        <v>41698.66667</v>
      </c>
      <c r="C2979" s="9">
        <f>IFERROR(__xludf.DUMMYFUNCTION("""COMPUTED_VALUE"""),52.06)</f>
        <v>52.06</v>
      </c>
      <c r="E2979" s="17"/>
      <c r="N2979" s="17"/>
      <c r="Q2979" s="17"/>
    </row>
    <row r="2980">
      <c r="B2980" s="11">
        <f>IFERROR(__xludf.DUMMYFUNCTION("""COMPUTED_VALUE"""),41697.666666666664)</f>
        <v>41697.66667</v>
      </c>
      <c r="C2980" s="9">
        <f>IFERROR(__xludf.DUMMYFUNCTION("""COMPUTED_VALUE"""),51.96)</f>
        <v>51.96</v>
      </c>
      <c r="E2980" s="17"/>
      <c r="N2980" s="17"/>
      <c r="Q2980" s="17"/>
    </row>
    <row r="2981">
      <c r="B2981" s="11">
        <f>IFERROR(__xludf.DUMMYFUNCTION("""COMPUTED_VALUE"""),41696.666666666664)</f>
        <v>41696.66667</v>
      </c>
      <c r="C2981" s="9">
        <f>IFERROR(__xludf.DUMMYFUNCTION("""COMPUTED_VALUE"""),51.66)</f>
        <v>51.66</v>
      </c>
      <c r="E2981" s="17"/>
      <c r="N2981" s="17"/>
      <c r="Q2981" s="17"/>
    </row>
    <row r="2982">
      <c r="B2982" s="11">
        <f>IFERROR(__xludf.DUMMYFUNCTION("""COMPUTED_VALUE"""),41695.666666666664)</f>
        <v>41695.66667</v>
      </c>
      <c r="C2982" s="9">
        <f>IFERROR(__xludf.DUMMYFUNCTION("""COMPUTED_VALUE"""),51.61)</f>
        <v>51.61</v>
      </c>
      <c r="E2982" s="17"/>
      <c r="N2982" s="17"/>
      <c r="Q2982" s="17"/>
    </row>
    <row r="2983">
      <c r="B2983" s="11">
        <f>IFERROR(__xludf.DUMMYFUNCTION("""COMPUTED_VALUE"""),41694.666666666664)</f>
        <v>41694.66667</v>
      </c>
      <c r="C2983" s="9">
        <f>IFERROR(__xludf.DUMMYFUNCTION("""COMPUTED_VALUE"""),51.78)</f>
        <v>51.78</v>
      </c>
      <c r="E2983" s="17"/>
      <c r="N2983" s="17"/>
      <c r="Q2983" s="17"/>
    </row>
    <row r="2984">
      <c r="B2984" s="11">
        <f>IFERROR(__xludf.DUMMYFUNCTION("""COMPUTED_VALUE"""),41691.666666666664)</f>
        <v>41691.66667</v>
      </c>
      <c r="C2984" s="9">
        <f>IFERROR(__xludf.DUMMYFUNCTION("""COMPUTED_VALUE"""),51.39)</f>
        <v>51.39</v>
      </c>
      <c r="E2984" s="17"/>
      <c r="N2984" s="17"/>
      <c r="Q2984" s="17"/>
    </row>
    <row r="2985">
      <c r="B2985" s="11">
        <f>IFERROR(__xludf.DUMMYFUNCTION("""COMPUTED_VALUE"""),41690.666666666664)</f>
        <v>41690.66667</v>
      </c>
      <c r="C2985" s="9">
        <f>IFERROR(__xludf.DUMMYFUNCTION("""COMPUTED_VALUE"""),51.33)</f>
        <v>51.33</v>
      </c>
      <c r="E2985" s="17"/>
      <c r="N2985" s="17"/>
      <c r="Q2985" s="17"/>
    </row>
    <row r="2986">
      <c r="B2986" s="11">
        <f>IFERROR(__xludf.DUMMYFUNCTION("""COMPUTED_VALUE"""),41689.666666666664)</f>
        <v>41689.66667</v>
      </c>
      <c r="C2986" s="9">
        <f>IFERROR(__xludf.DUMMYFUNCTION("""COMPUTED_VALUE"""),50.85)</f>
        <v>50.85</v>
      </c>
      <c r="E2986" s="17"/>
      <c r="N2986" s="17"/>
      <c r="Q2986" s="17"/>
    </row>
    <row r="2987">
      <c r="B2987" s="11">
        <f>IFERROR(__xludf.DUMMYFUNCTION("""COMPUTED_VALUE"""),41688.666666666664)</f>
        <v>41688.66667</v>
      </c>
      <c r="C2987" s="9">
        <f>IFERROR(__xludf.DUMMYFUNCTION("""COMPUTED_VALUE"""),51.33)</f>
        <v>51.33</v>
      </c>
      <c r="E2987" s="17"/>
      <c r="N2987" s="17"/>
      <c r="Q2987" s="17"/>
    </row>
    <row r="2988">
      <c r="B2988" s="11">
        <f>IFERROR(__xludf.DUMMYFUNCTION("""COMPUTED_VALUE"""),41684.666666666664)</f>
        <v>41684.66667</v>
      </c>
      <c r="C2988" s="9">
        <f>IFERROR(__xludf.DUMMYFUNCTION("""COMPUTED_VALUE"""),51.37)</f>
        <v>51.37</v>
      </c>
      <c r="E2988" s="17"/>
      <c r="N2988" s="17"/>
      <c r="Q2988" s="17"/>
    </row>
    <row r="2989">
      <c r="B2989" s="11">
        <f>IFERROR(__xludf.DUMMYFUNCTION("""COMPUTED_VALUE"""),41683.666666666664)</f>
        <v>41683.66667</v>
      </c>
      <c r="C2989" s="9">
        <f>IFERROR(__xludf.DUMMYFUNCTION("""COMPUTED_VALUE"""),51.04)</f>
        <v>51.04</v>
      </c>
      <c r="E2989" s="17"/>
      <c r="N2989" s="17"/>
      <c r="Q2989" s="17"/>
    </row>
    <row r="2990">
      <c r="B2990" s="11">
        <f>IFERROR(__xludf.DUMMYFUNCTION("""COMPUTED_VALUE"""),41682.666666666664)</f>
        <v>41682.66667</v>
      </c>
      <c r="C2990" s="9">
        <f>IFERROR(__xludf.DUMMYFUNCTION("""COMPUTED_VALUE"""),51.0)</f>
        <v>51</v>
      </c>
      <c r="E2990" s="17"/>
      <c r="N2990" s="17"/>
      <c r="Q2990" s="17"/>
    </row>
    <row r="2991">
      <c r="B2991" s="11">
        <f>IFERROR(__xludf.DUMMYFUNCTION("""COMPUTED_VALUE"""),41681.666666666664)</f>
        <v>41681.66667</v>
      </c>
      <c r="C2991" s="9">
        <f>IFERROR(__xludf.DUMMYFUNCTION("""COMPUTED_VALUE"""),50.71)</f>
        <v>50.71</v>
      </c>
      <c r="E2991" s="17"/>
      <c r="N2991" s="17"/>
      <c r="Q2991" s="17"/>
    </row>
    <row r="2992">
      <c r="B2992" s="11">
        <f>IFERROR(__xludf.DUMMYFUNCTION("""COMPUTED_VALUE"""),41680.666666666664)</f>
        <v>41680.66667</v>
      </c>
      <c r="C2992" s="9">
        <f>IFERROR(__xludf.DUMMYFUNCTION("""COMPUTED_VALUE"""),50.15)</f>
        <v>50.15</v>
      </c>
      <c r="E2992" s="17"/>
      <c r="N2992" s="17"/>
      <c r="Q2992" s="17"/>
    </row>
    <row r="2993">
      <c r="B2993" s="11">
        <f>IFERROR(__xludf.DUMMYFUNCTION("""COMPUTED_VALUE"""),41677.666666666664)</f>
        <v>41677.66667</v>
      </c>
      <c r="C2993" s="9">
        <f>IFERROR(__xludf.DUMMYFUNCTION("""COMPUTED_VALUE"""),50.47)</f>
        <v>50.47</v>
      </c>
      <c r="E2993" s="17"/>
      <c r="N2993" s="17"/>
      <c r="Q2993" s="17"/>
    </row>
    <row r="2994">
      <c r="B2994" s="11">
        <f>IFERROR(__xludf.DUMMYFUNCTION("""COMPUTED_VALUE"""),41676.666666666664)</f>
        <v>41676.66667</v>
      </c>
      <c r="C2994" s="9">
        <f>IFERROR(__xludf.DUMMYFUNCTION("""COMPUTED_VALUE"""),49.61)</f>
        <v>49.61</v>
      </c>
      <c r="E2994" s="17"/>
      <c r="N2994" s="17"/>
      <c r="Q2994" s="17"/>
    </row>
    <row r="2995">
      <c r="B2995" s="11">
        <f>IFERROR(__xludf.DUMMYFUNCTION("""COMPUTED_VALUE"""),41675.666666666664)</f>
        <v>41675.66667</v>
      </c>
      <c r="C2995" s="9">
        <f>IFERROR(__xludf.DUMMYFUNCTION("""COMPUTED_VALUE"""),48.93)</f>
        <v>48.93</v>
      </c>
      <c r="E2995" s="17"/>
      <c r="N2995" s="17"/>
      <c r="Q2995" s="17"/>
    </row>
    <row r="2996">
      <c r="B2996" s="11">
        <f>IFERROR(__xludf.DUMMYFUNCTION("""COMPUTED_VALUE"""),41674.666666666664)</f>
        <v>41674.66667</v>
      </c>
      <c r="C2996" s="9">
        <f>IFERROR(__xludf.DUMMYFUNCTION("""COMPUTED_VALUE"""),48.95)</f>
        <v>48.95</v>
      </c>
      <c r="E2996" s="17"/>
      <c r="N2996" s="17"/>
      <c r="Q2996" s="17"/>
    </row>
    <row r="2997">
      <c r="B2997" s="11">
        <f>IFERROR(__xludf.DUMMYFUNCTION("""COMPUTED_VALUE"""),41673.666666666664)</f>
        <v>41673.66667</v>
      </c>
      <c r="C2997" s="9">
        <f>IFERROR(__xludf.DUMMYFUNCTION("""COMPUTED_VALUE"""),48.64)</f>
        <v>48.64</v>
      </c>
      <c r="E2997" s="17"/>
      <c r="N2997" s="17"/>
      <c r="Q2997" s="17"/>
    </row>
    <row r="2998">
      <c r="B2998" s="11">
        <f>IFERROR(__xludf.DUMMYFUNCTION("""COMPUTED_VALUE"""),41670.666666666664)</f>
        <v>41670.66667</v>
      </c>
      <c r="C2998" s="9">
        <f>IFERROR(__xludf.DUMMYFUNCTION("""COMPUTED_VALUE"""),50.03)</f>
        <v>50.03</v>
      </c>
      <c r="E2998" s="17"/>
      <c r="N2998" s="17"/>
      <c r="Q2998" s="17"/>
    </row>
    <row r="2999">
      <c r="B2999" s="11">
        <f>IFERROR(__xludf.DUMMYFUNCTION("""COMPUTED_VALUE"""),41669.666666666664)</f>
        <v>41669.66667</v>
      </c>
      <c r="C2999" s="9">
        <f>IFERROR(__xludf.DUMMYFUNCTION("""COMPUTED_VALUE"""),50.28)</f>
        <v>50.28</v>
      </c>
      <c r="E2999" s="17"/>
      <c r="N2999" s="17"/>
      <c r="Q2999" s="17"/>
    </row>
    <row r="3000">
      <c r="B3000" s="11">
        <f>IFERROR(__xludf.DUMMYFUNCTION("""COMPUTED_VALUE"""),41668.666666666664)</f>
        <v>41668.66667</v>
      </c>
      <c r="C3000" s="9">
        <f>IFERROR(__xludf.DUMMYFUNCTION("""COMPUTED_VALUE"""),49.79)</f>
        <v>49.79</v>
      </c>
      <c r="E3000" s="17"/>
      <c r="N3000" s="17"/>
      <c r="Q3000" s="17"/>
    </row>
    <row r="3001">
      <c r="B3001" s="11">
        <f>IFERROR(__xludf.DUMMYFUNCTION("""COMPUTED_VALUE"""),41667.666666666664)</f>
        <v>41667.66667</v>
      </c>
      <c r="C3001" s="9">
        <f>IFERROR(__xludf.DUMMYFUNCTION("""COMPUTED_VALUE"""),50.33)</f>
        <v>50.33</v>
      </c>
      <c r="E3001" s="17"/>
      <c r="N3001" s="17"/>
      <c r="Q3001" s="17"/>
    </row>
    <row r="3002">
      <c r="B3002" s="11">
        <f>IFERROR(__xludf.DUMMYFUNCTION("""COMPUTED_VALUE"""),41666.666666666664)</f>
        <v>41666.66667</v>
      </c>
      <c r="C3002" s="9">
        <f>IFERROR(__xludf.DUMMYFUNCTION("""COMPUTED_VALUE"""),49.86)</f>
        <v>49.86</v>
      </c>
      <c r="E3002" s="17"/>
      <c r="N3002" s="17"/>
      <c r="Q3002" s="17"/>
    </row>
    <row r="3003">
      <c r="B3003" s="11">
        <f>IFERROR(__xludf.DUMMYFUNCTION("""COMPUTED_VALUE"""),41663.666666666664)</f>
        <v>41663.66667</v>
      </c>
      <c r="C3003" s="9">
        <f>IFERROR(__xludf.DUMMYFUNCTION("""COMPUTED_VALUE"""),49.81)</f>
        <v>49.81</v>
      </c>
      <c r="E3003" s="17"/>
      <c r="N3003" s="17"/>
      <c r="Q3003" s="17"/>
    </row>
    <row r="3004">
      <c r="B3004" s="11">
        <f>IFERROR(__xludf.DUMMYFUNCTION("""COMPUTED_VALUE"""),41662.666666666664)</f>
        <v>41662.66667</v>
      </c>
      <c r="C3004" s="9">
        <f>IFERROR(__xludf.DUMMYFUNCTION("""COMPUTED_VALUE"""),51.41)</f>
        <v>51.41</v>
      </c>
      <c r="E3004" s="17"/>
      <c r="N3004" s="17"/>
      <c r="Q3004" s="17"/>
    </row>
    <row r="3005">
      <c r="B3005" s="11">
        <f>IFERROR(__xludf.DUMMYFUNCTION("""COMPUTED_VALUE"""),41661.666666666664)</f>
        <v>41661.66667</v>
      </c>
      <c r="C3005" s="9">
        <f>IFERROR(__xludf.DUMMYFUNCTION("""COMPUTED_VALUE"""),52.03)</f>
        <v>52.03</v>
      </c>
      <c r="E3005" s="17"/>
      <c r="N3005" s="17"/>
      <c r="Q3005" s="17"/>
    </row>
    <row r="3006">
      <c r="B3006" s="11">
        <f>IFERROR(__xludf.DUMMYFUNCTION("""COMPUTED_VALUE"""),41660.666666666664)</f>
        <v>41660.66667</v>
      </c>
      <c r="C3006" s="9">
        <f>IFERROR(__xludf.DUMMYFUNCTION("""COMPUTED_VALUE"""),51.87)</f>
        <v>51.87</v>
      </c>
      <c r="E3006" s="17"/>
      <c r="N3006" s="17"/>
      <c r="Q3006" s="17"/>
    </row>
    <row r="3007">
      <c r="B3007" s="11">
        <f>IFERROR(__xludf.DUMMYFUNCTION("""COMPUTED_VALUE"""),41656.666666666664)</f>
        <v>41656.66667</v>
      </c>
      <c r="C3007" s="9">
        <f>IFERROR(__xludf.DUMMYFUNCTION("""COMPUTED_VALUE"""),51.82)</f>
        <v>51.82</v>
      </c>
      <c r="E3007" s="17"/>
      <c r="N3007" s="17"/>
      <c r="Q3007" s="17"/>
    </row>
    <row r="3008">
      <c r="B3008" s="11">
        <f>IFERROR(__xludf.DUMMYFUNCTION("""COMPUTED_VALUE"""),41655.666666666664)</f>
        <v>41655.66667</v>
      </c>
      <c r="C3008" s="9">
        <f>IFERROR(__xludf.DUMMYFUNCTION("""COMPUTED_VALUE"""),52.08)</f>
        <v>52.08</v>
      </c>
      <c r="E3008" s="17"/>
      <c r="N3008" s="17"/>
      <c r="Q3008" s="17"/>
    </row>
    <row r="3009">
      <c r="B3009" s="11">
        <f>IFERROR(__xludf.DUMMYFUNCTION("""COMPUTED_VALUE"""),41654.666666666664)</f>
        <v>41654.66667</v>
      </c>
      <c r="C3009" s="9">
        <f>IFERROR(__xludf.DUMMYFUNCTION("""COMPUTED_VALUE"""),52.21)</f>
        <v>52.21</v>
      </c>
      <c r="E3009" s="17"/>
      <c r="N3009" s="17"/>
      <c r="Q3009" s="17"/>
    </row>
    <row r="3010">
      <c r="B3010" s="11">
        <f>IFERROR(__xludf.DUMMYFUNCTION("""COMPUTED_VALUE"""),41653.666666666664)</f>
        <v>41653.66667</v>
      </c>
      <c r="C3010" s="9">
        <f>IFERROR(__xludf.DUMMYFUNCTION("""COMPUTED_VALUE"""),51.84)</f>
        <v>51.84</v>
      </c>
      <c r="E3010" s="17"/>
      <c r="N3010" s="17"/>
      <c r="Q3010" s="17"/>
    </row>
    <row r="3011">
      <c r="B3011" s="11">
        <f>IFERROR(__xludf.DUMMYFUNCTION("""COMPUTED_VALUE"""),41652.666666666664)</f>
        <v>41652.66667</v>
      </c>
      <c r="C3011" s="9">
        <f>IFERROR(__xludf.DUMMYFUNCTION("""COMPUTED_VALUE"""),51.3)</f>
        <v>51.3</v>
      </c>
      <c r="E3011" s="17"/>
      <c r="N3011" s="17"/>
      <c r="Q3011" s="17"/>
    </row>
    <row r="3012">
      <c r="B3012" s="11">
        <f>IFERROR(__xludf.DUMMYFUNCTION("""COMPUTED_VALUE"""),41649.666666666664)</f>
        <v>41649.66667</v>
      </c>
      <c r="C3012" s="9">
        <f>IFERROR(__xludf.DUMMYFUNCTION("""COMPUTED_VALUE"""),51.93)</f>
        <v>51.93</v>
      </c>
      <c r="E3012" s="17"/>
      <c r="N3012" s="17"/>
      <c r="Q3012" s="17"/>
    </row>
    <row r="3013">
      <c r="B3013" s="11">
        <f>IFERROR(__xludf.DUMMYFUNCTION("""COMPUTED_VALUE"""),41648.666666666664)</f>
        <v>41648.66667</v>
      </c>
      <c r="C3013" s="9">
        <f>IFERROR(__xludf.DUMMYFUNCTION("""COMPUTED_VALUE"""),51.85)</f>
        <v>51.85</v>
      </c>
      <c r="E3013" s="17"/>
      <c r="N3013" s="17"/>
      <c r="Q3013" s="17"/>
    </row>
    <row r="3014">
      <c r="B3014" s="11">
        <f>IFERROR(__xludf.DUMMYFUNCTION("""COMPUTED_VALUE"""),41647.666666666664)</f>
        <v>41647.66667</v>
      </c>
      <c r="C3014" s="9">
        <f>IFERROR(__xludf.DUMMYFUNCTION("""COMPUTED_VALUE"""),51.6)</f>
        <v>51.6</v>
      </c>
      <c r="E3014" s="17"/>
      <c r="N3014" s="17"/>
      <c r="Q3014" s="17"/>
    </row>
    <row r="3015">
      <c r="B3015" s="11">
        <f>IFERROR(__xludf.DUMMYFUNCTION("""COMPUTED_VALUE"""),41646.666666666664)</f>
        <v>41646.66667</v>
      </c>
      <c r="C3015" s="9">
        <f>IFERROR(__xludf.DUMMYFUNCTION("""COMPUTED_VALUE"""),51.69)</f>
        <v>51.69</v>
      </c>
      <c r="E3015" s="17"/>
      <c r="N3015" s="17"/>
      <c r="Q3015" s="17"/>
    </row>
    <row r="3016">
      <c r="B3016" s="11">
        <f>IFERROR(__xludf.DUMMYFUNCTION("""COMPUTED_VALUE"""),41645.666666666664)</f>
        <v>41645.66667</v>
      </c>
      <c r="C3016" s="9">
        <f>IFERROR(__xludf.DUMMYFUNCTION("""COMPUTED_VALUE"""),51.37)</f>
        <v>51.37</v>
      </c>
      <c r="E3016" s="17"/>
      <c r="N3016" s="17"/>
      <c r="Q3016" s="17"/>
    </row>
    <row r="3017">
      <c r="B3017" s="11">
        <f>IFERROR(__xludf.DUMMYFUNCTION("""COMPUTED_VALUE"""),41642.666666666664)</f>
        <v>41642.66667</v>
      </c>
      <c r="C3017" s="9">
        <f>IFERROR(__xludf.DUMMYFUNCTION("""COMPUTED_VALUE"""),51.67)</f>
        <v>51.67</v>
      </c>
      <c r="E3017" s="17"/>
      <c r="N3017" s="17"/>
      <c r="Q3017" s="17"/>
    </row>
    <row r="3018">
      <c r="B3018" s="11">
        <f>IFERROR(__xludf.DUMMYFUNCTION("""COMPUTED_VALUE"""),41641.666666666664)</f>
        <v>41641.66667</v>
      </c>
      <c r="C3018" s="9">
        <f>IFERROR(__xludf.DUMMYFUNCTION("""COMPUTED_VALUE"""),51.53)</f>
        <v>51.53</v>
      </c>
      <c r="E3018" s="17"/>
      <c r="N3018" s="17"/>
      <c r="Q3018" s="17"/>
    </row>
    <row r="3019">
      <c r="B3019" s="11">
        <f>IFERROR(__xludf.DUMMYFUNCTION("""COMPUTED_VALUE"""),41639.666666666664)</f>
        <v>41639.66667</v>
      </c>
      <c r="C3019" s="9">
        <f>IFERROR(__xludf.DUMMYFUNCTION("""COMPUTED_VALUE"""),52.26)</f>
        <v>52.26</v>
      </c>
      <c r="E3019" s="17"/>
      <c r="N3019" s="17"/>
      <c r="Q3019" s="17"/>
    </row>
    <row r="3020">
      <c r="B3020" s="11">
        <f>IFERROR(__xludf.DUMMYFUNCTION("""COMPUTED_VALUE"""),41638.666666666664)</f>
        <v>41638.66667</v>
      </c>
      <c r="C3020" s="9">
        <f>IFERROR(__xludf.DUMMYFUNCTION("""COMPUTED_VALUE"""),51.95)</f>
        <v>51.95</v>
      </c>
      <c r="E3020" s="17"/>
      <c r="N3020" s="17"/>
      <c r="Q3020" s="17"/>
    </row>
    <row r="3021">
      <c r="B3021" s="11">
        <f>IFERROR(__xludf.DUMMYFUNCTION("""COMPUTED_VALUE"""),41635.666666666664)</f>
        <v>41635.66667</v>
      </c>
      <c r="C3021" s="9">
        <f>IFERROR(__xludf.DUMMYFUNCTION("""COMPUTED_VALUE"""),52.0)</f>
        <v>52</v>
      </c>
      <c r="E3021" s="17"/>
      <c r="N3021" s="17"/>
      <c r="Q3021" s="17"/>
    </row>
    <row r="3022">
      <c r="B3022" s="11">
        <f>IFERROR(__xludf.DUMMYFUNCTION("""COMPUTED_VALUE"""),41634.666666666664)</f>
        <v>41634.66667</v>
      </c>
      <c r="C3022" s="9">
        <f>IFERROR(__xludf.DUMMYFUNCTION("""COMPUTED_VALUE"""),52.06)</f>
        <v>52.06</v>
      </c>
      <c r="E3022" s="17"/>
      <c r="N3022" s="17"/>
      <c r="Q3022" s="17"/>
    </row>
    <row r="3023">
      <c r="B3023" s="11">
        <f>IFERROR(__xludf.DUMMYFUNCTION("""COMPUTED_VALUE"""),41632.666666666664)</f>
        <v>41632.66667</v>
      </c>
      <c r="C3023" s="9">
        <f>IFERROR(__xludf.DUMMYFUNCTION("""COMPUTED_VALUE"""),51.7)</f>
        <v>51.7</v>
      </c>
      <c r="E3023" s="17"/>
      <c r="N3023" s="17"/>
      <c r="Q3023" s="17"/>
    </row>
    <row r="3024">
      <c r="B3024" s="11">
        <f>IFERROR(__xludf.DUMMYFUNCTION("""COMPUTED_VALUE"""),41631.666666666664)</f>
        <v>41631.66667</v>
      </c>
      <c r="C3024" s="9">
        <f>IFERROR(__xludf.DUMMYFUNCTION("""COMPUTED_VALUE"""),51.46)</f>
        <v>51.46</v>
      </c>
      <c r="E3024" s="17"/>
      <c r="N3024" s="17"/>
      <c r="Q3024" s="17"/>
    </row>
    <row r="3025">
      <c r="B3025" s="11">
        <f>IFERROR(__xludf.DUMMYFUNCTION("""COMPUTED_VALUE"""),41628.666666666664)</f>
        <v>41628.66667</v>
      </c>
      <c r="C3025" s="9">
        <f>IFERROR(__xludf.DUMMYFUNCTION("""COMPUTED_VALUE"""),51.26)</f>
        <v>51.26</v>
      </c>
      <c r="E3025" s="17"/>
      <c r="N3025" s="17"/>
      <c r="Q3025" s="17"/>
    </row>
    <row r="3026">
      <c r="B3026" s="11">
        <f>IFERROR(__xludf.DUMMYFUNCTION("""COMPUTED_VALUE"""),41627.666666666664)</f>
        <v>41627.66667</v>
      </c>
      <c r="C3026" s="9">
        <f>IFERROR(__xludf.DUMMYFUNCTION("""COMPUTED_VALUE"""),51.11)</f>
        <v>51.11</v>
      </c>
      <c r="E3026" s="17"/>
      <c r="N3026" s="17"/>
      <c r="Q3026" s="17"/>
    </row>
    <row r="3027">
      <c r="B3027" s="11">
        <f>IFERROR(__xludf.DUMMYFUNCTION("""COMPUTED_VALUE"""),41626.666666666664)</f>
        <v>41626.66667</v>
      </c>
      <c r="C3027" s="9">
        <f>IFERROR(__xludf.DUMMYFUNCTION("""COMPUTED_VALUE"""),51.06)</f>
        <v>51.06</v>
      </c>
      <c r="E3027" s="17"/>
      <c r="N3027" s="17"/>
      <c r="Q3027" s="17"/>
    </row>
    <row r="3028">
      <c r="B3028" s="11">
        <f>IFERROR(__xludf.DUMMYFUNCTION("""COMPUTED_VALUE"""),41625.666666666664)</f>
        <v>41625.66667</v>
      </c>
      <c r="C3028" s="9">
        <f>IFERROR(__xludf.DUMMYFUNCTION("""COMPUTED_VALUE"""),50.22)</f>
        <v>50.22</v>
      </c>
      <c r="E3028" s="17"/>
      <c r="N3028" s="17"/>
      <c r="Q3028" s="17"/>
    </row>
    <row r="3029">
      <c r="B3029" s="11">
        <f>IFERROR(__xludf.DUMMYFUNCTION("""COMPUTED_VALUE"""),41624.666666666664)</f>
        <v>41624.66667</v>
      </c>
      <c r="C3029" s="9">
        <f>IFERROR(__xludf.DUMMYFUNCTION("""COMPUTED_VALUE"""),50.24)</f>
        <v>50.24</v>
      </c>
      <c r="E3029" s="17"/>
      <c r="N3029" s="17"/>
      <c r="Q3029" s="17"/>
    </row>
    <row r="3030">
      <c r="B3030" s="11">
        <f>IFERROR(__xludf.DUMMYFUNCTION("""COMPUTED_VALUE"""),41621.666666666664)</f>
        <v>41621.66667</v>
      </c>
      <c r="C3030" s="9">
        <f>IFERROR(__xludf.DUMMYFUNCTION("""COMPUTED_VALUE"""),49.77)</f>
        <v>49.77</v>
      </c>
      <c r="E3030" s="17"/>
      <c r="N3030" s="17"/>
      <c r="Q3030" s="17"/>
    </row>
    <row r="3031">
      <c r="B3031" s="11">
        <f>IFERROR(__xludf.DUMMYFUNCTION("""COMPUTED_VALUE"""),41620.666666666664)</f>
        <v>41620.66667</v>
      </c>
      <c r="C3031" s="9">
        <f>IFERROR(__xludf.DUMMYFUNCTION("""COMPUTED_VALUE"""),49.62)</f>
        <v>49.62</v>
      </c>
      <c r="E3031" s="17"/>
      <c r="N3031" s="17"/>
      <c r="Q3031" s="17"/>
    </row>
    <row r="3032">
      <c r="B3032" s="11">
        <f>IFERROR(__xludf.DUMMYFUNCTION("""COMPUTED_VALUE"""),41619.666666666664)</f>
        <v>41619.66667</v>
      </c>
      <c r="C3032" s="9">
        <f>IFERROR(__xludf.DUMMYFUNCTION("""COMPUTED_VALUE"""),49.57)</f>
        <v>49.57</v>
      </c>
      <c r="E3032" s="17"/>
      <c r="N3032" s="17"/>
      <c r="Q3032" s="17"/>
    </row>
    <row r="3033">
      <c r="B3033" s="11">
        <f>IFERROR(__xludf.DUMMYFUNCTION("""COMPUTED_VALUE"""),41618.666666666664)</f>
        <v>41618.66667</v>
      </c>
      <c r="C3033" s="9">
        <f>IFERROR(__xludf.DUMMYFUNCTION("""COMPUTED_VALUE"""),50.36)</f>
        <v>50.36</v>
      </c>
      <c r="E3033" s="17"/>
      <c r="N3033" s="17"/>
      <c r="Q3033" s="17"/>
    </row>
    <row r="3034">
      <c r="B3034" s="11">
        <f>IFERROR(__xludf.DUMMYFUNCTION("""COMPUTED_VALUE"""),41617.666666666664)</f>
        <v>41617.66667</v>
      </c>
      <c r="C3034" s="9">
        <f>IFERROR(__xludf.DUMMYFUNCTION("""COMPUTED_VALUE"""),50.47)</f>
        <v>50.47</v>
      </c>
      <c r="E3034" s="17"/>
      <c r="N3034" s="17"/>
      <c r="Q3034" s="17"/>
    </row>
    <row r="3035">
      <c r="B3035" s="11">
        <f>IFERROR(__xludf.DUMMYFUNCTION("""COMPUTED_VALUE"""),41614.666666666664)</f>
        <v>41614.66667</v>
      </c>
      <c r="C3035" s="9">
        <f>IFERROR(__xludf.DUMMYFUNCTION("""COMPUTED_VALUE"""),50.34)</f>
        <v>50.34</v>
      </c>
      <c r="E3035" s="17"/>
      <c r="N3035" s="17"/>
      <c r="Q3035" s="17"/>
    </row>
    <row r="3036">
      <c r="B3036" s="11">
        <f>IFERROR(__xludf.DUMMYFUNCTION("""COMPUTED_VALUE"""),41613.666666666664)</f>
        <v>41613.66667</v>
      </c>
      <c r="C3036" s="9">
        <f>IFERROR(__xludf.DUMMYFUNCTION("""COMPUTED_VALUE"""),49.58)</f>
        <v>49.58</v>
      </c>
      <c r="E3036" s="17"/>
      <c r="N3036" s="17"/>
      <c r="Q3036" s="17"/>
    </row>
    <row r="3037">
      <c r="B3037" s="11">
        <f>IFERROR(__xludf.DUMMYFUNCTION("""COMPUTED_VALUE"""),41612.666666666664)</f>
        <v>41612.66667</v>
      </c>
      <c r="C3037" s="9">
        <f>IFERROR(__xludf.DUMMYFUNCTION("""COMPUTED_VALUE"""),49.56)</f>
        <v>49.56</v>
      </c>
      <c r="E3037" s="17"/>
      <c r="N3037" s="17"/>
      <c r="Q3037" s="17"/>
    </row>
    <row r="3038">
      <c r="B3038" s="11">
        <f>IFERROR(__xludf.DUMMYFUNCTION("""COMPUTED_VALUE"""),41611.666666666664)</f>
        <v>41611.66667</v>
      </c>
      <c r="C3038" s="9">
        <f>IFERROR(__xludf.DUMMYFUNCTION("""COMPUTED_VALUE"""),49.76)</f>
        <v>49.76</v>
      </c>
      <c r="E3038" s="17"/>
      <c r="N3038" s="17"/>
      <c r="Q3038" s="17"/>
    </row>
    <row r="3039">
      <c r="B3039" s="11">
        <f>IFERROR(__xludf.DUMMYFUNCTION("""COMPUTED_VALUE"""),41610.666666666664)</f>
        <v>41610.66667</v>
      </c>
      <c r="C3039" s="9">
        <f>IFERROR(__xludf.DUMMYFUNCTION("""COMPUTED_VALUE"""),50.19)</f>
        <v>50.19</v>
      </c>
      <c r="E3039" s="17"/>
      <c r="N3039" s="17"/>
      <c r="Q3039" s="17"/>
    </row>
    <row r="3040">
      <c r="B3040" s="11">
        <f>IFERROR(__xludf.DUMMYFUNCTION("""COMPUTED_VALUE"""),41607.666666666664)</f>
        <v>41607.66667</v>
      </c>
      <c r="C3040" s="9">
        <f>IFERROR(__xludf.DUMMYFUNCTION("""COMPUTED_VALUE"""),50.4)</f>
        <v>50.4</v>
      </c>
      <c r="E3040" s="17"/>
      <c r="N3040" s="17"/>
      <c r="Q3040" s="17"/>
    </row>
    <row r="3041">
      <c r="B3041" s="11">
        <f>IFERROR(__xludf.DUMMYFUNCTION("""COMPUTED_VALUE"""),41605.666666666664)</f>
        <v>41605.66667</v>
      </c>
      <c r="C3041" s="9">
        <f>IFERROR(__xludf.DUMMYFUNCTION("""COMPUTED_VALUE"""),50.54)</f>
        <v>50.54</v>
      </c>
      <c r="E3041" s="17"/>
      <c r="N3041" s="17"/>
      <c r="Q3041" s="17"/>
    </row>
    <row r="3042">
      <c r="B3042" s="11">
        <f>IFERROR(__xludf.DUMMYFUNCTION("""COMPUTED_VALUE"""),41604.666666666664)</f>
        <v>41604.66667</v>
      </c>
      <c r="C3042" s="9">
        <f>IFERROR(__xludf.DUMMYFUNCTION("""COMPUTED_VALUE"""),50.34)</f>
        <v>50.34</v>
      </c>
      <c r="E3042" s="17"/>
      <c r="N3042" s="17"/>
      <c r="Q3042" s="17"/>
    </row>
    <row r="3043">
      <c r="B3043" s="11">
        <f>IFERROR(__xludf.DUMMYFUNCTION("""COMPUTED_VALUE"""),41603.666666666664)</f>
        <v>41603.66667</v>
      </c>
      <c r="C3043" s="9">
        <f>IFERROR(__xludf.DUMMYFUNCTION("""COMPUTED_VALUE"""),50.24)</f>
        <v>50.24</v>
      </c>
      <c r="E3043" s="17"/>
      <c r="N3043" s="17"/>
      <c r="Q3043" s="17"/>
    </row>
    <row r="3044">
      <c r="B3044" s="11">
        <f>IFERROR(__xludf.DUMMYFUNCTION("""COMPUTED_VALUE"""),41600.666666666664)</f>
        <v>41600.66667</v>
      </c>
      <c r="C3044" s="9">
        <f>IFERROR(__xludf.DUMMYFUNCTION("""COMPUTED_VALUE"""),50.35)</f>
        <v>50.35</v>
      </c>
      <c r="E3044" s="17"/>
      <c r="N3044" s="17"/>
      <c r="Q3044" s="17"/>
    </row>
    <row r="3045">
      <c r="B3045" s="11">
        <f>IFERROR(__xludf.DUMMYFUNCTION("""COMPUTED_VALUE"""),41599.666666666664)</f>
        <v>41599.66667</v>
      </c>
      <c r="C3045" s="9">
        <f>IFERROR(__xludf.DUMMYFUNCTION("""COMPUTED_VALUE"""),49.91)</f>
        <v>49.91</v>
      </c>
      <c r="E3045" s="17"/>
      <c r="N3045" s="17"/>
      <c r="Q3045" s="17"/>
    </row>
    <row r="3046">
      <c r="B3046" s="11">
        <f>IFERROR(__xludf.DUMMYFUNCTION("""COMPUTED_VALUE"""),41598.666666666664)</f>
        <v>41598.66667</v>
      </c>
      <c r="C3046" s="9">
        <f>IFERROR(__xludf.DUMMYFUNCTION("""COMPUTED_VALUE"""),49.51)</f>
        <v>49.51</v>
      </c>
      <c r="E3046" s="17"/>
      <c r="N3046" s="17"/>
      <c r="Q3046" s="17"/>
    </row>
    <row r="3047">
      <c r="B3047" s="11">
        <f>IFERROR(__xludf.DUMMYFUNCTION("""COMPUTED_VALUE"""),41597.666666666664)</f>
        <v>41597.66667</v>
      </c>
      <c r="C3047" s="9">
        <f>IFERROR(__xludf.DUMMYFUNCTION("""COMPUTED_VALUE"""),49.73)</f>
        <v>49.73</v>
      </c>
      <c r="E3047" s="17"/>
      <c r="N3047" s="17"/>
      <c r="Q3047" s="17"/>
    </row>
    <row r="3048">
      <c r="B3048" s="11">
        <f>IFERROR(__xludf.DUMMYFUNCTION("""COMPUTED_VALUE"""),41596.666666666664)</f>
        <v>41596.66667</v>
      </c>
      <c r="C3048" s="9">
        <f>IFERROR(__xludf.DUMMYFUNCTION("""COMPUTED_VALUE"""),50.09)</f>
        <v>50.09</v>
      </c>
      <c r="E3048" s="17"/>
      <c r="N3048" s="17"/>
      <c r="Q3048" s="17"/>
    </row>
    <row r="3049">
      <c r="B3049" s="11">
        <f>IFERROR(__xludf.DUMMYFUNCTION("""COMPUTED_VALUE"""),41593.666666666664)</f>
        <v>41593.66667</v>
      </c>
      <c r="C3049" s="9">
        <f>IFERROR(__xludf.DUMMYFUNCTION("""COMPUTED_VALUE"""),50.01)</f>
        <v>50.01</v>
      </c>
      <c r="E3049" s="17"/>
      <c r="N3049" s="17"/>
      <c r="Q3049" s="17"/>
    </row>
    <row r="3050">
      <c r="B3050" s="11">
        <f>IFERROR(__xludf.DUMMYFUNCTION("""COMPUTED_VALUE"""),41592.666666666664)</f>
        <v>41592.66667</v>
      </c>
      <c r="C3050" s="9">
        <f>IFERROR(__xludf.DUMMYFUNCTION("""COMPUTED_VALUE"""),49.84)</f>
        <v>49.84</v>
      </c>
      <c r="E3050" s="17"/>
      <c r="N3050" s="17"/>
      <c r="Q3050" s="17"/>
    </row>
    <row r="3051">
      <c r="B3051" s="11">
        <f>IFERROR(__xludf.DUMMYFUNCTION("""COMPUTED_VALUE"""),41591.666666666664)</f>
        <v>41591.66667</v>
      </c>
      <c r="C3051" s="9">
        <f>IFERROR(__xludf.DUMMYFUNCTION("""COMPUTED_VALUE"""),49.65)</f>
        <v>49.65</v>
      </c>
      <c r="E3051" s="17"/>
      <c r="N3051" s="17"/>
      <c r="Q3051" s="17"/>
    </row>
    <row r="3052">
      <c r="B3052" s="11">
        <f>IFERROR(__xludf.DUMMYFUNCTION("""COMPUTED_VALUE"""),41590.666666666664)</f>
        <v>41590.66667</v>
      </c>
      <c r="C3052" s="9">
        <f>IFERROR(__xludf.DUMMYFUNCTION("""COMPUTED_VALUE"""),49.36)</f>
        <v>49.36</v>
      </c>
      <c r="E3052" s="17"/>
      <c r="N3052" s="17"/>
      <c r="Q3052" s="17"/>
    </row>
    <row r="3053">
      <c r="B3053" s="11">
        <f>IFERROR(__xludf.DUMMYFUNCTION("""COMPUTED_VALUE"""),41589.666666666664)</f>
        <v>41589.66667</v>
      </c>
      <c r="C3053" s="9">
        <f>IFERROR(__xludf.DUMMYFUNCTION("""COMPUTED_VALUE"""),49.34)</f>
        <v>49.34</v>
      </c>
      <c r="E3053" s="17"/>
      <c r="N3053" s="17"/>
      <c r="Q3053" s="17"/>
    </row>
    <row r="3054">
      <c r="B3054" s="11">
        <f>IFERROR(__xludf.DUMMYFUNCTION("""COMPUTED_VALUE"""),41586.666666666664)</f>
        <v>41586.66667</v>
      </c>
      <c r="C3054" s="9">
        <f>IFERROR(__xludf.DUMMYFUNCTION("""COMPUTED_VALUE"""),49.38)</f>
        <v>49.38</v>
      </c>
      <c r="E3054" s="17"/>
      <c r="N3054" s="17"/>
      <c r="Q3054" s="17"/>
    </row>
    <row r="3055">
      <c r="B3055" s="11">
        <f>IFERROR(__xludf.DUMMYFUNCTION("""COMPUTED_VALUE"""),41585.666666666664)</f>
        <v>41585.66667</v>
      </c>
      <c r="C3055" s="9">
        <f>IFERROR(__xludf.DUMMYFUNCTION("""COMPUTED_VALUE"""),48.72)</f>
        <v>48.72</v>
      </c>
      <c r="E3055" s="17"/>
      <c r="N3055" s="17"/>
      <c r="Q3055" s="17"/>
    </row>
    <row r="3056">
      <c r="B3056" s="11">
        <f>IFERROR(__xludf.DUMMYFUNCTION("""COMPUTED_VALUE"""),41584.666666666664)</f>
        <v>41584.66667</v>
      </c>
      <c r="C3056" s="9">
        <f>IFERROR(__xludf.DUMMYFUNCTION("""COMPUTED_VALUE"""),49.24)</f>
        <v>49.24</v>
      </c>
      <c r="E3056" s="17"/>
      <c r="N3056" s="17"/>
      <c r="Q3056" s="17"/>
    </row>
    <row r="3057">
      <c r="B3057" s="11">
        <f>IFERROR(__xludf.DUMMYFUNCTION("""COMPUTED_VALUE"""),41583.666666666664)</f>
        <v>41583.66667</v>
      </c>
      <c r="C3057" s="9">
        <f>IFERROR(__xludf.DUMMYFUNCTION("""COMPUTED_VALUE"""),49.1)</f>
        <v>49.1</v>
      </c>
      <c r="E3057" s="17"/>
      <c r="N3057" s="17"/>
      <c r="Q3057" s="17"/>
    </row>
    <row r="3058">
      <c r="B3058" s="11">
        <f>IFERROR(__xludf.DUMMYFUNCTION("""COMPUTED_VALUE"""),41582.666666666664)</f>
        <v>41582.66667</v>
      </c>
      <c r="C3058" s="9">
        <f>IFERROR(__xludf.DUMMYFUNCTION("""COMPUTED_VALUE"""),49.15)</f>
        <v>49.15</v>
      </c>
      <c r="E3058" s="17"/>
      <c r="N3058" s="17"/>
      <c r="Q3058" s="17"/>
    </row>
    <row r="3059">
      <c r="B3059" s="11">
        <f>IFERROR(__xludf.DUMMYFUNCTION("""COMPUTED_VALUE"""),41579.666666666664)</f>
        <v>41579.66667</v>
      </c>
      <c r="C3059" s="9">
        <f>IFERROR(__xludf.DUMMYFUNCTION("""COMPUTED_VALUE"""),48.97)</f>
        <v>48.97</v>
      </c>
      <c r="E3059" s="17"/>
      <c r="N3059" s="17"/>
      <c r="Q3059" s="17"/>
    </row>
    <row r="3060">
      <c r="B3060" s="11">
        <f>IFERROR(__xludf.DUMMYFUNCTION("""COMPUTED_VALUE"""),41578.666666666664)</f>
        <v>41578.66667</v>
      </c>
      <c r="C3060" s="9">
        <f>IFERROR(__xludf.DUMMYFUNCTION("""COMPUTED_VALUE"""),48.62)</f>
        <v>48.62</v>
      </c>
      <c r="E3060" s="17"/>
      <c r="N3060" s="17"/>
      <c r="Q3060" s="17"/>
    </row>
    <row r="3061">
      <c r="B3061" s="11">
        <f>IFERROR(__xludf.DUMMYFUNCTION("""COMPUTED_VALUE"""),41577.666666666664)</f>
        <v>41577.66667</v>
      </c>
      <c r="C3061" s="9">
        <f>IFERROR(__xludf.DUMMYFUNCTION("""COMPUTED_VALUE"""),48.61)</f>
        <v>48.61</v>
      </c>
      <c r="E3061" s="17"/>
      <c r="N3061" s="17"/>
      <c r="Q3061" s="17"/>
    </row>
    <row r="3062">
      <c r="B3062" s="11">
        <f>IFERROR(__xludf.DUMMYFUNCTION("""COMPUTED_VALUE"""),41576.666666666664)</f>
        <v>41576.66667</v>
      </c>
      <c r="C3062" s="9">
        <f>IFERROR(__xludf.DUMMYFUNCTION("""COMPUTED_VALUE"""),48.83)</f>
        <v>48.83</v>
      </c>
      <c r="E3062" s="17"/>
      <c r="N3062" s="17"/>
      <c r="Q3062" s="17"/>
    </row>
    <row r="3063">
      <c r="B3063" s="11">
        <f>IFERROR(__xludf.DUMMYFUNCTION("""COMPUTED_VALUE"""),41575.666666666664)</f>
        <v>41575.66667</v>
      </c>
      <c r="C3063" s="9">
        <f>IFERROR(__xludf.DUMMYFUNCTION("""COMPUTED_VALUE"""),48.69)</f>
        <v>48.69</v>
      </c>
      <c r="E3063" s="17"/>
      <c r="N3063" s="17"/>
      <c r="Q3063" s="17"/>
    </row>
    <row r="3064">
      <c r="B3064" s="11">
        <f>IFERROR(__xludf.DUMMYFUNCTION("""COMPUTED_VALUE"""),41572.666666666664)</f>
        <v>41572.66667</v>
      </c>
      <c r="C3064" s="9">
        <f>IFERROR(__xludf.DUMMYFUNCTION("""COMPUTED_VALUE"""),48.76)</f>
        <v>48.76</v>
      </c>
      <c r="E3064" s="17"/>
      <c r="N3064" s="17"/>
      <c r="Q3064" s="17"/>
    </row>
    <row r="3065">
      <c r="B3065" s="11">
        <f>IFERROR(__xludf.DUMMYFUNCTION("""COMPUTED_VALUE"""),41571.666666666664)</f>
        <v>41571.66667</v>
      </c>
      <c r="C3065" s="9">
        <f>IFERROR(__xludf.DUMMYFUNCTION("""COMPUTED_VALUE"""),48.51)</f>
        <v>48.51</v>
      </c>
      <c r="E3065" s="17"/>
      <c r="N3065" s="17"/>
      <c r="Q3065" s="17"/>
    </row>
    <row r="3066">
      <c r="B3066" s="11">
        <f>IFERROR(__xludf.DUMMYFUNCTION("""COMPUTED_VALUE"""),41570.666666666664)</f>
        <v>41570.66667</v>
      </c>
      <c r="C3066" s="9">
        <f>IFERROR(__xludf.DUMMYFUNCTION("""COMPUTED_VALUE"""),48.15)</f>
        <v>48.15</v>
      </c>
      <c r="E3066" s="17"/>
      <c r="N3066" s="17"/>
      <c r="Q3066" s="17"/>
    </row>
    <row r="3067">
      <c r="B3067" s="11">
        <f>IFERROR(__xludf.DUMMYFUNCTION("""COMPUTED_VALUE"""),41569.666666666664)</f>
        <v>41569.66667</v>
      </c>
      <c r="C3067" s="9">
        <f>IFERROR(__xludf.DUMMYFUNCTION("""COMPUTED_VALUE"""),48.13)</f>
        <v>48.13</v>
      </c>
      <c r="E3067" s="17"/>
      <c r="N3067" s="17"/>
      <c r="Q3067" s="17"/>
    </row>
    <row r="3068">
      <c r="B3068" s="11">
        <f>IFERROR(__xludf.DUMMYFUNCTION("""COMPUTED_VALUE"""),41568.666666666664)</f>
        <v>41568.66667</v>
      </c>
      <c r="C3068" s="9">
        <f>IFERROR(__xludf.DUMMYFUNCTION("""COMPUTED_VALUE"""),47.81)</f>
        <v>47.81</v>
      </c>
      <c r="E3068" s="17"/>
      <c r="N3068" s="17"/>
      <c r="Q3068" s="17"/>
    </row>
    <row r="3069">
      <c r="B3069" s="11">
        <f>IFERROR(__xludf.DUMMYFUNCTION("""COMPUTED_VALUE"""),41565.666666666664)</f>
        <v>41565.66667</v>
      </c>
      <c r="C3069" s="9">
        <f>IFERROR(__xludf.DUMMYFUNCTION("""COMPUTED_VALUE"""),47.69)</f>
        <v>47.69</v>
      </c>
      <c r="E3069" s="17"/>
      <c r="N3069" s="17"/>
      <c r="Q3069" s="17"/>
    </row>
    <row r="3070">
      <c r="B3070" s="11">
        <f>IFERROR(__xludf.DUMMYFUNCTION("""COMPUTED_VALUE"""),41564.666666666664)</f>
        <v>41564.66667</v>
      </c>
      <c r="C3070" s="9">
        <f>IFERROR(__xludf.DUMMYFUNCTION("""COMPUTED_VALUE"""),47.18)</f>
        <v>47.18</v>
      </c>
      <c r="E3070" s="17"/>
      <c r="N3070" s="17"/>
      <c r="Q3070" s="17"/>
    </row>
    <row r="3071">
      <c r="B3071" s="11">
        <f>IFERROR(__xludf.DUMMYFUNCTION("""COMPUTED_VALUE"""),41563.666666666664)</f>
        <v>41563.66667</v>
      </c>
      <c r="C3071" s="9">
        <f>IFERROR(__xludf.DUMMYFUNCTION("""COMPUTED_VALUE"""),46.82)</f>
        <v>46.82</v>
      </c>
      <c r="E3071" s="17"/>
      <c r="N3071" s="17"/>
      <c r="Q3071" s="17"/>
    </row>
    <row r="3072">
      <c r="B3072" s="11">
        <f>IFERROR(__xludf.DUMMYFUNCTION("""COMPUTED_VALUE"""),41562.666666666664)</f>
        <v>41562.66667</v>
      </c>
      <c r="C3072" s="9">
        <f>IFERROR(__xludf.DUMMYFUNCTION("""COMPUTED_VALUE"""),46.51)</f>
        <v>46.51</v>
      </c>
      <c r="E3072" s="17"/>
      <c r="N3072" s="17"/>
      <c r="Q3072" s="17"/>
    </row>
    <row r="3073">
      <c r="B3073" s="11">
        <f>IFERROR(__xludf.DUMMYFUNCTION("""COMPUTED_VALUE"""),41561.666666666664)</f>
        <v>41561.66667</v>
      </c>
      <c r="C3073" s="9">
        <f>IFERROR(__xludf.DUMMYFUNCTION("""COMPUTED_VALUE"""),46.98)</f>
        <v>46.98</v>
      </c>
      <c r="E3073" s="17"/>
      <c r="N3073" s="17"/>
      <c r="Q3073" s="17"/>
    </row>
    <row r="3074">
      <c r="B3074" s="11">
        <f>IFERROR(__xludf.DUMMYFUNCTION("""COMPUTED_VALUE"""),41558.666666666664)</f>
        <v>41558.66667</v>
      </c>
      <c r="C3074" s="9">
        <f>IFERROR(__xludf.DUMMYFUNCTION("""COMPUTED_VALUE"""),46.8)</f>
        <v>46.8</v>
      </c>
      <c r="E3074" s="17"/>
      <c r="N3074" s="17"/>
      <c r="Q3074" s="17"/>
    </row>
    <row r="3075">
      <c r="B3075" s="11">
        <f>IFERROR(__xludf.DUMMYFUNCTION("""COMPUTED_VALUE"""),41557.666666666664)</f>
        <v>41557.66667</v>
      </c>
      <c r="C3075" s="9">
        <f>IFERROR(__xludf.DUMMYFUNCTION("""COMPUTED_VALUE"""),46.58)</f>
        <v>46.58</v>
      </c>
      <c r="E3075" s="17"/>
      <c r="N3075" s="17"/>
      <c r="Q3075" s="17"/>
    </row>
    <row r="3076">
      <c r="B3076" s="11">
        <f>IFERROR(__xludf.DUMMYFUNCTION("""COMPUTED_VALUE"""),41556.666666666664)</f>
        <v>41556.66667</v>
      </c>
      <c r="C3076" s="9">
        <f>IFERROR(__xludf.DUMMYFUNCTION("""COMPUTED_VALUE"""),45.41)</f>
        <v>45.41</v>
      </c>
      <c r="E3076" s="17"/>
      <c r="N3076" s="17"/>
      <c r="Q3076" s="17"/>
    </row>
    <row r="3077">
      <c r="B3077" s="11">
        <f>IFERROR(__xludf.DUMMYFUNCTION("""COMPUTED_VALUE"""),41555.666666666664)</f>
        <v>41555.66667</v>
      </c>
      <c r="C3077" s="9">
        <f>IFERROR(__xludf.DUMMYFUNCTION("""COMPUTED_VALUE"""),45.43)</f>
        <v>45.43</v>
      </c>
      <c r="E3077" s="17"/>
      <c r="N3077" s="17"/>
      <c r="Q3077" s="17"/>
    </row>
    <row r="3078">
      <c r="B3078" s="11">
        <f>IFERROR(__xludf.DUMMYFUNCTION("""COMPUTED_VALUE"""),41554.666666666664)</f>
        <v>41554.66667</v>
      </c>
      <c r="C3078" s="9">
        <f>IFERROR(__xludf.DUMMYFUNCTION("""COMPUTED_VALUE"""),45.95)</f>
        <v>45.95</v>
      </c>
      <c r="E3078" s="17"/>
      <c r="N3078" s="17"/>
      <c r="Q3078" s="17"/>
    </row>
    <row r="3079">
      <c r="B3079" s="11">
        <f>IFERROR(__xludf.DUMMYFUNCTION("""COMPUTED_VALUE"""),41551.666666666664)</f>
        <v>41551.66667</v>
      </c>
      <c r="C3079" s="9">
        <f>IFERROR(__xludf.DUMMYFUNCTION("""COMPUTED_VALUE"""),46.27)</f>
        <v>46.27</v>
      </c>
      <c r="E3079" s="17"/>
      <c r="N3079" s="17"/>
      <c r="Q3079" s="17"/>
    </row>
    <row r="3080">
      <c r="B3080" s="11">
        <f>IFERROR(__xludf.DUMMYFUNCTION("""COMPUTED_VALUE"""),41550.666666666664)</f>
        <v>41550.66667</v>
      </c>
      <c r="C3080" s="9">
        <f>IFERROR(__xludf.DUMMYFUNCTION("""COMPUTED_VALUE"""),45.97)</f>
        <v>45.97</v>
      </c>
      <c r="E3080" s="17"/>
      <c r="N3080" s="17"/>
      <c r="Q3080" s="17"/>
    </row>
    <row r="3081">
      <c r="B3081" s="11">
        <f>IFERROR(__xludf.DUMMYFUNCTION("""COMPUTED_VALUE"""),41549.666666666664)</f>
        <v>41549.66667</v>
      </c>
      <c r="C3081" s="9">
        <f>IFERROR(__xludf.DUMMYFUNCTION("""COMPUTED_VALUE"""),46.48)</f>
        <v>46.48</v>
      </c>
      <c r="E3081" s="17"/>
      <c r="N3081" s="17"/>
      <c r="Q3081" s="17"/>
    </row>
    <row r="3082">
      <c r="B3082" s="11">
        <f>IFERROR(__xludf.DUMMYFUNCTION("""COMPUTED_VALUE"""),41548.666666666664)</f>
        <v>41548.66667</v>
      </c>
      <c r="C3082" s="9">
        <f>IFERROR(__xludf.DUMMYFUNCTION("""COMPUTED_VALUE"""),46.7)</f>
        <v>46.7</v>
      </c>
      <c r="E3082" s="17"/>
      <c r="N3082" s="17"/>
      <c r="Q3082" s="17"/>
    </row>
    <row r="3083">
      <c r="B3083" s="11">
        <f>IFERROR(__xludf.DUMMYFUNCTION("""COMPUTED_VALUE"""),41547.666666666664)</f>
        <v>41547.66667</v>
      </c>
      <c r="C3083" s="9">
        <f>IFERROR(__xludf.DUMMYFUNCTION("""COMPUTED_VALUE"""),46.41)</f>
        <v>46.41</v>
      </c>
      <c r="E3083" s="17"/>
      <c r="N3083" s="17"/>
      <c r="Q3083" s="17"/>
    </row>
    <row r="3084">
      <c r="B3084" s="11">
        <f>IFERROR(__xludf.DUMMYFUNCTION("""COMPUTED_VALUE"""),41544.666666666664)</f>
        <v>41544.66667</v>
      </c>
      <c r="C3084" s="9">
        <f>IFERROR(__xludf.DUMMYFUNCTION("""COMPUTED_VALUE"""),46.68)</f>
        <v>46.68</v>
      </c>
      <c r="E3084" s="17"/>
      <c r="N3084" s="17"/>
      <c r="Q3084" s="17"/>
    </row>
    <row r="3085">
      <c r="B3085" s="11">
        <f>IFERROR(__xludf.DUMMYFUNCTION("""COMPUTED_VALUE"""),41543.666666666664)</f>
        <v>41543.66667</v>
      </c>
      <c r="C3085" s="9">
        <f>IFERROR(__xludf.DUMMYFUNCTION("""COMPUTED_VALUE"""),46.98)</f>
        <v>46.98</v>
      </c>
      <c r="E3085" s="17"/>
      <c r="N3085" s="17"/>
      <c r="Q3085" s="17"/>
    </row>
    <row r="3086">
      <c r="B3086" s="11">
        <f>IFERROR(__xludf.DUMMYFUNCTION("""COMPUTED_VALUE"""),41542.666666666664)</f>
        <v>41542.66667</v>
      </c>
      <c r="C3086" s="9">
        <f>IFERROR(__xludf.DUMMYFUNCTION("""COMPUTED_VALUE"""),46.77)</f>
        <v>46.77</v>
      </c>
      <c r="E3086" s="17"/>
      <c r="N3086" s="17"/>
      <c r="Q3086" s="17"/>
    </row>
    <row r="3087">
      <c r="B3087" s="11">
        <f>IFERROR(__xludf.DUMMYFUNCTION("""COMPUTED_VALUE"""),41541.666666666664)</f>
        <v>41541.66667</v>
      </c>
      <c r="C3087" s="9">
        <f>IFERROR(__xludf.DUMMYFUNCTION("""COMPUTED_VALUE"""),46.98)</f>
        <v>46.98</v>
      </c>
      <c r="E3087" s="17"/>
      <c r="N3087" s="17"/>
      <c r="Q3087" s="17"/>
    </row>
    <row r="3088">
      <c r="B3088" s="11">
        <f>IFERROR(__xludf.DUMMYFUNCTION("""COMPUTED_VALUE"""),41540.666666666664)</f>
        <v>41540.66667</v>
      </c>
      <c r="C3088" s="9">
        <f>IFERROR(__xludf.DUMMYFUNCTION("""COMPUTED_VALUE"""),46.81)</f>
        <v>46.81</v>
      </c>
      <c r="E3088" s="17"/>
      <c r="N3088" s="17"/>
      <c r="Q3088" s="17"/>
    </row>
    <row r="3089">
      <c r="B3089" s="11">
        <f>IFERROR(__xludf.DUMMYFUNCTION("""COMPUTED_VALUE"""),41537.666666666664)</f>
        <v>41537.66667</v>
      </c>
      <c r="C3089" s="9">
        <f>IFERROR(__xludf.DUMMYFUNCTION("""COMPUTED_VALUE"""),46.96)</f>
        <v>46.96</v>
      </c>
      <c r="E3089" s="17"/>
      <c r="N3089" s="17"/>
      <c r="Q3089" s="17"/>
    </row>
    <row r="3090">
      <c r="B3090" s="11">
        <f>IFERROR(__xludf.DUMMYFUNCTION("""COMPUTED_VALUE"""),41536.666666666664)</f>
        <v>41536.66667</v>
      </c>
      <c r="C3090" s="9">
        <f>IFERROR(__xludf.DUMMYFUNCTION("""COMPUTED_VALUE"""),47.76)</f>
        <v>47.76</v>
      </c>
      <c r="E3090" s="17"/>
      <c r="N3090" s="17"/>
      <c r="Q3090" s="17"/>
    </row>
    <row r="3091">
      <c r="B3091" s="11">
        <f>IFERROR(__xludf.DUMMYFUNCTION("""COMPUTED_VALUE"""),41535.666666666664)</f>
        <v>41535.66667</v>
      </c>
      <c r="C3091" s="9">
        <f>IFERROR(__xludf.DUMMYFUNCTION("""COMPUTED_VALUE"""),47.6)</f>
        <v>47.6</v>
      </c>
      <c r="E3091" s="17"/>
      <c r="N3091" s="17"/>
      <c r="Q3091" s="17"/>
    </row>
    <row r="3092">
      <c r="B3092" s="11">
        <f>IFERROR(__xludf.DUMMYFUNCTION("""COMPUTED_VALUE"""),41534.666666666664)</f>
        <v>41534.66667</v>
      </c>
      <c r="C3092" s="9">
        <f>IFERROR(__xludf.DUMMYFUNCTION("""COMPUTED_VALUE"""),47.01)</f>
        <v>47.01</v>
      </c>
      <c r="E3092" s="17"/>
      <c r="N3092" s="17"/>
      <c r="Q3092" s="17"/>
    </row>
    <row r="3093">
      <c r="B3093" s="11">
        <f>IFERROR(__xludf.DUMMYFUNCTION("""COMPUTED_VALUE"""),41533.666666666664)</f>
        <v>41533.66667</v>
      </c>
      <c r="C3093" s="9">
        <f>IFERROR(__xludf.DUMMYFUNCTION("""COMPUTED_VALUE"""),46.81)</f>
        <v>46.81</v>
      </c>
      <c r="E3093" s="17"/>
      <c r="N3093" s="17"/>
      <c r="Q3093" s="17"/>
    </row>
    <row r="3094">
      <c r="B3094" s="11">
        <f>IFERROR(__xludf.DUMMYFUNCTION("""COMPUTED_VALUE"""),41530.666666666664)</f>
        <v>41530.66667</v>
      </c>
      <c r="C3094" s="9">
        <f>IFERROR(__xludf.DUMMYFUNCTION("""COMPUTED_VALUE"""),46.21)</f>
        <v>46.21</v>
      </c>
      <c r="E3094" s="17"/>
      <c r="N3094" s="17"/>
      <c r="Q3094" s="17"/>
    </row>
    <row r="3095">
      <c r="B3095" s="11">
        <f>IFERROR(__xludf.DUMMYFUNCTION("""COMPUTED_VALUE"""),41529.666666666664)</f>
        <v>41529.66667</v>
      </c>
      <c r="C3095" s="9">
        <f>IFERROR(__xludf.DUMMYFUNCTION("""COMPUTED_VALUE"""),46.08)</f>
        <v>46.08</v>
      </c>
      <c r="E3095" s="17"/>
      <c r="N3095" s="17"/>
      <c r="Q3095" s="17"/>
    </row>
    <row r="3096">
      <c r="B3096" s="11">
        <f>IFERROR(__xludf.DUMMYFUNCTION("""COMPUTED_VALUE"""),41528.666666666664)</f>
        <v>41528.66667</v>
      </c>
      <c r="C3096" s="9">
        <f>IFERROR(__xludf.DUMMYFUNCTION("""COMPUTED_VALUE"""),46.27)</f>
        <v>46.27</v>
      </c>
      <c r="E3096" s="17"/>
      <c r="N3096" s="17"/>
      <c r="Q3096" s="17"/>
    </row>
    <row r="3097">
      <c r="B3097" s="11">
        <f>IFERROR(__xludf.DUMMYFUNCTION("""COMPUTED_VALUE"""),41527.666666666664)</f>
        <v>41527.66667</v>
      </c>
      <c r="C3097" s="9">
        <f>IFERROR(__xludf.DUMMYFUNCTION("""COMPUTED_VALUE"""),46.08)</f>
        <v>46.08</v>
      </c>
      <c r="E3097" s="17"/>
      <c r="N3097" s="17"/>
      <c r="Q3097" s="17"/>
    </row>
    <row r="3098">
      <c r="B3098" s="11">
        <f>IFERROR(__xludf.DUMMYFUNCTION("""COMPUTED_VALUE"""),41526.666666666664)</f>
        <v>41526.66667</v>
      </c>
      <c r="C3098" s="9">
        <f>IFERROR(__xludf.DUMMYFUNCTION("""COMPUTED_VALUE"""),45.42)</f>
        <v>45.42</v>
      </c>
      <c r="E3098" s="17"/>
      <c r="N3098" s="17"/>
      <c r="Q3098" s="17"/>
    </row>
    <row r="3099">
      <c r="B3099" s="11">
        <f>IFERROR(__xludf.DUMMYFUNCTION("""COMPUTED_VALUE"""),41523.666666666664)</f>
        <v>41523.66667</v>
      </c>
      <c r="C3099" s="9">
        <f>IFERROR(__xludf.DUMMYFUNCTION("""COMPUTED_VALUE"""),44.86)</f>
        <v>44.86</v>
      </c>
      <c r="E3099" s="17"/>
      <c r="N3099" s="17"/>
      <c r="Q3099" s="17"/>
    </row>
    <row r="3100">
      <c r="B3100" s="11">
        <f>IFERROR(__xludf.DUMMYFUNCTION("""COMPUTED_VALUE"""),41522.666666666664)</f>
        <v>41522.66667</v>
      </c>
      <c r="C3100" s="9">
        <f>IFERROR(__xludf.DUMMYFUNCTION("""COMPUTED_VALUE"""),44.88)</f>
        <v>44.88</v>
      </c>
      <c r="E3100" s="17"/>
      <c r="N3100" s="17"/>
      <c r="Q3100" s="17"/>
    </row>
    <row r="3101">
      <c r="B3101" s="11">
        <f>IFERROR(__xludf.DUMMYFUNCTION("""COMPUTED_VALUE"""),41521.666666666664)</f>
        <v>41521.66667</v>
      </c>
      <c r="C3101" s="9">
        <f>IFERROR(__xludf.DUMMYFUNCTION("""COMPUTED_VALUE"""),44.78)</f>
        <v>44.78</v>
      </c>
      <c r="E3101" s="17"/>
      <c r="N3101" s="17"/>
      <c r="Q3101" s="17"/>
    </row>
    <row r="3102">
      <c r="B3102" s="11">
        <f>IFERROR(__xludf.DUMMYFUNCTION("""COMPUTED_VALUE"""),41520.666666666664)</f>
        <v>41520.66667</v>
      </c>
      <c r="C3102" s="9">
        <f>IFERROR(__xludf.DUMMYFUNCTION("""COMPUTED_VALUE"""),44.32)</f>
        <v>44.32</v>
      </c>
      <c r="E3102" s="17"/>
      <c r="N3102" s="17"/>
      <c r="Q3102" s="17"/>
    </row>
    <row r="3103">
      <c r="B3103" s="11">
        <f>IFERROR(__xludf.DUMMYFUNCTION("""COMPUTED_VALUE"""),41516.666666666664)</f>
        <v>41516.66667</v>
      </c>
      <c r="C3103" s="9">
        <f>IFERROR(__xludf.DUMMYFUNCTION("""COMPUTED_VALUE"""),44.04)</f>
        <v>44.04</v>
      </c>
      <c r="E3103" s="17"/>
      <c r="N3103" s="17"/>
      <c r="Q3103" s="17"/>
    </row>
    <row r="3104">
      <c r="B3104" s="11">
        <f>IFERROR(__xludf.DUMMYFUNCTION("""COMPUTED_VALUE"""),41515.666666666664)</f>
        <v>41515.66667</v>
      </c>
      <c r="C3104" s="9">
        <f>IFERROR(__xludf.DUMMYFUNCTION("""COMPUTED_VALUE"""),44.29)</f>
        <v>44.29</v>
      </c>
      <c r="E3104" s="17"/>
      <c r="N3104" s="17"/>
      <c r="Q3104" s="17"/>
    </row>
    <row r="3105">
      <c r="B3105" s="11">
        <f>IFERROR(__xludf.DUMMYFUNCTION("""COMPUTED_VALUE"""),41514.666666666664)</f>
        <v>41514.66667</v>
      </c>
      <c r="C3105" s="9">
        <f>IFERROR(__xludf.DUMMYFUNCTION("""COMPUTED_VALUE"""),44.16)</f>
        <v>44.16</v>
      </c>
      <c r="E3105" s="17"/>
      <c r="N3105" s="17"/>
      <c r="Q3105" s="17"/>
    </row>
    <row r="3106">
      <c r="B3106" s="11">
        <f>IFERROR(__xludf.DUMMYFUNCTION("""COMPUTED_VALUE"""),41513.666666666664)</f>
        <v>41513.66667</v>
      </c>
      <c r="C3106" s="9">
        <f>IFERROR(__xludf.DUMMYFUNCTION("""COMPUTED_VALUE"""),44.12)</f>
        <v>44.12</v>
      </c>
      <c r="E3106" s="17"/>
      <c r="N3106" s="17"/>
      <c r="Q3106" s="17"/>
    </row>
    <row r="3107">
      <c r="B3107" s="11">
        <f>IFERROR(__xludf.DUMMYFUNCTION("""COMPUTED_VALUE"""),41512.666666666664)</f>
        <v>41512.66667</v>
      </c>
      <c r="C3107" s="9">
        <f>IFERROR(__xludf.DUMMYFUNCTION("""COMPUTED_VALUE"""),45.03)</f>
        <v>45.03</v>
      </c>
      <c r="E3107" s="17"/>
      <c r="N3107" s="17"/>
      <c r="Q3107" s="17"/>
    </row>
    <row r="3108">
      <c r="B3108" s="11">
        <f>IFERROR(__xludf.DUMMYFUNCTION("""COMPUTED_VALUE"""),41509.666666666664)</f>
        <v>41509.66667</v>
      </c>
      <c r="C3108" s="9">
        <f>IFERROR(__xludf.DUMMYFUNCTION("""COMPUTED_VALUE"""),45.13)</f>
        <v>45.13</v>
      </c>
      <c r="E3108" s="17"/>
      <c r="N3108" s="17"/>
      <c r="Q3108" s="17"/>
    </row>
    <row r="3109">
      <c r="B3109" s="11">
        <f>IFERROR(__xludf.DUMMYFUNCTION("""COMPUTED_VALUE"""),41508.666666666664)</f>
        <v>41508.66667</v>
      </c>
      <c r="C3109" s="9">
        <f>IFERROR(__xludf.DUMMYFUNCTION("""COMPUTED_VALUE"""),45.12)</f>
        <v>45.12</v>
      </c>
      <c r="E3109" s="17"/>
      <c r="N3109" s="17"/>
      <c r="Q3109" s="17"/>
    </row>
    <row r="3110">
      <c r="B3110" s="11">
        <f>IFERROR(__xludf.DUMMYFUNCTION("""COMPUTED_VALUE"""),41507.666666666664)</f>
        <v>41507.66667</v>
      </c>
      <c r="C3110" s="9">
        <f>IFERROR(__xludf.DUMMYFUNCTION("""COMPUTED_VALUE"""),44.51)</f>
        <v>44.51</v>
      </c>
      <c r="E3110" s="17"/>
      <c r="N3110" s="17"/>
      <c r="Q3110" s="17"/>
    </row>
    <row r="3111">
      <c r="B3111" s="11">
        <f>IFERROR(__xludf.DUMMYFUNCTION("""COMPUTED_VALUE"""),41506.666666666664)</f>
        <v>41506.66667</v>
      </c>
      <c r="C3111" s="9">
        <f>IFERROR(__xludf.DUMMYFUNCTION("""COMPUTED_VALUE"""),44.82)</f>
        <v>44.82</v>
      </c>
      <c r="E3111" s="17"/>
      <c r="N3111" s="17"/>
      <c r="Q3111" s="17"/>
    </row>
    <row r="3112">
      <c r="B3112" s="11">
        <f>IFERROR(__xludf.DUMMYFUNCTION("""COMPUTED_VALUE"""),41505.666666666664)</f>
        <v>41505.66667</v>
      </c>
      <c r="C3112" s="9">
        <f>IFERROR(__xludf.DUMMYFUNCTION("""COMPUTED_VALUE"""),44.74)</f>
        <v>44.74</v>
      </c>
      <c r="E3112" s="17"/>
      <c r="N3112" s="17"/>
      <c r="Q3112" s="17"/>
    </row>
    <row r="3113">
      <c r="B3113" s="11">
        <f>IFERROR(__xludf.DUMMYFUNCTION("""COMPUTED_VALUE"""),41502.666666666664)</f>
        <v>41502.66667</v>
      </c>
      <c r="C3113" s="9">
        <f>IFERROR(__xludf.DUMMYFUNCTION("""COMPUTED_VALUE"""),44.98)</f>
        <v>44.98</v>
      </c>
      <c r="E3113" s="17"/>
      <c r="N3113" s="17"/>
      <c r="Q3113" s="17"/>
    </row>
    <row r="3114">
      <c r="B3114" s="11">
        <f>IFERROR(__xludf.DUMMYFUNCTION("""COMPUTED_VALUE"""),41501.666666666664)</f>
        <v>41501.66667</v>
      </c>
      <c r="C3114" s="9">
        <f>IFERROR(__xludf.DUMMYFUNCTION("""COMPUTED_VALUE"""),44.92)</f>
        <v>44.92</v>
      </c>
      <c r="E3114" s="17"/>
      <c r="N3114" s="17"/>
      <c r="Q3114" s="17"/>
    </row>
    <row r="3115">
      <c r="B3115" s="11">
        <f>IFERROR(__xludf.DUMMYFUNCTION("""COMPUTED_VALUE"""),41500.666666666664)</f>
        <v>41500.66667</v>
      </c>
      <c r="C3115" s="9">
        <f>IFERROR(__xludf.DUMMYFUNCTION("""COMPUTED_VALUE"""),45.43)</f>
        <v>45.43</v>
      </c>
      <c r="E3115" s="17"/>
      <c r="N3115" s="17"/>
      <c r="Q3115" s="17"/>
    </row>
    <row r="3116">
      <c r="B3116" s="11">
        <f>IFERROR(__xludf.DUMMYFUNCTION("""COMPUTED_VALUE"""),41499.666666666664)</f>
        <v>41499.66667</v>
      </c>
      <c r="C3116" s="9">
        <f>IFERROR(__xludf.DUMMYFUNCTION("""COMPUTED_VALUE"""),45.75)</f>
        <v>45.75</v>
      </c>
      <c r="E3116" s="17"/>
      <c r="N3116" s="17"/>
      <c r="Q3116" s="17"/>
    </row>
    <row r="3117">
      <c r="B3117" s="11">
        <f>IFERROR(__xludf.DUMMYFUNCTION("""COMPUTED_VALUE"""),41498.666666666664)</f>
        <v>41498.66667</v>
      </c>
      <c r="C3117" s="9">
        <f>IFERROR(__xludf.DUMMYFUNCTION("""COMPUTED_VALUE"""),45.55)</f>
        <v>45.55</v>
      </c>
      <c r="E3117" s="17"/>
      <c r="N3117" s="17"/>
      <c r="Q3117" s="17"/>
    </row>
    <row r="3118">
      <c r="B3118" s="11">
        <f>IFERROR(__xludf.DUMMYFUNCTION("""COMPUTED_VALUE"""),41495.666666666664)</f>
        <v>41495.66667</v>
      </c>
      <c r="C3118" s="9">
        <f>IFERROR(__xludf.DUMMYFUNCTION("""COMPUTED_VALUE"""),45.49)</f>
        <v>45.49</v>
      </c>
      <c r="E3118" s="17"/>
      <c r="N3118" s="17"/>
      <c r="Q3118" s="17"/>
    </row>
    <row r="3119">
      <c r="B3119" s="11">
        <f>IFERROR(__xludf.DUMMYFUNCTION("""COMPUTED_VALUE"""),41494.666666666664)</f>
        <v>41494.66667</v>
      </c>
      <c r="C3119" s="9">
        <f>IFERROR(__xludf.DUMMYFUNCTION("""COMPUTED_VALUE"""),45.64)</f>
        <v>45.64</v>
      </c>
      <c r="E3119" s="17"/>
      <c r="N3119" s="17"/>
      <c r="Q3119" s="17"/>
    </row>
    <row r="3120">
      <c r="B3120" s="11">
        <f>IFERROR(__xludf.DUMMYFUNCTION("""COMPUTED_VALUE"""),41493.666666666664)</f>
        <v>41493.66667</v>
      </c>
      <c r="C3120" s="9">
        <f>IFERROR(__xludf.DUMMYFUNCTION("""COMPUTED_VALUE"""),45.43)</f>
        <v>45.43</v>
      </c>
      <c r="E3120" s="17"/>
      <c r="N3120" s="17"/>
      <c r="Q3120" s="17"/>
    </row>
    <row r="3121">
      <c r="B3121" s="11">
        <f>IFERROR(__xludf.DUMMYFUNCTION("""COMPUTED_VALUE"""),41492.666666666664)</f>
        <v>41492.66667</v>
      </c>
      <c r="C3121" s="9">
        <f>IFERROR(__xludf.DUMMYFUNCTION("""COMPUTED_VALUE"""),45.5)</f>
        <v>45.5</v>
      </c>
      <c r="E3121" s="17"/>
      <c r="N3121" s="17"/>
      <c r="Q3121" s="17"/>
    </row>
    <row r="3122">
      <c r="B3122" s="11">
        <f>IFERROR(__xludf.DUMMYFUNCTION("""COMPUTED_VALUE"""),41491.666666666664)</f>
        <v>41491.66667</v>
      </c>
      <c r="C3122" s="9">
        <f>IFERROR(__xludf.DUMMYFUNCTION("""COMPUTED_VALUE"""),45.85)</f>
        <v>45.85</v>
      </c>
      <c r="E3122" s="17"/>
      <c r="N3122" s="17"/>
      <c r="Q3122" s="17"/>
    </row>
    <row r="3123">
      <c r="B3123" s="11">
        <f>IFERROR(__xludf.DUMMYFUNCTION("""COMPUTED_VALUE"""),41488.666666666664)</f>
        <v>41488.66667</v>
      </c>
      <c r="C3123" s="9">
        <f>IFERROR(__xludf.DUMMYFUNCTION("""COMPUTED_VALUE"""),46.02)</f>
        <v>46.02</v>
      </c>
      <c r="E3123" s="17"/>
      <c r="N3123" s="17"/>
      <c r="Q3123" s="17"/>
    </row>
    <row r="3124">
      <c r="B3124" s="11">
        <f>IFERROR(__xludf.DUMMYFUNCTION("""COMPUTED_VALUE"""),41487.666666666664)</f>
        <v>41487.66667</v>
      </c>
      <c r="C3124" s="9">
        <f>IFERROR(__xludf.DUMMYFUNCTION("""COMPUTED_VALUE"""),45.93)</f>
        <v>45.93</v>
      </c>
      <c r="E3124" s="17"/>
      <c r="N3124" s="17"/>
      <c r="Q3124" s="17"/>
    </row>
    <row r="3125">
      <c r="B3125" s="11">
        <f>IFERROR(__xludf.DUMMYFUNCTION("""COMPUTED_VALUE"""),41486.666666666664)</f>
        <v>41486.66667</v>
      </c>
      <c r="C3125" s="9">
        <f>IFERROR(__xludf.DUMMYFUNCTION("""COMPUTED_VALUE"""),45.16)</f>
        <v>45.16</v>
      </c>
      <c r="E3125" s="17"/>
      <c r="N3125" s="17"/>
      <c r="Q3125" s="17"/>
    </row>
    <row r="3126">
      <c r="B3126" s="11">
        <f>IFERROR(__xludf.DUMMYFUNCTION("""COMPUTED_VALUE"""),41485.666666666664)</f>
        <v>41485.66667</v>
      </c>
      <c r="C3126" s="9">
        <f>IFERROR(__xludf.DUMMYFUNCTION("""COMPUTED_VALUE"""),45.0)</f>
        <v>45</v>
      </c>
      <c r="E3126" s="17"/>
      <c r="N3126" s="17"/>
      <c r="Q3126" s="17"/>
    </row>
    <row r="3127">
      <c r="B3127" s="11">
        <f>IFERROR(__xludf.DUMMYFUNCTION("""COMPUTED_VALUE"""),41484.666666666664)</f>
        <v>41484.66667</v>
      </c>
      <c r="C3127" s="9">
        <f>IFERROR(__xludf.DUMMYFUNCTION("""COMPUTED_VALUE"""),44.81)</f>
        <v>44.81</v>
      </c>
      <c r="E3127" s="17"/>
      <c r="N3127" s="17"/>
      <c r="Q3127" s="17"/>
    </row>
    <row r="3128">
      <c r="B3128" s="11">
        <f>IFERROR(__xludf.DUMMYFUNCTION("""COMPUTED_VALUE"""),41481.666666666664)</f>
        <v>41481.66667</v>
      </c>
      <c r="C3128" s="9">
        <f>IFERROR(__xludf.DUMMYFUNCTION("""COMPUTED_VALUE"""),44.93)</f>
        <v>44.93</v>
      </c>
      <c r="E3128" s="17"/>
      <c r="N3128" s="17"/>
      <c r="Q3128" s="17"/>
    </row>
    <row r="3129">
      <c r="B3129" s="11">
        <f>IFERROR(__xludf.DUMMYFUNCTION("""COMPUTED_VALUE"""),41480.666666666664)</f>
        <v>41480.66667</v>
      </c>
      <c r="C3129" s="9">
        <f>IFERROR(__xludf.DUMMYFUNCTION("""COMPUTED_VALUE"""),45.08)</f>
        <v>45.08</v>
      </c>
      <c r="E3129" s="17"/>
      <c r="N3129" s="17"/>
      <c r="Q3129" s="17"/>
    </row>
    <row r="3130">
      <c r="B3130" s="11">
        <f>IFERROR(__xludf.DUMMYFUNCTION("""COMPUTED_VALUE"""),41479.666666666664)</f>
        <v>41479.66667</v>
      </c>
      <c r="C3130" s="9">
        <f>IFERROR(__xludf.DUMMYFUNCTION("""COMPUTED_VALUE"""),45.06)</f>
        <v>45.06</v>
      </c>
      <c r="E3130" s="17"/>
      <c r="N3130" s="17"/>
      <c r="Q3130" s="17"/>
    </row>
    <row r="3131">
      <c r="B3131" s="11">
        <f>IFERROR(__xludf.DUMMYFUNCTION("""COMPUTED_VALUE"""),41478.666666666664)</f>
        <v>41478.66667</v>
      </c>
      <c r="C3131" s="9">
        <f>IFERROR(__xludf.DUMMYFUNCTION("""COMPUTED_VALUE"""),45.41)</f>
        <v>45.41</v>
      </c>
      <c r="E3131" s="17"/>
      <c r="N3131" s="17"/>
      <c r="Q3131" s="17"/>
    </row>
    <row r="3132">
      <c r="B3132" s="11">
        <f>IFERROR(__xludf.DUMMYFUNCTION("""COMPUTED_VALUE"""),41477.666666666664)</f>
        <v>41477.66667</v>
      </c>
      <c r="C3132" s="9">
        <f>IFERROR(__xludf.DUMMYFUNCTION("""COMPUTED_VALUE"""),45.44)</f>
        <v>45.44</v>
      </c>
      <c r="E3132" s="17"/>
      <c r="N3132" s="17"/>
      <c r="Q3132" s="17"/>
    </row>
    <row r="3133">
      <c r="B3133" s="11">
        <f>IFERROR(__xludf.DUMMYFUNCTION("""COMPUTED_VALUE"""),41474.666666666664)</f>
        <v>41474.66667</v>
      </c>
      <c r="C3133" s="9">
        <f>IFERROR(__xludf.DUMMYFUNCTION("""COMPUTED_VALUE"""),45.41)</f>
        <v>45.41</v>
      </c>
      <c r="E3133" s="17"/>
      <c r="N3133" s="17"/>
      <c r="Q3133" s="17"/>
    </row>
    <row r="3134">
      <c r="B3134" s="11">
        <f>IFERROR(__xludf.DUMMYFUNCTION("""COMPUTED_VALUE"""),41473.666666666664)</f>
        <v>41473.66667</v>
      </c>
      <c r="C3134" s="9">
        <f>IFERROR(__xludf.DUMMYFUNCTION("""COMPUTED_VALUE"""),44.95)</f>
        <v>44.95</v>
      </c>
      <c r="E3134" s="17"/>
      <c r="N3134" s="17"/>
      <c r="Q3134" s="17"/>
    </row>
    <row r="3135">
      <c r="B3135" s="11">
        <f>IFERROR(__xludf.DUMMYFUNCTION("""COMPUTED_VALUE"""),41472.666666666664)</f>
        <v>41472.66667</v>
      </c>
      <c r="C3135" s="9">
        <f>IFERROR(__xludf.DUMMYFUNCTION("""COMPUTED_VALUE"""),44.5)</f>
        <v>44.5</v>
      </c>
      <c r="E3135" s="17"/>
      <c r="N3135" s="17"/>
      <c r="Q3135" s="17"/>
    </row>
    <row r="3136">
      <c r="B3136" s="11">
        <f>IFERROR(__xludf.DUMMYFUNCTION("""COMPUTED_VALUE"""),41471.666666666664)</f>
        <v>41471.66667</v>
      </c>
      <c r="C3136" s="9">
        <f>IFERROR(__xludf.DUMMYFUNCTION("""COMPUTED_VALUE"""),44.37)</f>
        <v>44.37</v>
      </c>
      <c r="E3136" s="17"/>
      <c r="N3136" s="17"/>
      <c r="Q3136" s="17"/>
    </row>
    <row r="3137">
      <c r="B3137" s="11">
        <f>IFERROR(__xludf.DUMMYFUNCTION("""COMPUTED_VALUE"""),41470.666666666664)</f>
        <v>41470.66667</v>
      </c>
      <c r="C3137" s="9">
        <f>IFERROR(__xludf.DUMMYFUNCTION("""COMPUTED_VALUE"""),44.61)</f>
        <v>44.61</v>
      </c>
      <c r="E3137" s="17"/>
      <c r="N3137" s="17"/>
      <c r="Q3137" s="17"/>
    </row>
    <row r="3138">
      <c r="B3138" s="11">
        <f>IFERROR(__xludf.DUMMYFUNCTION("""COMPUTED_VALUE"""),41467.666666666664)</f>
        <v>41467.66667</v>
      </c>
      <c r="C3138" s="9">
        <f>IFERROR(__xludf.DUMMYFUNCTION("""COMPUTED_VALUE"""),44.45)</f>
        <v>44.45</v>
      </c>
      <c r="E3138" s="17"/>
      <c r="N3138" s="17"/>
      <c r="Q3138" s="17"/>
    </row>
    <row r="3139">
      <c r="B3139" s="11">
        <f>IFERROR(__xludf.DUMMYFUNCTION("""COMPUTED_VALUE"""),41466.666666666664)</f>
        <v>41466.66667</v>
      </c>
      <c r="C3139" s="9">
        <f>IFERROR(__xludf.DUMMYFUNCTION("""COMPUTED_VALUE"""),44.72)</f>
        <v>44.72</v>
      </c>
      <c r="E3139" s="17"/>
      <c r="N3139" s="17"/>
      <c r="Q3139" s="17"/>
    </row>
    <row r="3140">
      <c r="B3140" s="11">
        <f>IFERROR(__xludf.DUMMYFUNCTION("""COMPUTED_VALUE"""),41465.666666666664)</f>
        <v>41465.66667</v>
      </c>
      <c r="C3140" s="9">
        <f>IFERROR(__xludf.DUMMYFUNCTION("""COMPUTED_VALUE"""),44.02)</f>
        <v>44.02</v>
      </c>
      <c r="E3140" s="17"/>
      <c r="N3140" s="17"/>
      <c r="Q3140" s="17"/>
    </row>
    <row r="3141">
      <c r="B3141" s="11">
        <f>IFERROR(__xludf.DUMMYFUNCTION("""COMPUTED_VALUE"""),41464.666666666664)</f>
        <v>41464.66667</v>
      </c>
      <c r="C3141" s="9">
        <f>IFERROR(__xludf.DUMMYFUNCTION("""COMPUTED_VALUE"""),44.03)</f>
        <v>44.03</v>
      </c>
      <c r="E3141" s="17"/>
      <c r="N3141" s="17"/>
      <c r="Q3141" s="17"/>
    </row>
    <row r="3142">
      <c r="B3142" s="11">
        <f>IFERROR(__xludf.DUMMYFUNCTION("""COMPUTED_VALUE"""),41463.666666666664)</f>
        <v>41463.66667</v>
      </c>
      <c r="C3142" s="9">
        <f>IFERROR(__xludf.DUMMYFUNCTION("""COMPUTED_VALUE"""),43.42)</f>
        <v>43.42</v>
      </c>
      <c r="E3142" s="17"/>
      <c r="N3142" s="17"/>
      <c r="Q3142" s="17"/>
    </row>
    <row r="3143">
      <c r="B3143" s="11">
        <f>IFERROR(__xludf.DUMMYFUNCTION("""COMPUTED_VALUE"""),41460.666666666664)</f>
        <v>41460.66667</v>
      </c>
      <c r="C3143" s="9">
        <f>IFERROR(__xludf.DUMMYFUNCTION("""COMPUTED_VALUE"""),43.3)</f>
        <v>43.3</v>
      </c>
      <c r="E3143" s="17"/>
      <c r="N3143" s="17"/>
      <c r="Q3143" s="17"/>
    </row>
    <row r="3144">
      <c r="B3144" s="11">
        <f>IFERROR(__xludf.DUMMYFUNCTION("""COMPUTED_VALUE"""),41458.666666666664)</f>
        <v>41458.66667</v>
      </c>
      <c r="C3144" s="9">
        <f>IFERROR(__xludf.DUMMYFUNCTION("""COMPUTED_VALUE"""),42.63)</f>
        <v>42.63</v>
      </c>
      <c r="E3144" s="17"/>
      <c r="N3144" s="17"/>
      <c r="Q3144" s="17"/>
    </row>
    <row r="3145">
      <c r="B3145" s="11">
        <f>IFERROR(__xludf.DUMMYFUNCTION("""COMPUTED_VALUE"""),41457.666666666664)</f>
        <v>41457.66667</v>
      </c>
      <c r="C3145" s="9">
        <f>IFERROR(__xludf.DUMMYFUNCTION("""COMPUTED_VALUE"""),42.61)</f>
        <v>42.61</v>
      </c>
      <c r="E3145" s="17"/>
      <c r="N3145" s="17"/>
      <c r="Q3145" s="17"/>
    </row>
    <row r="3146">
      <c r="B3146" s="11">
        <f>IFERROR(__xludf.DUMMYFUNCTION("""COMPUTED_VALUE"""),41456.666666666664)</f>
        <v>41456.66667</v>
      </c>
      <c r="C3146" s="9">
        <f>IFERROR(__xludf.DUMMYFUNCTION("""COMPUTED_VALUE"""),43.07)</f>
        <v>43.07</v>
      </c>
      <c r="E3146" s="17"/>
      <c r="N3146" s="17"/>
      <c r="Q3146" s="17"/>
    </row>
    <row r="3147">
      <c r="B3147" s="11">
        <f>IFERROR(__xludf.DUMMYFUNCTION("""COMPUTED_VALUE"""),41453.666666666664)</f>
        <v>41453.66667</v>
      </c>
      <c r="C3147" s="9">
        <f>IFERROR(__xludf.DUMMYFUNCTION("""COMPUTED_VALUE"""),42.64)</f>
        <v>42.64</v>
      </c>
      <c r="E3147" s="17"/>
      <c r="N3147" s="17"/>
      <c r="Q3147" s="17"/>
    </row>
    <row r="3148">
      <c r="B3148" s="11">
        <f>IFERROR(__xludf.DUMMYFUNCTION("""COMPUTED_VALUE"""),41452.666666666664)</f>
        <v>41452.66667</v>
      </c>
      <c r="C3148" s="9">
        <f>IFERROR(__xludf.DUMMYFUNCTION("""COMPUTED_VALUE"""),42.89)</f>
        <v>42.89</v>
      </c>
      <c r="E3148" s="17"/>
      <c r="N3148" s="17"/>
      <c r="Q3148" s="17"/>
    </row>
    <row r="3149">
      <c r="B3149" s="11">
        <f>IFERROR(__xludf.DUMMYFUNCTION("""COMPUTED_VALUE"""),41451.666666666664)</f>
        <v>41451.66667</v>
      </c>
      <c r="C3149" s="9">
        <f>IFERROR(__xludf.DUMMYFUNCTION("""COMPUTED_VALUE"""),42.47)</f>
        <v>42.47</v>
      </c>
      <c r="E3149" s="17"/>
      <c r="N3149" s="17"/>
      <c r="Q3149" s="17"/>
    </row>
    <row r="3150">
      <c r="B3150" s="11">
        <f>IFERROR(__xludf.DUMMYFUNCTION("""COMPUTED_VALUE"""),41450.666666666664)</f>
        <v>41450.66667</v>
      </c>
      <c r="C3150" s="9">
        <f>IFERROR(__xludf.DUMMYFUNCTION("""COMPUTED_VALUE"""),42.06)</f>
        <v>42.06</v>
      </c>
      <c r="E3150" s="17"/>
      <c r="N3150" s="17"/>
      <c r="Q3150" s="17"/>
    </row>
    <row r="3151">
      <c r="B3151" s="11">
        <f>IFERROR(__xludf.DUMMYFUNCTION("""COMPUTED_VALUE"""),41449.666666666664)</f>
        <v>41449.66667</v>
      </c>
      <c r="C3151" s="9">
        <f>IFERROR(__xludf.DUMMYFUNCTION("""COMPUTED_VALUE"""),41.59)</f>
        <v>41.59</v>
      </c>
      <c r="E3151" s="17"/>
      <c r="N3151" s="17"/>
      <c r="Q3151" s="17"/>
    </row>
    <row r="3152">
      <c r="B3152" s="11">
        <f>IFERROR(__xludf.DUMMYFUNCTION("""COMPUTED_VALUE"""),41446.666666666664)</f>
        <v>41446.66667</v>
      </c>
      <c r="C3152" s="9">
        <f>IFERROR(__xludf.DUMMYFUNCTION("""COMPUTED_VALUE"""),42.3)</f>
        <v>42.3</v>
      </c>
      <c r="E3152" s="17"/>
      <c r="N3152" s="17"/>
      <c r="Q3152" s="17"/>
    </row>
    <row r="3153">
      <c r="B3153" s="11">
        <f>IFERROR(__xludf.DUMMYFUNCTION("""COMPUTED_VALUE"""),41445.666666666664)</f>
        <v>41445.66667</v>
      </c>
      <c r="C3153" s="9">
        <f>IFERROR(__xludf.DUMMYFUNCTION("""COMPUTED_VALUE"""),42.49)</f>
        <v>42.49</v>
      </c>
      <c r="E3153" s="17"/>
      <c r="N3153" s="17"/>
      <c r="Q3153" s="17"/>
    </row>
    <row r="3154">
      <c r="B3154" s="11">
        <f>IFERROR(__xludf.DUMMYFUNCTION("""COMPUTED_VALUE"""),41444.666666666664)</f>
        <v>41444.66667</v>
      </c>
      <c r="C3154" s="9">
        <f>IFERROR(__xludf.DUMMYFUNCTION("""COMPUTED_VALUE"""),43.48)</f>
        <v>43.48</v>
      </c>
      <c r="E3154" s="17"/>
      <c r="N3154" s="17"/>
      <c r="Q3154" s="17"/>
    </row>
    <row r="3155">
      <c r="B3155" s="11">
        <f>IFERROR(__xludf.DUMMYFUNCTION("""COMPUTED_VALUE"""),41443.666666666664)</f>
        <v>41443.66667</v>
      </c>
      <c r="C3155" s="9">
        <f>IFERROR(__xludf.DUMMYFUNCTION("""COMPUTED_VALUE"""),44.16)</f>
        <v>44.16</v>
      </c>
      <c r="E3155" s="17"/>
      <c r="N3155" s="17"/>
      <c r="Q3155" s="17"/>
    </row>
    <row r="3156">
      <c r="B3156" s="11">
        <f>IFERROR(__xludf.DUMMYFUNCTION("""COMPUTED_VALUE"""),41442.666666666664)</f>
        <v>41442.66667</v>
      </c>
      <c r="C3156" s="9">
        <f>IFERROR(__xludf.DUMMYFUNCTION("""COMPUTED_VALUE"""),43.64)</f>
        <v>43.64</v>
      </c>
      <c r="E3156" s="17"/>
      <c r="N3156" s="17"/>
      <c r="Q3156" s="17"/>
    </row>
    <row r="3157">
      <c r="B3157" s="11">
        <f>IFERROR(__xludf.DUMMYFUNCTION("""COMPUTED_VALUE"""),41439.666666666664)</f>
        <v>41439.66667</v>
      </c>
      <c r="C3157" s="9">
        <f>IFERROR(__xludf.DUMMYFUNCTION("""COMPUTED_VALUE"""),43.3)</f>
        <v>43.3</v>
      </c>
      <c r="E3157" s="17"/>
      <c r="N3157" s="17"/>
      <c r="Q3157" s="17"/>
    </row>
    <row r="3158">
      <c r="B3158" s="11">
        <f>IFERROR(__xludf.DUMMYFUNCTION("""COMPUTED_VALUE"""),41438.666666666664)</f>
        <v>41438.66667</v>
      </c>
      <c r="C3158" s="9">
        <f>IFERROR(__xludf.DUMMYFUNCTION("""COMPUTED_VALUE"""),43.59)</f>
        <v>43.59</v>
      </c>
      <c r="E3158" s="17"/>
      <c r="N3158" s="17"/>
      <c r="Q3158" s="17"/>
    </row>
    <row r="3159">
      <c r="B3159" s="11">
        <f>IFERROR(__xludf.DUMMYFUNCTION("""COMPUTED_VALUE"""),41437.666666666664)</f>
        <v>41437.66667</v>
      </c>
      <c r="C3159" s="9">
        <f>IFERROR(__xludf.DUMMYFUNCTION("""COMPUTED_VALUE"""),42.96)</f>
        <v>42.96</v>
      </c>
      <c r="E3159" s="17"/>
      <c r="N3159" s="17"/>
      <c r="Q3159" s="17"/>
    </row>
    <row r="3160">
      <c r="B3160" s="11">
        <f>IFERROR(__xludf.DUMMYFUNCTION("""COMPUTED_VALUE"""),41436.666666666664)</f>
        <v>41436.66667</v>
      </c>
      <c r="C3160" s="9">
        <f>IFERROR(__xludf.DUMMYFUNCTION("""COMPUTED_VALUE"""),43.26)</f>
        <v>43.26</v>
      </c>
      <c r="E3160" s="17"/>
      <c r="N3160" s="17"/>
      <c r="Q3160" s="17"/>
    </row>
    <row r="3161">
      <c r="B3161" s="11">
        <f>IFERROR(__xludf.DUMMYFUNCTION("""COMPUTED_VALUE"""),41435.666666666664)</f>
        <v>41435.66667</v>
      </c>
      <c r="C3161" s="9">
        <f>IFERROR(__xludf.DUMMYFUNCTION("""COMPUTED_VALUE"""),43.66)</f>
        <v>43.66</v>
      </c>
      <c r="E3161" s="17"/>
      <c r="N3161" s="17"/>
      <c r="Q3161" s="17"/>
    </row>
    <row r="3162">
      <c r="B3162" s="11">
        <f>IFERROR(__xludf.DUMMYFUNCTION("""COMPUTED_VALUE"""),41432.666666666664)</f>
        <v>41432.66667</v>
      </c>
      <c r="C3162" s="9">
        <f>IFERROR(__xludf.DUMMYFUNCTION("""COMPUTED_VALUE"""),43.79)</f>
        <v>43.79</v>
      </c>
      <c r="E3162" s="17"/>
      <c r="N3162" s="17"/>
      <c r="Q3162" s="17"/>
    </row>
    <row r="3163">
      <c r="B3163" s="11">
        <f>IFERROR(__xludf.DUMMYFUNCTION("""COMPUTED_VALUE"""),41431.666666666664)</f>
        <v>41431.66667</v>
      </c>
      <c r="C3163" s="9">
        <f>IFERROR(__xludf.DUMMYFUNCTION("""COMPUTED_VALUE"""),42.98)</f>
        <v>42.98</v>
      </c>
      <c r="E3163" s="17"/>
      <c r="N3163" s="17"/>
      <c r="Q3163" s="17"/>
    </row>
    <row r="3164">
      <c r="B3164" s="11">
        <f>IFERROR(__xludf.DUMMYFUNCTION("""COMPUTED_VALUE"""),41430.666666666664)</f>
        <v>41430.66667</v>
      </c>
      <c r="C3164" s="9">
        <f>IFERROR(__xludf.DUMMYFUNCTION("""COMPUTED_VALUE"""),42.71)</f>
        <v>42.71</v>
      </c>
      <c r="E3164" s="17"/>
      <c r="N3164" s="17"/>
      <c r="Q3164" s="17"/>
    </row>
    <row r="3165">
      <c r="B3165" s="11">
        <f>IFERROR(__xludf.DUMMYFUNCTION("""COMPUTED_VALUE"""),41429.666666666664)</f>
        <v>41429.66667</v>
      </c>
      <c r="C3165" s="9">
        <f>IFERROR(__xludf.DUMMYFUNCTION("""COMPUTED_VALUE"""),43.5)</f>
        <v>43.5</v>
      </c>
      <c r="E3165" s="17"/>
      <c r="N3165" s="17"/>
      <c r="Q3165" s="17"/>
    </row>
    <row r="3166">
      <c r="B3166" s="11">
        <f>IFERROR(__xludf.DUMMYFUNCTION("""COMPUTED_VALUE"""),41428.666666666664)</f>
        <v>41428.66667</v>
      </c>
      <c r="C3166" s="9">
        <f>IFERROR(__xludf.DUMMYFUNCTION("""COMPUTED_VALUE"""),43.74)</f>
        <v>43.74</v>
      </c>
      <c r="E3166" s="17"/>
      <c r="N3166" s="17"/>
      <c r="Q3166" s="17"/>
    </row>
    <row r="3167">
      <c r="B3167" s="11">
        <f>IFERROR(__xludf.DUMMYFUNCTION("""COMPUTED_VALUE"""),41425.666666666664)</f>
        <v>41425.66667</v>
      </c>
      <c r="C3167" s="9">
        <f>IFERROR(__xludf.DUMMYFUNCTION("""COMPUTED_VALUE"""),43.53)</f>
        <v>43.53</v>
      </c>
      <c r="E3167" s="17"/>
      <c r="N3167" s="17"/>
      <c r="Q3167" s="17"/>
    </row>
    <row r="3168">
      <c r="B3168" s="11">
        <f>IFERROR(__xludf.DUMMYFUNCTION("""COMPUTED_VALUE"""),41424.666666666664)</f>
        <v>41424.66667</v>
      </c>
      <c r="C3168" s="9">
        <f>IFERROR(__xludf.DUMMYFUNCTION("""COMPUTED_VALUE"""),43.95)</f>
        <v>43.95</v>
      </c>
      <c r="E3168" s="17"/>
      <c r="N3168" s="17"/>
      <c r="Q3168" s="17"/>
    </row>
    <row r="3169">
      <c r="B3169" s="11">
        <f>IFERROR(__xludf.DUMMYFUNCTION("""COMPUTED_VALUE"""),41423.666666666664)</f>
        <v>41423.66667</v>
      </c>
      <c r="C3169" s="9">
        <f>IFERROR(__xludf.DUMMYFUNCTION("""COMPUTED_VALUE"""),43.69)</f>
        <v>43.69</v>
      </c>
      <c r="E3169" s="17"/>
      <c r="N3169" s="17"/>
      <c r="Q3169" s="17"/>
    </row>
    <row r="3170">
      <c r="B3170" s="11">
        <f>IFERROR(__xludf.DUMMYFUNCTION("""COMPUTED_VALUE"""),41422.666666666664)</f>
        <v>41422.66667</v>
      </c>
      <c r="C3170" s="9">
        <f>IFERROR(__xludf.DUMMYFUNCTION("""COMPUTED_VALUE"""),43.94)</f>
        <v>43.94</v>
      </c>
      <c r="E3170" s="17"/>
      <c r="N3170" s="17"/>
      <c r="Q3170" s="17"/>
    </row>
    <row r="3171">
      <c r="B3171" s="11">
        <f>IFERROR(__xludf.DUMMYFUNCTION("""COMPUTED_VALUE"""),41418.666666666664)</f>
        <v>41418.66667</v>
      </c>
      <c r="C3171" s="9">
        <f>IFERROR(__xludf.DUMMYFUNCTION("""COMPUTED_VALUE"""),43.71)</f>
        <v>43.71</v>
      </c>
      <c r="E3171" s="17"/>
      <c r="N3171" s="17"/>
      <c r="Q3171" s="17"/>
    </row>
    <row r="3172">
      <c r="B3172" s="11">
        <f>IFERROR(__xludf.DUMMYFUNCTION("""COMPUTED_VALUE"""),41417.666666666664)</f>
        <v>41417.66667</v>
      </c>
      <c r="C3172" s="9">
        <f>IFERROR(__xludf.DUMMYFUNCTION("""COMPUTED_VALUE"""),43.85)</f>
        <v>43.85</v>
      </c>
      <c r="E3172" s="17"/>
      <c r="N3172" s="17"/>
      <c r="Q3172" s="17"/>
    </row>
    <row r="3173">
      <c r="B3173" s="11">
        <f>IFERROR(__xludf.DUMMYFUNCTION("""COMPUTED_VALUE"""),41416.666666666664)</f>
        <v>41416.66667</v>
      </c>
      <c r="C3173" s="9">
        <f>IFERROR(__xludf.DUMMYFUNCTION("""COMPUTED_VALUE"""),43.97)</f>
        <v>43.97</v>
      </c>
      <c r="E3173" s="17"/>
      <c r="N3173" s="17"/>
      <c r="Q3173" s="17"/>
    </row>
    <row r="3174">
      <c r="B3174" s="11">
        <f>IFERROR(__xludf.DUMMYFUNCTION("""COMPUTED_VALUE"""),41415.666666666664)</f>
        <v>41415.66667</v>
      </c>
      <c r="C3174" s="9">
        <f>IFERROR(__xludf.DUMMYFUNCTION("""COMPUTED_VALUE"""),44.36)</f>
        <v>44.36</v>
      </c>
      <c r="E3174" s="17"/>
      <c r="N3174" s="17"/>
      <c r="Q3174" s="17"/>
    </row>
    <row r="3175">
      <c r="B3175" s="11">
        <f>IFERROR(__xludf.DUMMYFUNCTION("""COMPUTED_VALUE"""),41414.666666666664)</f>
        <v>41414.66667</v>
      </c>
      <c r="C3175" s="9">
        <f>IFERROR(__xludf.DUMMYFUNCTION("""COMPUTED_VALUE"""),44.3)</f>
        <v>44.3</v>
      </c>
      <c r="E3175" s="17"/>
      <c r="N3175" s="17"/>
      <c r="Q3175" s="17"/>
    </row>
    <row r="3176">
      <c r="B3176" s="11">
        <f>IFERROR(__xludf.DUMMYFUNCTION("""COMPUTED_VALUE"""),41411.666666666664)</f>
        <v>41411.66667</v>
      </c>
      <c r="C3176" s="9">
        <f>IFERROR(__xludf.DUMMYFUNCTION("""COMPUTED_VALUE"""),44.17)</f>
        <v>44.17</v>
      </c>
      <c r="E3176" s="17"/>
      <c r="N3176" s="17"/>
      <c r="Q3176" s="17"/>
    </row>
    <row r="3177">
      <c r="B3177" s="11">
        <f>IFERROR(__xludf.DUMMYFUNCTION("""COMPUTED_VALUE"""),41410.666666666664)</f>
        <v>41410.66667</v>
      </c>
      <c r="C3177" s="9">
        <f>IFERROR(__xludf.DUMMYFUNCTION("""COMPUTED_VALUE"""),43.51)</f>
        <v>43.51</v>
      </c>
      <c r="E3177" s="17"/>
      <c r="N3177" s="17"/>
      <c r="Q3177" s="17"/>
    </row>
    <row r="3178">
      <c r="B3178" s="11">
        <f>IFERROR(__xludf.DUMMYFUNCTION("""COMPUTED_VALUE"""),41409.666666666664)</f>
        <v>41409.66667</v>
      </c>
      <c r="C3178" s="9">
        <f>IFERROR(__xludf.DUMMYFUNCTION("""COMPUTED_VALUE"""),43.73)</f>
        <v>43.73</v>
      </c>
      <c r="E3178" s="17"/>
      <c r="N3178" s="17"/>
      <c r="Q3178" s="17"/>
    </row>
    <row r="3179">
      <c r="B3179" s="11">
        <f>IFERROR(__xludf.DUMMYFUNCTION("""COMPUTED_VALUE"""),41408.666666666664)</f>
        <v>41408.66667</v>
      </c>
      <c r="C3179" s="9">
        <f>IFERROR(__xludf.DUMMYFUNCTION("""COMPUTED_VALUE"""),43.55)</f>
        <v>43.55</v>
      </c>
      <c r="E3179" s="17"/>
      <c r="N3179" s="17"/>
      <c r="Q3179" s="17"/>
    </row>
    <row r="3180">
      <c r="B3180" s="11">
        <f>IFERROR(__xludf.DUMMYFUNCTION("""COMPUTED_VALUE"""),41407.666666666664)</f>
        <v>41407.66667</v>
      </c>
      <c r="C3180" s="9">
        <f>IFERROR(__xludf.DUMMYFUNCTION("""COMPUTED_VALUE"""),43.02)</f>
        <v>43.02</v>
      </c>
      <c r="E3180" s="17"/>
      <c r="N3180" s="17"/>
      <c r="Q3180" s="17"/>
    </row>
    <row r="3181">
      <c r="B3181" s="11">
        <f>IFERROR(__xludf.DUMMYFUNCTION("""COMPUTED_VALUE"""),41404.666666666664)</f>
        <v>41404.66667</v>
      </c>
      <c r="C3181" s="9">
        <f>IFERROR(__xludf.DUMMYFUNCTION("""COMPUTED_VALUE"""),43.19)</f>
        <v>43.19</v>
      </c>
      <c r="E3181" s="17"/>
      <c r="N3181" s="17"/>
      <c r="Q3181" s="17"/>
    </row>
    <row r="3182">
      <c r="B3182" s="11">
        <f>IFERROR(__xludf.DUMMYFUNCTION("""COMPUTED_VALUE"""),41403.666666666664)</f>
        <v>41403.66667</v>
      </c>
      <c r="C3182" s="9">
        <f>IFERROR(__xludf.DUMMYFUNCTION("""COMPUTED_VALUE"""),43.06)</f>
        <v>43.06</v>
      </c>
      <c r="E3182" s="17"/>
      <c r="N3182" s="17"/>
      <c r="Q3182" s="17"/>
    </row>
    <row r="3183">
      <c r="B3183" s="11">
        <f>IFERROR(__xludf.DUMMYFUNCTION("""COMPUTED_VALUE"""),41402.666666666664)</f>
        <v>41402.66667</v>
      </c>
      <c r="C3183" s="9">
        <f>IFERROR(__xludf.DUMMYFUNCTION("""COMPUTED_VALUE"""),43.06)</f>
        <v>43.06</v>
      </c>
      <c r="E3183" s="17"/>
      <c r="N3183" s="17"/>
      <c r="Q3183" s="17"/>
    </row>
    <row r="3184">
      <c r="B3184" s="11">
        <f>IFERROR(__xludf.DUMMYFUNCTION("""COMPUTED_VALUE"""),41401.666666666664)</f>
        <v>41401.66667</v>
      </c>
      <c r="C3184" s="9">
        <f>IFERROR(__xludf.DUMMYFUNCTION("""COMPUTED_VALUE"""),42.79)</f>
        <v>42.79</v>
      </c>
      <c r="E3184" s="17"/>
      <c r="N3184" s="17"/>
      <c r="Q3184" s="17"/>
    </row>
    <row r="3185">
      <c r="B3185" s="11">
        <f>IFERROR(__xludf.DUMMYFUNCTION("""COMPUTED_VALUE"""),41400.666666666664)</f>
        <v>41400.66667</v>
      </c>
      <c r="C3185" s="9">
        <f>IFERROR(__xludf.DUMMYFUNCTION("""COMPUTED_VALUE"""),42.4)</f>
        <v>42.4</v>
      </c>
      <c r="E3185" s="17"/>
      <c r="N3185" s="17"/>
      <c r="Q3185" s="17"/>
    </row>
    <row r="3186">
      <c r="B3186" s="11">
        <f>IFERROR(__xludf.DUMMYFUNCTION("""COMPUTED_VALUE"""),41397.666666666664)</f>
        <v>41397.66667</v>
      </c>
      <c r="C3186" s="9">
        <f>IFERROR(__xludf.DUMMYFUNCTION("""COMPUTED_VALUE"""),42.13)</f>
        <v>42.13</v>
      </c>
      <c r="E3186" s="17"/>
      <c r="N3186" s="17"/>
      <c r="Q3186" s="17"/>
    </row>
    <row r="3187">
      <c r="B3187" s="11">
        <f>IFERROR(__xludf.DUMMYFUNCTION("""COMPUTED_VALUE"""),41396.666666666664)</f>
        <v>41396.66667</v>
      </c>
      <c r="C3187" s="9">
        <f>IFERROR(__xludf.DUMMYFUNCTION("""COMPUTED_VALUE"""),41.42)</f>
        <v>41.42</v>
      </c>
      <c r="E3187" s="17"/>
      <c r="N3187" s="17"/>
      <c r="Q3187" s="17"/>
    </row>
    <row r="3188">
      <c r="B3188" s="11">
        <f>IFERROR(__xludf.DUMMYFUNCTION("""COMPUTED_VALUE"""),41395.666666666664)</f>
        <v>41395.66667</v>
      </c>
      <c r="C3188" s="9">
        <f>IFERROR(__xludf.DUMMYFUNCTION("""COMPUTED_VALUE"""),40.91)</f>
        <v>40.91</v>
      </c>
      <c r="E3188" s="17"/>
      <c r="N3188" s="17"/>
      <c r="Q3188" s="17"/>
    </row>
    <row r="3189">
      <c r="B3189" s="11">
        <f>IFERROR(__xludf.DUMMYFUNCTION("""COMPUTED_VALUE"""),41394.666666666664)</f>
        <v>41394.66667</v>
      </c>
      <c r="C3189" s="9">
        <f>IFERROR(__xludf.DUMMYFUNCTION("""COMPUTED_VALUE"""),41.45)</f>
        <v>41.45</v>
      </c>
      <c r="E3189" s="17"/>
      <c r="N3189" s="17"/>
      <c r="Q3189" s="17"/>
    </row>
    <row r="3190">
      <c r="B3190" s="11">
        <f>IFERROR(__xludf.DUMMYFUNCTION("""COMPUTED_VALUE"""),41393.666666666664)</f>
        <v>41393.66667</v>
      </c>
      <c r="C3190" s="9">
        <f>IFERROR(__xludf.DUMMYFUNCTION("""COMPUTED_VALUE"""),41.44)</f>
        <v>41.44</v>
      </c>
      <c r="E3190" s="17"/>
      <c r="N3190" s="17"/>
      <c r="Q3190" s="17"/>
    </row>
    <row r="3191">
      <c r="B3191" s="11">
        <f>IFERROR(__xludf.DUMMYFUNCTION("""COMPUTED_VALUE"""),41390.666666666664)</f>
        <v>41390.66667</v>
      </c>
      <c r="C3191" s="9">
        <f>IFERROR(__xludf.DUMMYFUNCTION("""COMPUTED_VALUE"""),41.23)</f>
        <v>41.23</v>
      </c>
      <c r="E3191" s="17"/>
      <c r="N3191" s="17"/>
      <c r="Q3191" s="17"/>
    </row>
    <row r="3192">
      <c r="B3192" s="11">
        <f>IFERROR(__xludf.DUMMYFUNCTION("""COMPUTED_VALUE"""),41389.666666666664)</f>
        <v>41389.66667</v>
      </c>
      <c r="C3192" s="9">
        <f>IFERROR(__xludf.DUMMYFUNCTION("""COMPUTED_VALUE"""),41.35)</f>
        <v>41.35</v>
      </c>
      <c r="E3192" s="17"/>
      <c r="N3192" s="17"/>
      <c r="Q3192" s="17"/>
    </row>
    <row r="3193">
      <c r="B3193" s="11">
        <f>IFERROR(__xludf.DUMMYFUNCTION("""COMPUTED_VALUE"""),41388.666666666664)</f>
        <v>41388.66667</v>
      </c>
      <c r="C3193" s="9">
        <f>IFERROR(__xludf.DUMMYFUNCTION("""COMPUTED_VALUE"""),41.14)</f>
        <v>41.14</v>
      </c>
      <c r="E3193" s="17"/>
      <c r="N3193" s="17"/>
      <c r="Q3193" s="17"/>
    </row>
    <row r="3194">
      <c r="B3194" s="11">
        <f>IFERROR(__xludf.DUMMYFUNCTION("""COMPUTED_VALUE"""),41387.666666666664)</f>
        <v>41387.66667</v>
      </c>
      <c r="C3194" s="9">
        <f>IFERROR(__xludf.DUMMYFUNCTION("""COMPUTED_VALUE"""),40.72)</f>
        <v>40.72</v>
      </c>
      <c r="E3194" s="17"/>
      <c r="N3194" s="17"/>
      <c r="Q3194" s="17"/>
    </row>
    <row r="3195">
      <c r="B3195" s="11">
        <f>IFERROR(__xludf.DUMMYFUNCTION("""COMPUTED_VALUE"""),41386.666666666664)</f>
        <v>41386.66667</v>
      </c>
      <c r="C3195" s="9">
        <f>IFERROR(__xludf.DUMMYFUNCTION("""COMPUTED_VALUE"""),40.42)</f>
        <v>40.42</v>
      </c>
      <c r="E3195" s="17"/>
      <c r="N3195" s="17"/>
      <c r="Q3195" s="17"/>
    </row>
    <row r="3196">
      <c r="B3196" s="11">
        <f>IFERROR(__xludf.DUMMYFUNCTION("""COMPUTED_VALUE"""),41383.666666666664)</f>
        <v>41383.66667</v>
      </c>
      <c r="C3196" s="9">
        <f>IFERROR(__xludf.DUMMYFUNCTION("""COMPUTED_VALUE"""),40.38)</f>
        <v>40.38</v>
      </c>
      <c r="E3196" s="17"/>
      <c r="N3196" s="17"/>
      <c r="Q3196" s="17"/>
    </row>
    <row r="3197">
      <c r="B3197" s="11">
        <f>IFERROR(__xludf.DUMMYFUNCTION("""COMPUTED_VALUE"""),41382.666666666664)</f>
        <v>41382.66667</v>
      </c>
      <c r="C3197" s="9">
        <f>IFERROR(__xludf.DUMMYFUNCTION("""COMPUTED_VALUE"""),40.18)</f>
        <v>40.18</v>
      </c>
      <c r="E3197" s="17"/>
      <c r="N3197" s="17"/>
      <c r="Q3197" s="17"/>
    </row>
    <row r="3198">
      <c r="B3198" s="11">
        <f>IFERROR(__xludf.DUMMYFUNCTION("""COMPUTED_VALUE"""),41381.666666666664)</f>
        <v>41381.66667</v>
      </c>
      <c r="C3198" s="9">
        <f>IFERROR(__xludf.DUMMYFUNCTION("""COMPUTED_VALUE"""),40.36)</f>
        <v>40.36</v>
      </c>
      <c r="E3198" s="17"/>
      <c r="N3198" s="17"/>
      <c r="Q3198" s="17"/>
    </row>
    <row r="3199">
      <c r="B3199" s="11">
        <f>IFERROR(__xludf.DUMMYFUNCTION("""COMPUTED_VALUE"""),41380.666666666664)</f>
        <v>41380.66667</v>
      </c>
      <c r="C3199" s="9">
        <f>IFERROR(__xludf.DUMMYFUNCTION("""COMPUTED_VALUE"""),41.04)</f>
        <v>41.04</v>
      </c>
      <c r="E3199" s="17"/>
      <c r="N3199" s="17"/>
      <c r="Q3199" s="17"/>
    </row>
    <row r="3200">
      <c r="B3200" s="11">
        <f>IFERROR(__xludf.DUMMYFUNCTION("""COMPUTED_VALUE"""),41379.666666666664)</f>
        <v>41379.66667</v>
      </c>
      <c r="C3200" s="9">
        <f>IFERROR(__xludf.DUMMYFUNCTION("""COMPUTED_VALUE"""),40.49)</f>
        <v>40.49</v>
      </c>
      <c r="E3200" s="17"/>
      <c r="N3200" s="17"/>
      <c r="Q3200" s="17"/>
    </row>
    <row r="3201">
      <c r="B3201" s="11">
        <f>IFERROR(__xludf.DUMMYFUNCTION("""COMPUTED_VALUE"""),41376.666666666664)</f>
        <v>41376.66667</v>
      </c>
      <c r="C3201" s="9">
        <f>IFERROR(__xludf.DUMMYFUNCTION("""COMPUTED_VALUE"""),41.76)</f>
        <v>41.76</v>
      </c>
      <c r="E3201" s="17"/>
      <c r="N3201" s="17"/>
      <c r="Q3201" s="17"/>
    </row>
    <row r="3202">
      <c r="B3202" s="11">
        <f>IFERROR(__xludf.DUMMYFUNCTION("""COMPUTED_VALUE"""),41375.666666666664)</f>
        <v>41375.66667</v>
      </c>
      <c r="C3202" s="9">
        <f>IFERROR(__xludf.DUMMYFUNCTION("""COMPUTED_VALUE"""),42.0)</f>
        <v>42</v>
      </c>
      <c r="E3202" s="17"/>
      <c r="N3202" s="17"/>
      <c r="Q3202" s="17"/>
    </row>
    <row r="3203">
      <c r="B3203" s="11">
        <f>IFERROR(__xludf.DUMMYFUNCTION("""COMPUTED_VALUE"""),41374.666666666664)</f>
        <v>41374.66667</v>
      </c>
      <c r="C3203" s="9">
        <f>IFERROR(__xludf.DUMMYFUNCTION("""COMPUTED_VALUE"""),41.89)</f>
        <v>41.89</v>
      </c>
      <c r="E3203" s="17"/>
      <c r="N3203" s="17"/>
      <c r="Q3203" s="17"/>
    </row>
    <row r="3204">
      <c r="B3204" s="11">
        <f>IFERROR(__xludf.DUMMYFUNCTION("""COMPUTED_VALUE"""),41373.666666666664)</f>
        <v>41373.66667</v>
      </c>
      <c r="C3204" s="9">
        <f>IFERROR(__xludf.DUMMYFUNCTION("""COMPUTED_VALUE"""),41.34)</f>
        <v>41.34</v>
      </c>
      <c r="E3204" s="17"/>
      <c r="N3204" s="17"/>
      <c r="Q3204" s="17"/>
    </row>
    <row r="3205">
      <c r="B3205" s="11">
        <f>IFERROR(__xludf.DUMMYFUNCTION("""COMPUTED_VALUE"""),41372.666666666664)</f>
        <v>41372.66667</v>
      </c>
      <c r="C3205" s="9">
        <f>IFERROR(__xludf.DUMMYFUNCTION("""COMPUTED_VALUE"""),41.21)</f>
        <v>41.21</v>
      </c>
      <c r="E3205" s="17"/>
      <c r="N3205" s="17"/>
      <c r="Q3205" s="17"/>
    </row>
    <row r="3206">
      <c r="B3206" s="11">
        <f>IFERROR(__xludf.DUMMYFUNCTION("""COMPUTED_VALUE"""),41369.666666666664)</f>
        <v>41369.66667</v>
      </c>
      <c r="C3206" s="9">
        <f>IFERROR(__xludf.DUMMYFUNCTION("""COMPUTED_VALUE"""),40.97)</f>
        <v>40.97</v>
      </c>
      <c r="E3206" s="17"/>
      <c r="N3206" s="17"/>
      <c r="Q3206" s="17"/>
    </row>
    <row r="3207">
      <c r="B3207" s="11">
        <f>IFERROR(__xludf.DUMMYFUNCTION("""COMPUTED_VALUE"""),41368.666666666664)</f>
        <v>41368.66667</v>
      </c>
      <c r="C3207" s="9">
        <f>IFERROR(__xludf.DUMMYFUNCTION("""COMPUTED_VALUE"""),41.05)</f>
        <v>41.05</v>
      </c>
      <c r="E3207" s="17"/>
      <c r="N3207" s="17"/>
      <c r="Q3207" s="17"/>
    </row>
    <row r="3208">
      <c r="B3208" s="11">
        <f>IFERROR(__xludf.DUMMYFUNCTION("""COMPUTED_VALUE"""),41367.666666666664)</f>
        <v>41367.66667</v>
      </c>
      <c r="C3208" s="9">
        <f>IFERROR(__xludf.DUMMYFUNCTION("""COMPUTED_VALUE"""),40.87)</f>
        <v>40.87</v>
      </c>
      <c r="E3208" s="17"/>
      <c r="N3208" s="17"/>
      <c r="Q3208" s="17"/>
    </row>
    <row r="3209">
      <c r="B3209" s="11">
        <f>IFERROR(__xludf.DUMMYFUNCTION("""COMPUTED_VALUE"""),41366.666666666664)</f>
        <v>41366.66667</v>
      </c>
      <c r="C3209" s="9">
        <f>IFERROR(__xludf.DUMMYFUNCTION("""COMPUTED_VALUE"""),41.12)</f>
        <v>41.12</v>
      </c>
      <c r="E3209" s="17"/>
      <c r="N3209" s="17"/>
      <c r="Q3209" s="17"/>
    </row>
    <row r="3210">
      <c r="B3210" s="11">
        <f>IFERROR(__xludf.DUMMYFUNCTION("""COMPUTED_VALUE"""),41365.666666666664)</f>
        <v>41365.66667</v>
      </c>
      <c r="C3210" s="9">
        <f>IFERROR(__xludf.DUMMYFUNCTION("""COMPUTED_VALUE"""),41.25)</f>
        <v>41.25</v>
      </c>
      <c r="E3210" s="17"/>
      <c r="N3210" s="17"/>
      <c r="Q3210" s="17"/>
    </row>
    <row r="3211">
      <c r="B3211" s="11">
        <f>IFERROR(__xludf.DUMMYFUNCTION("""COMPUTED_VALUE"""),41361.666666666664)</f>
        <v>41361.66667</v>
      </c>
      <c r="C3211" s="9">
        <f>IFERROR(__xludf.DUMMYFUNCTION("""COMPUTED_VALUE"""),41.76)</f>
        <v>41.76</v>
      </c>
      <c r="E3211" s="17"/>
      <c r="N3211" s="17"/>
      <c r="Q3211" s="17"/>
    </row>
    <row r="3212">
      <c r="B3212" s="11">
        <f>IFERROR(__xludf.DUMMYFUNCTION("""COMPUTED_VALUE"""),41360.666666666664)</f>
        <v>41360.66667</v>
      </c>
      <c r="C3212" s="9">
        <f>IFERROR(__xludf.DUMMYFUNCTION("""COMPUTED_VALUE"""),41.46)</f>
        <v>41.46</v>
      </c>
      <c r="E3212" s="17"/>
      <c r="N3212" s="17"/>
      <c r="Q3212" s="17"/>
    </row>
    <row r="3213">
      <c r="B3213" s="11">
        <f>IFERROR(__xludf.DUMMYFUNCTION("""COMPUTED_VALUE"""),41359.666666666664)</f>
        <v>41359.66667</v>
      </c>
      <c r="C3213" s="9">
        <f>IFERROR(__xludf.DUMMYFUNCTION("""COMPUTED_VALUE"""),41.46)</f>
        <v>41.46</v>
      </c>
      <c r="E3213" s="17"/>
      <c r="N3213" s="17"/>
      <c r="Q3213" s="17"/>
    </row>
    <row r="3214">
      <c r="B3214" s="11">
        <f>IFERROR(__xludf.DUMMYFUNCTION("""COMPUTED_VALUE"""),41358.666666666664)</f>
        <v>41358.66667</v>
      </c>
      <c r="C3214" s="9">
        <f>IFERROR(__xludf.DUMMYFUNCTION("""COMPUTED_VALUE"""),41.25)</f>
        <v>41.25</v>
      </c>
      <c r="E3214" s="17"/>
      <c r="N3214" s="17"/>
      <c r="Q3214" s="17"/>
    </row>
    <row r="3215">
      <c r="B3215" s="11">
        <f>IFERROR(__xludf.DUMMYFUNCTION("""COMPUTED_VALUE"""),41355.666666666664)</f>
        <v>41355.66667</v>
      </c>
      <c r="C3215" s="9">
        <f>IFERROR(__xludf.DUMMYFUNCTION("""COMPUTED_VALUE"""),41.62)</f>
        <v>41.62</v>
      </c>
      <c r="E3215" s="17"/>
      <c r="N3215" s="17"/>
      <c r="Q3215" s="17"/>
    </row>
    <row r="3216">
      <c r="B3216" s="11">
        <f>IFERROR(__xludf.DUMMYFUNCTION("""COMPUTED_VALUE"""),41354.666666666664)</f>
        <v>41354.66667</v>
      </c>
      <c r="C3216" s="9">
        <f>IFERROR(__xludf.DUMMYFUNCTION("""COMPUTED_VALUE"""),41.3)</f>
        <v>41.3</v>
      </c>
      <c r="E3216" s="17"/>
      <c r="N3216" s="17"/>
      <c r="Q3216" s="17"/>
    </row>
    <row r="3217">
      <c r="B3217" s="11">
        <f>IFERROR(__xludf.DUMMYFUNCTION("""COMPUTED_VALUE"""),41353.666666666664)</f>
        <v>41353.66667</v>
      </c>
      <c r="C3217" s="9">
        <f>IFERROR(__xludf.DUMMYFUNCTION("""COMPUTED_VALUE"""),41.72)</f>
        <v>41.72</v>
      </c>
      <c r="E3217" s="17"/>
      <c r="N3217" s="17"/>
      <c r="Q3217" s="17"/>
    </row>
    <row r="3218">
      <c r="B3218" s="11">
        <f>IFERROR(__xludf.DUMMYFUNCTION("""COMPUTED_VALUE"""),41352.666666666664)</f>
        <v>41352.66667</v>
      </c>
      <c r="C3218" s="9">
        <f>IFERROR(__xludf.DUMMYFUNCTION("""COMPUTED_VALUE"""),41.67)</f>
        <v>41.67</v>
      </c>
      <c r="E3218" s="17"/>
      <c r="N3218" s="17"/>
      <c r="Q3218" s="17"/>
    </row>
    <row r="3219">
      <c r="B3219" s="11">
        <f>IFERROR(__xludf.DUMMYFUNCTION("""COMPUTED_VALUE"""),41351.666666666664)</f>
        <v>41351.66667</v>
      </c>
      <c r="C3219" s="9">
        <f>IFERROR(__xludf.DUMMYFUNCTION("""COMPUTED_VALUE"""),41.71)</f>
        <v>41.71</v>
      </c>
      <c r="E3219" s="17"/>
      <c r="N3219" s="17"/>
      <c r="Q3219" s="17"/>
    </row>
    <row r="3220">
      <c r="B3220" s="11">
        <f>IFERROR(__xludf.DUMMYFUNCTION("""COMPUTED_VALUE"""),41348.666666666664)</f>
        <v>41348.66667</v>
      </c>
      <c r="C3220" s="9">
        <f>IFERROR(__xludf.DUMMYFUNCTION("""COMPUTED_VALUE"""),41.97)</f>
        <v>41.97</v>
      </c>
      <c r="E3220" s="17"/>
      <c r="N3220" s="17"/>
      <c r="Q3220" s="17"/>
    </row>
    <row r="3221">
      <c r="B3221" s="11">
        <f>IFERROR(__xludf.DUMMYFUNCTION("""COMPUTED_VALUE"""),41347.666666666664)</f>
        <v>41347.66667</v>
      </c>
      <c r="C3221" s="9">
        <f>IFERROR(__xludf.DUMMYFUNCTION("""COMPUTED_VALUE"""),42.12)</f>
        <v>42.12</v>
      </c>
      <c r="E3221" s="17"/>
      <c r="N3221" s="17"/>
      <c r="Q3221" s="17"/>
    </row>
    <row r="3222">
      <c r="B3222" s="11">
        <f>IFERROR(__xludf.DUMMYFUNCTION("""COMPUTED_VALUE"""),41346.666666666664)</f>
        <v>41346.66667</v>
      </c>
      <c r="C3222" s="9">
        <f>IFERROR(__xludf.DUMMYFUNCTION("""COMPUTED_VALUE"""),41.92)</f>
        <v>41.92</v>
      </c>
      <c r="E3222" s="17"/>
      <c r="N3222" s="17"/>
      <c r="Q3222" s="17"/>
    </row>
    <row r="3223">
      <c r="B3223" s="11">
        <f>IFERROR(__xludf.DUMMYFUNCTION("""COMPUTED_VALUE"""),41345.666666666664)</f>
        <v>41345.66667</v>
      </c>
      <c r="C3223" s="9">
        <f>IFERROR(__xludf.DUMMYFUNCTION("""COMPUTED_VALUE"""),41.72)</f>
        <v>41.72</v>
      </c>
      <c r="E3223" s="17"/>
      <c r="N3223" s="17"/>
      <c r="Q3223" s="17"/>
    </row>
    <row r="3224">
      <c r="B3224" s="11">
        <f>IFERROR(__xludf.DUMMYFUNCTION("""COMPUTED_VALUE"""),41344.666666666664)</f>
        <v>41344.66667</v>
      </c>
      <c r="C3224" s="9">
        <f>IFERROR(__xludf.DUMMYFUNCTION("""COMPUTED_VALUE"""),41.96)</f>
        <v>41.96</v>
      </c>
      <c r="E3224" s="17"/>
      <c r="N3224" s="17"/>
      <c r="Q3224" s="17"/>
    </row>
    <row r="3225">
      <c r="B3225" s="11">
        <f>IFERROR(__xludf.DUMMYFUNCTION("""COMPUTED_VALUE"""),41341.666666666664)</f>
        <v>41341.66667</v>
      </c>
      <c r="C3225" s="9">
        <f>IFERROR(__xludf.DUMMYFUNCTION("""COMPUTED_VALUE"""),41.82)</f>
        <v>41.82</v>
      </c>
      <c r="E3225" s="17"/>
      <c r="N3225" s="17"/>
      <c r="Q3225" s="17"/>
    </row>
    <row r="3226">
      <c r="B3226" s="11">
        <f>IFERROR(__xludf.DUMMYFUNCTION("""COMPUTED_VALUE"""),41340.666666666664)</f>
        <v>41340.66667</v>
      </c>
      <c r="C3226" s="9">
        <f>IFERROR(__xludf.DUMMYFUNCTION("""COMPUTED_VALUE"""),41.43)</f>
        <v>41.43</v>
      </c>
      <c r="E3226" s="17"/>
      <c r="N3226" s="17"/>
      <c r="Q3226" s="17"/>
    </row>
    <row r="3227">
      <c r="B3227" s="11">
        <f>IFERROR(__xludf.DUMMYFUNCTION("""COMPUTED_VALUE"""),41339.666666666664)</f>
        <v>41339.66667</v>
      </c>
      <c r="C3227" s="9">
        <f>IFERROR(__xludf.DUMMYFUNCTION("""COMPUTED_VALUE"""),41.4)</f>
        <v>41.4</v>
      </c>
      <c r="E3227" s="17"/>
      <c r="N3227" s="17"/>
      <c r="Q3227" s="17"/>
    </row>
    <row r="3228">
      <c r="B3228" s="11">
        <f>IFERROR(__xludf.DUMMYFUNCTION("""COMPUTED_VALUE"""),41338.666666666664)</f>
        <v>41338.66667</v>
      </c>
      <c r="C3228" s="9">
        <f>IFERROR(__xludf.DUMMYFUNCTION("""COMPUTED_VALUE"""),41.4)</f>
        <v>41.4</v>
      </c>
      <c r="E3228" s="17"/>
      <c r="N3228" s="17"/>
      <c r="Q3228" s="17"/>
    </row>
    <row r="3229">
      <c r="B3229" s="11">
        <f>IFERROR(__xludf.DUMMYFUNCTION("""COMPUTED_VALUE"""),41337.666666666664)</f>
        <v>41337.66667</v>
      </c>
      <c r="C3229" s="9">
        <f>IFERROR(__xludf.DUMMYFUNCTION("""COMPUTED_VALUE"""),40.82)</f>
        <v>40.82</v>
      </c>
      <c r="E3229" s="17"/>
      <c r="N3229" s="17"/>
      <c r="Q3229" s="17"/>
    </row>
    <row r="3230">
      <c r="B3230" s="11">
        <f>IFERROR(__xludf.DUMMYFUNCTION("""COMPUTED_VALUE"""),41334.666666666664)</f>
        <v>41334.66667</v>
      </c>
      <c r="C3230" s="9">
        <f>IFERROR(__xludf.DUMMYFUNCTION("""COMPUTED_VALUE"""),40.9)</f>
        <v>40.9</v>
      </c>
      <c r="E3230" s="17"/>
      <c r="N3230" s="17"/>
      <c r="Q3230" s="17"/>
    </row>
    <row r="3231">
      <c r="B3231" s="11">
        <f>IFERROR(__xludf.DUMMYFUNCTION("""COMPUTED_VALUE"""),41333.666666666664)</f>
        <v>41333.66667</v>
      </c>
      <c r="C3231" s="9">
        <f>IFERROR(__xludf.DUMMYFUNCTION("""COMPUTED_VALUE"""),40.97)</f>
        <v>40.97</v>
      </c>
      <c r="E3231" s="17"/>
      <c r="N3231" s="17"/>
      <c r="Q3231" s="17"/>
    </row>
    <row r="3232">
      <c r="B3232" s="11">
        <f>IFERROR(__xludf.DUMMYFUNCTION("""COMPUTED_VALUE"""),41332.666666666664)</f>
        <v>41332.66667</v>
      </c>
      <c r="C3232" s="9">
        <f>IFERROR(__xludf.DUMMYFUNCTION("""COMPUTED_VALUE"""),41.0)</f>
        <v>41</v>
      </c>
      <c r="E3232" s="17"/>
      <c r="N3232" s="17"/>
      <c r="Q3232" s="17"/>
    </row>
    <row r="3233">
      <c r="B3233" s="11">
        <f>IFERROR(__xludf.DUMMYFUNCTION("""COMPUTED_VALUE"""),41331.666666666664)</f>
        <v>41331.66667</v>
      </c>
      <c r="C3233" s="9">
        <f>IFERROR(__xludf.DUMMYFUNCTION("""COMPUTED_VALUE"""),40.24)</f>
        <v>40.24</v>
      </c>
      <c r="E3233" s="17"/>
      <c r="N3233" s="17"/>
      <c r="Q3233" s="17"/>
    </row>
    <row r="3234">
      <c r="B3234" s="11">
        <f>IFERROR(__xludf.DUMMYFUNCTION("""COMPUTED_VALUE"""),41330.666666666664)</f>
        <v>41330.66667</v>
      </c>
      <c r="C3234" s="9">
        <f>IFERROR(__xludf.DUMMYFUNCTION("""COMPUTED_VALUE"""),40.0)</f>
        <v>40</v>
      </c>
      <c r="E3234" s="17"/>
      <c r="N3234" s="17"/>
      <c r="Q3234" s="17"/>
    </row>
    <row r="3235">
      <c r="B3235" s="11">
        <f>IFERROR(__xludf.DUMMYFUNCTION("""COMPUTED_VALUE"""),41327.666666666664)</f>
        <v>41327.66667</v>
      </c>
      <c r="C3235" s="9">
        <f>IFERROR(__xludf.DUMMYFUNCTION("""COMPUTED_VALUE"""),40.84)</f>
        <v>40.84</v>
      </c>
      <c r="E3235" s="17"/>
      <c r="N3235" s="17"/>
      <c r="Q3235" s="17"/>
    </row>
    <row r="3236">
      <c r="B3236" s="11">
        <f>IFERROR(__xludf.DUMMYFUNCTION("""COMPUTED_VALUE"""),41326.666666666664)</f>
        <v>41326.66667</v>
      </c>
      <c r="C3236" s="9">
        <f>IFERROR(__xludf.DUMMYFUNCTION("""COMPUTED_VALUE"""),40.52)</f>
        <v>40.52</v>
      </c>
      <c r="E3236" s="17"/>
      <c r="N3236" s="17"/>
      <c r="Q3236" s="17"/>
    </row>
    <row r="3237">
      <c r="B3237" s="11">
        <f>IFERROR(__xludf.DUMMYFUNCTION("""COMPUTED_VALUE"""),41325.666666666664)</f>
        <v>41325.66667</v>
      </c>
      <c r="C3237" s="9">
        <f>IFERROR(__xludf.DUMMYFUNCTION("""COMPUTED_VALUE"""),40.82)</f>
        <v>40.82</v>
      </c>
      <c r="E3237" s="17"/>
      <c r="N3237" s="17"/>
      <c r="Q3237" s="17"/>
    </row>
    <row r="3238">
      <c r="B3238" s="11">
        <f>IFERROR(__xludf.DUMMYFUNCTION("""COMPUTED_VALUE"""),41324.666666666664)</f>
        <v>41324.66667</v>
      </c>
      <c r="C3238" s="9">
        <f>IFERROR(__xludf.DUMMYFUNCTION("""COMPUTED_VALUE"""),41.36)</f>
        <v>41.36</v>
      </c>
      <c r="E3238" s="17"/>
      <c r="N3238" s="17"/>
      <c r="Q3238" s="17"/>
    </row>
    <row r="3239">
      <c r="B3239" s="11">
        <f>IFERROR(__xludf.DUMMYFUNCTION("""COMPUTED_VALUE"""),41320.666666666664)</f>
        <v>41320.66667</v>
      </c>
      <c r="C3239" s="9">
        <f>IFERROR(__xludf.DUMMYFUNCTION("""COMPUTED_VALUE"""),41.06)</f>
        <v>41.06</v>
      </c>
      <c r="E3239" s="17"/>
      <c r="N3239" s="17"/>
      <c r="Q3239" s="17"/>
    </row>
    <row r="3240">
      <c r="B3240" s="11">
        <f>IFERROR(__xludf.DUMMYFUNCTION("""COMPUTED_VALUE"""),41319.666666666664)</f>
        <v>41319.66667</v>
      </c>
      <c r="C3240" s="9">
        <f>IFERROR(__xludf.DUMMYFUNCTION("""COMPUTED_VALUE"""),41.04)</f>
        <v>41.04</v>
      </c>
      <c r="E3240" s="17"/>
      <c r="N3240" s="17"/>
      <c r="Q3240" s="17"/>
    </row>
    <row r="3241">
      <c r="B3241" s="11">
        <f>IFERROR(__xludf.DUMMYFUNCTION("""COMPUTED_VALUE"""),41318.666666666664)</f>
        <v>41318.66667</v>
      </c>
      <c r="C3241" s="9">
        <f>IFERROR(__xludf.DUMMYFUNCTION("""COMPUTED_VALUE"""),40.98)</f>
        <v>40.98</v>
      </c>
      <c r="E3241" s="17"/>
      <c r="N3241" s="17"/>
      <c r="Q3241" s="17"/>
    </row>
    <row r="3242">
      <c r="B3242" s="11">
        <f>IFERROR(__xludf.DUMMYFUNCTION("""COMPUTED_VALUE"""),41317.666666666664)</f>
        <v>41317.66667</v>
      </c>
      <c r="C3242" s="9">
        <f>IFERROR(__xludf.DUMMYFUNCTION("""COMPUTED_VALUE"""),40.76)</f>
        <v>40.76</v>
      </c>
      <c r="E3242" s="17"/>
      <c r="N3242" s="17"/>
      <c r="Q3242" s="17"/>
    </row>
    <row r="3243">
      <c r="B3243" s="11">
        <f>IFERROR(__xludf.DUMMYFUNCTION("""COMPUTED_VALUE"""),41316.666666666664)</f>
        <v>41316.66667</v>
      </c>
      <c r="C3243" s="9">
        <f>IFERROR(__xludf.DUMMYFUNCTION("""COMPUTED_VALUE"""),40.58)</f>
        <v>40.58</v>
      </c>
      <c r="E3243" s="17"/>
      <c r="N3243" s="17"/>
      <c r="Q3243" s="17"/>
    </row>
    <row r="3244">
      <c r="B3244" s="11">
        <f>IFERROR(__xludf.DUMMYFUNCTION("""COMPUTED_VALUE"""),41313.666666666664)</f>
        <v>41313.66667</v>
      </c>
      <c r="C3244" s="9">
        <f>IFERROR(__xludf.DUMMYFUNCTION("""COMPUTED_VALUE"""),40.61)</f>
        <v>40.61</v>
      </c>
      <c r="E3244" s="17"/>
      <c r="N3244" s="17"/>
      <c r="Q3244" s="17"/>
    </row>
    <row r="3245">
      <c r="B3245" s="11">
        <f>IFERROR(__xludf.DUMMYFUNCTION("""COMPUTED_VALUE"""),41312.666666666664)</f>
        <v>41312.66667</v>
      </c>
      <c r="C3245" s="9">
        <f>IFERROR(__xludf.DUMMYFUNCTION("""COMPUTED_VALUE"""),40.45)</f>
        <v>40.45</v>
      </c>
      <c r="E3245" s="17"/>
      <c r="N3245" s="17"/>
      <c r="Q3245" s="17"/>
    </row>
    <row r="3246">
      <c r="B3246" s="11">
        <f>IFERROR(__xludf.DUMMYFUNCTION("""COMPUTED_VALUE"""),41311.666666666664)</f>
        <v>41311.66667</v>
      </c>
      <c r="C3246" s="9">
        <f>IFERROR(__xludf.DUMMYFUNCTION("""COMPUTED_VALUE"""),40.5)</f>
        <v>40.5</v>
      </c>
      <c r="E3246" s="17"/>
      <c r="N3246" s="17"/>
      <c r="Q3246" s="17"/>
    </row>
    <row r="3247">
      <c r="B3247" s="11">
        <f>IFERROR(__xludf.DUMMYFUNCTION("""COMPUTED_VALUE"""),41310.666666666664)</f>
        <v>41310.66667</v>
      </c>
      <c r="C3247" s="9">
        <f>IFERROR(__xludf.DUMMYFUNCTION("""COMPUTED_VALUE"""),40.49)</f>
        <v>40.49</v>
      </c>
      <c r="E3247" s="17"/>
      <c r="N3247" s="17"/>
      <c r="Q3247" s="17"/>
    </row>
    <row r="3248">
      <c r="B3248" s="11">
        <f>IFERROR(__xludf.DUMMYFUNCTION("""COMPUTED_VALUE"""),41309.666666666664)</f>
        <v>41309.66667</v>
      </c>
      <c r="C3248" s="9">
        <f>IFERROR(__xludf.DUMMYFUNCTION("""COMPUTED_VALUE"""),40.12)</f>
        <v>40.12</v>
      </c>
      <c r="E3248" s="17"/>
      <c r="N3248" s="17"/>
      <c r="Q3248" s="17"/>
    </row>
    <row r="3249">
      <c r="B3249" s="11">
        <f>IFERROR(__xludf.DUMMYFUNCTION("""COMPUTED_VALUE"""),41306.666666666664)</f>
        <v>41306.66667</v>
      </c>
      <c r="C3249" s="9">
        <f>IFERROR(__xludf.DUMMYFUNCTION("""COMPUTED_VALUE"""),40.47)</f>
        <v>40.47</v>
      </c>
      <c r="E3249" s="17"/>
      <c r="N3249" s="17"/>
      <c r="Q3249" s="17"/>
    </row>
    <row r="3250">
      <c r="B3250" s="11">
        <f>IFERROR(__xludf.DUMMYFUNCTION("""COMPUTED_VALUE"""),41305.666666666664)</f>
        <v>41305.66667</v>
      </c>
      <c r="C3250" s="9">
        <f>IFERROR(__xludf.DUMMYFUNCTION("""COMPUTED_VALUE"""),40.08)</f>
        <v>40.08</v>
      </c>
      <c r="E3250" s="17"/>
      <c r="N3250" s="17"/>
      <c r="Q3250" s="17"/>
    </row>
    <row r="3251">
      <c r="B3251" s="11">
        <f>IFERROR(__xludf.DUMMYFUNCTION("""COMPUTED_VALUE"""),41304.666666666664)</f>
        <v>41304.66667</v>
      </c>
      <c r="C3251" s="9">
        <f>IFERROR(__xludf.DUMMYFUNCTION("""COMPUTED_VALUE"""),40.22)</f>
        <v>40.22</v>
      </c>
      <c r="E3251" s="17"/>
      <c r="N3251" s="17"/>
      <c r="Q3251" s="17"/>
    </row>
    <row r="3252">
      <c r="B3252" s="11">
        <f>IFERROR(__xludf.DUMMYFUNCTION("""COMPUTED_VALUE"""),41303.666666666664)</f>
        <v>41303.66667</v>
      </c>
      <c r="C3252" s="9">
        <f>IFERROR(__xludf.DUMMYFUNCTION("""COMPUTED_VALUE"""),40.59)</f>
        <v>40.59</v>
      </c>
      <c r="E3252" s="17"/>
      <c r="N3252" s="17"/>
      <c r="Q3252" s="17"/>
    </row>
    <row r="3253">
      <c r="B3253" s="11">
        <f>IFERROR(__xludf.DUMMYFUNCTION("""COMPUTED_VALUE"""),41302.666666666664)</f>
        <v>41302.66667</v>
      </c>
      <c r="C3253" s="9">
        <f>IFERROR(__xludf.DUMMYFUNCTION("""COMPUTED_VALUE"""),40.5)</f>
        <v>40.5</v>
      </c>
      <c r="E3253" s="17"/>
      <c r="N3253" s="17"/>
      <c r="Q3253" s="17"/>
    </row>
    <row r="3254">
      <c r="B3254" s="11">
        <f>IFERROR(__xludf.DUMMYFUNCTION("""COMPUTED_VALUE"""),41299.666666666664)</f>
        <v>41299.66667</v>
      </c>
      <c r="C3254" s="9">
        <f>IFERROR(__xludf.DUMMYFUNCTION("""COMPUTED_VALUE"""),40.47)</f>
        <v>40.47</v>
      </c>
      <c r="E3254" s="17"/>
      <c r="N3254" s="17"/>
      <c r="Q3254" s="17"/>
    </row>
    <row r="3255">
      <c r="B3255" s="11">
        <f>IFERROR(__xludf.DUMMYFUNCTION("""COMPUTED_VALUE"""),41298.666666666664)</f>
        <v>41298.66667</v>
      </c>
      <c r="C3255" s="9">
        <f>IFERROR(__xludf.DUMMYFUNCTION("""COMPUTED_VALUE"""),40.34)</f>
        <v>40.34</v>
      </c>
      <c r="E3255" s="17"/>
      <c r="N3255" s="17"/>
      <c r="Q3255" s="17"/>
    </row>
    <row r="3256">
      <c r="B3256" s="11">
        <f>IFERROR(__xludf.DUMMYFUNCTION("""COMPUTED_VALUE"""),41297.666666666664)</f>
        <v>41297.66667</v>
      </c>
      <c r="C3256" s="9">
        <f>IFERROR(__xludf.DUMMYFUNCTION("""COMPUTED_VALUE"""),40.1)</f>
        <v>40.1</v>
      </c>
      <c r="E3256" s="17"/>
      <c r="N3256" s="17"/>
      <c r="Q3256" s="17"/>
    </row>
    <row r="3257">
      <c r="B3257" s="11">
        <f>IFERROR(__xludf.DUMMYFUNCTION("""COMPUTED_VALUE"""),41296.666666666664)</f>
        <v>41296.66667</v>
      </c>
      <c r="C3257" s="9">
        <f>IFERROR(__xludf.DUMMYFUNCTION("""COMPUTED_VALUE"""),40.09)</f>
        <v>40.09</v>
      </c>
      <c r="E3257" s="17"/>
      <c r="N3257" s="17"/>
      <c r="Q3257" s="17"/>
    </row>
    <row r="3258">
      <c r="B3258" s="11">
        <f>IFERROR(__xludf.DUMMYFUNCTION("""COMPUTED_VALUE"""),41292.666666666664)</f>
        <v>41292.66667</v>
      </c>
      <c r="C3258" s="9">
        <f>IFERROR(__xludf.DUMMYFUNCTION("""COMPUTED_VALUE"""),39.93)</f>
        <v>39.93</v>
      </c>
      <c r="E3258" s="17"/>
      <c r="N3258" s="17"/>
      <c r="Q3258" s="17"/>
    </row>
    <row r="3259">
      <c r="B3259" s="11">
        <f>IFERROR(__xludf.DUMMYFUNCTION("""COMPUTED_VALUE"""),41291.666666666664)</f>
        <v>41291.66667</v>
      </c>
      <c r="C3259" s="9">
        <f>IFERROR(__xludf.DUMMYFUNCTION("""COMPUTED_VALUE"""),39.61)</f>
        <v>39.61</v>
      </c>
      <c r="E3259" s="17"/>
      <c r="N3259" s="17"/>
      <c r="Q3259" s="17"/>
    </row>
    <row r="3260">
      <c r="B3260" s="11">
        <f>IFERROR(__xludf.DUMMYFUNCTION("""COMPUTED_VALUE"""),41290.666666666664)</f>
        <v>41290.66667</v>
      </c>
      <c r="C3260" s="9">
        <f>IFERROR(__xludf.DUMMYFUNCTION("""COMPUTED_VALUE"""),39.19)</f>
        <v>39.19</v>
      </c>
      <c r="E3260" s="17"/>
      <c r="N3260" s="17"/>
      <c r="Q3260" s="17"/>
    </row>
    <row r="3261">
      <c r="B3261" s="11">
        <f>IFERROR(__xludf.DUMMYFUNCTION("""COMPUTED_VALUE"""),41289.666666666664)</f>
        <v>41289.66667</v>
      </c>
      <c r="C3261" s="9">
        <f>IFERROR(__xludf.DUMMYFUNCTION("""COMPUTED_VALUE"""),39.35)</f>
        <v>39.35</v>
      </c>
      <c r="E3261" s="17"/>
      <c r="N3261" s="17"/>
      <c r="Q3261" s="17"/>
    </row>
    <row r="3262">
      <c r="B3262" s="11">
        <f>IFERROR(__xludf.DUMMYFUNCTION("""COMPUTED_VALUE"""),41288.666666666664)</f>
        <v>41288.66667</v>
      </c>
      <c r="C3262" s="9">
        <f>IFERROR(__xludf.DUMMYFUNCTION("""COMPUTED_VALUE"""),39.24)</f>
        <v>39.24</v>
      </c>
      <c r="E3262" s="17"/>
      <c r="N3262" s="17"/>
      <c r="Q3262" s="17"/>
    </row>
    <row r="3263">
      <c r="B3263" s="11">
        <f>IFERROR(__xludf.DUMMYFUNCTION("""COMPUTED_VALUE"""),41285.666666666664)</f>
        <v>41285.66667</v>
      </c>
      <c r="C3263" s="9">
        <f>IFERROR(__xludf.DUMMYFUNCTION("""COMPUTED_VALUE"""),39.09)</f>
        <v>39.09</v>
      </c>
      <c r="E3263" s="17"/>
      <c r="N3263" s="17"/>
      <c r="Q3263" s="17"/>
    </row>
    <row r="3264">
      <c r="B3264" s="11">
        <f>IFERROR(__xludf.DUMMYFUNCTION("""COMPUTED_VALUE"""),41284.666666666664)</f>
        <v>41284.66667</v>
      </c>
      <c r="C3264" s="9">
        <f>IFERROR(__xludf.DUMMYFUNCTION("""COMPUTED_VALUE"""),39.23)</f>
        <v>39.23</v>
      </c>
      <c r="E3264" s="17"/>
      <c r="N3264" s="17"/>
      <c r="Q3264" s="17"/>
    </row>
    <row r="3265">
      <c r="B3265" s="11">
        <f>IFERROR(__xludf.DUMMYFUNCTION("""COMPUTED_VALUE"""),41283.666666666664)</f>
        <v>41283.66667</v>
      </c>
      <c r="C3265" s="9">
        <f>IFERROR(__xludf.DUMMYFUNCTION("""COMPUTED_VALUE"""),39.04)</f>
        <v>39.04</v>
      </c>
      <c r="E3265" s="17"/>
      <c r="N3265" s="17"/>
      <c r="Q3265" s="17"/>
    </row>
    <row r="3266">
      <c r="B3266" s="11">
        <f>IFERROR(__xludf.DUMMYFUNCTION("""COMPUTED_VALUE"""),41282.666666666664)</f>
        <v>41282.66667</v>
      </c>
      <c r="C3266" s="9">
        <f>IFERROR(__xludf.DUMMYFUNCTION("""COMPUTED_VALUE"""),38.65)</f>
        <v>38.65</v>
      </c>
      <c r="E3266" s="17"/>
      <c r="N3266" s="17"/>
      <c r="Q3266" s="17"/>
    </row>
    <row r="3267">
      <c r="B3267" s="11">
        <f>IFERROR(__xludf.DUMMYFUNCTION("""COMPUTED_VALUE"""),41281.666666666664)</f>
        <v>41281.66667</v>
      </c>
      <c r="C3267" s="9">
        <f>IFERROR(__xludf.DUMMYFUNCTION("""COMPUTED_VALUE"""),38.95)</f>
        <v>38.95</v>
      </c>
      <c r="E3267" s="17"/>
      <c r="N3267" s="17"/>
      <c r="Q3267" s="17"/>
    </row>
    <row r="3268">
      <c r="B3268" s="11">
        <f>IFERROR(__xludf.DUMMYFUNCTION("""COMPUTED_VALUE"""),41278.666666666664)</f>
        <v>41278.66667</v>
      </c>
      <c r="C3268" s="9">
        <f>IFERROR(__xludf.DUMMYFUNCTION("""COMPUTED_VALUE"""),39.12)</f>
        <v>39.12</v>
      </c>
      <c r="E3268" s="17"/>
      <c r="N3268" s="17"/>
      <c r="Q3268" s="17"/>
    </row>
    <row r="3269">
      <c r="B3269" s="11">
        <f>IFERROR(__xludf.DUMMYFUNCTION("""COMPUTED_VALUE"""),41277.666666666664)</f>
        <v>41277.66667</v>
      </c>
      <c r="C3269" s="9">
        <f>IFERROR(__xludf.DUMMYFUNCTION("""COMPUTED_VALUE"""),38.83)</f>
        <v>38.83</v>
      </c>
      <c r="E3269" s="17"/>
      <c r="N3269" s="17"/>
      <c r="Q3269" s="17"/>
    </row>
    <row r="3270">
      <c r="B3270" s="11">
        <f>IFERROR(__xludf.DUMMYFUNCTION("""COMPUTED_VALUE"""),41276.666666666664)</f>
        <v>41276.66667</v>
      </c>
      <c r="C3270" s="9">
        <f>IFERROR(__xludf.DUMMYFUNCTION("""COMPUTED_VALUE"""),38.81)</f>
        <v>38.81</v>
      </c>
      <c r="E3270" s="17"/>
      <c r="N3270" s="17"/>
      <c r="Q3270" s="17"/>
    </row>
    <row r="3271">
      <c r="B3271" s="11">
        <f>IFERROR(__xludf.DUMMYFUNCTION("""COMPUTED_VALUE"""),41274.666666666664)</f>
        <v>41274.66667</v>
      </c>
      <c r="C3271" s="9">
        <f>IFERROR(__xludf.DUMMYFUNCTION("""COMPUTED_VALUE"""),37.9)</f>
        <v>37.9</v>
      </c>
      <c r="E3271" s="17"/>
      <c r="N3271" s="17"/>
      <c r="Q3271" s="17"/>
    </row>
    <row r="3272">
      <c r="B3272" s="11">
        <f>IFERROR(__xludf.DUMMYFUNCTION("""COMPUTED_VALUE"""),41271.666666666664)</f>
        <v>41271.66667</v>
      </c>
      <c r="C3272" s="9">
        <f>IFERROR(__xludf.DUMMYFUNCTION("""COMPUTED_VALUE"""),37.22)</f>
        <v>37.22</v>
      </c>
      <c r="E3272" s="17"/>
      <c r="N3272" s="17"/>
      <c r="Q3272" s="17"/>
    </row>
    <row r="3273">
      <c r="B3273" s="11">
        <f>IFERROR(__xludf.DUMMYFUNCTION("""COMPUTED_VALUE"""),41270.666666666664)</f>
        <v>41270.66667</v>
      </c>
      <c r="C3273" s="9">
        <f>IFERROR(__xludf.DUMMYFUNCTION("""COMPUTED_VALUE"""),37.63)</f>
        <v>37.63</v>
      </c>
      <c r="E3273" s="17"/>
      <c r="N3273" s="17"/>
      <c r="Q3273" s="17"/>
    </row>
    <row r="3274">
      <c r="B3274" s="11">
        <f>IFERROR(__xludf.DUMMYFUNCTION("""COMPUTED_VALUE"""),41269.666666666664)</f>
        <v>41269.66667</v>
      </c>
      <c r="C3274" s="9">
        <f>IFERROR(__xludf.DUMMYFUNCTION("""COMPUTED_VALUE"""),37.69)</f>
        <v>37.69</v>
      </c>
      <c r="E3274" s="17"/>
      <c r="N3274" s="17"/>
      <c r="Q3274" s="17"/>
    </row>
    <row r="3275">
      <c r="B3275" s="11">
        <f>IFERROR(__xludf.DUMMYFUNCTION("""COMPUTED_VALUE"""),41267.666666666664)</f>
        <v>41267.66667</v>
      </c>
      <c r="C3275" s="9">
        <f>IFERROR(__xludf.DUMMYFUNCTION("""COMPUTED_VALUE"""),37.82)</f>
        <v>37.82</v>
      </c>
      <c r="E3275" s="17"/>
      <c r="N3275" s="17"/>
      <c r="Q3275" s="17"/>
    </row>
    <row r="3276">
      <c r="B3276" s="11">
        <f>IFERROR(__xludf.DUMMYFUNCTION("""COMPUTED_VALUE"""),41264.666666666664)</f>
        <v>41264.66667</v>
      </c>
      <c r="C3276" s="9">
        <f>IFERROR(__xludf.DUMMYFUNCTION("""COMPUTED_VALUE"""),37.93)</f>
        <v>37.93</v>
      </c>
      <c r="E3276" s="17"/>
      <c r="N3276" s="17"/>
      <c r="Q3276" s="17"/>
    </row>
    <row r="3277">
      <c r="B3277" s="11">
        <f>IFERROR(__xludf.DUMMYFUNCTION("""COMPUTED_VALUE"""),41263.666666666664)</f>
        <v>41263.66667</v>
      </c>
      <c r="C3277" s="9">
        <f>IFERROR(__xludf.DUMMYFUNCTION("""COMPUTED_VALUE"""),38.45)</f>
        <v>38.45</v>
      </c>
      <c r="E3277" s="17"/>
      <c r="N3277" s="17"/>
      <c r="Q3277" s="17"/>
    </row>
    <row r="3278">
      <c r="B3278" s="11">
        <f>IFERROR(__xludf.DUMMYFUNCTION("""COMPUTED_VALUE"""),41262.666666666664)</f>
        <v>41262.66667</v>
      </c>
      <c r="C3278" s="9">
        <f>IFERROR(__xludf.DUMMYFUNCTION("""COMPUTED_VALUE"""),38.25)</f>
        <v>38.25</v>
      </c>
      <c r="E3278" s="17"/>
      <c r="N3278" s="17"/>
      <c r="Q3278" s="17"/>
    </row>
    <row r="3279">
      <c r="B3279" s="11">
        <f>IFERROR(__xludf.DUMMYFUNCTION("""COMPUTED_VALUE"""),41261.666666666664)</f>
        <v>41261.66667</v>
      </c>
      <c r="C3279" s="9">
        <f>IFERROR(__xludf.DUMMYFUNCTION("""COMPUTED_VALUE"""),38.46)</f>
        <v>38.46</v>
      </c>
      <c r="E3279" s="17"/>
      <c r="N3279" s="17"/>
      <c r="Q3279" s="17"/>
    </row>
    <row r="3280">
      <c r="B3280" s="11">
        <f>IFERROR(__xludf.DUMMYFUNCTION("""COMPUTED_VALUE"""),41260.666666666664)</f>
        <v>41260.66667</v>
      </c>
      <c r="C3280" s="9">
        <f>IFERROR(__xludf.DUMMYFUNCTION("""COMPUTED_VALUE"""),37.97)</f>
        <v>37.97</v>
      </c>
      <c r="E3280" s="17"/>
      <c r="N3280" s="17"/>
      <c r="Q3280" s="17"/>
    </row>
    <row r="3281">
      <c r="B3281" s="11">
        <f>IFERROR(__xludf.DUMMYFUNCTION("""COMPUTED_VALUE"""),41257.666666666664)</f>
        <v>41257.66667</v>
      </c>
      <c r="C3281" s="9">
        <f>IFERROR(__xludf.DUMMYFUNCTION("""COMPUTED_VALUE"""),37.62)</f>
        <v>37.62</v>
      </c>
      <c r="E3281" s="17"/>
      <c r="N3281" s="17"/>
      <c r="Q3281" s="17"/>
    </row>
    <row r="3282">
      <c r="B3282" s="11">
        <f>IFERROR(__xludf.DUMMYFUNCTION("""COMPUTED_VALUE"""),41256.666666666664)</f>
        <v>41256.66667</v>
      </c>
      <c r="C3282" s="9">
        <f>IFERROR(__xludf.DUMMYFUNCTION("""COMPUTED_VALUE"""),37.7)</f>
        <v>37.7</v>
      </c>
      <c r="E3282" s="17"/>
      <c r="N3282" s="17"/>
      <c r="Q3282" s="17"/>
    </row>
    <row r="3283">
      <c r="B3283" s="11">
        <f>IFERROR(__xludf.DUMMYFUNCTION("""COMPUTED_VALUE"""),41255.666666666664)</f>
        <v>41255.66667</v>
      </c>
      <c r="C3283" s="9">
        <f>IFERROR(__xludf.DUMMYFUNCTION("""COMPUTED_VALUE"""),37.82)</f>
        <v>37.82</v>
      </c>
      <c r="E3283" s="17"/>
      <c r="N3283" s="17"/>
      <c r="Q3283" s="17"/>
    </row>
    <row r="3284">
      <c r="B3284" s="11">
        <f>IFERROR(__xludf.DUMMYFUNCTION("""COMPUTED_VALUE"""),41254.666666666664)</f>
        <v>41254.66667</v>
      </c>
      <c r="C3284" s="9">
        <f>IFERROR(__xludf.DUMMYFUNCTION("""COMPUTED_VALUE"""),37.76)</f>
        <v>37.76</v>
      </c>
      <c r="E3284" s="17"/>
      <c r="N3284" s="17"/>
      <c r="Q3284" s="17"/>
    </row>
    <row r="3285">
      <c r="B3285" s="11">
        <f>IFERROR(__xludf.DUMMYFUNCTION("""COMPUTED_VALUE"""),41253.666666666664)</f>
        <v>41253.66667</v>
      </c>
      <c r="C3285" s="9">
        <f>IFERROR(__xludf.DUMMYFUNCTION("""COMPUTED_VALUE"""),37.68)</f>
        <v>37.68</v>
      </c>
      <c r="E3285" s="17"/>
      <c r="N3285" s="17"/>
      <c r="Q3285" s="17"/>
    </row>
    <row r="3286">
      <c r="B3286" s="11">
        <f>IFERROR(__xludf.DUMMYFUNCTION("""COMPUTED_VALUE"""),41250.666666666664)</f>
        <v>41250.66667</v>
      </c>
      <c r="C3286" s="9">
        <f>IFERROR(__xludf.DUMMYFUNCTION("""COMPUTED_VALUE"""),37.49)</f>
        <v>37.49</v>
      </c>
      <c r="E3286" s="17"/>
      <c r="N3286" s="17"/>
      <c r="Q3286" s="17"/>
    </row>
    <row r="3287">
      <c r="B3287" s="11">
        <f>IFERROR(__xludf.DUMMYFUNCTION("""COMPUTED_VALUE"""),41249.666666666664)</f>
        <v>41249.66667</v>
      </c>
      <c r="C3287" s="9">
        <f>IFERROR(__xludf.DUMMYFUNCTION("""COMPUTED_VALUE"""),37.25)</f>
        <v>37.25</v>
      </c>
      <c r="E3287" s="17"/>
      <c r="N3287" s="17"/>
      <c r="Q3287" s="17"/>
    </row>
    <row r="3288">
      <c r="B3288" s="11">
        <f>IFERROR(__xludf.DUMMYFUNCTION("""COMPUTED_VALUE"""),41248.666666666664)</f>
        <v>41248.66667</v>
      </c>
      <c r="C3288" s="9">
        <f>IFERROR(__xludf.DUMMYFUNCTION("""COMPUTED_VALUE"""),37.26)</f>
        <v>37.26</v>
      </c>
      <c r="E3288" s="17"/>
      <c r="N3288" s="17"/>
      <c r="Q3288" s="17"/>
    </row>
    <row r="3289">
      <c r="B3289" s="11">
        <f>IFERROR(__xludf.DUMMYFUNCTION("""COMPUTED_VALUE"""),41247.666666666664)</f>
        <v>41247.66667</v>
      </c>
      <c r="C3289" s="9">
        <f>IFERROR(__xludf.DUMMYFUNCTION("""COMPUTED_VALUE"""),36.87)</f>
        <v>36.87</v>
      </c>
      <c r="E3289" s="17"/>
      <c r="N3289" s="17"/>
      <c r="Q3289" s="17"/>
    </row>
    <row r="3290">
      <c r="B3290" s="11">
        <f>IFERROR(__xludf.DUMMYFUNCTION("""COMPUTED_VALUE"""),41246.666666666664)</f>
        <v>41246.66667</v>
      </c>
      <c r="C3290" s="9">
        <f>IFERROR(__xludf.DUMMYFUNCTION("""COMPUTED_VALUE"""),36.73)</f>
        <v>36.73</v>
      </c>
      <c r="E3290" s="17"/>
      <c r="N3290" s="17"/>
      <c r="Q3290" s="17"/>
    </row>
    <row r="3291">
      <c r="B3291" s="11">
        <f>IFERROR(__xludf.DUMMYFUNCTION("""COMPUTED_VALUE"""),41243.666666666664)</f>
        <v>41243.66667</v>
      </c>
      <c r="C3291" s="9">
        <f>IFERROR(__xludf.DUMMYFUNCTION("""COMPUTED_VALUE"""),37.13)</f>
        <v>37.13</v>
      </c>
      <c r="E3291" s="17"/>
      <c r="N3291" s="17"/>
      <c r="Q3291" s="17"/>
    </row>
    <row r="3292">
      <c r="B3292" s="11">
        <f>IFERROR(__xludf.DUMMYFUNCTION("""COMPUTED_VALUE"""),41242.666666666664)</f>
        <v>41242.66667</v>
      </c>
      <c r="C3292" s="9">
        <f>IFERROR(__xludf.DUMMYFUNCTION("""COMPUTED_VALUE"""),37.21)</f>
        <v>37.21</v>
      </c>
      <c r="E3292" s="17"/>
      <c r="N3292" s="17"/>
      <c r="Q3292" s="17"/>
    </row>
    <row r="3293">
      <c r="B3293" s="11">
        <f>IFERROR(__xludf.DUMMYFUNCTION("""COMPUTED_VALUE"""),41241.666666666664)</f>
        <v>41241.66667</v>
      </c>
      <c r="C3293" s="9">
        <f>IFERROR(__xludf.DUMMYFUNCTION("""COMPUTED_VALUE"""),37.0)</f>
        <v>37</v>
      </c>
      <c r="E3293" s="17"/>
      <c r="N3293" s="17"/>
      <c r="Q3293" s="17"/>
    </row>
    <row r="3294">
      <c r="B3294" s="11">
        <f>IFERROR(__xludf.DUMMYFUNCTION("""COMPUTED_VALUE"""),41240.666666666664)</f>
        <v>41240.66667</v>
      </c>
      <c r="C3294" s="9">
        <f>IFERROR(__xludf.DUMMYFUNCTION("""COMPUTED_VALUE"""),36.69)</f>
        <v>36.69</v>
      </c>
      <c r="E3294" s="17"/>
      <c r="N3294" s="17"/>
      <c r="Q3294" s="17"/>
    </row>
    <row r="3295">
      <c r="B3295" s="11">
        <f>IFERROR(__xludf.DUMMYFUNCTION("""COMPUTED_VALUE"""),41239.666666666664)</f>
        <v>41239.66667</v>
      </c>
      <c r="C3295" s="9">
        <f>IFERROR(__xludf.DUMMYFUNCTION("""COMPUTED_VALUE"""),36.77)</f>
        <v>36.77</v>
      </c>
      <c r="E3295" s="17"/>
      <c r="N3295" s="17"/>
      <c r="Q3295" s="17"/>
    </row>
    <row r="3296">
      <c r="B3296" s="11">
        <f>IFERROR(__xludf.DUMMYFUNCTION("""COMPUTED_VALUE"""),41236.666666666664)</f>
        <v>41236.66667</v>
      </c>
      <c r="C3296" s="9">
        <f>IFERROR(__xludf.DUMMYFUNCTION("""COMPUTED_VALUE"""),36.74)</f>
        <v>36.74</v>
      </c>
      <c r="E3296" s="17"/>
      <c r="N3296" s="17"/>
      <c r="Q3296" s="17"/>
    </row>
    <row r="3297">
      <c r="B3297" s="11">
        <f>IFERROR(__xludf.DUMMYFUNCTION("""COMPUTED_VALUE"""),41234.666666666664)</f>
        <v>41234.66667</v>
      </c>
      <c r="C3297" s="9">
        <f>IFERROR(__xludf.DUMMYFUNCTION("""COMPUTED_VALUE"""),36.27)</f>
        <v>36.27</v>
      </c>
      <c r="E3297" s="17"/>
      <c r="N3297" s="17"/>
      <c r="Q3297" s="17"/>
    </row>
    <row r="3298">
      <c r="B3298" s="11">
        <f>IFERROR(__xludf.DUMMYFUNCTION("""COMPUTED_VALUE"""),41233.666666666664)</f>
        <v>41233.66667</v>
      </c>
      <c r="C3298" s="9">
        <f>IFERROR(__xludf.DUMMYFUNCTION("""COMPUTED_VALUE"""),36.22)</f>
        <v>36.22</v>
      </c>
      <c r="E3298" s="17"/>
      <c r="N3298" s="17"/>
      <c r="Q3298" s="17"/>
    </row>
    <row r="3299">
      <c r="B3299" s="11">
        <f>IFERROR(__xludf.DUMMYFUNCTION("""COMPUTED_VALUE"""),41232.666666666664)</f>
        <v>41232.66667</v>
      </c>
      <c r="C3299" s="9">
        <f>IFERROR(__xludf.DUMMYFUNCTION("""COMPUTED_VALUE"""),36.19)</f>
        <v>36.19</v>
      </c>
      <c r="E3299" s="17"/>
      <c r="N3299" s="17"/>
      <c r="Q3299" s="17"/>
    </row>
    <row r="3300">
      <c r="B3300" s="11">
        <f>IFERROR(__xludf.DUMMYFUNCTION("""COMPUTED_VALUE"""),41229.666666666664)</f>
        <v>41229.66667</v>
      </c>
      <c r="C3300" s="9">
        <f>IFERROR(__xludf.DUMMYFUNCTION("""COMPUTED_VALUE"""),35.52)</f>
        <v>35.52</v>
      </c>
      <c r="E3300" s="17"/>
      <c r="N3300" s="17"/>
      <c r="Q3300" s="17"/>
    </row>
    <row r="3301">
      <c r="B3301" s="11">
        <f>IFERROR(__xludf.DUMMYFUNCTION("""COMPUTED_VALUE"""),41228.666666666664)</f>
        <v>41228.66667</v>
      </c>
      <c r="C3301" s="9">
        <f>IFERROR(__xludf.DUMMYFUNCTION("""COMPUTED_VALUE"""),35.42)</f>
        <v>35.42</v>
      </c>
      <c r="E3301" s="17"/>
      <c r="N3301" s="17"/>
      <c r="Q3301" s="17"/>
    </row>
    <row r="3302">
      <c r="B3302" s="11">
        <f>IFERROR(__xludf.DUMMYFUNCTION("""COMPUTED_VALUE"""),41227.666666666664)</f>
        <v>41227.66667</v>
      </c>
      <c r="C3302" s="9">
        <f>IFERROR(__xludf.DUMMYFUNCTION("""COMPUTED_VALUE"""),35.42)</f>
        <v>35.42</v>
      </c>
      <c r="E3302" s="17"/>
      <c r="N3302" s="17"/>
      <c r="Q3302" s="17"/>
    </row>
    <row r="3303">
      <c r="B3303" s="11">
        <f>IFERROR(__xludf.DUMMYFUNCTION("""COMPUTED_VALUE"""),41226.666666666664)</f>
        <v>41226.66667</v>
      </c>
      <c r="C3303" s="9">
        <f>IFERROR(__xludf.DUMMYFUNCTION("""COMPUTED_VALUE"""),36.27)</f>
        <v>36.27</v>
      </c>
      <c r="E3303" s="17"/>
      <c r="N3303" s="17"/>
      <c r="Q3303" s="17"/>
    </row>
    <row r="3304">
      <c r="B3304" s="11">
        <f>IFERROR(__xludf.DUMMYFUNCTION("""COMPUTED_VALUE"""),41225.666666666664)</f>
        <v>41225.66667</v>
      </c>
      <c r="C3304" s="9">
        <f>IFERROR(__xludf.DUMMYFUNCTION("""COMPUTED_VALUE"""),36.37)</f>
        <v>36.37</v>
      </c>
      <c r="E3304" s="17"/>
      <c r="N3304" s="17"/>
      <c r="Q3304" s="17"/>
    </row>
    <row r="3305">
      <c r="B3305" s="11">
        <f>IFERROR(__xludf.DUMMYFUNCTION("""COMPUTED_VALUE"""),41222.666666666664)</f>
        <v>41222.66667</v>
      </c>
      <c r="C3305" s="9">
        <f>IFERROR(__xludf.DUMMYFUNCTION("""COMPUTED_VALUE"""),36.27)</f>
        <v>36.27</v>
      </c>
      <c r="E3305" s="17"/>
      <c r="N3305" s="17"/>
      <c r="Q3305" s="17"/>
    </row>
    <row r="3306">
      <c r="B3306" s="11">
        <f>IFERROR(__xludf.DUMMYFUNCTION("""COMPUTED_VALUE"""),41221.666666666664)</f>
        <v>41221.66667</v>
      </c>
      <c r="C3306" s="9">
        <f>IFERROR(__xludf.DUMMYFUNCTION("""COMPUTED_VALUE"""),36.17)</f>
        <v>36.17</v>
      </c>
      <c r="E3306" s="17"/>
      <c r="N3306" s="17"/>
      <c r="Q3306" s="17"/>
    </row>
    <row r="3307">
      <c r="B3307" s="11">
        <f>IFERROR(__xludf.DUMMYFUNCTION("""COMPUTED_VALUE"""),41220.666666666664)</f>
        <v>41220.66667</v>
      </c>
      <c r="C3307" s="9">
        <f>IFERROR(__xludf.DUMMYFUNCTION("""COMPUTED_VALUE"""),36.55)</f>
        <v>36.55</v>
      </c>
      <c r="E3307" s="17"/>
      <c r="N3307" s="17"/>
      <c r="Q3307" s="17"/>
    </row>
    <row r="3308">
      <c r="B3308" s="11">
        <f>IFERROR(__xludf.DUMMYFUNCTION("""COMPUTED_VALUE"""),41219.666666666664)</f>
        <v>41219.66667</v>
      </c>
      <c r="C3308" s="9">
        <f>IFERROR(__xludf.DUMMYFUNCTION("""COMPUTED_VALUE"""),37.43)</f>
        <v>37.43</v>
      </c>
      <c r="E3308" s="17"/>
      <c r="N3308" s="17"/>
      <c r="Q3308" s="17"/>
    </row>
    <row r="3309">
      <c r="B3309" s="11">
        <f>IFERROR(__xludf.DUMMYFUNCTION("""COMPUTED_VALUE"""),41218.666666666664)</f>
        <v>41218.66667</v>
      </c>
      <c r="C3309" s="9">
        <f>IFERROR(__xludf.DUMMYFUNCTION("""COMPUTED_VALUE"""),37.03)</f>
        <v>37.03</v>
      </c>
      <c r="E3309" s="17"/>
      <c r="N3309" s="17"/>
      <c r="Q3309" s="17"/>
    </row>
    <row r="3310">
      <c r="B3310" s="11">
        <f>IFERROR(__xludf.DUMMYFUNCTION("""COMPUTED_VALUE"""),41215.666666666664)</f>
        <v>41215.66667</v>
      </c>
      <c r="C3310" s="9">
        <f>IFERROR(__xludf.DUMMYFUNCTION("""COMPUTED_VALUE"""),36.83)</f>
        <v>36.83</v>
      </c>
      <c r="E3310" s="17"/>
      <c r="N3310" s="17"/>
      <c r="Q3310" s="17"/>
    </row>
    <row r="3311">
      <c r="B3311" s="11">
        <f>IFERROR(__xludf.DUMMYFUNCTION("""COMPUTED_VALUE"""),41214.666666666664)</f>
        <v>41214.66667</v>
      </c>
      <c r="C3311" s="9">
        <f>IFERROR(__xludf.DUMMYFUNCTION("""COMPUTED_VALUE"""),37.14)</f>
        <v>37.14</v>
      </c>
      <c r="E3311" s="17"/>
      <c r="N3311" s="17"/>
      <c r="Q3311" s="17"/>
    </row>
    <row r="3312">
      <c r="B3312" s="11">
        <f>IFERROR(__xludf.DUMMYFUNCTION("""COMPUTED_VALUE"""),41213.666666666664)</f>
        <v>41213.66667</v>
      </c>
      <c r="C3312" s="9">
        <f>IFERROR(__xludf.DUMMYFUNCTION("""COMPUTED_VALUE"""),36.49)</f>
        <v>36.49</v>
      </c>
      <c r="E3312" s="17"/>
      <c r="N3312" s="17"/>
      <c r="Q3312" s="17"/>
    </row>
    <row r="3313">
      <c r="B3313" s="11">
        <f>IFERROR(__xludf.DUMMYFUNCTION("""COMPUTED_VALUE"""),41208.666666666664)</f>
        <v>41208.66667</v>
      </c>
      <c r="C3313" s="9">
        <f>IFERROR(__xludf.DUMMYFUNCTION("""COMPUTED_VALUE"""),36.32)</f>
        <v>36.32</v>
      </c>
      <c r="E3313" s="17"/>
      <c r="N3313" s="17"/>
      <c r="Q3313" s="17"/>
    </row>
    <row r="3314">
      <c r="B3314" s="11">
        <f>IFERROR(__xludf.DUMMYFUNCTION("""COMPUTED_VALUE"""),41207.666666666664)</f>
        <v>41207.66667</v>
      </c>
      <c r="C3314" s="9">
        <f>IFERROR(__xludf.DUMMYFUNCTION("""COMPUTED_VALUE"""),36.29)</f>
        <v>36.29</v>
      </c>
      <c r="E3314" s="17"/>
      <c r="N3314" s="17"/>
      <c r="Q3314" s="17"/>
    </row>
    <row r="3315">
      <c r="B3315" s="11">
        <f>IFERROR(__xludf.DUMMYFUNCTION("""COMPUTED_VALUE"""),41206.666666666664)</f>
        <v>41206.66667</v>
      </c>
      <c r="C3315" s="9">
        <f>IFERROR(__xludf.DUMMYFUNCTION("""COMPUTED_VALUE"""),36.09)</f>
        <v>36.09</v>
      </c>
      <c r="E3315" s="17"/>
      <c r="N3315" s="17"/>
      <c r="Q3315" s="17"/>
    </row>
    <row r="3316">
      <c r="B3316" s="11">
        <f>IFERROR(__xludf.DUMMYFUNCTION("""COMPUTED_VALUE"""),41205.666666666664)</f>
        <v>41205.66667</v>
      </c>
      <c r="C3316" s="9">
        <f>IFERROR(__xludf.DUMMYFUNCTION("""COMPUTED_VALUE"""),36.32)</f>
        <v>36.32</v>
      </c>
      <c r="E3316" s="17"/>
      <c r="N3316" s="17"/>
      <c r="Q3316" s="17"/>
    </row>
    <row r="3317">
      <c r="B3317" s="11">
        <f>IFERROR(__xludf.DUMMYFUNCTION("""COMPUTED_VALUE"""),41204.666666666664)</f>
        <v>41204.66667</v>
      </c>
      <c r="C3317" s="9">
        <f>IFERROR(__xludf.DUMMYFUNCTION("""COMPUTED_VALUE"""),36.69)</f>
        <v>36.69</v>
      </c>
      <c r="E3317" s="17"/>
      <c r="N3317" s="17"/>
      <c r="Q3317" s="17"/>
    </row>
    <row r="3318">
      <c r="B3318" s="11">
        <f>IFERROR(__xludf.DUMMYFUNCTION("""COMPUTED_VALUE"""),41201.666666666664)</f>
        <v>41201.66667</v>
      </c>
      <c r="C3318" s="9">
        <f>IFERROR(__xludf.DUMMYFUNCTION("""COMPUTED_VALUE"""),36.79)</f>
        <v>36.79</v>
      </c>
      <c r="E3318" s="17"/>
      <c r="N3318" s="17"/>
      <c r="Q3318" s="17"/>
    </row>
    <row r="3319">
      <c r="B3319" s="11">
        <f>IFERROR(__xludf.DUMMYFUNCTION("""COMPUTED_VALUE"""),41200.666666666664)</f>
        <v>41200.66667</v>
      </c>
      <c r="C3319" s="9">
        <f>IFERROR(__xludf.DUMMYFUNCTION("""COMPUTED_VALUE"""),37.42)</f>
        <v>37.42</v>
      </c>
      <c r="E3319" s="17"/>
      <c r="N3319" s="17"/>
      <c r="Q3319" s="17"/>
    </row>
    <row r="3320">
      <c r="B3320" s="11">
        <f>IFERROR(__xludf.DUMMYFUNCTION("""COMPUTED_VALUE"""),41199.666666666664)</f>
        <v>41199.66667</v>
      </c>
      <c r="C3320" s="9">
        <f>IFERROR(__xludf.DUMMYFUNCTION("""COMPUTED_VALUE"""),37.32)</f>
        <v>37.32</v>
      </c>
      <c r="E3320" s="17"/>
      <c r="N3320" s="17"/>
      <c r="Q3320" s="17"/>
    </row>
    <row r="3321">
      <c r="B3321" s="11">
        <f>IFERROR(__xludf.DUMMYFUNCTION("""COMPUTED_VALUE"""),41198.666666666664)</f>
        <v>41198.66667</v>
      </c>
      <c r="C3321" s="9">
        <f>IFERROR(__xludf.DUMMYFUNCTION("""COMPUTED_VALUE"""),37.09)</f>
        <v>37.09</v>
      </c>
      <c r="E3321" s="17"/>
      <c r="N3321" s="17"/>
      <c r="Q3321" s="17"/>
    </row>
    <row r="3322">
      <c r="B3322" s="11">
        <f>IFERROR(__xludf.DUMMYFUNCTION("""COMPUTED_VALUE"""),41197.666666666664)</f>
        <v>41197.66667</v>
      </c>
      <c r="C3322" s="9">
        <f>IFERROR(__xludf.DUMMYFUNCTION("""COMPUTED_VALUE"""),36.7)</f>
        <v>36.7</v>
      </c>
      <c r="E3322" s="17"/>
      <c r="N3322" s="17"/>
      <c r="Q3322" s="17"/>
    </row>
    <row r="3323">
      <c r="B3323" s="11">
        <f>IFERROR(__xludf.DUMMYFUNCTION("""COMPUTED_VALUE"""),41194.666666666664)</f>
        <v>41194.66667</v>
      </c>
      <c r="C3323" s="9">
        <f>IFERROR(__xludf.DUMMYFUNCTION("""COMPUTED_VALUE"""),36.45)</f>
        <v>36.45</v>
      </c>
      <c r="E3323" s="17"/>
      <c r="N3323" s="17"/>
      <c r="Q3323" s="17"/>
    </row>
    <row r="3324">
      <c r="B3324" s="11">
        <f>IFERROR(__xludf.DUMMYFUNCTION("""COMPUTED_VALUE"""),41193.666666666664)</f>
        <v>41193.66667</v>
      </c>
      <c r="C3324" s="9">
        <f>IFERROR(__xludf.DUMMYFUNCTION("""COMPUTED_VALUE"""),36.41)</f>
        <v>36.41</v>
      </c>
      <c r="E3324" s="17"/>
      <c r="N3324" s="17"/>
      <c r="Q3324" s="17"/>
    </row>
    <row r="3325">
      <c r="B3325" s="11">
        <f>IFERROR(__xludf.DUMMYFUNCTION("""COMPUTED_VALUE"""),41192.666666666664)</f>
        <v>41192.66667</v>
      </c>
      <c r="C3325" s="9">
        <f>IFERROR(__xludf.DUMMYFUNCTION("""COMPUTED_VALUE"""),36.3)</f>
        <v>36.3</v>
      </c>
      <c r="E3325" s="17"/>
      <c r="N3325" s="17"/>
      <c r="Q3325" s="17"/>
    </row>
    <row r="3326">
      <c r="B3326" s="11">
        <f>IFERROR(__xludf.DUMMYFUNCTION("""COMPUTED_VALUE"""),41191.666666666664)</f>
        <v>41191.66667</v>
      </c>
      <c r="C3326" s="9">
        <f>IFERROR(__xludf.DUMMYFUNCTION("""COMPUTED_VALUE"""),36.64)</f>
        <v>36.64</v>
      </c>
      <c r="E3326" s="17"/>
      <c r="N3326" s="17"/>
      <c r="Q3326" s="17"/>
    </row>
    <row r="3327">
      <c r="B3327" s="11">
        <f>IFERROR(__xludf.DUMMYFUNCTION("""COMPUTED_VALUE"""),41190.666666666664)</f>
        <v>41190.66667</v>
      </c>
      <c r="C3327" s="9">
        <f>IFERROR(__xludf.DUMMYFUNCTION("""COMPUTED_VALUE"""),37.07)</f>
        <v>37.07</v>
      </c>
      <c r="E3327" s="17"/>
      <c r="N3327" s="17"/>
      <c r="Q3327" s="17"/>
    </row>
    <row r="3328">
      <c r="B3328" s="11">
        <f>IFERROR(__xludf.DUMMYFUNCTION("""COMPUTED_VALUE"""),41187.666666666664)</f>
        <v>41187.66667</v>
      </c>
      <c r="C3328" s="9">
        <f>IFERROR(__xludf.DUMMYFUNCTION("""COMPUTED_VALUE"""),37.16)</f>
        <v>37.16</v>
      </c>
      <c r="E3328" s="17"/>
      <c r="N3328" s="17"/>
      <c r="Q3328" s="17"/>
    </row>
    <row r="3329">
      <c r="B3329" s="11">
        <f>IFERROR(__xludf.DUMMYFUNCTION("""COMPUTED_VALUE"""),41186.666666666664)</f>
        <v>41186.66667</v>
      </c>
      <c r="C3329" s="9">
        <f>IFERROR(__xludf.DUMMYFUNCTION("""COMPUTED_VALUE"""),37.04)</f>
        <v>37.04</v>
      </c>
      <c r="E3329" s="17"/>
      <c r="N3329" s="17"/>
      <c r="Q3329" s="17"/>
    </row>
    <row r="3330">
      <c r="B3330" s="11">
        <f>IFERROR(__xludf.DUMMYFUNCTION("""COMPUTED_VALUE"""),41185.666666666664)</f>
        <v>41185.66667</v>
      </c>
      <c r="C3330" s="9">
        <f>IFERROR(__xludf.DUMMYFUNCTION("""COMPUTED_VALUE"""),36.83)</f>
        <v>36.83</v>
      </c>
      <c r="E3330" s="17"/>
      <c r="N3330" s="17"/>
      <c r="Q3330" s="17"/>
    </row>
    <row r="3331">
      <c r="B3331" s="11">
        <f>IFERROR(__xludf.DUMMYFUNCTION("""COMPUTED_VALUE"""),41184.666666666664)</f>
        <v>41184.66667</v>
      </c>
      <c r="C3331" s="9">
        <f>IFERROR(__xludf.DUMMYFUNCTION("""COMPUTED_VALUE"""),36.64)</f>
        <v>36.64</v>
      </c>
      <c r="E3331" s="17"/>
      <c r="N3331" s="17"/>
      <c r="Q3331" s="17"/>
    </row>
    <row r="3332">
      <c r="B3332" s="11">
        <f>IFERROR(__xludf.DUMMYFUNCTION("""COMPUTED_VALUE"""),41183.666666666664)</f>
        <v>41183.66667</v>
      </c>
      <c r="C3332" s="9">
        <f>IFERROR(__xludf.DUMMYFUNCTION("""COMPUTED_VALUE"""),36.7)</f>
        <v>36.7</v>
      </c>
      <c r="E3332" s="17"/>
      <c r="N3332" s="17"/>
      <c r="Q3332" s="17"/>
    </row>
    <row r="3333">
      <c r="B3333" s="11">
        <f>IFERROR(__xludf.DUMMYFUNCTION("""COMPUTED_VALUE"""),41180.666666666664)</f>
        <v>41180.66667</v>
      </c>
      <c r="C3333" s="9">
        <f>IFERROR(__xludf.DUMMYFUNCTION("""COMPUTED_VALUE"""),36.53)</f>
        <v>36.53</v>
      </c>
      <c r="E3333" s="17"/>
      <c r="N3333" s="17"/>
      <c r="Q3333" s="17"/>
    </row>
    <row r="3334">
      <c r="B3334" s="11">
        <f>IFERROR(__xludf.DUMMYFUNCTION("""COMPUTED_VALUE"""),41179.666666666664)</f>
        <v>41179.66667</v>
      </c>
      <c r="C3334" s="9">
        <f>IFERROR(__xludf.DUMMYFUNCTION("""COMPUTED_VALUE"""),36.68)</f>
        <v>36.68</v>
      </c>
      <c r="E3334" s="17"/>
      <c r="N3334" s="17"/>
      <c r="Q3334" s="17"/>
    </row>
    <row r="3335">
      <c r="B3335" s="11">
        <f>IFERROR(__xludf.DUMMYFUNCTION("""COMPUTED_VALUE"""),41178.666666666664)</f>
        <v>41178.66667</v>
      </c>
      <c r="C3335" s="9">
        <f>IFERROR(__xludf.DUMMYFUNCTION("""COMPUTED_VALUE"""),36.34)</f>
        <v>36.34</v>
      </c>
      <c r="E3335" s="17"/>
      <c r="N3335" s="17"/>
      <c r="Q3335" s="17"/>
    </row>
    <row r="3336">
      <c r="B3336" s="11">
        <f>IFERROR(__xludf.DUMMYFUNCTION("""COMPUTED_VALUE"""),41177.666666666664)</f>
        <v>41177.66667</v>
      </c>
      <c r="C3336" s="9">
        <f>IFERROR(__xludf.DUMMYFUNCTION("""COMPUTED_VALUE"""),36.48)</f>
        <v>36.48</v>
      </c>
      <c r="E3336" s="17"/>
      <c r="N3336" s="17"/>
      <c r="Q3336" s="17"/>
    </row>
    <row r="3337">
      <c r="B3337" s="11">
        <f>IFERROR(__xludf.DUMMYFUNCTION("""COMPUTED_VALUE"""),41176.666666666664)</f>
        <v>41176.66667</v>
      </c>
      <c r="C3337" s="9">
        <f>IFERROR(__xludf.DUMMYFUNCTION("""COMPUTED_VALUE"""),36.97)</f>
        <v>36.97</v>
      </c>
      <c r="E3337" s="17"/>
      <c r="N3337" s="17"/>
      <c r="Q3337" s="17"/>
    </row>
    <row r="3338">
      <c r="B3338" s="11">
        <f>IFERROR(__xludf.DUMMYFUNCTION("""COMPUTED_VALUE"""),41173.666666666664)</f>
        <v>41173.66667</v>
      </c>
      <c r="C3338" s="9">
        <f>IFERROR(__xludf.DUMMYFUNCTION("""COMPUTED_VALUE"""),36.98)</f>
        <v>36.98</v>
      </c>
      <c r="E3338" s="17"/>
      <c r="N3338" s="17"/>
      <c r="Q3338" s="17"/>
    </row>
    <row r="3339">
      <c r="B3339" s="11">
        <f>IFERROR(__xludf.DUMMYFUNCTION("""COMPUTED_VALUE"""),41172.666666666664)</f>
        <v>41172.66667</v>
      </c>
      <c r="C3339" s="9">
        <f>IFERROR(__xludf.DUMMYFUNCTION("""COMPUTED_VALUE"""),37.32)</f>
        <v>37.32</v>
      </c>
      <c r="E3339" s="17"/>
      <c r="N3339" s="17"/>
      <c r="Q3339" s="17"/>
    </row>
    <row r="3340">
      <c r="B3340" s="11">
        <f>IFERROR(__xludf.DUMMYFUNCTION("""COMPUTED_VALUE"""),41171.666666666664)</f>
        <v>41171.66667</v>
      </c>
      <c r="C3340" s="9">
        <f>IFERROR(__xludf.DUMMYFUNCTION("""COMPUTED_VALUE"""),37.68)</f>
        <v>37.68</v>
      </c>
      <c r="E3340" s="17"/>
      <c r="N3340" s="17"/>
      <c r="Q3340" s="17"/>
    </row>
    <row r="3341">
      <c r="B3341" s="11">
        <f>IFERROR(__xludf.DUMMYFUNCTION("""COMPUTED_VALUE"""),41170.666666666664)</f>
        <v>41170.66667</v>
      </c>
      <c r="C3341" s="9">
        <f>IFERROR(__xludf.DUMMYFUNCTION("""COMPUTED_VALUE"""),37.59)</f>
        <v>37.59</v>
      </c>
      <c r="E3341" s="17"/>
      <c r="N3341" s="17"/>
      <c r="Q3341" s="17"/>
    </row>
    <row r="3342">
      <c r="B3342" s="11">
        <f>IFERROR(__xludf.DUMMYFUNCTION("""COMPUTED_VALUE"""),41169.666666666664)</f>
        <v>41169.66667</v>
      </c>
      <c r="C3342" s="9">
        <f>IFERROR(__xludf.DUMMYFUNCTION("""COMPUTED_VALUE"""),37.58)</f>
        <v>37.58</v>
      </c>
      <c r="E3342" s="17"/>
      <c r="N3342" s="17"/>
      <c r="Q3342" s="17"/>
    </row>
    <row r="3343">
      <c r="B3343" s="11">
        <f>IFERROR(__xludf.DUMMYFUNCTION("""COMPUTED_VALUE"""),41166.666666666664)</f>
        <v>41166.66667</v>
      </c>
      <c r="C3343" s="9">
        <f>IFERROR(__xludf.DUMMYFUNCTION("""COMPUTED_VALUE"""),37.76)</f>
        <v>37.76</v>
      </c>
      <c r="E3343" s="17"/>
      <c r="N3343" s="17"/>
      <c r="Q3343" s="17"/>
    </row>
    <row r="3344">
      <c r="B3344" s="11">
        <f>IFERROR(__xludf.DUMMYFUNCTION("""COMPUTED_VALUE"""),41165.666666666664)</f>
        <v>41165.66667</v>
      </c>
      <c r="C3344" s="9">
        <f>IFERROR(__xludf.DUMMYFUNCTION("""COMPUTED_VALUE"""),37.53)</f>
        <v>37.53</v>
      </c>
      <c r="E3344" s="17"/>
      <c r="N3344" s="17"/>
      <c r="Q3344" s="17"/>
    </row>
    <row r="3345">
      <c r="B3345" s="11">
        <f>IFERROR(__xludf.DUMMYFUNCTION("""COMPUTED_VALUE"""),41164.666666666664)</f>
        <v>41164.66667</v>
      </c>
      <c r="C3345" s="9">
        <f>IFERROR(__xludf.DUMMYFUNCTION("""COMPUTED_VALUE"""),37.11)</f>
        <v>37.11</v>
      </c>
      <c r="E3345" s="17"/>
      <c r="N3345" s="17"/>
      <c r="Q3345" s="17"/>
    </row>
    <row r="3346">
      <c r="B3346" s="11">
        <f>IFERROR(__xludf.DUMMYFUNCTION("""COMPUTED_VALUE"""),41163.666666666664)</f>
        <v>41163.66667</v>
      </c>
      <c r="C3346" s="9">
        <f>IFERROR(__xludf.DUMMYFUNCTION("""COMPUTED_VALUE"""),36.96)</f>
        <v>36.96</v>
      </c>
      <c r="E3346" s="17"/>
      <c r="N3346" s="17"/>
      <c r="Q3346" s="17"/>
    </row>
    <row r="3347">
      <c r="B3347" s="11">
        <f>IFERROR(__xludf.DUMMYFUNCTION("""COMPUTED_VALUE"""),41162.666666666664)</f>
        <v>41162.66667</v>
      </c>
      <c r="C3347" s="9">
        <f>IFERROR(__xludf.DUMMYFUNCTION("""COMPUTED_VALUE"""),36.76)</f>
        <v>36.76</v>
      </c>
      <c r="E3347" s="17"/>
      <c r="N3347" s="17"/>
      <c r="Q3347" s="17"/>
    </row>
    <row r="3348">
      <c r="B3348" s="11">
        <f>IFERROR(__xludf.DUMMYFUNCTION("""COMPUTED_VALUE"""),41159.666666666664)</f>
        <v>41159.66667</v>
      </c>
      <c r="C3348" s="9">
        <f>IFERROR(__xludf.DUMMYFUNCTION("""COMPUTED_VALUE"""),37.0)</f>
        <v>37</v>
      </c>
      <c r="E3348" s="17"/>
      <c r="N3348" s="17"/>
      <c r="Q3348" s="17"/>
    </row>
    <row r="3349">
      <c r="B3349" s="11">
        <f>IFERROR(__xludf.DUMMYFUNCTION("""COMPUTED_VALUE"""),41158.666666666664)</f>
        <v>41158.66667</v>
      </c>
      <c r="C3349" s="9">
        <f>IFERROR(__xludf.DUMMYFUNCTION("""COMPUTED_VALUE"""),36.69)</f>
        <v>36.69</v>
      </c>
      <c r="E3349" s="17"/>
      <c r="N3349" s="17"/>
      <c r="Q3349" s="17"/>
    </row>
    <row r="3350">
      <c r="B3350" s="11">
        <f>IFERROR(__xludf.DUMMYFUNCTION("""COMPUTED_VALUE"""),41157.666666666664)</f>
        <v>41157.66667</v>
      </c>
      <c r="C3350" s="9">
        <f>IFERROR(__xludf.DUMMYFUNCTION("""COMPUTED_VALUE"""),35.88)</f>
        <v>35.88</v>
      </c>
      <c r="E3350" s="17"/>
      <c r="N3350" s="17"/>
      <c r="Q3350" s="17"/>
    </row>
    <row r="3351">
      <c r="B3351" s="11">
        <f>IFERROR(__xludf.DUMMYFUNCTION("""COMPUTED_VALUE"""),41156.666666666664)</f>
        <v>41156.66667</v>
      </c>
      <c r="C3351" s="9">
        <f>IFERROR(__xludf.DUMMYFUNCTION("""COMPUTED_VALUE"""),35.98)</f>
        <v>35.98</v>
      </c>
      <c r="E3351" s="17"/>
      <c r="N3351" s="17"/>
      <c r="Q3351" s="17"/>
    </row>
    <row r="3352">
      <c r="B3352" s="11">
        <f>IFERROR(__xludf.DUMMYFUNCTION("""COMPUTED_VALUE"""),41152.666666666664)</f>
        <v>41152.66667</v>
      </c>
      <c r="C3352" s="9">
        <f>IFERROR(__xludf.DUMMYFUNCTION("""COMPUTED_VALUE"""),36.36)</f>
        <v>36.36</v>
      </c>
      <c r="E3352" s="17"/>
      <c r="N3352" s="17"/>
      <c r="Q3352" s="17"/>
    </row>
    <row r="3353">
      <c r="B3353" s="11">
        <f>IFERROR(__xludf.DUMMYFUNCTION("""COMPUTED_VALUE"""),41151.666666666664)</f>
        <v>41151.66667</v>
      </c>
      <c r="C3353" s="9">
        <f>IFERROR(__xludf.DUMMYFUNCTION("""COMPUTED_VALUE"""),36.14)</f>
        <v>36.14</v>
      </c>
      <c r="E3353" s="17"/>
      <c r="N3353" s="17"/>
      <c r="Q3353" s="17"/>
    </row>
    <row r="3354">
      <c r="B3354" s="11">
        <f>IFERROR(__xludf.DUMMYFUNCTION("""COMPUTED_VALUE"""),41150.666666666664)</f>
        <v>41150.66667</v>
      </c>
      <c r="C3354" s="9">
        <f>IFERROR(__xludf.DUMMYFUNCTION("""COMPUTED_VALUE"""),36.45)</f>
        <v>36.45</v>
      </c>
      <c r="E3354" s="17"/>
      <c r="N3354" s="17"/>
      <c r="Q3354" s="17"/>
    </row>
    <row r="3355">
      <c r="B3355" s="11">
        <f>IFERROR(__xludf.DUMMYFUNCTION("""COMPUTED_VALUE"""),41149.666666666664)</f>
        <v>41149.66667</v>
      </c>
      <c r="C3355" s="9">
        <f>IFERROR(__xludf.DUMMYFUNCTION("""COMPUTED_VALUE"""),36.46)</f>
        <v>36.46</v>
      </c>
      <c r="E3355" s="17"/>
      <c r="N3355" s="17"/>
      <c r="Q3355" s="17"/>
    </row>
    <row r="3356">
      <c r="B3356" s="11">
        <f>IFERROR(__xludf.DUMMYFUNCTION("""COMPUTED_VALUE"""),41148.666666666664)</f>
        <v>41148.66667</v>
      </c>
      <c r="C3356" s="9">
        <f>IFERROR(__xludf.DUMMYFUNCTION("""COMPUTED_VALUE"""),36.6)</f>
        <v>36.6</v>
      </c>
      <c r="E3356" s="17"/>
      <c r="N3356" s="17"/>
      <c r="Q3356" s="17"/>
    </row>
    <row r="3357">
      <c r="B3357" s="11">
        <f>IFERROR(__xludf.DUMMYFUNCTION("""COMPUTED_VALUE"""),41145.666666666664)</f>
        <v>41145.66667</v>
      </c>
      <c r="C3357" s="9">
        <f>IFERROR(__xludf.DUMMYFUNCTION("""COMPUTED_VALUE"""),36.71)</f>
        <v>36.71</v>
      </c>
      <c r="E3357" s="17"/>
      <c r="N3357" s="17"/>
      <c r="Q3357" s="17"/>
    </row>
    <row r="3358">
      <c r="B3358" s="11">
        <f>IFERROR(__xludf.DUMMYFUNCTION("""COMPUTED_VALUE"""),41144.666666666664)</f>
        <v>41144.66667</v>
      </c>
      <c r="C3358" s="9">
        <f>IFERROR(__xludf.DUMMYFUNCTION("""COMPUTED_VALUE"""),36.54)</f>
        <v>36.54</v>
      </c>
      <c r="E3358" s="17"/>
      <c r="N3358" s="17"/>
      <c r="Q3358" s="17"/>
    </row>
    <row r="3359">
      <c r="B3359" s="11">
        <f>IFERROR(__xludf.DUMMYFUNCTION("""COMPUTED_VALUE"""),41143.666666666664)</f>
        <v>41143.66667</v>
      </c>
      <c r="C3359" s="9">
        <f>IFERROR(__xludf.DUMMYFUNCTION("""COMPUTED_VALUE"""),36.84)</f>
        <v>36.84</v>
      </c>
      <c r="E3359" s="17"/>
      <c r="N3359" s="17"/>
      <c r="Q3359" s="17"/>
    </row>
    <row r="3360">
      <c r="B3360" s="11">
        <f>IFERROR(__xludf.DUMMYFUNCTION("""COMPUTED_VALUE"""),41142.666666666664)</f>
        <v>41142.66667</v>
      </c>
      <c r="C3360" s="9">
        <f>IFERROR(__xludf.DUMMYFUNCTION("""COMPUTED_VALUE"""),37.02)</f>
        <v>37.02</v>
      </c>
      <c r="E3360" s="17"/>
      <c r="N3360" s="17"/>
      <c r="Q3360" s="17"/>
    </row>
    <row r="3361">
      <c r="B3361" s="11">
        <f>IFERROR(__xludf.DUMMYFUNCTION("""COMPUTED_VALUE"""),41141.666666666664)</f>
        <v>41141.66667</v>
      </c>
      <c r="C3361" s="9">
        <f>IFERROR(__xludf.DUMMYFUNCTION("""COMPUTED_VALUE"""),37.1)</f>
        <v>37.1</v>
      </c>
      <c r="E3361" s="17"/>
      <c r="N3361" s="17"/>
      <c r="Q3361" s="17"/>
    </row>
    <row r="3362">
      <c r="B3362" s="11">
        <f>IFERROR(__xludf.DUMMYFUNCTION("""COMPUTED_VALUE"""),41138.666666666664)</f>
        <v>41138.66667</v>
      </c>
      <c r="C3362" s="9">
        <f>IFERROR(__xludf.DUMMYFUNCTION("""COMPUTED_VALUE"""),37.18)</f>
        <v>37.18</v>
      </c>
      <c r="E3362" s="17"/>
      <c r="N3362" s="17"/>
      <c r="Q3362" s="17"/>
    </row>
    <row r="3363">
      <c r="B3363" s="11">
        <f>IFERROR(__xludf.DUMMYFUNCTION("""COMPUTED_VALUE"""),41137.666666666664)</f>
        <v>41137.66667</v>
      </c>
      <c r="C3363" s="9">
        <f>IFERROR(__xludf.DUMMYFUNCTION("""COMPUTED_VALUE"""),37.0)</f>
        <v>37</v>
      </c>
      <c r="E3363" s="17"/>
      <c r="N3363" s="17"/>
      <c r="Q3363" s="17"/>
    </row>
    <row r="3364">
      <c r="B3364" s="11">
        <f>IFERROR(__xludf.DUMMYFUNCTION("""COMPUTED_VALUE"""),41136.666666666664)</f>
        <v>41136.66667</v>
      </c>
      <c r="C3364" s="9">
        <f>IFERROR(__xludf.DUMMYFUNCTION("""COMPUTED_VALUE"""),36.63)</f>
        <v>36.63</v>
      </c>
      <c r="E3364" s="17"/>
      <c r="N3364" s="17"/>
      <c r="Q3364" s="17"/>
    </row>
    <row r="3365">
      <c r="B3365" s="11">
        <f>IFERROR(__xludf.DUMMYFUNCTION("""COMPUTED_VALUE"""),41135.666666666664)</f>
        <v>41135.66667</v>
      </c>
      <c r="C3365" s="9">
        <f>IFERROR(__xludf.DUMMYFUNCTION("""COMPUTED_VALUE"""),36.55)</f>
        <v>36.55</v>
      </c>
      <c r="E3365" s="17"/>
      <c r="N3365" s="17"/>
      <c r="Q3365" s="17"/>
    </row>
    <row r="3366">
      <c r="B3366" s="11">
        <f>IFERROR(__xludf.DUMMYFUNCTION("""COMPUTED_VALUE"""),41134.666666666664)</f>
        <v>41134.66667</v>
      </c>
      <c r="C3366" s="9">
        <f>IFERROR(__xludf.DUMMYFUNCTION("""COMPUTED_VALUE"""),36.6)</f>
        <v>36.6</v>
      </c>
      <c r="E3366" s="17"/>
      <c r="N3366" s="17"/>
      <c r="Q3366" s="17"/>
    </row>
    <row r="3367">
      <c r="B3367" s="11">
        <f>IFERROR(__xludf.DUMMYFUNCTION("""COMPUTED_VALUE"""),41131.666666666664)</f>
        <v>41131.66667</v>
      </c>
      <c r="C3367" s="9">
        <f>IFERROR(__xludf.DUMMYFUNCTION("""COMPUTED_VALUE"""),36.68)</f>
        <v>36.68</v>
      </c>
      <c r="E3367" s="17"/>
      <c r="N3367" s="17"/>
      <c r="Q3367" s="17"/>
    </row>
    <row r="3368">
      <c r="B3368" s="11">
        <f>IFERROR(__xludf.DUMMYFUNCTION("""COMPUTED_VALUE"""),41130.666666666664)</f>
        <v>41130.66667</v>
      </c>
      <c r="C3368" s="9">
        <f>IFERROR(__xludf.DUMMYFUNCTION("""COMPUTED_VALUE"""),36.51)</f>
        <v>36.51</v>
      </c>
      <c r="E3368" s="17"/>
      <c r="N3368" s="17"/>
      <c r="Q3368" s="17"/>
    </row>
    <row r="3369">
      <c r="B3369" s="11">
        <f>IFERROR(__xludf.DUMMYFUNCTION("""COMPUTED_VALUE"""),41129.666666666664)</f>
        <v>41129.66667</v>
      </c>
      <c r="C3369" s="9">
        <f>IFERROR(__xludf.DUMMYFUNCTION("""COMPUTED_VALUE"""),36.48)</f>
        <v>36.48</v>
      </c>
      <c r="E3369" s="17"/>
      <c r="N3369" s="17"/>
      <c r="Q3369" s="17"/>
    </row>
    <row r="3370">
      <c r="B3370" s="11">
        <f>IFERROR(__xludf.DUMMYFUNCTION("""COMPUTED_VALUE"""),41128.666666666664)</f>
        <v>41128.66667</v>
      </c>
      <c r="C3370" s="9">
        <f>IFERROR(__xludf.DUMMYFUNCTION("""COMPUTED_VALUE"""),36.53)</f>
        <v>36.53</v>
      </c>
      <c r="E3370" s="17"/>
      <c r="N3370" s="17"/>
      <c r="Q3370" s="17"/>
    </row>
    <row r="3371">
      <c r="B3371" s="11">
        <f>IFERROR(__xludf.DUMMYFUNCTION("""COMPUTED_VALUE"""),41127.666666666664)</f>
        <v>41127.66667</v>
      </c>
      <c r="C3371" s="9">
        <f>IFERROR(__xludf.DUMMYFUNCTION("""COMPUTED_VALUE"""),36.16)</f>
        <v>36.16</v>
      </c>
      <c r="E3371" s="17"/>
      <c r="N3371" s="17"/>
      <c r="Q3371" s="17"/>
    </row>
    <row r="3372">
      <c r="B3372" s="11">
        <f>IFERROR(__xludf.DUMMYFUNCTION("""COMPUTED_VALUE"""),41124.666666666664)</f>
        <v>41124.66667</v>
      </c>
      <c r="C3372" s="9">
        <f>IFERROR(__xludf.DUMMYFUNCTION("""COMPUTED_VALUE"""),36.16)</f>
        <v>36.16</v>
      </c>
      <c r="E3372" s="17"/>
      <c r="N3372" s="17"/>
      <c r="Q3372" s="17"/>
    </row>
    <row r="3373">
      <c r="B3373" s="11">
        <f>IFERROR(__xludf.DUMMYFUNCTION("""COMPUTED_VALUE"""),41123.666666666664)</f>
        <v>41123.66667</v>
      </c>
      <c r="C3373" s="9">
        <f>IFERROR(__xludf.DUMMYFUNCTION("""COMPUTED_VALUE"""),35.39)</f>
        <v>35.39</v>
      </c>
      <c r="E3373" s="17"/>
      <c r="N3373" s="17"/>
      <c r="Q3373" s="17"/>
    </row>
    <row r="3374">
      <c r="B3374" s="11">
        <f>IFERROR(__xludf.DUMMYFUNCTION("""COMPUTED_VALUE"""),41122.666666666664)</f>
        <v>41122.66667</v>
      </c>
      <c r="C3374" s="9">
        <f>IFERROR(__xludf.DUMMYFUNCTION("""COMPUTED_VALUE"""),35.57)</f>
        <v>35.57</v>
      </c>
      <c r="E3374" s="17"/>
      <c r="N3374" s="17"/>
      <c r="Q3374" s="17"/>
    </row>
    <row r="3375">
      <c r="B3375" s="11">
        <f>IFERROR(__xludf.DUMMYFUNCTION("""COMPUTED_VALUE"""),41121.666666666664)</f>
        <v>41121.66667</v>
      </c>
      <c r="C3375" s="9">
        <f>IFERROR(__xludf.DUMMYFUNCTION("""COMPUTED_VALUE"""),35.81)</f>
        <v>35.81</v>
      </c>
      <c r="E3375" s="17"/>
      <c r="N3375" s="17"/>
      <c r="Q3375" s="17"/>
    </row>
    <row r="3376">
      <c r="B3376" s="11">
        <f>IFERROR(__xludf.DUMMYFUNCTION("""COMPUTED_VALUE"""),41120.666666666664)</f>
        <v>41120.66667</v>
      </c>
      <c r="C3376" s="9">
        <f>IFERROR(__xludf.DUMMYFUNCTION("""COMPUTED_VALUE"""),35.91)</f>
        <v>35.91</v>
      </c>
      <c r="E3376" s="17"/>
      <c r="N3376" s="17"/>
      <c r="Q3376" s="17"/>
    </row>
    <row r="3377">
      <c r="B3377" s="11">
        <f>IFERROR(__xludf.DUMMYFUNCTION("""COMPUTED_VALUE"""),41117.666666666664)</f>
        <v>41117.66667</v>
      </c>
      <c r="C3377" s="9">
        <f>IFERROR(__xludf.DUMMYFUNCTION("""COMPUTED_VALUE"""),36.01)</f>
        <v>36.01</v>
      </c>
      <c r="E3377" s="17"/>
      <c r="N3377" s="17"/>
      <c r="Q3377" s="17"/>
    </row>
    <row r="3378">
      <c r="B3378" s="11">
        <f>IFERROR(__xludf.DUMMYFUNCTION("""COMPUTED_VALUE"""),41116.666666666664)</f>
        <v>41116.66667</v>
      </c>
      <c r="C3378" s="9">
        <f>IFERROR(__xludf.DUMMYFUNCTION("""COMPUTED_VALUE"""),35.24)</f>
        <v>35.24</v>
      </c>
      <c r="E3378" s="17"/>
      <c r="N3378" s="17"/>
      <c r="Q3378" s="17"/>
    </row>
    <row r="3379">
      <c r="B3379" s="11">
        <f>IFERROR(__xludf.DUMMYFUNCTION("""COMPUTED_VALUE"""),41115.666666666664)</f>
        <v>41115.66667</v>
      </c>
      <c r="C3379" s="9">
        <f>IFERROR(__xludf.DUMMYFUNCTION("""COMPUTED_VALUE"""),34.71)</f>
        <v>34.71</v>
      </c>
      <c r="E3379" s="17"/>
      <c r="N3379" s="17"/>
      <c r="Q3379" s="17"/>
    </row>
    <row r="3380">
      <c r="B3380" s="11">
        <f>IFERROR(__xludf.DUMMYFUNCTION("""COMPUTED_VALUE"""),41114.666666666664)</f>
        <v>41114.66667</v>
      </c>
      <c r="C3380" s="9">
        <f>IFERROR(__xludf.DUMMYFUNCTION("""COMPUTED_VALUE"""),34.59)</f>
        <v>34.59</v>
      </c>
      <c r="E3380" s="17"/>
      <c r="N3380" s="17"/>
      <c r="Q3380" s="17"/>
    </row>
    <row r="3381">
      <c r="B3381" s="11">
        <f>IFERROR(__xludf.DUMMYFUNCTION("""COMPUTED_VALUE"""),41113.666666666664)</f>
        <v>41113.66667</v>
      </c>
      <c r="C3381" s="9">
        <f>IFERROR(__xludf.DUMMYFUNCTION("""COMPUTED_VALUE"""),34.98)</f>
        <v>34.98</v>
      </c>
      <c r="E3381" s="17"/>
      <c r="N3381" s="17"/>
      <c r="Q3381" s="17"/>
    </row>
    <row r="3382">
      <c r="B3382" s="11">
        <f>IFERROR(__xludf.DUMMYFUNCTION("""COMPUTED_VALUE"""),41110.666666666664)</f>
        <v>41110.66667</v>
      </c>
      <c r="C3382" s="9">
        <f>IFERROR(__xludf.DUMMYFUNCTION("""COMPUTED_VALUE"""),35.16)</f>
        <v>35.16</v>
      </c>
      <c r="E3382" s="17"/>
      <c r="N3382" s="17"/>
      <c r="Q3382" s="17"/>
    </row>
    <row r="3383">
      <c r="B3383" s="11">
        <f>IFERROR(__xludf.DUMMYFUNCTION("""COMPUTED_VALUE"""),41109.666666666664)</f>
        <v>41109.66667</v>
      </c>
      <c r="C3383" s="9">
        <f>IFERROR(__xludf.DUMMYFUNCTION("""COMPUTED_VALUE"""),35.6)</f>
        <v>35.6</v>
      </c>
      <c r="E3383" s="17"/>
      <c r="N3383" s="17"/>
      <c r="Q3383" s="17"/>
    </row>
    <row r="3384">
      <c r="B3384" s="11">
        <f>IFERROR(__xludf.DUMMYFUNCTION("""COMPUTED_VALUE"""),41108.666666666664)</f>
        <v>41108.66667</v>
      </c>
      <c r="C3384" s="9">
        <f>IFERROR(__xludf.DUMMYFUNCTION("""COMPUTED_VALUE"""),35.43)</f>
        <v>35.43</v>
      </c>
      <c r="E3384" s="17"/>
      <c r="N3384" s="17"/>
      <c r="Q3384" s="17"/>
    </row>
    <row r="3385">
      <c r="B3385" s="11">
        <f>IFERROR(__xludf.DUMMYFUNCTION("""COMPUTED_VALUE"""),41107.666666666664)</f>
        <v>41107.66667</v>
      </c>
      <c r="C3385" s="9">
        <f>IFERROR(__xludf.DUMMYFUNCTION("""COMPUTED_VALUE"""),34.78)</f>
        <v>34.78</v>
      </c>
      <c r="E3385" s="17"/>
      <c r="N3385" s="17"/>
      <c r="Q3385" s="17"/>
    </row>
    <row r="3386">
      <c r="B3386" s="11">
        <f>IFERROR(__xludf.DUMMYFUNCTION("""COMPUTED_VALUE"""),41106.666666666664)</f>
        <v>41106.66667</v>
      </c>
      <c r="C3386" s="9">
        <f>IFERROR(__xludf.DUMMYFUNCTION("""COMPUTED_VALUE"""),34.63)</f>
        <v>34.63</v>
      </c>
      <c r="E3386" s="17"/>
      <c r="N3386" s="17"/>
      <c r="Q3386" s="17"/>
    </row>
    <row r="3387">
      <c r="B3387" s="11">
        <f>IFERROR(__xludf.DUMMYFUNCTION("""COMPUTED_VALUE"""),41103.666666666664)</f>
        <v>41103.66667</v>
      </c>
      <c r="C3387" s="9">
        <f>IFERROR(__xludf.DUMMYFUNCTION("""COMPUTED_VALUE"""),34.87)</f>
        <v>34.87</v>
      </c>
      <c r="E3387" s="17"/>
      <c r="N3387" s="17"/>
      <c r="Q3387" s="17"/>
    </row>
    <row r="3388">
      <c r="B3388" s="11">
        <f>IFERROR(__xludf.DUMMYFUNCTION("""COMPUTED_VALUE"""),41102.666666666664)</f>
        <v>41102.66667</v>
      </c>
      <c r="C3388" s="9">
        <f>IFERROR(__xludf.DUMMYFUNCTION("""COMPUTED_VALUE"""),34.21)</f>
        <v>34.21</v>
      </c>
      <c r="E3388" s="17"/>
      <c r="N3388" s="17"/>
      <c r="Q3388" s="17"/>
    </row>
    <row r="3389">
      <c r="B3389" s="11">
        <f>IFERROR(__xludf.DUMMYFUNCTION("""COMPUTED_VALUE"""),41101.666666666664)</f>
        <v>41101.66667</v>
      </c>
      <c r="C3389" s="9">
        <f>IFERROR(__xludf.DUMMYFUNCTION("""COMPUTED_VALUE"""),34.34)</f>
        <v>34.34</v>
      </c>
      <c r="E3389" s="17"/>
      <c r="N3389" s="17"/>
      <c r="Q3389" s="17"/>
    </row>
    <row r="3390">
      <c r="B3390" s="11">
        <f>IFERROR(__xludf.DUMMYFUNCTION("""COMPUTED_VALUE"""),41100.666666666664)</f>
        <v>41100.66667</v>
      </c>
      <c r="C3390" s="9">
        <f>IFERROR(__xludf.DUMMYFUNCTION("""COMPUTED_VALUE"""),34.62)</f>
        <v>34.62</v>
      </c>
      <c r="E3390" s="17"/>
      <c r="N3390" s="17"/>
      <c r="Q3390" s="17"/>
    </row>
    <row r="3391">
      <c r="B3391" s="11">
        <f>IFERROR(__xludf.DUMMYFUNCTION("""COMPUTED_VALUE"""),41099.666666666664)</f>
        <v>41099.66667</v>
      </c>
      <c r="C3391" s="9">
        <f>IFERROR(__xludf.DUMMYFUNCTION("""COMPUTED_VALUE"""),35.19)</f>
        <v>35.19</v>
      </c>
      <c r="E3391" s="17"/>
      <c r="N3391" s="17"/>
      <c r="Q3391" s="17"/>
    </row>
    <row r="3392">
      <c r="B3392" s="11">
        <f>IFERROR(__xludf.DUMMYFUNCTION("""COMPUTED_VALUE"""),41096.666666666664)</f>
        <v>41096.66667</v>
      </c>
      <c r="C3392" s="9">
        <f>IFERROR(__xludf.DUMMYFUNCTION("""COMPUTED_VALUE"""),35.21)</f>
        <v>35.21</v>
      </c>
      <c r="E3392" s="17"/>
      <c r="N3392" s="17"/>
      <c r="Q3392" s="17"/>
    </row>
    <row r="3393">
      <c r="B3393" s="11">
        <f>IFERROR(__xludf.DUMMYFUNCTION("""COMPUTED_VALUE"""),41095.666666666664)</f>
        <v>41095.66667</v>
      </c>
      <c r="C3393" s="9">
        <f>IFERROR(__xludf.DUMMYFUNCTION("""COMPUTED_VALUE"""),35.69)</f>
        <v>35.69</v>
      </c>
      <c r="E3393" s="17"/>
      <c r="N3393" s="17"/>
      <c r="Q3393" s="17"/>
    </row>
    <row r="3394">
      <c r="B3394" s="11">
        <f>IFERROR(__xludf.DUMMYFUNCTION("""COMPUTED_VALUE"""),41093.666666666664)</f>
        <v>41093.66667</v>
      </c>
      <c r="C3394" s="9">
        <f>IFERROR(__xludf.DUMMYFUNCTION("""COMPUTED_VALUE"""),35.73)</f>
        <v>35.73</v>
      </c>
      <c r="E3394" s="17"/>
      <c r="N3394" s="17"/>
      <c r="Q3394" s="17"/>
    </row>
    <row r="3395">
      <c r="B3395" s="11">
        <f>IFERROR(__xludf.DUMMYFUNCTION("""COMPUTED_VALUE"""),41092.666666666664)</f>
        <v>41092.66667</v>
      </c>
      <c r="C3395" s="9">
        <f>IFERROR(__xludf.DUMMYFUNCTION("""COMPUTED_VALUE"""),35.36)</f>
        <v>35.36</v>
      </c>
      <c r="E3395" s="17"/>
      <c r="N3395" s="17"/>
      <c r="Q3395" s="17"/>
    </row>
    <row r="3396">
      <c r="B3396" s="11">
        <f>IFERROR(__xludf.DUMMYFUNCTION("""COMPUTED_VALUE"""),41089.666666666664)</f>
        <v>41089.66667</v>
      </c>
      <c r="C3396" s="9">
        <f>IFERROR(__xludf.DUMMYFUNCTION("""COMPUTED_VALUE"""),35.67)</f>
        <v>35.67</v>
      </c>
      <c r="E3396" s="17"/>
      <c r="N3396" s="17"/>
      <c r="Q3396" s="17"/>
    </row>
    <row r="3397">
      <c r="B3397" s="11">
        <f>IFERROR(__xludf.DUMMYFUNCTION("""COMPUTED_VALUE"""),41088.666666666664)</f>
        <v>41088.66667</v>
      </c>
      <c r="C3397" s="9">
        <f>IFERROR(__xludf.DUMMYFUNCTION("""COMPUTED_VALUE"""),34.47)</f>
        <v>34.47</v>
      </c>
      <c r="E3397" s="17"/>
      <c r="N3397" s="17"/>
      <c r="Q3397" s="17"/>
    </row>
    <row r="3398">
      <c r="B3398" s="11">
        <f>IFERROR(__xludf.DUMMYFUNCTION("""COMPUTED_VALUE"""),41087.666666666664)</f>
        <v>41087.66667</v>
      </c>
      <c r="C3398" s="9">
        <f>IFERROR(__xludf.DUMMYFUNCTION("""COMPUTED_VALUE"""),34.5)</f>
        <v>34.5</v>
      </c>
      <c r="E3398" s="17"/>
      <c r="N3398" s="17"/>
      <c r="Q3398" s="17"/>
    </row>
    <row r="3399">
      <c r="B3399" s="11">
        <f>IFERROR(__xludf.DUMMYFUNCTION("""COMPUTED_VALUE"""),41086.666666666664)</f>
        <v>41086.66667</v>
      </c>
      <c r="C3399" s="9">
        <f>IFERROR(__xludf.DUMMYFUNCTION("""COMPUTED_VALUE"""),34.17)</f>
        <v>34.17</v>
      </c>
      <c r="E3399" s="17"/>
      <c r="N3399" s="17"/>
      <c r="Q3399" s="17"/>
    </row>
    <row r="3400">
      <c r="B3400" s="11">
        <f>IFERROR(__xludf.DUMMYFUNCTION("""COMPUTED_VALUE"""),41085.666666666664)</f>
        <v>41085.66667</v>
      </c>
      <c r="C3400" s="9">
        <f>IFERROR(__xludf.DUMMYFUNCTION("""COMPUTED_VALUE"""),34.1)</f>
        <v>34.1</v>
      </c>
      <c r="E3400" s="17"/>
      <c r="N3400" s="17"/>
      <c r="Q3400" s="17"/>
    </row>
    <row r="3401">
      <c r="B3401" s="11">
        <f>IFERROR(__xludf.DUMMYFUNCTION("""COMPUTED_VALUE"""),41082.666666666664)</f>
        <v>41082.66667</v>
      </c>
      <c r="C3401" s="9">
        <f>IFERROR(__xludf.DUMMYFUNCTION("""COMPUTED_VALUE"""),34.75)</f>
        <v>34.75</v>
      </c>
      <c r="E3401" s="17"/>
      <c r="N3401" s="17"/>
      <c r="Q3401" s="17"/>
    </row>
    <row r="3402">
      <c r="B3402" s="11">
        <f>IFERROR(__xludf.DUMMYFUNCTION("""COMPUTED_VALUE"""),41081.666666666664)</f>
        <v>41081.66667</v>
      </c>
      <c r="C3402" s="9">
        <f>IFERROR(__xludf.DUMMYFUNCTION("""COMPUTED_VALUE"""),34.63)</f>
        <v>34.63</v>
      </c>
      <c r="E3402" s="17"/>
      <c r="N3402" s="17"/>
      <c r="Q3402" s="17"/>
    </row>
    <row r="3403">
      <c r="B3403" s="11">
        <f>IFERROR(__xludf.DUMMYFUNCTION("""COMPUTED_VALUE"""),41080.666666666664)</f>
        <v>41080.66667</v>
      </c>
      <c r="C3403" s="9">
        <f>IFERROR(__xludf.DUMMYFUNCTION("""COMPUTED_VALUE"""),35.32)</f>
        <v>35.32</v>
      </c>
      <c r="E3403" s="17"/>
      <c r="N3403" s="17"/>
      <c r="Q3403" s="17"/>
    </row>
    <row r="3404">
      <c r="B3404" s="11">
        <f>IFERROR(__xludf.DUMMYFUNCTION("""COMPUTED_VALUE"""),41079.666666666664)</f>
        <v>41079.66667</v>
      </c>
      <c r="C3404" s="9">
        <f>IFERROR(__xludf.DUMMYFUNCTION("""COMPUTED_VALUE"""),35.51)</f>
        <v>35.51</v>
      </c>
      <c r="E3404" s="17"/>
      <c r="N3404" s="17"/>
      <c r="Q3404" s="17"/>
    </row>
    <row r="3405">
      <c r="B3405" s="11">
        <f>IFERROR(__xludf.DUMMYFUNCTION("""COMPUTED_VALUE"""),41078.666666666664)</f>
        <v>41078.66667</v>
      </c>
      <c r="C3405" s="9">
        <f>IFERROR(__xludf.DUMMYFUNCTION("""COMPUTED_VALUE"""),35.04)</f>
        <v>35.04</v>
      </c>
      <c r="E3405" s="17"/>
      <c r="N3405" s="17"/>
      <c r="Q3405" s="17"/>
    </row>
    <row r="3406">
      <c r="B3406" s="11">
        <f>IFERROR(__xludf.DUMMYFUNCTION("""COMPUTED_VALUE"""),41075.666666666664)</f>
        <v>41075.66667</v>
      </c>
      <c r="C3406" s="9">
        <f>IFERROR(__xludf.DUMMYFUNCTION("""COMPUTED_VALUE"""),34.96)</f>
        <v>34.96</v>
      </c>
      <c r="E3406" s="17"/>
      <c r="N3406" s="17"/>
      <c r="Q3406" s="17"/>
    </row>
    <row r="3407">
      <c r="B3407" s="11">
        <f>IFERROR(__xludf.DUMMYFUNCTION("""COMPUTED_VALUE"""),41074.666666666664)</f>
        <v>41074.66667</v>
      </c>
      <c r="C3407" s="9">
        <f>IFERROR(__xludf.DUMMYFUNCTION("""COMPUTED_VALUE"""),34.82)</f>
        <v>34.82</v>
      </c>
      <c r="E3407" s="17"/>
      <c r="N3407" s="17"/>
      <c r="Q3407" s="17"/>
    </row>
    <row r="3408">
      <c r="B3408" s="11">
        <f>IFERROR(__xludf.DUMMYFUNCTION("""COMPUTED_VALUE"""),41073.666666666664)</f>
        <v>41073.66667</v>
      </c>
      <c r="C3408" s="9">
        <f>IFERROR(__xludf.DUMMYFUNCTION("""COMPUTED_VALUE"""),34.55)</f>
        <v>34.55</v>
      </c>
      <c r="E3408" s="17"/>
      <c r="N3408" s="17"/>
      <c r="Q3408" s="17"/>
    </row>
    <row r="3409">
      <c r="B3409" s="11">
        <f>IFERROR(__xludf.DUMMYFUNCTION("""COMPUTED_VALUE"""),41072.666666666664)</f>
        <v>41072.66667</v>
      </c>
      <c r="C3409" s="9">
        <f>IFERROR(__xludf.DUMMYFUNCTION("""COMPUTED_VALUE"""),34.9)</f>
        <v>34.9</v>
      </c>
      <c r="E3409" s="17"/>
      <c r="N3409" s="17"/>
      <c r="Q3409" s="17"/>
    </row>
    <row r="3410">
      <c r="B3410" s="11">
        <f>IFERROR(__xludf.DUMMYFUNCTION("""COMPUTED_VALUE"""),41071.666666666664)</f>
        <v>41071.66667</v>
      </c>
      <c r="C3410" s="9">
        <f>IFERROR(__xludf.DUMMYFUNCTION("""COMPUTED_VALUE"""),34.35)</f>
        <v>34.35</v>
      </c>
      <c r="E3410" s="17"/>
      <c r="N3410" s="17"/>
      <c r="Q3410" s="17"/>
    </row>
    <row r="3411">
      <c r="B3411" s="11">
        <f>IFERROR(__xludf.DUMMYFUNCTION("""COMPUTED_VALUE"""),41068.666666666664)</f>
        <v>41068.66667</v>
      </c>
      <c r="C3411" s="9">
        <f>IFERROR(__xludf.DUMMYFUNCTION("""COMPUTED_VALUE"""),34.8)</f>
        <v>34.8</v>
      </c>
      <c r="E3411" s="17"/>
      <c r="N3411" s="17"/>
      <c r="Q3411" s="17"/>
    </row>
    <row r="3412">
      <c r="B3412" s="11">
        <f>IFERROR(__xludf.DUMMYFUNCTION("""COMPUTED_VALUE"""),41067.666666666664)</f>
        <v>41067.66667</v>
      </c>
      <c r="C3412" s="9">
        <f>IFERROR(__xludf.DUMMYFUNCTION("""COMPUTED_VALUE"""),34.54)</f>
        <v>34.54</v>
      </c>
      <c r="E3412" s="17"/>
      <c r="N3412" s="17"/>
      <c r="Q3412" s="17"/>
    </row>
    <row r="3413">
      <c r="B3413" s="11">
        <f>IFERROR(__xludf.DUMMYFUNCTION("""COMPUTED_VALUE"""),41066.666666666664)</f>
        <v>41066.66667</v>
      </c>
      <c r="C3413" s="9">
        <f>IFERROR(__xludf.DUMMYFUNCTION("""COMPUTED_VALUE"""),34.35)</f>
        <v>34.35</v>
      </c>
      <c r="E3413" s="17"/>
      <c r="N3413" s="17"/>
      <c r="Q3413" s="17"/>
    </row>
    <row r="3414">
      <c r="B3414" s="11">
        <f>IFERROR(__xludf.DUMMYFUNCTION("""COMPUTED_VALUE"""),41065.666666666664)</f>
        <v>41065.66667</v>
      </c>
      <c r="C3414" s="9">
        <f>IFERROR(__xludf.DUMMYFUNCTION("""COMPUTED_VALUE"""),33.46)</f>
        <v>33.46</v>
      </c>
      <c r="E3414" s="17"/>
      <c r="N3414" s="17"/>
      <c r="Q3414" s="17"/>
    </row>
    <row r="3415">
      <c r="B3415" s="11">
        <f>IFERROR(__xludf.DUMMYFUNCTION("""COMPUTED_VALUE"""),41064.666666666664)</f>
        <v>41064.66667</v>
      </c>
      <c r="C3415" s="9">
        <f>IFERROR(__xludf.DUMMYFUNCTION("""COMPUTED_VALUE"""),33.36)</f>
        <v>33.36</v>
      </c>
      <c r="E3415" s="17"/>
      <c r="N3415" s="17"/>
      <c r="Q3415" s="17"/>
    </row>
    <row r="3416">
      <c r="B3416" s="11">
        <f>IFERROR(__xludf.DUMMYFUNCTION("""COMPUTED_VALUE"""),41061.666666666664)</f>
        <v>41061.66667</v>
      </c>
      <c r="C3416" s="9">
        <f>IFERROR(__xludf.DUMMYFUNCTION("""COMPUTED_VALUE"""),33.71)</f>
        <v>33.71</v>
      </c>
      <c r="E3416" s="17"/>
      <c r="N3416" s="17"/>
      <c r="Q3416" s="17"/>
    </row>
    <row r="3417">
      <c r="B3417" s="11">
        <f>IFERROR(__xludf.DUMMYFUNCTION("""COMPUTED_VALUE"""),41060.666666666664)</f>
        <v>41060.66667</v>
      </c>
      <c r="C3417" s="9">
        <f>IFERROR(__xludf.DUMMYFUNCTION("""COMPUTED_VALUE"""),34.67)</f>
        <v>34.67</v>
      </c>
      <c r="E3417" s="17"/>
      <c r="N3417" s="17"/>
      <c r="Q3417" s="17"/>
    </row>
    <row r="3418">
      <c r="B3418" s="11">
        <f>IFERROR(__xludf.DUMMYFUNCTION("""COMPUTED_VALUE"""),41059.666666666664)</f>
        <v>41059.66667</v>
      </c>
      <c r="C3418" s="9">
        <f>IFERROR(__xludf.DUMMYFUNCTION("""COMPUTED_VALUE"""),34.8)</f>
        <v>34.8</v>
      </c>
      <c r="E3418" s="17"/>
      <c r="N3418" s="17"/>
      <c r="Q3418" s="17"/>
    </row>
    <row r="3419">
      <c r="B3419" s="11">
        <f>IFERROR(__xludf.DUMMYFUNCTION("""COMPUTED_VALUE"""),41058.666666666664)</f>
        <v>41058.66667</v>
      </c>
      <c r="C3419" s="9">
        <f>IFERROR(__xludf.DUMMYFUNCTION("""COMPUTED_VALUE"""),35.39)</f>
        <v>35.39</v>
      </c>
      <c r="E3419" s="17"/>
      <c r="N3419" s="17"/>
      <c r="Q3419" s="17"/>
    </row>
    <row r="3420">
      <c r="B3420" s="11">
        <f>IFERROR(__xludf.DUMMYFUNCTION("""COMPUTED_VALUE"""),41054.666666666664)</f>
        <v>41054.66667</v>
      </c>
      <c r="C3420" s="9">
        <f>IFERROR(__xludf.DUMMYFUNCTION("""COMPUTED_VALUE"""),34.92)</f>
        <v>34.92</v>
      </c>
      <c r="E3420" s="17"/>
      <c r="N3420" s="17"/>
      <c r="Q3420" s="17"/>
    </row>
    <row r="3421">
      <c r="B3421" s="11">
        <f>IFERROR(__xludf.DUMMYFUNCTION("""COMPUTED_VALUE"""),41053.666666666664)</f>
        <v>41053.66667</v>
      </c>
      <c r="C3421" s="9">
        <f>IFERROR(__xludf.DUMMYFUNCTION("""COMPUTED_VALUE"""),35.16)</f>
        <v>35.16</v>
      </c>
      <c r="E3421" s="17"/>
      <c r="N3421" s="17"/>
      <c r="Q3421" s="17"/>
    </row>
    <row r="3422">
      <c r="B3422" s="11">
        <f>IFERROR(__xludf.DUMMYFUNCTION("""COMPUTED_VALUE"""),41052.666666666664)</f>
        <v>41052.66667</v>
      </c>
      <c r="C3422" s="9">
        <f>IFERROR(__xludf.DUMMYFUNCTION("""COMPUTED_VALUE"""),35.2)</f>
        <v>35.2</v>
      </c>
      <c r="E3422" s="17"/>
      <c r="N3422" s="17"/>
      <c r="Q3422" s="17"/>
    </row>
    <row r="3423">
      <c r="B3423" s="11">
        <f>IFERROR(__xludf.DUMMYFUNCTION("""COMPUTED_VALUE"""),41051.666666666664)</f>
        <v>41051.66667</v>
      </c>
      <c r="C3423" s="9">
        <f>IFERROR(__xludf.DUMMYFUNCTION("""COMPUTED_VALUE"""),35.01)</f>
        <v>35.01</v>
      </c>
      <c r="E3423" s="17"/>
      <c r="N3423" s="17"/>
      <c r="Q3423" s="17"/>
    </row>
    <row r="3424">
      <c r="B3424" s="11">
        <f>IFERROR(__xludf.DUMMYFUNCTION("""COMPUTED_VALUE"""),41050.666666666664)</f>
        <v>41050.66667</v>
      </c>
      <c r="C3424" s="9">
        <f>IFERROR(__xludf.DUMMYFUNCTION("""COMPUTED_VALUE"""),34.88)</f>
        <v>34.88</v>
      </c>
      <c r="E3424" s="17"/>
      <c r="N3424" s="17"/>
      <c r="Q3424" s="17"/>
    </row>
    <row r="3425">
      <c r="B3425" s="11">
        <f>IFERROR(__xludf.DUMMYFUNCTION("""COMPUTED_VALUE"""),41047.666666666664)</f>
        <v>41047.66667</v>
      </c>
      <c r="C3425" s="9">
        <f>IFERROR(__xludf.DUMMYFUNCTION("""COMPUTED_VALUE"""),34.12)</f>
        <v>34.12</v>
      </c>
      <c r="E3425" s="17"/>
      <c r="N3425" s="17"/>
      <c r="Q3425" s="17"/>
    </row>
    <row r="3426">
      <c r="B3426" s="11">
        <f>IFERROR(__xludf.DUMMYFUNCTION("""COMPUTED_VALUE"""),41046.666666666664)</f>
        <v>41046.66667</v>
      </c>
      <c r="C3426" s="9">
        <f>IFERROR(__xludf.DUMMYFUNCTION("""COMPUTED_VALUE"""),34.29)</f>
        <v>34.29</v>
      </c>
      <c r="E3426" s="17"/>
      <c r="N3426" s="17"/>
      <c r="Q3426" s="17"/>
    </row>
    <row r="3427">
      <c r="B3427" s="11">
        <f>IFERROR(__xludf.DUMMYFUNCTION("""COMPUTED_VALUE"""),41045.666666666664)</f>
        <v>41045.66667</v>
      </c>
      <c r="C3427" s="9">
        <f>IFERROR(__xludf.DUMMYFUNCTION("""COMPUTED_VALUE"""),35.04)</f>
        <v>35.04</v>
      </c>
      <c r="E3427" s="17"/>
      <c r="N3427" s="17"/>
      <c r="Q3427" s="17"/>
    </row>
    <row r="3428">
      <c r="B3428" s="11">
        <f>IFERROR(__xludf.DUMMYFUNCTION("""COMPUTED_VALUE"""),41044.666666666664)</f>
        <v>41044.66667</v>
      </c>
      <c r="C3428" s="9">
        <f>IFERROR(__xludf.DUMMYFUNCTION("""COMPUTED_VALUE"""),35.08)</f>
        <v>35.08</v>
      </c>
      <c r="E3428" s="17"/>
      <c r="N3428" s="17"/>
      <c r="Q3428" s="17"/>
    </row>
    <row r="3429">
      <c r="B3429" s="11">
        <f>IFERROR(__xludf.DUMMYFUNCTION("""COMPUTED_VALUE"""),41043.666666666664)</f>
        <v>41043.66667</v>
      </c>
      <c r="C3429" s="9">
        <f>IFERROR(__xludf.DUMMYFUNCTION("""COMPUTED_VALUE"""),35.26)</f>
        <v>35.26</v>
      </c>
      <c r="E3429" s="17"/>
      <c r="N3429" s="17"/>
      <c r="Q3429" s="17"/>
    </row>
    <row r="3430">
      <c r="B3430" s="11">
        <f>IFERROR(__xludf.DUMMYFUNCTION("""COMPUTED_VALUE"""),41040.666666666664)</f>
        <v>41040.66667</v>
      </c>
      <c r="C3430" s="9">
        <f>IFERROR(__xludf.DUMMYFUNCTION("""COMPUTED_VALUE"""),35.67)</f>
        <v>35.67</v>
      </c>
      <c r="E3430" s="17"/>
      <c r="N3430" s="17"/>
      <c r="Q3430" s="17"/>
    </row>
    <row r="3431">
      <c r="B3431" s="11">
        <f>IFERROR(__xludf.DUMMYFUNCTION("""COMPUTED_VALUE"""),41039.666666666664)</f>
        <v>41039.66667</v>
      </c>
      <c r="C3431" s="9">
        <f>IFERROR(__xludf.DUMMYFUNCTION("""COMPUTED_VALUE"""),35.74)</f>
        <v>35.74</v>
      </c>
      <c r="E3431" s="17"/>
      <c r="N3431" s="17"/>
      <c r="Q3431" s="17"/>
    </row>
    <row r="3432">
      <c r="B3432" s="11">
        <f>IFERROR(__xludf.DUMMYFUNCTION("""COMPUTED_VALUE"""),41038.666666666664)</f>
        <v>41038.66667</v>
      </c>
      <c r="C3432" s="9">
        <f>IFERROR(__xludf.DUMMYFUNCTION("""COMPUTED_VALUE"""),35.69)</f>
        <v>35.69</v>
      </c>
      <c r="E3432" s="17"/>
      <c r="N3432" s="17"/>
      <c r="Q3432" s="17"/>
    </row>
    <row r="3433">
      <c r="B3433" s="11">
        <f>IFERROR(__xludf.DUMMYFUNCTION("""COMPUTED_VALUE"""),41037.666666666664)</f>
        <v>41037.66667</v>
      </c>
      <c r="C3433" s="9">
        <f>IFERROR(__xludf.DUMMYFUNCTION("""COMPUTED_VALUE"""),36.11)</f>
        <v>36.11</v>
      </c>
      <c r="E3433" s="17"/>
      <c r="N3433" s="17"/>
      <c r="Q3433" s="17"/>
    </row>
    <row r="3434">
      <c r="B3434" s="11">
        <f>IFERROR(__xludf.DUMMYFUNCTION("""COMPUTED_VALUE"""),41036.666666666664)</f>
        <v>41036.66667</v>
      </c>
      <c r="C3434" s="9">
        <f>IFERROR(__xludf.DUMMYFUNCTION("""COMPUTED_VALUE"""),36.2)</f>
        <v>36.2</v>
      </c>
      <c r="E3434" s="17"/>
      <c r="N3434" s="17"/>
      <c r="Q3434" s="17"/>
    </row>
    <row r="3435">
      <c r="B3435" s="11">
        <f>IFERROR(__xludf.DUMMYFUNCTION("""COMPUTED_VALUE"""),41033.666666666664)</f>
        <v>41033.66667</v>
      </c>
      <c r="C3435" s="9">
        <f>IFERROR(__xludf.DUMMYFUNCTION("""COMPUTED_VALUE"""),36.3)</f>
        <v>36.3</v>
      </c>
      <c r="E3435" s="17"/>
      <c r="N3435" s="17"/>
      <c r="Q3435" s="17"/>
    </row>
    <row r="3436">
      <c r="B3436" s="11">
        <f>IFERROR(__xludf.DUMMYFUNCTION("""COMPUTED_VALUE"""),41032.666666666664)</f>
        <v>41032.66667</v>
      </c>
      <c r="C3436" s="9">
        <f>IFERROR(__xludf.DUMMYFUNCTION("""COMPUTED_VALUE"""),36.83)</f>
        <v>36.83</v>
      </c>
      <c r="E3436" s="17"/>
      <c r="N3436" s="17"/>
      <c r="Q3436" s="17"/>
    </row>
    <row r="3437">
      <c r="B3437" s="11">
        <f>IFERROR(__xludf.DUMMYFUNCTION("""COMPUTED_VALUE"""),41031.666666666664)</f>
        <v>41031.66667</v>
      </c>
      <c r="C3437" s="9">
        <f>IFERROR(__xludf.DUMMYFUNCTION("""COMPUTED_VALUE"""),37.13)</f>
        <v>37.13</v>
      </c>
      <c r="E3437" s="17"/>
      <c r="N3437" s="17"/>
      <c r="Q3437" s="17"/>
    </row>
    <row r="3438">
      <c r="B3438" s="11">
        <f>IFERROR(__xludf.DUMMYFUNCTION("""COMPUTED_VALUE"""),41030.666666666664)</f>
        <v>41030.66667</v>
      </c>
      <c r="C3438" s="9">
        <f>IFERROR(__xludf.DUMMYFUNCTION("""COMPUTED_VALUE"""),37.12)</f>
        <v>37.12</v>
      </c>
      <c r="E3438" s="17"/>
      <c r="N3438" s="17"/>
      <c r="Q3438" s="17"/>
    </row>
    <row r="3439">
      <c r="B3439" s="11">
        <f>IFERROR(__xludf.DUMMYFUNCTION("""COMPUTED_VALUE"""),41029.666666666664)</f>
        <v>41029.66667</v>
      </c>
      <c r="C3439" s="9">
        <f>IFERROR(__xludf.DUMMYFUNCTION("""COMPUTED_VALUE"""),37.01)</f>
        <v>37.01</v>
      </c>
      <c r="E3439" s="17"/>
      <c r="N3439" s="17"/>
      <c r="Q3439" s="17"/>
    </row>
    <row r="3440">
      <c r="B3440" s="11">
        <f>IFERROR(__xludf.DUMMYFUNCTION("""COMPUTED_VALUE"""),41026.666666666664)</f>
        <v>41026.66667</v>
      </c>
      <c r="C3440" s="9">
        <f>IFERROR(__xludf.DUMMYFUNCTION("""COMPUTED_VALUE"""),37.36)</f>
        <v>37.36</v>
      </c>
      <c r="E3440" s="17"/>
      <c r="N3440" s="17"/>
      <c r="Q3440" s="17"/>
    </row>
    <row r="3441">
      <c r="B3441" s="11">
        <f>IFERROR(__xludf.DUMMYFUNCTION("""COMPUTED_VALUE"""),41025.666666666664)</f>
        <v>41025.66667</v>
      </c>
      <c r="C3441" s="9">
        <f>IFERROR(__xludf.DUMMYFUNCTION("""COMPUTED_VALUE"""),37.13)</f>
        <v>37.13</v>
      </c>
      <c r="E3441" s="17"/>
      <c r="N3441" s="17"/>
      <c r="Q3441" s="17"/>
    </row>
    <row r="3442">
      <c r="B3442" s="11">
        <f>IFERROR(__xludf.DUMMYFUNCTION("""COMPUTED_VALUE"""),41024.666666666664)</f>
        <v>41024.66667</v>
      </c>
      <c r="C3442" s="9">
        <f>IFERROR(__xludf.DUMMYFUNCTION("""COMPUTED_VALUE"""),36.91)</f>
        <v>36.91</v>
      </c>
      <c r="E3442" s="17"/>
      <c r="N3442" s="17"/>
      <c r="Q3442" s="17"/>
    </row>
    <row r="3443">
      <c r="B3443" s="11">
        <f>IFERROR(__xludf.DUMMYFUNCTION("""COMPUTED_VALUE"""),41023.666666666664)</f>
        <v>41023.66667</v>
      </c>
      <c r="C3443" s="9">
        <f>IFERROR(__xludf.DUMMYFUNCTION("""COMPUTED_VALUE"""),36.84)</f>
        <v>36.84</v>
      </c>
      <c r="E3443" s="17"/>
      <c r="N3443" s="17"/>
      <c r="Q3443" s="17"/>
    </row>
    <row r="3444">
      <c r="B3444" s="11">
        <f>IFERROR(__xludf.DUMMYFUNCTION("""COMPUTED_VALUE"""),41022.666666666664)</f>
        <v>41022.66667</v>
      </c>
      <c r="C3444" s="9">
        <f>IFERROR(__xludf.DUMMYFUNCTION("""COMPUTED_VALUE"""),36.36)</f>
        <v>36.36</v>
      </c>
      <c r="E3444" s="17"/>
      <c r="N3444" s="17"/>
      <c r="Q3444" s="17"/>
    </row>
    <row r="3445">
      <c r="B3445" s="11">
        <f>IFERROR(__xludf.DUMMYFUNCTION("""COMPUTED_VALUE"""),41019.666666666664)</f>
        <v>41019.66667</v>
      </c>
      <c r="C3445" s="9">
        <f>IFERROR(__xludf.DUMMYFUNCTION("""COMPUTED_VALUE"""),36.77)</f>
        <v>36.77</v>
      </c>
      <c r="E3445" s="17"/>
      <c r="N3445" s="17"/>
      <c r="Q3445" s="17"/>
    </row>
    <row r="3446">
      <c r="B3446" s="11">
        <f>IFERROR(__xludf.DUMMYFUNCTION("""COMPUTED_VALUE"""),41018.666666666664)</f>
        <v>41018.66667</v>
      </c>
      <c r="C3446" s="9">
        <f>IFERROR(__xludf.DUMMYFUNCTION("""COMPUTED_VALUE"""),36.46)</f>
        <v>36.46</v>
      </c>
      <c r="E3446" s="17"/>
      <c r="N3446" s="17"/>
      <c r="Q3446" s="17"/>
    </row>
    <row r="3447">
      <c r="B3447" s="11">
        <f>IFERROR(__xludf.DUMMYFUNCTION("""COMPUTED_VALUE"""),41017.666666666664)</f>
        <v>41017.66667</v>
      </c>
      <c r="C3447" s="9">
        <f>IFERROR(__xludf.DUMMYFUNCTION("""COMPUTED_VALUE"""),36.87)</f>
        <v>36.87</v>
      </c>
      <c r="E3447" s="17"/>
      <c r="N3447" s="17"/>
      <c r="Q3447" s="17"/>
    </row>
    <row r="3448">
      <c r="B3448" s="11">
        <f>IFERROR(__xludf.DUMMYFUNCTION("""COMPUTED_VALUE"""),41016.666666666664)</f>
        <v>41016.66667</v>
      </c>
      <c r="C3448" s="9">
        <f>IFERROR(__xludf.DUMMYFUNCTION("""COMPUTED_VALUE"""),37.03)</f>
        <v>37.03</v>
      </c>
      <c r="E3448" s="17"/>
      <c r="N3448" s="17"/>
      <c r="Q3448" s="17"/>
    </row>
    <row r="3449">
      <c r="B3449" s="11">
        <f>IFERROR(__xludf.DUMMYFUNCTION("""COMPUTED_VALUE"""),41015.666666666664)</f>
        <v>41015.66667</v>
      </c>
      <c r="C3449" s="9">
        <f>IFERROR(__xludf.DUMMYFUNCTION("""COMPUTED_VALUE"""),36.43)</f>
        <v>36.43</v>
      </c>
      <c r="E3449" s="17"/>
      <c r="N3449" s="17"/>
      <c r="Q3449" s="17"/>
    </row>
    <row r="3450">
      <c r="B3450" s="11">
        <f>IFERROR(__xludf.DUMMYFUNCTION("""COMPUTED_VALUE"""),41012.666666666664)</f>
        <v>41012.66667</v>
      </c>
      <c r="C3450" s="9">
        <f>IFERROR(__xludf.DUMMYFUNCTION("""COMPUTED_VALUE"""),36.33)</f>
        <v>36.33</v>
      </c>
      <c r="E3450" s="17"/>
      <c r="N3450" s="17"/>
      <c r="Q3450" s="17"/>
    </row>
    <row r="3451">
      <c r="B3451" s="11">
        <f>IFERROR(__xludf.DUMMYFUNCTION("""COMPUTED_VALUE"""),41011.666666666664)</f>
        <v>41011.66667</v>
      </c>
      <c r="C3451" s="9">
        <f>IFERROR(__xludf.DUMMYFUNCTION("""COMPUTED_VALUE"""),36.8)</f>
        <v>36.8</v>
      </c>
      <c r="E3451" s="17"/>
      <c r="N3451" s="17"/>
      <c r="Q3451" s="17"/>
    </row>
    <row r="3452">
      <c r="B3452" s="11">
        <f>IFERROR(__xludf.DUMMYFUNCTION("""COMPUTED_VALUE"""),41010.666666666664)</f>
        <v>41010.66667</v>
      </c>
      <c r="C3452" s="9">
        <f>IFERROR(__xludf.DUMMYFUNCTION("""COMPUTED_VALUE"""),36.03)</f>
        <v>36.03</v>
      </c>
      <c r="E3452" s="17"/>
      <c r="N3452" s="17"/>
      <c r="Q3452" s="17"/>
    </row>
    <row r="3453">
      <c r="B3453" s="11">
        <f>IFERROR(__xludf.DUMMYFUNCTION("""COMPUTED_VALUE"""),41009.666666666664)</f>
        <v>41009.66667</v>
      </c>
      <c r="C3453" s="9">
        <f>IFERROR(__xludf.DUMMYFUNCTION("""COMPUTED_VALUE"""),35.63)</f>
        <v>35.63</v>
      </c>
      <c r="E3453" s="17"/>
      <c r="N3453" s="17"/>
      <c r="Q3453" s="17"/>
    </row>
    <row r="3454">
      <c r="B3454" s="11">
        <f>IFERROR(__xludf.DUMMYFUNCTION("""COMPUTED_VALUE"""),41008.666666666664)</f>
        <v>41008.66667</v>
      </c>
      <c r="C3454" s="9">
        <f>IFERROR(__xludf.DUMMYFUNCTION("""COMPUTED_VALUE"""),36.37)</f>
        <v>36.37</v>
      </c>
      <c r="E3454" s="17"/>
      <c r="N3454" s="17"/>
      <c r="Q3454" s="17"/>
    </row>
    <row r="3455">
      <c r="B3455" s="11">
        <f>IFERROR(__xludf.DUMMYFUNCTION("""COMPUTED_VALUE"""),41004.666666666664)</f>
        <v>41004.66667</v>
      </c>
      <c r="C3455" s="9">
        <f>IFERROR(__xludf.DUMMYFUNCTION("""COMPUTED_VALUE"""),36.97)</f>
        <v>36.97</v>
      </c>
      <c r="E3455" s="17"/>
      <c r="N3455" s="17"/>
      <c r="Q3455" s="17"/>
    </row>
    <row r="3456">
      <c r="B3456" s="11">
        <f>IFERROR(__xludf.DUMMYFUNCTION("""COMPUTED_VALUE"""),41003.666666666664)</f>
        <v>41003.66667</v>
      </c>
      <c r="C3456" s="9">
        <f>IFERROR(__xludf.DUMMYFUNCTION("""COMPUTED_VALUE"""),37.12)</f>
        <v>37.12</v>
      </c>
      <c r="E3456" s="17"/>
      <c r="N3456" s="17"/>
      <c r="Q3456" s="17"/>
    </row>
    <row r="3457">
      <c r="B3457" s="11">
        <f>IFERROR(__xludf.DUMMYFUNCTION("""COMPUTED_VALUE"""),41002.666666666664)</f>
        <v>41002.66667</v>
      </c>
      <c r="C3457" s="9">
        <f>IFERROR(__xludf.DUMMYFUNCTION("""COMPUTED_VALUE"""),37.39)</f>
        <v>37.39</v>
      </c>
      <c r="E3457" s="17"/>
      <c r="N3457" s="17"/>
      <c r="Q3457" s="17"/>
    </row>
    <row r="3458">
      <c r="B3458" s="11">
        <f>IFERROR(__xludf.DUMMYFUNCTION("""COMPUTED_VALUE"""),41001.666666666664)</f>
        <v>41001.66667</v>
      </c>
      <c r="C3458" s="9">
        <f>IFERROR(__xludf.DUMMYFUNCTION("""COMPUTED_VALUE"""),37.66)</f>
        <v>37.66</v>
      </c>
      <c r="E3458" s="17"/>
      <c r="N3458" s="17"/>
      <c r="Q3458" s="17"/>
    </row>
    <row r="3459">
      <c r="B3459" s="11">
        <f>IFERROR(__xludf.DUMMYFUNCTION("""COMPUTED_VALUE"""),40998.666666666664)</f>
        <v>40998.66667</v>
      </c>
      <c r="C3459" s="9">
        <f>IFERROR(__xludf.DUMMYFUNCTION("""COMPUTED_VALUE"""),37.42)</f>
        <v>37.42</v>
      </c>
      <c r="E3459" s="17"/>
      <c r="N3459" s="17"/>
      <c r="Q3459" s="17"/>
    </row>
    <row r="3460">
      <c r="B3460" s="11">
        <f>IFERROR(__xludf.DUMMYFUNCTION("""COMPUTED_VALUE"""),40997.666666666664)</f>
        <v>40997.66667</v>
      </c>
      <c r="C3460" s="9">
        <f>IFERROR(__xludf.DUMMYFUNCTION("""COMPUTED_VALUE"""),37.25)</f>
        <v>37.25</v>
      </c>
      <c r="E3460" s="17"/>
      <c r="N3460" s="17"/>
      <c r="Q3460" s="17"/>
    </row>
    <row r="3461">
      <c r="B3461" s="11">
        <f>IFERROR(__xludf.DUMMYFUNCTION("""COMPUTED_VALUE"""),40996.666666666664)</f>
        <v>40996.66667</v>
      </c>
      <c r="C3461" s="9">
        <f>IFERROR(__xludf.DUMMYFUNCTION("""COMPUTED_VALUE"""),37.23)</f>
        <v>37.23</v>
      </c>
      <c r="E3461" s="17"/>
      <c r="N3461" s="17"/>
      <c r="Q3461" s="17"/>
    </row>
    <row r="3462">
      <c r="B3462" s="11">
        <f>IFERROR(__xludf.DUMMYFUNCTION("""COMPUTED_VALUE"""),40995.666666666664)</f>
        <v>40995.66667</v>
      </c>
      <c r="C3462" s="9">
        <f>IFERROR(__xludf.DUMMYFUNCTION("""COMPUTED_VALUE"""),37.59)</f>
        <v>37.59</v>
      </c>
      <c r="E3462" s="17"/>
      <c r="N3462" s="17"/>
      <c r="Q3462" s="17"/>
    </row>
    <row r="3463">
      <c r="B3463" s="11">
        <f>IFERROR(__xludf.DUMMYFUNCTION("""COMPUTED_VALUE"""),40994.666666666664)</f>
        <v>40994.66667</v>
      </c>
      <c r="C3463" s="9">
        <f>IFERROR(__xludf.DUMMYFUNCTION("""COMPUTED_VALUE"""),37.71)</f>
        <v>37.71</v>
      </c>
      <c r="E3463" s="17"/>
      <c r="N3463" s="17"/>
      <c r="Q3463" s="17"/>
    </row>
    <row r="3464">
      <c r="B3464" s="11">
        <f>IFERROR(__xludf.DUMMYFUNCTION("""COMPUTED_VALUE"""),40991.666666666664)</f>
        <v>40991.66667</v>
      </c>
      <c r="C3464" s="9">
        <f>IFERROR(__xludf.DUMMYFUNCTION("""COMPUTED_VALUE"""),37.16)</f>
        <v>37.16</v>
      </c>
      <c r="E3464" s="17"/>
      <c r="N3464" s="17"/>
      <c r="Q3464" s="17"/>
    </row>
    <row r="3465">
      <c r="B3465" s="11">
        <f>IFERROR(__xludf.DUMMYFUNCTION("""COMPUTED_VALUE"""),40990.666666666664)</f>
        <v>40990.66667</v>
      </c>
      <c r="C3465" s="9">
        <f>IFERROR(__xludf.DUMMYFUNCTION("""COMPUTED_VALUE"""),37.1)</f>
        <v>37.1</v>
      </c>
      <c r="E3465" s="17"/>
      <c r="N3465" s="17"/>
      <c r="Q3465" s="17"/>
    </row>
    <row r="3466">
      <c r="B3466" s="11">
        <f>IFERROR(__xludf.DUMMYFUNCTION("""COMPUTED_VALUE"""),40989.666666666664)</f>
        <v>40989.66667</v>
      </c>
      <c r="C3466" s="9">
        <f>IFERROR(__xludf.DUMMYFUNCTION("""COMPUTED_VALUE"""),37.52)</f>
        <v>37.52</v>
      </c>
      <c r="E3466" s="17"/>
      <c r="N3466" s="17"/>
      <c r="Q3466" s="17"/>
    </row>
    <row r="3467">
      <c r="B3467" s="11">
        <f>IFERROR(__xludf.DUMMYFUNCTION("""COMPUTED_VALUE"""),40988.666666666664)</f>
        <v>40988.66667</v>
      </c>
      <c r="C3467" s="9">
        <f>IFERROR(__xludf.DUMMYFUNCTION("""COMPUTED_VALUE"""),37.54)</f>
        <v>37.54</v>
      </c>
      <c r="E3467" s="17"/>
      <c r="N3467" s="17"/>
      <c r="Q3467" s="17"/>
    </row>
    <row r="3468">
      <c r="B3468" s="11">
        <f>IFERROR(__xludf.DUMMYFUNCTION("""COMPUTED_VALUE"""),40987.666666666664)</f>
        <v>40987.66667</v>
      </c>
      <c r="C3468" s="9">
        <f>IFERROR(__xludf.DUMMYFUNCTION("""COMPUTED_VALUE"""),37.98)</f>
        <v>37.98</v>
      </c>
      <c r="E3468" s="17"/>
      <c r="N3468" s="17"/>
      <c r="Q3468" s="17"/>
    </row>
    <row r="3469">
      <c r="B3469" s="11">
        <f>IFERROR(__xludf.DUMMYFUNCTION("""COMPUTED_VALUE"""),40984.666666666664)</f>
        <v>40984.66667</v>
      </c>
      <c r="C3469" s="9">
        <f>IFERROR(__xludf.DUMMYFUNCTION("""COMPUTED_VALUE"""),37.98)</f>
        <v>37.98</v>
      </c>
      <c r="E3469" s="17"/>
      <c r="N3469" s="17"/>
      <c r="Q3469" s="17"/>
    </row>
    <row r="3470">
      <c r="B3470" s="11">
        <f>IFERROR(__xludf.DUMMYFUNCTION("""COMPUTED_VALUE"""),40983.666666666664)</f>
        <v>40983.66667</v>
      </c>
      <c r="C3470" s="9">
        <f>IFERROR(__xludf.DUMMYFUNCTION("""COMPUTED_VALUE"""),38.14)</f>
        <v>38.14</v>
      </c>
      <c r="E3470" s="17"/>
      <c r="N3470" s="17"/>
      <c r="Q3470" s="17"/>
    </row>
    <row r="3471">
      <c r="B3471" s="11">
        <f>IFERROR(__xludf.DUMMYFUNCTION("""COMPUTED_VALUE"""),40982.666666666664)</f>
        <v>40982.66667</v>
      </c>
      <c r="C3471" s="9">
        <f>IFERROR(__xludf.DUMMYFUNCTION("""COMPUTED_VALUE"""),37.69)</f>
        <v>37.69</v>
      </c>
      <c r="E3471" s="17"/>
      <c r="N3471" s="17"/>
      <c r="Q3471" s="17"/>
    </row>
    <row r="3472">
      <c r="B3472" s="11">
        <f>IFERROR(__xludf.DUMMYFUNCTION("""COMPUTED_VALUE"""),40981.666666666664)</f>
        <v>40981.66667</v>
      </c>
      <c r="C3472" s="9">
        <f>IFERROR(__xludf.DUMMYFUNCTION("""COMPUTED_VALUE"""),37.78)</f>
        <v>37.78</v>
      </c>
      <c r="E3472" s="17"/>
      <c r="N3472" s="17"/>
      <c r="Q3472" s="17"/>
    </row>
    <row r="3473">
      <c r="B3473" s="11">
        <f>IFERROR(__xludf.DUMMYFUNCTION("""COMPUTED_VALUE"""),40980.666666666664)</f>
        <v>40980.66667</v>
      </c>
      <c r="C3473" s="9">
        <f>IFERROR(__xludf.DUMMYFUNCTION("""COMPUTED_VALUE"""),37.01)</f>
        <v>37.01</v>
      </c>
      <c r="E3473" s="17"/>
      <c r="N3473" s="17"/>
      <c r="Q3473" s="17"/>
    </row>
    <row r="3474">
      <c r="B3474" s="11">
        <f>IFERROR(__xludf.DUMMYFUNCTION("""COMPUTED_VALUE"""),40977.666666666664)</f>
        <v>40977.66667</v>
      </c>
      <c r="C3474" s="9">
        <f>IFERROR(__xludf.DUMMYFUNCTION("""COMPUTED_VALUE"""),37.02)</f>
        <v>37.02</v>
      </c>
      <c r="E3474" s="17"/>
      <c r="N3474" s="17"/>
      <c r="Q3474" s="17"/>
    </row>
    <row r="3475">
      <c r="B3475" s="11">
        <f>IFERROR(__xludf.DUMMYFUNCTION("""COMPUTED_VALUE"""),40976.666666666664)</f>
        <v>40976.66667</v>
      </c>
      <c r="C3475" s="9">
        <f>IFERROR(__xludf.DUMMYFUNCTION("""COMPUTED_VALUE"""),36.94)</f>
        <v>36.94</v>
      </c>
      <c r="E3475" s="17"/>
      <c r="N3475" s="17"/>
      <c r="Q3475" s="17"/>
    </row>
    <row r="3476">
      <c r="B3476" s="11">
        <f>IFERROR(__xludf.DUMMYFUNCTION("""COMPUTED_VALUE"""),40975.666666666664)</f>
        <v>40975.66667</v>
      </c>
      <c r="C3476" s="9">
        <f>IFERROR(__xludf.DUMMYFUNCTION("""COMPUTED_VALUE"""),36.42)</f>
        <v>36.42</v>
      </c>
      <c r="E3476" s="17"/>
      <c r="N3476" s="17"/>
      <c r="Q3476" s="17"/>
    </row>
    <row r="3477">
      <c r="B3477" s="11">
        <f>IFERROR(__xludf.DUMMYFUNCTION("""COMPUTED_VALUE"""),40974.666666666664)</f>
        <v>40974.66667</v>
      </c>
      <c r="C3477" s="9">
        <f>IFERROR(__xludf.DUMMYFUNCTION("""COMPUTED_VALUE"""),36.05)</f>
        <v>36.05</v>
      </c>
      <c r="E3477" s="17"/>
      <c r="N3477" s="17"/>
      <c r="Q3477" s="17"/>
    </row>
    <row r="3478">
      <c r="B3478" s="11">
        <f>IFERROR(__xludf.DUMMYFUNCTION("""COMPUTED_VALUE"""),40973.666666666664)</f>
        <v>40973.66667</v>
      </c>
      <c r="C3478" s="9">
        <f>IFERROR(__xludf.DUMMYFUNCTION("""COMPUTED_VALUE"""),36.88)</f>
        <v>36.88</v>
      </c>
      <c r="E3478" s="17"/>
      <c r="N3478" s="17"/>
      <c r="Q3478" s="17"/>
    </row>
    <row r="3479">
      <c r="B3479" s="11">
        <f>IFERROR(__xludf.DUMMYFUNCTION("""COMPUTED_VALUE"""),40970.666666666664)</f>
        <v>40970.66667</v>
      </c>
      <c r="C3479" s="9">
        <f>IFERROR(__xludf.DUMMYFUNCTION("""COMPUTED_VALUE"""),37.14)</f>
        <v>37.14</v>
      </c>
      <c r="E3479" s="17"/>
      <c r="N3479" s="17"/>
      <c r="Q3479" s="17"/>
    </row>
    <row r="3480">
      <c r="B3480" s="11">
        <f>IFERROR(__xludf.DUMMYFUNCTION("""COMPUTED_VALUE"""),40969.666666666664)</f>
        <v>40969.66667</v>
      </c>
      <c r="C3480" s="9">
        <f>IFERROR(__xludf.DUMMYFUNCTION("""COMPUTED_VALUE"""),37.36)</f>
        <v>37.36</v>
      </c>
      <c r="E3480" s="17"/>
      <c r="N3480" s="17"/>
      <c r="Q3480" s="17"/>
    </row>
    <row r="3481">
      <c r="B3481" s="11">
        <f>IFERROR(__xludf.DUMMYFUNCTION("""COMPUTED_VALUE"""),40968.666666666664)</f>
        <v>40968.66667</v>
      </c>
      <c r="C3481" s="9">
        <f>IFERROR(__xludf.DUMMYFUNCTION("""COMPUTED_VALUE"""),37.23)</f>
        <v>37.23</v>
      </c>
      <c r="E3481" s="17"/>
      <c r="N3481" s="17"/>
      <c r="Q3481" s="17"/>
    </row>
    <row r="3482">
      <c r="B3482" s="11">
        <f>IFERROR(__xludf.DUMMYFUNCTION("""COMPUTED_VALUE"""),40967.666666666664)</f>
        <v>40967.66667</v>
      </c>
      <c r="C3482" s="9">
        <f>IFERROR(__xludf.DUMMYFUNCTION("""COMPUTED_VALUE"""),37.46)</f>
        <v>37.46</v>
      </c>
      <c r="E3482" s="17"/>
      <c r="N3482" s="17"/>
      <c r="Q3482" s="17"/>
    </row>
    <row r="3483">
      <c r="B3483" s="11">
        <f>IFERROR(__xludf.DUMMYFUNCTION("""COMPUTED_VALUE"""),40966.666666666664)</f>
        <v>40966.66667</v>
      </c>
      <c r="C3483" s="9">
        <f>IFERROR(__xludf.DUMMYFUNCTION("""COMPUTED_VALUE"""),37.51)</f>
        <v>37.51</v>
      </c>
      <c r="E3483" s="17"/>
      <c r="N3483" s="17"/>
      <c r="Q3483" s="17"/>
    </row>
    <row r="3484">
      <c r="B3484" s="11">
        <f>IFERROR(__xludf.DUMMYFUNCTION("""COMPUTED_VALUE"""),40963.666666666664)</f>
        <v>40963.66667</v>
      </c>
      <c r="C3484" s="9">
        <f>IFERROR(__xludf.DUMMYFUNCTION("""COMPUTED_VALUE"""),37.48)</f>
        <v>37.48</v>
      </c>
      <c r="E3484" s="17"/>
      <c r="N3484" s="17"/>
      <c r="Q3484" s="17"/>
    </row>
    <row r="3485">
      <c r="B3485" s="11">
        <f>IFERROR(__xludf.DUMMYFUNCTION("""COMPUTED_VALUE"""),40962.666666666664)</f>
        <v>40962.66667</v>
      </c>
      <c r="C3485" s="9">
        <f>IFERROR(__xludf.DUMMYFUNCTION("""COMPUTED_VALUE"""),37.49)</f>
        <v>37.49</v>
      </c>
      <c r="E3485" s="17"/>
      <c r="N3485" s="17"/>
      <c r="Q3485" s="17"/>
    </row>
    <row r="3486">
      <c r="B3486" s="11">
        <f>IFERROR(__xludf.DUMMYFUNCTION("""COMPUTED_VALUE"""),40961.666666666664)</f>
        <v>40961.66667</v>
      </c>
      <c r="C3486" s="9">
        <f>IFERROR(__xludf.DUMMYFUNCTION("""COMPUTED_VALUE"""),37.37)</f>
        <v>37.37</v>
      </c>
      <c r="E3486" s="17"/>
      <c r="N3486" s="17"/>
      <c r="Q3486" s="17"/>
    </row>
    <row r="3487">
      <c r="B3487" s="11">
        <f>IFERROR(__xludf.DUMMYFUNCTION("""COMPUTED_VALUE"""),40960.666666666664)</f>
        <v>40960.66667</v>
      </c>
      <c r="C3487" s="9">
        <f>IFERROR(__xludf.DUMMYFUNCTION("""COMPUTED_VALUE"""),37.41)</f>
        <v>37.41</v>
      </c>
      <c r="E3487" s="17"/>
      <c r="N3487" s="17"/>
      <c r="Q3487" s="17"/>
    </row>
    <row r="3488">
      <c r="B3488" s="11">
        <f>IFERROR(__xludf.DUMMYFUNCTION("""COMPUTED_VALUE"""),40956.666666666664)</f>
        <v>40956.66667</v>
      </c>
      <c r="C3488" s="9">
        <f>IFERROR(__xludf.DUMMYFUNCTION("""COMPUTED_VALUE"""),37.28)</f>
        <v>37.28</v>
      </c>
      <c r="E3488" s="17"/>
      <c r="N3488" s="17"/>
      <c r="Q3488" s="17"/>
    </row>
    <row r="3489">
      <c r="B3489" s="11">
        <f>IFERROR(__xludf.DUMMYFUNCTION("""COMPUTED_VALUE"""),40955.666666666664)</f>
        <v>40955.66667</v>
      </c>
      <c r="C3489" s="9">
        <f>IFERROR(__xludf.DUMMYFUNCTION("""COMPUTED_VALUE"""),37.14)</f>
        <v>37.14</v>
      </c>
      <c r="E3489" s="17"/>
      <c r="N3489" s="17"/>
      <c r="Q3489" s="17"/>
    </row>
    <row r="3490">
      <c r="B3490" s="11">
        <f>IFERROR(__xludf.DUMMYFUNCTION("""COMPUTED_VALUE"""),40954.666666666664)</f>
        <v>40954.66667</v>
      </c>
      <c r="C3490" s="9">
        <f>IFERROR(__xludf.DUMMYFUNCTION("""COMPUTED_VALUE"""),36.8)</f>
        <v>36.8</v>
      </c>
      <c r="E3490" s="17"/>
      <c r="N3490" s="17"/>
      <c r="Q3490" s="17"/>
    </row>
    <row r="3491">
      <c r="B3491" s="11">
        <f>IFERROR(__xludf.DUMMYFUNCTION("""COMPUTED_VALUE"""),40953.666666666664)</f>
        <v>40953.66667</v>
      </c>
      <c r="C3491" s="9">
        <f>IFERROR(__xludf.DUMMYFUNCTION("""COMPUTED_VALUE"""),37.29)</f>
        <v>37.29</v>
      </c>
      <c r="E3491" s="17"/>
      <c r="N3491" s="17"/>
      <c r="Q3491" s="17"/>
    </row>
    <row r="3492">
      <c r="B3492" s="11">
        <f>IFERROR(__xludf.DUMMYFUNCTION("""COMPUTED_VALUE"""),40952.666666666664)</f>
        <v>40952.66667</v>
      </c>
      <c r="C3492" s="9">
        <f>IFERROR(__xludf.DUMMYFUNCTION("""COMPUTED_VALUE"""),37.42)</f>
        <v>37.42</v>
      </c>
      <c r="E3492" s="17"/>
      <c r="N3492" s="17"/>
      <c r="Q3492" s="17"/>
    </row>
    <row r="3493">
      <c r="B3493" s="11">
        <f>IFERROR(__xludf.DUMMYFUNCTION("""COMPUTED_VALUE"""),40949.666666666664)</f>
        <v>40949.66667</v>
      </c>
      <c r="C3493" s="9">
        <f>IFERROR(__xludf.DUMMYFUNCTION("""COMPUTED_VALUE"""),36.97)</f>
        <v>36.97</v>
      </c>
      <c r="E3493" s="17"/>
      <c r="N3493" s="17"/>
      <c r="Q3493" s="17"/>
    </row>
    <row r="3494">
      <c r="B3494" s="11">
        <f>IFERROR(__xludf.DUMMYFUNCTION("""COMPUTED_VALUE"""),40948.666666666664)</f>
        <v>40948.66667</v>
      </c>
      <c r="C3494" s="9">
        <f>IFERROR(__xludf.DUMMYFUNCTION("""COMPUTED_VALUE"""),37.31)</f>
        <v>37.31</v>
      </c>
      <c r="E3494" s="17"/>
      <c r="N3494" s="17"/>
      <c r="Q3494" s="17"/>
    </row>
    <row r="3495">
      <c r="B3495" s="11">
        <f>IFERROR(__xludf.DUMMYFUNCTION("""COMPUTED_VALUE"""),40947.666666666664)</f>
        <v>40947.66667</v>
      </c>
      <c r="C3495" s="9">
        <f>IFERROR(__xludf.DUMMYFUNCTION("""COMPUTED_VALUE"""),37.21)</f>
        <v>37.21</v>
      </c>
      <c r="E3495" s="17"/>
      <c r="N3495" s="17"/>
      <c r="Q3495" s="17"/>
    </row>
    <row r="3496">
      <c r="B3496" s="11">
        <f>IFERROR(__xludf.DUMMYFUNCTION("""COMPUTED_VALUE"""),40946.666666666664)</f>
        <v>40946.66667</v>
      </c>
      <c r="C3496" s="9">
        <f>IFERROR(__xludf.DUMMYFUNCTION("""COMPUTED_VALUE"""),37.13)</f>
        <v>37.13</v>
      </c>
      <c r="E3496" s="17"/>
      <c r="N3496" s="17"/>
      <c r="Q3496" s="17"/>
    </row>
    <row r="3497">
      <c r="B3497" s="11">
        <f>IFERROR(__xludf.DUMMYFUNCTION("""COMPUTED_VALUE"""),40945.666666666664)</f>
        <v>40945.66667</v>
      </c>
      <c r="C3497" s="9">
        <f>IFERROR(__xludf.DUMMYFUNCTION("""COMPUTED_VALUE"""),37.17)</f>
        <v>37.17</v>
      </c>
      <c r="E3497" s="17"/>
      <c r="N3497" s="17"/>
      <c r="Q3497" s="17"/>
    </row>
    <row r="3498">
      <c r="B3498" s="11">
        <f>IFERROR(__xludf.DUMMYFUNCTION("""COMPUTED_VALUE"""),40942.666666666664)</f>
        <v>40942.66667</v>
      </c>
      <c r="C3498" s="9">
        <f>IFERROR(__xludf.DUMMYFUNCTION("""COMPUTED_VALUE"""),37.26)</f>
        <v>37.26</v>
      </c>
      <c r="E3498" s="17"/>
      <c r="N3498" s="17"/>
      <c r="Q3498" s="17"/>
    </row>
    <row r="3499">
      <c r="B3499" s="11">
        <f>IFERROR(__xludf.DUMMYFUNCTION("""COMPUTED_VALUE"""),40941.666666666664)</f>
        <v>40941.66667</v>
      </c>
      <c r="C3499" s="9">
        <f>IFERROR(__xludf.DUMMYFUNCTION("""COMPUTED_VALUE"""),36.63)</f>
        <v>36.63</v>
      </c>
      <c r="E3499" s="17"/>
      <c r="N3499" s="17"/>
      <c r="Q3499" s="17"/>
    </row>
    <row r="3500">
      <c r="B3500" s="11">
        <f>IFERROR(__xludf.DUMMYFUNCTION("""COMPUTED_VALUE"""),40940.666666666664)</f>
        <v>40940.66667</v>
      </c>
      <c r="C3500" s="9">
        <f>IFERROR(__xludf.DUMMYFUNCTION("""COMPUTED_VALUE"""),36.61)</f>
        <v>36.61</v>
      </c>
      <c r="E3500" s="17"/>
      <c r="N3500" s="17"/>
      <c r="Q3500" s="17"/>
    </row>
    <row r="3501">
      <c r="B3501" s="11">
        <f>IFERROR(__xludf.DUMMYFUNCTION("""COMPUTED_VALUE"""),40939.666666666664)</f>
        <v>40939.66667</v>
      </c>
      <c r="C3501" s="9">
        <f>IFERROR(__xludf.DUMMYFUNCTION("""COMPUTED_VALUE"""),36.22)</f>
        <v>36.22</v>
      </c>
      <c r="E3501" s="17"/>
      <c r="N3501" s="17"/>
      <c r="Q3501" s="17"/>
    </row>
    <row r="3502">
      <c r="B3502" s="11">
        <f>IFERROR(__xludf.DUMMYFUNCTION("""COMPUTED_VALUE"""),40938.666666666664)</f>
        <v>40938.66667</v>
      </c>
      <c r="C3502" s="9">
        <f>IFERROR(__xludf.DUMMYFUNCTION("""COMPUTED_VALUE"""),36.33)</f>
        <v>36.33</v>
      </c>
      <c r="E3502" s="17"/>
      <c r="N3502" s="17"/>
      <c r="Q3502" s="17"/>
    </row>
    <row r="3503">
      <c r="B3503" s="11">
        <f>IFERROR(__xludf.DUMMYFUNCTION("""COMPUTED_VALUE"""),40935.666666666664)</f>
        <v>40935.66667</v>
      </c>
      <c r="C3503" s="9">
        <f>IFERROR(__xludf.DUMMYFUNCTION("""COMPUTED_VALUE"""),36.46)</f>
        <v>36.46</v>
      </c>
      <c r="E3503" s="17"/>
      <c r="N3503" s="17"/>
      <c r="Q3503" s="17"/>
    </row>
    <row r="3504">
      <c r="B3504" s="11">
        <f>IFERROR(__xludf.DUMMYFUNCTION("""COMPUTED_VALUE"""),40934.666666666664)</f>
        <v>40934.66667</v>
      </c>
      <c r="C3504" s="9">
        <f>IFERROR(__xludf.DUMMYFUNCTION("""COMPUTED_VALUE"""),36.49)</f>
        <v>36.49</v>
      </c>
      <c r="E3504" s="17"/>
      <c r="N3504" s="17"/>
      <c r="Q3504" s="17"/>
    </row>
    <row r="3505">
      <c r="B3505" s="11">
        <f>IFERROR(__xludf.DUMMYFUNCTION("""COMPUTED_VALUE"""),40933.666666666664)</f>
        <v>40933.66667</v>
      </c>
      <c r="C3505" s="9">
        <f>IFERROR(__xludf.DUMMYFUNCTION("""COMPUTED_VALUE"""),36.56)</f>
        <v>36.56</v>
      </c>
      <c r="E3505" s="17"/>
      <c r="N3505" s="17"/>
      <c r="Q3505" s="17"/>
    </row>
    <row r="3506">
      <c r="B3506" s="11">
        <f>IFERROR(__xludf.DUMMYFUNCTION("""COMPUTED_VALUE"""),40932.666666666664)</f>
        <v>40932.66667</v>
      </c>
      <c r="C3506" s="9">
        <f>IFERROR(__xludf.DUMMYFUNCTION("""COMPUTED_VALUE"""),36.16)</f>
        <v>36.16</v>
      </c>
      <c r="E3506" s="17"/>
      <c r="N3506" s="17"/>
      <c r="Q3506" s="17"/>
    </row>
    <row r="3507">
      <c r="B3507" s="11">
        <f>IFERROR(__xludf.DUMMYFUNCTION("""COMPUTED_VALUE"""),40931.666666666664)</f>
        <v>40931.66667</v>
      </c>
      <c r="C3507" s="9">
        <f>IFERROR(__xludf.DUMMYFUNCTION("""COMPUTED_VALUE"""),36.12)</f>
        <v>36.12</v>
      </c>
      <c r="E3507" s="17"/>
      <c r="N3507" s="17"/>
      <c r="Q3507" s="17"/>
    </row>
    <row r="3508">
      <c r="B3508" s="11">
        <f>IFERROR(__xludf.DUMMYFUNCTION("""COMPUTED_VALUE"""),40928.666666666664)</f>
        <v>40928.66667</v>
      </c>
      <c r="C3508" s="9">
        <f>IFERROR(__xludf.DUMMYFUNCTION("""COMPUTED_VALUE"""),36.16)</f>
        <v>36.16</v>
      </c>
      <c r="E3508" s="17"/>
      <c r="N3508" s="17"/>
      <c r="Q3508" s="17"/>
    </row>
    <row r="3509">
      <c r="B3509" s="11">
        <f>IFERROR(__xludf.DUMMYFUNCTION("""COMPUTED_VALUE"""),40927.666666666664)</f>
        <v>40927.66667</v>
      </c>
      <c r="C3509" s="9">
        <f>IFERROR(__xludf.DUMMYFUNCTION("""COMPUTED_VALUE"""),36.37)</f>
        <v>36.37</v>
      </c>
      <c r="E3509" s="17"/>
      <c r="N3509" s="17"/>
      <c r="Q3509" s="17"/>
    </row>
    <row r="3510">
      <c r="B3510" s="11">
        <f>IFERROR(__xludf.DUMMYFUNCTION("""COMPUTED_VALUE"""),40926.666666666664)</f>
        <v>40926.66667</v>
      </c>
      <c r="C3510" s="9">
        <f>IFERROR(__xludf.DUMMYFUNCTION("""COMPUTED_VALUE"""),35.99)</f>
        <v>35.99</v>
      </c>
      <c r="E3510" s="17"/>
      <c r="N3510" s="17"/>
      <c r="Q3510" s="17"/>
    </row>
    <row r="3511">
      <c r="B3511" s="11">
        <f>IFERROR(__xludf.DUMMYFUNCTION("""COMPUTED_VALUE"""),40925.666666666664)</f>
        <v>40925.66667</v>
      </c>
      <c r="C3511" s="9">
        <f>IFERROR(__xludf.DUMMYFUNCTION("""COMPUTED_VALUE"""),35.67)</f>
        <v>35.67</v>
      </c>
      <c r="E3511" s="17"/>
      <c r="N3511" s="17"/>
      <c r="Q3511" s="17"/>
    </row>
    <row r="3512">
      <c r="B3512" s="11">
        <f>IFERROR(__xludf.DUMMYFUNCTION("""COMPUTED_VALUE"""),40921.666666666664)</f>
        <v>40921.66667</v>
      </c>
      <c r="C3512" s="9">
        <f>IFERROR(__xludf.DUMMYFUNCTION("""COMPUTED_VALUE"""),35.49)</f>
        <v>35.49</v>
      </c>
      <c r="E3512" s="17"/>
      <c r="N3512" s="17"/>
      <c r="Q3512" s="17"/>
    </row>
    <row r="3513">
      <c r="B3513" s="11">
        <f>IFERROR(__xludf.DUMMYFUNCTION("""COMPUTED_VALUE"""),40920.666666666664)</f>
        <v>40920.66667</v>
      </c>
      <c r="C3513" s="9">
        <f>IFERROR(__xludf.DUMMYFUNCTION("""COMPUTED_VALUE"""),35.77)</f>
        <v>35.77</v>
      </c>
      <c r="E3513" s="17"/>
      <c r="N3513" s="17"/>
      <c r="Q3513" s="17"/>
    </row>
    <row r="3514">
      <c r="B3514" s="11">
        <f>IFERROR(__xludf.DUMMYFUNCTION("""COMPUTED_VALUE"""),40919.666666666664)</f>
        <v>40919.66667</v>
      </c>
      <c r="C3514" s="9">
        <f>IFERROR(__xludf.DUMMYFUNCTION("""COMPUTED_VALUE"""),35.46)</f>
        <v>35.46</v>
      </c>
      <c r="E3514" s="17"/>
      <c r="N3514" s="17"/>
      <c r="Q3514" s="17"/>
    </row>
    <row r="3515">
      <c r="B3515" s="11">
        <f>IFERROR(__xludf.DUMMYFUNCTION("""COMPUTED_VALUE"""),40918.666666666664)</f>
        <v>40918.66667</v>
      </c>
      <c r="C3515" s="9">
        <f>IFERROR(__xludf.DUMMYFUNCTION("""COMPUTED_VALUE"""),35.35)</f>
        <v>35.35</v>
      </c>
      <c r="E3515" s="17"/>
      <c r="N3515" s="17"/>
      <c r="Q3515" s="17"/>
    </row>
    <row r="3516">
      <c r="B3516" s="11">
        <f>IFERROR(__xludf.DUMMYFUNCTION("""COMPUTED_VALUE"""),40917.666666666664)</f>
        <v>40917.66667</v>
      </c>
      <c r="C3516" s="9">
        <f>IFERROR(__xludf.DUMMYFUNCTION("""COMPUTED_VALUE"""),34.85)</f>
        <v>34.85</v>
      </c>
      <c r="E3516" s="17"/>
      <c r="N3516" s="17"/>
      <c r="Q3516" s="17"/>
    </row>
    <row r="3517">
      <c r="B3517" s="11">
        <f>IFERROR(__xludf.DUMMYFUNCTION("""COMPUTED_VALUE"""),40914.666666666664)</f>
        <v>40914.66667</v>
      </c>
      <c r="C3517" s="9">
        <f>IFERROR(__xludf.DUMMYFUNCTION("""COMPUTED_VALUE"""),34.59)</f>
        <v>34.59</v>
      </c>
      <c r="E3517" s="17"/>
      <c r="N3517" s="17"/>
      <c r="Q3517" s="17"/>
    </row>
    <row r="3518">
      <c r="B3518" s="11">
        <f>IFERROR(__xludf.DUMMYFUNCTION("""COMPUTED_VALUE"""),40913.666666666664)</f>
        <v>40913.66667</v>
      </c>
      <c r="C3518" s="9">
        <f>IFERROR(__xludf.DUMMYFUNCTION("""COMPUTED_VALUE"""),34.66)</f>
        <v>34.66</v>
      </c>
      <c r="E3518" s="17"/>
      <c r="N3518" s="17"/>
      <c r="Q3518" s="17"/>
    </row>
    <row r="3519">
      <c r="B3519" s="11">
        <f>IFERROR(__xludf.DUMMYFUNCTION("""COMPUTED_VALUE"""),40912.666666666664)</f>
        <v>40912.66667</v>
      </c>
      <c r="C3519" s="9">
        <f>IFERROR(__xludf.DUMMYFUNCTION("""COMPUTED_VALUE"""),34.65)</f>
        <v>34.65</v>
      </c>
      <c r="E3519" s="17"/>
      <c r="N3519" s="17"/>
      <c r="Q3519" s="17"/>
    </row>
    <row r="3520">
      <c r="B3520" s="11">
        <f>IFERROR(__xludf.DUMMYFUNCTION("""COMPUTED_VALUE"""),40911.666666666664)</f>
        <v>40911.66667</v>
      </c>
      <c r="C3520" s="9">
        <f>IFERROR(__xludf.DUMMYFUNCTION("""COMPUTED_VALUE"""),34.49)</f>
        <v>34.49</v>
      </c>
      <c r="E3520" s="17"/>
      <c r="N3520" s="17"/>
      <c r="Q3520" s="17"/>
    </row>
    <row r="3521">
      <c r="B3521" s="11">
        <f>IFERROR(__xludf.DUMMYFUNCTION("""COMPUTED_VALUE"""),40907.666666666664)</f>
        <v>40907.66667</v>
      </c>
      <c r="C3521" s="9">
        <f>IFERROR(__xludf.DUMMYFUNCTION("""COMPUTED_VALUE"""),33.75)</f>
        <v>33.75</v>
      </c>
      <c r="E3521" s="17"/>
      <c r="N3521" s="17"/>
      <c r="Q3521" s="17"/>
    </row>
    <row r="3522">
      <c r="B3522" s="11">
        <f>IFERROR(__xludf.DUMMYFUNCTION("""COMPUTED_VALUE"""),40906.666666666664)</f>
        <v>40906.66667</v>
      </c>
      <c r="C3522" s="9">
        <f>IFERROR(__xludf.DUMMYFUNCTION("""COMPUTED_VALUE"""),33.96)</f>
        <v>33.96</v>
      </c>
      <c r="E3522" s="17"/>
      <c r="N3522" s="17"/>
      <c r="Q3522" s="17"/>
    </row>
    <row r="3523">
      <c r="B3523" s="11">
        <f>IFERROR(__xludf.DUMMYFUNCTION("""COMPUTED_VALUE"""),40905.666666666664)</f>
        <v>40905.66667</v>
      </c>
      <c r="C3523" s="9">
        <f>IFERROR(__xludf.DUMMYFUNCTION("""COMPUTED_VALUE"""),33.54)</f>
        <v>33.54</v>
      </c>
      <c r="E3523" s="17"/>
      <c r="N3523" s="17"/>
      <c r="Q3523" s="17"/>
    </row>
    <row r="3524">
      <c r="B3524" s="11">
        <f>IFERROR(__xludf.DUMMYFUNCTION("""COMPUTED_VALUE"""),40904.666666666664)</f>
        <v>40904.66667</v>
      </c>
      <c r="C3524" s="9">
        <f>IFERROR(__xludf.DUMMYFUNCTION("""COMPUTED_VALUE"""),34.08)</f>
        <v>34.08</v>
      </c>
      <c r="E3524" s="17"/>
      <c r="N3524" s="17"/>
      <c r="Q3524" s="17"/>
    </row>
    <row r="3525">
      <c r="B3525" s="11">
        <f>IFERROR(__xludf.DUMMYFUNCTION("""COMPUTED_VALUE"""),40900.666666666664)</f>
        <v>40900.66667</v>
      </c>
      <c r="C3525" s="9">
        <f>IFERROR(__xludf.DUMMYFUNCTION("""COMPUTED_VALUE"""),34.09)</f>
        <v>34.09</v>
      </c>
      <c r="E3525" s="17"/>
      <c r="N3525" s="17"/>
      <c r="Q3525" s="17"/>
    </row>
    <row r="3526">
      <c r="B3526" s="11">
        <f>IFERROR(__xludf.DUMMYFUNCTION("""COMPUTED_VALUE"""),40899.666666666664)</f>
        <v>40899.66667</v>
      </c>
      <c r="C3526" s="9">
        <f>IFERROR(__xludf.DUMMYFUNCTION("""COMPUTED_VALUE"""),33.77)</f>
        <v>33.77</v>
      </c>
      <c r="E3526" s="17"/>
      <c r="N3526" s="17"/>
      <c r="Q3526" s="17"/>
    </row>
    <row r="3527">
      <c r="B3527" s="11">
        <f>IFERROR(__xludf.DUMMYFUNCTION("""COMPUTED_VALUE"""),40898.666666666664)</f>
        <v>40898.66667</v>
      </c>
      <c r="C3527" s="9">
        <f>IFERROR(__xludf.DUMMYFUNCTION("""COMPUTED_VALUE"""),33.45)</f>
        <v>33.45</v>
      </c>
      <c r="E3527" s="17"/>
      <c r="N3527" s="17"/>
      <c r="Q3527" s="17"/>
    </row>
    <row r="3528">
      <c r="B3528" s="11">
        <f>IFERROR(__xludf.DUMMYFUNCTION("""COMPUTED_VALUE"""),40897.666666666664)</f>
        <v>40897.66667</v>
      </c>
      <c r="C3528" s="9">
        <f>IFERROR(__xludf.DUMMYFUNCTION("""COMPUTED_VALUE"""),33.44)</f>
        <v>33.44</v>
      </c>
      <c r="E3528" s="17"/>
      <c r="N3528" s="17"/>
      <c r="Q3528" s="17"/>
    </row>
    <row r="3529">
      <c r="B3529" s="11">
        <f>IFERROR(__xludf.DUMMYFUNCTION("""COMPUTED_VALUE"""),40896.666666666664)</f>
        <v>40896.66667</v>
      </c>
      <c r="C3529" s="9">
        <f>IFERROR(__xludf.DUMMYFUNCTION("""COMPUTED_VALUE"""),32.33)</f>
        <v>32.33</v>
      </c>
      <c r="E3529" s="17"/>
      <c r="N3529" s="17"/>
      <c r="Q3529" s="17"/>
    </row>
    <row r="3530">
      <c r="B3530" s="11">
        <f>IFERROR(__xludf.DUMMYFUNCTION("""COMPUTED_VALUE"""),40893.666666666664)</f>
        <v>40893.66667</v>
      </c>
      <c r="C3530" s="9">
        <f>IFERROR(__xludf.DUMMYFUNCTION("""COMPUTED_VALUE"""),32.67)</f>
        <v>32.67</v>
      </c>
      <c r="E3530" s="17"/>
      <c r="N3530" s="17"/>
      <c r="Q3530" s="17"/>
    </row>
    <row r="3531">
      <c r="B3531" s="11">
        <f>IFERROR(__xludf.DUMMYFUNCTION("""COMPUTED_VALUE"""),40892.666666666664)</f>
        <v>40892.66667</v>
      </c>
      <c r="C3531" s="9">
        <f>IFERROR(__xludf.DUMMYFUNCTION("""COMPUTED_VALUE"""),32.75)</f>
        <v>32.75</v>
      </c>
      <c r="E3531" s="17"/>
      <c r="N3531" s="17"/>
      <c r="Q3531" s="17"/>
    </row>
    <row r="3532">
      <c r="B3532" s="11">
        <f>IFERROR(__xludf.DUMMYFUNCTION("""COMPUTED_VALUE"""),40891.666666666664)</f>
        <v>40891.66667</v>
      </c>
      <c r="C3532" s="9">
        <f>IFERROR(__xludf.DUMMYFUNCTION("""COMPUTED_VALUE"""),32.52)</f>
        <v>32.52</v>
      </c>
      <c r="E3532" s="17"/>
      <c r="N3532" s="17"/>
      <c r="Q3532" s="17"/>
    </row>
    <row r="3533">
      <c r="B3533" s="11">
        <f>IFERROR(__xludf.DUMMYFUNCTION("""COMPUTED_VALUE"""),40890.666666666664)</f>
        <v>40890.66667</v>
      </c>
      <c r="C3533" s="9">
        <f>IFERROR(__xludf.DUMMYFUNCTION("""COMPUTED_VALUE"""),32.91)</f>
        <v>32.91</v>
      </c>
      <c r="E3533" s="17"/>
      <c r="N3533" s="17"/>
      <c r="Q3533" s="17"/>
    </row>
    <row r="3534">
      <c r="B3534" s="11">
        <f>IFERROR(__xludf.DUMMYFUNCTION("""COMPUTED_VALUE"""),40889.666666666664)</f>
        <v>40889.66667</v>
      </c>
      <c r="C3534" s="9">
        <f>IFERROR(__xludf.DUMMYFUNCTION("""COMPUTED_VALUE"""),33.35)</f>
        <v>33.35</v>
      </c>
      <c r="E3534" s="17"/>
      <c r="N3534" s="17"/>
      <c r="Q3534" s="17"/>
    </row>
    <row r="3535">
      <c r="B3535" s="11">
        <f>IFERROR(__xludf.DUMMYFUNCTION("""COMPUTED_VALUE"""),40886.666666666664)</f>
        <v>40886.66667</v>
      </c>
      <c r="C3535" s="9">
        <f>IFERROR(__xludf.DUMMYFUNCTION("""COMPUTED_VALUE"""),33.97)</f>
        <v>33.97</v>
      </c>
      <c r="E3535" s="17"/>
      <c r="N3535" s="17"/>
      <c r="Q3535" s="17"/>
    </row>
    <row r="3536">
      <c r="B3536" s="11">
        <f>IFERROR(__xludf.DUMMYFUNCTION("""COMPUTED_VALUE"""),40885.666666666664)</f>
        <v>40885.66667</v>
      </c>
      <c r="C3536" s="9">
        <f>IFERROR(__xludf.DUMMYFUNCTION("""COMPUTED_VALUE"""),33.21)</f>
        <v>33.21</v>
      </c>
      <c r="E3536" s="17"/>
      <c r="N3536" s="17"/>
      <c r="Q3536" s="17"/>
    </row>
    <row r="3537">
      <c r="B3537" s="11">
        <f>IFERROR(__xludf.DUMMYFUNCTION("""COMPUTED_VALUE"""),40884.666666666664)</f>
        <v>40884.66667</v>
      </c>
      <c r="C3537" s="9">
        <f>IFERROR(__xludf.DUMMYFUNCTION("""COMPUTED_VALUE"""),34.05)</f>
        <v>34.05</v>
      </c>
      <c r="E3537" s="17"/>
      <c r="N3537" s="17"/>
      <c r="Q3537" s="17"/>
    </row>
    <row r="3538">
      <c r="B3538" s="11">
        <f>IFERROR(__xludf.DUMMYFUNCTION("""COMPUTED_VALUE"""),40883.666666666664)</f>
        <v>40883.66667</v>
      </c>
      <c r="C3538" s="9">
        <f>IFERROR(__xludf.DUMMYFUNCTION("""COMPUTED_VALUE"""),34.06)</f>
        <v>34.06</v>
      </c>
      <c r="E3538" s="17"/>
      <c r="N3538" s="17"/>
      <c r="Q3538" s="17"/>
    </row>
    <row r="3539">
      <c r="B3539" s="11">
        <f>IFERROR(__xludf.DUMMYFUNCTION("""COMPUTED_VALUE"""),40882.666666666664)</f>
        <v>40882.66667</v>
      </c>
      <c r="C3539" s="9">
        <f>IFERROR(__xludf.DUMMYFUNCTION("""COMPUTED_VALUE"""),34.07)</f>
        <v>34.07</v>
      </c>
      <c r="E3539" s="17"/>
      <c r="N3539" s="17"/>
      <c r="Q3539" s="17"/>
    </row>
    <row r="3540">
      <c r="B3540" s="11">
        <f>IFERROR(__xludf.DUMMYFUNCTION("""COMPUTED_VALUE"""),40879.666666666664)</f>
        <v>40879.66667</v>
      </c>
      <c r="C3540" s="9">
        <f>IFERROR(__xludf.DUMMYFUNCTION("""COMPUTED_VALUE"""),33.71)</f>
        <v>33.71</v>
      </c>
      <c r="E3540" s="17"/>
      <c r="N3540" s="17"/>
      <c r="Q3540" s="17"/>
    </row>
    <row r="3541">
      <c r="B3541" s="11">
        <f>IFERROR(__xludf.DUMMYFUNCTION("""COMPUTED_VALUE"""),40878.666666666664)</f>
        <v>40878.66667</v>
      </c>
      <c r="C3541" s="9">
        <f>IFERROR(__xludf.DUMMYFUNCTION("""COMPUTED_VALUE"""),33.78)</f>
        <v>33.78</v>
      </c>
      <c r="E3541" s="17"/>
      <c r="N3541" s="17"/>
      <c r="Q3541" s="17"/>
    </row>
    <row r="3542">
      <c r="B3542" s="11">
        <f>IFERROR(__xludf.DUMMYFUNCTION("""COMPUTED_VALUE"""),40877.666666666664)</f>
        <v>40877.66667</v>
      </c>
      <c r="C3542" s="9">
        <f>IFERROR(__xludf.DUMMYFUNCTION("""COMPUTED_VALUE"""),33.89)</f>
        <v>33.89</v>
      </c>
      <c r="E3542" s="17"/>
      <c r="N3542" s="17"/>
      <c r="Q3542" s="17"/>
    </row>
    <row r="3543">
      <c r="B3543" s="11">
        <f>IFERROR(__xludf.DUMMYFUNCTION("""COMPUTED_VALUE"""),40876.666666666664)</f>
        <v>40876.66667</v>
      </c>
      <c r="C3543" s="9">
        <f>IFERROR(__xludf.DUMMYFUNCTION("""COMPUTED_VALUE"""),32.24)</f>
        <v>32.24</v>
      </c>
      <c r="E3543" s="17"/>
      <c r="N3543" s="17"/>
      <c r="Q3543" s="17"/>
    </row>
    <row r="3544">
      <c r="B3544" s="11">
        <f>IFERROR(__xludf.DUMMYFUNCTION("""COMPUTED_VALUE"""),40875.666666666664)</f>
        <v>40875.66667</v>
      </c>
      <c r="C3544" s="9">
        <f>IFERROR(__xludf.DUMMYFUNCTION("""COMPUTED_VALUE"""),32.21)</f>
        <v>32.21</v>
      </c>
      <c r="E3544" s="17"/>
      <c r="N3544" s="17"/>
      <c r="Q3544" s="17"/>
    </row>
    <row r="3545">
      <c r="B3545" s="11">
        <f>IFERROR(__xludf.DUMMYFUNCTION("""COMPUTED_VALUE"""),40872.666666666664)</f>
        <v>40872.66667</v>
      </c>
      <c r="C3545" s="9">
        <f>IFERROR(__xludf.DUMMYFUNCTION("""COMPUTED_VALUE"""),31.16)</f>
        <v>31.16</v>
      </c>
      <c r="E3545" s="17"/>
      <c r="N3545" s="17"/>
      <c r="Q3545" s="17"/>
    </row>
    <row r="3546">
      <c r="B3546" s="11">
        <f>IFERROR(__xludf.DUMMYFUNCTION("""COMPUTED_VALUE"""),40870.666666666664)</f>
        <v>40870.66667</v>
      </c>
      <c r="C3546" s="9">
        <f>IFERROR(__xludf.DUMMYFUNCTION("""COMPUTED_VALUE"""),31.21)</f>
        <v>31.21</v>
      </c>
      <c r="E3546" s="17"/>
      <c r="N3546" s="17"/>
      <c r="Q3546" s="17"/>
    </row>
    <row r="3547">
      <c r="B3547" s="11">
        <f>IFERROR(__xludf.DUMMYFUNCTION("""COMPUTED_VALUE"""),40869.666666666664)</f>
        <v>40869.66667</v>
      </c>
      <c r="C3547" s="9">
        <f>IFERROR(__xludf.DUMMYFUNCTION("""COMPUTED_VALUE"""),31.95)</f>
        <v>31.95</v>
      </c>
      <c r="E3547" s="17"/>
      <c r="N3547" s="17"/>
      <c r="Q3547" s="17"/>
    </row>
    <row r="3548">
      <c r="B3548" s="11">
        <f>IFERROR(__xludf.DUMMYFUNCTION("""COMPUTED_VALUE"""),40868.666666666664)</f>
        <v>40868.66667</v>
      </c>
      <c r="C3548" s="9">
        <f>IFERROR(__xludf.DUMMYFUNCTION("""COMPUTED_VALUE"""),32.16)</f>
        <v>32.16</v>
      </c>
      <c r="E3548" s="17"/>
      <c r="N3548" s="17"/>
      <c r="Q3548" s="17"/>
    </row>
    <row r="3549">
      <c r="B3549" s="11">
        <f>IFERROR(__xludf.DUMMYFUNCTION("""COMPUTED_VALUE"""),40865.666666666664)</f>
        <v>40865.66667</v>
      </c>
      <c r="C3549" s="9">
        <f>IFERROR(__xludf.DUMMYFUNCTION("""COMPUTED_VALUE"""),32.92)</f>
        <v>32.92</v>
      </c>
      <c r="E3549" s="17"/>
      <c r="N3549" s="17"/>
      <c r="Q3549" s="17"/>
    </row>
    <row r="3550">
      <c r="B3550" s="11">
        <f>IFERROR(__xludf.DUMMYFUNCTION("""COMPUTED_VALUE"""),40864.666666666664)</f>
        <v>40864.66667</v>
      </c>
      <c r="C3550" s="9">
        <f>IFERROR(__xludf.DUMMYFUNCTION("""COMPUTED_VALUE"""),32.84)</f>
        <v>32.84</v>
      </c>
      <c r="E3550" s="17"/>
      <c r="N3550" s="17"/>
      <c r="Q3550" s="17"/>
    </row>
    <row r="3551">
      <c r="B3551" s="11">
        <f>IFERROR(__xludf.DUMMYFUNCTION("""COMPUTED_VALUE"""),40863.666666666664)</f>
        <v>40863.66667</v>
      </c>
      <c r="C3551" s="9">
        <f>IFERROR(__xludf.DUMMYFUNCTION("""COMPUTED_VALUE"""),33.42)</f>
        <v>33.42</v>
      </c>
      <c r="E3551" s="17"/>
      <c r="N3551" s="17"/>
      <c r="Q3551" s="17"/>
    </row>
    <row r="3552">
      <c r="B3552" s="11">
        <f>IFERROR(__xludf.DUMMYFUNCTION("""COMPUTED_VALUE"""),40862.666666666664)</f>
        <v>40862.66667</v>
      </c>
      <c r="C3552" s="9">
        <f>IFERROR(__xludf.DUMMYFUNCTION("""COMPUTED_VALUE"""),33.92)</f>
        <v>33.92</v>
      </c>
      <c r="E3552" s="17"/>
      <c r="N3552" s="17"/>
      <c r="Q3552" s="17"/>
    </row>
    <row r="3553">
      <c r="B3553" s="11">
        <f>IFERROR(__xludf.DUMMYFUNCTION("""COMPUTED_VALUE"""),40861.666666666664)</f>
        <v>40861.66667</v>
      </c>
      <c r="C3553" s="9">
        <f>IFERROR(__xludf.DUMMYFUNCTION("""COMPUTED_VALUE"""),33.72)</f>
        <v>33.72</v>
      </c>
      <c r="E3553" s="17"/>
      <c r="N3553" s="17"/>
      <c r="Q3553" s="17"/>
    </row>
    <row r="3554">
      <c r="B3554" s="11">
        <f>IFERROR(__xludf.DUMMYFUNCTION("""COMPUTED_VALUE"""),40858.666666666664)</f>
        <v>40858.66667</v>
      </c>
      <c r="C3554" s="9">
        <f>IFERROR(__xludf.DUMMYFUNCTION("""COMPUTED_VALUE"""),33.93)</f>
        <v>33.93</v>
      </c>
      <c r="E3554" s="17"/>
      <c r="N3554" s="17"/>
      <c r="Q3554" s="17"/>
    </row>
    <row r="3555">
      <c r="B3555" s="11">
        <f>IFERROR(__xludf.DUMMYFUNCTION("""COMPUTED_VALUE"""),40857.666666666664)</f>
        <v>40857.66667</v>
      </c>
      <c r="C3555" s="9">
        <f>IFERROR(__xludf.DUMMYFUNCTION("""COMPUTED_VALUE"""),33.14)</f>
        <v>33.14</v>
      </c>
      <c r="E3555" s="17"/>
      <c r="N3555" s="17"/>
      <c r="Q3555" s="17"/>
    </row>
    <row r="3556">
      <c r="B3556" s="11">
        <f>IFERROR(__xludf.DUMMYFUNCTION("""COMPUTED_VALUE"""),40856.666666666664)</f>
        <v>40856.66667</v>
      </c>
      <c r="C3556" s="9">
        <f>IFERROR(__xludf.DUMMYFUNCTION("""COMPUTED_VALUE"""),32.74)</f>
        <v>32.74</v>
      </c>
      <c r="E3556" s="17"/>
      <c r="N3556" s="17"/>
      <c r="Q3556" s="17"/>
    </row>
    <row r="3557">
      <c r="B3557" s="11">
        <f>IFERROR(__xludf.DUMMYFUNCTION("""COMPUTED_VALUE"""),40855.666666666664)</f>
        <v>40855.66667</v>
      </c>
      <c r="C3557" s="9">
        <f>IFERROR(__xludf.DUMMYFUNCTION("""COMPUTED_VALUE"""),34.06)</f>
        <v>34.06</v>
      </c>
      <c r="E3557" s="17"/>
      <c r="N3557" s="17"/>
      <c r="Q3557" s="17"/>
    </row>
    <row r="3558">
      <c r="B3558" s="11">
        <f>IFERROR(__xludf.DUMMYFUNCTION("""COMPUTED_VALUE"""),40854.666666666664)</f>
        <v>40854.66667</v>
      </c>
      <c r="C3558" s="9">
        <f>IFERROR(__xludf.DUMMYFUNCTION("""COMPUTED_VALUE"""),33.68)</f>
        <v>33.68</v>
      </c>
      <c r="E3558" s="17"/>
      <c r="N3558" s="17"/>
      <c r="Q3558" s="17"/>
    </row>
    <row r="3559">
      <c r="B3559" s="11">
        <f>IFERROR(__xludf.DUMMYFUNCTION("""COMPUTED_VALUE"""),40851.666666666664)</f>
        <v>40851.66667</v>
      </c>
      <c r="C3559" s="9">
        <f>IFERROR(__xludf.DUMMYFUNCTION("""COMPUTED_VALUE"""),33.6)</f>
        <v>33.6</v>
      </c>
      <c r="E3559" s="17"/>
      <c r="N3559" s="17"/>
      <c r="Q3559" s="17"/>
    </row>
    <row r="3560">
      <c r="B3560" s="11">
        <f>IFERROR(__xludf.DUMMYFUNCTION("""COMPUTED_VALUE"""),40850.666666666664)</f>
        <v>40850.66667</v>
      </c>
      <c r="C3560" s="9">
        <f>IFERROR(__xludf.DUMMYFUNCTION("""COMPUTED_VALUE"""),33.86)</f>
        <v>33.86</v>
      </c>
      <c r="E3560" s="17"/>
      <c r="N3560" s="17"/>
      <c r="Q3560" s="17"/>
    </row>
    <row r="3561">
      <c r="B3561" s="11">
        <f>IFERROR(__xludf.DUMMYFUNCTION("""COMPUTED_VALUE"""),40849.666666666664)</f>
        <v>40849.66667</v>
      </c>
      <c r="C3561" s="9">
        <f>IFERROR(__xludf.DUMMYFUNCTION("""COMPUTED_VALUE"""),33.05)</f>
        <v>33.05</v>
      </c>
      <c r="E3561" s="17"/>
      <c r="N3561" s="17"/>
      <c r="Q3561" s="17"/>
    </row>
    <row r="3562">
      <c r="B3562" s="11">
        <f>IFERROR(__xludf.DUMMYFUNCTION("""COMPUTED_VALUE"""),40848.666666666664)</f>
        <v>40848.66667</v>
      </c>
      <c r="C3562" s="9">
        <f>IFERROR(__xludf.DUMMYFUNCTION("""COMPUTED_VALUE"""),32.41)</f>
        <v>32.41</v>
      </c>
      <c r="E3562" s="17"/>
      <c r="N3562" s="17"/>
      <c r="Q3562" s="17"/>
    </row>
    <row r="3563">
      <c r="B3563" s="11">
        <f>IFERROR(__xludf.DUMMYFUNCTION("""COMPUTED_VALUE"""),40847.666666666664)</f>
        <v>40847.66667</v>
      </c>
      <c r="C3563" s="9">
        <f>IFERROR(__xludf.DUMMYFUNCTION("""COMPUTED_VALUE"""),33.42)</f>
        <v>33.42</v>
      </c>
      <c r="E3563" s="17"/>
      <c r="N3563" s="17"/>
      <c r="Q3563" s="17"/>
    </row>
    <row r="3564">
      <c r="B3564" s="11">
        <f>IFERROR(__xludf.DUMMYFUNCTION("""COMPUTED_VALUE"""),40844.666666666664)</f>
        <v>40844.66667</v>
      </c>
      <c r="C3564" s="9">
        <f>IFERROR(__xludf.DUMMYFUNCTION("""COMPUTED_VALUE"""),34.26)</f>
        <v>34.26</v>
      </c>
      <c r="E3564" s="17"/>
      <c r="N3564" s="17"/>
      <c r="Q3564" s="17"/>
    </row>
    <row r="3565">
      <c r="B3565" s="11">
        <f>IFERROR(__xludf.DUMMYFUNCTION("""COMPUTED_VALUE"""),40843.666666666664)</f>
        <v>40843.66667</v>
      </c>
      <c r="C3565" s="9">
        <f>IFERROR(__xludf.DUMMYFUNCTION("""COMPUTED_VALUE"""),34.26)</f>
        <v>34.26</v>
      </c>
      <c r="E3565" s="17"/>
      <c r="N3565" s="17"/>
      <c r="Q3565" s="17"/>
    </row>
    <row r="3566">
      <c r="B3566" s="11">
        <f>IFERROR(__xludf.DUMMYFUNCTION("""COMPUTED_VALUE"""),40842.666666666664)</f>
        <v>40842.66667</v>
      </c>
      <c r="C3566" s="9">
        <f>IFERROR(__xludf.DUMMYFUNCTION("""COMPUTED_VALUE"""),32.83)</f>
        <v>32.83</v>
      </c>
      <c r="E3566" s="17"/>
      <c r="N3566" s="17"/>
      <c r="Q3566" s="17"/>
    </row>
    <row r="3567">
      <c r="B3567" s="11">
        <f>IFERROR(__xludf.DUMMYFUNCTION("""COMPUTED_VALUE"""),40841.666666666664)</f>
        <v>40841.66667</v>
      </c>
      <c r="C3567" s="9">
        <f>IFERROR(__xludf.DUMMYFUNCTION("""COMPUTED_VALUE"""),32.6)</f>
        <v>32.6</v>
      </c>
      <c r="E3567" s="17"/>
      <c r="N3567" s="17"/>
      <c r="Q3567" s="17"/>
    </row>
    <row r="3568">
      <c r="B3568" s="11">
        <f>IFERROR(__xludf.DUMMYFUNCTION("""COMPUTED_VALUE"""),40840.666666666664)</f>
        <v>40840.66667</v>
      </c>
      <c r="C3568" s="9">
        <f>IFERROR(__xludf.DUMMYFUNCTION("""COMPUTED_VALUE"""),33.28)</f>
        <v>33.28</v>
      </c>
      <c r="E3568" s="17"/>
      <c r="N3568" s="17"/>
      <c r="Q3568" s="17"/>
    </row>
    <row r="3569">
      <c r="B3569" s="11">
        <f>IFERROR(__xludf.DUMMYFUNCTION("""COMPUTED_VALUE"""),40837.666666666664)</f>
        <v>40837.66667</v>
      </c>
      <c r="C3569" s="9">
        <f>IFERROR(__xludf.DUMMYFUNCTION("""COMPUTED_VALUE"""),32.67)</f>
        <v>32.67</v>
      </c>
      <c r="E3569" s="17"/>
      <c r="N3569" s="17"/>
      <c r="Q3569" s="17"/>
    </row>
    <row r="3570">
      <c r="B3570" s="11">
        <f>IFERROR(__xludf.DUMMYFUNCTION("""COMPUTED_VALUE"""),40836.666666666664)</f>
        <v>40836.66667</v>
      </c>
      <c r="C3570" s="9">
        <f>IFERROR(__xludf.DUMMYFUNCTION("""COMPUTED_VALUE"""),32.05)</f>
        <v>32.05</v>
      </c>
      <c r="E3570" s="17"/>
      <c r="N3570" s="17"/>
      <c r="Q3570" s="17"/>
    </row>
    <row r="3571">
      <c r="B3571" s="11">
        <f>IFERROR(__xludf.DUMMYFUNCTION("""COMPUTED_VALUE"""),40835.666666666664)</f>
        <v>40835.66667</v>
      </c>
      <c r="C3571" s="9">
        <f>IFERROR(__xludf.DUMMYFUNCTION("""COMPUTED_VALUE"""),31.78)</f>
        <v>31.78</v>
      </c>
      <c r="E3571" s="17"/>
      <c r="N3571" s="17"/>
      <c r="Q3571" s="17"/>
    </row>
    <row r="3572">
      <c r="B3572" s="11">
        <f>IFERROR(__xludf.DUMMYFUNCTION("""COMPUTED_VALUE"""),40834.666666666664)</f>
        <v>40834.66667</v>
      </c>
      <c r="C3572" s="9">
        <f>IFERROR(__xludf.DUMMYFUNCTION("""COMPUTED_VALUE"""),32.17)</f>
        <v>32.17</v>
      </c>
      <c r="E3572" s="17"/>
      <c r="N3572" s="17"/>
      <c r="Q3572" s="17"/>
    </row>
    <row r="3573">
      <c r="B3573" s="11">
        <f>IFERROR(__xludf.DUMMYFUNCTION("""COMPUTED_VALUE"""),40833.666666666664)</f>
        <v>40833.66667</v>
      </c>
      <c r="C3573" s="9">
        <f>IFERROR(__xludf.DUMMYFUNCTION("""COMPUTED_VALUE"""),31.27)</f>
        <v>31.27</v>
      </c>
      <c r="E3573" s="17"/>
      <c r="N3573" s="17"/>
      <c r="Q3573" s="17"/>
    </row>
    <row r="3574">
      <c r="B3574" s="11">
        <f>IFERROR(__xludf.DUMMYFUNCTION("""COMPUTED_VALUE"""),40830.666666666664)</f>
        <v>40830.66667</v>
      </c>
      <c r="C3574" s="9">
        <f>IFERROR(__xludf.DUMMYFUNCTION("""COMPUTED_VALUE"""),32.19)</f>
        <v>32.19</v>
      </c>
      <c r="E3574" s="17"/>
      <c r="N3574" s="17"/>
      <c r="Q3574" s="17"/>
    </row>
    <row r="3575">
      <c r="B3575" s="11">
        <f>IFERROR(__xludf.DUMMYFUNCTION("""COMPUTED_VALUE"""),40829.666666666664)</f>
        <v>40829.66667</v>
      </c>
      <c r="C3575" s="9">
        <f>IFERROR(__xludf.DUMMYFUNCTION("""COMPUTED_VALUE"""),31.62)</f>
        <v>31.62</v>
      </c>
      <c r="E3575" s="17"/>
      <c r="N3575" s="17"/>
      <c r="Q3575" s="17"/>
    </row>
    <row r="3576">
      <c r="B3576" s="11">
        <f>IFERROR(__xludf.DUMMYFUNCTION("""COMPUTED_VALUE"""),40828.666666666664)</f>
        <v>40828.66667</v>
      </c>
      <c r="C3576" s="9">
        <f>IFERROR(__xludf.DUMMYFUNCTION("""COMPUTED_VALUE"""),31.89)</f>
        <v>31.89</v>
      </c>
      <c r="E3576" s="17"/>
      <c r="N3576" s="17"/>
      <c r="Q3576" s="17"/>
    </row>
    <row r="3577">
      <c r="B3577" s="11">
        <f>IFERROR(__xludf.DUMMYFUNCTION("""COMPUTED_VALUE"""),40827.666666666664)</f>
        <v>40827.66667</v>
      </c>
      <c r="C3577" s="9">
        <f>IFERROR(__xludf.DUMMYFUNCTION("""COMPUTED_VALUE"""),31.49)</f>
        <v>31.49</v>
      </c>
      <c r="E3577" s="17"/>
      <c r="N3577" s="17"/>
      <c r="Q3577" s="17"/>
    </row>
    <row r="3578">
      <c r="B3578" s="11">
        <f>IFERROR(__xludf.DUMMYFUNCTION("""COMPUTED_VALUE"""),40826.666666666664)</f>
        <v>40826.66667</v>
      </c>
      <c r="C3578" s="9">
        <f>IFERROR(__xludf.DUMMYFUNCTION("""COMPUTED_VALUE"""),31.4)</f>
        <v>31.4</v>
      </c>
      <c r="E3578" s="17"/>
      <c r="N3578" s="17"/>
      <c r="Q3578" s="17"/>
    </row>
    <row r="3579">
      <c r="B3579" s="11">
        <f>IFERROR(__xludf.DUMMYFUNCTION("""COMPUTED_VALUE"""),40823.666666666664)</f>
        <v>40823.66667</v>
      </c>
      <c r="C3579" s="9">
        <f>IFERROR(__xludf.DUMMYFUNCTION("""COMPUTED_VALUE"""),30.34)</f>
        <v>30.34</v>
      </c>
      <c r="E3579" s="17"/>
      <c r="N3579" s="17"/>
      <c r="Q3579" s="17"/>
    </row>
    <row r="3580">
      <c r="B3580" s="11">
        <f>IFERROR(__xludf.DUMMYFUNCTION("""COMPUTED_VALUE"""),40822.666666666664)</f>
        <v>40822.66667</v>
      </c>
      <c r="C3580" s="9">
        <f>IFERROR(__xludf.DUMMYFUNCTION("""COMPUTED_VALUE"""),30.41)</f>
        <v>30.41</v>
      </c>
      <c r="E3580" s="17"/>
      <c r="N3580" s="17"/>
      <c r="Q3580" s="17"/>
    </row>
    <row r="3581">
      <c r="B3581" s="11">
        <f>IFERROR(__xludf.DUMMYFUNCTION("""COMPUTED_VALUE"""),40821.666666666664)</f>
        <v>40821.66667</v>
      </c>
      <c r="C3581" s="9">
        <f>IFERROR(__xludf.DUMMYFUNCTION("""COMPUTED_VALUE"""),29.81)</f>
        <v>29.81</v>
      </c>
      <c r="E3581" s="17"/>
      <c r="N3581" s="17"/>
      <c r="Q3581" s="17"/>
    </row>
    <row r="3582">
      <c r="B3582" s="11">
        <f>IFERROR(__xludf.DUMMYFUNCTION("""COMPUTED_VALUE"""),40820.666666666664)</f>
        <v>40820.66667</v>
      </c>
      <c r="C3582" s="9">
        <f>IFERROR(__xludf.DUMMYFUNCTION("""COMPUTED_VALUE"""),29.19)</f>
        <v>29.19</v>
      </c>
      <c r="E3582" s="17"/>
      <c r="N3582" s="17"/>
      <c r="Q3582" s="17"/>
    </row>
    <row r="3583">
      <c r="B3583" s="11">
        <f>IFERROR(__xludf.DUMMYFUNCTION("""COMPUTED_VALUE"""),40819.666666666664)</f>
        <v>40819.66667</v>
      </c>
      <c r="C3583" s="9">
        <f>IFERROR(__xludf.DUMMYFUNCTION("""COMPUTED_VALUE"""),28.4)</f>
        <v>28.4</v>
      </c>
      <c r="E3583" s="17"/>
      <c r="N3583" s="17"/>
      <c r="Q3583" s="17"/>
    </row>
    <row r="3584">
      <c r="B3584" s="11">
        <f>IFERROR(__xludf.DUMMYFUNCTION("""COMPUTED_VALUE"""),40816.666666666664)</f>
        <v>40816.66667</v>
      </c>
      <c r="C3584" s="9">
        <f>IFERROR(__xludf.DUMMYFUNCTION("""COMPUTED_VALUE"""),29.22)</f>
        <v>29.22</v>
      </c>
      <c r="E3584" s="17"/>
      <c r="N3584" s="17"/>
      <c r="Q3584" s="17"/>
    </row>
    <row r="3585">
      <c r="B3585" s="11">
        <f>IFERROR(__xludf.DUMMYFUNCTION("""COMPUTED_VALUE"""),40815.666666666664)</f>
        <v>40815.66667</v>
      </c>
      <c r="C3585" s="9">
        <f>IFERROR(__xludf.DUMMYFUNCTION("""COMPUTED_VALUE"""),30.23)</f>
        <v>30.23</v>
      </c>
      <c r="E3585" s="17"/>
      <c r="N3585" s="17"/>
      <c r="Q3585" s="17"/>
    </row>
    <row r="3586">
      <c r="B3586" s="11">
        <f>IFERROR(__xludf.DUMMYFUNCTION("""COMPUTED_VALUE"""),40814.666666666664)</f>
        <v>40814.66667</v>
      </c>
      <c r="C3586" s="9">
        <f>IFERROR(__xludf.DUMMYFUNCTION("""COMPUTED_VALUE"""),29.8)</f>
        <v>29.8</v>
      </c>
      <c r="E3586" s="17"/>
      <c r="N3586" s="17"/>
      <c r="Q3586" s="17"/>
    </row>
    <row r="3587">
      <c r="B3587" s="11">
        <f>IFERROR(__xludf.DUMMYFUNCTION("""COMPUTED_VALUE"""),40813.666666666664)</f>
        <v>40813.66667</v>
      </c>
      <c r="C3587" s="9">
        <f>IFERROR(__xludf.DUMMYFUNCTION("""COMPUTED_VALUE"""),30.58)</f>
        <v>30.58</v>
      </c>
      <c r="E3587" s="17"/>
      <c r="N3587" s="17"/>
      <c r="Q3587" s="17"/>
    </row>
    <row r="3588">
      <c r="B3588" s="11">
        <f>IFERROR(__xludf.DUMMYFUNCTION("""COMPUTED_VALUE"""),40812.666666666664)</f>
        <v>40812.66667</v>
      </c>
      <c r="C3588" s="9">
        <f>IFERROR(__xludf.DUMMYFUNCTION("""COMPUTED_VALUE"""),30.05)</f>
        <v>30.05</v>
      </c>
      <c r="E3588" s="17"/>
      <c r="N3588" s="17"/>
      <c r="Q3588" s="17"/>
    </row>
    <row r="3589">
      <c r="B3589" s="11">
        <f>IFERROR(__xludf.DUMMYFUNCTION("""COMPUTED_VALUE"""),40809.666666666664)</f>
        <v>40809.66667</v>
      </c>
      <c r="C3589" s="9">
        <f>IFERROR(__xludf.DUMMYFUNCTION("""COMPUTED_VALUE"""),29.31)</f>
        <v>29.31</v>
      </c>
      <c r="E3589" s="17"/>
      <c r="N3589" s="17"/>
      <c r="Q3589" s="17"/>
    </row>
    <row r="3590">
      <c r="B3590" s="11">
        <f>IFERROR(__xludf.DUMMYFUNCTION("""COMPUTED_VALUE"""),40808.666666666664)</f>
        <v>40808.66667</v>
      </c>
      <c r="C3590" s="9">
        <f>IFERROR(__xludf.DUMMYFUNCTION("""COMPUTED_VALUE"""),29.01)</f>
        <v>29.01</v>
      </c>
      <c r="E3590" s="17"/>
      <c r="N3590" s="17"/>
      <c r="Q3590" s="17"/>
    </row>
    <row r="3591">
      <c r="B3591" s="11">
        <f>IFERROR(__xludf.DUMMYFUNCTION("""COMPUTED_VALUE"""),40807.666666666664)</f>
        <v>40807.66667</v>
      </c>
      <c r="C3591" s="9">
        <f>IFERROR(__xludf.DUMMYFUNCTION("""COMPUTED_VALUE"""),30.14)</f>
        <v>30.14</v>
      </c>
      <c r="E3591" s="17"/>
      <c r="N3591" s="17"/>
      <c r="Q3591" s="17"/>
    </row>
    <row r="3592">
      <c r="B3592" s="11">
        <f>IFERROR(__xludf.DUMMYFUNCTION("""COMPUTED_VALUE"""),40806.666666666664)</f>
        <v>40806.66667</v>
      </c>
      <c r="C3592" s="9">
        <f>IFERROR(__xludf.DUMMYFUNCTION("""COMPUTED_VALUE"""),31.44)</f>
        <v>31.44</v>
      </c>
      <c r="E3592" s="17"/>
      <c r="N3592" s="17"/>
      <c r="Q3592" s="17"/>
    </row>
    <row r="3593">
      <c r="B3593" s="11">
        <f>IFERROR(__xludf.DUMMYFUNCTION("""COMPUTED_VALUE"""),40805.666666666664)</f>
        <v>40805.66667</v>
      </c>
      <c r="C3593" s="9">
        <f>IFERROR(__xludf.DUMMYFUNCTION("""COMPUTED_VALUE"""),31.67)</f>
        <v>31.67</v>
      </c>
      <c r="E3593" s="17"/>
      <c r="N3593" s="17"/>
      <c r="Q3593" s="17"/>
    </row>
    <row r="3594">
      <c r="B3594" s="11">
        <f>IFERROR(__xludf.DUMMYFUNCTION("""COMPUTED_VALUE"""),40802.666666666664)</f>
        <v>40802.66667</v>
      </c>
      <c r="C3594" s="9">
        <f>IFERROR(__xludf.DUMMYFUNCTION("""COMPUTED_VALUE"""),31.97)</f>
        <v>31.97</v>
      </c>
      <c r="E3594" s="17"/>
      <c r="N3594" s="17"/>
      <c r="Q3594" s="17"/>
    </row>
    <row r="3595">
      <c r="B3595" s="11">
        <f>IFERROR(__xludf.DUMMYFUNCTION("""COMPUTED_VALUE"""),40801.666666666664)</f>
        <v>40801.66667</v>
      </c>
      <c r="C3595" s="9">
        <f>IFERROR(__xludf.DUMMYFUNCTION("""COMPUTED_VALUE"""),31.98)</f>
        <v>31.98</v>
      </c>
      <c r="E3595" s="17"/>
      <c r="N3595" s="17"/>
      <c r="Q3595" s="17"/>
    </row>
    <row r="3596">
      <c r="B3596" s="11">
        <f>IFERROR(__xludf.DUMMYFUNCTION("""COMPUTED_VALUE"""),40800.666666666664)</f>
        <v>40800.66667</v>
      </c>
      <c r="C3596" s="9">
        <f>IFERROR(__xludf.DUMMYFUNCTION("""COMPUTED_VALUE"""),31.34)</f>
        <v>31.34</v>
      </c>
      <c r="E3596" s="17"/>
      <c r="N3596" s="17"/>
      <c r="Q3596" s="17"/>
    </row>
    <row r="3597">
      <c r="B3597" s="11">
        <f>IFERROR(__xludf.DUMMYFUNCTION("""COMPUTED_VALUE"""),40799.666666666664)</f>
        <v>40799.66667</v>
      </c>
      <c r="C3597" s="9">
        <f>IFERROR(__xludf.DUMMYFUNCTION("""COMPUTED_VALUE"""),30.8)</f>
        <v>30.8</v>
      </c>
      <c r="E3597" s="17"/>
      <c r="N3597" s="17"/>
      <c r="Q3597" s="17"/>
    </row>
    <row r="3598">
      <c r="B3598" s="11">
        <f>IFERROR(__xludf.DUMMYFUNCTION("""COMPUTED_VALUE"""),40798.666666666664)</f>
        <v>40798.66667</v>
      </c>
      <c r="C3598" s="9">
        <f>IFERROR(__xludf.DUMMYFUNCTION("""COMPUTED_VALUE"""),30.24)</f>
        <v>30.24</v>
      </c>
      <c r="E3598" s="17"/>
      <c r="N3598" s="17"/>
      <c r="Q3598" s="17"/>
    </row>
    <row r="3599">
      <c r="B3599" s="11">
        <f>IFERROR(__xludf.DUMMYFUNCTION("""COMPUTED_VALUE"""),40795.666666666664)</f>
        <v>40795.66667</v>
      </c>
      <c r="C3599" s="9">
        <f>IFERROR(__xludf.DUMMYFUNCTION("""COMPUTED_VALUE"""),30.18)</f>
        <v>30.18</v>
      </c>
      <c r="E3599" s="17"/>
      <c r="N3599" s="17"/>
      <c r="Q3599" s="17"/>
    </row>
    <row r="3600">
      <c r="B3600" s="11">
        <f>IFERROR(__xludf.DUMMYFUNCTION("""COMPUTED_VALUE"""),40794.666666666664)</f>
        <v>40794.66667</v>
      </c>
      <c r="C3600" s="9">
        <f>IFERROR(__xludf.DUMMYFUNCTION("""COMPUTED_VALUE"""),31.01)</f>
        <v>31.01</v>
      </c>
      <c r="E3600" s="17"/>
      <c r="N3600" s="17"/>
      <c r="Q3600" s="17"/>
    </row>
    <row r="3601">
      <c r="B3601" s="11">
        <f>IFERROR(__xludf.DUMMYFUNCTION("""COMPUTED_VALUE"""),40793.666666666664)</f>
        <v>40793.66667</v>
      </c>
      <c r="C3601" s="9">
        <f>IFERROR(__xludf.DUMMYFUNCTION("""COMPUTED_VALUE"""),31.48)</f>
        <v>31.48</v>
      </c>
      <c r="E3601" s="17"/>
      <c r="N3601" s="17"/>
      <c r="Q3601" s="17"/>
    </row>
    <row r="3602">
      <c r="B3602" s="11">
        <f>IFERROR(__xludf.DUMMYFUNCTION("""COMPUTED_VALUE"""),40792.666666666664)</f>
        <v>40792.66667</v>
      </c>
      <c r="C3602" s="9">
        <f>IFERROR(__xludf.DUMMYFUNCTION("""COMPUTED_VALUE"""),30.53)</f>
        <v>30.53</v>
      </c>
      <c r="E3602" s="17"/>
      <c r="N3602" s="17"/>
      <c r="Q3602" s="17"/>
    </row>
    <row r="3603">
      <c r="B3603" s="11">
        <f>IFERROR(__xludf.DUMMYFUNCTION("""COMPUTED_VALUE"""),40788.666666666664)</f>
        <v>40788.66667</v>
      </c>
      <c r="C3603" s="9">
        <f>IFERROR(__xludf.DUMMYFUNCTION("""COMPUTED_VALUE"""),30.85)</f>
        <v>30.85</v>
      </c>
      <c r="E3603" s="17"/>
      <c r="N3603" s="17"/>
      <c r="Q3603" s="17"/>
    </row>
    <row r="3604">
      <c r="B3604" s="11">
        <f>IFERROR(__xludf.DUMMYFUNCTION("""COMPUTED_VALUE"""),40787.666666666664)</f>
        <v>40787.66667</v>
      </c>
      <c r="C3604" s="9">
        <f>IFERROR(__xludf.DUMMYFUNCTION("""COMPUTED_VALUE"""),31.87)</f>
        <v>31.87</v>
      </c>
      <c r="E3604" s="17"/>
      <c r="N3604" s="17"/>
      <c r="Q3604" s="17"/>
    </row>
    <row r="3605">
      <c r="B3605" s="11">
        <f>IFERROR(__xludf.DUMMYFUNCTION("""COMPUTED_VALUE"""),40786.666666666664)</f>
        <v>40786.66667</v>
      </c>
      <c r="C3605" s="9">
        <f>IFERROR(__xludf.DUMMYFUNCTION("""COMPUTED_VALUE"""),32.4)</f>
        <v>32.4</v>
      </c>
      <c r="E3605" s="17"/>
      <c r="N3605" s="17"/>
      <c r="Q3605" s="17"/>
    </row>
    <row r="3606">
      <c r="B3606" s="11">
        <f>IFERROR(__xludf.DUMMYFUNCTION("""COMPUTED_VALUE"""),40785.666666666664)</f>
        <v>40785.66667</v>
      </c>
      <c r="C3606" s="9">
        <f>IFERROR(__xludf.DUMMYFUNCTION("""COMPUTED_VALUE"""),32.18)</f>
        <v>32.18</v>
      </c>
      <c r="E3606" s="17"/>
      <c r="N3606" s="17"/>
      <c r="Q3606" s="17"/>
    </row>
    <row r="3607">
      <c r="B3607" s="11">
        <f>IFERROR(__xludf.DUMMYFUNCTION("""COMPUTED_VALUE"""),40784.666666666664)</f>
        <v>40784.66667</v>
      </c>
      <c r="C3607" s="9">
        <f>IFERROR(__xludf.DUMMYFUNCTION("""COMPUTED_VALUE"""),31.91)</f>
        <v>31.91</v>
      </c>
      <c r="E3607" s="17"/>
      <c r="N3607" s="17"/>
      <c r="Q3607" s="17"/>
    </row>
    <row r="3608">
      <c r="B3608" s="11">
        <f>IFERROR(__xludf.DUMMYFUNCTION("""COMPUTED_VALUE"""),40781.666666666664)</f>
        <v>40781.66667</v>
      </c>
      <c r="C3608" s="9">
        <f>IFERROR(__xludf.DUMMYFUNCTION("""COMPUTED_VALUE"""),30.93)</f>
        <v>30.93</v>
      </c>
      <c r="E3608" s="17"/>
      <c r="N3608" s="17"/>
      <c r="Q3608" s="17"/>
    </row>
    <row r="3609">
      <c r="B3609" s="11">
        <f>IFERROR(__xludf.DUMMYFUNCTION("""COMPUTED_VALUE"""),40780.666666666664)</f>
        <v>40780.66667</v>
      </c>
      <c r="C3609" s="9">
        <f>IFERROR(__xludf.DUMMYFUNCTION("""COMPUTED_VALUE"""),30.3)</f>
        <v>30.3</v>
      </c>
      <c r="E3609" s="17"/>
      <c r="N3609" s="17"/>
      <c r="Q3609" s="17"/>
    </row>
    <row r="3610">
      <c r="B3610" s="11">
        <f>IFERROR(__xludf.DUMMYFUNCTION("""COMPUTED_VALUE"""),40779.666666666664)</f>
        <v>40779.66667</v>
      </c>
      <c r="C3610" s="9">
        <f>IFERROR(__xludf.DUMMYFUNCTION("""COMPUTED_VALUE"""),30.88)</f>
        <v>30.88</v>
      </c>
      <c r="E3610" s="17"/>
      <c r="N3610" s="17"/>
      <c r="Q3610" s="17"/>
    </row>
    <row r="3611">
      <c r="B3611" s="11">
        <f>IFERROR(__xludf.DUMMYFUNCTION("""COMPUTED_VALUE"""),40778.666666666664)</f>
        <v>40778.66667</v>
      </c>
      <c r="C3611" s="9">
        <f>IFERROR(__xludf.DUMMYFUNCTION("""COMPUTED_VALUE"""),30.27)</f>
        <v>30.27</v>
      </c>
      <c r="E3611" s="17"/>
      <c r="N3611" s="17"/>
      <c r="Q3611" s="17"/>
    </row>
    <row r="3612">
      <c r="B3612" s="11">
        <f>IFERROR(__xludf.DUMMYFUNCTION("""COMPUTED_VALUE"""),40777.666666666664)</f>
        <v>40777.66667</v>
      </c>
      <c r="C3612" s="9">
        <f>IFERROR(__xludf.DUMMYFUNCTION("""COMPUTED_VALUE"""),29.24)</f>
        <v>29.24</v>
      </c>
      <c r="E3612" s="17"/>
      <c r="N3612" s="17"/>
      <c r="Q3612" s="17"/>
    </row>
    <row r="3613">
      <c r="B3613" s="11">
        <f>IFERROR(__xludf.DUMMYFUNCTION("""COMPUTED_VALUE"""),40774.666666666664)</f>
        <v>40774.66667</v>
      </c>
      <c r="C3613" s="9">
        <f>IFERROR(__xludf.DUMMYFUNCTION("""COMPUTED_VALUE"""),29.13)</f>
        <v>29.13</v>
      </c>
      <c r="E3613" s="17"/>
      <c r="N3613" s="17"/>
      <c r="Q3613" s="17"/>
    </row>
    <row r="3614">
      <c r="B3614" s="11">
        <f>IFERROR(__xludf.DUMMYFUNCTION("""COMPUTED_VALUE"""),40773.666666666664)</f>
        <v>40773.66667</v>
      </c>
      <c r="C3614" s="9">
        <f>IFERROR(__xludf.DUMMYFUNCTION("""COMPUTED_VALUE"""),29.59)</f>
        <v>29.59</v>
      </c>
      <c r="E3614" s="17"/>
      <c r="N3614" s="17"/>
      <c r="Q3614" s="17"/>
    </row>
    <row r="3615">
      <c r="B3615" s="11">
        <f>IFERROR(__xludf.DUMMYFUNCTION("""COMPUTED_VALUE"""),40772.666666666664)</f>
        <v>40772.66667</v>
      </c>
      <c r="C3615" s="9">
        <f>IFERROR(__xludf.DUMMYFUNCTION("""COMPUTED_VALUE"""),31.32)</f>
        <v>31.32</v>
      </c>
      <c r="E3615" s="17"/>
      <c r="N3615" s="17"/>
      <c r="Q3615" s="17"/>
    </row>
    <row r="3616">
      <c r="B3616" s="11">
        <f>IFERROR(__xludf.DUMMYFUNCTION("""COMPUTED_VALUE"""),40771.666666666664)</f>
        <v>40771.66667</v>
      </c>
      <c r="C3616" s="9">
        <f>IFERROR(__xludf.DUMMYFUNCTION("""COMPUTED_VALUE"""),31.42)</f>
        <v>31.42</v>
      </c>
      <c r="E3616" s="17"/>
      <c r="N3616" s="17"/>
      <c r="Q3616" s="17"/>
    </row>
    <row r="3617">
      <c r="B3617" s="11">
        <f>IFERROR(__xludf.DUMMYFUNCTION("""COMPUTED_VALUE"""),40770.666666666664)</f>
        <v>40770.66667</v>
      </c>
      <c r="C3617" s="9">
        <f>IFERROR(__xludf.DUMMYFUNCTION("""COMPUTED_VALUE"""),31.87)</f>
        <v>31.87</v>
      </c>
      <c r="E3617" s="17"/>
      <c r="N3617" s="17"/>
      <c r="Q3617" s="17"/>
    </row>
    <row r="3618">
      <c r="B3618" s="11">
        <f>IFERROR(__xludf.DUMMYFUNCTION("""COMPUTED_VALUE"""),40767.666666666664)</f>
        <v>40767.66667</v>
      </c>
      <c r="C3618" s="9">
        <f>IFERROR(__xludf.DUMMYFUNCTION("""COMPUTED_VALUE"""),31.4)</f>
        <v>31.4</v>
      </c>
      <c r="E3618" s="17"/>
      <c r="N3618" s="17"/>
      <c r="Q3618" s="17"/>
    </row>
    <row r="3619">
      <c r="B3619" s="11">
        <f>IFERROR(__xludf.DUMMYFUNCTION("""COMPUTED_VALUE"""),40766.666666666664)</f>
        <v>40766.66667</v>
      </c>
      <c r="C3619" s="9">
        <f>IFERROR(__xludf.DUMMYFUNCTION("""COMPUTED_VALUE"""),30.8)</f>
        <v>30.8</v>
      </c>
      <c r="E3619" s="17"/>
      <c r="N3619" s="17"/>
      <c r="Q3619" s="17"/>
    </row>
    <row r="3620">
      <c r="B3620" s="11">
        <f>IFERROR(__xludf.DUMMYFUNCTION("""COMPUTED_VALUE"""),40765.666666666664)</f>
        <v>40765.66667</v>
      </c>
      <c r="C3620" s="9">
        <f>IFERROR(__xludf.DUMMYFUNCTION("""COMPUTED_VALUE"""),29.4)</f>
        <v>29.4</v>
      </c>
      <c r="E3620" s="17"/>
      <c r="N3620" s="17"/>
      <c r="Q3620" s="17"/>
    </row>
    <row r="3621">
      <c r="B3621" s="11">
        <f>IFERROR(__xludf.DUMMYFUNCTION("""COMPUTED_VALUE"""),40764.666666666664)</f>
        <v>40764.66667</v>
      </c>
      <c r="C3621" s="9">
        <f>IFERROR(__xludf.DUMMYFUNCTION("""COMPUTED_VALUE"""),30.98)</f>
        <v>30.98</v>
      </c>
      <c r="E3621" s="17"/>
      <c r="N3621" s="17"/>
      <c r="Q3621" s="17"/>
    </row>
    <row r="3622">
      <c r="B3622" s="11">
        <f>IFERROR(__xludf.DUMMYFUNCTION("""COMPUTED_VALUE"""),40763.666666666664)</f>
        <v>40763.66667</v>
      </c>
      <c r="C3622" s="9">
        <f>IFERROR(__xludf.DUMMYFUNCTION("""COMPUTED_VALUE"""),29.52)</f>
        <v>29.52</v>
      </c>
      <c r="E3622" s="17"/>
      <c r="N3622" s="17"/>
      <c r="Q3622" s="17"/>
    </row>
    <row r="3623">
      <c r="B3623" s="11">
        <f>IFERROR(__xludf.DUMMYFUNCTION("""COMPUTED_VALUE"""),40760.666666666664)</f>
        <v>40760.66667</v>
      </c>
      <c r="C3623" s="9">
        <f>IFERROR(__xludf.DUMMYFUNCTION("""COMPUTED_VALUE"""),31.76)</f>
        <v>31.76</v>
      </c>
      <c r="E3623" s="17"/>
      <c r="N3623" s="17"/>
      <c r="Q3623" s="17"/>
    </row>
    <row r="3624">
      <c r="B3624" s="11">
        <f>IFERROR(__xludf.DUMMYFUNCTION("""COMPUTED_VALUE"""),40759.666666666664)</f>
        <v>40759.66667</v>
      </c>
      <c r="C3624" s="9">
        <f>IFERROR(__xludf.DUMMYFUNCTION("""COMPUTED_VALUE"""),31.76)</f>
        <v>31.76</v>
      </c>
      <c r="E3624" s="17"/>
      <c r="N3624" s="17"/>
      <c r="Q3624" s="17"/>
    </row>
    <row r="3625">
      <c r="B3625" s="11">
        <f>IFERROR(__xludf.DUMMYFUNCTION("""COMPUTED_VALUE"""),40758.666666666664)</f>
        <v>40758.66667</v>
      </c>
      <c r="C3625" s="9">
        <f>IFERROR(__xludf.DUMMYFUNCTION("""COMPUTED_VALUE"""),33.56)</f>
        <v>33.56</v>
      </c>
      <c r="E3625" s="17"/>
      <c r="N3625" s="17"/>
      <c r="Q3625" s="17"/>
    </row>
    <row r="3626">
      <c r="B3626" s="11">
        <f>IFERROR(__xludf.DUMMYFUNCTION("""COMPUTED_VALUE"""),40757.666666666664)</f>
        <v>40757.66667</v>
      </c>
      <c r="C3626" s="9">
        <f>IFERROR(__xludf.DUMMYFUNCTION("""COMPUTED_VALUE"""),33.26)</f>
        <v>33.26</v>
      </c>
      <c r="E3626" s="17"/>
      <c r="N3626" s="17"/>
      <c r="Q3626" s="17"/>
    </row>
    <row r="3627">
      <c r="B3627" s="11">
        <f>IFERROR(__xludf.DUMMYFUNCTION("""COMPUTED_VALUE"""),40756.666666666664)</f>
        <v>40756.66667</v>
      </c>
      <c r="C3627" s="9">
        <f>IFERROR(__xludf.DUMMYFUNCTION("""COMPUTED_VALUE"""),34.46)</f>
        <v>34.46</v>
      </c>
      <c r="E3627" s="17"/>
      <c r="N3627" s="17"/>
      <c r="Q3627" s="17"/>
    </row>
    <row r="3628">
      <c r="B3628" s="11">
        <f>IFERROR(__xludf.DUMMYFUNCTION("""COMPUTED_VALUE"""),40753.666666666664)</f>
        <v>40753.66667</v>
      </c>
      <c r="C3628" s="9">
        <f>IFERROR(__xludf.DUMMYFUNCTION("""COMPUTED_VALUE"""),34.68)</f>
        <v>34.68</v>
      </c>
      <c r="E3628" s="17"/>
      <c r="N3628" s="17"/>
      <c r="Q3628" s="17"/>
    </row>
    <row r="3629">
      <c r="B3629" s="11">
        <f>IFERROR(__xludf.DUMMYFUNCTION("""COMPUTED_VALUE"""),40752.666666666664)</f>
        <v>40752.66667</v>
      </c>
      <c r="C3629" s="9">
        <f>IFERROR(__xludf.DUMMYFUNCTION("""COMPUTED_VALUE"""),34.85)</f>
        <v>34.85</v>
      </c>
      <c r="E3629" s="17"/>
      <c r="N3629" s="17"/>
      <c r="Q3629" s="17"/>
    </row>
    <row r="3630">
      <c r="B3630" s="11">
        <f>IFERROR(__xludf.DUMMYFUNCTION("""COMPUTED_VALUE"""),40751.666666666664)</f>
        <v>40751.66667</v>
      </c>
      <c r="C3630" s="9">
        <f>IFERROR(__xludf.DUMMYFUNCTION("""COMPUTED_VALUE"""),35.15)</f>
        <v>35.15</v>
      </c>
      <c r="E3630" s="17"/>
      <c r="N3630" s="17"/>
      <c r="Q3630" s="17"/>
    </row>
    <row r="3631">
      <c r="B3631" s="11">
        <f>IFERROR(__xludf.DUMMYFUNCTION("""COMPUTED_VALUE"""),40750.666666666664)</f>
        <v>40750.66667</v>
      </c>
      <c r="C3631" s="9">
        <f>IFERROR(__xludf.DUMMYFUNCTION("""COMPUTED_VALUE"""),36.13)</f>
        <v>36.13</v>
      </c>
      <c r="E3631" s="17"/>
      <c r="N3631" s="17"/>
      <c r="Q3631" s="17"/>
    </row>
    <row r="3632">
      <c r="B3632" s="11">
        <f>IFERROR(__xludf.DUMMYFUNCTION("""COMPUTED_VALUE"""),40749.666666666664)</f>
        <v>40749.66667</v>
      </c>
      <c r="C3632" s="9">
        <f>IFERROR(__xludf.DUMMYFUNCTION("""COMPUTED_VALUE"""),36.81)</f>
        <v>36.81</v>
      </c>
      <c r="E3632" s="17"/>
      <c r="N3632" s="17"/>
      <c r="Q3632" s="17"/>
    </row>
    <row r="3633">
      <c r="B3633" s="11">
        <f>IFERROR(__xludf.DUMMYFUNCTION("""COMPUTED_VALUE"""),40746.666666666664)</f>
        <v>40746.66667</v>
      </c>
      <c r="C3633" s="9">
        <f>IFERROR(__xludf.DUMMYFUNCTION("""COMPUTED_VALUE"""),36.83)</f>
        <v>36.83</v>
      </c>
      <c r="E3633" s="17"/>
      <c r="N3633" s="17"/>
      <c r="Q3633" s="17"/>
    </row>
    <row r="3634">
      <c r="B3634" s="11">
        <f>IFERROR(__xludf.DUMMYFUNCTION("""COMPUTED_VALUE"""),40745.666666666664)</f>
        <v>40745.66667</v>
      </c>
      <c r="C3634" s="9">
        <f>IFERROR(__xludf.DUMMYFUNCTION("""COMPUTED_VALUE"""),37.22)</f>
        <v>37.22</v>
      </c>
      <c r="E3634" s="17"/>
      <c r="N3634" s="17"/>
      <c r="Q3634" s="17"/>
    </row>
    <row r="3635">
      <c r="B3635" s="11">
        <f>IFERROR(__xludf.DUMMYFUNCTION("""COMPUTED_VALUE"""),40744.666666666664)</f>
        <v>40744.66667</v>
      </c>
      <c r="C3635" s="9">
        <f>IFERROR(__xludf.DUMMYFUNCTION("""COMPUTED_VALUE"""),36.67)</f>
        <v>36.67</v>
      </c>
      <c r="E3635" s="17"/>
      <c r="N3635" s="17"/>
      <c r="Q3635" s="17"/>
    </row>
    <row r="3636">
      <c r="B3636" s="11">
        <f>IFERROR(__xludf.DUMMYFUNCTION("""COMPUTED_VALUE"""),40743.666666666664)</f>
        <v>40743.66667</v>
      </c>
      <c r="C3636" s="9">
        <f>IFERROR(__xludf.DUMMYFUNCTION("""COMPUTED_VALUE"""),36.6)</f>
        <v>36.6</v>
      </c>
      <c r="E3636" s="17"/>
      <c r="N3636" s="17"/>
      <c r="Q3636" s="17"/>
    </row>
    <row r="3637">
      <c r="B3637" s="11">
        <f>IFERROR(__xludf.DUMMYFUNCTION("""COMPUTED_VALUE"""),40742.666666666664)</f>
        <v>40742.66667</v>
      </c>
      <c r="C3637" s="9">
        <f>IFERROR(__xludf.DUMMYFUNCTION("""COMPUTED_VALUE"""),36.13)</f>
        <v>36.13</v>
      </c>
      <c r="E3637" s="17"/>
      <c r="N3637" s="17"/>
      <c r="Q3637" s="17"/>
    </row>
    <row r="3638">
      <c r="B3638" s="11">
        <f>IFERROR(__xludf.DUMMYFUNCTION("""COMPUTED_VALUE"""),40739.666666666664)</f>
        <v>40739.66667</v>
      </c>
      <c r="C3638" s="9">
        <f>IFERROR(__xludf.DUMMYFUNCTION("""COMPUTED_VALUE"""),36.54)</f>
        <v>36.54</v>
      </c>
      <c r="E3638" s="17"/>
      <c r="N3638" s="17"/>
      <c r="Q3638" s="17"/>
    </row>
    <row r="3639">
      <c r="B3639" s="11">
        <f>IFERROR(__xludf.DUMMYFUNCTION("""COMPUTED_VALUE"""),40738.666666666664)</f>
        <v>40738.66667</v>
      </c>
      <c r="C3639" s="9">
        <f>IFERROR(__xludf.DUMMYFUNCTION("""COMPUTED_VALUE"""),36.51)</f>
        <v>36.51</v>
      </c>
      <c r="E3639" s="17"/>
      <c r="N3639" s="17"/>
      <c r="Q3639" s="17"/>
    </row>
    <row r="3640">
      <c r="B3640" s="11">
        <f>IFERROR(__xludf.DUMMYFUNCTION("""COMPUTED_VALUE"""),40737.666666666664)</f>
        <v>40737.66667</v>
      </c>
      <c r="C3640" s="9">
        <f>IFERROR(__xludf.DUMMYFUNCTION("""COMPUTED_VALUE"""),36.91)</f>
        <v>36.91</v>
      </c>
      <c r="E3640" s="17"/>
      <c r="N3640" s="17"/>
      <c r="Q3640" s="17"/>
    </row>
    <row r="3641">
      <c r="B3641" s="11">
        <f>IFERROR(__xludf.DUMMYFUNCTION("""COMPUTED_VALUE"""),40736.666666666664)</f>
        <v>40736.66667</v>
      </c>
      <c r="C3641" s="9">
        <f>IFERROR(__xludf.DUMMYFUNCTION("""COMPUTED_VALUE"""),36.76)</f>
        <v>36.76</v>
      </c>
      <c r="E3641" s="17"/>
      <c r="N3641" s="17"/>
      <c r="Q3641" s="17"/>
    </row>
    <row r="3642">
      <c r="B3642" s="11">
        <f>IFERROR(__xludf.DUMMYFUNCTION("""COMPUTED_VALUE"""),40735.666666666664)</f>
        <v>40735.66667</v>
      </c>
      <c r="C3642" s="9">
        <f>IFERROR(__xludf.DUMMYFUNCTION("""COMPUTED_VALUE"""),37.12)</f>
        <v>37.12</v>
      </c>
      <c r="E3642" s="17"/>
      <c r="N3642" s="17"/>
      <c r="Q3642" s="17"/>
    </row>
    <row r="3643">
      <c r="B3643" s="11">
        <f>IFERROR(__xludf.DUMMYFUNCTION("""COMPUTED_VALUE"""),40732.666666666664)</f>
        <v>40732.66667</v>
      </c>
      <c r="C3643" s="9">
        <f>IFERROR(__xludf.DUMMYFUNCTION("""COMPUTED_VALUE"""),37.82)</f>
        <v>37.82</v>
      </c>
      <c r="E3643" s="17"/>
      <c r="N3643" s="17"/>
      <c r="Q3643" s="17"/>
    </row>
    <row r="3644">
      <c r="B3644" s="11">
        <f>IFERROR(__xludf.DUMMYFUNCTION("""COMPUTED_VALUE"""),40731.666666666664)</f>
        <v>40731.66667</v>
      </c>
      <c r="C3644" s="9">
        <f>IFERROR(__xludf.DUMMYFUNCTION("""COMPUTED_VALUE"""),38.3)</f>
        <v>38.3</v>
      </c>
      <c r="E3644" s="17"/>
      <c r="N3644" s="17"/>
      <c r="Q3644" s="17"/>
    </row>
    <row r="3645">
      <c r="B3645" s="11">
        <f>IFERROR(__xludf.DUMMYFUNCTION("""COMPUTED_VALUE"""),40730.666666666664)</f>
        <v>40730.66667</v>
      </c>
      <c r="C3645" s="9">
        <f>IFERROR(__xludf.DUMMYFUNCTION("""COMPUTED_VALUE"""),37.9)</f>
        <v>37.9</v>
      </c>
      <c r="E3645" s="17"/>
      <c r="N3645" s="17"/>
      <c r="Q3645" s="17"/>
    </row>
    <row r="3646">
      <c r="B3646" s="11">
        <f>IFERROR(__xludf.DUMMYFUNCTION("""COMPUTED_VALUE"""),40729.666666666664)</f>
        <v>40729.66667</v>
      </c>
      <c r="C3646" s="9">
        <f>IFERROR(__xludf.DUMMYFUNCTION("""COMPUTED_VALUE"""),37.7)</f>
        <v>37.7</v>
      </c>
      <c r="E3646" s="17"/>
      <c r="N3646" s="17"/>
      <c r="Q3646" s="17"/>
    </row>
    <row r="3647">
      <c r="B3647" s="11">
        <f>IFERROR(__xludf.DUMMYFUNCTION("""COMPUTED_VALUE"""),40725.666666666664)</f>
        <v>40725.66667</v>
      </c>
      <c r="C3647" s="9">
        <f>IFERROR(__xludf.DUMMYFUNCTION("""COMPUTED_VALUE"""),37.91)</f>
        <v>37.91</v>
      </c>
      <c r="E3647" s="17"/>
      <c r="N3647" s="17"/>
      <c r="Q3647" s="17"/>
    </row>
    <row r="3648">
      <c r="B3648" s="11">
        <f>IFERROR(__xludf.DUMMYFUNCTION("""COMPUTED_VALUE"""),40724.666666666664)</f>
        <v>40724.66667</v>
      </c>
      <c r="C3648" s="9">
        <f>IFERROR(__xludf.DUMMYFUNCTION("""COMPUTED_VALUE"""),37.24)</f>
        <v>37.24</v>
      </c>
      <c r="E3648" s="17"/>
      <c r="N3648" s="17"/>
      <c r="Q3648" s="17"/>
    </row>
    <row r="3649">
      <c r="B3649" s="11">
        <f>IFERROR(__xludf.DUMMYFUNCTION("""COMPUTED_VALUE"""),40723.666666666664)</f>
        <v>40723.66667</v>
      </c>
      <c r="C3649" s="9">
        <f>IFERROR(__xludf.DUMMYFUNCTION("""COMPUTED_VALUE"""),36.66)</f>
        <v>36.66</v>
      </c>
      <c r="E3649" s="17"/>
      <c r="N3649" s="17"/>
      <c r="Q3649" s="17"/>
    </row>
    <row r="3650">
      <c r="B3650" s="11">
        <f>IFERROR(__xludf.DUMMYFUNCTION("""COMPUTED_VALUE"""),40722.666666666664)</f>
        <v>40722.66667</v>
      </c>
      <c r="C3650" s="9">
        <f>IFERROR(__xludf.DUMMYFUNCTION("""COMPUTED_VALUE"""),36.47)</f>
        <v>36.47</v>
      </c>
      <c r="E3650" s="17"/>
      <c r="N3650" s="17"/>
      <c r="Q3650" s="17"/>
    </row>
    <row r="3651">
      <c r="B3651" s="11">
        <f>IFERROR(__xludf.DUMMYFUNCTION("""COMPUTED_VALUE"""),40721.666666666664)</f>
        <v>40721.66667</v>
      </c>
      <c r="C3651" s="9">
        <f>IFERROR(__xludf.DUMMYFUNCTION("""COMPUTED_VALUE"""),35.91)</f>
        <v>35.91</v>
      </c>
      <c r="E3651" s="17"/>
      <c r="N3651" s="17"/>
      <c r="Q3651" s="17"/>
    </row>
    <row r="3652">
      <c r="B3652" s="11">
        <f>IFERROR(__xludf.DUMMYFUNCTION("""COMPUTED_VALUE"""),40718.666666666664)</f>
        <v>40718.66667</v>
      </c>
      <c r="C3652" s="9">
        <f>IFERROR(__xludf.DUMMYFUNCTION("""COMPUTED_VALUE"""),35.63)</f>
        <v>35.63</v>
      </c>
      <c r="E3652" s="17"/>
      <c r="N3652" s="17"/>
      <c r="Q3652" s="17"/>
    </row>
    <row r="3653">
      <c r="B3653" s="11">
        <f>IFERROR(__xludf.DUMMYFUNCTION("""COMPUTED_VALUE"""),40717.666666666664)</f>
        <v>40717.66667</v>
      </c>
      <c r="C3653" s="9">
        <f>IFERROR(__xludf.DUMMYFUNCTION("""COMPUTED_VALUE"""),36.04)</f>
        <v>36.04</v>
      </c>
      <c r="E3653" s="17"/>
      <c r="N3653" s="17"/>
      <c r="Q3653" s="17"/>
    </row>
    <row r="3654">
      <c r="B3654" s="11">
        <f>IFERROR(__xludf.DUMMYFUNCTION("""COMPUTED_VALUE"""),40716.666666666664)</f>
        <v>40716.66667</v>
      </c>
      <c r="C3654" s="9">
        <f>IFERROR(__xludf.DUMMYFUNCTION("""COMPUTED_VALUE"""),36.12)</f>
        <v>36.12</v>
      </c>
      <c r="E3654" s="17"/>
      <c r="N3654" s="17"/>
      <c r="Q3654" s="17"/>
    </row>
    <row r="3655">
      <c r="B3655" s="11">
        <f>IFERROR(__xludf.DUMMYFUNCTION("""COMPUTED_VALUE"""),40715.666666666664)</f>
        <v>40715.66667</v>
      </c>
      <c r="C3655" s="9">
        <f>IFERROR(__xludf.DUMMYFUNCTION("""COMPUTED_VALUE"""),36.32)</f>
        <v>36.32</v>
      </c>
      <c r="E3655" s="17"/>
      <c r="N3655" s="17"/>
      <c r="Q3655" s="17"/>
    </row>
    <row r="3656">
      <c r="B3656" s="11">
        <f>IFERROR(__xludf.DUMMYFUNCTION("""COMPUTED_VALUE"""),40714.666666666664)</f>
        <v>40714.66667</v>
      </c>
      <c r="C3656" s="9">
        <f>IFERROR(__xludf.DUMMYFUNCTION("""COMPUTED_VALUE"""),35.76)</f>
        <v>35.76</v>
      </c>
      <c r="E3656" s="17"/>
      <c r="N3656" s="17"/>
      <c r="Q3656" s="17"/>
    </row>
    <row r="3657">
      <c r="B3657" s="11">
        <f>IFERROR(__xludf.DUMMYFUNCTION("""COMPUTED_VALUE"""),40711.666666666664)</f>
        <v>40711.66667</v>
      </c>
      <c r="C3657" s="9">
        <f>IFERROR(__xludf.DUMMYFUNCTION("""COMPUTED_VALUE"""),35.45)</f>
        <v>35.45</v>
      </c>
      <c r="E3657" s="17"/>
      <c r="N3657" s="17"/>
      <c r="Q3657" s="17"/>
    </row>
    <row r="3658">
      <c r="B3658" s="11">
        <f>IFERROR(__xludf.DUMMYFUNCTION("""COMPUTED_VALUE"""),40710.666666666664)</f>
        <v>40710.66667</v>
      </c>
      <c r="C3658" s="9">
        <f>IFERROR(__xludf.DUMMYFUNCTION("""COMPUTED_VALUE"""),35.47)</f>
        <v>35.47</v>
      </c>
      <c r="E3658" s="17"/>
      <c r="N3658" s="17"/>
      <c r="Q3658" s="17"/>
    </row>
    <row r="3659">
      <c r="B3659" s="11">
        <f>IFERROR(__xludf.DUMMYFUNCTION("""COMPUTED_VALUE"""),40709.666666666664)</f>
        <v>40709.66667</v>
      </c>
      <c r="C3659" s="9">
        <f>IFERROR(__xludf.DUMMYFUNCTION("""COMPUTED_VALUE"""),35.35)</f>
        <v>35.35</v>
      </c>
      <c r="E3659" s="17"/>
      <c r="N3659" s="17"/>
      <c r="Q3659" s="17"/>
    </row>
    <row r="3660">
      <c r="B3660" s="11">
        <f>IFERROR(__xludf.DUMMYFUNCTION("""COMPUTED_VALUE"""),40708.666666666664)</f>
        <v>40708.66667</v>
      </c>
      <c r="C3660" s="9">
        <f>IFERROR(__xludf.DUMMYFUNCTION("""COMPUTED_VALUE"""),35.89)</f>
        <v>35.89</v>
      </c>
      <c r="E3660" s="17"/>
      <c r="N3660" s="17"/>
      <c r="Q3660" s="17"/>
    </row>
    <row r="3661">
      <c r="B3661" s="11">
        <f>IFERROR(__xludf.DUMMYFUNCTION("""COMPUTED_VALUE"""),40707.666666666664)</f>
        <v>40707.66667</v>
      </c>
      <c r="C3661" s="9">
        <f>IFERROR(__xludf.DUMMYFUNCTION("""COMPUTED_VALUE"""),35.22)</f>
        <v>35.22</v>
      </c>
      <c r="E3661" s="17"/>
      <c r="N3661" s="17"/>
      <c r="Q3661" s="17"/>
    </row>
    <row r="3662">
      <c r="B3662" s="11">
        <f>IFERROR(__xludf.DUMMYFUNCTION("""COMPUTED_VALUE"""),40704.666666666664)</f>
        <v>40704.66667</v>
      </c>
      <c r="C3662" s="9">
        <f>IFERROR(__xludf.DUMMYFUNCTION("""COMPUTED_VALUE"""),35.21)</f>
        <v>35.21</v>
      </c>
      <c r="E3662" s="17"/>
      <c r="N3662" s="17"/>
      <c r="Q3662" s="17"/>
    </row>
    <row r="3663">
      <c r="B3663" s="11">
        <f>IFERROR(__xludf.DUMMYFUNCTION("""COMPUTED_VALUE"""),40703.666666666664)</f>
        <v>40703.66667</v>
      </c>
      <c r="C3663" s="9">
        <f>IFERROR(__xludf.DUMMYFUNCTION("""COMPUTED_VALUE"""),35.78)</f>
        <v>35.78</v>
      </c>
      <c r="E3663" s="17"/>
      <c r="N3663" s="17"/>
      <c r="Q3663" s="17"/>
    </row>
    <row r="3664">
      <c r="B3664" s="11">
        <f>IFERROR(__xludf.DUMMYFUNCTION("""COMPUTED_VALUE"""),40702.666666666664)</f>
        <v>40702.66667</v>
      </c>
      <c r="C3664" s="9">
        <f>IFERROR(__xludf.DUMMYFUNCTION("""COMPUTED_VALUE"""),35.51)</f>
        <v>35.51</v>
      </c>
      <c r="E3664" s="17"/>
      <c r="N3664" s="17"/>
      <c r="Q3664" s="17"/>
    </row>
    <row r="3665">
      <c r="B3665" s="11">
        <f>IFERROR(__xludf.DUMMYFUNCTION("""COMPUTED_VALUE"""),40701.666666666664)</f>
        <v>40701.66667</v>
      </c>
      <c r="C3665" s="9">
        <f>IFERROR(__xludf.DUMMYFUNCTION("""COMPUTED_VALUE"""),35.82)</f>
        <v>35.82</v>
      </c>
      <c r="E3665" s="17"/>
      <c r="N3665" s="17"/>
      <c r="Q3665" s="17"/>
    </row>
    <row r="3666">
      <c r="B3666" s="11">
        <f>IFERROR(__xludf.DUMMYFUNCTION("""COMPUTED_VALUE"""),40700.666666666664)</f>
        <v>40700.66667</v>
      </c>
      <c r="C3666" s="9">
        <f>IFERROR(__xludf.DUMMYFUNCTION("""COMPUTED_VALUE"""),35.84)</f>
        <v>35.84</v>
      </c>
      <c r="E3666" s="17"/>
      <c r="N3666" s="17"/>
      <c r="Q3666" s="17"/>
    </row>
    <row r="3667">
      <c r="B3667" s="11">
        <f>IFERROR(__xludf.DUMMYFUNCTION("""COMPUTED_VALUE"""),40697.666666666664)</f>
        <v>40697.66667</v>
      </c>
      <c r="C3667" s="9">
        <f>IFERROR(__xludf.DUMMYFUNCTION("""COMPUTED_VALUE"""),36.1)</f>
        <v>36.1</v>
      </c>
      <c r="E3667" s="17"/>
      <c r="N3667" s="17"/>
      <c r="Q3667" s="17"/>
    </row>
    <row r="3668">
      <c r="B3668" s="11">
        <f>IFERROR(__xludf.DUMMYFUNCTION("""COMPUTED_VALUE"""),40696.666666666664)</f>
        <v>40696.66667</v>
      </c>
      <c r="C3668" s="9">
        <f>IFERROR(__xludf.DUMMYFUNCTION("""COMPUTED_VALUE"""),36.59)</f>
        <v>36.59</v>
      </c>
      <c r="E3668" s="17"/>
      <c r="N3668" s="17"/>
      <c r="Q3668" s="17"/>
    </row>
    <row r="3669">
      <c r="B3669" s="11">
        <f>IFERROR(__xludf.DUMMYFUNCTION("""COMPUTED_VALUE"""),40695.666666666664)</f>
        <v>40695.66667</v>
      </c>
      <c r="C3669" s="9">
        <f>IFERROR(__xludf.DUMMYFUNCTION("""COMPUTED_VALUE"""),36.4)</f>
        <v>36.4</v>
      </c>
      <c r="E3669" s="17"/>
      <c r="N3669" s="17"/>
      <c r="Q3669" s="17"/>
    </row>
    <row r="3670">
      <c r="B3670" s="11">
        <f>IFERROR(__xludf.DUMMYFUNCTION("""COMPUTED_VALUE"""),40694.666666666664)</f>
        <v>40694.66667</v>
      </c>
      <c r="C3670" s="9">
        <f>IFERROR(__xludf.DUMMYFUNCTION("""COMPUTED_VALUE"""),37.63)</f>
        <v>37.63</v>
      </c>
      <c r="E3670" s="17"/>
      <c r="N3670" s="17"/>
      <c r="Q3670" s="17"/>
    </row>
    <row r="3671">
      <c r="B3671" s="11">
        <f>IFERROR(__xludf.DUMMYFUNCTION("""COMPUTED_VALUE"""),40690.666666666664)</f>
        <v>40690.66667</v>
      </c>
      <c r="C3671" s="9">
        <f>IFERROR(__xludf.DUMMYFUNCTION("""COMPUTED_VALUE"""),37.29)</f>
        <v>37.29</v>
      </c>
      <c r="E3671" s="17"/>
      <c r="N3671" s="17"/>
      <c r="Q3671" s="17"/>
    </row>
    <row r="3672">
      <c r="B3672" s="11">
        <f>IFERROR(__xludf.DUMMYFUNCTION("""COMPUTED_VALUE"""),40689.666666666664)</f>
        <v>40689.66667</v>
      </c>
      <c r="C3672" s="9">
        <f>IFERROR(__xludf.DUMMYFUNCTION("""COMPUTED_VALUE"""),37.11)</f>
        <v>37.11</v>
      </c>
      <c r="E3672" s="17"/>
      <c r="N3672" s="17"/>
      <c r="Q3672" s="17"/>
    </row>
    <row r="3673">
      <c r="B3673" s="11">
        <f>IFERROR(__xludf.DUMMYFUNCTION("""COMPUTED_VALUE"""),40688.666666666664)</f>
        <v>40688.66667</v>
      </c>
      <c r="C3673" s="9">
        <f>IFERROR(__xludf.DUMMYFUNCTION("""COMPUTED_VALUE"""),36.96)</f>
        <v>36.96</v>
      </c>
      <c r="E3673" s="17"/>
      <c r="N3673" s="17"/>
      <c r="Q3673" s="17"/>
    </row>
    <row r="3674">
      <c r="B3674" s="11">
        <f>IFERROR(__xludf.DUMMYFUNCTION("""COMPUTED_VALUE"""),40687.666666666664)</f>
        <v>40687.66667</v>
      </c>
      <c r="C3674" s="9">
        <f>IFERROR(__xludf.DUMMYFUNCTION("""COMPUTED_VALUE"""),36.65)</f>
        <v>36.65</v>
      </c>
      <c r="E3674" s="17"/>
      <c r="N3674" s="17"/>
      <c r="Q3674" s="17"/>
    </row>
    <row r="3675">
      <c r="B3675" s="11">
        <f>IFERROR(__xludf.DUMMYFUNCTION("""COMPUTED_VALUE"""),40686.666666666664)</f>
        <v>40686.66667</v>
      </c>
      <c r="C3675" s="9">
        <f>IFERROR(__xludf.DUMMYFUNCTION("""COMPUTED_VALUE"""),36.84)</f>
        <v>36.84</v>
      </c>
      <c r="E3675" s="17"/>
      <c r="N3675" s="17"/>
      <c r="Q3675" s="17"/>
    </row>
    <row r="3676">
      <c r="B3676" s="11">
        <f>IFERROR(__xludf.DUMMYFUNCTION("""COMPUTED_VALUE"""),40683.666666666664)</f>
        <v>40683.66667</v>
      </c>
      <c r="C3676" s="9">
        <f>IFERROR(__xludf.DUMMYFUNCTION("""COMPUTED_VALUE"""),37.37)</f>
        <v>37.37</v>
      </c>
      <c r="E3676" s="17"/>
      <c r="N3676" s="17"/>
      <c r="Q3676" s="17"/>
    </row>
    <row r="3677">
      <c r="B3677" s="11">
        <f>IFERROR(__xludf.DUMMYFUNCTION("""COMPUTED_VALUE"""),40682.666666666664)</f>
        <v>40682.66667</v>
      </c>
      <c r="C3677" s="9">
        <f>IFERROR(__xludf.DUMMYFUNCTION("""COMPUTED_VALUE"""),37.77)</f>
        <v>37.77</v>
      </c>
      <c r="E3677" s="17"/>
      <c r="N3677" s="17"/>
      <c r="Q3677" s="17"/>
    </row>
    <row r="3678">
      <c r="B3678" s="11">
        <f>IFERROR(__xludf.DUMMYFUNCTION("""COMPUTED_VALUE"""),40681.666666666664)</f>
        <v>40681.66667</v>
      </c>
      <c r="C3678" s="9">
        <f>IFERROR(__xludf.DUMMYFUNCTION("""COMPUTED_VALUE"""),37.53)</f>
        <v>37.53</v>
      </c>
      <c r="E3678" s="17"/>
      <c r="N3678" s="17"/>
      <c r="Q3678" s="17"/>
    </row>
    <row r="3679">
      <c r="B3679" s="11">
        <f>IFERROR(__xludf.DUMMYFUNCTION("""COMPUTED_VALUE"""),40680.666666666664)</f>
        <v>40680.66667</v>
      </c>
      <c r="C3679" s="9">
        <f>IFERROR(__xludf.DUMMYFUNCTION("""COMPUTED_VALUE"""),37.03)</f>
        <v>37.03</v>
      </c>
      <c r="E3679" s="17"/>
      <c r="N3679" s="17"/>
      <c r="Q3679" s="17"/>
    </row>
    <row r="3680">
      <c r="B3680" s="11">
        <f>IFERROR(__xludf.DUMMYFUNCTION("""COMPUTED_VALUE"""),40679.666666666664)</f>
        <v>40679.66667</v>
      </c>
      <c r="C3680" s="9">
        <f>IFERROR(__xludf.DUMMYFUNCTION("""COMPUTED_VALUE"""),37.54)</f>
        <v>37.54</v>
      </c>
      <c r="E3680" s="17"/>
      <c r="N3680" s="17"/>
      <c r="Q3680" s="17"/>
    </row>
    <row r="3681">
      <c r="B3681" s="11">
        <f>IFERROR(__xludf.DUMMYFUNCTION("""COMPUTED_VALUE"""),40676.666666666664)</f>
        <v>40676.66667</v>
      </c>
      <c r="C3681" s="9">
        <f>IFERROR(__xludf.DUMMYFUNCTION("""COMPUTED_VALUE"""),37.68)</f>
        <v>37.68</v>
      </c>
      <c r="E3681" s="17"/>
      <c r="N3681" s="17"/>
      <c r="Q3681" s="17"/>
    </row>
    <row r="3682">
      <c r="B3682" s="11">
        <f>IFERROR(__xludf.DUMMYFUNCTION("""COMPUTED_VALUE"""),40675.666666666664)</f>
        <v>40675.66667</v>
      </c>
      <c r="C3682" s="9">
        <f>IFERROR(__xludf.DUMMYFUNCTION("""COMPUTED_VALUE"""),38.14)</f>
        <v>38.14</v>
      </c>
      <c r="E3682" s="17"/>
      <c r="N3682" s="17"/>
      <c r="Q3682" s="17"/>
    </row>
    <row r="3683">
      <c r="B3683" s="11">
        <f>IFERROR(__xludf.DUMMYFUNCTION("""COMPUTED_VALUE"""),40674.666666666664)</f>
        <v>40674.66667</v>
      </c>
      <c r="C3683" s="9">
        <f>IFERROR(__xludf.DUMMYFUNCTION("""COMPUTED_VALUE"""),38.06)</f>
        <v>38.06</v>
      </c>
      <c r="E3683" s="17"/>
      <c r="N3683" s="17"/>
      <c r="Q3683" s="17"/>
    </row>
    <row r="3684">
      <c r="B3684" s="11">
        <f>IFERROR(__xludf.DUMMYFUNCTION("""COMPUTED_VALUE"""),40673.666666666664)</f>
        <v>40673.66667</v>
      </c>
      <c r="C3684" s="9">
        <f>IFERROR(__xludf.DUMMYFUNCTION("""COMPUTED_VALUE"""),38.58)</f>
        <v>38.58</v>
      </c>
      <c r="E3684" s="17"/>
      <c r="N3684" s="17"/>
      <c r="Q3684" s="17"/>
    </row>
    <row r="3685">
      <c r="B3685" s="11">
        <f>IFERROR(__xludf.DUMMYFUNCTION("""COMPUTED_VALUE"""),40672.666666666664)</f>
        <v>40672.66667</v>
      </c>
      <c r="C3685" s="9">
        <f>IFERROR(__xludf.DUMMYFUNCTION("""COMPUTED_VALUE"""),38.23)</f>
        <v>38.23</v>
      </c>
      <c r="E3685" s="17"/>
      <c r="N3685" s="17"/>
      <c r="Q3685" s="17"/>
    </row>
    <row r="3686">
      <c r="B3686" s="11">
        <f>IFERROR(__xludf.DUMMYFUNCTION("""COMPUTED_VALUE"""),40669.666666666664)</f>
        <v>40669.66667</v>
      </c>
      <c r="C3686" s="9">
        <f>IFERROR(__xludf.DUMMYFUNCTION("""COMPUTED_VALUE"""),38.07)</f>
        <v>38.07</v>
      </c>
      <c r="E3686" s="17"/>
      <c r="N3686" s="17"/>
      <c r="Q3686" s="17"/>
    </row>
    <row r="3687">
      <c r="B3687" s="11">
        <f>IFERROR(__xludf.DUMMYFUNCTION("""COMPUTED_VALUE"""),40668.666666666664)</f>
        <v>40668.66667</v>
      </c>
      <c r="C3687" s="9">
        <f>IFERROR(__xludf.DUMMYFUNCTION("""COMPUTED_VALUE"""),37.74)</f>
        <v>37.74</v>
      </c>
      <c r="E3687" s="17"/>
      <c r="N3687" s="17"/>
      <c r="Q3687" s="17"/>
    </row>
    <row r="3688">
      <c r="B3688" s="11">
        <f>IFERROR(__xludf.DUMMYFUNCTION("""COMPUTED_VALUE"""),40667.666666666664)</f>
        <v>40667.66667</v>
      </c>
      <c r="C3688" s="9">
        <f>IFERROR(__xludf.DUMMYFUNCTION("""COMPUTED_VALUE"""),37.92)</f>
        <v>37.92</v>
      </c>
      <c r="E3688" s="17"/>
      <c r="N3688" s="17"/>
      <c r="Q3688" s="17"/>
    </row>
    <row r="3689">
      <c r="B3689" s="11">
        <f>IFERROR(__xludf.DUMMYFUNCTION("""COMPUTED_VALUE"""),40666.666666666664)</f>
        <v>40666.66667</v>
      </c>
      <c r="C3689" s="9">
        <f>IFERROR(__xludf.DUMMYFUNCTION("""COMPUTED_VALUE"""),38.48)</f>
        <v>38.48</v>
      </c>
      <c r="E3689" s="17"/>
      <c r="N3689" s="17"/>
      <c r="Q3689" s="17"/>
    </row>
    <row r="3690">
      <c r="B3690" s="11">
        <f>IFERROR(__xludf.DUMMYFUNCTION("""COMPUTED_VALUE"""),40665.666666666664)</f>
        <v>40665.66667</v>
      </c>
      <c r="C3690" s="9">
        <f>IFERROR(__xludf.DUMMYFUNCTION("""COMPUTED_VALUE"""),38.64)</f>
        <v>38.64</v>
      </c>
      <c r="E3690" s="17"/>
      <c r="N3690" s="17"/>
      <c r="Q3690" s="17"/>
    </row>
    <row r="3691">
      <c r="B3691" s="11">
        <f>IFERROR(__xludf.DUMMYFUNCTION("""COMPUTED_VALUE"""),40662.666666666664)</f>
        <v>40662.66667</v>
      </c>
      <c r="C3691" s="9">
        <f>IFERROR(__xludf.DUMMYFUNCTION("""COMPUTED_VALUE"""),38.7)</f>
        <v>38.7</v>
      </c>
      <c r="E3691" s="17"/>
      <c r="N3691" s="17"/>
      <c r="Q3691" s="17"/>
    </row>
    <row r="3692">
      <c r="B3692" s="11">
        <f>IFERROR(__xludf.DUMMYFUNCTION("""COMPUTED_VALUE"""),40661.666666666664)</f>
        <v>40661.66667</v>
      </c>
      <c r="C3692" s="9">
        <f>IFERROR(__xludf.DUMMYFUNCTION("""COMPUTED_VALUE"""),38.54)</f>
        <v>38.54</v>
      </c>
      <c r="E3692" s="17"/>
      <c r="N3692" s="17"/>
      <c r="Q3692" s="17"/>
    </row>
    <row r="3693">
      <c r="B3693" s="11">
        <f>IFERROR(__xludf.DUMMYFUNCTION("""COMPUTED_VALUE"""),40660.666666666664)</f>
        <v>40660.66667</v>
      </c>
      <c r="C3693" s="9">
        <f>IFERROR(__xludf.DUMMYFUNCTION("""COMPUTED_VALUE"""),38.41)</f>
        <v>38.41</v>
      </c>
      <c r="E3693" s="17"/>
      <c r="N3693" s="17"/>
      <c r="Q3693" s="17"/>
    </row>
    <row r="3694">
      <c r="B3694" s="11">
        <f>IFERROR(__xludf.DUMMYFUNCTION("""COMPUTED_VALUE"""),40659.666666666664)</f>
        <v>40659.66667</v>
      </c>
      <c r="C3694" s="9">
        <f>IFERROR(__xludf.DUMMYFUNCTION("""COMPUTED_VALUE"""),38.24)</f>
        <v>38.24</v>
      </c>
      <c r="E3694" s="17"/>
      <c r="N3694" s="17"/>
      <c r="Q3694" s="17"/>
    </row>
    <row r="3695">
      <c r="B3695" s="11">
        <f>IFERROR(__xludf.DUMMYFUNCTION("""COMPUTED_VALUE"""),40658.666666666664)</f>
        <v>40658.66667</v>
      </c>
      <c r="C3695" s="9">
        <f>IFERROR(__xludf.DUMMYFUNCTION("""COMPUTED_VALUE"""),37.52)</f>
        <v>37.52</v>
      </c>
      <c r="E3695" s="17"/>
      <c r="N3695" s="17"/>
      <c r="Q3695" s="17"/>
    </row>
    <row r="3696">
      <c r="B3696" s="11">
        <f>IFERROR(__xludf.DUMMYFUNCTION("""COMPUTED_VALUE"""),40654.666666666664)</f>
        <v>40654.66667</v>
      </c>
      <c r="C3696" s="9">
        <f>IFERROR(__xludf.DUMMYFUNCTION("""COMPUTED_VALUE"""),37.63)</f>
        <v>37.63</v>
      </c>
      <c r="E3696" s="17"/>
      <c r="N3696" s="17"/>
      <c r="Q3696" s="17"/>
    </row>
    <row r="3697">
      <c r="B3697" s="11">
        <f>IFERROR(__xludf.DUMMYFUNCTION("""COMPUTED_VALUE"""),40653.666666666664)</f>
        <v>40653.66667</v>
      </c>
      <c r="C3697" s="9">
        <f>IFERROR(__xludf.DUMMYFUNCTION("""COMPUTED_VALUE"""),37.52)</f>
        <v>37.52</v>
      </c>
      <c r="E3697" s="17"/>
      <c r="N3697" s="17"/>
      <c r="Q3697" s="17"/>
    </row>
    <row r="3698">
      <c r="B3698" s="11">
        <f>IFERROR(__xludf.DUMMYFUNCTION("""COMPUTED_VALUE"""),40652.666666666664)</f>
        <v>40652.66667</v>
      </c>
      <c r="C3698" s="9">
        <f>IFERROR(__xludf.DUMMYFUNCTION("""COMPUTED_VALUE"""),36.92)</f>
        <v>36.92</v>
      </c>
      <c r="E3698" s="17"/>
      <c r="N3698" s="17"/>
      <c r="Q3698" s="17"/>
    </row>
    <row r="3699">
      <c r="B3699" s="11">
        <f>IFERROR(__xludf.DUMMYFUNCTION("""COMPUTED_VALUE"""),40651.666666666664)</f>
        <v>40651.66667</v>
      </c>
      <c r="C3699" s="9">
        <f>IFERROR(__xludf.DUMMYFUNCTION("""COMPUTED_VALUE"""),36.6)</f>
        <v>36.6</v>
      </c>
      <c r="E3699" s="17"/>
      <c r="N3699" s="17"/>
      <c r="Q3699" s="17"/>
    </row>
    <row r="3700">
      <c r="B3700" s="11">
        <f>IFERROR(__xludf.DUMMYFUNCTION("""COMPUTED_VALUE"""),40648.666666666664)</f>
        <v>40648.66667</v>
      </c>
      <c r="C3700" s="9">
        <f>IFERROR(__xludf.DUMMYFUNCTION("""COMPUTED_VALUE"""),37.13)</f>
        <v>37.13</v>
      </c>
      <c r="E3700" s="17"/>
      <c r="N3700" s="17"/>
      <c r="Q3700" s="17"/>
    </row>
    <row r="3701">
      <c r="B3701" s="11">
        <f>IFERROR(__xludf.DUMMYFUNCTION("""COMPUTED_VALUE"""),40647.666666666664)</f>
        <v>40647.66667</v>
      </c>
      <c r="C3701" s="9">
        <f>IFERROR(__xludf.DUMMYFUNCTION("""COMPUTED_VALUE"""),37.0)</f>
        <v>37</v>
      </c>
      <c r="E3701" s="17"/>
      <c r="N3701" s="17"/>
      <c r="Q3701" s="17"/>
    </row>
    <row r="3702">
      <c r="B3702" s="11">
        <f>IFERROR(__xludf.DUMMYFUNCTION("""COMPUTED_VALUE"""),40646.666666666664)</f>
        <v>40646.66667</v>
      </c>
      <c r="C3702" s="9">
        <f>IFERROR(__xludf.DUMMYFUNCTION("""COMPUTED_VALUE"""),37.0)</f>
        <v>37</v>
      </c>
      <c r="E3702" s="17"/>
      <c r="N3702" s="17"/>
      <c r="Q3702" s="17"/>
    </row>
    <row r="3703">
      <c r="B3703" s="11">
        <f>IFERROR(__xludf.DUMMYFUNCTION("""COMPUTED_VALUE"""),40645.666666666664)</f>
        <v>40645.66667</v>
      </c>
      <c r="C3703" s="9">
        <f>IFERROR(__xludf.DUMMYFUNCTION("""COMPUTED_VALUE"""),37.11)</f>
        <v>37.11</v>
      </c>
      <c r="E3703" s="17"/>
      <c r="N3703" s="17"/>
      <c r="Q3703" s="17"/>
    </row>
    <row r="3704">
      <c r="B3704" s="11">
        <f>IFERROR(__xludf.DUMMYFUNCTION("""COMPUTED_VALUE"""),40644.666666666664)</f>
        <v>40644.66667</v>
      </c>
      <c r="C3704" s="9">
        <f>IFERROR(__xludf.DUMMYFUNCTION("""COMPUTED_VALUE"""),37.39)</f>
        <v>37.39</v>
      </c>
      <c r="E3704" s="17"/>
      <c r="N3704" s="17"/>
      <c r="Q3704" s="17"/>
    </row>
    <row r="3705">
      <c r="B3705" s="11">
        <f>IFERROR(__xludf.DUMMYFUNCTION("""COMPUTED_VALUE"""),40641.666666666664)</f>
        <v>40641.66667</v>
      </c>
      <c r="C3705" s="9">
        <f>IFERROR(__xludf.DUMMYFUNCTION("""COMPUTED_VALUE"""),37.42)</f>
        <v>37.42</v>
      </c>
      <c r="E3705" s="17"/>
      <c r="N3705" s="17"/>
      <c r="Q3705" s="17"/>
    </row>
    <row r="3706">
      <c r="B3706" s="11">
        <f>IFERROR(__xludf.DUMMYFUNCTION("""COMPUTED_VALUE"""),40640.666666666664)</f>
        <v>40640.66667</v>
      </c>
      <c r="C3706" s="9">
        <f>IFERROR(__xludf.DUMMYFUNCTION("""COMPUTED_VALUE"""),37.75)</f>
        <v>37.75</v>
      </c>
      <c r="E3706" s="17"/>
      <c r="N3706" s="17"/>
      <c r="Q3706" s="17"/>
    </row>
    <row r="3707">
      <c r="B3707" s="11">
        <f>IFERROR(__xludf.DUMMYFUNCTION("""COMPUTED_VALUE"""),40639.666666666664)</f>
        <v>40639.66667</v>
      </c>
      <c r="C3707" s="9">
        <f>IFERROR(__xludf.DUMMYFUNCTION("""COMPUTED_VALUE"""),37.93)</f>
        <v>37.93</v>
      </c>
      <c r="E3707" s="17"/>
      <c r="N3707" s="17"/>
      <c r="Q3707" s="17"/>
    </row>
    <row r="3708">
      <c r="B3708" s="11">
        <f>IFERROR(__xludf.DUMMYFUNCTION("""COMPUTED_VALUE"""),40638.666666666664)</f>
        <v>40638.66667</v>
      </c>
      <c r="C3708" s="9">
        <f>IFERROR(__xludf.DUMMYFUNCTION("""COMPUTED_VALUE"""),37.89)</f>
        <v>37.89</v>
      </c>
      <c r="E3708" s="17"/>
      <c r="N3708" s="17"/>
      <c r="Q3708" s="17"/>
    </row>
    <row r="3709">
      <c r="B3709" s="11">
        <f>IFERROR(__xludf.DUMMYFUNCTION("""COMPUTED_VALUE"""),40637.666666666664)</f>
        <v>40637.66667</v>
      </c>
      <c r="C3709" s="9">
        <f>IFERROR(__xludf.DUMMYFUNCTION("""COMPUTED_VALUE"""),38.03)</f>
        <v>38.03</v>
      </c>
      <c r="E3709" s="17"/>
      <c r="N3709" s="17"/>
      <c r="Q3709" s="17"/>
    </row>
    <row r="3710">
      <c r="B3710" s="11">
        <f>IFERROR(__xludf.DUMMYFUNCTION("""COMPUTED_VALUE"""),40634.666666666664)</f>
        <v>40634.66667</v>
      </c>
      <c r="C3710" s="9">
        <f>IFERROR(__xludf.DUMMYFUNCTION("""COMPUTED_VALUE"""),37.98)</f>
        <v>37.98</v>
      </c>
      <c r="E3710" s="17"/>
      <c r="N3710" s="17"/>
      <c r="Q3710" s="17"/>
    </row>
    <row r="3711">
      <c r="B3711" s="11">
        <f>IFERROR(__xludf.DUMMYFUNCTION("""COMPUTED_VALUE"""),40633.666666666664)</f>
        <v>40633.66667</v>
      </c>
      <c r="C3711" s="9">
        <f>IFERROR(__xludf.DUMMYFUNCTION("""COMPUTED_VALUE"""),37.67)</f>
        <v>37.67</v>
      </c>
      <c r="E3711" s="17"/>
      <c r="N3711" s="17"/>
      <c r="Q3711" s="17"/>
    </row>
    <row r="3712">
      <c r="B3712" s="11">
        <f>IFERROR(__xludf.DUMMYFUNCTION("""COMPUTED_VALUE"""),40632.666666666664)</f>
        <v>40632.66667</v>
      </c>
      <c r="C3712" s="9">
        <f>IFERROR(__xludf.DUMMYFUNCTION("""COMPUTED_VALUE"""),37.52)</f>
        <v>37.52</v>
      </c>
      <c r="E3712" s="17"/>
      <c r="N3712" s="17"/>
      <c r="Q3712" s="17"/>
    </row>
    <row r="3713">
      <c r="B3713" s="11">
        <f>IFERROR(__xludf.DUMMYFUNCTION("""COMPUTED_VALUE"""),40631.666666666664)</f>
        <v>40631.66667</v>
      </c>
      <c r="C3713" s="9">
        <f>IFERROR(__xludf.DUMMYFUNCTION("""COMPUTED_VALUE"""),37.37)</f>
        <v>37.37</v>
      </c>
      <c r="E3713" s="17"/>
      <c r="N3713" s="17"/>
      <c r="Q3713" s="17"/>
    </row>
    <row r="3714">
      <c r="B3714" s="11">
        <f>IFERROR(__xludf.DUMMYFUNCTION("""COMPUTED_VALUE"""),40630.666666666664)</f>
        <v>40630.66667</v>
      </c>
      <c r="C3714" s="9">
        <f>IFERROR(__xludf.DUMMYFUNCTION("""COMPUTED_VALUE"""),37.07)</f>
        <v>37.07</v>
      </c>
      <c r="E3714" s="17"/>
      <c r="N3714" s="17"/>
      <c r="Q3714" s="17"/>
    </row>
    <row r="3715">
      <c r="B3715" s="11">
        <f>IFERROR(__xludf.DUMMYFUNCTION("""COMPUTED_VALUE"""),40627.666666666664)</f>
        <v>40627.66667</v>
      </c>
      <c r="C3715" s="9">
        <f>IFERROR(__xludf.DUMMYFUNCTION("""COMPUTED_VALUE"""),37.1)</f>
        <v>37.1</v>
      </c>
      <c r="E3715" s="17"/>
      <c r="N3715" s="17"/>
      <c r="Q3715" s="17"/>
    </row>
    <row r="3716">
      <c r="B3716" s="11">
        <f>IFERROR(__xludf.DUMMYFUNCTION("""COMPUTED_VALUE"""),40626.666666666664)</f>
        <v>40626.66667</v>
      </c>
      <c r="C3716" s="9">
        <f>IFERROR(__xludf.DUMMYFUNCTION("""COMPUTED_VALUE"""),36.97)</f>
        <v>36.97</v>
      </c>
      <c r="E3716" s="17"/>
      <c r="N3716" s="17"/>
      <c r="Q3716" s="17"/>
    </row>
    <row r="3717">
      <c r="B3717" s="11">
        <f>IFERROR(__xludf.DUMMYFUNCTION("""COMPUTED_VALUE"""),40625.666666666664)</f>
        <v>40625.66667</v>
      </c>
      <c r="C3717" s="9">
        <f>IFERROR(__xludf.DUMMYFUNCTION("""COMPUTED_VALUE"""),36.59)</f>
        <v>36.59</v>
      </c>
      <c r="E3717" s="17"/>
      <c r="N3717" s="17"/>
      <c r="Q3717" s="17"/>
    </row>
    <row r="3718">
      <c r="B3718" s="11">
        <f>IFERROR(__xludf.DUMMYFUNCTION("""COMPUTED_VALUE"""),40624.666666666664)</f>
        <v>40624.66667</v>
      </c>
      <c r="C3718" s="9">
        <f>IFERROR(__xludf.DUMMYFUNCTION("""COMPUTED_VALUE"""),36.47)</f>
        <v>36.47</v>
      </c>
      <c r="E3718" s="17"/>
      <c r="N3718" s="17"/>
      <c r="Q3718" s="17"/>
    </row>
    <row r="3719">
      <c r="B3719" s="11">
        <f>IFERROR(__xludf.DUMMYFUNCTION("""COMPUTED_VALUE"""),40623.666666666664)</f>
        <v>40623.66667</v>
      </c>
      <c r="C3719" s="9">
        <f>IFERROR(__xludf.DUMMYFUNCTION("""COMPUTED_VALUE"""),36.76)</f>
        <v>36.76</v>
      </c>
      <c r="E3719" s="17"/>
      <c r="N3719" s="17"/>
      <c r="Q3719" s="17"/>
    </row>
    <row r="3720">
      <c r="B3720" s="11">
        <f>IFERROR(__xludf.DUMMYFUNCTION("""COMPUTED_VALUE"""),40620.666666666664)</f>
        <v>40620.66667</v>
      </c>
      <c r="C3720" s="9">
        <f>IFERROR(__xludf.DUMMYFUNCTION("""COMPUTED_VALUE"""),35.97)</f>
        <v>35.97</v>
      </c>
      <c r="E3720" s="17"/>
      <c r="N3720" s="17"/>
      <c r="Q3720" s="17"/>
    </row>
    <row r="3721">
      <c r="B3721" s="11">
        <f>IFERROR(__xludf.DUMMYFUNCTION("""COMPUTED_VALUE"""),40619.666666666664)</f>
        <v>40619.66667</v>
      </c>
      <c r="C3721" s="9">
        <f>IFERROR(__xludf.DUMMYFUNCTION("""COMPUTED_VALUE"""),35.9)</f>
        <v>35.9</v>
      </c>
      <c r="E3721" s="17"/>
      <c r="N3721" s="17"/>
      <c r="Q3721" s="17"/>
    </row>
    <row r="3722">
      <c r="B3722" s="11">
        <f>IFERROR(__xludf.DUMMYFUNCTION("""COMPUTED_VALUE"""),40618.666666666664)</f>
        <v>40618.66667</v>
      </c>
      <c r="C3722" s="9">
        <f>IFERROR(__xludf.DUMMYFUNCTION("""COMPUTED_VALUE"""),35.35)</f>
        <v>35.35</v>
      </c>
      <c r="E3722" s="17"/>
      <c r="N3722" s="17"/>
      <c r="Q3722" s="17"/>
    </row>
    <row r="3723">
      <c r="B3723" s="11">
        <f>IFERROR(__xludf.DUMMYFUNCTION("""COMPUTED_VALUE"""),40617.666666666664)</f>
        <v>40617.66667</v>
      </c>
      <c r="C3723" s="9">
        <f>IFERROR(__xludf.DUMMYFUNCTION("""COMPUTED_VALUE"""),36.02)</f>
        <v>36.02</v>
      </c>
      <c r="E3723" s="17"/>
      <c r="N3723" s="17"/>
      <c r="Q3723" s="17"/>
    </row>
    <row r="3724">
      <c r="B3724" s="11">
        <f>IFERROR(__xludf.DUMMYFUNCTION("""COMPUTED_VALUE"""),40616.666666666664)</f>
        <v>40616.66667</v>
      </c>
      <c r="C3724" s="9">
        <f>IFERROR(__xludf.DUMMYFUNCTION("""COMPUTED_VALUE"""),36.36)</f>
        <v>36.36</v>
      </c>
      <c r="E3724" s="17"/>
      <c r="N3724" s="17"/>
      <c r="Q3724" s="17"/>
    </row>
    <row r="3725">
      <c r="B3725" s="11">
        <f>IFERROR(__xludf.DUMMYFUNCTION("""COMPUTED_VALUE"""),40613.666666666664)</f>
        <v>40613.66667</v>
      </c>
      <c r="C3725" s="9">
        <f>IFERROR(__xludf.DUMMYFUNCTION("""COMPUTED_VALUE"""),36.67)</f>
        <v>36.67</v>
      </c>
      <c r="E3725" s="17"/>
      <c r="N3725" s="17"/>
      <c r="Q3725" s="17"/>
    </row>
    <row r="3726">
      <c r="B3726" s="11">
        <f>IFERROR(__xludf.DUMMYFUNCTION("""COMPUTED_VALUE"""),40612.666666666664)</f>
        <v>40612.66667</v>
      </c>
      <c r="C3726" s="9">
        <f>IFERROR(__xludf.DUMMYFUNCTION("""COMPUTED_VALUE"""),36.24)</f>
        <v>36.24</v>
      </c>
      <c r="E3726" s="17"/>
      <c r="N3726" s="17"/>
      <c r="Q3726" s="17"/>
    </row>
    <row r="3727">
      <c r="B3727" s="11">
        <f>IFERROR(__xludf.DUMMYFUNCTION("""COMPUTED_VALUE"""),40611.666666666664)</f>
        <v>40611.66667</v>
      </c>
      <c r="C3727" s="9">
        <f>IFERROR(__xludf.DUMMYFUNCTION("""COMPUTED_VALUE"""),36.99)</f>
        <v>36.99</v>
      </c>
      <c r="E3727" s="17"/>
      <c r="N3727" s="17"/>
      <c r="Q3727" s="17"/>
    </row>
    <row r="3728">
      <c r="B3728" s="11">
        <f>IFERROR(__xludf.DUMMYFUNCTION("""COMPUTED_VALUE"""),40610.666666666664)</f>
        <v>40610.66667</v>
      </c>
      <c r="C3728" s="9">
        <f>IFERROR(__xludf.DUMMYFUNCTION("""COMPUTED_VALUE"""),37.07)</f>
        <v>37.07</v>
      </c>
      <c r="E3728" s="17"/>
      <c r="N3728" s="17"/>
      <c r="Q3728" s="17"/>
    </row>
    <row r="3729">
      <c r="B3729" s="11">
        <f>IFERROR(__xludf.DUMMYFUNCTION("""COMPUTED_VALUE"""),40609.666666666664)</f>
        <v>40609.66667</v>
      </c>
      <c r="C3729" s="9">
        <f>IFERROR(__xludf.DUMMYFUNCTION("""COMPUTED_VALUE"""),36.5)</f>
        <v>36.5</v>
      </c>
      <c r="E3729" s="17"/>
      <c r="N3729" s="17"/>
      <c r="Q3729" s="17"/>
    </row>
    <row r="3730">
      <c r="B3730" s="11">
        <f>IFERROR(__xludf.DUMMYFUNCTION("""COMPUTED_VALUE"""),40606.666666666664)</f>
        <v>40606.66667</v>
      </c>
      <c r="C3730" s="9">
        <f>IFERROR(__xludf.DUMMYFUNCTION("""COMPUTED_VALUE"""),36.84)</f>
        <v>36.84</v>
      </c>
      <c r="E3730" s="17"/>
      <c r="N3730" s="17"/>
      <c r="Q3730" s="17"/>
    </row>
    <row r="3731">
      <c r="B3731" s="11">
        <f>IFERROR(__xludf.DUMMYFUNCTION("""COMPUTED_VALUE"""),40605.666666666664)</f>
        <v>40605.66667</v>
      </c>
      <c r="C3731" s="9">
        <f>IFERROR(__xludf.DUMMYFUNCTION("""COMPUTED_VALUE"""),37.28)</f>
        <v>37.28</v>
      </c>
      <c r="E3731" s="17"/>
      <c r="N3731" s="17"/>
      <c r="Q3731" s="17"/>
    </row>
    <row r="3732">
      <c r="B3732" s="11">
        <f>IFERROR(__xludf.DUMMYFUNCTION("""COMPUTED_VALUE"""),40604.666666666664)</f>
        <v>40604.66667</v>
      </c>
      <c r="C3732" s="9">
        <f>IFERROR(__xludf.DUMMYFUNCTION("""COMPUTED_VALUE"""),36.4)</f>
        <v>36.4</v>
      </c>
      <c r="E3732" s="17"/>
      <c r="N3732" s="17"/>
      <c r="Q3732" s="17"/>
    </row>
    <row r="3733">
      <c r="B3733" s="11">
        <f>IFERROR(__xludf.DUMMYFUNCTION("""COMPUTED_VALUE"""),40603.666666666664)</f>
        <v>40603.66667</v>
      </c>
      <c r="C3733" s="9">
        <f>IFERROR(__xludf.DUMMYFUNCTION("""COMPUTED_VALUE"""),36.23)</f>
        <v>36.23</v>
      </c>
      <c r="E3733" s="17"/>
      <c r="N3733" s="17"/>
      <c r="Q3733" s="17"/>
    </row>
    <row r="3734">
      <c r="B3734" s="11">
        <f>IFERROR(__xludf.DUMMYFUNCTION("""COMPUTED_VALUE"""),40602.666666666664)</f>
        <v>40602.66667</v>
      </c>
      <c r="C3734" s="9">
        <f>IFERROR(__xludf.DUMMYFUNCTION("""COMPUTED_VALUE"""),37.01)</f>
        <v>37.01</v>
      </c>
      <c r="E3734" s="17"/>
      <c r="N3734" s="17"/>
      <c r="Q3734" s="17"/>
    </row>
    <row r="3735">
      <c r="B3735" s="11">
        <f>IFERROR(__xludf.DUMMYFUNCTION("""COMPUTED_VALUE"""),40599.666666666664)</f>
        <v>40599.66667</v>
      </c>
      <c r="C3735" s="9">
        <f>IFERROR(__xludf.DUMMYFUNCTION("""COMPUTED_VALUE"""),36.83)</f>
        <v>36.83</v>
      </c>
      <c r="E3735" s="17"/>
      <c r="N3735" s="17"/>
      <c r="Q3735" s="17"/>
    </row>
    <row r="3736">
      <c r="B3736" s="11">
        <f>IFERROR(__xludf.DUMMYFUNCTION("""COMPUTED_VALUE"""),40598.666666666664)</f>
        <v>40598.66667</v>
      </c>
      <c r="C3736" s="9">
        <f>IFERROR(__xludf.DUMMYFUNCTION("""COMPUTED_VALUE"""),36.5)</f>
        <v>36.5</v>
      </c>
      <c r="E3736" s="17"/>
      <c r="N3736" s="17"/>
      <c r="Q3736" s="17"/>
    </row>
    <row r="3737">
      <c r="B3737" s="11">
        <f>IFERROR(__xludf.DUMMYFUNCTION("""COMPUTED_VALUE"""),40597.666666666664)</f>
        <v>40597.66667</v>
      </c>
      <c r="C3737" s="9">
        <f>IFERROR(__xludf.DUMMYFUNCTION("""COMPUTED_VALUE"""),36.29)</f>
        <v>36.29</v>
      </c>
      <c r="E3737" s="17"/>
      <c r="N3737" s="17"/>
      <c r="Q3737" s="17"/>
    </row>
    <row r="3738">
      <c r="B3738" s="11">
        <f>IFERROR(__xludf.DUMMYFUNCTION("""COMPUTED_VALUE"""),40596.666666666664)</f>
        <v>40596.66667</v>
      </c>
      <c r="C3738" s="9">
        <f>IFERROR(__xludf.DUMMYFUNCTION("""COMPUTED_VALUE"""),36.94)</f>
        <v>36.94</v>
      </c>
      <c r="E3738" s="17"/>
      <c r="N3738" s="17"/>
      <c r="Q3738" s="17"/>
    </row>
    <row r="3739">
      <c r="B3739" s="11">
        <f>IFERROR(__xludf.DUMMYFUNCTION("""COMPUTED_VALUE"""),40592.666666666664)</f>
        <v>40592.66667</v>
      </c>
      <c r="C3739" s="9">
        <f>IFERROR(__xludf.DUMMYFUNCTION("""COMPUTED_VALUE"""),38.05)</f>
        <v>38.05</v>
      </c>
      <c r="E3739" s="17"/>
      <c r="N3739" s="17"/>
      <c r="Q3739" s="17"/>
    </row>
    <row r="3740">
      <c r="B3740" s="11">
        <f>IFERROR(__xludf.DUMMYFUNCTION("""COMPUTED_VALUE"""),40591.666666666664)</f>
        <v>40591.66667</v>
      </c>
      <c r="C3740" s="9">
        <f>IFERROR(__xludf.DUMMYFUNCTION("""COMPUTED_VALUE"""),37.94)</f>
        <v>37.94</v>
      </c>
      <c r="E3740" s="17"/>
      <c r="N3740" s="17"/>
      <c r="Q3740" s="17"/>
    </row>
    <row r="3741">
      <c r="B3741" s="11">
        <f>IFERROR(__xludf.DUMMYFUNCTION("""COMPUTED_VALUE"""),40590.666666666664)</f>
        <v>40590.66667</v>
      </c>
      <c r="C3741" s="9">
        <f>IFERROR(__xludf.DUMMYFUNCTION("""COMPUTED_VALUE"""),37.85)</f>
        <v>37.85</v>
      </c>
      <c r="E3741" s="17"/>
      <c r="N3741" s="17"/>
      <c r="Q3741" s="17"/>
    </row>
    <row r="3742">
      <c r="B3742" s="11">
        <f>IFERROR(__xludf.DUMMYFUNCTION("""COMPUTED_VALUE"""),40589.666666666664)</f>
        <v>40589.66667</v>
      </c>
      <c r="C3742" s="9">
        <f>IFERROR(__xludf.DUMMYFUNCTION("""COMPUTED_VALUE"""),37.67)</f>
        <v>37.67</v>
      </c>
      <c r="E3742" s="17"/>
      <c r="N3742" s="17"/>
      <c r="Q3742" s="17"/>
    </row>
    <row r="3743">
      <c r="B3743" s="11">
        <f>IFERROR(__xludf.DUMMYFUNCTION("""COMPUTED_VALUE"""),40588.666666666664)</f>
        <v>40588.66667</v>
      </c>
      <c r="C3743" s="9">
        <f>IFERROR(__xludf.DUMMYFUNCTION("""COMPUTED_VALUE"""),37.81)</f>
        <v>37.81</v>
      </c>
      <c r="E3743" s="17"/>
      <c r="N3743" s="17"/>
      <c r="Q3743" s="17"/>
    </row>
    <row r="3744">
      <c r="B3744" s="11">
        <f>IFERROR(__xludf.DUMMYFUNCTION("""COMPUTED_VALUE"""),40585.666666666664)</f>
        <v>40585.66667</v>
      </c>
      <c r="C3744" s="9">
        <f>IFERROR(__xludf.DUMMYFUNCTION("""COMPUTED_VALUE"""),37.85)</f>
        <v>37.85</v>
      </c>
      <c r="E3744" s="17"/>
      <c r="N3744" s="17"/>
      <c r="Q3744" s="17"/>
    </row>
    <row r="3745">
      <c r="B3745" s="11">
        <f>IFERROR(__xludf.DUMMYFUNCTION("""COMPUTED_VALUE"""),40584.666666666664)</f>
        <v>40584.66667</v>
      </c>
      <c r="C3745" s="9">
        <f>IFERROR(__xludf.DUMMYFUNCTION("""COMPUTED_VALUE"""),37.57)</f>
        <v>37.57</v>
      </c>
      <c r="E3745" s="17"/>
      <c r="N3745" s="17"/>
      <c r="Q3745" s="17"/>
    </row>
    <row r="3746">
      <c r="B3746" s="11">
        <f>IFERROR(__xludf.DUMMYFUNCTION("""COMPUTED_VALUE"""),40583.666666666664)</f>
        <v>40583.66667</v>
      </c>
      <c r="C3746" s="9">
        <f>IFERROR(__xludf.DUMMYFUNCTION("""COMPUTED_VALUE"""),37.37)</f>
        <v>37.37</v>
      </c>
      <c r="E3746" s="17"/>
      <c r="N3746" s="17"/>
      <c r="Q3746" s="17"/>
    </row>
    <row r="3747">
      <c r="B3747" s="11">
        <f>IFERROR(__xludf.DUMMYFUNCTION("""COMPUTED_VALUE"""),40582.666666666664)</f>
        <v>40582.66667</v>
      </c>
      <c r="C3747" s="9">
        <f>IFERROR(__xludf.DUMMYFUNCTION("""COMPUTED_VALUE"""),37.38)</f>
        <v>37.38</v>
      </c>
      <c r="E3747" s="17"/>
      <c r="N3747" s="17"/>
      <c r="Q3747" s="17"/>
    </row>
    <row r="3748">
      <c r="B3748" s="11">
        <f>IFERROR(__xludf.DUMMYFUNCTION("""COMPUTED_VALUE"""),40581.666666666664)</f>
        <v>40581.66667</v>
      </c>
      <c r="C3748" s="9">
        <f>IFERROR(__xludf.DUMMYFUNCTION("""COMPUTED_VALUE"""),37.13)</f>
        <v>37.13</v>
      </c>
      <c r="E3748" s="17"/>
      <c r="N3748" s="17"/>
      <c r="Q3748" s="17"/>
    </row>
    <row r="3749">
      <c r="B3749" s="11">
        <f>IFERROR(__xludf.DUMMYFUNCTION("""COMPUTED_VALUE"""),40578.666666666664)</f>
        <v>40578.66667</v>
      </c>
      <c r="C3749" s="9">
        <f>IFERROR(__xludf.DUMMYFUNCTION("""COMPUTED_VALUE"""),36.78)</f>
        <v>36.78</v>
      </c>
      <c r="E3749" s="17"/>
      <c r="N3749" s="17"/>
      <c r="Q3749" s="17"/>
    </row>
    <row r="3750">
      <c r="B3750" s="11">
        <f>IFERROR(__xludf.DUMMYFUNCTION("""COMPUTED_VALUE"""),40577.666666666664)</f>
        <v>40577.66667</v>
      </c>
      <c r="C3750" s="9">
        <f>IFERROR(__xludf.DUMMYFUNCTION("""COMPUTED_VALUE"""),36.65)</f>
        <v>36.65</v>
      </c>
      <c r="E3750" s="17"/>
      <c r="N3750" s="17"/>
      <c r="Q3750" s="17"/>
    </row>
    <row r="3751">
      <c r="B3751" s="11">
        <f>IFERROR(__xludf.DUMMYFUNCTION("""COMPUTED_VALUE"""),40576.666666666664)</f>
        <v>40576.66667</v>
      </c>
      <c r="C3751" s="9">
        <f>IFERROR(__xludf.DUMMYFUNCTION("""COMPUTED_VALUE"""),36.64)</f>
        <v>36.64</v>
      </c>
      <c r="E3751" s="17"/>
      <c r="N3751" s="17"/>
      <c r="Q3751" s="17"/>
    </row>
    <row r="3752">
      <c r="B3752" s="11">
        <f>IFERROR(__xludf.DUMMYFUNCTION("""COMPUTED_VALUE"""),40575.666666666664)</f>
        <v>40575.66667</v>
      </c>
      <c r="C3752" s="9">
        <f>IFERROR(__xludf.DUMMYFUNCTION("""COMPUTED_VALUE"""),36.75)</f>
        <v>36.75</v>
      </c>
      <c r="E3752" s="17"/>
      <c r="N3752" s="17"/>
      <c r="Q3752" s="17"/>
    </row>
    <row r="3753">
      <c r="B3753" s="11">
        <f>IFERROR(__xludf.DUMMYFUNCTION("""COMPUTED_VALUE"""),40574.666666666664)</f>
        <v>40574.66667</v>
      </c>
      <c r="C3753" s="9">
        <f>IFERROR(__xludf.DUMMYFUNCTION("""COMPUTED_VALUE"""),36.24)</f>
        <v>36.24</v>
      </c>
      <c r="E3753" s="17"/>
      <c r="N3753" s="17"/>
      <c r="Q3753" s="17"/>
    </row>
    <row r="3754">
      <c r="B3754" s="11">
        <f>IFERROR(__xludf.DUMMYFUNCTION("""COMPUTED_VALUE"""),40571.666666666664)</f>
        <v>40571.66667</v>
      </c>
      <c r="C3754" s="9">
        <f>IFERROR(__xludf.DUMMYFUNCTION("""COMPUTED_VALUE"""),35.83)</f>
        <v>35.83</v>
      </c>
      <c r="E3754" s="17"/>
      <c r="N3754" s="17"/>
      <c r="Q3754" s="17"/>
    </row>
    <row r="3755">
      <c r="B3755" s="11">
        <f>IFERROR(__xludf.DUMMYFUNCTION("""COMPUTED_VALUE"""),40570.666666666664)</f>
        <v>40570.66667</v>
      </c>
      <c r="C3755" s="9">
        <f>IFERROR(__xludf.DUMMYFUNCTION("""COMPUTED_VALUE"""),36.55)</f>
        <v>36.55</v>
      </c>
      <c r="E3755" s="17"/>
      <c r="N3755" s="17"/>
      <c r="Q3755" s="17"/>
    </row>
    <row r="3756">
      <c r="B3756" s="11">
        <f>IFERROR(__xludf.DUMMYFUNCTION("""COMPUTED_VALUE"""),40569.666666666664)</f>
        <v>40569.66667</v>
      </c>
      <c r="C3756" s="9">
        <f>IFERROR(__xludf.DUMMYFUNCTION("""COMPUTED_VALUE"""),36.41)</f>
        <v>36.41</v>
      </c>
      <c r="E3756" s="17"/>
      <c r="N3756" s="17"/>
      <c r="Q3756" s="17"/>
    </row>
    <row r="3757">
      <c r="B3757" s="11">
        <f>IFERROR(__xludf.DUMMYFUNCTION("""COMPUTED_VALUE"""),40568.666666666664)</f>
        <v>40568.66667</v>
      </c>
      <c r="C3757" s="9">
        <f>IFERROR(__xludf.DUMMYFUNCTION("""COMPUTED_VALUE"""),36.2)</f>
        <v>36.2</v>
      </c>
      <c r="E3757" s="17"/>
      <c r="N3757" s="17"/>
      <c r="Q3757" s="17"/>
    </row>
    <row r="3758">
      <c r="B3758" s="11">
        <f>IFERROR(__xludf.DUMMYFUNCTION("""COMPUTED_VALUE"""),40567.666666666664)</f>
        <v>40567.66667</v>
      </c>
      <c r="C3758" s="9">
        <f>IFERROR(__xludf.DUMMYFUNCTION("""COMPUTED_VALUE"""),36.24)</f>
        <v>36.24</v>
      </c>
      <c r="E3758" s="17"/>
      <c r="N3758" s="17"/>
      <c r="Q3758" s="17"/>
    </row>
    <row r="3759">
      <c r="B3759" s="11">
        <f>IFERROR(__xludf.DUMMYFUNCTION("""COMPUTED_VALUE"""),40564.666666666664)</f>
        <v>40564.66667</v>
      </c>
      <c r="C3759" s="9">
        <f>IFERROR(__xludf.DUMMYFUNCTION("""COMPUTED_VALUE"""),35.9)</f>
        <v>35.9</v>
      </c>
      <c r="E3759" s="17"/>
      <c r="N3759" s="17"/>
      <c r="Q3759" s="17"/>
    </row>
    <row r="3760">
      <c r="B3760" s="11">
        <f>IFERROR(__xludf.DUMMYFUNCTION("""COMPUTED_VALUE"""),40563.666666666664)</f>
        <v>40563.66667</v>
      </c>
      <c r="C3760" s="9">
        <f>IFERROR(__xludf.DUMMYFUNCTION("""COMPUTED_VALUE"""),35.61)</f>
        <v>35.61</v>
      </c>
      <c r="E3760" s="17"/>
      <c r="N3760" s="17"/>
      <c r="Q3760" s="17"/>
    </row>
    <row r="3761">
      <c r="B3761" s="11">
        <f>IFERROR(__xludf.DUMMYFUNCTION("""COMPUTED_VALUE"""),40562.666666666664)</f>
        <v>40562.66667</v>
      </c>
      <c r="C3761" s="9">
        <f>IFERROR(__xludf.DUMMYFUNCTION("""COMPUTED_VALUE"""),35.79)</f>
        <v>35.79</v>
      </c>
      <c r="E3761" s="17"/>
      <c r="N3761" s="17"/>
      <c r="Q3761" s="17"/>
    </row>
    <row r="3762">
      <c r="B3762" s="11">
        <f>IFERROR(__xludf.DUMMYFUNCTION("""COMPUTED_VALUE"""),40561.666666666664)</f>
        <v>40561.66667</v>
      </c>
      <c r="C3762" s="9">
        <f>IFERROR(__xludf.DUMMYFUNCTION("""COMPUTED_VALUE"""),36.17)</f>
        <v>36.17</v>
      </c>
      <c r="E3762" s="17"/>
      <c r="N3762" s="17"/>
      <c r="Q3762" s="17"/>
    </row>
    <row r="3763">
      <c r="B3763" s="11">
        <f>IFERROR(__xludf.DUMMYFUNCTION("""COMPUTED_VALUE"""),40557.666666666664)</f>
        <v>40557.66667</v>
      </c>
      <c r="C3763" s="9">
        <f>IFERROR(__xludf.DUMMYFUNCTION("""COMPUTED_VALUE"""),35.91)</f>
        <v>35.91</v>
      </c>
      <c r="E3763" s="17"/>
      <c r="N3763" s="17"/>
      <c r="Q3763" s="17"/>
    </row>
    <row r="3764">
      <c r="B3764" s="11">
        <f>IFERROR(__xludf.DUMMYFUNCTION("""COMPUTED_VALUE"""),40556.666666666664)</f>
        <v>40556.66667</v>
      </c>
      <c r="C3764" s="9">
        <f>IFERROR(__xludf.DUMMYFUNCTION("""COMPUTED_VALUE"""),35.77)</f>
        <v>35.77</v>
      </c>
      <c r="E3764" s="17"/>
      <c r="N3764" s="17"/>
      <c r="Q3764" s="17"/>
    </row>
    <row r="3765">
      <c r="B3765" s="11">
        <f>IFERROR(__xludf.DUMMYFUNCTION("""COMPUTED_VALUE"""),40555.666666666664)</f>
        <v>40555.66667</v>
      </c>
      <c r="C3765" s="9">
        <f>IFERROR(__xludf.DUMMYFUNCTION("""COMPUTED_VALUE"""),35.73)</f>
        <v>35.73</v>
      </c>
      <c r="E3765" s="17"/>
      <c r="N3765" s="17"/>
      <c r="Q3765" s="17"/>
    </row>
    <row r="3766">
      <c r="B3766" s="11">
        <f>IFERROR(__xludf.DUMMYFUNCTION("""COMPUTED_VALUE"""),40554.666666666664)</f>
        <v>40554.66667</v>
      </c>
      <c r="C3766" s="9">
        <f>IFERROR(__xludf.DUMMYFUNCTION("""COMPUTED_VALUE"""),35.44)</f>
        <v>35.44</v>
      </c>
      <c r="E3766" s="17"/>
      <c r="N3766" s="17"/>
      <c r="Q3766" s="17"/>
    </row>
    <row r="3767">
      <c r="B3767" s="11">
        <f>IFERROR(__xludf.DUMMYFUNCTION("""COMPUTED_VALUE"""),40553.666666666664)</f>
        <v>40553.66667</v>
      </c>
      <c r="C3767" s="9">
        <f>IFERROR(__xludf.DUMMYFUNCTION("""COMPUTED_VALUE"""),35.31)</f>
        <v>35.31</v>
      </c>
      <c r="E3767" s="17"/>
      <c r="N3767" s="17"/>
      <c r="Q3767" s="17"/>
    </row>
    <row r="3768">
      <c r="B3768" s="11">
        <f>IFERROR(__xludf.DUMMYFUNCTION("""COMPUTED_VALUE"""),40550.666666666664)</f>
        <v>40550.66667</v>
      </c>
      <c r="C3768" s="9">
        <f>IFERROR(__xludf.DUMMYFUNCTION("""COMPUTED_VALUE"""),35.26)</f>
        <v>35.26</v>
      </c>
      <c r="E3768" s="17"/>
      <c r="N3768" s="17"/>
      <c r="Q3768" s="17"/>
    </row>
    <row r="3769">
      <c r="B3769" s="11">
        <f>IFERROR(__xludf.DUMMYFUNCTION("""COMPUTED_VALUE"""),40549.666666666664)</f>
        <v>40549.66667</v>
      </c>
      <c r="C3769" s="9">
        <f>IFERROR(__xludf.DUMMYFUNCTION("""COMPUTED_VALUE"""),35.19)</f>
        <v>35.19</v>
      </c>
      <c r="E3769" s="17"/>
      <c r="N3769" s="17"/>
      <c r="Q3769" s="17"/>
    </row>
    <row r="3770">
      <c r="B3770" s="11">
        <f>IFERROR(__xludf.DUMMYFUNCTION("""COMPUTED_VALUE"""),40548.666666666664)</f>
        <v>40548.66667</v>
      </c>
      <c r="C3770" s="9">
        <f>IFERROR(__xludf.DUMMYFUNCTION("""COMPUTED_VALUE"""),35.25)</f>
        <v>35.25</v>
      </c>
      <c r="E3770" s="17"/>
      <c r="N3770" s="17"/>
      <c r="Q3770" s="17"/>
    </row>
    <row r="3771">
      <c r="B3771" s="11">
        <f>IFERROR(__xludf.DUMMYFUNCTION("""COMPUTED_VALUE"""),40547.666666666664)</f>
        <v>40547.66667</v>
      </c>
      <c r="C3771" s="9">
        <f>IFERROR(__xludf.DUMMYFUNCTION("""COMPUTED_VALUE"""),35.07)</f>
        <v>35.07</v>
      </c>
      <c r="E3771" s="17"/>
      <c r="N3771" s="17"/>
      <c r="Q3771" s="17"/>
    </row>
    <row r="3772">
      <c r="B3772" s="11">
        <f>IFERROR(__xludf.DUMMYFUNCTION("""COMPUTED_VALUE"""),40546.666666666664)</f>
        <v>40546.66667</v>
      </c>
      <c r="C3772" s="9">
        <f>IFERROR(__xludf.DUMMYFUNCTION("""COMPUTED_VALUE"""),35.12)</f>
        <v>35.12</v>
      </c>
      <c r="E3772" s="17"/>
      <c r="N3772" s="17"/>
      <c r="Q3772" s="17"/>
    </row>
    <row r="3773">
      <c r="B3773" s="11">
        <f>IFERROR(__xludf.DUMMYFUNCTION("""COMPUTED_VALUE"""),40543.666666666664)</f>
        <v>40543.66667</v>
      </c>
      <c r="C3773" s="9">
        <f>IFERROR(__xludf.DUMMYFUNCTION("""COMPUTED_VALUE"""),34.87)</f>
        <v>34.87</v>
      </c>
      <c r="E3773" s="17"/>
      <c r="N3773" s="17"/>
      <c r="Q3773" s="17"/>
    </row>
    <row r="3774">
      <c r="B3774" s="11">
        <f>IFERROR(__xludf.DUMMYFUNCTION("""COMPUTED_VALUE"""),40542.666666666664)</f>
        <v>40542.66667</v>
      </c>
      <c r="C3774" s="9">
        <f>IFERROR(__xludf.DUMMYFUNCTION("""COMPUTED_VALUE"""),34.83)</f>
        <v>34.83</v>
      </c>
      <c r="E3774" s="17"/>
      <c r="N3774" s="17"/>
      <c r="Q3774" s="17"/>
    </row>
    <row r="3775">
      <c r="B3775" s="11">
        <f>IFERROR(__xludf.DUMMYFUNCTION("""COMPUTED_VALUE"""),40541.666666666664)</f>
        <v>40541.66667</v>
      </c>
      <c r="C3775" s="9">
        <f>IFERROR(__xludf.DUMMYFUNCTION("""COMPUTED_VALUE"""),34.89)</f>
        <v>34.89</v>
      </c>
      <c r="E3775" s="17"/>
      <c r="N3775" s="17"/>
      <c r="Q3775" s="17"/>
    </row>
    <row r="3776">
      <c r="B3776" s="11">
        <f>IFERROR(__xludf.DUMMYFUNCTION("""COMPUTED_VALUE"""),40540.666666666664)</f>
        <v>40540.66667</v>
      </c>
      <c r="C3776" s="9">
        <f>IFERROR(__xludf.DUMMYFUNCTION("""COMPUTED_VALUE"""),34.86)</f>
        <v>34.86</v>
      </c>
      <c r="E3776" s="17"/>
      <c r="N3776" s="17"/>
      <c r="Q3776" s="17"/>
    </row>
    <row r="3777">
      <c r="B3777" s="11">
        <f>IFERROR(__xludf.DUMMYFUNCTION("""COMPUTED_VALUE"""),40539.666666666664)</f>
        <v>40539.66667</v>
      </c>
      <c r="C3777" s="9">
        <f>IFERROR(__xludf.DUMMYFUNCTION("""COMPUTED_VALUE"""),34.88)</f>
        <v>34.88</v>
      </c>
      <c r="E3777" s="17"/>
      <c r="N3777" s="17"/>
      <c r="Q3777" s="17"/>
    </row>
    <row r="3778">
      <c r="B3778" s="11">
        <f>IFERROR(__xludf.DUMMYFUNCTION("""COMPUTED_VALUE"""),40535.666666666664)</f>
        <v>40535.66667</v>
      </c>
      <c r="C3778" s="9">
        <f>IFERROR(__xludf.DUMMYFUNCTION("""COMPUTED_VALUE"""),34.82)</f>
        <v>34.82</v>
      </c>
      <c r="E3778" s="17"/>
      <c r="N3778" s="17"/>
      <c r="Q3778" s="17"/>
    </row>
    <row r="3779">
      <c r="B3779" s="11">
        <f>IFERROR(__xludf.DUMMYFUNCTION("""COMPUTED_VALUE"""),40534.666666666664)</f>
        <v>40534.66667</v>
      </c>
      <c r="C3779" s="9">
        <f>IFERROR(__xludf.DUMMYFUNCTION("""COMPUTED_VALUE"""),34.89)</f>
        <v>34.89</v>
      </c>
      <c r="E3779" s="17"/>
      <c r="N3779" s="17"/>
      <c r="Q3779" s="17"/>
    </row>
    <row r="3780">
      <c r="B3780" s="11">
        <f>IFERROR(__xludf.DUMMYFUNCTION("""COMPUTED_VALUE"""),40533.666666666664)</f>
        <v>40533.66667</v>
      </c>
      <c r="C3780" s="9">
        <f>IFERROR(__xludf.DUMMYFUNCTION("""COMPUTED_VALUE"""),34.81)</f>
        <v>34.81</v>
      </c>
      <c r="E3780" s="17"/>
      <c r="N3780" s="17"/>
      <c r="Q3780" s="17"/>
    </row>
    <row r="3781">
      <c r="B3781" s="11">
        <f>IFERROR(__xludf.DUMMYFUNCTION("""COMPUTED_VALUE"""),40532.666666666664)</f>
        <v>40532.66667</v>
      </c>
      <c r="C3781" s="9">
        <f>IFERROR(__xludf.DUMMYFUNCTION("""COMPUTED_VALUE"""),34.53)</f>
        <v>34.53</v>
      </c>
      <c r="E3781" s="17"/>
      <c r="N3781" s="17"/>
      <c r="Q3781" s="17"/>
    </row>
    <row r="3782">
      <c r="B3782" s="11">
        <f>IFERROR(__xludf.DUMMYFUNCTION("""COMPUTED_VALUE"""),40529.666666666664)</f>
        <v>40529.66667</v>
      </c>
      <c r="C3782" s="9">
        <f>IFERROR(__xludf.DUMMYFUNCTION("""COMPUTED_VALUE"""),34.54)</f>
        <v>34.54</v>
      </c>
      <c r="E3782" s="17"/>
      <c r="N3782" s="17"/>
      <c r="Q3782" s="17"/>
    </row>
    <row r="3783">
      <c r="B3783" s="11">
        <f>IFERROR(__xludf.DUMMYFUNCTION("""COMPUTED_VALUE"""),40528.666666666664)</f>
        <v>40528.66667</v>
      </c>
      <c r="C3783" s="9">
        <f>IFERROR(__xludf.DUMMYFUNCTION("""COMPUTED_VALUE"""),34.82)</f>
        <v>34.82</v>
      </c>
      <c r="E3783" s="17"/>
      <c r="N3783" s="17"/>
      <c r="Q3783" s="17"/>
    </row>
    <row r="3784">
      <c r="B3784" s="11">
        <f>IFERROR(__xludf.DUMMYFUNCTION("""COMPUTED_VALUE"""),40527.666666666664)</f>
        <v>40527.66667</v>
      </c>
      <c r="C3784" s="9">
        <f>IFERROR(__xludf.DUMMYFUNCTION("""COMPUTED_VALUE"""),34.44)</f>
        <v>34.44</v>
      </c>
      <c r="E3784" s="17"/>
      <c r="N3784" s="17"/>
      <c r="Q3784" s="17"/>
    </row>
    <row r="3785">
      <c r="B3785" s="11">
        <f>IFERROR(__xludf.DUMMYFUNCTION("""COMPUTED_VALUE"""),40526.666666666664)</f>
        <v>40526.66667</v>
      </c>
      <c r="C3785" s="9">
        <f>IFERROR(__xludf.DUMMYFUNCTION("""COMPUTED_VALUE"""),34.58)</f>
        <v>34.58</v>
      </c>
      <c r="E3785" s="17"/>
      <c r="N3785" s="17"/>
      <c r="Q3785" s="17"/>
    </row>
    <row r="3786">
      <c r="B3786" s="11">
        <f>IFERROR(__xludf.DUMMYFUNCTION("""COMPUTED_VALUE"""),40525.666666666664)</f>
        <v>40525.66667</v>
      </c>
      <c r="C3786" s="9">
        <f>IFERROR(__xludf.DUMMYFUNCTION("""COMPUTED_VALUE"""),34.42)</f>
        <v>34.42</v>
      </c>
      <c r="E3786" s="17"/>
      <c r="N3786" s="17"/>
      <c r="Q3786" s="17"/>
    </row>
    <row r="3787">
      <c r="B3787" s="11">
        <f>IFERROR(__xludf.DUMMYFUNCTION("""COMPUTED_VALUE"""),40522.666666666664)</f>
        <v>40522.66667</v>
      </c>
      <c r="C3787" s="9">
        <f>IFERROR(__xludf.DUMMYFUNCTION("""COMPUTED_VALUE"""),34.4)</f>
        <v>34.4</v>
      </c>
      <c r="E3787" s="17"/>
      <c r="N3787" s="17"/>
      <c r="Q3787" s="17"/>
    </row>
    <row r="3788">
      <c r="B3788" s="11">
        <f>IFERROR(__xludf.DUMMYFUNCTION("""COMPUTED_VALUE"""),40521.666666666664)</f>
        <v>40521.66667</v>
      </c>
      <c r="C3788" s="9">
        <f>IFERROR(__xludf.DUMMYFUNCTION("""COMPUTED_VALUE"""),34.09)</f>
        <v>34.09</v>
      </c>
      <c r="E3788" s="17"/>
      <c r="N3788" s="17"/>
      <c r="Q3788" s="17"/>
    </row>
    <row r="3789">
      <c r="B3789" s="11">
        <f>IFERROR(__xludf.DUMMYFUNCTION("""COMPUTED_VALUE"""),40520.666666666664)</f>
        <v>40520.66667</v>
      </c>
      <c r="C3789" s="9">
        <f>IFERROR(__xludf.DUMMYFUNCTION("""COMPUTED_VALUE"""),33.99)</f>
        <v>33.99</v>
      </c>
      <c r="E3789" s="17"/>
      <c r="N3789" s="17"/>
      <c r="Q3789" s="17"/>
    </row>
    <row r="3790">
      <c r="B3790" s="11">
        <f>IFERROR(__xludf.DUMMYFUNCTION("""COMPUTED_VALUE"""),40519.666666666664)</f>
        <v>40519.66667</v>
      </c>
      <c r="C3790" s="9">
        <f>IFERROR(__xludf.DUMMYFUNCTION("""COMPUTED_VALUE"""),34.11)</f>
        <v>34.11</v>
      </c>
      <c r="E3790" s="17"/>
      <c r="N3790" s="17"/>
      <c r="Q3790" s="17"/>
    </row>
    <row r="3791">
      <c r="B3791" s="11">
        <f>IFERROR(__xludf.DUMMYFUNCTION("""COMPUTED_VALUE"""),40518.666666666664)</f>
        <v>40518.66667</v>
      </c>
      <c r="C3791" s="9">
        <f>IFERROR(__xludf.DUMMYFUNCTION("""COMPUTED_VALUE"""),34.02)</f>
        <v>34.02</v>
      </c>
      <c r="E3791" s="17"/>
      <c r="N3791" s="17"/>
      <c r="Q3791" s="17"/>
    </row>
    <row r="3792">
      <c r="B3792" s="11">
        <f>IFERROR(__xludf.DUMMYFUNCTION("""COMPUTED_VALUE"""),40515.666666666664)</f>
        <v>40515.66667</v>
      </c>
      <c r="C3792" s="9">
        <f>IFERROR(__xludf.DUMMYFUNCTION("""COMPUTED_VALUE"""),34.04)</f>
        <v>34.04</v>
      </c>
      <c r="E3792" s="17"/>
      <c r="N3792" s="17"/>
      <c r="Q3792" s="17"/>
    </row>
    <row r="3793">
      <c r="B3793" s="11">
        <f>IFERROR(__xludf.DUMMYFUNCTION("""COMPUTED_VALUE"""),40514.666666666664)</f>
        <v>40514.66667</v>
      </c>
      <c r="C3793" s="9">
        <f>IFERROR(__xludf.DUMMYFUNCTION("""COMPUTED_VALUE"""),33.97)</f>
        <v>33.97</v>
      </c>
      <c r="E3793" s="17"/>
      <c r="N3793" s="17"/>
      <c r="Q3793" s="17"/>
    </row>
    <row r="3794">
      <c r="B3794" s="11">
        <f>IFERROR(__xludf.DUMMYFUNCTION("""COMPUTED_VALUE"""),40513.666666666664)</f>
        <v>40513.66667</v>
      </c>
      <c r="C3794" s="9">
        <f>IFERROR(__xludf.DUMMYFUNCTION("""COMPUTED_VALUE"""),33.45)</f>
        <v>33.45</v>
      </c>
      <c r="E3794" s="17"/>
      <c r="N3794" s="17"/>
      <c r="Q3794" s="17"/>
    </row>
    <row r="3795">
      <c r="B3795" s="11">
        <f>IFERROR(__xludf.DUMMYFUNCTION("""COMPUTED_VALUE"""),40512.666666666664)</f>
        <v>40512.66667</v>
      </c>
      <c r="C3795" s="9">
        <f>IFERROR(__xludf.DUMMYFUNCTION("""COMPUTED_VALUE"""),32.61)</f>
        <v>32.61</v>
      </c>
      <c r="E3795" s="17"/>
      <c r="N3795" s="17"/>
      <c r="Q3795" s="17"/>
    </row>
    <row r="3796">
      <c r="B3796" s="11">
        <f>IFERROR(__xludf.DUMMYFUNCTION("""COMPUTED_VALUE"""),40511.666666666664)</f>
        <v>40511.66667</v>
      </c>
      <c r="C3796" s="9">
        <f>IFERROR(__xludf.DUMMYFUNCTION("""COMPUTED_VALUE"""),32.69)</f>
        <v>32.69</v>
      </c>
      <c r="E3796" s="17"/>
      <c r="N3796" s="17"/>
      <c r="Q3796" s="17"/>
    </row>
    <row r="3797">
      <c r="B3797" s="11">
        <f>IFERROR(__xludf.DUMMYFUNCTION("""COMPUTED_VALUE"""),40508.666666666664)</f>
        <v>40508.66667</v>
      </c>
      <c r="C3797" s="9">
        <f>IFERROR(__xludf.DUMMYFUNCTION("""COMPUTED_VALUE"""),32.72)</f>
        <v>32.72</v>
      </c>
      <c r="E3797" s="17"/>
      <c r="N3797" s="17"/>
      <c r="Q3797" s="17"/>
    </row>
    <row r="3798">
      <c r="B3798" s="11">
        <f>IFERROR(__xludf.DUMMYFUNCTION("""COMPUTED_VALUE"""),40506.666666666664)</f>
        <v>40506.66667</v>
      </c>
      <c r="C3798" s="9">
        <f>IFERROR(__xludf.DUMMYFUNCTION("""COMPUTED_VALUE"""),32.97)</f>
        <v>32.97</v>
      </c>
      <c r="E3798" s="17"/>
      <c r="N3798" s="17"/>
      <c r="Q3798" s="17"/>
    </row>
    <row r="3799">
      <c r="B3799" s="11">
        <f>IFERROR(__xludf.DUMMYFUNCTION("""COMPUTED_VALUE"""),40505.666666666664)</f>
        <v>40505.66667</v>
      </c>
      <c r="C3799" s="9">
        <f>IFERROR(__xludf.DUMMYFUNCTION("""COMPUTED_VALUE"""),32.24)</f>
        <v>32.24</v>
      </c>
      <c r="E3799" s="17"/>
      <c r="N3799" s="17"/>
      <c r="Q3799" s="17"/>
    </row>
    <row r="3800">
      <c r="B3800" s="11">
        <f>IFERROR(__xludf.DUMMYFUNCTION("""COMPUTED_VALUE"""),40504.666666666664)</f>
        <v>40504.66667</v>
      </c>
      <c r="C3800" s="9">
        <f>IFERROR(__xludf.DUMMYFUNCTION("""COMPUTED_VALUE"""),32.69)</f>
        <v>32.69</v>
      </c>
      <c r="E3800" s="17"/>
      <c r="N3800" s="17"/>
      <c r="Q3800" s="17"/>
    </row>
    <row r="3801">
      <c r="B3801" s="11">
        <f>IFERROR(__xludf.DUMMYFUNCTION("""COMPUTED_VALUE"""),40501.666666666664)</f>
        <v>40501.66667</v>
      </c>
      <c r="C3801" s="9">
        <f>IFERROR(__xludf.DUMMYFUNCTION("""COMPUTED_VALUE"""),32.76)</f>
        <v>32.76</v>
      </c>
      <c r="E3801" s="17"/>
      <c r="N3801" s="17"/>
      <c r="Q3801" s="17"/>
    </row>
    <row r="3802">
      <c r="B3802" s="11">
        <f>IFERROR(__xludf.DUMMYFUNCTION("""COMPUTED_VALUE"""),40500.666666666664)</f>
        <v>40500.66667</v>
      </c>
      <c r="C3802" s="9">
        <f>IFERROR(__xludf.DUMMYFUNCTION("""COMPUTED_VALUE"""),32.66)</f>
        <v>32.66</v>
      </c>
      <c r="E3802" s="17"/>
      <c r="N3802" s="17"/>
      <c r="Q3802" s="17"/>
    </row>
    <row r="3803">
      <c r="B3803" s="11">
        <f>IFERROR(__xludf.DUMMYFUNCTION("""COMPUTED_VALUE"""),40499.666666666664)</f>
        <v>40499.66667</v>
      </c>
      <c r="C3803" s="9">
        <f>IFERROR(__xludf.DUMMYFUNCTION("""COMPUTED_VALUE"""),32.01)</f>
        <v>32.01</v>
      </c>
      <c r="E3803" s="17"/>
      <c r="N3803" s="17"/>
      <c r="Q3803" s="17"/>
    </row>
    <row r="3804">
      <c r="B3804" s="11">
        <f>IFERROR(__xludf.DUMMYFUNCTION("""COMPUTED_VALUE"""),40498.666666666664)</f>
        <v>40498.66667</v>
      </c>
      <c r="C3804" s="9">
        <f>IFERROR(__xludf.DUMMYFUNCTION("""COMPUTED_VALUE"""),31.99)</f>
        <v>31.99</v>
      </c>
      <c r="E3804" s="17"/>
      <c r="N3804" s="17"/>
      <c r="Q3804" s="17"/>
    </row>
    <row r="3805">
      <c r="B3805" s="11">
        <f>IFERROR(__xludf.DUMMYFUNCTION("""COMPUTED_VALUE"""),40497.666666666664)</f>
        <v>40497.66667</v>
      </c>
      <c r="C3805" s="9">
        <f>IFERROR(__xludf.DUMMYFUNCTION("""COMPUTED_VALUE"""),32.51)</f>
        <v>32.51</v>
      </c>
      <c r="E3805" s="17"/>
      <c r="N3805" s="17"/>
      <c r="Q3805" s="17"/>
    </row>
    <row r="3806">
      <c r="B3806" s="11">
        <f>IFERROR(__xludf.DUMMYFUNCTION("""COMPUTED_VALUE"""),40494.666666666664)</f>
        <v>40494.66667</v>
      </c>
      <c r="C3806" s="9">
        <f>IFERROR(__xludf.DUMMYFUNCTION("""COMPUTED_VALUE"""),32.41)</f>
        <v>32.41</v>
      </c>
      <c r="E3806" s="17"/>
      <c r="N3806" s="17"/>
      <c r="Q3806" s="17"/>
    </row>
    <row r="3807">
      <c r="B3807" s="11">
        <f>IFERROR(__xludf.DUMMYFUNCTION("""COMPUTED_VALUE"""),40493.666666666664)</f>
        <v>40493.66667</v>
      </c>
      <c r="C3807" s="9">
        <f>IFERROR(__xludf.DUMMYFUNCTION("""COMPUTED_VALUE"""),32.8)</f>
        <v>32.8</v>
      </c>
      <c r="E3807" s="17"/>
      <c r="N3807" s="17"/>
      <c r="Q3807" s="17"/>
    </row>
    <row r="3808">
      <c r="B3808" s="11">
        <f>IFERROR(__xludf.DUMMYFUNCTION("""COMPUTED_VALUE"""),40492.666666666664)</f>
        <v>40492.66667</v>
      </c>
      <c r="C3808" s="9">
        <f>IFERROR(__xludf.DUMMYFUNCTION("""COMPUTED_VALUE"""),32.98)</f>
        <v>32.98</v>
      </c>
      <c r="E3808" s="17"/>
      <c r="N3808" s="17"/>
      <c r="Q3808" s="17"/>
    </row>
    <row r="3809">
      <c r="B3809" s="11">
        <f>IFERROR(__xludf.DUMMYFUNCTION("""COMPUTED_VALUE"""),40491.666666666664)</f>
        <v>40491.66667</v>
      </c>
      <c r="C3809" s="9">
        <f>IFERROR(__xludf.DUMMYFUNCTION("""COMPUTED_VALUE"""),32.99)</f>
        <v>32.99</v>
      </c>
      <c r="E3809" s="17"/>
      <c r="N3809" s="17"/>
      <c r="Q3809" s="17"/>
    </row>
    <row r="3810">
      <c r="B3810" s="11">
        <f>IFERROR(__xludf.DUMMYFUNCTION("""COMPUTED_VALUE"""),40490.666666666664)</f>
        <v>40490.66667</v>
      </c>
      <c r="C3810" s="9">
        <f>IFERROR(__xludf.DUMMYFUNCTION("""COMPUTED_VALUE"""),33.29)</f>
        <v>33.29</v>
      </c>
      <c r="E3810" s="17"/>
      <c r="N3810" s="17"/>
      <c r="Q3810" s="17"/>
    </row>
    <row r="3811">
      <c r="B3811" s="11">
        <f>IFERROR(__xludf.DUMMYFUNCTION("""COMPUTED_VALUE"""),40487.666666666664)</f>
        <v>40487.66667</v>
      </c>
      <c r="C3811" s="9">
        <f>IFERROR(__xludf.DUMMYFUNCTION("""COMPUTED_VALUE"""),33.43)</f>
        <v>33.43</v>
      </c>
      <c r="E3811" s="17"/>
      <c r="N3811" s="17"/>
      <c r="Q3811" s="17"/>
    </row>
    <row r="3812">
      <c r="B3812" s="11">
        <f>IFERROR(__xludf.DUMMYFUNCTION("""COMPUTED_VALUE"""),40486.666666666664)</f>
        <v>40486.66667</v>
      </c>
      <c r="C3812" s="9">
        <f>IFERROR(__xludf.DUMMYFUNCTION("""COMPUTED_VALUE"""),33.23)</f>
        <v>33.23</v>
      </c>
      <c r="E3812" s="17"/>
      <c r="N3812" s="17"/>
      <c r="Q3812" s="17"/>
    </row>
    <row r="3813">
      <c r="B3813" s="11">
        <f>IFERROR(__xludf.DUMMYFUNCTION("""COMPUTED_VALUE"""),40485.666666666664)</f>
        <v>40485.66667</v>
      </c>
      <c r="C3813" s="9">
        <f>IFERROR(__xludf.DUMMYFUNCTION("""COMPUTED_VALUE"""),32.54)</f>
        <v>32.54</v>
      </c>
      <c r="E3813" s="17"/>
      <c r="N3813" s="17"/>
      <c r="Q3813" s="17"/>
    </row>
    <row r="3814">
      <c r="B3814" s="11">
        <f>IFERROR(__xludf.DUMMYFUNCTION("""COMPUTED_VALUE"""),40484.666666666664)</f>
        <v>40484.66667</v>
      </c>
      <c r="C3814" s="9">
        <f>IFERROR(__xludf.DUMMYFUNCTION("""COMPUTED_VALUE"""),32.49)</f>
        <v>32.49</v>
      </c>
      <c r="E3814" s="17"/>
      <c r="N3814" s="17"/>
      <c r="Q3814" s="17"/>
    </row>
    <row r="3815">
      <c r="B3815" s="11">
        <f>IFERROR(__xludf.DUMMYFUNCTION("""COMPUTED_VALUE"""),40483.666666666664)</f>
        <v>40483.66667</v>
      </c>
      <c r="C3815" s="9">
        <f>IFERROR(__xludf.DUMMYFUNCTION("""COMPUTED_VALUE"""),32.18)</f>
        <v>32.18</v>
      </c>
      <c r="E3815" s="17"/>
      <c r="N3815" s="17"/>
      <c r="Q3815" s="17"/>
    </row>
    <row r="3816">
      <c r="B3816" s="11">
        <f>IFERROR(__xludf.DUMMYFUNCTION("""COMPUTED_VALUE"""),40480.666666666664)</f>
        <v>40480.66667</v>
      </c>
      <c r="C3816" s="9">
        <f>IFERROR(__xludf.DUMMYFUNCTION("""COMPUTED_VALUE"""),32.18)</f>
        <v>32.18</v>
      </c>
      <c r="E3816" s="17"/>
      <c r="N3816" s="17"/>
      <c r="Q3816" s="17"/>
    </row>
    <row r="3817">
      <c r="B3817" s="11">
        <f>IFERROR(__xludf.DUMMYFUNCTION("""COMPUTED_VALUE"""),40479.666666666664)</f>
        <v>40479.66667</v>
      </c>
      <c r="C3817" s="9">
        <f>IFERROR(__xludf.DUMMYFUNCTION("""COMPUTED_VALUE"""),32.13)</f>
        <v>32.13</v>
      </c>
      <c r="E3817" s="17"/>
      <c r="N3817" s="17"/>
      <c r="Q3817" s="17"/>
    </row>
    <row r="3818">
      <c r="B3818" s="11">
        <f>IFERROR(__xludf.DUMMYFUNCTION("""COMPUTED_VALUE"""),40478.666666666664)</f>
        <v>40478.66667</v>
      </c>
      <c r="C3818" s="9">
        <f>IFERROR(__xludf.DUMMYFUNCTION("""COMPUTED_VALUE"""),32.2)</f>
        <v>32.2</v>
      </c>
      <c r="E3818" s="17"/>
      <c r="N3818" s="17"/>
      <c r="Q3818" s="17"/>
    </row>
    <row r="3819">
      <c r="B3819" s="11">
        <f>IFERROR(__xludf.DUMMYFUNCTION("""COMPUTED_VALUE"""),40477.666666666664)</f>
        <v>40477.66667</v>
      </c>
      <c r="C3819" s="9">
        <f>IFERROR(__xludf.DUMMYFUNCTION("""COMPUTED_VALUE"""),32.44)</f>
        <v>32.44</v>
      </c>
      <c r="E3819" s="17"/>
      <c r="N3819" s="17"/>
      <c r="Q3819" s="17"/>
    </row>
    <row r="3820">
      <c r="B3820" s="11">
        <f>IFERROR(__xludf.DUMMYFUNCTION("""COMPUTED_VALUE"""),40476.666666666664)</f>
        <v>40476.66667</v>
      </c>
      <c r="C3820" s="9">
        <f>IFERROR(__xludf.DUMMYFUNCTION("""COMPUTED_VALUE"""),32.59)</f>
        <v>32.59</v>
      </c>
      <c r="E3820" s="17"/>
      <c r="N3820" s="17"/>
      <c r="Q3820" s="17"/>
    </row>
    <row r="3821">
      <c r="B3821" s="11">
        <f>IFERROR(__xludf.DUMMYFUNCTION("""COMPUTED_VALUE"""),40473.666666666664)</f>
        <v>40473.66667</v>
      </c>
      <c r="C3821" s="9">
        <f>IFERROR(__xludf.DUMMYFUNCTION("""COMPUTED_VALUE"""),32.48)</f>
        <v>32.48</v>
      </c>
      <c r="E3821" s="17"/>
      <c r="N3821" s="17"/>
      <c r="Q3821" s="17"/>
    </row>
    <row r="3822">
      <c r="B3822" s="11">
        <f>IFERROR(__xludf.DUMMYFUNCTION("""COMPUTED_VALUE"""),40472.666666666664)</f>
        <v>40472.66667</v>
      </c>
      <c r="C3822" s="9">
        <f>IFERROR(__xludf.DUMMYFUNCTION("""COMPUTED_VALUE"""),32.49)</f>
        <v>32.49</v>
      </c>
      <c r="E3822" s="17"/>
      <c r="N3822" s="17"/>
      <c r="Q3822" s="17"/>
    </row>
    <row r="3823">
      <c r="B3823" s="11">
        <f>IFERROR(__xludf.DUMMYFUNCTION("""COMPUTED_VALUE"""),40471.666666666664)</f>
        <v>40471.66667</v>
      </c>
      <c r="C3823" s="9">
        <f>IFERROR(__xludf.DUMMYFUNCTION("""COMPUTED_VALUE"""),32.23)</f>
        <v>32.23</v>
      </c>
      <c r="E3823" s="17"/>
      <c r="N3823" s="17"/>
      <c r="Q3823" s="17"/>
    </row>
    <row r="3824">
      <c r="B3824" s="11">
        <f>IFERROR(__xludf.DUMMYFUNCTION("""COMPUTED_VALUE"""),40470.666666666664)</f>
        <v>40470.66667</v>
      </c>
      <c r="C3824" s="9">
        <f>IFERROR(__xludf.DUMMYFUNCTION("""COMPUTED_VALUE"""),31.78)</f>
        <v>31.78</v>
      </c>
      <c r="E3824" s="17"/>
      <c r="N3824" s="17"/>
      <c r="Q3824" s="17"/>
    </row>
    <row r="3825">
      <c r="B3825" s="11">
        <f>IFERROR(__xludf.DUMMYFUNCTION("""COMPUTED_VALUE"""),40469.666666666664)</f>
        <v>40469.66667</v>
      </c>
      <c r="C3825" s="9">
        <f>IFERROR(__xludf.DUMMYFUNCTION("""COMPUTED_VALUE"""),32.21)</f>
        <v>32.21</v>
      </c>
      <c r="E3825" s="17"/>
      <c r="N3825" s="17"/>
      <c r="Q3825" s="17"/>
    </row>
    <row r="3826">
      <c r="B3826" s="11">
        <f>IFERROR(__xludf.DUMMYFUNCTION("""COMPUTED_VALUE"""),40466.666666666664)</f>
        <v>40466.66667</v>
      </c>
      <c r="C3826" s="9">
        <f>IFERROR(__xludf.DUMMYFUNCTION("""COMPUTED_VALUE"""),32.23)</f>
        <v>32.23</v>
      </c>
      <c r="E3826" s="17"/>
      <c r="N3826" s="17"/>
      <c r="Q3826" s="17"/>
    </row>
    <row r="3827">
      <c r="B3827" s="11">
        <f>IFERROR(__xludf.DUMMYFUNCTION("""COMPUTED_VALUE"""),40465.666666666664)</f>
        <v>40465.66667</v>
      </c>
      <c r="C3827" s="9">
        <f>IFERROR(__xludf.DUMMYFUNCTION("""COMPUTED_VALUE"""),32.43)</f>
        <v>32.43</v>
      </c>
      <c r="E3827" s="17"/>
      <c r="N3827" s="17"/>
      <c r="Q3827" s="17"/>
    </row>
    <row r="3828">
      <c r="B3828" s="11">
        <f>IFERROR(__xludf.DUMMYFUNCTION("""COMPUTED_VALUE"""),40464.666666666664)</f>
        <v>40464.66667</v>
      </c>
      <c r="C3828" s="9">
        <f>IFERROR(__xludf.DUMMYFUNCTION("""COMPUTED_VALUE"""),32.62)</f>
        <v>32.62</v>
      </c>
      <c r="E3828" s="17"/>
      <c r="N3828" s="17"/>
      <c r="Q3828" s="17"/>
    </row>
    <row r="3829">
      <c r="B3829" s="11">
        <f>IFERROR(__xludf.DUMMYFUNCTION("""COMPUTED_VALUE"""),40463.666666666664)</f>
        <v>40463.66667</v>
      </c>
      <c r="C3829" s="9">
        <f>IFERROR(__xludf.DUMMYFUNCTION("""COMPUTED_VALUE"""),32.09)</f>
        <v>32.09</v>
      </c>
      <c r="E3829" s="17"/>
      <c r="N3829" s="17"/>
      <c r="Q3829" s="17"/>
    </row>
    <row r="3830">
      <c r="B3830" s="11">
        <f>IFERROR(__xludf.DUMMYFUNCTION("""COMPUTED_VALUE"""),40462.666666666664)</f>
        <v>40462.66667</v>
      </c>
      <c r="C3830" s="9">
        <f>IFERROR(__xludf.DUMMYFUNCTION("""COMPUTED_VALUE"""),32.11)</f>
        <v>32.11</v>
      </c>
      <c r="E3830" s="17"/>
      <c r="N3830" s="17"/>
      <c r="Q3830" s="17"/>
    </row>
    <row r="3831">
      <c r="B3831" s="11">
        <f>IFERROR(__xludf.DUMMYFUNCTION("""COMPUTED_VALUE"""),40459.666666666664)</f>
        <v>40459.66667</v>
      </c>
      <c r="C3831" s="9">
        <f>IFERROR(__xludf.DUMMYFUNCTION("""COMPUTED_VALUE"""),32.2)</f>
        <v>32.2</v>
      </c>
      <c r="E3831" s="17"/>
      <c r="N3831" s="17"/>
      <c r="Q3831" s="17"/>
    </row>
    <row r="3832">
      <c r="B3832" s="11">
        <f>IFERROR(__xludf.DUMMYFUNCTION("""COMPUTED_VALUE"""),40458.666666666664)</f>
        <v>40458.66667</v>
      </c>
      <c r="C3832" s="9">
        <f>IFERROR(__xludf.DUMMYFUNCTION("""COMPUTED_VALUE"""),31.93)</f>
        <v>31.93</v>
      </c>
      <c r="E3832" s="17"/>
      <c r="N3832" s="17"/>
      <c r="Q3832" s="17"/>
    </row>
    <row r="3833">
      <c r="B3833" s="11">
        <f>IFERROR(__xludf.DUMMYFUNCTION("""COMPUTED_VALUE"""),40457.666666666664)</f>
        <v>40457.66667</v>
      </c>
      <c r="C3833" s="9">
        <f>IFERROR(__xludf.DUMMYFUNCTION("""COMPUTED_VALUE"""),32.0)</f>
        <v>32</v>
      </c>
      <c r="E3833" s="17"/>
      <c r="N3833" s="17"/>
      <c r="Q3833" s="17"/>
    </row>
    <row r="3834">
      <c r="B3834" s="11">
        <f>IFERROR(__xludf.DUMMYFUNCTION("""COMPUTED_VALUE"""),40456.666666666664)</f>
        <v>40456.66667</v>
      </c>
      <c r="C3834" s="9">
        <f>IFERROR(__xludf.DUMMYFUNCTION("""COMPUTED_VALUE"""),31.81)</f>
        <v>31.81</v>
      </c>
      <c r="E3834" s="17"/>
      <c r="N3834" s="17"/>
      <c r="Q3834" s="17"/>
    </row>
    <row r="3835">
      <c r="B3835" s="11">
        <f>IFERROR(__xludf.DUMMYFUNCTION("""COMPUTED_VALUE"""),40455.666666666664)</f>
        <v>40455.66667</v>
      </c>
      <c r="C3835" s="9">
        <f>IFERROR(__xludf.DUMMYFUNCTION("""COMPUTED_VALUE"""),30.98)</f>
        <v>30.98</v>
      </c>
      <c r="E3835" s="17"/>
      <c r="N3835" s="17"/>
      <c r="Q3835" s="17"/>
    </row>
    <row r="3836">
      <c r="B3836" s="11">
        <f>IFERROR(__xludf.DUMMYFUNCTION("""COMPUTED_VALUE"""),40452.666666666664)</f>
        <v>40452.66667</v>
      </c>
      <c r="C3836" s="9">
        <f>IFERROR(__xludf.DUMMYFUNCTION("""COMPUTED_VALUE"""),31.31)</f>
        <v>31.31</v>
      </c>
      <c r="E3836" s="17"/>
      <c r="N3836" s="17"/>
      <c r="Q3836" s="17"/>
    </row>
    <row r="3837">
      <c r="B3837" s="11">
        <f>IFERROR(__xludf.DUMMYFUNCTION("""COMPUTED_VALUE"""),40451.666666666664)</f>
        <v>40451.66667</v>
      </c>
      <c r="C3837" s="9">
        <f>IFERROR(__xludf.DUMMYFUNCTION("""COMPUTED_VALUE"""),31.28)</f>
        <v>31.28</v>
      </c>
      <c r="E3837" s="17"/>
      <c r="N3837" s="17"/>
      <c r="Q3837" s="17"/>
    </row>
    <row r="3838">
      <c r="B3838" s="11">
        <f>IFERROR(__xludf.DUMMYFUNCTION("""COMPUTED_VALUE"""),40450.666666666664)</f>
        <v>40450.66667</v>
      </c>
      <c r="C3838" s="9">
        <f>IFERROR(__xludf.DUMMYFUNCTION("""COMPUTED_VALUE"""),31.4)</f>
        <v>31.4</v>
      </c>
      <c r="E3838" s="17"/>
      <c r="N3838" s="17"/>
      <c r="Q3838" s="17"/>
    </row>
    <row r="3839">
      <c r="B3839" s="11">
        <f>IFERROR(__xludf.DUMMYFUNCTION("""COMPUTED_VALUE"""),40449.666666666664)</f>
        <v>40449.66667</v>
      </c>
      <c r="C3839" s="9">
        <f>IFERROR(__xludf.DUMMYFUNCTION("""COMPUTED_VALUE"""),31.41)</f>
        <v>31.41</v>
      </c>
      <c r="E3839" s="17"/>
      <c r="N3839" s="17"/>
      <c r="Q3839" s="17"/>
    </row>
    <row r="3840">
      <c r="B3840" s="11">
        <f>IFERROR(__xludf.DUMMYFUNCTION("""COMPUTED_VALUE"""),40448.666666666664)</f>
        <v>40448.66667</v>
      </c>
      <c r="C3840" s="9">
        <f>IFERROR(__xludf.DUMMYFUNCTION("""COMPUTED_VALUE"""),31.24)</f>
        <v>31.24</v>
      </c>
      <c r="E3840" s="17"/>
      <c r="N3840" s="17"/>
      <c r="Q3840" s="17"/>
    </row>
    <row r="3841">
      <c r="B3841" s="11">
        <f>IFERROR(__xludf.DUMMYFUNCTION("""COMPUTED_VALUE"""),40445.666666666664)</f>
        <v>40445.66667</v>
      </c>
      <c r="C3841" s="9">
        <f>IFERROR(__xludf.DUMMYFUNCTION("""COMPUTED_VALUE"""),31.44)</f>
        <v>31.44</v>
      </c>
      <c r="E3841" s="17"/>
      <c r="N3841" s="17"/>
      <c r="Q3841" s="17"/>
    </row>
    <row r="3842">
      <c r="B3842" s="11">
        <f>IFERROR(__xludf.DUMMYFUNCTION("""COMPUTED_VALUE"""),40444.666666666664)</f>
        <v>40444.66667</v>
      </c>
      <c r="C3842" s="9">
        <f>IFERROR(__xludf.DUMMYFUNCTION("""COMPUTED_VALUE"""),30.6)</f>
        <v>30.6</v>
      </c>
      <c r="E3842" s="17"/>
      <c r="N3842" s="17"/>
      <c r="Q3842" s="17"/>
    </row>
    <row r="3843">
      <c r="B3843" s="11">
        <f>IFERROR(__xludf.DUMMYFUNCTION("""COMPUTED_VALUE"""),40443.666666666664)</f>
        <v>40443.66667</v>
      </c>
      <c r="C3843" s="9">
        <f>IFERROR(__xludf.DUMMYFUNCTION("""COMPUTED_VALUE"""),31.06)</f>
        <v>31.06</v>
      </c>
      <c r="E3843" s="17"/>
      <c r="N3843" s="17"/>
      <c r="Q3843" s="17"/>
    </row>
    <row r="3844">
      <c r="B3844" s="11">
        <f>IFERROR(__xludf.DUMMYFUNCTION("""COMPUTED_VALUE"""),40442.666666666664)</f>
        <v>40442.66667</v>
      </c>
      <c r="C3844" s="9">
        <f>IFERROR(__xludf.DUMMYFUNCTION("""COMPUTED_VALUE"""),31.22)</f>
        <v>31.22</v>
      </c>
      <c r="E3844" s="17"/>
      <c r="N3844" s="17"/>
      <c r="Q3844" s="17"/>
    </row>
    <row r="3845">
      <c r="B3845" s="11">
        <f>IFERROR(__xludf.DUMMYFUNCTION("""COMPUTED_VALUE"""),40441.666666666664)</f>
        <v>40441.66667</v>
      </c>
      <c r="C3845" s="9">
        <f>IFERROR(__xludf.DUMMYFUNCTION("""COMPUTED_VALUE"""),31.16)</f>
        <v>31.16</v>
      </c>
      <c r="E3845" s="17"/>
      <c r="N3845" s="17"/>
      <c r="Q3845" s="17"/>
    </row>
    <row r="3846">
      <c r="B3846" s="11">
        <f>IFERROR(__xludf.DUMMYFUNCTION("""COMPUTED_VALUE"""),40438.666666666664)</f>
        <v>40438.66667</v>
      </c>
      <c r="C3846" s="9">
        <f>IFERROR(__xludf.DUMMYFUNCTION("""COMPUTED_VALUE"""),30.7)</f>
        <v>30.7</v>
      </c>
      <c r="E3846" s="17"/>
      <c r="N3846" s="17"/>
      <c r="Q3846" s="17"/>
    </row>
    <row r="3847">
      <c r="B3847" s="11">
        <f>IFERROR(__xludf.DUMMYFUNCTION("""COMPUTED_VALUE"""),40437.666666666664)</f>
        <v>40437.66667</v>
      </c>
      <c r="C3847" s="9">
        <f>IFERROR(__xludf.DUMMYFUNCTION("""COMPUTED_VALUE"""),30.57)</f>
        <v>30.57</v>
      </c>
      <c r="E3847" s="17"/>
      <c r="N3847" s="17"/>
      <c r="Q3847" s="17"/>
    </row>
    <row r="3848">
      <c r="B3848" s="11">
        <f>IFERROR(__xludf.DUMMYFUNCTION("""COMPUTED_VALUE"""),40436.666666666664)</f>
        <v>40436.66667</v>
      </c>
      <c r="C3848" s="9">
        <f>IFERROR(__xludf.DUMMYFUNCTION("""COMPUTED_VALUE"""),30.61)</f>
        <v>30.61</v>
      </c>
      <c r="E3848" s="17"/>
      <c r="N3848" s="17"/>
      <c r="Q3848" s="17"/>
    </row>
    <row r="3849">
      <c r="B3849" s="11">
        <f>IFERROR(__xludf.DUMMYFUNCTION("""COMPUTED_VALUE"""),40435.666666666664)</f>
        <v>40435.66667</v>
      </c>
      <c r="C3849" s="9">
        <f>IFERROR(__xludf.DUMMYFUNCTION("""COMPUTED_VALUE"""),30.61)</f>
        <v>30.61</v>
      </c>
      <c r="E3849" s="17"/>
      <c r="N3849" s="17"/>
      <c r="Q3849" s="17"/>
    </row>
    <row r="3850">
      <c r="B3850" s="11">
        <f>IFERROR(__xludf.DUMMYFUNCTION("""COMPUTED_VALUE"""),40434.666666666664)</f>
        <v>40434.66667</v>
      </c>
      <c r="C3850" s="9">
        <f>IFERROR(__xludf.DUMMYFUNCTION("""COMPUTED_VALUE"""),30.7)</f>
        <v>30.7</v>
      </c>
      <c r="E3850" s="17"/>
      <c r="N3850" s="17"/>
      <c r="Q3850" s="17"/>
    </row>
    <row r="3851">
      <c r="B3851" s="11">
        <f>IFERROR(__xludf.DUMMYFUNCTION("""COMPUTED_VALUE"""),40431.666666666664)</f>
        <v>40431.66667</v>
      </c>
      <c r="C3851" s="9">
        <f>IFERROR(__xludf.DUMMYFUNCTION("""COMPUTED_VALUE"""),30.4)</f>
        <v>30.4</v>
      </c>
      <c r="E3851" s="17"/>
      <c r="N3851" s="17"/>
      <c r="Q3851" s="17"/>
    </row>
    <row r="3852">
      <c r="B3852" s="11">
        <f>IFERROR(__xludf.DUMMYFUNCTION("""COMPUTED_VALUE"""),40430.666666666664)</f>
        <v>40430.66667</v>
      </c>
      <c r="C3852" s="9">
        <f>IFERROR(__xludf.DUMMYFUNCTION("""COMPUTED_VALUE"""),30.13)</f>
        <v>30.13</v>
      </c>
      <c r="E3852" s="17"/>
      <c r="N3852" s="17"/>
      <c r="Q3852" s="17"/>
    </row>
    <row r="3853">
      <c r="B3853" s="11">
        <f>IFERROR(__xludf.DUMMYFUNCTION("""COMPUTED_VALUE"""),40429.666666666664)</f>
        <v>40429.66667</v>
      </c>
      <c r="C3853" s="9">
        <f>IFERROR(__xludf.DUMMYFUNCTION("""COMPUTED_VALUE"""),30.16)</f>
        <v>30.16</v>
      </c>
      <c r="E3853" s="17"/>
      <c r="N3853" s="17"/>
      <c r="Q3853" s="17"/>
    </row>
    <row r="3854">
      <c r="B3854" s="11">
        <f>IFERROR(__xludf.DUMMYFUNCTION("""COMPUTED_VALUE"""),40428.666666666664)</f>
        <v>40428.66667</v>
      </c>
      <c r="C3854" s="9">
        <f>IFERROR(__xludf.DUMMYFUNCTION("""COMPUTED_VALUE"""),29.85)</f>
        <v>29.85</v>
      </c>
      <c r="E3854" s="17"/>
      <c r="N3854" s="17"/>
      <c r="Q3854" s="17"/>
    </row>
    <row r="3855">
      <c r="B3855" s="11">
        <f>IFERROR(__xludf.DUMMYFUNCTION("""COMPUTED_VALUE"""),40424.666666666664)</f>
        <v>40424.66667</v>
      </c>
      <c r="C3855" s="9">
        <f>IFERROR(__xludf.DUMMYFUNCTION("""COMPUTED_VALUE"""),30.13)</f>
        <v>30.13</v>
      </c>
      <c r="E3855" s="17"/>
      <c r="N3855" s="17"/>
      <c r="Q3855" s="17"/>
    </row>
    <row r="3856">
      <c r="B3856" s="11">
        <f>IFERROR(__xludf.DUMMYFUNCTION("""COMPUTED_VALUE"""),40423.666666666664)</f>
        <v>40423.66667</v>
      </c>
      <c r="C3856" s="9">
        <f>IFERROR(__xludf.DUMMYFUNCTION("""COMPUTED_VALUE"""),29.68)</f>
        <v>29.68</v>
      </c>
      <c r="E3856" s="17"/>
      <c r="N3856" s="17"/>
      <c r="Q3856" s="17"/>
    </row>
    <row r="3857">
      <c r="B3857" s="11">
        <f>IFERROR(__xludf.DUMMYFUNCTION("""COMPUTED_VALUE"""),40422.666666666664)</f>
        <v>40422.66667</v>
      </c>
      <c r="C3857" s="9">
        <f>IFERROR(__xludf.DUMMYFUNCTION("""COMPUTED_VALUE"""),29.31)</f>
        <v>29.31</v>
      </c>
      <c r="E3857" s="17"/>
      <c r="N3857" s="17"/>
      <c r="Q3857" s="17"/>
    </row>
    <row r="3858">
      <c r="B3858" s="11">
        <f>IFERROR(__xludf.DUMMYFUNCTION("""COMPUTED_VALUE"""),40421.666666666664)</f>
        <v>40421.66667</v>
      </c>
      <c r="C3858" s="9">
        <f>IFERROR(__xludf.DUMMYFUNCTION("""COMPUTED_VALUE"""),28.19)</f>
        <v>28.19</v>
      </c>
      <c r="E3858" s="17"/>
      <c r="N3858" s="17"/>
      <c r="Q3858" s="17"/>
    </row>
    <row r="3859">
      <c r="B3859" s="11">
        <f>IFERROR(__xludf.DUMMYFUNCTION("""COMPUTED_VALUE"""),40420.666666666664)</f>
        <v>40420.66667</v>
      </c>
      <c r="C3859" s="9">
        <f>IFERROR(__xludf.DUMMYFUNCTION("""COMPUTED_VALUE"""),28.3)</f>
        <v>28.3</v>
      </c>
      <c r="E3859" s="17"/>
      <c r="N3859" s="17"/>
      <c r="Q3859" s="17"/>
    </row>
    <row r="3860">
      <c r="B3860" s="11">
        <f>IFERROR(__xludf.DUMMYFUNCTION("""COMPUTED_VALUE"""),40417.666666666664)</f>
        <v>40417.66667</v>
      </c>
      <c r="C3860" s="9">
        <f>IFERROR(__xludf.DUMMYFUNCTION("""COMPUTED_VALUE"""),28.74)</f>
        <v>28.74</v>
      </c>
      <c r="E3860" s="17"/>
      <c r="N3860" s="17"/>
      <c r="Q3860" s="17"/>
    </row>
    <row r="3861">
      <c r="B3861" s="11">
        <f>IFERROR(__xludf.DUMMYFUNCTION("""COMPUTED_VALUE"""),40416.666666666664)</f>
        <v>40416.66667</v>
      </c>
      <c r="C3861" s="9">
        <f>IFERROR(__xludf.DUMMYFUNCTION("""COMPUTED_VALUE"""),28.17)</f>
        <v>28.17</v>
      </c>
      <c r="E3861" s="17"/>
      <c r="N3861" s="17"/>
      <c r="Q3861" s="17"/>
    </row>
    <row r="3862">
      <c r="B3862" s="11">
        <f>IFERROR(__xludf.DUMMYFUNCTION("""COMPUTED_VALUE"""),40415.666666666664)</f>
        <v>40415.66667</v>
      </c>
      <c r="C3862" s="9">
        <f>IFERROR(__xludf.DUMMYFUNCTION("""COMPUTED_VALUE"""),28.21)</f>
        <v>28.21</v>
      </c>
      <c r="E3862" s="17"/>
      <c r="N3862" s="17"/>
      <c r="Q3862" s="17"/>
    </row>
    <row r="3863">
      <c r="B3863" s="11">
        <f>IFERROR(__xludf.DUMMYFUNCTION("""COMPUTED_VALUE"""),40414.666666666664)</f>
        <v>40414.66667</v>
      </c>
      <c r="C3863" s="9">
        <f>IFERROR(__xludf.DUMMYFUNCTION("""COMPUTED_VALUE"""),28.26)</f>
        <v>28.26</v>
      </c>
      <c r="E3863" s="17"/>
      <c r="N3863" s="17"/>
      <c r="Q3863" s="17"/>
    </row>
    <row r="3864">
      <c r="B3864" s="11">
        <f>IFERROR(__xludf.DUMMYFUNCTION("""COMPUTED_VALUE"""),40413.666666666664)</f>
        <v>40413.66667</v>
      </c>
      <c r="C3864" s="9">
        <f>IFERROR(__xludf.DUMMYFUNCTION("""COMPUTED_VALUE"""),28.85)</f>
        <v>28.85</v>
      </c>
      <c r="E3864" s="17"/>
      <c r="N3864" s="17"/>
      <c r="Q3864" s="17"/>
    </row>
    <row r="3865">
      <c r="B3865" s="11">
        <f>IFERROR(__xludf.DUMMYFUNCTION("""COMPUTED_VALUE"""),40410.666666666664)</f>
        <v>40410.66667</v>
      </c>
      <c r="C3865" s="9">
        <f>IFERROR(__xludf.DUMMYFUNCTION("""COMPUTED_VALUE"""),29.17)</f>
        <v>29.17</v>
      </c>
      <c r="E3865" s="17"/>
      <c r="N3865" s="17"/>
      <c r="Q3865" s="17"/>
    </row>
    <row r="3866">
      <c r="B3866" s="11">
        <f>IFERROR(__xludf.DUMMYFUNCTION("""COMPUTED_VALUE"""),40409.666666666664)</f>
        <v>40409.66667</v>
      </c>
      <c r="C3866" s="9">
        <f>IFERROR(__xludf.DUMMYFUNCTION("""COMPUTED_VALUE"""),29.32)</f>
        <v>29.32</v>
      </c>
      <c r="E3866" s="17"/>
      <c r="N3866" s="17"/>
      <c r="Q3866" s="17"/>
    </row>
    <row r="3867">
      <c r="B3867" s="11">
        <f>IFERROR(__xludf.DUMMYFUNCTION("""COMPUTED_VALUE"""),40408.666666666664)</f>
        <v>40408.66667</v>
      </c>
      <c r="C3867" s="9">
        <f>IFERROR(__xludf.DUMMYFUNCTION("""COMPUTED_VALUE"""),29.96)</f>
        <v>29.96</v>
      </c>
      <c r="E3867" s="17"/>
      <c r="N3867" s="17"/>
      <c r="Q3867" s="17"/>
    </row>
    <row r="3868">
      <c r="B3868" s="11">
        <f>IFERROR(__xludf.DUMMYFUNCTION("""COMPUTED_VALUE"""),40407.666666666664)</f>
        <v>40407.66667</v>
      </c>
      <c r="C3868" s="9">
        <f>IFERROR(__xludf.DUMMYFUNCTION("""COMPUTED_VALUE"""),29.85)</f>
        <v>29.85</v>
      </c>
      <c r="E3868" s="17"/>
      <c r="N3868" s="17"/>
      <c r="Q3868" s="17"/>
    </row>
    <row r="3869">
      <c r="B3869" s="11">
        <f>IFERROR(__xludf.DUMMYFUNCTION("""COMPUTED_VALUE"""),40406.666666666664)</f>
        <v>40406.66667</v>
      </c>
      <c r="C3869" s="9">
        <f>IFERROR(__xludf.DUMMYFUNCTION("""COMPUTED_VALUE"""),29.34)</f>
        <v>29.34</v>
      </c>
      <c r="E3869" s="17"/>
      <c r="N3869" s="17"/>
      <c r="Q3869" s="17"/>
    </row>
    <row r="3870">
      <c r="B3870" s="11">
        <f>IFERROR(__xludf.DUMMYFUNCTION("""COMPUTED_VALUE"""),40403.666666666664)</f>
        <v>40403.66667</v>
      </c>
      <c r="C3870" s="9">
        <f>IFERROR(__xludf.DUMMYFUNCTION("""COMPUTED_VALUE"""),29.4)</f>
        <v>29.4</v>
      </c>
      <c r="E3870" s="17"/>
      <c r="N3870" s="17"/>
      <c r="Q3870" s="17"/>
    </row>
    <row r="3871">
      <c r="B3871" s="11">
        <f>IFERROR(__xludf.DUMMYFUNCTION("""COMPUTED_VALUE"""),40402.666666666664)</f>
        <v>40402.66667</v>
      </c>
      <c r="C3871" s="9">
        <f>IFERROR(__xludf.DUMMYFUNCTION("""COMPUTED_VALUE"""),29.44)</f>
        <v>29.44</v>
      </c>
      <c r="E3871" s="17"/>
      <c r="N3871" s="17"/>
      <c r="Q3871" s="17"/>
    </row>
    <row r="3872">
      <c r="B3872" s="11">
        <f>IFERROR(__xludf.DUMMYFUNCTION("""COMPUTED_VALUE"""),40401.666666666664)</f>
        <v>40401.66667</v>
      </c>
      <c r="C3872" s="9">
        <f>IFERROR(__xludf.DUMMYFUNCTION("""COMPUTED_VALUE"""),29.65)</f>
        <v>29.65</v>
      </c>
      <c r="E3872" s="17"/>
      <c r="N3872" s="17"/>
      <c r="Q3872" s="17"/>
    </row>
    <row r="3873">
      <c r="B3873" s="11">
        <f>IFERROR(__xludf.DUMMYFUNCTION("""COMPUTED_VALUE"""),40400.666666666664)</f>
        <v>40400.66667</v>
      </c>
      <c r="C3873" s="9">
        <f>IFERROR(__xludf.DUMMYFUNCTION("""COMPUTED_VALUE"""),30.8)</f>
        <v>30.8</v>
      </c>
      <c r="E3873" s="17"/>
      <c r="N3873" s="17"/>
      <c r="Q3873" s="17"/>
    </row>
    <row r="3874">
      <c r="B3874" s="11">
        <f>IFERROR(__xludf.DUMMYFUNCTION("""COMPUTED_VALUE"""),40399.666666666664)</f>
        <v>40399.66667</v>
      </c>
      <c r="C3874" s="9">
        <f>IFERROR(__xludf.DUMMYFUNCTION("""COMPUTED_VALUE"""),31.01)</f>
        <v>31.01</v>
      </c>
      <c r="E3874" s="17"/>
      <c r="N3874" s="17"/>
      <c r="Q3874" s="17"/>
    </row>
    <row r="3875">
      <c r="B3875" s="11">
        <f>IFERROR(__xludf.DUMMYFUNCTION("""COMPUTED_VALUE"""),40396.666666666664)</f>
        <v>40396.66667</v>
      </c>
      <c r="C3875" s="9">
        <f>IFERROR(__xludf.DUMMYFUNCTION("""COMPUTED_VALUE"""),30.85)</f>
        <v>30.85</v>
      </c>
      <c r="E3875" s="17"/>
      <c r="N3875" s="17"/>
      <c r="Q3875" s="17"/>
    </row>
    <row r="3876">
      <c r="B3876" s="11">
        <f>IFERROR(__xludf.DUMMYFUNCTION("""COMPUTED_VALUE"""),40395.666666666664)</f>
        <v>40395.66667</v>
      </c>
      <c r="C3876" s="9">
        <f>IFERROR(__xludf.DUMMYFUNCTION("""COMPUTED_VALUE"""),31.02)</f>
        <v>31.02</v>
      </c>
      <c r="E3876" s="17"/>
      <c r="N3876" s="17"/>
      <c r="Q3876" s="17"/>
    </row>
    <row r="3877">
      <c r="B3877" s="11">
        <f>IFERROR(__xludf.DUMMYFUNCTION("""COMPUTED_VALUE"""),40394.666666666664)</f>
        <v>40394.66667</v>
      </c>
      <c r="C3877" s="9">
        <f>IFERROR(__xludf.DUMMYFUNCTION("""COMPUTED_VALUE"""),31.0)</f>
        <v>31</v>
      </c>
      <c r="E3877" s="17"/>
      <c r="N3877" s="17"/>
      <c r="Q3877" s="17"/>
    </row>
    <row r="3878">
      <c r="B3878" s="11">
        <f>IFERROR(__xludf.DUMMYFUNCTION("""COMPUTED_VALUE"""),40393.666666666664)</f>
        <v>40393.66667</v>
      </c>
      <c r="C3878" s="9">
        <f>IFERROR(__xludf.DUMMYFUNCTION("""COMPUTED_VALUE"""),30.73)</f>
        <v>30.73</v>
      </c>
      <c r="E3878" s="17"/>
      <c r="N3878" s="17"/>
      <c r="Q3878" s="17"/>
    </row>
    <row r="3879">
      <c r="B3879" s="11">
        <f>IFERROR(__xludf.DUMMYFUNCTION("""COMPUTED_VALUE"""),40392.666666666664)</f>
        <v>40392.66667</v>
      </c>
      <c r="C3879" s="9">
        <f>IFERROR(__xludf.DUMMYFUNCTION("""COMPUTED_VALUE"""),30.89)</f>
        <v>30.89</v>
      </c>
      <c r="E3879" s="17"/>
      <c r="N3879" s="17"/>
      <c r="Q3879" s="17"/>
    </row>
    <row r="3880">
      <c r="B3880" s="11">
        <f>IFERROR(__xludf.DUMMYFUNCTION("""COMPUTED_VALUE"""),40389.666666666664)</f>
        <v>40389.66667</v>
      </c>
      <c r="C3880" s="9">
        <f>IFERROR(__xludf.DUMMYFUNCTION("""COMPUTED_VALUE"""),30.29)</f>
        <v>30.29</v>
      </c>
      <c r="E3880" s="17"/>
      <c r="N3880" s="17"/>
      <c r="Q3880" s="17"/>
    </row>
    <row r="3881">
      <c r="B3881" s="11">
        <f>IFERROR(__xludf.DUMMYFUNCTION("""COMPUTED_VALUE"""),40388.666666666664)</f>
        <v>40388.66667</v>
      </c>
      <c r="C3881" s="9">
        <f>IFERROR(__xludf.DUMMYFUNCTION("""COMPUTED_VALUE"""),30.17)</f>
        <v>30.17</v>
      </c>
      <c r="E3881" s="17"/>
      <c r="N3881" s="17"/>
      <c r="Q3881" s="17"/>
    </row>
    <row r="3882">
      <c r="B3882" s="11">
        <f>IFERROR(__xludf.DUMMYFUNCTION("""COMPUTED_VALUE"""),40387.666666666664)</f>
        <v>40387.66667</v>
      </c>
      <c r="C3882" s="9">
        <f>IFERROR(__xludf.DUMMYFUNCTION("""COMPUTED_VALUE"""),30.27)</f>
        <v>30.27</v>
      </c>
      <c r="E3882" s="17"/>
      <c r="N3882" s="17"/>
      <c r="Q3882" s="17"/>
    </row>
    <row r="3883">
      <c r="B3883" s="11">
        <f>IFERROR(__xludf.DUMMYFUNCTION("""COMPUTED_VALUE"""),40386.666666666664)</f>
        <v>40386.66667</v>
      </c>
      <c r="C3883" s="9">
        <f>IFERROR(__xludf.DUMMYFUNCTION("""COMPUTED_VALUE"""),30.35)</f>
        <v>30.35</v>
      </c>
      <c r="E3883" s="17"/>
      <c r="N3883" s="17"/>
      <c r="Q3883" s="17"/>
    </row>
    <row r="3884">
      <c r="B3884" s="11">
        <f>IFERROR(__xludf.DUMMYFUNCTION("""COMPUTED_VALUE"""),40385.666666666664)</f>
        <v>40385.66667</v>
      </c>
      <c r="C3884" s="9">
        <f>IFERROR(__xludf.DUMMYFUNCTION("""COMPUTED_VALUE"""),30.56)</f>
        <v>30.56</v>
      </c>
      <c r="E3884" s="17"/>
      <c r="N3884" s="17"/>
      <c r="Q3884" s="17"/>
    </row>
    <row r="3885">
      <c r="B3885" s="11">
        <f>IFERROR(__xludf.DUMMYFUNCTION("""COMPUTED_VALUE"""),40382.666666666664)</f>
        <v>40382.66667</v>
      </c>
      <c r="C3885" s="9">
        <f>IFERROR(__xludf.DUMMYFUNCTION("""COMPUTED_VALUE"""),30.07)</f>
        <v>30.07</v>
      </c>
      <c r="E3885" s="17"/>
      <c r="N3885" s="17"/>
      <c r="Q3885" s="17"/>
    </row>
    <row r="3886">
      <c r="B3886" s="11">
        <f>IFERROR(__xludf.DUMMYFUNCTION("""COMPUTED_VALUE"""),40381.666666666664)</f>
        <v>40381.66667</v>
      </c>
      <c r="C3886" s="9">
        <f>IFERROR(__xludf.DUMMYFUNCTION("""COMPUTED_VALUE"""),29.48)</f>
        <v>29.48</v>
      </c>
      <c r="E3886" s="17"/>
      <c r="N3886" s="17"/>
      <c r="Q3886" s="17"/>
    </row>
    <row r="3887">
      <c r="B3887" s="11">
        <f>IFERROR(__xludf.DUMMYFUNCTION("""COMPUTED_VALUE"""),40380.666666666664)</f>
        <v>40380.66667</v>
      </c>
      <c r="C3887" s="9">
        <f>IFERROR(__xludf.DUMMYFUNCTION("""COMPUTED_VALUE"""),28.6)</f>
        <v>28.6</v>
      </c>
      <c r="E3887" s="17"/>
      <c r="N3887" s="17"/>
      <c r="Q3887" s="17"/>
    </row>
    <row r="3888">
      <c r="B3888" s="11">
        <f>IFERROR(__xludf.DUMMYFUNCTION("""COMPUTED_VALUE"""),40379.666666666664)</f>
        <v>40379.66667</v>
      </c>
      <c r="C3888" s="9">
        <f>IFERROR(__xludf.DUMMYFUNCTION("""COMPUTED_VALUE"""),28.67)</f>
        <v>28.67</v>
      </c>
      <c r="E3888" s="17"/>
      <c r="N3888" s="17"/>
      <c r="Q3888" s="17"/>
    </row>
    <row r="3889">
      <c r="B3889" s="11">
        <f>IFERROR(__xludf.DUMMYFUNCTION("""COMPUTED_VALUE"""),40378.666666666664)</f>
        <v>40378.66667</v>
      </c>
      <c r="C3889" s="9">
        <f>IFERROR(__xludf.DUMMYFUNCTION("""COMPUTED_VALUE"""),28.23)</f>
        <v>28.23</v>
      </c>
      <c r="E3889" s="17"/>
      <c r="N3889" s="17"/>
      <c r="Q3889" s="17"/>
    </row>
    <row r="3890">
      <c r="B3890" s="11">
        <f>IFERROR(__xludf.DUMMYFUNCTION("""COMPUTED_VALUE"""),40375.666666666664)</f>
        <v>40375.66667</v>
      </c>
      <c r="C3890" s="9">
        <f>IFERROR(__xludf.DUMMYFUNCTION("""COMPUTED_VALUE"""),28.07)</f>
        <v>28.07</v>
      </c>
      <c r="E3890" s="17"/>
      <c r="N3890" s="17"/>
      <c r="Q3890" s="17"/>
    </row>
    <row r="3891">
      <c r="B3891" s="11">
        <f>IFERROR(__xludf.DUMMYFUNCTION("""COMPUTED_VALUE"""),40374.666666666664)</f>
        <v>40374.66667</v>
      </c>
      <c r="C3891" s="9">
        <f>IFERROR(__xludf.DUMMYFUNCTION("""COMPUTED_VALUE"""),29.04)</f>
        <v>29.04</v>
      </c>
      <c r="E3891" s="17"/>
      <c r="N3891" s="17"/>
      <c r="Q3891" s="17"/>
    </row>
    <row r="3892">
      <c r="B3892" s="11">
        <f>IFERROR(__xludf.DUMMYFUNCTION("""COMPUTED_VALUE"""),40373.666666666664)</f>
        <v>40373.66667</v>
      </c>
      <c r="C3892" s="9">
        <f>IFERROR(__xludf.DUMMYFUNCTION("""COMPUTED_VALUE"""),29.05)</f>
        <v>29.05</v>
      </c>
      <c r="E3892" s="17"/>
      <c r="N3892" s="17"/>
      <c r="Q3892" s="17"/>
    </row>
    <row r="3893">
      <c r="B3893" s="11">
        <f>IFERROR(__xludf.DUMMYFUNCTION("""COMPUTED_VALUE"""),40372.666666666664)</f>
        <v>40372.66667</v>
      </c>
      <c r="C3893" s="9">
        <f>IFERROR(__xludf.DUMMYFUNCTION("""COMPUTED_VALUE"""),28.99)</f>
        <v>28.99</v>
      </c>
      <c r="E3893" s="17"/>
      <c r="N3893" s="17"/>
      <c r="Q3893" s="17"/>
    </row>
    <row r="3894">
      <c r="B3894" s="11">
        <f>IFERROR(__xludf.DUMMYFUNCTION("""COMPUTED_VALUE"""),40371.666666666664)</f>
        <v>40371.66667</v>
      </c>
      <c r="C3894" s="9">
        <f>IFERROR(__xludf.DUMMYFUNCTION("""COMPUTED_VALUE"""),28.49)</f>
        <v>28.49</v>
      </c>
      <c r="E3894" s="17"/>
      <c r="N3894" s="17"/>
      <c r="Q3894" s="17"/>
    </row>
    <row r="3895">
      <c r="B3895" s="11">
        <f>IFERROR(__xludf.DUMMYFUNCTION("""COMPUTED_VALUE"""),40368.666666666664)</f>
        <v>40368.66667</v>
      </c>
      <c r="C3895" s="9">
        <f>IFERROR(__xludf.DUMMYFUNCTION("""COMPUTED_VALUE"""),28.64)</f>
        <v>28.64</v>
      </c>
      <c r="E3895" s="17"/>
      <c r="N3895" s="17"/>
      <c r="Q3895" s="17"/>
    </row>
    <row r="3896">
      <c r="B3896" s="11">
        <f>IFERROR(__xludf.DUMMYFUNCTION("""COMPUTED_VALUE"""),40367.666666666664)</f>
        <v>40367.66667</v>
      </c>
      <c r="C3896" s="9">
        <f>IFERROR(__xludf.DUMMYFUNCTION("""COMPUTED_VALUE"""),28.36)</f>
        <v>28.36</v>
      </c>
      <c r="E3896" s="17"/>
      <c r="N3896" s="17"/>
      <c r="Q3896" s="17"/>
    </row>
    <row r="3897">
      <c r="B3897" s="11">
        <f>IFERROR(__xludf.DUMMYFUNCTION("""COMPUTED_VALUE"""),40366.666666666664)</f>
        <v>40366.66667</v>
      </c>
      <c r="C3897" s="9">
        <f>IFERROR(__xludf.DUMMYFUNCTION("""COMPUTED_VALUE"""),28.0)</f>
        <v>28</v>
      </c>
      <c r="E3897" s="17"/>
      <c r="N3897" s="17"/>
      <c r="Q3897" s="17"/>
    </row>
    <row r="3898">
      <c r="B3898" s="11">
        <f>IFERROR(__xludf.DUMMYFUNCTION("""COMPUTED_VALUE"""),40365.666666666664)</f>
        <v>40365.66667</v>
      </c>
      <c r="C3898" s="9">
        <f>IFERROR(__xludf.DUMMYFUNCTION("""COMPUTED_VALUE"""),27.06)</f>
        <v>27.06</v>
      </c>
      <c r="E3898" s="17"/>
      <c r="N3898" s="17"/>
      <c r="Q3898" s="17"/>
    </row>
    <row r="3899">
      <c r="B3899" s="11">
        <f>IFERROR(__xludf.DUMMYFUNCTION("""COMPUTED_VALUE"""),40361.666666666664)</f>
        <v>40361.66667</v>
      </c>
      <c r="C3899" s="9">
        <f>IFERROR(__xludf.DUMMYFUNCTION("""COMPUTED_VALUE"""),27.01)</f>
        <v>27.01</v>
      </c>
      <c r="E3899" s="17"/>
      <c r="N3899" s="17"/>
      <c r="Q3899" s="17"/>
    </row>
    <row r="3900">
      <c r="B3900" s="11">
        <f>IFERROR(__xludf.DUMMYFUNCTION("""COMPUTED_VALUE"""),40360.666666666664)</f>
        <v>40360.66667</v>
      </c>
      <c r="C3900" s="9">
        <f>IFERROR(__xludf.DUMMYFUNCTION("""COMPUTED_VALUE"""),27.35)</f>
        <v>27.35</v>
      </c>
      <c r="E3900" s="17"/>
      <c r="N3900" s="17"/>
      <c r="Q3900" s="17"/>
    </row>
    <row r="3901">
      <c r="B3901" s="11">
        <f>IFERROR(__xludf.DUMMYFUNCTION("""COMPUTED_VALUE"""),40359.666666666664)</f>
        <v>40359.66667</v>
      </c>
      <c r="C3901" s="9">
        <f>IFERROR(__xludf.DUMMYFUNCTION("""COMPUTED_VALUE"""),27.43)</f>
        <v>27.43</v>
      </c>
      <c r="E3901" s="17"/>
      <c r="N3901" s="17"/>
      <c r="Q3901" s="17"/>
    </row>
    <row r="3902">
      <c r="B3902" s="11">
        <f>IFERROR(__xludf.DUMMYFUNCTION("""COMPUTED_VALUE"""),40358.666666666664)</f>
        <v>40358.66667</v>
      </c>
      <c r="C3902" s="9">
        <f>IFERROR(__xludf.DUMMYFUNCTION("""COMPUTED_VALUE"""),27.61)</f>
        <v>27.61</v>
      </c>
      <c r="E3902" s="17"/>
      <c r="N3902" s="17"/>
      <c r="Q3902" s="17"/>
    </row>
    <row r="3903">
      <c r="B3903" s="11">
        <f>IFERROR(__xludf.DUMMYFUNCTION("""COMPUTED_VALUE"""),40357.666666666664)</f>
        <v>40357.66667</v>
      </c>
      <c r="C3903" s="9">
        <f>IFERROR(__xludf.DUMMYFUNCTION("""COMPUTED_VALUE"""),28.72)</f>
        <v>28.72</v>
      </c>
      <c r="E3903" s="17"/>
      <c r="N3903" s="17"/>
      <c r="Q3903" s="17"/>
    </row>
    <row r="3904">
      <c r="B3904" s="11">
        <f>IFERROR(__xludf.DUMMYFUNCTION("""COMPUTED_VALUE"""),40354.666666666664)</f>
        <v>40354.66667</v>
      </c>
      <c r="C3904" s="9">
        <f>IFERROR(__xludf.DUMMYFUNCTION("""COMPUTED_VALUE"""),28.92)</f>
        <v>28.92</v>
      </c>
      <c r="E3904" s="17"/>
      <c r="N3904" s="17"/>
      <c r="Q3904" s="17"/>
    </row>
    <row r="3905">
      <c r="B3905" s="11">
        <f>IFERROR(__xludf.DUMMYFUNCTION("""COMPUTED_VALUE"""),40353.666666666664)</f>
        <v>40353.66667</v>
      </c>
      <c r="C3905" s="9">
        <f>IFERROR(__xludf.DUMMYFUNCTION("""COMPUTED_VALUE"""),28.7)</f>
        <v>28.7</v>
      </c>
      <c r="E3905" s="17"/>
      <c r="N3905" s="17"/>
      <c r="Q3905" s="17"/>
    </row>
    <row r="3906">
      <c r="B3906" s="11">
        <f>IFERROR(__xludf.DUMMYFUNCTION("""COMPUTED_VALUE"""),40352.666666666664)</f>
        <v>40352.66667</v>
      </c>
      <c r="C3906" s="9">
        <f>IFERROR(__xludf.DUMMYFUNCTION("""COMPUTED_VALUE"""),29.21)</f>
        <v>29.21</v>
      </c>
      <c r="E3906" s="17"/>
      <c r="N3906" s="17"/>
      <c r="Q3906" s="17"/>
    </row>
    <row r="3907">
      <c r="B3907" s="11">
        <f>IFERROR(__xludf.DUMMYFUNCTION("""COMPUTED_VALUE"""),40351.666666666664)</f>
        <v>40351.66667</v>
      </c>
      <c r="C3907" s="9">
        <f>IFERROR(__xludf.DUMMYFUNCTION("""COMPUTED_VALUE"""),29.32)</f>
        <v>29.32</v>
      </c>
      <c r="E3907" s="17"/>
      <c r="N3907" s="17"/>
      <c r="Q3907" s="17"/>
    </row>
    <row r="3908">
      <c r="B3908" s="11">
        <f>IFERROR(__xludf.DUMMYFUNCTION("""COMPUTED_VALUE"""),40350.666666666664)</f>
        <v>40350.66667</v>
      </c>
      <c r="C3908" s="9">
        <f>IFERROR(__xludf.DUMMYFUNCTION("""COMPUTED_VALUE"""),30.05)</f>
        <v>30.05</v>
      </c>
      <c r="E3908" s="17"/>
      <c r="N3908" s="17"/>
      <c r="Q3908" s="17"/>
    </row>
    <row r="3909">
      <c r="B3909" s="11">
        <f>IFERROR(__xludf.DUMMYFUNCTION("""COMPUTED_VALUE"""),40347.666666666664)</f>
        <v>40347.66667</v>
      </c>
      <c r="C3909" s="9">
        <f>IFERROR(__xludf.DUMMYFUNCTION("""COMPUTED_VALUE"""),30.0)</f>
        <v>30</v>
      </c>
      <c r="E3909" s="17"/>
      <c r="N3909" s="17"/>
      <c r="Q3909" s="17"/>
    </row>
    <row r="3910">
      <c r="B3910" s="11">
        <f>IFERROR(__xludf.DUMMYFUNCTION("""COMPUTED_VALUE"""),40346.666666666664)</f>
        <v>40346.66667</v>
      </c>
      <c r="C3910" s="9">
        <f>IFERROR(__xludf.DUMMYFUNCTION("""COMPUTED_VALUE"""),30.03)</f>
        <v>30.03</v>
      </c>
      <c r="E3910" s="17"/>
      <c r="N3910" s="17"/>
      <c r="Q3910" s="17"/>
    </row>
    <row r="3911">
      <c r="B3911" s="11">
        <f>IFERROR(__xludf.DUMMYFUNCTION("""COMPUTED_VALUE"""),40345.666666666664)</f>
        <v>40345.66667</v>
      </c>
      <c r="C3911" s="9">
        <f>IFERROR(__xludf.DUMMYFUNCTION("""COMPUTED_VALUE"""),29.94)</f>
        <v>29.94</v>
      </c>
      <c r="E3911" s="17"/>
      <c r="N3911" s="17"/>
      <c r="Q3911" s="17"/>
    </row>
    <row r="3912">
      <c r="B3912" s="11">
        <f>IFERROR(__xludf.DUMMYFUNCTION("""COMPUTED_VALUE"""),40344.666666666664)</f>
        <v>40344.66667</v>
      </c>
      <c r="C3912" s="9">
        <f>IFERROR(__xludf.DUMMYFUNCTION("""COMPUTED_VALUE"""),30.02)</f>
        <v>30.02</v>
      </c>
      <c r="E3912" s="17"/>
      <c r="N3912" s="17"/>
      <c r="Q3912" s="17"/>
    </row>
    <row r="3913">
      <c r="B3913" s="11">
        <f>IFERROR(__xludf.DUMMYFUNCTION("""COMPUTED_VALUE"""),40343.666666666664)</f>
        <v>40343.66667</v>
      </c>
      <c r="C3913" s="9">
        <f>IFERROR(__xludf.DUMMYFUNCTION("""COMPUTED_VALUE"""),29.14)</f>
        <v>29.14</v>
      </c>
      <c r="E3913" s="17"/>
      <c r="N3913" s="17"/>
      <c r="Q3913" s="17"/>
    </row>
    <row r="3914">
      <c r="B3914" s="11">
        <f>IFERROR(__xludf.DUMMYFUNCTION("""COMPUTED_VALUE"""),40340.666666666664)</f>
        <v>40340.66667</v>
      </c>
      <c r="C3914" s="9">
        <f>IFERROR(__xludf.DUMMYFUNCTION("""COMPUTED_VALUE"""),29.17)</f>
        <v>29.17</v>
      </c>
      <c r="E3914" s="17"/>
      <c r="N3914" s="17"/>
      <c r="Q3914" s="17"/>
    </row>
    <row r="3915">
      <c r="B3915" s="11">
        <f>IFERROR(__xludf.DUMMYFUNCTION("""COMPUTED_VALUE"""),40339.666666666664)</f>
        <v>40339.66667</v>
      </c>
      <c r="C3915" s="9">
        <f>IFERROR(__xludf.DUMMYFUNCTION("""COMPUTED_VALUE"""),29.07)</f>
        <v>29.07</v>
      </c>
      <c r="E3915" s="17"/>
      <c r="N3915" s="17"/>
      <c r="Q3915" s="17"/>
    </row>
    <row r="3916">
      <c r="B3916" s="11">
        <f>IFERROR(__xludf.DUMMYFUNCTION("""COMPUTED_VALUE"""),40338.666666666664)</f>
        <v>40338.66667</v>
      </c>
      <c r="C3916" s="9">
        <f>IFERROR(__xludf.DUMMYFUNCTION("""COMPUTED_VALUE"""),27.99)</f>
        <v>27.99</v>
      </c>
      <c r="E3916" s="17"/>
      <c r="N3916" s="17"/>
      <c r="Q3916" s="17"/>
    </row>
    <row r="3917">
      <c r="B3917" s="11">
        <f>IFERROR(__xludf.DUMMYFUNCTION("""COMPUTED_VALUE"""),40337.666666666664)</f>
        <v>40337.66667</v>
      </c>
      <c r="C3917" s="9">
        <f>IFERROR(__xludf.DUMMYFUNCTION("""COMPUTED_VALUE"""),27.99)</f>
        <v>27.99</v>
      </c>
      <c r="E3917" s="17"/>
      <c r="N3917" s="17"/>
      <c r="Q3917" s="17"/>
    </row>
    <row r="3918">
      <c r="B3918" s="11">
        <f>IFERROR(__xludf.DUMMYFUNCTION("""COMPUTED_VALUE"""),40336.666666666664)</f>
        <v>40336.66667</v>
      </c>
      <c r="C3918" s="9">
        <f>IFERROR(__xludf.DUMMYFUNCTION("""COMPUTED_VALUE"""),27.7)</f>
        <v>27.7</v>
      </c>
      <c r="E3918" s="17"/>
      <c r="N3918" s="17"/>
      <c r="Q3918" s="17"/>
    </row>
    <row r="3919">
      <c r="B3919" s="11">
        <f>IFERROR(__xludf.DUMMYFUNCTION("""COMPUTED_VALUE"""),40333.666666666664)</f>
        <v>40333.66667</v>
      </c>
      <c r="C3919" s="9">
        <f>IFERROR(__xludf.DUMMYFUNCTION("""COMPUTED_VALUE"""),28.43)</f>
        <v>28.43</v>
      </c>
      <c r="E3919" s="17"/>
      <c r="N3919" s="17"/>
      <c r="Q3919" s="17"/>
    </row>
    <row r="3920">
      <c r="B3920" s="11">
        <f>IFERROR(__xludf.DUMMYFUNCTION("""COMPUTED_VALUE"""),40332.666666666664)</f>
        <v>40332.66667</v>
      </c>
      <c r="C3920" s="9">
        <f>IFERROR(__xludf.DUMMYFUNCTION("""COMPUTED_VALUE"""),29.83)</f>
        <v>29.83</v>
      </c>
      <c r="E3920" s="17"/>
      <c r="N3920" s="17"/>
      <c r="Q3920" s="17"/>
    </row>
    <row r="3921">
      <c r="B3921" s="11">
        <f>IFERROR(__xludf.DUMMYFUNCTION("""COMPUTED_VALUE"""),40331.666666666664)</f>
        <v>40331.66667</v>
      </c>
      <c r="C3921" s="9">
        <f>IFERROR(__xludf.DUMMYFUNCTION("""COMPUTED_VALUE"""),29.69)</f>
        <v>29.69</v>
      </c>
      <c r="E3921" s="17"/>
      <c r="N3921" s="17"/>
      <c r="Q3921" s="17"/>
    </row>
    <row r="3922">
      <c r="B3922" s="11">
        <f>IFERROR(__xludf.DUMMYFUNCTION("""COMPUTED_VALUE"""),40330.666666666664)</f>
        <v>40330.66667</v>
      </c>
      <c r="C3922" s="9">
        <f>IFERROR(__xludf.DUMMYFUNCTION("""COMPUTED_VALUE"""),28.94)</f>
        <v>28.94</v>
      </c>
      <c r="E3922" s="17"/>
      <c r="N3922" s="17"/>
      <c r="Q3922" s="17"/>
    </row>
    <row r="3923">
      <c r="B3923" s="11">
        <f>IFERROR(__xludf.DUMMYFUNCTION("""COMPUTED_VALUE"""),40326.666666666664)</f>
        <v>40326.66667</v>
      </c>
      <c r="C3923" s="9">
        <f>IFERROR(__xludf.DUMMYFUNCTION("""COMPUTED_VALUE"""),29.6)</f>
        <v>29.6</v>
      </c>
      <c r="E3923" s="17"/>
      <c r="N3923" s="17"/>
      <c r="Q3923" s="17"/>
    </row>
    <row r="3924">
      <c r="B3924" s="11">
        <f>IFERROR(__xludf.DUMMYFUNCTION("""COMPUTED_VALUE"""),40325.666666666664)</f>
        <v>40325.66667</v>
      </c>
      <c r="C3924" s="9">
        <f>IFERROR(__xludf.DUMMYFUNCTION("""COMPUTED_VALUE"""),30.0)</f>
        <v>30</v>
      </c>
      <c r="E3924" s="17"/>
      <c r="N3924" s="17"/>
      <c r="Q3924" s="17"/>
    </row>
    <row r="3925">
      <c r="B3925" s="11">
        <f>IFERROR(__xludf.DUMMYFUNCTION("""COMPUTED_VALUE"""),40324.666666666664)</f>
        <v>40324.66667</v>
      </c>
      <c r="C3925" s="9">
        <f>IFERROR(__xludf.DUMMYFUNCTION("""COMPUTED_VALUE"""),29.02)</f>
        <v>29.02</v>
      </c>
      <c r="E3925" s="17"/>
      <c r="N3925" s="17"/>
      <c r="Q3925" s="17"/>
    </row>
    <row r="3926">
      <c r="B3926" s="11">
        <f>IFERROR(__xludf.DUMMYFUNCTION("""COMPUTED_VALUE"""),40323.666666666664)</f>
        <v>40323.66667</v>
      </c>
      <c r="C3926" s="9">
        <f>IFERROR(__xludf.DUMMYFUNCTION("""COMPUTED_VALUE"""),28.96)</f>
        <v>28.96</v>
      </c>
      <c r="E3926" s="17"/>
      <c r="N3926" s="17"/>
      <c r="Q3926" s="17"/>
    </row>
    <row r="3927">
      <c r="B3927" s="11">
        <f>IFERROR(__xludf.DUMMYFUNCTION("""COMPUTED_VALUE"""),40322.666666666664)</f>
        <v>40322.66667</v>
      </c>
      <c r="C3927" s="9">
        <f>IFERROR(__xludf.DUMMYFUNCTION("""COMPUTED_VALUE"""),28.98)</f>
        <v>28.98</v>
      </c>
      <c r="E3927" s="17"/>
      <c r="N3927" s="17"/>
      <c r="Q3927" s="17"/>
    </row>
    <row r="3928">
      <c r="B3928" s="11">
        <f>IFERROR(__xludf.DUMMYFUNCTION("""COMPUTED_VALUE"""),40319.666666666664)</f>
        <v>40319.66667</v>
      </c>
      <c r="C3928" s="9">
        <f>IFERROR(__xludf.DUMMYFUNCTION("""COMPUTED_VALUE"""),29.42)</f>
        <v>29.42</v>
      </c>
      <c r="E3928" s="17"/>
      <c r="N3928" s="17"/>
      <c r="Q3928" s="17"/>
    </row>
    <row r="3929">
      <c r="B3929" s="11">
        <f>IFERROR(__xludf.DUMMYFUNCTION("""COMPUTED_VALUE"""),40318.666666666664)</f>
        <v>40318.66667</v>
      </c>
      <c r="C3929" s="9">
        <f>IFERROR(__xludf.DUMMYFUNCTION("""COMPUTED_VALUE"""),29.01)</f>
        <v>29.01</v>
      </c>
      <c r="E3929" s="17"/>
      <c r="N3929" s="17"/>
      <c r="Q3929" s="17"/>
    </row>
    <row r="3930">
      <c r="B3930" s="11">
        <f>IFERROR(__xludf.DUMMYFUNCTION("""COMPUTED_VALUE"""),40317.666666666664)</f>
        <v>40317.66667</v>
      </c>
      <c r="C3930" s="9">
        <f>IFERROR(__xludf.DUMMYFUNCTION("""COMPUTED_VALUE"""),30.33)</f>
        <v>30.33</v>
      </c>
      <c r="E3930" s="17"/>
      <c r="N3930" s="17"/>
      <c r="Q3930" s="17"/>
    </row>
    <row r="3931">
      <c r="B3931" s="11">
        <f>IFERROR(__xludf.DUMMYFUNCTION("""COMPUTED_VALUE"""),40316.666666666664)</f>
        <v>40316.66667</v>
      </c>
      <c r="C3931" s="9">
        <f>IFERROR(__xludf.DUMMYFUNCTION("""COMPUTED_VALUE"""),30.72)</f>
        <v>30.72</v>
      </c>
      <c r="E3931" s="17"/>
      <c r="N3931" s="17"/>
      <c r="Q3931" s="17"/>
    </row>
    <row r="3932">
      <c r="B3932" s="11">
        <f>IFERROR(__xludf.DUMMYFUNCTION("""COMPUTED_VALUE"""),40315.666666666664)</f>
        <v>40315.66667</v>
      </c>
      <c r="C3932" s="9">
        <f>IFERROR(__xludf.DUMMYFUNCTION("""COMPUTED_VALUE"""),31.11)</f>
        <v>31.11</v>
      </c>
      <c r="E3932" s="17"/>
      <c r="N3932" s="17"/>
      <c r="Q3932" s="17"/>
    </row>
    <row r="3933">
      <c r="B3933" s="11">
        <f>IFERROR(__xludf.DUMMYFUNCTION("""COMPUTED_VALUE"""),40312.666666666664)</f>
        <v>40312.66667</v>
      </c>
      <c r="C3933" s="9">
        <f>IFERROR(__xludf.DUMMYFUNCTION("""COMPUTED_VALUE"""),31.19)</f>
        <v>31.19</v>
      </c>
      <c r="E3933" s="17"/>
      <c r="N3933" s="17"/>
      <c r="Q3933" s="17"/>
    </row>
    <row r="3934">
      <c r="B3934" s="11">
        <f>IFERROR(__xludf.DUMMYFUNCTION("""COMPUTED_VALUE"""),40311.666666666664)</f>
        <v>40311.66667</v>
      </c>
      <c r="C3934" s="9">
        <f>IFERROR(__xludf.DUMMYFUNCTION("""COMPUTED_VALUE"""),31.86)</f>
        <v>31.86</v>
      </c>
      <c r="E3934" s="17"/>
      <c r="N3934" s="17"/>
      <c r="Q3934" s="17"/>
    </row>
    <row r="3935">
      <c r="B3935" s="11">
        <f>IFERROR(__xludf.DUMMYFUNCTION("""COMPUTED_VALUE"""),40310.666666666664)</f>
        <v>40310.66667</v>
      </c>
      <c r="C3935" s="9">
        <f>IFERROR(__xludf.DUMMYFUNCTION("""COMPUTED_VALUE"""),32.36)</f>
        <v>32.36</v>
      </c>
      <c r="E3935" s="17"/>
      <c r="N3935" s="17"/>
      <c r="Q3935" s="17"/>
    </row>
    <row r="3936">
      <c r="B3936" s="11">
        <f>IFERROR(__xludf.DUMMYFUNCTION("""COMPUTED_VALUE"""),40309.666666666664)</f>
        <v>40309.66667</v>
      </c>
      <c r="C3936" s="9">
        <f>IFERROR(__xludf.DUMMYFUNCTION("""COMPUTED_VALUE"""),31.66)</f>
        <v>31.66</v>
      </c>
      <c r="E3936" s="17"/>
      <c r="N3936" s="17"/>
      <c r="Q3936" s="17"/>
    </row>
    <row r="3937">
      <c r="B3937" s="11">
        <f>IFERROR(__xludf.DUMMYFUNCTION("""COMPUTED_VALUE"""),40308.666666666664)</f>
        <v>40308.66667</v>
      </c>
      <c r="C3937" s="9">
        <f>IFERROR(__xludf.DUMMYFUNCTION("""COMPUTED_VALUE"""),31.75)</f>
        <v>31.75</v>
      </c>
      <c r="E3937" s="17"/>
      <c r="N3937" s="17"/>
      <c r="Q3937" s="17"/>
    </row>
    <row r="3938">
      <c r="B3938" s="11">
        <f>IFERROR(__xludf.DUMMYFUNCTION("""COMPUTED_VALUE"""),40305.666666666664)</f>
        <v>40305.66667</v>
      </c>
      <c r="C3938" s="9">
        <f>IFERROR(__xludf.DUMMYFUNCTION("""COMPUTED_VALUE"""),30.03)</f>
        <v>30.03</v>
      </c>
      <c r="E3938" s="17"/>
      <c r="N3938" s="17"/>
      <c r="Q3938" s="17"/>
    </row>
    <row r="3939">
      <c r="B3939" s="11">
        <f>IFERROR(__xludf.DUMMYFUNCTION("""COMPUTED_VALUE"""),40304.666666666664)</f>
        <v>40304.66667</v>
      </c>
      <c r="C3939" s="9">
        <f>IFERROR(__xludf.DUMMYFUNCTION("""COMPUTED_VALUE"""),30.71)</f>
        <v>30.71</v>
      </c>
      <c r="E3939" s="17"/>
      <c r="N3939" s="17"/>
      <c r="Q3939" s="17"/>
    </row>
    <row r="3940">
      <c r="B3940" s="11">
        <f>IFERROR(__xludf.DUMMYFUNCTION("""COMPUTED_VALUE"""),40303.666666666664)</f>
        <v>40303.66667</v>
      </c>
      <c r="C3940" s="9">
        <f>IFERROR(__xludf.DUMMYFUNCTION("""COMPUTED_VALUE"""),31.76)</f>
        <v>31.76</v>
      </c>
      <c r="E3940" s="17"/>
      <c r="N3940" s="17"/>
      <c r="Q3940" s="17"/>
    </row>
    <row r="3941">
      <c r="B3941" s="11">
        <f>IFERROR(__xludf.DUMMYFUNCTION("""COMPUTED_VALUE"""),40302.666666666664)</f>
        <v>40302.66667</v>
      </c>
      <c r="C3941" s="9">
        <f>IFERROR(__xludf.DUMMYFUNCTION("""COMPUTED_VALUE"""),32.17)</f>
        <v>32.17</v>
      </c>
      <c r="E3941" s="17"/>
      <c r="N3941" s="17"/>
      <c r="Q3941" s="17"/>
    </row>
    <row r="3942">
      <c r="B3942" s="11">
        <f>IFERROR(__xludf.DUMMYFUNCTION("""COMPUTED_VALUE"""),40301.666666666664)</f>
        <v>40301.66667</v>
      </c>
      <c r="C3942" s="9">
        <f>IFERROR(__xludf.DUMMYFUNCTION("""COMPUTED_VALUE"""),33.22)</f>
        <v>33.22</v>
      </c>
      <c r="E3942" s="17"/>
      <c r="N3942" s="17"/>
      <c r="Q3942" s="17"/>
    </row>
    <row r="3943">
      <c r="B3943" s="11">
        <f>IFERROR(__xludf.DUMMYFUNCTION("""COMPUTED_VALUE"""),40298.666666666664)</f>
        <v>40298.66667</v>
      </c>
      <c r="C3943" s="9">
        <f>IFERROR(__xludf.DUMMYFUNCTION("""COMPUTED_VALUE"""),32.57)</f>
        <v>32.57</v>
      </c>
      <c r="E3943" s="17"/>
      <c r="N3943" s="17"/>
      <c r="Q3943" s="17"/>
    </row>
    <row r="3944">
      <c r="B3944" s="11">
        <f>IFERROR(__xludf.DUMMYFUNCTION("""COMPUTED_VALUE"""),40297.666666666664)</f>
        <v>40297.66667</v>
      </c>
      <c r="C3944" s="9">
        <f>IFERROR(__xludf.DUMMYFUNCTION("""COMPUTED_VALUE"""),33.36)</f>
        <v>33.36</v>
      </c>
      <c r="E3944" s="17"/>
      <c r="N3944" s="17"/>
      <c r="Q3944" s="17"/>
    </row>
    <row r="3945">
      <c r="B3945" s="11">
        <f>IFERROR(__xludf.DUMMYFUNCTION("""COMPUTED_VALUE"""),40296.666666666664)</f>
        <v>40296.66667</v>
      </c>
      <c r="C3945" s="9">
        <f>IFERROR(__xludf.DUMMYFUNCTION("""COMPUTED_VALUE"""),32.62)</f>
        <v>32.62</v>
      </c>
      <c r="E3945" s="17"/>
      <c r="N3945" s="17"/>
      <c r="Q3945" s="17"/>
    </row>
    <row r="3946">
      <c r="B3946" s="11">
        <f>IFERROR(__xludf.DUMMYFUNCTION("""COMPUTED_VALUE"""),40295.666666666664)</f>
        <v>40295.66667</v>
      </c>
      <c r="C3946" s="9">
        <f>IFERROR(__xludf.DUMMYFUNCTION("""COMPUTED_VALUE"""),32.39)</f>
        <v>32.39</v>
      </c>
      <c r="E3946" s="17"/>
      <c r="N3946" s="17"/>
      <c r="Q3946" s="17"/>
    </row>
    <row r="3947">
      <c r="B3947" s="11">
        <f>IFERROR(__xludf.DUMMYFUNCTION("""COMPUTED_VALUE"""),40294.666666666664)</f>
        <v>40294.66667</v>
      </c>
      <c r="C3947" s="9">
        <f>IFERROR(__xludf.DUMMYFUNCTION("""COMPUTED_VALUE"""),33.19)</f>
        <v>33.19</v>
      </c>
      <c r="E3947" s="17"/>
      <c r="N3947" s="17"/>
      <c r="Q3947" s="17"/>
    </row>
    <row r="3948">
      <c r="B3948" s="11">
        <f>IFERROR(__xludf.DUMMYFUNCTION("""COMPUTED_VALUE"""),40291.666666666664)</f>
        <v>40291.66667</v>
      </c>
      <c r="C3948" s="9">
        <f>IFERROR(__xludf.DUMMYFUNCTION("""COMPUTED_VALUE"""),33.12)</f>
        <v>33.12</v>
      </c>
      <c r="E3948" s="17"/>
      <c r="N3948" s="17"/>
      <c r="Q3948" s="17"/>
    </row>
    <row r="3949">
      <c r="B3949" s="11">
        <f>IFERROR(__xludf.DUMMYFUNCTION("""COMPUTED_VALUE"""),40290.666666666664)</f>
        <v>40290.66667</v>
      </c>
      <c r="C3949" s="9">
        <f>IFERROR(__xludf.DUMMYFUNCTION("""COMPUTED_VALUE"""),32.92)</f>
        <v>32.92</v>
      </c>
      <c r="E3949" s="17"/>
      <c r="N3949" s="17"/>
      <c r="Q3949" s="17"/>
    </row>
    <row r="3950">
      <c r="B3950" s="11">
        <f>IFERROR(__xludf.DUMMYFUNCTION("""COMPUTED_VALUE"""),40289.666666666664)</f>
        <v>40289.66667</v>
      </c>
      <c r="C3950" s="9">
        <f>IFERROR(__xludf.DUMMYFUNCTION("""COMPUTED_VALUE"""),32.62)</f>
        <v>32.62</v>
      </c>
      <c r="E3950" s="17"/>
      <c r="N3950" s="17"/>
      <c r="Q3950" s="17"/>
    </row>
    <row r="3951">
      <c r="B3951" s="11">
        <f>IFERROR(__xludf.DUMMYFUNCTION("""COMPUTED_VALUE"""),40288.666666666664)</f>
        <v>40288.66667</v>
      </c>
      <c r="C3951" s="9">
        <f>IFERROR(__xludf.DUMMYFUNCTION("""COMPUTED_VALUE"""),32.4)</f>
        <v>32.4</v>
      </c>
      <c r="E3951" s="17"/>
      <c r="N3951" s="17"/>
      <c r="Q3951" s="17"/>
    </row>
    <row r="3952">
      <c r="B3952" s="11">
        <f>IFERROR(__xludf.DUMMYFUNCTION("""COMPUTED_VALUE"""),40287.666666666664)</f>
        <v>40287.66667</v>
      </c>
      <c r="C3952" s="9">
        <f>IFERROR(__xludf.DUMMYFUNCTION("""COMPUTED_VALUE"""),32.03)</f>
        <v>32.03</v>
      </c>
      <c r="E3952" s="17"/>
      <c r="N3952" s="17"/>
      <c r="Q3952" s="17"/>
    </row>
    <row r="3953">
      <c r="B3953" s="11">
        <f>IFERROR(__xludf.DUMMYFUNCTION("""COMPUTED_VALUE"""),40284.666666666664)</f>
        <v>40284.66667</v>
      </c>
      <c r="C3953" s="9">
        <f>IFERROR(__xludf.DUMMYFUNCTION("""COMPUTED_VALUE"""),32.09)</f>
        <v>32.09</v>
      </c>
      <c r="E3953" s="17"/>
      <c r="N3953" s="17"/>
      <c r="Q3953" s="17"/>
    </row>
    <row r="3954">
      <c r="B3954" s="11">
        <f>IFERROR(__xludf.DUMMYFUNCTION("""COMPUTED_VALUE"""),40283.666666666664)</f>
        <v>40283.66667</v>
      </c>
      <c r="C3954" s="9">
        <f>IFERROR(__xludf.DUMMYFUNCTION("""COMPUTED_VALUE"""),32.62)</f>
        <v>32.62</v>
      </c>
      <c r="E3954" s="17"/>
      <c r="N3954" s="17"/>
      <c r="Q3954" s="17"/>
    </row>
    <row r="3955">
      <c r="B3955" s="11">
        <f>IFERROR(__xludf.DUMMYFUNCTION("""COMPUTED_VALUE"""),40282.666666666664)</f>
        <v>40282.66667</v>
      </c>
      <c r="C3955" s="9">
        <f>IFERROR(__xludf.DUMMYFUNCTION("""COMPUTED_VALUE"""),32.31)</f>
        <v>32.31</v>
      </c>
      <c r="E3955" s="17"/>
      <c r="N3955" s="17"/>
      <c r="Q3955" s="17"/>
    </row>
    <row r="3956">
      <c r="B3956" s="11">
        <f>IFERROR(__xludf.DUMMYFUNCTION("""COMPUTED_VALUE"""),40281.666666666664)</f>
        <v>40281.66667</v>
      </c>
      <c r="C3956" s="9">
        <f>IFERROR(__xludf.DUMMYFUNCTION("""COMPUTED_VALUE"""),31.9)</f>
        <v>31.9</v>
      </c>
      <c r="E3956" s="17"/>
      <c r="N3956" s="17"/>
      <c r="Q3956" s="17"/>
    </row>
    <row r="3957">
      <c r="B3957" s="11">
        <f>IFERROR(__xludf.DUMMYFUNCTION("""COMPUTED_VALUE"""),40280.666666666664)</f>
        <v>40280.66667</v>
      </c>
      <c r="C3957" s="9">
        <f>IFERROR(__xludf.DUMMYFUNCTION("""COMPUTED_VALUE"""),31.85)</f>
        <v>31.85</v>
      </c>
      <c r="E3957" s="17"/>
      <c r="N3957" s="17"/>
      <c r="Q3957" s="17"/>
    </row>
    <row r="3958">
      <c r="B3958" s="11">
        <f>IFERROR(__xludf.DUMMYFUNCTION("""COMPUTED_VALUE"""),40277.666666666664)</f>
        <v>40277.66667</v>
      </c>
      <c r="C3958" s="9">
        <f>IFERROR(__xludf.DUMMYFUNCTION("""COMPUTED_VALUE"""),31.78)</f>
        <v>31.78</v>
      </c>
      <c r="E3958" s="17"/>
      <c r="N3958" s="17"/>
      <c r="Q3958" s="17"/>
    </row>
    <row r="3959">
      <c r="B3959" s="11">
        <f>IFERROR(__xludf.DUMMYFUNCTION("""COMPUTED_VALUE"""),40276.666666666664)</f>
        <v>40276.66667</v>
      </c>
      <c r="C3959" s="9">
        <f>IFERROR(__xludf.DUMMYFUNCTION("""COMPUTED_VALUE"""),31.6)</f>
        <v>31.6</v>
      </c>
      <c r="E3959" s="17"/>
      <c r="N3959" s="17"/>
      <c r="Q3959" s="17"/>
    </row>
    <row r="3960">
      <c r="B3960" s="11">
        <f>IFERROR(__xludf.DUMMYFUNCTION("""COMPUTED_VALUE"""),40275.666666666664)</f>
        <v>40275.66667</v>
      </c>
      <c r="C3960" s="9">
        <f>IFERROR(__xludf.DUMMYFUNCTION("""COMPUTED_VALUE"""),31.5)</f>
        <v>31.5</v>
      </c>
      <c r="E3960" s="17"/>
      <c r="N3960" s="17"/>
      <c r="Q3960" s="17"/>
    </row>
    <row r="3961">
      <c r="B3961" s="11">
        <f>IFERROR(__xludf.DUMMYFUNCTION("""COMPUTED_VALUE"""),40274.666666666664)</f>
        <v>40274.66667</v>
      </c>
      <c r="C3961" s="9">
        <f>IFERROR(__xludf.DUMMYFUNCTION("""COMPUTED_VALUE"""),31.68)</f>
        <v>31.68</v>
      </c>
      <c r="E3961" s="17"/>
      <c r="N3961" s="17"/>
      <c r="Q3961" s="17"/>
    </row>
    <row r="3962">
      <c r="B3962" s="11">
        <f>IFERROR(__xludf.DUMMYFUNCTION("""COMPUTED_VALUE"""),40273.666666666664)</f>
        <v>40273.66667</v>
      </c>
      <c r="C3962" s="9">
        <f>IFERROR(__xludf.DUMMYFUNCTION("""COMPUTED_VALUE"""),31.67)</f>
        <v>31.67</v>
      </c>
      <c r="E3962" s="17"/>
      <c r="N3962" s="17"/>
      <c r="Q3962" s="17"/>
    </row>
    <row r="3963">
      <c r="B3963" s="11">
        <f>IFERROR(__xludf.DUMMYFUNCTION("""COMPUTED_VALUE"""),40269.666666666664)</f>
        <v>40269.66667</v>
      </c>
      <c r="C3963" s="9">
        <f>IFERROR(__xludf.DUMMYFUNCTION("""COMPUTED_VALUE"""),31.44)</f>
        <v>31.44</v>
      </c>
      <c r="E3963" s="17"/>
      <c r="N3963" s="17"/>
      <c r="Q3963" s="17"/>
    </row>
    <row r="3964">
      <c r="B3964" s="11">
        <f>IFERROR(__xludf.DUMMYFUNCTION("""COMPUTED_VALUE"""),40268.666666666664)</f>
        <v>40268.66667</v>
      </c>
      <c r="C3964" s="9">
        <f>IFERROR(__xludf.DUMMYFUNCTION("""COMPUTED_VALUE"""),31.24)</f>
        <v>31.24</v>
      </c>
      <c r="E3964" s="17"/>
      <c r="N3964" s="17"/>
      <c r="Q3964" s="17"/>
    </row>
    <row r="3965">
      <c r="B3965" s="11">
        <f>IFERROR(__xludf.DUMMYFUNCTION("""COMPUTED_VALUE"""),40267.666666666664)</f>
        <v>40267.66667</v>
      </c>
      <c r="C3965" s="9">
        <f>IFERROR(__xludf.DUMMYFUNCTION("""COMPUTED_VALUE"""),31.42)</f>
        <v>31.42</v>
      </c>
      <c r="E3965" s="17"/>
      <c r="N3965" s="17"/>
      <c r="Q3965" s="17"/>
    </row>
    <row r="3966">
      <c r="B3966" s="11">
        <f>IFERROR(__xludf.DUMMYFUNCTION("""COMPUTED_VALUE"""),40266.666666666664)</f>
        <v>40266.66667</v>
      </c>
      <c r="C3966" s="9">
        <f>IFERROR(__xludf.DUMMYFUNCTION("""COMPUTED_VALUE"""),31.37)</f>
        <v>31.37</v>
      </c>
      <c r="E3966" s="17"/>
      <c r="N3966" s="17"/>
      <c r="Q3966" s="17"/>
    </row>
    <row r="3967">
      <c r="B3967" s="11">
        <f>IFERROR(__xludf.DUMMYFUNCTION("""COMPUTED_VALUE"""),40263.666666666664)</f>
        <v>40263.66667</v>
      </c>
      <c r="C3967" s="9">
        <f>IFERROR(__xludf.DUMMYFUNCTION("""COMPUTED_VALUE"""),31.09)</f>
        <v>31.09</v>
      </c>
      <c r="E3967" s="17"/>
      <c r="N3967" s="17"/>
      <c r="Q3967" s="17"/>
    </row>
    <row r="3968">
      <c r="B3968" s="11">
        <f>IFERROR(__xludf.DUMMYFUNCTION("""COMPUTED_VALUE"""),40262.666666666664)</f>
        <v>40262.66667</v>
      </c>
      <c r="C3968" s="9">
        <f>IFERROR(__xludf.DUMMYFUNCTION("""COMPUTED_VALUE"""),31.01)</f>
        <v>31.01</v>
      </c>
      <c r="E3968" s="17"/>
      <c r="N3968" s="17"/>
      <c r="Q3968" s="17"/>
    </row>
    <row r="3969">
      <c r="B3969" s="11">
        <f>IFERROR(__xludf.DUMMYFUNCTION("""COMPUTED_VALUE"""),40261.666666666664)</f>
        <v>40261.66667</v>
      </c>
      <c r="C3969" s="9">
        <f>IFERROR(__xludf.DUMMYFUNCTION("""COMPUTED_VALUE"""),31.03)</f>
        <v>31.03</v>
      </c>
      <c r="E3969" s="17"/>
      <c r="N3969" s="17"/>
      <c r="Q3969" s="17"/>
    </row>
    <row r="3970">
      <c r="B3970" s="11">
        <f>IFERROR(__xludf.DUMMYFUNCTION("""COMPUTED_VALUE"""),40260.666666666664)</f>
        <v>40260.66667</v>
      </c>
      <c r="C3970" s="9">
        <f>IFERROR(__xludf.DUMMYFUNCTION("""COMPUTED_VALUE"""),31.25)</f>
        <v>31.25</v>
      </c>
      <c r="E3970" s="17"/>
      <c r="N3970" s="17"/>
      <c r="Q3970" s="17"/>
    </row>
    <row r="3971">
      <c r="B3971" s="11">
        <f>IFERROR(__xludf.DUMMYFUNCTION("""COMPUTED_VALUE"""),40259.666666666664)</f>
        <v>40259.66667</v>
      </c>
      <c r="C3971" s="9">
        <f>IFERROR(__xludf.DUMMYFUNCTION("""COMPUTED_VALUE"""),30.9)</f>
        <v>30.9</v>
      </c>
      <c r="E3971" s="17"/>
      <c r="N3971" s="17"/>
      <c r="Q3971" s="17"/>
    </row>
    <row r="3972">
      <c r="B3972" s="11">
        <f>IFERROR(__xludf.DUMMYFUNCTION("""COMPUTED_VALUE"""),40256.666666666664)</f>
        <v>40256.66667</v>
      </c>
      <c r="C3972" s="9">
        <f>IFERROR(__xludf.DUMMYFUNCTION("""COMPUTED_VALUE"""),30.81)</f>
        <v>30.81</v>
      </c>
      <c r="E3972" s="17"/>
      <c r="N3972" s="17"/>
      <c r="Q3972" s="17"/>
    </row>
    <row r="3973">
      <c r="B3973" s="11">
        <f>IFERROR(__xludf.DUMMYFUNCTION("""COMPUTED_VALUE"""),40255.666666666664)</f>
        <v>40255.66667</v>
      </c>
      <c r="C3973" s="9">
        <f>IFERROR(__xludf.DUMMYFUNCTION("""COMPUTED_VALUE"""),31.04)</f>
        <v>31.04</v>
      </c>
      <c r="E3973" s="17"/>
      <c r="N3973" s="17"/>
      <c r="Q3973" s="17"/>
    </row>
    <row r="3974">
      <c r="B3974" s="11">
        <f>IFERROR(__xludf.DUMMYFUNCTION("""COMPUTED_VALUE"""),40254.666666666664)</f>
        <v>40254.66667</v>
      </c>
      <c r="C3974" s="9">
        <f>IFERROR(__xludf.DUMMYFUNCTION("""COMPUTED_VALUE"""),30.83)</f>
        <v>30.83</v>
      </c>
      <c r="E3974" s="17"/>
      <c r="N3974" s="17"/>
      <c r="Q3974" s="17"/>
    </row>
    <row r="3975">
      <c r="B3975" s="11">
        <f>IFERROR(__xludf.DUMMYFUNCTION("""COMPUTED_VALUE"""),40253.666666666664)</f>
        <v>40253.66667</v>
      </c>
      <c r="C3975" s="9">
        <f>IFERROR(__xludf.DUMMYFUNCTION("""COMPUTED_VALUE"""),30.78)</f>
        <v>30.78</v>
      </c>
      <c r="E3975" s="17"/>
      <c r="N3975" s="17"/>
      <c r="Q3975" s="17"/>
    </row>
    <row r="3976">
      <c r="B3976" s="11">
        <f>IFERROR(__xludf.DUMMYFUNCTION("""COMPUTED_VALUE"""),40252.666666666664)</f>
        <v>40252.66667</v>
      </c>
      <c r="C3976" s="9">
        <f>IFERROR(__xludf.DUMMYFUNCTION("""COMPUTED_VALUE"""),30.37)</f>
        <v>30.37</v>
      </c>
      <c r="E3976" s="17"/>
      <c r="N3976" s="17"/>
      <c r="Q3976" s="17"/>
    </row>
    <row r="3977">
      <c r="B3977" s="11">
        <f>IFERROR(__xludf.DUMMYFUNCTION("""COMPUTED_VALUE"""),40249.666666666664)</f>
        <v>40249.66667</v>
      </c>
      <c r="C3977" s="9">
        <f>IFERROR(__xludf.DUMMYFUNCTION("""COMPUTED_VALUE"""),30.37)</f>
        <v>30.37</v>
      </c>
      <c r="E3977" s="17"/>
      <c r="N3977" s="17"/>
      <c r="Q3977" s="17"/>
    </row>
    <row r="3978">
      <c r="B3978" s="11">
        <f>IFERROR(__xludf.DUMMYFUNCTION("""COMPUTED_VALUE"""),40248.666666666664)</f>
        <v>40248.66667</v>
      </c>
      <c r="C3978" s="9">
        <f>IFERROR(__xludf.DUMMYFUNCTION("""COMPUTED_VALUE"""),30.17)</f>
        <v>30.17</v>
      </c>
      <c r="E3978" s="17"/>
      <c r="N3978" s="17"/>
      <c r="Q3978" s="17"/>
    </row>
    <row r="3979">
      <c r="B3979" s="11">
        <f>IFERROR(__xludf.DUMMYFUNCTION("""COMPUTED_VALUE"""),40247.666666666664)</f>
        <v>40247.66667</v>
      </c>
      <c r="C3979" s="9">
        <f>IFERROR(__xludf.DUMMYFUNCTION("""COMPUTED_VALUE"""),30.06)</f>
        <v>30.06</v>
      </c>
      <c r="E3979" s="17"/>
      <c r="N3979" s="17"/>
      <c r="Q3979" s="17"/>
    </row>
    <row r="3980">
      <c r="B3980" s="11">
        <f>IFERROR(__xludf.DUMMYFUNCTION("""COMPUTED_VALUE"""),40246.666666666664)</f>
        <v>40246.66667</v>
      </c>
      <c r="C3980" s="9">
        <f>IFERROR(__xludf.DUMMYFUNCTION("""COMPUTED_VALUE"""),30.0)</f>
        <v>30</v>
      </c>
      <c r="E3980" s="17"/>
      <c r="N3980" s="17"/>
      <c r="Q3980" s="17"/>
    </row>
    <row r="3981">
      <c r="B3981" s="11">
        <f>IFERROR(__xludf.DUMMYFUNCTION("""COMPUTED_VALUE"""),40245.666666666664)</f>
        <v>40245.66667</v>
      </c>
      <c r="C3981" s="9">
        <f>IFERROR(__xludf.DUMMYFUNCTION("""COMPUTED_VALUE"""),29.76)</f>
        <v>29.76</v>
      </c>
      <c r="E3981" s="17"/>
      <c r="N3981" s="17"/>
      <c r="Q3981" s="17"/>
    </row>
    <row r="3982">
      <c r="B3982" s="11">
        <f>IFERROR(__xludf.DUMMYFUNCTION("""COMPUTED_VALUE"""),40242.666666666664)</f>
        <v>40242.66667</v>
      </c>
      <c r="C3982" s="9">
        <f>IFERROR(__xludf.DUMMYFUNCTION("""COMPUTED_VALUE"""),29.9)</f>
        <v>29.9</v>
      </c>
      <c r="E3982" s="17"/>
      <c r="N3982" s="17"/>
      <c r="Q3982" s="17"/>
    </row>
    <row r="3983">
      <c r="B3983" s="11">
        <f>IFERROR(__xludf.DUMMYFUNCTION("""COMPUTED_VALUE"""),40241.666666666664)</f>
        <v>40241.66667</v>
      </c>
      <c r="C3983" s="9">
        <f>IFERROR(__xludf.DUMMYFUNCTION("""COMPUTED_VALUE"""),29.45)</f>
        <v>29.45</v>
      </c>
      <c r="E3983" s="17"/>
      <c r="N3983" s="17"/>
      <c r="Q3983" s="17"/>
    </row>
    <row r="3984">
      <c r="B3984" s="11">
        <f>IFERROR(__xludf.DUMMYFUNCTION("""COMPUTED_VALUE"""),40240.666666666664)</f>
        <v>40240.66667</v>
      </c>
      <c r="C3984" s="9">
        <f>IFERROR(__xludf.DUMMYFUNCTION("""COMPUTED_VALUE"""),29.31)</f>
        <v>29.31</v>
      </c>
      <c r="E3984" s="17"/>
      <c r="N3984" s="17"/>
      <c r="Q3984" s="17"/>
    </row>
    <row r="3985">
      <c r="B3985" s="11">
        <f>IFERROR(__xludf.DUMMYFUNCTION("""COMPUTED_VALUE"""),40239.666666666664)</f>
        <v>40239.66667</v>
      </c>
      <c r="C3985" s="9">
        <f>IFERROR(__xludf.DUMMYFUNCTION("""COMPUTED_VALUE"""),29.27)</f>
        <v>29.27</v>
      </c>
      <c r="E3985" s="17"/>
      <c r="N3985" s="17"/>
      <c r="Q3985" s="17"/>
    </row>
    <row r="3986">
      <c r="B3986" s="11">
        <f>IFERROR(__xludf.DUMMYFUNCTION("""COMPUTED_VALUE"""),40238.666666666664)</f>
        <v>40238.66667</v>
      </c>
      <c r="C3986" s="9">
        <f>IFERROR(__xludf.DUMMYFUNCTION("""COMPUTED_VALUE"""),29.22)</f>
        <v>29.22</v>
      </c>
      <c r="E3986" s="17"/>
      <c r="N3986" s="17"/>
      <c r="Q3986" s="17"/>
    </row>
    <row r="3987">
      <c r="B3987" s="11">
        <f>IFERROR(__xludf.DUMMYFUNCTION("""COMPUTED_VALUE"""),40235.666666666664)</f>
        <v>40235.66667</v>
      </c>
      <c r="C3987" s="9">
        <f>IFERROR(__xludf.DUMMYFUNCTION("""COMPUTED_VALUE"""),28.84)</f>
        <v>28.84</v>
      </c>
      <c r="E3987" s="17"/>
      <c r="N3987" s="17"/>
      <c r="Q3987" s="17"/>
    </row>
    <row r="3988">
      <c r="B3988" s="11">
        <f>IFERROR(__xludf.DUMMYFUNCTION("""COMPUTED_VALUE"""),40234.666666666664)</f>
        <v>40234.66667</v>
      </c>
      <c r="C3988" s="9">
        <f>IFERROR(__xludf.DUMMYFUNCTION("""COMPUTED_VALUE"""),28.73)</f>
        <v>28.73</v>
      </c>
      <c r="E3988" s="17"/>
      <c r="N3988" s="17"/>
      <c r="Q3988" s="17"/>
    </row>
    <row r="3989">
      <c r="B3989" s="11">
        <f>IFERROR(__xludf.DUMMYFUNCTION("""COMPUTED_VALUE"""),40233.666666666664)</f>
        <v>40233.66667</v>
      </c>
      <c r="C3989" s="9">
        <f>IFERROR(__xludf.DUMMYFUNCTION("""COMPUTED_VALUE"""),28.8)</f>
        <v>28.8</v>
      </c>
      <c r="E3989" s="17"/>
      <c r="N3989" s="17"/>
      <c r="Q3989" s="17"/>
    </row>
    <row r="3990">
      <c r="B3990" s="11">
        <f>IFERROR(__xludf.DUMMYFUNCTION("""COMPUTED_VALUE"""),40232.666666666664)</f>
        <v>40232.66667</v>
      </c>
      <c r="C3990" s="9">
        <f>IFERROR(__xludf.DUMMYFUNCTION("""COMPUTED_VALUE"""),28.51)</f>
        <v>28.51</v>
      </c>
      <c r="E3990" s="17"/>
      <c r="N3990" s="17"/>
      <c r="Q3990" s="17"/>
    </row>
    <row r="3991">
      <c r="B3991" s="11">
        <f>IFERROR(__xludf.DUMMYFUNCTION("""COMPUTED_VALUE"""),40231.666666666664)</f>
        <v>40231.66667</v>
      </c>
      <c r="C3991" s="9">
        <f>IFERROR(__xludf.DUMMYFUNCTION("""COMPUTED_VALUE"""),28.88)</f>
        <v>28.88</v>
      </c>
      <c r="E3991" s="17"/>
      <c r="N3991" s="17"/>
      <c r="Q3991" s="17"/>
    </row>
    <row r="3992">
      <c r="B3992" s="11">
        <f>IFERROR(__xludf.DUMMYFUNCTION("""COMPUTED_VALUE"""),40228.666666666664)</f>
        <v>40228.66667</v>
      </c>
      <c r="C3992" s="9">
        <f>IFERROR(__xludf.DUMMYFUNCTION("""COMPUTED_VALUE"""),28.86)</f>
        <v>28.86</v>
      </c>
      <c r="E3992" s="17"/>
      <c r="N3992" s="17"/>
      <c r="Q3992" s="17"/>
    </row>
    <row r="3993">
      <c r="B3993" s="11">
        <f>IFERROR(__xludf.DUMMYFUNCTION("""COMPUTED_VALUE"""),40227.666666666664)</f>
        <v>40227.66667</v>
      </c>
      <c r="C3993" s="9">
        <f>IFERROR(__xludf.DUMMYFUNCTION("""COMPUTED_VALUE"""),28.72)</f>
        <v>28.72</v>
      </c>
      <c r="E3993" s="17"/>
      <c r="N3993" s="17"/>
      <c r="Q3993" s="17"/>
    </row>
    <row r="3994">
      <c r="B3994" s="11">
        <f>IFERROR(__xludf.DUMMYFUNCTION("""COMPUTED_VALUE"""),40226.666666666664)</f>
        <v>40226.66667</v>
      </c>
      <c r="C3994" s="9">
        <f>IFERROR(__xludf.DUMMYFUNCTION("""COMPUTED_VALUE"""),28.46)</f>
        <v>28.46</v>
      </c>
      <c r="E3994" s="17"/>
      <c r="N3994" s="17"/>
      <c r="Q3994" s="17"/>
    </row>
    <row r="3995">
      <c r="B3995" s="11">
        <f>IFERROR(__xludf.DUMMYFUNCTION("""COMPUTED_VALUE"""),40225.666666666664)</f>
        <v>40225.66667</v>
      </c>
      <c r="C3995" s="9">
        <f>IFERROR(__xludf.DUMMYFUNCTION("""COMPUTED_VALUE"""),28.22)</f>
        <v>28.22</v>
      </c>
      <c r="E3995" s="17"/>
      <c r="N3995" s="17"/>
      <c r="Q3995" s="17"/>
    </row>
    <row r="3996">
      <c r="B3996" s="11">
        <f>IFERROR(__xludf.DUMMYFUNCTION("""COMPUTED_VALUE"""),40221.666666666664)</f>
        <v>40221.66667</v>
      </c>
      <c r="C3996" s="9">
        <f>IFERROR(__xludf.DUMMYFUNCTION("""COMPUTED_VALUE"""),27.57)</f>
        <v>27.57</v>
      </c>
      <c r="E3996" s="17"/>
      <c r="N3996" s="17"/>
      <c r="Q3996" s="17"/>
    </row>
    <row r="3997">
      <c r="B3997" s="11">
        <f>IFERROR(__xludf.DUMMYFUNCTION("""COMPUTED_VALUE"""),40220.666666666664)</f>
        <v>40220.66667</v>
      </c>
      <c r="C3997" s="9">
        <f>IFERROR(__xludf.DUMMYFUNCTION("""COMPUTED_VALUE"""),27.79)</f>
        <v>27.79</v>
      </c>
      <c r="E3997" s="17"/>
      <c r="N3997" s="17"/>
      <c r="Q3997" s="17"/>
    </row>
    <row r="3998">
      <c r="B3998" s="11">
        <f>IFERROR(__xludf.DUMMYFUNCTION("""COMPUTED_VALUE"""),40219.666666666664)</f>
        <v>40219.66667</v>
      </c>
      <c r="C3998" s="9">
        <f>IFERROR(__xludf.DUMMYFUNCTION("""COMPUTED_VALUE"""),27.38)</f>
        <v>27.38</v>
      </c>
      <c r="E3998" s="17"/>
      <c r="N3998" s="17"/>
      <c r="Q3998" s="17"/>
    </row>
    <row r="3999">
      <c r="B3999" s="11">
        <f>IFERROR(__xludf.DUMMYFUNCTION("""COMPUTED_VALUE"""),40218.666666666664)</f>
        <v>40218.66667</v>
      </c>
      <c r="C3999" s="9">
        <f>IFERROR(__xludf.DUMMYFUNCTION("""COMPUTED_VALUE"""),27.42)</f>
        <v>27.42</v>
      </c>
      <c r="E3999" s="17"/>
      <c r="N3999" s="17"/>
      <c r="Q3999" s="17"/>
    </row>
    <row r="4000">
      <c r="B4000" s="11">
        <f>IFERROR(__xludf.DUMMYFUNCTION("""COMPUTED_VALUE"""),40217.666666666664)</f>
        <v>40217.66667</v>
      </c>
      <c r="C4000" s="9">
        <f>IFERROR(__xludf.DUMMYFUNCTION("""COMPUTED_VALUE"""),26.9)</f>
        <v>26.9</v>
      </c>
      <c r="E4000" s="17"/>
      <c r="N4000" s="17"/>
      <c r="Q4000" s="17"/>
    </row>
    <row r="4001">
      <c r="B4001" s="11">
        <f>IFERROR(__xludf.DUMMYFUNCTION("""COMPUTED_VALUE"""),40214.666666666664)</f>
        <v>40214.66667</v>
      </c>
      <c r="C4001" s="9">
        <f>IFERROR(__xludf.DUMMYFUNCTION("""COMPUTED_VALUE"""),27.2)</f>
        <v>27.2</v>
      </c>
      <c r="E4001" s="17"/>
      <c r="N4001" s="17"/>
      <c r="Q4001" s="17"/>
    </row>
    <row r="4002">
      <c r="B4002" s="11">
        <f>IFERROR(__xludf.DUMMYFUNCTION("""COMPUTED_VALUE"""),40213.666666666664)</f>
        <v>40213.66667</v>
      </c>
      <c r="C4002" s="9">
        <f>IFERROR(__xludf.DUMMYFUNCTION("""COMPUTED_VALUE"""),27.32)</f>
        <v>27.32</v>
      </c>
      <c r="E4002" s="17"/>
      <c r="N4002" s="17"/>
      <c r="Q4002" s="17"/>
    </row>
    <row r="4003">
      <c r="B4003" s="11">
        <f>IFERROR(__xludf.DUMMYFUNCTION("""COMPUTED_VALUE"""),40212.666666666664)</f>
        <v>40212.66667</v>
      </c>
      <c r="C4003" s="9">
        <f>IFERROR(__xludf.DUMMYFUNCTION("""COMPUTED_VALUE"""),28.15)</f>
        <v>28.15</v>
      </c>
      <c r="E4003" s="17"/>
      <c r="N4003" s="17"/>
      <c r="Q4003" s="17"/>
    </row>
    <row r="4004">
      <c r="B4004" s="11">
        <f>IFERROR(__xludf.DUMMYFUNCTION("""COMPUTED_VALUE"""),40211.666666666664)</f>
        <v>40211.66667</v>
      </c>
      <c r="C4004" s="9">
        <f>IFERROR(__xludf.DUMMYFUNCTION("""COMPUTED_VALUE"""),28.32)</f>
        <v>28.32</v>
      </c>
      <c r="E4004" s="17"/>
      <c r="N4004" s="17"/>
      <c r="Q4004" s="17"/>
    </row>
    <row r="4005">
      <c r="B4005" s="11">
        <f>IFERROR(__xludf.DUMMYFUNCTION("""COMPUTED_VALUE"""),40210.666666666664)</f>
        <v>40210.66667</v>
      </c>
      <c r="C4005" s="9">
        <f>IFERROR(__xludf.DUMMYFUNCTION("""COMPUTED_VALUE"""),27.79)</f>
        <v>27.79</v>
      </c>
      <c r="E4005" s="17"/>
      <c r="N4005" s="17"/>
      <c r="Q4005" s="17"/>
    </row>
    <row r="4006">
      <c r="B4006" s="11">
        <f>IFERROR(__xludf.DUMMYFUNCTION("""COMPUTED_VALUE"""),40207.666666666664)</f>
        <v>40207.66667</v>
      </c>
      <c r="C4006" s="9">
        <f>IFERROR(__xludf.DUMMYFUNCTION("""COMPUTED_VALUE"""),27.38)</f>
        <v>27.38</v>
      </c>
      <c r="E4006" s="17"/>
      <c r="N4006" s="17"/>
      <c r="Q4006" s="17"/>
    </row>
    <row r="4007">
      <c r="B4007" s="11">
        <f>IFERROR(__xludf.DUMMYFUNCTION("""COMPUTED_VALUE"""),40206.666666666664)</f>
        <v>40206.66667</v>
      </c>
      <c r="C4007" s="9">
        <f>IFERROR(__xludf.DUMMYFUNCTION("""COMPUTED_VALUE"""),27.66)</f>
        <v>27.66</v>
      </c>
      <c r="E4007" s="17"/>
      <c r="N4007" s="17"/>
      <c r="Q4007" s="17"/>
    </row>
    <row r="4008">
      <c r="B4008" s="11">
        <f>IFERROR(__xludf.DUMMYFUNCTION("""COMPUTED_VALUE"""),40205.666666666664)</f>
        <v>40205.66667</v>
      </c>
      <c r="C4008" s="9">
        <f>IFERROR(__xludf.DUMMYFUNCTION("""COMPUTED_VALUE"""),27.98)</f>
        <v>27.98</v>
      </c>
      <c r="E4008" s="17"/>
      <c r="N4008" s="17"/>
      <c r="Q4008" s="17"/>
    </row>
    <row r="4009">
      <c r="B4009" s="11">
        <f>IFERROR(__xludf.DUMMYFUNCTION("""COMPUTED_VALUE"""),40204.666666666664)</f>
        <v>40204.66667</v>
      </c>
      <c r="C4009" s="9">
        <f>IFERROR(__xludf.DUMMYFUNCTION("""COMPUTED_VALUE"""),27.9)</f>
        <v>27.9</v>
      </c>
      <c r="E4009" s="17"/>
      <c r="N4009" s="17"/>
      <c r="Q4009" s="17"/>
    </row>
    <row r="4010">
      <c r="B4010" s="11">
        <f>IFERROR(__xludf.DUMMYFUNCTION("""COMPUTED_VALUE"""),40203.666666666664)</f>
        <v>40203.66667</v>
      </c>
      <c r="C4010" s="9">
        <f>IFERROR(__xludf.DUMMYFUNCTION("""COMPUTED_VALUE"""),28.02)</f>
        <v>28.02</v>
      </c>
      <c r="E4010" s="17"/>
      <c r="N4010" s="17"/>
      <c r="Q4010" s="17"/>
    </row>
    <row r="4011">
      <c r="B4011" s="11">
        <f>IFERROR(__xludf.DUMMYFUNCTION("""COMPUTED_VALUE"""),40200.666666666664)</f>
        <v>40200.66667</v>
      </c>
      <c r="C4011" s="9">
        <f>IFERROR(__xludf.DUMMYFUNCTION("""COMPUTED_VALUE"""),27.84)</f>
        <v>27.84</v>
      </c>
      <c r="E4011" s="17"/>
      <c r="N4011" s="17"/>
      <c r="Q4011" s="17"/>
    </row>
    <row r="4012">
      <c r="B4012" s="11">
        <f>IFERROR(__xludf.DUMMYFUNCTION("""COMPUTED_VALUE"""),40199.666666666664)</f>
        <v>40199.66667</v>
      </c>
      <c r="C4012" s="9">
        <f>IFERROR(__xludf.DUMMYFUNCTION("""COMPUTED_VALUE"""),28.27)</f>
        <v>28.27</v>
      </c>
      <c r="E4012" s="17"/>
      <c r="N4012" s="17"/>
      <c r="Q4012" s="17"/>
    </row>
    <row r="4013">
      <c r="B4013" s="11">
        <f>IFERROR(__xludf.DUMMYFUNCTION("""COMPUTED_VALUE"""),40198.666666666664)</f>
        <v>40198.66667</v>
      </c>
      <c r="C4013" s="9">
        <f>IFERROR(__xludf.DUMMYFUNCTION("""COMPUTED_VALUE"""),28.94)</f>
        <v>28.94</v>
      </c>
      <c r="E4013" s="17"/>
      <c r="N4013" s="17"/>
      <c r="Q4013" s="17"/>
    </row>
    <row r="4014">
      <c r="B4014" s="11">
        <f>IFERROR(__xludf.DUMMYFUNCTION("""COMPUTED_VALUE"""),40197.666666666664)</f>
        <v>40197.66667</v>
      </c>
      <c r="C4014" s="9">
        <f>IFERROR(__xludf.DUMMYFUNCTION("""COMPUTED_VALUE"""),29.39)</f>
        <v>29.39</v>
      </c>
      <c r="E4014" s="17"/>
      <c r="N4014" s="17"/>
      <c r="Q4014" s="17"/>
    </row>
    <row r="4015">
      <c r="B4015" s="11">
        <f>IFERROR(__xludf.DUMMYFUNCTION("""COMPUTED_VALUE"""),40193.666666666664)</f>
        <v>40193.66667</v>
      </c>
      <c r="C4015" s="9">
        <f>IFERROR(__xludf.DUMMYFUNCTION("""COMPUTED_VALUE"""),29.07)</f>
        <v>29.07</v>
      </c>
      <c r="E4015" s="17"/>
      <c r="N4015" s="17"/>
      <c r="Q4015" s="17"/>
    </row>
    <row r="4016">
      <c r="B4016" s="11">
        <f>IFERROR(__xludf.DUMMYFUNCTION("""COMPUTED_VALUE"""),40192.666666666664)</f>
        <v>40192.66667</v>
      </c>
      <c r="C4016" s="9">
        <f>IFERROR(__xludf.DUMMYFUNCTION("""COMPUTED_VALUE"""),29.45)</f>
        <v>29.45</v>
      </c>
      <c r="E4016" s="17"/>
      <c r="N4016" s="17"/>
      <c r="Q4016" s="17"/>
    </row>
    <row r="4017">
      <c r="B4017" s="11">
        <f>IFERROR(__xludf.DUMMYFUNCTION("""COMPUTED_VALUE"""),40191.666666666664)</f>
        <v>40191.66667</v>
      </c>
      <c r="C4017" s="9">
        <f>IFERROR(__xludf.DUMMYFUNCTION("""COMPUTED_VALUE"""),29.45)</f>
        <v>29.45</v>
      </c>
      <c r="E4017" s="17"/>
      <c r="N4017" s="17"/>
      <c r="Q4017" s="17"/>
    </row>
    <row r="4018">
      <c r="B4018" s="11">
        <f>IFERROR(__xludf.DUMMYFUNCTION("""COMPUTED_VALUE"""),40190.666666666664)</f>
        <v>40190.66667</v>
      </c>
      <c r="C4018" s="9">
        <f>IFERROR(__xludf.DUMMYFUNCTION("""COMPUTED_VALUE"""),29.33)</f>
        <v>29.33</v>
      </c>
      <c r="E4018" s="17"/>
      <c r="N4018" s="17"/>
      <c r="Q4018" s="17"/>
    </row>
    <row r="4019">
      <c r="B4019" s="11">
        <f>IFERROR(__xludf.DUMMYFUNCTION("""COMPUTED_VALUE"""),40189.666666666664)</f>
        <v>40189.66667</v>
      </c>
      <c r="C4019" s="9">
        <f>IFERROR(__xludf.DUMMYFUNCTION("""COMPUTED_VALUE"""),29.57)</f>
        <v>29.57</v>
      </c>
      <c r="E4019" s="17"/>
      <c r="N4019" s="17"/>
      <c r="Q4019" s="17"/>
    </row>
    <row r="4020">
      <c r="B4020" s="11">
        <f>IFERROR(__xludf.DUMMYFUNCTION("""COMPUTED_VALUE"""),40186.666666666664)</f>
        <v>40186.66667</v>
      </c>
      <c r="C4020" s="9">
        <f>IFERROR(__xludf.DUMMYFUNCTION("""COMPUTED_VALUE"""),29.25)</f>
        <v>29.25</v>
      </c>
      <c r="E4020" s="17"/>
      <c r="N4020" s="17"/>
      <c r="Q4020" s="17"/>
    </row>
    <row r="4021">
      <c r="B4021" s="11">
        <f>IFERROR(__xludf.DUMMYFUNCTION("""COMPUTED_VALUE"""),40185.666666666664)</f>
        <v>40185.66667</v>
      </c>
      <c r="C4021" s="9">
        <f>IFERROR(__xludf.DUMMYFUNCTION("""COMPUTED_VALUE"""),28.79)</f>
        <v>28.79</v>
      </c>
      <c r="E4021" s="17"/>
      <c r="N4021" s="17"/>
      <c r="Q4021" s="17"/>
    </row>
    <row r="4022">
      <c r="B4022" s="11">
        <f>IFERROR(__xludf.DUMMYFUNCTION("""COMPUTED_VALUE"""),40184.666666666664)</f>
        <v>40184.66667</v>
      </c>
      <c r="C4022" s="9">
        <f>IFERROR(__xludf.DUMMYFUNCTION("""COMPUTED_VALUE"""),28.48)</f>
        <v>28.48</v>
      </c>
      <c r="E4022" s="17"/>
      <c r="N4022" s="17"/>
      <c r="Q4022" s="17"/>
    </row>
    <row r="4023">
      <c r="B4023" s="11">
        <f>IFERROR(__xludf.DUMMYFUNCTION("""COMPUTED_VALUE"""),40183.666666666664)</f>
        <v>40183.66667</v>
      </c>
      <c r="C4023" s="9">
        <f>IFERROR(__xludf.DUMMYFUNCTION("""COMPUTED_VALUE"""),28.42)</f>
        <v>28.42</v>
      </c>
      <c r="E4023" s="17"/>
      <c r="N4023" s="17"/>
      <c r="Q4023" s="17"/>
    </row>
    <row r="4024">
      <c r="B4024" s="11">
        <f>IFERROR(__xludf.DUMMYFUNCTION("""COMPUTED_VALUE"""),40182.666666666664)</f>
        <v>40182.66667</v>
      </c>
      <c r="C4024" s="9">
        <f>IFERROR(__xludf.DUMMYFUNCTION("""COMPUTED_VALUE"""),28.32)</f>
        <v>28.32</v>
      </c>
      <c r="E4024" s="17"/>
      <c r="N4024" s="17"/>
      <c r="Q4024" s="17"/>
    </row>
    <row r="4025">
      <c r="B4025" s="11">
        <f>IFERROR(__xludf.DUMMYFUNCTION("""COMPUTED_VALUE"""),40178.666666666664)</f>
        <v>40178.66667</v>
      </c>
      <c r="C4025" s="9">
        <f>IFERROR(__xludf.DUMMYFUNCTION("""COMPUTED_VALUE"""),27.79)</f>
        <v>27.79</v>
      </c>
      <c r="E4025" s="17"/>
      <c r="N4025" s="17"/>
      <c r="Q4025" s="17"/>
    </row>
    <row r="4026">
      <c r="B4026" s="11">
        <f>IFERROR(__xludf.DUMMYFUNCTION("""COMPUTED_VALUE"""),40177.666666666664)</f>
        <v>40177.66667</v>
      </c>
      <c r="C4026" s="9">
        <f>IFERROR(__xludf.DUMMYFUNCTION("""COMPUTED_VALUE"""),28.14)</f>
        <v>28.14</v>
      </c>
      <c r="E4026" s="17"/>
      <c r="N4026" s="17"/>
      <c r="Q4026" s="17"/>
    </row>
    <row r="4027">
      <c r="B4027" s="11">
        <f>IFERROR(__xludf.DUMMYFUNCTION("""COMPUTED_VALUE"""),40176.666666666664)</f>
        <v>40176.66667</v>
      </c>
      <c r="C4027" s="9">
        <f>IFERROR(__xludf.DUMMYFUNCTION("""COMPUTED_VALUE"""),28.28)</f>
        <v>28.28</v>
      </c>
      <c r="E4027" s="17"/>
      <c r="N4027" s="17"/>
      <c r="Q4027" s="17"/>
    </row>
    <row r="4028">
      <c r="B4028" s="11">
        <f>IFERROR(__xludf.DUMMYFUNCTION("""COMPUTED_VALUE"""),40175.666666666664)</f>
        <v>40175.66667</v>
      </c>
      <c r="C4028" s="9">
        <f>IFERROR(__xludf.DUMMYFUNCTION("""COMPUTED_VALUE"""),28.2)</f>
        <v>28.2</v>
      </c>
      <c r="E4028" s="17"/>
      <c r="N4028" s="17"/>
      <c r="Q4028" s="17"/>
    </row>
    <row r="4029">
      <c r="B4029" s="11">
        <f>IFERROR(__xludf.DUMMYFUNCTION("""COMPUTED_VALUE"""),40171.666666666664)</f>
        <v>40171.66667</v>
      </c>
      <c r="C4029" s="9">
        <f>IFERROR(__xludf.DUMMYFUNCTION("""COMPUTED_VALUE"""),28.25)</f>
        <v>28.25</v>
      </c>
      <c r="E4029" s="17"/>
      <c r="N4029" s="17"/>
      <c r="Q4029" s="17"/>
    </row>
    <row r="4030">
      <c r="B4030" s="11">
        <f>IFERROR(__xludf.DUMMYFUNCTION("""COMPUTED_VALUE"""),40170.666666666664)</f>
        <v>40170.66667</v>
      </c>
      <c r="C4030" s="9">
        <f>IFERROR(__xludf.DUMMYFUNCTION("""COMPUTED_VALUE"""),28.14)</f>
        <v>28.14</v>
      </c>
      <c r="E4030" s="17"/>
      <c r="N4030" s="17"/>
      <c r="Q4030" s="17"/>
    </row>
    <row r="4031">
      <c r="B4031" s="11">
        <f>IFERROR(__xludf.DUMMYFUNCTION("""COMPUTED_VALUE"""),40169.666666666664)</f>
        <v>40169.66667</v>
      </c>
      <c r="C4031" s="9">
        <f>IFERROR(__xludf.DUMMYFUNCTION("""COMPUTED_VALUE"""),28.09)</f>
        <v>28.09</v>
      </c>
      <c r="E4031" s="17"/>
      <c r="N4031" s="17"/>
      <c r="Q4031" s="17"/>
    </row>
    <row r="4032">
      <c r="B4032" s="11">
        <f>IFERROR(__xludf.DUMMYFUNCTION("""COMPUTED_VALUE"""),40168.666666666664)</f>
        <v>40168.66667</v>
      </c>
      <c r="C4032" s="9">
        <f>IFERROR(__xludf.DUMMYFUNCTION("""COMPUTED_VALUE"""),28.06)</f>
        <v>28.06</v>
      </c>
      <c r="E4032" s="17"/>
      <c r="N4032" s="17"/>
      <c r="Q4032" s="17"/>
    </row>
    <row r="4033">
      <c r="B4033" s="11">
        <f>IFERROR(__xludf.DUMMYFUNCTION("""COMPUTED_VALUE"""),40165.666666666664)</f>
        <v>40165.66667</v>
      </c>
      <c r="C4033" s="9">
        <f>IFERROR(__xludf.DUMMYFUNCTION("""COMPUTED_VALUE"""),27.85)</f>
        <v>27.85</v>
      </c>
      <c r="E4033" s="17"/>
      <c r="N4033" s="17"/>
      <c r="Q4033" s="17"/>
    </row>
    <row r="4034">
      <c r="B4034" s="11">
        <f>IFERROR(__xludf.DUMMYFUNCTION("""COMPUTED_VALUE"""),40164.666666666664)</f>
        <v>40164.66667</v>
      </c>
      <c r="C4034" s="9">
        <f>IFERROR(__xludf.DUMMYFUNCTION("""COMPUTED_VALUE"""),28.04)</f>
        <v>28.04</v>
      </c>
      <c r="E4034" s="17"/>
      <c r="N4034" s="17"/>
      <c r="Q4034" s="17"/>
    </row>
    <row r="4035">
      <c r="B4035" s="11">
        <f>IFERROR(__xludf.DUMMYFUNCTION("""COMPUTED_VALUE"""),40163.666666666664)</f>
        <v>40163.66667</v>
      </c>
      <c r="C4035" s="9">
        <f>IFERROR(__xludf.DUMMYFUNCTION("""COMPUTED_VALUE"""),28.35)</f>
        <v>28.35</v>
      </c>
      <c r="E4035" s="17"/>
      <c r="N4035" s="17"/>
      <c r="Q4035" s="17"/>
    </row>
    <row r="4036">
      <c r="B4036" s="11">
        <f>IFERROR(__xludf.DUMMYFUNCTION("""COMPUTED_VALUE"""),40162.666666666664)</f>
        <v>40162.66667</v>
      </c>
      <c r="C4036" s="9">
        <f>IFERROR(__xludf.DUMMYFUNCTION("""COMPUTED_VALUE"""),28.47)</f>
        <v>28.47</v>
      </c>
      <c r="E4036" s="17"/>
      <c r="N4036" s="17"/>
      <c r="Q4036" s="17"/>
    </row>
    <row r="4037">
      <c r="B4037" s="11">
        <f>IFERROR(__xludf.DUMMYFUNCTION("""COMPUTED_VALUE"""),40161.666666666664)</f>
        <v>40161.66667</v>
      </c>
      <c r="C4037" s="9">
        <f>IFERROR(__xludf.DUMMYFUNCTION("""COMPUTED_VALUE"""),28.55)</f>
        <v>28.55</v>
      </c>
      <c r="E4037" s="17"/>
      <c r="N4037" s="17"/>
      <c r="Q4037" s="17"/>
    </row>
    <row r="4038">
      <c r="B4038" s="11">
        <f>IFERROR(__xludf.DUMMYFUNCTION("""COMPUTED_VALUE"""),40158.666666666664)</f>
        <v>40158.66667</v>
      </c>
      <c r="C4038" s="9">
        <f>IFERROR(__xludf.DUMMYFUNCTION("""COMPUTED_VALUE"""),28.17)</f>
        <v>28.17</v>
      </c>
      <c r="E4038" s="17"/>
      <c r="N4038" s="17"/>
      <c r="Q4038" s="17"/>
    </row>
    <row r="4039">
      <c r="B4039" s="11">
        <f>IFERROR(__xludf.DUMMYFUNCTION("""COMPUTED_VALUE"""),40157.666666666664)</f>
        <v>40157.66667</v>
      </c>
      <c r="C4039" s="9">
        <f>IFERROR(__xludf.DUMMYFUNCTION("""COMPUTED_VALUE"""),27.89)</f>
        <v>27.89</v>
      </c>
      <c r="E4039" s="17"/>
      <c r="N4039" s="17"/>
      <c r="Q4039" s="17"/>
    </row>
    <row r="4040">
      <c r="B4040" s="11">
        <f>IFERROR(__xludf.DUMMYFUNCTION("""COMPUTED_VALUE"""),40156.666666666664)</f>
        <v>40156.66667</v>
      </c>
      <c r="C4040" s="9">
        <f>IFERROR(__xludf.DUMMYFUNCTION("""COMPUTED_VALUE"""),27.77)</f>
        <v>27.77</v>
      </c>
      <c r="E4040" s="17"/>
      <c r="N4040" s="17"/>
      <c r="Q4040" s="17"/>
    </row>
    <row r="4041">
      <c r="B4041" s="11">
        <f>IFERROR(__xludf.DUMMYFUNCTION("""COMPUTED_VALUE"""),40155.666666666664)</f>
        <v>40155.66667</v>
      </c>
      <c r="C4041" s="9">
        <f>IFERROR(__xludf.DUMMYFUNCTION("""COMPUTED_VALUE"""),27.64)</f>
        <v>27.64</v>
      </c>
      <c r="E4041" s="17"/>
      <c r="N4041" s="17"/>
      <c r="Q4041" s="17"/>
    </row>
    <row r="4042">
      <c r="B4042" s="11">
        <f>IFERROR(__xludf.DUMMYFUNCTION("""COMPUTED_VALUE"""),40154.666666666664)</f>
        <v>40154.66667</v>
      </c>
      <c r="C4042" s="9">
        <f>IFERROR(__xludf.DUMMYFUNCTION("""COMPUTED_VALUE"""),28.07)</f>
        <v>28.07</v>
      </c>
      <c r="E4042" s="17"/>
      <c r="N4042" s="17"/>
      <c r="Q4042" s="17"/>
    </row>
    <row r="4043">
      <c r="B4043" s="11">
        <f>IFERROR(__xludf.DUMMYFUNCTION("""COMPUTED_VALUE"""),40151.666666666664)</f>
        <v>40151.66667</v>
      </c>
      <c r="C4043" s="9">
        <f>IFERROR(__xludf.DUMMYFUNCTION("""COMPUTED_VALUE"""),28.17)</f>
        <v>28.17</v>
      </c>
      <c r="E4043" s="17"/>
      <c r="N4043" s="17"/>
      <c r="Q4043" s="17"/>
    </row>
    <row r="4044">
      <c r="B4044" s="11">
        <f>IFERROR(__xludf.DUMMYFUNCTION("""COMPUTED_VALUE"""),40150.666666666664)</f>
        <v>40150.66667</v>
      </c>
      <c r="C4044" s="9">
        <f>IFERROR(__xludf.DUMMYFUNCTION("""COMPUTED_VALUE"""),27.75)</f>
        <v>27.75</v>
      </c>
      <c r="E4044" s="17"/>
      <c r="N4044" s="17"/>
      <c r="Q4044" s="17"/>
    </row>
    <row r="4045">
      <c r="B4045" s="11">
        <f>IFERROR(__xludf.DUMMYFUNCTION("""COMPUTED_VALUE"""),40149.666666666664)</f>
        <v>40149.66667</v>
      </c>
      <c r="C4045" s="9">
        <f>IFERROR(__xludf.DUMMYFUNCTION("""COMPUTED_VALUE"""),27.88)</f>
        <v>27.88</v>
      </c>
      <c r="E4045" s="17"/>
      <c r="N4045" s="17"/>
      <c r="Q4045" s="17"/>
    </row>
    <row r="4046">
      <c r="B4046" s="11">
        <f>IFERROR(__xludf.DUMMYFUNCTION("""COMPUTED_VALUE"""),40148.666666666664)</f>
        <v>40148.66667</v>
      </c>
      <c r="C4046" s="9">
        <f>IFERROR(__xludf.DUMMYFUNCTION("""COMPUTED_VALUE"""),27.96)</f>
        <v>27.96</v>
      </c>
      <c r="E4046" s="17"/>
      <c r="N4046" s="17"/>
      <c r="Q4046" s="17"/>
    </row>
    <row r="4047">
      <c r="B4047" s="11">
        <f>IFERROR(__xludf.DUMMYFUNCTION("""COMPUTED_VALUE"""),40147.666666666664)</f>
        <v>40147.66667</v>
      </c>
      <c r="C4047" s="9">
        <f>IFERROR(__xludf.DUMMYFUNCTION("""COMPUTED_VALUE"""),27.51)</f>
        <v>27.51</v>
      </c>
      <c r="E4047" s="17"/>
      <c r="N4047" s="17"/>
      <c r="Q4047" s="17"/>
    </row>
    <row r="4048">
      <c r="B4048" s="11">
        <f>IFERROR(__xludf.DUMMYFUNCTION("""COMPUTED_VALUE"""),40144.666666666664)</f>
        <v>40144.66667</v>
      </c>
      <c r="C4048" s="9">
        <f>IFERROR(__xludf.DUMMYFUNCTION("""COMPUTED_VALUE"""),27.42)</f>
        <v>27.42</v>
      </c>
      <c r="E4048" s="17"/>
      <c r="N4048" s="17"/>
      <c r="Q4048" s="17"/>
    </row>
    <row r="4049">
      <c r="B4049" s="11">
        <f>IFERROR(__xludf.DUMMYFUNCTION("""COMPUTED_VALUE"""),40142.666666666664)</f>
        <v>40142.66667</v>
      </c>
      <c r="C4049" s="9">
        <f>IFERROR(__xludf.DUMMYFUNCTION("""COMPUTED_VALUE"""),27.96)</f>
        <v>27.96</v>
      </c>
      <c r="E4049" s="17"/>
      <c r="N4049" s="17"/>
      <c r="Q4049" s="17"/>
    </row>
    <row r="4050">
      <c r="B4050" s="11">
        <f>IFERROR(__xludf.DUMMYFUNCTION("""COMPUTED_VALUE"""),40141.666666666664)</f>
        <v>40141.66667</v>
      </c>
      <c r="C4050" s="9">
        <f>IFERROR(__xludf.DUMMYFUNCTION("""COMPUTED_VALUE"""),27.73)</f>
        <v>27.73</v>
      </c>
      <c r="E4050" s="17"/>
      <c r="N4050" s="17"/>
      <c r="Q4050" s="17"/>
    </row>
    <row r="4051">
      <c r="B4051" s="11">
        <f>IFERROR(__xludf.DUMMYFUNCTION("""COMPUTED_VALUE"""),40140.666666666664)</f>
        <v>40140.66667</v>
      </c>
      <c r="C4051" s="9">
        <f>IFERROR(__xludf.DUMMYFUNCTION("""COMPUTED_VALUE"""),27.96)</f>
        <v>27.96</v>
      </c>
      <c r="E4051" s="17"/>
      <c r="N4051" s="17"/>
      <c r="Q4051" s="17"/>
    </row>
    <row r="4052">
      <c r="B4052" s="11">
        <f>IFERROR(__xludf.DUMMYFUNCTION("""COMPUTED_VALUE"""),40137.666666666664)</f>
        <v>40137.66667</v>
      </c>
      <c r="C4052" s="9">
        <f>IFERROR(__xludf.DUMMYFUNCTION("""COMPUTED_VALUE"""),27.46)</f>
        <v>27.46</v>
      </c>
      <c r="E4052" s="17"/>
      <c r="N4052" s="17"/>
      <c r="Q4052" s="17"/>
    </row>
    <row r="4053">
      <c r="B4053" s="11">
        <f>IFERROR(__xludf.DUMMYFUNCTION("""COMPUTED_VALUE"""),40136.666666666664)</f>
        <v>40136.66667</v>
      </c>
      <c r="C4053" s="9">
        <f>IFERROR(__xludf.DUMMYFUNCTION("""COMPUTED_VALUE"""),27.51)</f>
        <v>27.51</v>
      </c>
      <c r="E4053" s="17"/>
      <c r="N4053" s="17"/>
      <c r="Q4053" s="17"/>
    </row>
    <row r="4054">
      <c r="B4054" s="11">
        <f>IFERROR(__xludf.DUMMYFUNCTION("""COMPUTED_VALUE"""),40135.666666666664)</f>
        <v>40135.66667</v>
      </c>
      <c r="C4054" s="9">
        <f>IFERROR(__xludf.DUMMYFUNCTION("""COMPUTED_VALUE"""),27.93)</f>
        <v>27.93</v>
      </c>
      <c r="E4054" s="17"/>
      <c r="N4054" s="17"/>
      <c r="Q4054" s="17"/>
    </row>
    <row r="4055">
      <c r="B4055" s="11">
        <f>IFERROR(__xludf.DUMMYFUNCTION("""COMPUTED_VALUE"""),40134.666666666664)</f>
        <v>40134.66667</v>
      </c>
      <c r="C4055" s="9">
        <f>IFERROR(__xludf.DUMMYFUNCTION("""COMPUTED_VALUE"""),28.08)</f>
        <v>28.08</v>
      </c>
      <c r="E4055" s="17"/>
      <c r="N4055" s="17"/>
      <c r="Q4055" s="17"/>
    </row>
    <row r="4056">
      <c r="B4056" s="11">
        <f>IFERROR(__xludf.DUMMYFUNCTION("""COMPUTED_VALUE"""),40133.666666666664)</f>
        <v>40133.66667</v>
      </c>
      <c r="C4056" s="9">
        <f>IFERROR(__xludf.DUMMYFUNCTION("""COMPUTED_VALUE"""),28.13)</f>
        <v>28.13</v>
      </c>
      <c r="E4056" s="17"/>
      <c r="N4056" s="17"/>
      <c r="Q4056" s="17"/>
    </row>
    <row r="4057">
      <c r="B4057" s="11">
        <f>IFERROR(__xludf.DUMMYFUNCTION("""COMPUTED_VALUE"""),40130.666666666664)</f>
        <v>40130.66667</v>
      </c>
      <c r="C4057" s="9">
        <f>IFERROR(__xludf.DUMMYFUNCTION("""COMPUTED_VALUE"""),27.5)</f>
        <v>27.5</v>
      </c>
      <c r="E4057" s="17"/>
      <c r="N4057" s="17"/>
      <c r="Q4057" s="17"/>
    </row>
    <row r="4058">
      <c r="B4058" s="11">
        <f>IFERROR(__xludf.DUMMYFUNCTION("""COMPUTED_VALUE"""),40129.666666666664)</f>
        <v>40129.66667</v>
      </c>
      <c r="C4058" s="9">
        <f>IFERROR(__xludf.DUMMYFUNCTION("""COMPUTED_VALUE"""),27.29)</f>
        <v>27.29</v>
      </c>
      <c r="E4058" s="17"/>
      <c r="N4058" s="17"/>
      <c r="Q4058" s="17"/>
    </row>
    <row r="4059">
      <c r="B4059" s="11">
        <f>IFERROR(__xludf.DUMMYFUNCTION("""COMPUTED_VALUE"""),40128.666666666664)</f>
        <v>40128.66667</v>
      </c>
      <c r="C4059" s="9">
        <f>IFERROR(__xludf.DUMMYFUNCTION("""COMPUTED_VALUE"""),27.61)</f>
        <v>27.61</v>
      </c>
      <c r="E4059" s="17"/>
      <c r="N4059" s="17"/>
      <c r="Q4059" s="17"/>
    </row>
    <row r="4060">
      <c r="B4060" s="11">
        <f>IFERROR(__xludf.DUMMYFUNCTION("""COMPUTED_VALUE"""),40127.666666666664)</f>
        <v>40127.66667</v>
      </c>
      <c r="C4060" s="9">
        <f>IFERROR(__xludf.DUMMYFUNCTION("""COMPUTED_VALUE"""),27.4)</f>
        <v>27.4</v>
      </c>
      <c r="E4060" s="17"/>
      <c r="N4060" s="17"/>
      <c r="Q4060" s="17"/>
    </row>
    <row r="4061">
      <c r="B4061" s="11">
        <f>IFERROR(__xludf.DUMMYFUNCTION("""COMPUTED_VALUE"""),40126.666666666664)</f>
        <v>40126.66667</v>
      </c>
      <c r="C4061" s="9">
        <f>IFERROR(__xludf.DUMMYFUNCTION("""COMPUTED_VALUE"""),27.56)</f>
        <v>27.56</v>
      </c>
      <c r="E4061" s="17"/>
      <c r="N4061" s="17"/>
      <c r="Q4061" s="17"/>
    </row>
    <row r="4062">
      <c r="B4062" s="11">
        <f>IFERROR(__xludf.DUMMYFUNCTION("""COMPUTED_VALUE"""),40123.666666666664)</f>
        <v>40123.66667</v>
      </c>
      <c r="C4062" s="9">
        <f>IFERROR(__xludf.DUMMYFUNCTION("""COMPUTED_VALUE"""),26.88)</f>
        <v>26.88</v>
      </c>
      <c r="E4062" s="17"/>
      <c r="N4062" s="17"/>
      <c r="Q4062" s="17"/>
    </row>
    <row r="4063">
      <c r="B4063" s="11">
        <f>IFERROR(__xludf.DUMMYFUNCTION("""COMPUTED_VALUE"""),40122.666666666664)</f>
        <v>40122.66667</v>
      </c>
      <c r="C4063" s="9">
        <f>IFERROR(__xludf.DUMMYFUNCTION("""COMPUTED_VALUE"""),26.64)</f>
        <v>26.64</v>
      </c>
      <c r="E4063" s="17"/>
      <c r="N4063" s="17"/>
      <c r="Q4063" s="17"/>
    </row>
    <row r="4064">
      <c r="B4064" s="11">
        <f>IFERROR(__xludf.DUMMYFUNCTION("""COMPUTED_VALUE"""),40121.666666666664)</f>
        <v>40121.66667</v>
      </c>
      <c r="C4064" s="9">
        <f>IFERROR(__xludf.DUMMYFUNCTION("""COMPUTED_VALUE"""),25.97)</f>
        <v>25.97</v>
      </c>
      <c r="E4064" s="17"/>
      <c r="N4064" s="17"/>
      <c r="Q4064" s="17"/>
    </row>
    <row r="4065">
      <c r="B4065" s="11">
        <f>IFERROR(__xludf.DUMMYFUNCTION("""COMPUTED_VALUE"""),40120.666666666664)</f>
        <v>40120.66667</v>
      </c>
      <c r="C4065" s="9">
        <f>IFERROR(__xludf.DUMMYFUNCTION("""COMPUTED_VALUE"""),26.02)</f>
        <v>26.02</v>
      </c>
      <c r="E4065" s="17"/>
      <c r="N4065" s="17"/>
      <c r="Q4065" s="17"/>
    </row>
    <row r="4066">
      <c r="B4066" s="11">
        <f>IFERROR(__xludf.DUMMYFUNCTION("""COMPUTED_VALUE"""),40119.666666666664)</f>
        <v>40119.66667</v>
      </c>
      <c r="C4066" s="9">
        <f>IFERROR(__xludf.DUMMYFUNCTION("""COMPUTED_VALUE"""),25.58)</f>
        <v>25.58</v>
      </c>
      <c r="E4066" s="17"/>
      <c r="N4066" s="17"/>
      <c r="Q4066" s="17"/>
    </row>
    <row r="4067">
      <c r="B4067" s="11">
        <f>IFERROR(__xludf.DUMMYFUNCTION("""COMPUTED_VALUE"""),40116.666666666664)</f>
        <v>40116.66667</v>
      </c>
      <c r="C4067" s="9">
        <f>IFERROR(__xludf.DUMMYFUNCTION("""COMPUTED_VALUE"""),25.29)</f>
        <v>25.29</v>
      </c>
      <c r="E4067" s="17"/>
      <c r="N4067" s="17"/>
      <c r="Q4067" s="17"/>
    </row>
    <row r="4068">
      <c r="B4068" s="11">
        <f>IFERROR(__xludf.DUMMYFUNCTION("""COMPUTED_VALUE"""),40115.666666666664)</f>
        <v>40115.66667</v>
      </c>
      <c r="C4068" s="9">
        <f>IFERROR(__xludf.DUMMYFUNCTION("""COMPUTED_VALUE"""),26.18)</f>
        <v>26.18</v>
      </c>
      <c r="E4068" s="17"/>
      <c r="N4068" s="17"/>
      <c r="Q4068" s="17"/>
    </row>
    <row r="4069">
      <c r="B4069" s="11">
        <f>IFERROR(__xludf.DUMMYFUNCTION("""COMPUTED_VALUE"""),40114.666666666664)</f>
        <v>40114.66667</v>
      </c>
      <c r="C4069" s="9">
        <f>IFERROR(__xludf.DUMMYFUNCTION("""COMPUTED_VALUE"""),25.57)</f>
        <v>25.57</v>
      </c>
      <c r="E4069" s="17"/>
      <c r="N4069" s="17"/>
      <c r="Q4069" s="17"/>
    </row>
    <row r="4070">
      <c r="B4070" s="11">
        <f>IFERROR(__xludf.DUMMYFUNCTION("""COMPUTED_VALUE"""),40113.666666666664)</f>
        <v>40113.66667</v>
      </c>
      <c r="C4070" s="9">
        <f>IFERROR(__xludf.DUMMYFUNCTION("""COMPUTED_VALUE"""),26.11)</f>
        <v>26.11</v>
      </c>
      <c r="E4070" s="17"/>
      <c r="N4070" s="17"/>
      <c r="Q4070" s="17"/>
    </row>
    <row r="4071">
      <c r="B4071" s="11">
        <f>IFERROR(__xludf.DUMMYFUNCTION("""COMPUTED_VALUE"""),40112.666666666664)</f>
        <v>40112.66667</v>
      </c>
      <c r="C4071" s="9">
        <f>IFERROR(__xludf.DUMMYFUNCTION("""COMPUTED_VALUE"""),26.47)</f>
        <v>26.47</v>
      </c>
      <c r="E4071" s="17"/>
      <c r="N4071" s="17"/>
      <c r="Q4071" s="17"/>
    </row>
    <row r="4072">
      <c r="B4072" s="11">
        <f>IFERROR(__xludf.DUMMYFUNCTION("""COMPUTED_VALUE"""),40109.666666666664)</f>
        <v>40109.66667</v>
      </c>
      <c r="C4072" s="9">
        <f>IFERROR(__xludf.DUMMYFUNCTION("""COMPUTED_VALUE"""),26.68)</f>
        <v>26.68</v>
      </c>
      <c r="E4072" s="17"/>
      <c r="N4072" s="17"/>
      <c r="Q4072" s="17"/>
    </row>
    <row r="4073">
      <c r="B4073" s="11">
        <f>IFERROR(__xludf.DUMMYFUNCTION("""COMPUTED_VALUE"""),40108.666666666664)</f>
        <v>40108.66667</v>
      </c>
      <c r="C4073" s="9">
        <f>IFERROR(__xludf.DUMMYFUNCTION("""COMPUTED_VALUE"""),27.16)</f>
        <v>27.16</v>
      </c>
      <c r="E4073" s="17"/>
      <c r="N4073" s="17"/>
      <c r="Q4073" s="17"/>
    </row>
    <row r="4074">
      <c r="B4074" s="11">
        <f>IFERROR(__xludf.DUMMYFUNCTION("""COMPUTED_VALUE"""),40107.666666666664)</f>
        <v>40107.66667</v>
      </c>
      <c r="C4074" s="9">
        <f>IFERROR(__xludf.DUMMYFUNCTION("""COMPUTED_VALUE"""),26.97)</f>
        <v>26.97</v>
      </c>
      <c r="E4074" s="17"/>
      <c r="N4074" s="17"/>
      <c r="Q4074" s="17"/>
    </row>
    <row r="4075">
      <c r="B4075" s="11">
        <f>IFERROR(__xludf.DUMMYFUNCTION("""COMPUTED_VALUE"""),40106.666666666664)</f>
        <v>40106.66667</v>
      </c>
      <c r="C4075" s="9">
        <f>IFERROR(__xludf.DUMMYFUNCTION("""COMPUTED_VALUE"""),27.16)</f>
        <v>27.16</v>
      </c>
      <c r="E4075" s="17"/>
      <c r="N4075" s="17"/>
      <c r="Q4075" s="17"/>
    </row>
    <row r="4076">
      <c r="B4076" s="11">
        <f>IFERROR(__xludf.DUMMYFUNCTION("""COMPUTED_VALUE"""),40105.666666666664)</f>
        <v>40105.66667</v>
      </c>
      <c r="C4076" s="9">
        <f>IFERROR(__xludf.DUMMYFUNCTION("""COMPUTED_VALUE"""),27.35)</f>
        <v>27.35</v>
      </c>
      <c r="E4076" s="17"/>
      <c r="N4076" s="17"/>
      <c r="Q4076" s="17"/>
    </row>
    <row r="4077">
      <c r="B4077" s="11">
        <f>IFERROR(__xludf.DUMMYFUNCTION("""COMPUTED_VALUE"""),40102.666666666664)</f>
        <v>40102.66667</v>
      </c>
      <c r="C4077" s="9">
        <f>IFERROR(__xludf.DUMMYFUNCTION("""COMPUTED_VALUE"""),27.06)</f>
        <v>27.06</v>
      </c>
      <c r="E4077" s="17"/>
      <c r="N4077" s="17"/>
      <c r="Q4077" s="17"/>
    </row>
    <row r="4078">
      <c r="B4078" s="11">
        <f>IFERROR(__xludf.DUMMYFUNCTION("""COMPUTED_VALUE"""),40101.666666666664)</f>
        <v>40101.66667</v>
      </c>
      <c r="C4078" s="9">
        <f>IFERROR(__xludf.DUMMYFUNCTION("""COMPUTED_VALUE"""),27.25)</f>
        <v>27.25</v>
      </c>
      <c r="E4078" s="17"/>
      <c r="N4078" s="17"/>
      <c r="Q4078" s="17"/>
    </row>
    <row r="4079">
      <c r="B4079" s="11">
        <f>IFERROR(__xludf.DUMMYFUNCTION("""COMPUTED_VALUE"""),40100.666666666664)</f>
        <v>40100.66667</v>
      </c>
      <c r="C4079" s="9">
        <f>IFERROR(__xludf.DUMMYFUNCTION("""COMPUTED_VALUE"""),27.29)</f>
        <v>27.29</v>
      </c>
      <c r="E4079" s="17"/>
      <c r="N4079" s="17"/>
      <c r="Q4079" s="17"/>
    </row>
    <row r="4080">
      <c r="B4080" s="11">
        <f>IFERROR(__xludf.DUMMYFUNCTION("""COMPUTED_VALUE"""),40099.666666666664)</f>
        <v>40099.66667</v>
      </c>
      <c r="C4080" s="9">
        <f>IFERROR(__xludf.DUMMYFUNCTION("""COMPUTED_VALUE"""),26.52)</f>
        <v>26.52</v>
      </c>
      <c r="E4080" s="17"/>
      <c r="N4080" s="17"/>
      <c r="Q4080" s="17"/>
    </row>
    <row r="4081">
      <c r="B4081" s="11">
        <f>IFERROR(__xludf.DUMMYFUNCTION("""COMPUTED_VALUE"""),40098.666666666664)</f>
        <v>40098.66667</v>
      </c>
      <c r="C4081" s="9">
        <f>IFERROR(__xludf.DUMMYFUNCTION("""COMPUTED_VALUE"""),26.5)</f>
        <v>26.5</v>
      </c>
      <c r="E4081" s="17"/>
      <c r="N4081" s="17"/>
      <c r="Q4081" s="17"/>
    </row>
    <row r="4082">
      <c r="B4082" s="11">
        <f>IFERROR(__xludf.DUMMYFUNCTION("""COMPUTED_VALUE"""),40095.666666666664)</f>
        <v>40095.66667</v>
      </c>
      <c r="C4082" s="9">
        <f>IFERROR(__xludf.DUMMYFUNCTION("""COMPUTED_VALUE"""),26.55)</f>
        <v>26.55</v>
      </c>
      <c r="E4082" s="17"/>
      <c r="N4082" s="17"/>
      <c r="Q4082" s="17"/>
    </row>
    <row r="4083">
      <c r="B4083" s="11">
        <f>IFERROR(__xludf.DUMMYFUNCTION("""COMPUTED_VALUE"""),40094.666666666664)</f>
        <v>40094.66667</v>
      </c>
      <c r="C4083" s="9">
        <f>IFERROR(__xludf.DUMMYFUNCTION("""COMPUTED_VALUE"""),26.48)</f>
        <v>26.48</v>
      </c>
      <c r="E4083" s="17"/>
      <c r="N4083" s="17"/>
      <c r="Q4083" s="17"/>
    </row>
    <row r="4084">
      <c r="B4084" s="11">
        <f>IFERROR(__xludf.DUMMYFUNCTION("""COMPUTED_VALUE"""),40093.666666666664)</f>
        <v>40093.66667</v>
      </c>
      <c r="C4084" s="9">
        <f>IFERROR(__xludf.DUMMYFUNCTION("""COMPUTED_VALUE"""),26.02)</f>
        <v>26.02</v>
      </c>
      <c r="E4084" s="17"/>
      <c r="N4084" s="17"/>
      <c r="Q4084" s="17"/>
    </row>
    <row r="4085">
      <c r="B4085" s="11">
        <f>IFERROR(__xludf.DUMMYFUNCTION("""COMPUTED_VALUE"""),40092.666666666664)</f>
        <v>40092.66667</v>
      </c>
      <c r="C4085" s="9">
        <f>IFERROR(__xludf.DUMMYFUNCTION("""COMPUTED_VALUE"""),26.12)</f>
        <v>26.12</v>
      </c>
      <c r="E4085" s="17"/>
      <c r="N4085" s="17"/>
      <c r="Q4085" s="17"/>
    </row>
    <row r="4086">
      <c r="B4086" s="11">
        <f>IFERROR(__xludf.DUMMYFUNCTION("""COMPUTED_VALUE"""),40091.666666666664)</f>
        <v>40091.66667</v>
      </c>
      <c r="C4086" s="9">
        <f>IFERROR(__xludf.DUMMYFUNCTION("""COMPUTED_VALUE"""),25.87)</f>
        <v>25.87</v>
      </c>
      <c r="E4086" s="17"/>
      <c r="N4086" s="17"/>
      <c r="Q4086" s="17"/>
    </row>
    <row r="4087">
      <c r="B4087" s="11">
        <f>IFERROR(__xludf.DUMMYFUNCTION("""COMPUTED_VALUE"""),40088.666666666664)</f>
        <v>40088.66667</v>
      </c>
      <c r="C4087" s="9">
        <f>IFERROR(__xludf.DUMMYFUNCTION("""COMPUTED_VALUE"""),25.35)</f>
        <v>25.35</v>
      </c>
      <c r="E4087" s="17"/>
      <c r="N4087" s="17"/>
      <c r="Q4087" s="17"/>
    </row>
    <row r="4088">
      <c r="B4088" s="11">
        <f>IFERROR(__xludf.DUMMYFUNCTION("""COMPUTED_VALUE"""),40087.666666666664)</f>
        <v>40087.66667</v>
      </c>
      <c r="C4088" s="9">
        <f>IFERROR(__xludf.DUMMYFUNCTION("""COMPUTED_VALUE"""),25.68)</f>
        <v>25.68</v>
      </c>
      <c r="E4088" s="17"/>
      <c r="N4088" s="17"/>
      <c r="Q4088" s="17"/>
    </row>
    <row r="4089">
      <c r="B4089" s="11">
        <f>IFERROR(__xludf.DUMMYFUNCTION("""COMPUTED_VALUE"""),40086.666666666664)</f>
        <v>40086.66667</v>
      </c>
      <c r="C4089" s="9">
        <f>IFERROR(__xludf.DUMMYFUNCTION("""COMPUTED_VALUE"""),26.34)</f>
        <v>26.34</v>
      </c>
      <c r="E4089" s="17"/>
      <c r="N4089" s="17"/>
      <c r="Q4089" s="17"/>
    </row>
    <row r="4090">
      <c r="B4090" s="11">
        <f>IFERROR(__xludf.DUMMYFUNCTION("""COMPUTED_VALUE"""),40085.666666666664)</f>
        <v>40085.66667</v>
      </c>
      <c r="C4090" s="9">
        <f>IFERROR(__xludf.DUMMYFUNCTION("""COMPUTED_VALUE"""),26.61)</f>
        <v>26.61</v>
      </c>
      <c r="E4090" s="17"/>
      <c r="N4090" s="17"/>
      <c r="Q4090" s="17"/>
    </row>
    <row r="4091">
      <c r="B4091" s="11">
        <f>IFERROR(__xludf.DUMMYFUNCTION("""COMPUTED_VALUE"""),40084.666666666664)</f>
        <v>40084.66667</v>
      </c>
      <c r="C4091" s="9">
        <f>IFERROR(__xludf.DUMMYFUNCTION("""COMPUTED_VALUE"""),26.67)</f>
        <v>26.67</v>
      </c>
      <c r="E4091" s="17"/>
      <c r="N4091" s="17"/>
      <c r="Q4091" s="17"/>
    </row>
    <row r="4092">
      <c r="B4092" s="11">
        <f>IFERROR(__xludf.DUMMYFUNCTION("""COMPUTED_VALUE"""),40081.666666666664)</f>
        <v>40081.66667</v>
      </c>
      <c r="C4092" s="9">
        <f>IFERROR(__xludf.DUMMYFUNCTION("""COMPUTED_VALUE"""),26.13)</f>
        <v>26.13</v>
      </c>
      <c r="E4092" s="17"/>
      <c r="N4092" s="17"/>
      <c r="Q4092" s="17"/>
    </row>
    <row r="4093">
      <c r="B4093" s="11">
        <f>IFERROR(__xludf.DUMMYFUNCTION("""COMPUTED_VALUE"""),40080.666666666664)</f>
        <v>40080.66667</v>
      </c>
      <c r="C4093" s="9">
        <f>IFERROR(__xludf.DUMMYFUNCTION("""COMPUTED_VALUE"""),26.5)</f>
        <v>26.5</v>
      </c>
      <c r="E4093" s="17"/>
      <c r="N4093" s="17"/>
      <c r="Q4093" s="17"/>
    </row>
    <row r="4094">
      <c r="B4094" s="11">
        <f>IFERROR(__xludf.DUMMYFUNCTION("""COMPUTED_VALUE"""),40079.666666666664)</f>
        <v>40079.66667</v>
      </c>
      <c r="C4094" s="9">
        <f>IFERROR(__xludf.DUMMYFUNCTION("""COMPUTED_VALUE"""),26.94)</f>
        <v>26.94</v>
      </c>
      <c r="E4094" s="17"/>
      <c r="N4094" s="17"/>
      <c r="Q4094" s="17"/>
    </row>
    <row r="4095">
      <c r="B4095" s="11">
        <f>IFERROR(__xludf.DUMMYFUNCTION("""COMPUTED_VALUE"""),40078.666666666664)</f>
        <v>40078.66667</v>
      </c>
      <c r="C4095" s="9">
        <f>IFERROR(__xludf.DUMMYFUNCTION("""COMPUTED_VALUE"""),27.17)</f>
        <v>27.17</v>
      </c>
      <c r="E4095" s="17"/>
      <c r="N4095" s="17"/>
      <c r="Q4095" s="17"/>
    </row>
    <row r="4096">
      <c r="B4096" s="11">
        <f>IFERROR(__xludf.DUMMYFUNCTION("""COMPUTED_VALUE"""),40077.666666666664)</f>
        <v>40077.66667</v>
      </c>
      <c r="C4096" s="9">
        <f>IFERROR(__xludf.DUMMYFUNCTION("""COMPUTED_VALUE"""),26.85)</f>
        <v>26.85</v>
      </c>
      <c r="E4096" s="17"/>
      <c r="N4096" s="17"/>
      <c r="Q4096" s="17"/>
    </row>
    <row r="4097">
      <c r="B4097" s="11">
        <f>IFERROR(__xludf.DUMMYFUNCTION("""COMPUTED_VALUE"""),40074.666666666664)</f>
        <v>40074.66667</v>
      </c>
      <c r="C4097" s="9">
        <f>IFERROR(__xludf.DUMMYFUNCTION("""COMPUTED_VALUE"""),27.01)</f>
        <v>27.01</v>
      </c>
      <c r="E4097" s="17"/>
      <c r="N4097" s="17"/>
      <c r="Q4097" s="17"/>
    </row>
    <row r="4098">
      <c r="B4098" s="11">
        <f>IFERROR(__xludf.DUMMYFUNCTION("""COMPUTED_VALUE"""),40073.666666666664)</f>
        <v>40073.66667</v>
      </c>
      <c r="C4098" s="9">
        <f>IFERROR(__xludf.DUMMYFUNCTION("""COMPUTED_VALUE"""),27.31)</f>
        <v>27.31</v>
      </c>
      <c r="E4098" s="17"/>
      <c r="N4098" s="17"/>
      <c r="Q4098" s="17"/>
    </row>
    <row r="4099">
      <c r="B4099" s="11">
        <f>IFERROR(__xludf.DUMMYFUNCTION("""COMPUTED_VALUE"""),40072.666666666664)</f>
        <v>40072.66667</v>
      </c>
      <c r="C4099" s="9">
        <f>IFERROR(__xludf.DUMMYFUNCTION("""COMPUTED_VALUE"""),27.26)</f>
        <v>27.26</v>
      </c>
      <c r="E4099" s="17"/>
      <c r="N4099" s="17"/>
      <c r="Q4099" s="17"/>
    </row>
    <row r="4100">
      <c r="B4100" s="11">
        <f>IFERROR(__xludf.DUMMYFUNCTION("""COMPUTED_VALUE"""),40071.666666666664)</f>
        <v>40071.66667</v>
      </c>
      <c r="C4100" s="9">
        <f>IFERROR(__xludf.DUMMYFUNCTION("""COMPUTED_VALUE"""),26.92)</f>
        <v>26.92</v>
      </c>
      <c r="E4100" s="17"/>
      <c r="N4100" s="17"/>
      <c r="Q4100" s="17"/>
    </row>
    <row r="4101">
      <c r="B4101" s="11">
        <f>IFERROR(__xludf.DUMMYFUNCTION("""COMPUTED_VALUE"""),40070.666666666664)</f>
        <v>40070.66667</v>
      </c>
      <c r="C4101" s="9">
        <f>IFERROR(__xludf.DUMMYFUNCTION("""COMPUTED_VALUE"""),26.6)</f>
        <v>26.6</v>
      </c>
      <c r="E4101" s="17"/>
      <c r="N4101" s="17"/>
      <c r="Q4101" s="17"/>
    </row>
    <row r="4102">
      <c r="B4102" s="11">
        <f>IFERROR(__xludf.DUMMYFUNCTION("""COMPUTED_VALUE"""),40067.666666666664)</f>
        <v>40067.66667</v>
      </c>
      <c r="C4102" s="9">
        <f>IFERROR(__xludf.DUMMYFUNCTION("""COMPUTED_VALUE"""),26.35)</f>
        <v>26.35</v>
      </c>
      <c r="E4102" s="17"/>
      <c r="N4102" s="17"/>
      <c r="Q4102" s="17"/>
    </row>
    <row r="4103">
      <c r="B4103" s="11">
        <f>IFERROR(__xludf.DUMMYFUNCTION("""COMPUTED_VALUE"""),40066.666666666664)</f>
        <v>40066.66667</v>
      </c>
      <c r="C4103" s="9">
        <f>IFERROR(__xludf.DUMMYFUNCTION("""COMPUTED_VALUE"""),26.18)</f>
        <v>26.18</v>
      </c>
      <c r="E4103" s="17"/>
      <c r="N4103" s="17"/>
      <c r="Q4103" s="17"/>
    </row>
    <row r="4104">
      <c r="B4104" s="11">
        <f>IFERROR(__xludf.DUMMYFUNCTION("""COMPUTED_VALUE"""),40065.666666666664)</f>
        <v>40065.66667</v>
      </c>
      <c r="C4104" s="9">
        <f>IFERROR(__xludf.DUMMYFUNCTION("""COMPUTED_VALUE"""),25.96)</f>
        <v>25.96</v>
      </c>
      <c r="E4104" s="17"/>
      <c r="N4104" s="17"/>
      <c r="Q4104" s="17"/>
    </row>
    <row r="4105">
      <c r="B4105" s="11">
        <f>IFERROR(__xludf.DUMMYFUNCTION("""COMPUTED_VALUE"""),40064.666666666664)</f>
        <v>40064.66667</v>
      </c>
      <c r="C4105" s="9">
        <f>IFERROR(__xludf.DUMMYFUNCTION("""COMPUTED_VALUE"""),25.53)</f>
        <v>25.53</v>
      </c>
      <c r="E4105" s="17"/>
      <c r="N4105" s="17"/>
      <c r="Q4105" s="17"/>
    </row>
    <row r="4106">
      <c r="B4106" s="11">
        <f>IFERROR(__xludf.DUMMYFUNCTION("""COMPUTED_VALUE"""),40060.666666666664)</f>
        <v>40060.66667</v>
      </c>
      <c r="C4106" s="9">
        <f>IFERROR(__xludf.DUMMYFUNCTION("""COMPUTED_VALUE"""),25.31)</f>
        <v>25.31</v>
      </c>
      <c r="E4106" s="17"/>
      <c r="N4106" s="17"/>
      <c r="Q4106" s="17"/>
    </row>
    <row r="4107">
      <c r="B4107" s="11">
        <f>IFERROR(__xludf.DUMMYFUNCTION("""COMPUTED_VALUE"""),40059.666666666664)</f>
        <v>40059.66667</v>
      </c>
      <c r="C4107" s="9">
        <f>IFERROR(__xludf.DUMMYFUNCTION("""COMPUTED_VALUE"""),24.82)</f>
        <v>24.82</v>
      </c>
      <c r="E4107" s="17"/>
      <c r="N4107" s="17"/>
      <c r="Q4107" s="17"/>
    </row>
    <row r="4108">
      <c r="B4108" s="11">
        <f>IFERROR(__xludf.DUMMYFUNCTION("""COMPUTED_VALUE"""),40058.666666666664)</f>
        <v>40058.66667</v>
      </c>
      <c r="C4108" s="9">
        <f>IFERROR(__xludf.DUMMYFUNCTION("""COMPUTED_VALUE"""),24.5)</f>
        <v>24.5</v>
      </c>
      <c r="E4108" s="17"/>
      <c r="N4108" s="17"/>
      <c r="Q4108" s="17"/>
    </row>
    <row r="4109">
      <c r="B4109" s="11">
        <f>IFERROR(__xludf.DUMMYFUNCTION("""COMPUTED_VALUE"""),40057.666666666664)</f>
        <v>40057.66667</v>
      </c>
      <c r="C4109" s="9">
        <f>IFERROR(__xludf.DUMMYFUNCTION("""COMPUTED_VALUE"""),24.6)</f>
        <v>24.6</v>
      </c>
      <c r="E4109" s="17"/>
      <c r="N4109" s="17"/>
      <c r="Q4109" s="17"/>
    </row>
    <row r="4110">
      <c r="B4110" s="11">
        <f>IFERROR(__xludf.DUMMYFUNCTION("""COMPUTED_VALUE"""),40056.666666666664)</f>
        <v>40056.66667</v>
      </c>
      <c r="C4110" s="9">
        <f>IFERROR(__xludf.DUMMYFUNCTION("""COMPUTED_VALUE"""),25.02)</f>
        <v>25.02</v>
      </c>
      <c r="E4110" s="17"/>
      <c r="N4110" s="17"/>
      <c r="Q4110" s="17"/>
    </row>
    <row r="4111">
      <c r="B4111" s="11">
        <f>IFERROR(__xludf.DUMMYFUNCTION("""COMPUTED_VALUE"""),40053.666666666664)</f>
        <v>40053.66667</v>
      </c>
      <c r="C4111" s="9">
        <f>IFERROR(__xludf.DUMMYFUNCTION("""COMPUTED_VALUE"""),25.32)</f>
        <v>25.32</v>
      </c>
      <c r="E4111" s="17"/>
      <c r="N4111" s="17"/>
      <c r="Q4111" s="17"/>
    </row>
    <row r="4112">
      <c r="B4112" s="11">
        <f>IFERROR(__xludf.DUMMYFUNCTION("""COMPUTED_VALUE"""),40052.666666666664)</f>
        <v>40052.66667</v>
      </c>
      <c r="C4112" s="9">
        <f>IFERROR(__xludf.DUMMYFUNCTION("""COMPUTED_VALUE"""),25.46)</f>
        <v>25.46</v>
      </c>
      <c r="E4112" s="17"/>
      <c r="N4112" s="17"/>
      <c r="Q4112" s="17"/>
    </row>
    <row r="4113">
      <c r="B4113" s="11">
        <f>IFERROR(__xludf.DUMMYFUNCTION("""COMPUTED_VALUE"""),40051.666666666664)</f>
        <v>40051.66667</v>
      </c>
      <c r="C4113" s="9">
        <f>IFERROR(__xludf.DUMMYFUNCTION("""COMPUTED_VALUE"""),25.23)</f>
        <v>25.23</v>
      </c>
      <c r="E4113" s="17"/>
      <c r="N4113" s="17"/>
      <c r="Q4113" s="17"/>
    </row>
    <row r="4114">
      <c r="B4114" s="11">
        <f>IFERROR(__xludf.DUMMYFUNCTION("""COMPUTED_VALUE"""),40050.666666666664)</f>
        <v>40050.66667</v>
      </c>
      <c r="C4114" s="9">
        <f>IFERROR(__xludf.DUMMYFUNCTION("""COMPUTED_VALUE"""),25.49)</f>
        <v>25.49</v>
      </c>
      <c r="E4114" s="17"/>
      <c r="N4114" s="17"/>
      <c r="Q4114" s="17"/>
    </row>
    <row r="4115">
      <c r="B4115" s="11">
        <f>IFERROR(__xludf.DUMMYFUNCTION("""COMPUTED_VALUE"""),40049.666666666664)</f>
        <v>40049.66667</v>
      </c>
      <c r="C4115" s="9">
        <f>IFERROR(__xludf.DUMMYFUNCTION("""COMPUTED_VALUE"""),25.35)</f>
        <v>25.35</v>
      </c>
      <c r="E4115" s="17"/>
      <c r="N4115" s="17"/>
      <c r="Q4115" s="17"/>
    </row>
    <row r="4116">
      <c r="B4116" s="11">
        <f>IFERROR(__xludf.DUMMYFUNCTION("""COMPUTED_VALUE"""),40046.666666666664)</f>
        <v>40046.66667</v>
      </c>
      <c r="C4116" s="9">
        <f>IFERROR(__xludf.DUMMYFUNCTION("""COMPUTED_VALUE"""),25.3)</f>
        <v>25.3</v>
      </c>
      <c r="E4116" s="17"/>
      <c r="N4116" s="17"/>
      <c r="Q4116" s="17"/>
    </row>
    <row r="4117">
      <c r="B4117" s="11">
        <f>IFERROR(__xludf.DUMMYFUNCTION("""COMPUTED_VALUE"""),40045.666666666664)</f>
        <v>40045.66667</v>
      </c>
      <c r="C4117" s="9">
        <f>IFERROR(__xludf.DUMMYFUNCTION("""COMPUTED_VALUE"""),24.66)</f>
        <v>24.66</v>
      </c>
      <c r="E4117" s="17"/>
      <c r="N4117" s="17"/>
      <c r="Q4117" s="17"/>
    </row>
    <row r="4118">
      <c r="B4118" s="11">
        <f>IFERROR(__xludf.DUMMYFUNCTION("""COMPUTED_VALUE"""),40044.666666666664)</f>
        <v>40044.66667</v>
      </c>
      <c r="C4118" s="9">
        <f>IFERROR(__xludf.DUMMYFUNCTION("""COMPUTED_VALUE"""),24.36)</f>
        <v>24.36</v>
      </c>
      <c r="E4118" s="17"/>
      <c r="N4118" s="17"/>
      <c r="Q4118" s="17"/>
    </row>
    <row r="4119">
      <c r="B4119" s="11">
        <f>IFERROR(__xludf.DUMMYFUNCTION("""COMPUTED_VALUE"""),40043.666666666664)</f>
        <v>40043.66667</v>
      </c>
      <c r="C4119" s="9">
        <f>IFERROR(__xludf.DUMMYFUNCTION("""COMPUTED_VALUE"""),24.29)</f>
        <v>24.29</v>
      </c>
      <c r="E4119" s="17"/>
      <c r="N4119" s="17"/>
      <c r="Q4119" s="17"/>
    </row>
    <row r="4120">
      <c r="B4120" s="11">
        <f>IFERROR(__xludf.DUMMYFUNCTION("""COMPUTED_VALUE"""),40042.666666666664)</f>
        <v>40042.66667</v>
      </c>
      <c r="C4120" s="9">
        <f>IFERROR(__xludf.DUMMYFUNCTION("""COMPUTED_VALUE"""),24.0)</f>
        <v>24</v>
      </c>
      <c r="E4120" s="17"/>
      <c r="N4120" s="17"/>
      <c r="Q4120" s="17"/>
    </row>
    <row r="4121">
      <c r="B4121" s="11">
        <f>IFERROR(__xludf.DUMMYFUNCTION("""COMPUTED_VALUE"""),40039.666666666664)</f>
        <v>40039.66667</v>
      </c>
      <c r="C4121" s="9">
        <f>IFERROR(__xludf.DUMMYFUNCTION("""COMPUTED_VALUE"""),24.73)</f>
        <v>24.73</v>
      </c>
      <c r="E4121" s="17"/>
      <c r="N4121" s="17"/>
      <c r="Q4121" s="17"/>
    </row>
    <row r="4122">
      <c r="B4122" s="11">
        <f>IFERROR(__xludf.DUMMYFUNCTION("""COMPUTED_VALUE"""),40038.666666666664)</f>
        <v>40038.66667</v>
      </c>
      <c r="C4122" s="9">
        <f>IFERROR(__xludf.DUMMYFUNCTION("""COMPUTED_VALUE"""),25.09)</f>
        <v>25.09</v>
      </c>
      <c r="E4122" s="17"/>
      <c r="N4122" s="17"/>
      <c r="Q4122" s="17"/>
    </row>
    <row r="4123">
      <c r="B4123" s="11">
        <f>IFERROR(__xludf.DUMMYFUNCTION("""COMPUTED_VALUE"""),40037.666666666664)</f>
        <v>40037.66667</v>
      </c>
      <c r="C4123" s="9">
        <f>IFERROR(__xludf.DUMMYFUNCTION("""COMPUTED_VALUE"""),24.98)</f>
        <v>24.98</v>
      </c>
      <c r="E4123" s="17"/>
      <c r="N4123" s="17"/>
      <c r="Q4123" s="17"/>
    </row>
    <row r="4124">
      <c r="B4124" s="11">
        <f>IFERROR(__xludf.DUMMYFUNCTION("""COMPUTED_VALUE"""),40036.666666666664)</f>
        <v>40036.66667</v>
      </c>
      <c r="C4124" s="9">
        <f>IFERROR(__xludf.DUMMYFUNCTION("""COMPUTED_VALUE"""),24.55)</f>
        <v>24.55</v>
      </c>
      <c r="E4124" s="17"/>
      <c r="N4124" s="17"/>
      <c r="Q4124" s="17"/>
    </row>
    <row r="4125">
      <c r="B4125" s="11">
        <f>IFERROR(__xludf.DUMMYFUNCTION("""COMPUTED_VALUE"""),40035.666666666664)</f>
        <v>40035.66667</v>
      </c>
      <c r="C4125" s="9">
        <f>IFERROR(__xludf.DUMMYFUNCTION("""COMPUTED_VALUE"""),24.88)</f>
        <v>24.88</v>
      </c>
      <c r="E4125" s="17"/>
      <c r="N4125" s="17"/>
      <c r="Q4125" s="17"/>
    </row>
    <row r="4126">
      <c r="B4126" s="11">
        <f>IFERROR(__xludf.DUMMYFUNCTION("""COMPUTED_VALUE"""),40032.666666666664)</f>
        <v>40032.66667</v>
      </c>
      <c r="C4126" s="9">
        <f>IFERROR(__xludf.DUMMYFUNCTION("""COMPUTED_VALUE"""),25.12)</f>
        <v>25.12</v>
      </c>
      <c r="E4126" s="17"/>
      <c r="N4126" s="17"/>
      <c r="Q4126" s="17"/>
    </row>
    <row r="4127">
      <c r="B4127" s="11">
        <f>IFERROR(__xludf.DUMMYFUNCTION("""COMPUTED_VALUE"""),40031.666666666664)</f>
        <v>40031.66667</v>
      </c>
      <c r="C4127" s="9">
        <f>IFERROR(__xludf.DUMMYFUNCTION("""COMPUTED_VALUE"""),24.51)</f>
        <v>24.51</v>
      </c>
      <c r="E4127" s="17"/>
      <c r="N4127" s="17"/>
      <c r="Q4127" s="17"/>
    </row>
    <row r="4128">
      <c r="B4128" s="11">
        <f>IFERROR(__xludf.DUMMYFUNCTION("""COMPUTED_VALUE"""),40030.666666666664)</f>
        <v>40030.66667</v>
      </c>
      <c r="C4128" s="9">
        <f>IFERROR(__xludf.DUMMYFUNCTION("""COMPUTED_VALUE"""),24.38)</f>
        <v>24.38</v>
      </c>
      <c r="E4128" s="17"/>
      <c r="N4128" s="17"/>
      <c r="Q4128" s="17"/>
    </row>
    <row r="4129">
      <c r="B4129" s="11">
        <f>IFERROR(__xludf.DUMMYFUNCTION("""COMPUTED_VALUE"""),40029.666666666664)</f>
        <v>40029.66667</v>
      </c>
      <c r="C4129" s="9">
        <f>IFERROR(__xludf.DUMMYFUNCTION("""COMPUTED_VALUE"""),24.58)</f>
        <v>24.58</v>
      </c>
      <c r="E4129" s="17"/>
      <c r="N4129" s="17"/>
      <c r="Q4129" s="17"/>
    </row>
    <row r="4130">
      <c r="B4130" s="11">
        <f>IFERROR(__xludf.DUMMYFUNCTION("""COMPUTED_VALUE"""),40028.666666666664)</f>
        <v>40028.66667</v>
      </c>
      <c r="C4130" s="9">
        <f>IFERROR(__xludf.DUMMYFUNCTION("""COMPUTED_VALUE"""),24.4)</f>
        <v>24.4</v>
      </c>
      <c r="E4130" s="17"/>
      <c r="N4130" s="17"/>
      <c r="Q4130" s="17"/>
    </row>
    <row r="4131">
      <c r="B4131" s="11">
        <f>IFERROR(__xludf.DUMMYFUNCTION("""COMPUTED_VALUE"""),40025.666666666664)</f>
        <v>40025.66667</v>
      </c>
      <c r="C4131" s="9">
        <f>IFERROR(__xludf.DUMMYFUNCTION("""COMPUTED_VALUE"""),23.88)</f>
        <v>23.88</v>
      </c>
      <c r="E4131" s="17"/>
      <c r="N4131" s="17"/>
      <c r="Q4131" s="17"/>
    </row>
    <row r="4132">
      <c r="B4132" s="11">
        <f>IFERROR(__xludf.DUMMYFUNCTION("""COMPUTED_VALUE"""),40024.666666666664)</f>
        <v>40024.66667</v>
      </c>
      <c r="C4132" s="9">
        <f>IFERROR(__xludf.DUMMYFUNCTION("""COMPUTED_VALUE"""),23.79)</f>
        <v>23.79</v>
      </c>
      <c r="E4132" s="17"/>
      <c r="N4132" s="17"/>
      <c r="Q4132" s="17"/>
    </row>
    <row r="4133">
      <c r="B4133" s="11">
        <f>IFERROR(__xludf.DUMMYFUNCTION("""COMPUTED_VALUE"""),40023.666666666664)</f>
        <v>40023.66667</v>
      </c>
      <c r="C4133" s="9">
        <f>IFERROR(__xludf.DUMMYFUNCTION("""COMPUTED_VALUE"""),23.41)</f>
        <v>23.41</v>
      </c>
      <c r="E4133" s="17"/>
      <c r="N4133" s="17"/>
      <c r="Q4133" s="17"/>
    </row>
    <row r="4134">
      <c r="B4134" s="11">
        <f>IFERROR(__xludf.DUMMYFUNCTION("""COMPUTED_VALUE"""),40022.666666666664)</f>
        <v>40022.66667</v>
      </c>
      <c r="C4134" s="9">
        <f>IFERROR(__xludf.DUMMYFUNCTION("""COMPUTED_VALUE"""),23.52)</f>
        <v>23.52</v>
      </c>
      <c r="E4134" s="17"/>
      <c r="N4134" s="17"/>
      <c r="Q4134" s="17"/>
    </row>
    <row r="4135">
      <c r="B4135" s="11">
        <f>IFERROR(__xludf.DUMMYFUNCTION("""COMPUTED_VALUE"""),40021.666666666664)</f>
        <v>40021.66667</v>
      </c>
      <c r="C4135" s="9">
        <f>IFERROR(__xludf.DUMMYFUNCTION("""COMPUTED_VALUE"""),23.54)</f>
        <v>23.54</v>
      </c>
      <c r="E4135" s="17"/>
      <c r="N4135" s="17"/>
      <c r="Q4135" s="17"/>
    </row>
    <row r="4136">
      <c r="B4136" s="11">
        <f>IFERROR(__xludf.DUMMYFUNCTION("""COMPUTED_VALUE"""),40018.666666666664)</f>
        <v>40018.66667</v>
      </c>
      <c r="C4136" s="9">
        <f>IFERROR(__xludf.DUMMYFUNCTION("""COMPUTED_VALUE"""),23.41)</f>
        <v>23.41</v>
      </c>
      <c r="E4136" s="17"/>
      <c r="N4136" s="17"/>
      <c r="Q4136" s="17"/>
    </row>
    <row r="4137">
      <c r="B4137" s="11">
        <f>IFERROR(__xludf.DUMMYFUNCTION("""COMPUTED_VALUE"""),40017.666666666664)</f>
        <v>40017.66667</v>
      </c>
      <c r="C4137" s="9">
        <f>IFERROR(__xludf.DUMMYFUNCTION("""COMPUTED_VALUE"""),23.39)</f>
        <v>23.39</v>
      </c>
      <c r="E4137" s="17"/>
      <c r="N4137" s="17"/>
      <c r="Q4137" s="17"/>
    </row>
    <row r="4138">
      <c r="B4138" s="11">
        <f>IFERROR(__xludf.DUMMYFUNCTION("""COMPUTED_VALUE"""),40016.666666666664)</f>
        <v>40016.66667</v>
      </c>
      <c r="C4138" s="9">
        <f>IFERROR(__xludf.DUMMYFUNCTION("""COMPUTED_VALUE"""),22.91)</f>
        <v>22.91</v>
      </c>
      <c r="E4138" s="17"/>
      <c r="N4138" s="17"/>
      <c r="Q4138" s="17"/>
    </row>
    <row r="4139">
      <c r="B4139" s="11">
        <f>IFERROR(__xludf.DUMMYFUNCTION("""COMPUTED_VALUE"""),40015.666666666664)</f>
        <v>40015.66667</v>
      </c>
      <c r="C4139" s="9">
        <f>IFERROR(__xludf.DUMMYFUNCTION("""COMPUTED_VALUE"""),22.84)</f>
        <v>22.84</v>
      </c>
      <c r="E4139" s="17"/>
      <c r="N4139" s="17"/>
      <c r="Q4139" s="17"/>
    </row>
    <row r="4140">
      <c r="B4140" s="11">
        <f>IFERROR(__xludf.DUMMYFUNCTION("""COMPUTED_VALUE"""),40014.666666666664)</f>
        <v>40014.66667</v>
      </c>
      <c r="C4140" s="9">
        <f>IFERROR(__xludf.DUMMYFUNCTION("""COMPUTED_VALUE"""),22.83)</f>
        <v>22.83</v>
      </c>
      <c r="E4140" s="17"/>
      <c r="N4140" s="17"/>
      <c r="Q4140" s="17"/>
    </row>
    <row r="4141">
      <c r="B4141" s="11">
        <f>IFERROR(__xludf.DUMMYFUNCTION("""COMPUTED_VALUE"""),40011.666666666664)</f>
        <v>40011.66667</v>
      </c>
      <c r="C4141" s="9">
        <f>IFERROR(__xludf.DUMMYFUNCTION("""COMPUTED_VALUE"""),22.38)</f>
        <v>22.38</v>
      </c>
      <c r="E4141" s="17"/>
      <c r="N4141" s="17"/>
      <c r="Q4141" s="17"/>
    </row>
    <row r="4142">
      <c r="B4142" s="11">
        <f>IFERROR(__xludf.DUMMYFUNCTION("""COMPUTED_VALUE"""),40010.666666666664)</f>
        <v>40010.66667</v>
      </c>
      <c r="C4142" s="9">
        <f>IFERROR(__xludf.DUMMYFUNCTION("""COMPUTED_VALUE"""),22.64)</f>
        <v>22.64</v>
      </c>
      <c r="E4142" s="17"/>
      <c r="N4142" s="17"/>
      <c r="Q4142" s="17"/>
    </row>
    <row r="4143">
      <c r="B4143" s="11">
        <f>IFERROR(__xludf.DUMMYFUNCTION("""COMPUTED_VALUE"""),40009.666666666664)</f>
        <v>40009.66667</v>
      </c>
      <c r="C4143" s="9">
        <f>IFERROR(__xludf.DUMMYFUNCTION("""COMPUTED_VALUE"""),22.23)</f>
        <v>22.23</v>
      </c>
      <c r="E4143" s="17"/>
      <c r="N4143" s="17"/>
      <c r="Q4143" s="17"/>
    </row>
    <row r="4144">
      <c r="B4144" s="11">
        <f>IFERROR(__xludf.DUMMYFUNCTION("""COMPUTED_VALUE"""),40008.666666666664)</f>
        <v>40008.66667</v>
      </c>
      <c r="C4144" s="9">
        <f>IFERROR(__xludf.DUMMYFUNCTION("""COMPUTED_VALUE"""),21.56)</f>
        <v>21.56</v>
      </c>
      <c r="E4144" s="17"/>
      <c r="N4144" s="17"/>
      <c r="Q4144" s="17"/>
    </row>
    <row r="4145">
      <c r="B4145" s="11">
        <f>IFERROR(__xludf.DUMMYFUNCTION("""COMPUTED_VALUE"""),40007.666666666664)</f>
        <v>40007.66667</v>
      </c>
      <c r="C4145" s="9">
        <f>IFERROR(__xludf.DUMMYFUNCTION("""COMPUTED_VALUE"""),21.25)</f>
        <v>21.25</v>
      </c>
      <c r="E4145" s="17"/>
      <c r="N4145" s="17"/>
      <c r="Q4145" s="17"/>
    </row>
    <row r="4146">
      <c r="B4146" s="11">
        <f>IFERROR(__xludf.DUMMYFUNCTION("""COMPUTED_VALUE"""),40004.666666666664)</f>
        <v>40004.66667</v>
      </c>
      <c r="C4146" s="9">
        <f>IFERROR(__xludf.DUMMYFUNCTION("""COMPUTED_VALUE"""),20.72)</f>
        <v>20.72</v>
      </c>
      <c r="E4146" s="17"/>
      <c r="N4146" s="17"/>
      <c r="Q4146" s="17"/>
    </row>
    <row r="4147">
      <c r="B4147" s="11">
        <f>IFERROR(__xludf.DUMMYFUNCTION("""COMPUTED_VALUE"""),40003.666666666664)</f>
        <v>40003.66667</v>
      </c>
      <c r="C4147" s="9">
        <f>IFERROR(__xludf.DUMMYFUNCTION("""COMPUTED_VALUE"""),20.75)</f>
        <v>20.75</v>
      </c>
      <c r="E4147" s="17"/>
      <c r="N4147" s="17"/>
      <c r="Q4147" s="17"/>
    </row>
    <row r="4148">
      <c r="B4148" s="11">
        <f>IFERROR(__xludf.DUMMYFUNCTION("""COMPUTED_VALUE"""),40002.666666666664)</f>
        <v>40002.66667</v>
      </c>
      <c r="C4148" s="9">
        <f>IFERROR(__xludf.DUMMYFUNCTION("""COMPUTED_VALUE"""),20.56)</f>
        <v>20.56</v>
      </c>
      <c r="E4148" s="17"/>
      <c r="N4148" s="17"/>
      <c r="Q4148" s="17"/>
    </row>
    <row r="4149">
      <c r="B4149" s="11">
        <f>IFERROR(__xludf.DUMMYFUNCTION("""COMPUTED_VALUE"""),40001.666666666664)</f>
        <v>40001.66667</v>
      </c>
      <c r="C4149" s="9">
        <f>IFERROR(__xludf.DUMMYFUNCTION("""COMPUTED_VALUE"""),20.64)</f>
        <v>20.64</v>
      </c>
      <c r="E4149" s="17"/>
      <c r="N4149" s="17"/>
      <c r="Q4149" s="17"/>
    </row>
    <row r="4150">
      <c r="B4150" s="11">
        <f>IFERROR(__xludf.DUMMYFUNCTION("""COMPUTED_VALUE"""),40000.666666666664)</f>
        <v>40000.66667</v>
      </c>
      <c r="C4150" s="9">
        <f>IFERROR(__xludf.DUMMYFUNCTION("""COMPUTED_VALUE"""),21.37)</f>
        <v>21.37</v>
      </c>
      <c r="E4150" s="17"/>
      <c r="N4150" s="17"/>
      <c r="Q4150" s="17"/>
    </row>
    <row r="4151">
      <c r="B4151" s="11">
        <f>IFERROR(__xludf.DUMMYFUNCTION("""COMPUTED_VALUE"""),39996.666666666664)</f>
        <v>39996.66667</v>
      </c>
      <c r="C4151" s="9">
        <f>IFERROR(__xludf.DUMMYFUNCTION("""COMPUTED_VALUE"""),21.36)</f>
        <v>21.36</v>
      </c>
      <c r="E4151" s="17"/>
      <c r="N4151" s="17"/>
      <c r="Q4151" s="17"/>
    </row>
    <row r="4152">
      <c r="B4152" s="11">
        <f>IFERROR(__xludf.DUMMYFUNCTION("""COMPUTED_VALUE"""),39995.666666666664)</f>
        <v>39995.66667</v>
      </c>
      <c r="C4152" s="9">
        <f>IFERROR(__xludf.DUMMYFUNCTION("""COMPUTED_VALUE"""),22.05)</f>
        <v>22.05</v>
      </c>
      <c r="E4152" s="17"/>
      <c r="N4152" s="17"/>
      <c r="Q4152" s="17"/>
    </row>
    <row r="4153">
      <c r="B4153" s="11">
        <f>IFERROR(__xludf.DUMMYFUNCTION("""COMPUTED_VALUE"""),39994.666666666664)</f>
        <v>39994.66667</v>
      </c>
      <c r="C4153" s="9">
        <f>IFERROR(__xludf.DUMMYFUNCTION("""COMPUTED_VALUE"""),21.96)</f>
        <v>21.96</v>
      </c>
      <c r="E4153" s="17"/>
      <c r="N4153" s="17"/>
      <c r="Q4153" s="17"/>
    </row>
    <row r="4154">
      <c r="B4154" s="11">
        <f>IFERROR(__xludf.DUMMYFUNCTION("""COMPUTED_VALUE"""),39993.666666666664)</f>
        <v>39993.66667</v>
      </c>
      <c r="C4154" s="9">
        <f>IFERROR(__xludf.DUMMYFUNCTION("""COMPUTED_VALUE"""),22.19)</f>
        <v>22.19</v>
      </c>
      <c r="E4154" s="17"/>
      <c r="N4154" s="17"/>
      <c r="Q4154" s="17"/>
    </row>
    <row r="4155">
      <c r="B4155" s="11">
        <f>IFERROR(__xludf.DUMMYFUNCTION("""COMPUTED_VALUE"""),39990.666666666664)</f>
        <v>39990.66667</v>
      </c>
      <c r="C4155" s="9">
        <f>IFERROR(__xludf.DUMMYFUNCTION("""COMPUTED_VALUE"""),21.97)</f>
        <v>21.97</v>
      </c>
      <c r="E4155" s="17"/>
      <c r="N4155" s="17"/>
      <c r="Q4155" s="17"/>
    </row>
    <row r="4156">
      <c r="B4156" s="11">
        <f>IFERROR(__xludf.DUMMYFUNCTION("""COMPUTED_VALUE"""),39989.666666666664)</f>
        <v>39989.66667</v>
      </c>
      <c r="C4156" s="9">
        <f>IFERROR(__xludf.DUMMYFUNCTION("""COMPUTED_VALUE"""),22.06)</f>
        <v>22.06</v>
      </c>
      <c r="E4156" s="17"/>
      <c r="N4156" s="17"/>
      <c r="Q4156" s="17"/>
    </row>
    <row r="4157">
      <c r="B4157" s="11">
        <f>IFERROR(__xludf.DUMMYFUNCTION("""COMPUTED_VALUE"""),39988.666666666664)</f>
        <v>39988.66667</v>
      </c>
      <c r="C4157" s="9">
        <f>IFERROR(__xludf.DUMMYFUNCTION("""COMPUTED_VALUE"""),21.4)</f>
        <v>21.4</v>
      </c>
      <c r="E4157" s="17"/>
      <c r="N4157" s="17"/>
      <c r="Q4157" s="17"/>
    </row>
    <row r="4158">
      <c r="B4158" s="11">
        <f>IFERROR(__xludf.DUMMYFUNCTION("""COMPUTED_VALUE"""),39987.666666666664)</f>
        <v>39987.66667</v>
      </c>
      <c r="C4158" s="9">
        <f>IFERROR(__xludf.DUMMYFUNCTION("""COMPUTED_VALUE"""),21.26)</f>
        <v>21.26</v>
      </c>
      <c r="E4158" s="17"/>
      <c r="N4158" s="17"/>
      <c r="Q4158" s="17"/>
    </row>
    <row r="4159">
      <c r="B4159" s="11">
        <f>IFERROR(__xludf.DUMMYFUNCTION("""COMPUTED_VALUE"""),39986.666666666664)</f>
        <v>39986.66667</v>
      </c>
      <c r="C4159" s="9">
        <f>IFERROR(__xludf.DUMMYFUNCTION("""COMPUTED_VALUE"""),21.46)</f>
        <v>21.46</v>
      </c>
      <c r="E4159" s="17"/>
      <c r="N4159" s="17"/>
      <c r="Q4159" s="17"/>
    </row>
    <row r="4160">
      <c r="B4160" s="11">
        <f>IFERROR(__xludf.DUMMYFUNCTION("""COMPUTED_VALUE"""),39983.666666666664)</f>
        <v>39983.66667</v>
      </c>
      <c r="C4160" s="9">
        <f>IFERROR(__xludf.DUMMYFUNCTION("""COMPUTED_VALUE"""),22.2)</f>
        <v>22.2</v>
      </c>
      <c r="E4160" s="17"/>
      <c r="N4160" s="17"/>
      <c r="Q4160" s="17"/>
    </row>
    <row r="4161">
      <c r="B4161" s="11">
        <f>IFERROR(__xludf.DUMMYFUNCTION("""COMPUTED_VALUE"""),39982.666666666664)</f>
        <v>39982.66667</v>
      </c>
      <c r="C4161" s="9">
        <f>IFERROR(__xludf.DUMMYFUNCTION("""COMPUTED_VALUE"""),22.3)</f>
        <v>22.3</v>
      </c>
      <c r="E4161" s="17"/>
      <c r="N4161" s="17"/>
      <c r="Q4161" s="17"/>
    </row>
    <row r="4162">
      <c r="B4162" s="11">
        <f>IFERROR(__xludf.DUMMYFUNCTION("""COMPUTED_VALUE"""),39981.666666666664)</f>
        <v>39981.66667</v>
      </c>
      <c r="C4162" s="9">
        <f>IFERROR(__xludf.DUMMYFUNCTION("""COMPUTED_VALUE"""),22.28)</f>
        <v>22.28</v>
      </c>
      <c r="E4162" s="17"/>
      <c r="N4162" s="17"/>
      <c r="Q4162" s="17"/>
    </row>
    <row r="4163">
      <c r="B4163" s="11">
        <f>IFERROR(__xludf.DUMMYFUNCTION("""COMPUTED_VALUE"""),39980.666666666664)</f>
        <v>39980.66667</v>
      </c>
      <c r="C4163" s="9">
        <f>IFERROR(__xludf.DUMMYFUNCTION("""COMPUTED_VALUE"""),22.45)</f>
        <v>22.45</v>
      </c>
      <c r="E4163" s="17"/>
      <c r="N4163" s="17"/>
      <c r="Q4163" s="17"/>
    </row>
    <row r="4164">
      <c r="B4164" s="11">
        <f>IFERROR(__xludf.DUMMYFUNCTION("""COMPUTED_VALUE"""),39979.666666666664)</f>
        <v>39979.66667</v>
      </c>
      <c r="C4164" s="9">
        <f>IFERROR(__xludf.DUMMYFUNCTION("""COMPUTED_VALUE"""),22.87)</f>
        <v>22.87</v>
      </c>
      <c r="E4164" s="17"/>
      <c r="N4164" s="17"/>
      <c r="Q4164" s="17"/>
    </row>
    <row r="4165">
      <c r="B4165" s="11">
        <f>IFERROR(__xludf.DUMMYFUNCTION("""COMPUTED_VALUE"""),39976.666666666664)</f>
        <v>39976.66667</v>
      </c>
      <c r="C4165" s="9">
        <f>IFERROR(__xludf.DUMMYFUNCTION("""COMPUTED_VALUE"""),23.59)</f>
        <v>23.59</v>
      </c>
      <c r="E4165" s="17"/>
      <c r="N4165" s="17"/>
      <c r="Q4165" s="17"/>
    </row>
    <row r="4166">
      <c r="B4166" s="11">
        <f>IFERROR(__xludf.DUMMYFUNCTION("""COMPUTED_VALUE"""),39975.666666666664)</f>
        <v>39975.66667</v>
      </c>
      <c r="C4166" s="9">
        <f>IFERROR(__xludf.DUMMYFUNCTION("""COMPUTED_VALUE"""),23.55)</f>
        <v>23.55</v>
      </c>
      <c r="E4166" s="17"/>
      <c r="N4166" s="17"/>
      <c r="Q4166" s="17"/>
    </row>
    <row r="4167">
      <c r="B4167" s="11">
        <f>IFERROR(__xludf.DUMMYFUNCTION("""COMPUTED_VALUE"""),39974.666666666664)</f>
        <v>39974.66667</v>
      </c>
      <c r="C4167" s="9">
        <f>IFERROR(__xludf.DUMMYFUNCTION("""COMPUTED_VALUE"""),23.59)</f>
        <v>23.59</v>
      </c>
      <c r="E4167" s="17"/>
      <c r="N4167" s="17"/>
      <c r="Q4167" s="17"/>
    </row>
    <row r="4168">
      <c r="B4168" s="11">
        <f>IFERROR(__xludf.DUMMYFUNCTION("""COMPUTED_VALUE"""),39973.666666666664)</f>
        <v>39973.66667</v>
      </c>
      <c r="C4168" s="9">
        <f>IFERROR(__xludf.DUMMYFUNCTION("""COMPUTED_VALUE"""),23.74)</f>
        <v>23.74</v>
      </c>
      <c r="E4168" s="17"/>
      <c r="N4168" s="17"/>
      <c r="Q4168" s="17"/>
    </row>
    <row r="4169">
      <c r="B4169" s="11">
        <f>IFERROR(__xludf.DUMMYFUNCTION("""COMPUTED_VALUE"""),39972.666666666664)</f>
        <v>39972.66667</v>
      </c>
      <c r="C4169" s="9">
        <f>IFERROR(__xludf.DUMMYFUNCTION("""COMPUTED_VALUE"""),23.79)</f>
        <v>23.79</v>
      </c>
      <c r="E4169" s="17"/>
      <c r="N4169" s="17"/>
      <c r="Q4169" s="17"/>
    </row>
    <row r="4170">
      <c r="B4170" s="11">
        <f>IFERROR(__xludf.DUMMYFUNCTION("""COMPUTED_VALUE"""),39969.666666666664)</f>
        <v>39969.66667</v>
      </c>
      <c r="C4170" s="9">
        <f>IFERROR(__xludf.DUMMYFUNCTION("""COMPUTED_VALUE"""),23.73)</f>
        <v>23.73</v>
      </c>
      <c r="E4170" s="17"/>
      <c r="N4170" s="17"/>
      <c r="Q4170" s="17"/>
    </row>
    <row r="4171">
      <c r="B4171" s="11">
        <f>IFERROR(__xludf.DUMMYFUNCTION("""COMPUTED_VALUE"""),39968.666666666664)</f>
        <v>39968.66667</v>
      </c>
      <c r="C4171" s="9">
        <f>IFERROR(__xludf.DUMMYFUNCTION("""COMPUTED_VALUE"""),23.53)</f>
        <v>23.53</v>
      </c>
      <c r="E4171" s="17"/>
      <c r="N4171" s="17"/>
      <c r="Q4171" s="17"/>
    </row>
    <row r="4172">
      <c r="B4172" s="11">
        <f>IFERROR(__xludf.DUMMYFUNCTION("""COMPUTED_VALUE"""),39967.666666666664)</f>
        <v>39967.66667</v>
      </c>
      <c r="C4172" s="9">
        <f>IFERROR(__xludf.DUMMYFUNCTION("""COMPUTED_VALUE"""),23.11)</f>
        <v>23.11</v>
      </c>
      <c r="E4172" s="17"/>
      <c r="N4172" s="17"/>
      <c r="Q4172" s="17"/>
    </row>
    <row r="4173">
      <c r="B4173" s="11">
        <f>IFERROR(__xludf.DUMMYFUNCTION("""COMPUTED_VALUE"""),39966.666666666664)</f>
        <v>39966.66667</v>
      </c>
      <c r="C4173" s="9">
        <f>IFERROR(__xludf.DUMMYFUNCTION("""COMPUTED_VALUE"""),23.57)</f>
        <v>23.57</v>
      </c>
      <c r="E4173" s="17"/>
      <c r="N4173" s="17"/>
      <c r="Q4173" s="17"/>
    </row>
    <row r="4174">
      <c r="B4174" s="11">
        <f>IFERROR(__xludf.DUMMYFUNCTION("""COMPUTED_VALUE"""),39965.666666666664)</f>
        <v>39965.66667</v>
      </c>
      <c r="C4174" s="9">
        <f>IFERROR(__xludf.DUMMYFUNCTION("""COMPUTED_VALUE"""),23.53)</f>
        <v>23.53</v>
      </c>
      <c r="E4174" s="17"/>
      <c r="N4174" s="17"/>
      <c r="Q4174" s="17"/>
    </row>
    <row r="4175">
      <c r="B4175" s="11">
        <f>IFERROR(__xludf.DUMMYFUNCTION("""COMPUTED_VALUE"""),39962.666666666664)</f>
        <v>39962.66667</v>
      </c>
      <c r="C4175" s="9">
        <f>IFERROR(__xludf.DUMMYFUNCTION("""COMPUTED_VALUE"""),22.49)</f>
        <v>22.49</v>
      </c>
      <c r="E4175" s="17"/>
      <c r="N4175" s="17"/>
      <c r="Q4175" s="17"/>
    </row>
    <row r="4176">
      <c r="B4176" s="11">
        <f>IFERROR(__xludf.DUMMYFUNCTION("""COMPUTED_VALUE"""),39961.666666666664)</f>
        <v>39961.66667</v>
      </c>
      <c r="C4176" s="9">
        <f>IFERROR(__xludf.DUMMYFUNCTION("""COMPUTED_VALUE"""),21.96)</f>
        <v>21.96</v>
      </c>
      <c r="E4176" s="17"/>
      <c r="N4176" s="17"/>
      <c r="Q4176" s="17"/>
    </row>
    <row r="4177">
      <c r="B4177" s="11">
        <f>IFERROR(__xludf.DUMMYFUNCTION("""COMPUTED_VALUE"""),39960.666666666664)</f>
        <v>39960.66667</v>
      </c>
      <c r="C4177" s="9">
        <f>IFERROR(__xludf.DUMMYFUNCTION("""COMPUTED_VALUE"""),21.75)</f>
        <v>21.75</v>
      </c>
      <c r="E4177" s="17"/>
      <c r="N4177" s="17"/>
      <c r="Q4177" s="17"/>
    </row>
    <row r="4178">
      <c r="B4178" s="11">
        <f>IFERROR(__xludf.DUMMYFUNCTION("""COMPUTED_VALUE"""),39959.666666666664)</f>
        <v>39959.66667</v>
      </c>
      <c r="C4178" s="9">
        <f>IFERROR(__xludf.DUMMYFUNCTION("""COMPUTED_VALUE"""),22.48)</f>
        <v>22.48</v>
      </c>
      <c r="E4178" s="17"/>
      <c r="N4178" s="17"/>
      <c r="Q4178" s="17"/>
    </row>
    <row r="4179">
      <c r="B4179" s="11">
        <f>IFERROR(__xludf.DUMMYFUNCTION("""COMPUTED_VALUE"""),39955.666666666664)</f>
        <v>39955.66667</v>
      </c>
      <c r="C4179" s="9">
        <f>IFERROR(__xludf.DUMMYFUNCTION("""COMPUTED_VALUE"""),21.69)</f>
        <v>21.69</v>
      </c>
      <c r="E4179" s="17"/>
      <c r="N4179" s="17"/>
      <c r="Q4179" s="17"/>
    </row>
    <row r="4180">
      <c r="B4180" s="11">
        <f>IFERROR(__xludf.DUMMYFUNCTION("""COMPUTED_VALUE"""),39954.666666666664)</f>
        <v>39954.66667</v>
      </c>
      <c r="C4180" s="9">
        <f>IFERROR(__xludf.DUMMYFUNCTION("""COMPUTED_VALUE"""),21.77)</f>
        <v>21.77</v>
      </c>
      <c r="E4180" s="17"/>
      <c r="N4180" s="17"/>
      <c r="Q4180" s="17"/>
    </row>
    <row r="4181">
      <c r="B4181" s="11">
        <f>IFERROR(__xludf.DUMMYFUNCTION("""COMPUTED_VALUE"""),39953.666666666664)</f>
        <v>39953.66667</v>
      </c>
      <c r="C4181" s="9">
        <f>IFERROR(__xludf.DUMMYFUNCTION("""COMPUTED_VALUE"""),22.45)</f>
        <v>22.45</v>
      </c>
      <c r="E4181" s="17"/>
      <c r="N4181" s="17"/>
      <c r="Q4181" s="17"/>
    </row>
    <row r="4182">
      <c r="B4182" s="11">
        <f>IFERROR(__xludf.DUMMYFUNCTION("""COMPUTED_VALUE"""),39952.666666666664)</f>
        <v>39952.66667</v>
      </c>
      <c r="C4182" s="9">
        <f>IFERROR(__xludf.DUMMYFUNCTION("""COMPUTED_VALUE"""),22.43)</f>
        <v>22.43</v>
      </c>
      <c r="E4182" s="17"/>
      <c r="N4182" s="17"/>
      <c r="Q4182" s="17"/>
    </row>
    <row r="4183">
      <c r="B4183" s="11">
        <f>IFERROR(__xludf.DUMMYFUNCTION("""COMPUTED_VALUE"""),39951.666666666664)</f>
        <v>39951.66667</v>
      </c>
      <c r="C4183" s="9">
        <f>IFERROR(__xludf.DUMMYFUNCTION("""COMPUTED_VALUE"""),22.6)</f>
        <v>22.6</v>
      </c>
      <c r="E4183" s="17"/>
      <c r="N4183" s="17"/>
      <c r="Q4183" s="17"/>
    </row>
    <row r="4184">
      <c r="B4184" s="11">
        <f>IFERROR(__xludf.DUMMYFUNCTION("""COMPUTED_VALUE"""),39948.666666666664)</f>
        <v>39948.66667</v>
      </c>
      <c r="C4184" s="9">
        <f>IFERROR(__xludf.DUMMYFUNCTION("""COMPUTED_VALUE"""),21.8)</f>
        <v>21.8</v>
      </c>
      <c r="E4184" s="17"/>
      <c r="N4184" s="17"/>
      <c r="Q4184" s="17"/>
    </row>
    <row r="4185">
      <c r="B4185" s="11">
        <f>IFERROR(__xludf.DUMMYFUNCTION("""COMPUTED_VALUE"""),39947.666666666664)</f>
        <v>39947.66667</v>
      </c>
      <c r="C4185" s="9">
        <f>IFERROR(__xludf.DUMMYFUNCTION("""COMPUTED_VALUE"""),21.79)</f>
        <v>21.79</v>
      </c>
      <c r="E4185" s="17"/>
      <c r="N4185" s="17"/>
      <c r="Q4185" s="17"/>
    </row>
    <row r="4186">
      <c r="B4186" s="11">
        <f>IFERROR(__xludf.DUMMYFUNCTION("""COMPUTED_VALUE"""),39946.666666666664)</f>
        <v>39946.66667</v>
      </c>
      <c r="C4186" s="9">
        <f>IFERROR(__xludf.DUMMYFUNCTION("""COMPUTED_VALUE"""),21.63)</f>
        <v>21.63</v>
      </c>
      <c r="E4186" s="17"/>
      <c r="N4186" s="17"/>
      <c r="Q4186" s="17"/>
    </row>
    <row r="4187">
      <c r="B4187" s="11">
        <f>IFERROR(__xludf.DUMMYFUNCTION("""COMPUTED_VALUE"""),39945.666666666664)</f>
        <v>39945.66667</v>
      </c>
      <c r="C4187" s="9">
        <f>IFERROR(__xludf.DUMMYFUNCTION("""COMPUTED_VALUE"""),22.56)</f>
        <v>22.56</v>
      </c>
      <c r="E4187" s="17"/>
      <c r="N4187" s="17"/>
      <c r="Q4187" s="17"/>
    </row>
    <row r="4188">
      <c r="B4188" s="11">
        <f>IFERROR(__xludf.DUMMYFUNCTION("""COMPUTED_VALUE"""),39944.666666666664)</f>
        <v>39944.66667</v>
      </c>
      <c r="C4188" s="9">
        <f>IFERROR(__xludf.DUMMYFUNCTION("""COMPUTED_VALUE"""),22.81)</f>
        <v>22.81</v>
      </c>
      <c r="E4188" s="17"/>
      <c r="N4188" s="17"/>
      <c r="Q4188" s="17"/>
    </row>
    <row r="4189">
      <c r="B4189" s="11">
        <f>IFERROR(__xludf.DUMMYFUNCTION("""COMPUTED_VALUE"""),39941.666666666664)</f>
        <v>39941.66667</v>
      </c>
      <c r="C4189" s="9">
        <f>IFERROR(__xludf.DUMMYFUNCTION("""COMPUTED_VALUE"""),23.51)</f>
        <v>23.51</v>
      </c>
      <c r="E4189" s="17"/>
      <c r="N4189" s="17"/>
      <c r="Q4189" s="17"/>
    </row>
    <row r="4190">
      <c r="B4190" s="11">
        <f>IFERROR(__xludf.DUMMYFUNCTION("""COMPUTED_VALUE"""),39940.666666666664)</f>
        <v>39940.66667</v>
      </c>
      <c r="C4190" s="9">
        <f>IFERROR(__xludf.DUMMYFUNCTION("""COMPUTED_VALUE"""),22.68)</f>
        <v>22.68</v>
      </c>
      <c r="E4190" s="17"/>
      <c r="N4190" s="17"/>
      <c r="Q4190" s="17"/>
    </row>
    <row r="4191">
      <c r="B4191" s="11">
        <f>IFERROR(__xludf.DUMMYFUNCTION("""COMPUTED_VALUE"""),39939.666666666664)</f>
        <v>39939.66667</v>
      </c>
      <c r="C4191" s="9">
        <f>IFERROR(__xludf.DUMMYFUNCTION("""COMPUTED_VALUE"""),23.15)</f>
        <v>23.15</v>
      </c>
      <c r="E4191" s="17"/>
      <c r="N4191" s="17"/>
      <c r="Q4191" s="17"/>
    </row>
    <row r="4192">
      <c r="B4192" s="11">
        <f>IFERROR(__xludf.DUMMYFUNCTION("""COMPUTED_VALUE"""),39938.666666666664)</f>
        <v>39938.66667</v>
      </c>
      <c r="C4192" s="9">
        <f>IFERROR(__xludf.DUMMYFUNCTION("""COMPUTED_VALUE"""),22.79)</f>
        <v>22.79</v>
      </c>
      <c r="E4192" s="17"/>
      <c r="N4192" s="17"/>
      <c r="Q4192" s="17"/>
    </row>
    <row r="4193">
      <c r="B4193" s="11">
        <f>IFERROR(__xludf.DUMMYFUNCTION("""COMPUTED_VALUE"""),39937.666666666664)</f>
        <v>39937.66667</v>
      </c>
      <c r="C4193" s="9">
        <f>IFERROR(__xludf.DUMMYFUNCTION("""COMPUTED_VALUE"""),22.72)</f>
        <v>22.72</v>
      </c>
      <c r="E4193" s="17"/>
      <c r="N4193" s="17"/>
      <c r="Q4193" s="17"/>
    </row>
    <row r="4194">
      <c r="B4194" s="11">
        <f>IFERROR(__xludf.DUMMYFUNCTION("""COMPUTED_VALUE"""),39934.666666666664)</f>
        <v>39934.66667</v>
      </c>
      <c r="C4194" s="9">
        <f>IFERROR(__xludf.DUMMYFUNCTION("""COMPUTED_VALUE"""),22.0)</f>
        <v>22</v>
      </c>
      <c r="E4194" s="17"/>
      <c r="N4194" s="17"/>
      <c r="Q4194" s="17"/>
    </row>
    <row r="4195">
      <c r="B4195" s="11">
        <f>IFERROR(__xludf.DUMMYFUNCTION("""COMPUTED_VALUE"""),39933.666666666664)</f>
        <v>39933.66667</v>
      </c>
      <c r="C4195" s="9">
        <f>IFERROR(__xludf.DUMMYFUNCTION("""COMPUTED_VALUE"""),21.76)</f>
        <v>21.76</v>
      </c>
      <c r="E4195" s="17"/>
      <c r="N4195" s="17"/>
      <c r="Q4195" s="17"/>
    </row>
    <row r="4196">
      <c r="B4196" s="11">
        <f>IFERROR(__xludf.DUMMYFUNCTION("""COMPUTED_VALUE"""),39932.666666666664)</f>
        <v>39932.66667</v>
      </c>
      <c r="C4196" s="9">
        <f>IFERROR(__xludf.DUMMYFUNCTION("""COMPUTED_VALUE"""),21.68)</f>
        <v>21.68</v>
      </c>
      <c r="E4196" s="17"/>
      <c r="N4196" s="17"/>
      <c r="Q4196" s="17"/>
    </row>
    <row r="4197">
      <c r="B4197" s="11">
        <f>IFERROR(__xludf.DUMMYFUNCTION("""COMPUTED_VALUE"""),39931.666666666664)</f>
        <v>39931.66667</v>
      </c>
      <c r="C4197" s="9">
        <f>IFERROR(__xludf.DUMMYFUNCTION("""COMPUTED_VALUE"""),20.98)</f>
        <v>20.98</v>
      </c>
      <c r="E4197" s="17"/>
      <c r="N4197" s="17"/>
      <c r="Q4197" s="17"/>
    </row>
    <row r="4198">
      <c r="B4198" s="11">
        <f>IFERROR(__xludf.DUMMYFUNCTION("""COMPUTED_VALUE"""),39930.666666666664)</f>
        <v>39930.66667</v>
      </c>
      <c r="C4198" s="9">
        <f>IFERROR(__xludf.DUMMYFUNCTION("""COMPUTED_VALUE"""),21.23)</f>
        <v>21.23</v>
      </c>
      <c r="E4198" s="17"/>
      <c r="N4198" s="17"/>
      <c r="Q4198" s="17"/>
    </row>
    <row r="4199">
      <c r="B4199" s="11">
        <f>IFERROR(__xludf.DUMMYFUNCTION("""COMPUTED_VALUE"""),39927.666666666664)</f>
        <v>39927.66667</v>
      </c>
      <c r="C4199" s="9">
        <f>IFERROR(__xludf.DUMMYFUNCTION("""COMPUTED_VALUE"""),21.66)</f>
        <v>21.66</v>
      </c>
      <c r="E4199" s="17"/>
      <c r="N4199" s="17"/>
      <c r="Q4199" s="17"/>
    </row>
    <row r="4200">
      <c r="B4200" s="11">
        <f>IFERROR(__xludf.DUMMYFUNCTION("""COMPUTED_VALUE"""),39926.666666666664)</f>
        <v>39926.66667</v>
      </c>
      <c r="C4200" s="9">
        <f>IFERROR(__xludf.DUMMYFUNCTION("""COMPUTED_VALUE"""),21.22)</f>
        <v>21.22</v>
      </c>
      <c r="E4200" s="17"/>
      <c r="N4200" s="17"/>
      <c r="Q4200" s="17"/>
    </row>
    <row r="4201">
      <c r="B4201" s="11">
        <f>IFERROR(__xludf.DUMMYFUNCTION("""COMPUTED_VALUE"""),39925.666666666664)</f>
        <v>39925.66667</v>
      </c>
      <c r="C4201" s="9">
        <f>IFERROR(__xludf.DUMMYFUNCTION("""COMPUTED_VALUE"""),20.99)</f>
        <v>20.99</v>
      </c>
      <c r="E4201" s="17"/>
      <c r="N4201" s="17"/>
      <c r="Q4201" s="17"/>
    </row>
    <row r="4202">
      <c r="B4202" s="11">
        <f>IFERROR(__xludf.DUMMYFUNCTION("""COMPUTED_VALUE"""),39924.666666666664)</f>
        <v>39924.66667</v>
      </c>
      <c r="C4202" s="9">
        <f>IFERROR(__xludf.DUMMYFUNCTION("""COMPUTED_VALUE"""),20.67)</f>
        <v>20.67</v>
      </c>
      <c r="E4202" s="17"/>
      <c r="N4202" s="17"/>
      <c r="Q4202" s="17"/>
    </row>
    <row r="4203">
      <c r="B4203" s="11">
        <f>IFERROR(__xludf.DUMMYFUNCTION("""COMPUTED_VALUE"""),39923.666666666664)</f>
        <v>39923.66667</v>
      </c>
      <c r="C4203" s="9">
        <f>IFERROR(__xludf.DUMMYFUNCTION("""COMPUTED_VALUE"""),20.18)</f>
        <v>20.18</v>
      </c>
      <c r="E4203" s="17"/>
      <c r="N4203" s="17"/>
      <c r="Q4203" s="17"/>
    </row>
    <row r="4204">
      <c r="B4204" s="11">
        <f>IFERROR(__xludf.DUMMYFUNCTION("""COMPUTED_VALUE"""),39920.666666666664)</f>
        <v>39920.66667</v>
      </c>
      <c r="C4204" s="9">
        <f>IFERROR(__xludf.DUMMYFUNCTION("""COMPUTED_VALUE"""),21.11)</f>
        <v>21.11</v>
      </c>
      <c r="E4204" s="17"/>
      <c r="N4204" s="17"/>
      <c r="Q4204" s="17"/>
    </row>
    <row r="4205">
      <c r="B4205" s="11">
        <f>IFERROR(__xludf.DUMMYFUNCTION("""COMPUTED_VALUE"""),39919.666666666664)</f>
        <v>39919.66667</v>
      </c>
      <c r="C4205" s="9">
        <f>IFERROR(__xludf.DUMMYFUNCTION("""COMPUTED_VALUE"""),21.12)</f>
        <v>21.12</v>
      </c>
      <c r="E4205" s="17"/>
      <c r="N4205" s="17"/>
      <c r="Q4205" s="17"/>
    </row>
    <row r="4206">
      <c r="B4206" s="11">
        <f>IFERROR(__xludf.DUMMYFUNCTION("""COMPUTED_VALUE"""),39918.666666666664)</f>
        <v>39918.66667</v>
      </c>
      <c r="C4206" s="9">
        <f>IFERROR(__xludf.DUMMYFUNCTION("""COMPUTED_VALUE"""),20.43)</f>
        <v>20.43</v>
      </c>
      <c r="E4206" s="17"/>
      <c r="N4206" s="17"/>
      <c r="Q4206" s="17"/>
    </row>
    <row r="4207">
      <c r="B4207" s="11">
        <f>IFERROR(__xludf.DUMMYFUNCTION("""COMPUTED_VALUE"""),39917.666666666664)</f>
        <v>39917.66667</v>
      </c>
      <c r="C4207" s="9">
        <f>IFERROR(__xludf.DUMMYFUNCTION("""COMPUTED_VALUE"""),20.24)</f>
        <v>20.24</v>
      </c>
      <c r="E4207" s="17"/>
      <c r="N4207" s="17"/>
      <c r="Q4207" s="17"/>
    </row>
    <row r="4208">
      <c r="B4208" s="11">
        <f>IFERROR(__xludf.DUMMYFUNCTION("""COMPUTED_VALUE"""),39916.666666666664)</f>
        <v>39916.66667</v>
      </c>
      <c r="C4208" s="9">
        <f>IFERROR(__xludf.DUMMYFUNCTION("""COMPUTED_VALUE"""),20.54)</f>
        <v>20.54</v>
      </c>
      <c r="E4208" s="17"/>
      <c r="N4208" s="17"/>
      <c r="Q4208" s="17"/>
    </row>
    <row r="4209">
      <c r="B4209" s="11">
        <f>IFERROR(__xludf.DUMMYFUNCTION("""COMPUTED_VALUE"""),39912.666666666664)</f>
        <v>39912.66667</v>
      </c>
      <c r="C4209" s="9">
        <f>IFERROR(__xludf.DUMMYFUNCTION("""COMPUTED_VALUE"""),20.48)</f>
        <v>20.48</v>
      </c>
      <c r="E4209" s="17"/>
      <c r="N4209" s="17"/>
      <c r="Q4209" s="17"/>
    </row>
    <row r="4210">
      <c r="B4210" s="11">
        <f>IFERROR(__xludf.DUMMYFUNCTION("""COMPUTED_VALUE"""),39911.666666666664)</f>
        <v>39911.66667</v>
      </c>
      <c r="C4210" s="9">
        <f>IFERROR(__xludf.DUMMYFUNCTION("""COMPUTED_VALUE"""),19.52)</f>
        <v>19.52</v>
      </c>
      <c r="E4210" s="17"/>
      <c r="N4210" s="17"/>
      <c r="Q4210" s="17"/>
    </row>
    <row r="4211">
      <c r="B4211" s="11">
        <f>IFERROR(__xludf.DUMMYFUNCTION("""COMPUTED_VALUE"""),39910.666666666664)</f>
        <v>39910.66667</v>
      </c>
      <c r="C4211" s="9">
        <f>IFERROR(__xludf.DUMMYFUNCTION("""COMPUTED_VALUE"""),19.35)</f>
        <v>19.35</v>
      </c>
      <c r="E4211" s="17"/>
      <c r="N4211" s="17"/>
      <c r="Q4211" s="17"/>
    </row>
    <row r="4212">
      <c r="B4212" s="11">
        <f>IFERROR(__xludf.DUMMYFUNCTION("""COMPUTED_VALUE"""),39909.666666666664)</f>
        <v>39909.66667</v>
      </c>
      <c r="C4212" s="9">
        <f>IFERROR(__xludf.DUMMYFUNCTION("""COMPUTED_VALUE"""),19.92)</f>
        <v>19.92</v>
      </c>
      <c r="E4212" s="17"/>
      <c r="N4212" s="17"/>
      <c r="Q4212" s="17"/>
    </row>
    <row r="4213">
      <c r="B4213" s="11">
        <f>IFERROR(__xludf.DUMMYFUNCTION("""COMPUTED_VALUE"""),39906.666666666664)</f>
        <v>39906.66667</v>
      </c>
      <c r="C4213" s="9">
        <f>IFERROR(__xludf.DUMMYFUNCTION("""COMPUTED_VALUE"""),19.87)</f>
        <v>19.87</v>
      </c>
      <c r="E4213" s="17"/>
      <c r="N4213" s="17"/>
      <c r="Q4213" s="17"/>
    </row>
    <row r="4214">
      <c r="B4214" s="11">
        <f>IFERROR(__xludf.DUMMYFUNCTION("""COMPUTED_VALUE"""),39905.666666666664)</f>
        <v>39905.66667</v>
      </c>
      <c r="C4214" s="9">
        <f>IFERROR(__xludf.DUMMYFUNCTION("""COMPUTED_VALUE"""),19.85)</f>
        <v>19.85</v>
      </c>
      <c r="E4214" s="17"/>
      <c r="N4214" s="17"/>
      <c r="Q4214" s="17"/>
    </row>
    <row r="4215">
      <c r="B4215" s="11">
        <f>IFERROR(__xludf.DUMMYFUNCTION("""COMPUTED_VALUE"""),39904.666666666664)</f>
        <v>39904.66667</v>
      </c>
      <c r="C4215" s="9">
        <f>IFERROR(__xludf.DUMMYFUNCTION("""COMPUTED_VALUE"""),18.84)</f>
        <v>18.84</v>
      </c>
      <c r="E4215" s="17"/>
      <c r="N4215" s="17"/>
      <c r="Q4215" s="17"/>
    </row>
    <row r="4216">
      <c r="B4216" s="11">
        <f>IFERROR(__xludf.DUMMYFUNCTION("""COMPUTED_VALUE"""),39903.666666666664)</f>
        <v>39903.66667</v>
      </c>
      <c r="C4216" s="9">
        <f>IFERROR(__xludf.DUMMYFUNCTION("""COMPUTED_VALUE"""),18.43)</f>
        <v>18.43</v>
      </c>
      <c r="E4216" s="17"/>
      <c r="N4216" s="17"/>
      <c r="Q4216" s="17"/>
    </row>
    <row r="4217">
      <c r="B4217" s="11">
        <f>IFERROR(__xludf.DUMMYFUNCTION("""COMPUTED_VALUE"""),39902.666666666664)</f>
        <v>39902.66667</v>
      </c>
      <c r="C4217" s="9">
        <f>IFERROR(__xludf.DUMMYFUNCTION("""COMPUTED_VALUE"""),18.32)</f>
        <v>18.32</v>
      </c>
      <c r="E4217" s="17"/>
      <c r="N4217" s="17"/>
      <c r="Q4217" s="17"/>
    </row>
    <row r="4218">
      <c r="B4218" s="11">
        <f>IFERROR(__xludf.DUMMYFUNCTION("""COMPUTED_VALUE"""),39899.666666666664)</f>
        <v>39899.66667</v>
      </c>
      <c r="C4218" s="9">
        <f>IFERROR(__xludf.DUMMYFUNCTION("""COMPUTED_VALUE"""),19.28)</f>
        <v>19.28</v>
      </c>
      <c r="E4218" s="17"/>
      <c r="N4218" s="17"/>
      <c r="Q4218" s="17"/>
    </row>
    <row r="4219">
      <c r="B4219" s="11">
        <f>IFERROR(__xludf.DUMMYFUNCTION("""COMPUTED_VALUE"""),39898.666666666664)</f>
        <v>39898.66667</v>
      </c>
      <c r="C4219" s="9">
        <f>IFERROR(__xludf.DUMMYFUNCTION("""COMPUTED_VALUE"""),19.65)</f>
        <v>19.65</v>
      </c>
      <c r="E4219" s="17"/>
      <c r="N4219" s="17"/>
      <c r="Q4219" s="17"/>
    </row>
    <row r="4220">
      <c r="B4220" s="11">
        <f>IFERROR(__xludf.DUMMYFUNCTION("""COMPUTED_VALUE"""),39897.666666666664)</f>
        <v>39897.66667</v>
      </c>
      <c r="C4220" s="9">
        <f>IFERROR(__xludf.DUMMYFUNCTION("""COMPUTED_VALUE"""),18.65)</f>
        <v>18.65</v>
      </c>
      <c r="E4220" s="17"/>
      <c r="N4220" s="17"/>
      <c r="Q4220" s="17"/>
    </row>
    <row r="4221">
      <c r="B4221" s="11">
        <f>IFERROR(__xludf.DUMMYFUNCTION("""COMPUTED_VALUE"""),39896.666666666664)</f>
        <v>39896.66667</v>
      </c>
      <c r="C4221" s="9">
        <f>IFERROR(__xludf.DUMMYFUNCTION("""COMPUTED_VALUE"""),18.5)</f>
        <v>18.5</v>
      </c>
      <c r="E4221" s="17"/>
      <c r="N4221" s="17"/>
      <c r="Q4221" s="17"/>
    </row>
    <row r="4222">
      <c r="B4222" s="11">
        <f>IFERROR(__xludf.DUMMYFUNCTION("""COMPUTED_VALUE"""),39895.666666666664)</f>
        <v>39895.66667</v>
      </c>
      <c r="C4222" s="9">
        <f>IFERROR(__xludf.DUMMYFUNCTION("""COMPUTED_VALUE"""),18.65)</f>
        <v>18.65</v>
      </c>
      <c r="E4222" s="17"/>
      <c r="N4222" s="17"/>
      <c r="Q4222" s="17"/>
    </row>
    <row r="4223">
      <c r="B4223" s="11">
        <f>IFERROR(__xludf.DUMMYFUNCTION("""COMPUTED_VALUE"""),39892.666666666664)</f>
        <v>39892.66667</v>
      </c>
      <c r="C4223" s="9">
        <f>IFERROR(__xludf.DUMMYFUNCTION("""COMPUTED_VALUE"""),17.39)</f>
        <v>17.39</v>
      </c>
      <c r="E4223" s="17"/>
      <c r="N4223" s="17"/>
      <c r="Q4223" s="17"/>
    </row>
    <row r="4224">
      <c r="B4224" s="11">
        <f>IFERROR(__xludf.DUMMYFUNCTION("""COMPUTED_VALUE"""),39891.666666666664)</f>
        <v>39891.66667</v>
      </c>
      <c r="C4224" s="9">
        <f>IFERROR(__xludf.DUMMYFUNCTION("""COMPUTED_VALUE"""),18.11)</f>
        <v>18.11</v>
      </c>
      <c r="E4224" s="17"/>
      <c r="N4224" s="17"/>
      <c r="Q4224" s="17"/>
    </row>
    <row r="4225">
      <c r="B4225" s="11">
        <f>IFERROR(__xludf.DUMMYFUNCTION("""COMPUTED_VALUE"""),39890.666666666664)</f>
        <v>39890.66667</v>
      </c>
      <c r="C4225" s="9">
        <f>IFERROR(__xludf.DUMMYFUNCTION("""COMPUTED_VALUE"""),18.29)</f>
        <v>18.29</v>
      </c>
      <c r="E4225" s="17"/>
      <c r="N4225" s="17"/>
      <c r="Q4225" s="17"/>
    </row>
    <row r="4226">
      <c r="B4226" s="11">
        <f>IFERROR(__xludf.DUMMYFUNCTION("""COMPUTED_VALUE"""),39889.666666666664)</f>
        <v>39889.66667</v>
      </c>
      <c r="C4226" s="9">
        <f>IFERROR(__xludf.DUMMYFUNCTION("""COMPUTED_VALUE"""),17.95)</f>
        <v>17.95</v>
      </c>
      <c r="E4226" s="17"/>
      <c r="N4226" s="17"/>
      <c r="Q4226" s="17"/>
    </row>
    <row r="4227">
      <c r="B4227" s="11">
        <f>IFERROR(__xludf.DUMMYFUNCTION("""COMPUTED_VALUE"""),39888.666666666664)</f>
        <v>39888.66667</v>
      </c>
      <c r="C4227" s="9">
        <f>IFERROR(__xludf.DUMMYFUNCTION("""COMPUTED_VALUE"""),17.44)</f>
        <v>17.44</v>
      </c>
      <c r="E4227" s="17"/>
      <c r="N4227" s="17"/>
      <c r="Q4227" s="17"/>
    </row>
    <row r="4228">
      <c r="B4228" s="11">
        <f>IFERROR(__xludf.DUMMYFUNCTION("""COMPUTED_VALUE"""),39885.666666666664)</f>
        <v>39885.66667</v>
      </c>
      <c r="C4228" s="9">
        <f>IFERROR(__xludf.DUMMYFUNCTION("""COMPUTED_VALUE"""),17.25)</f>
        <v>17.25</v>
      </c>
      <c r="E4228" s="17"/>
      <c r="N4228" s="17"/>
      <c r="Q4228" s="17"/>
    </row>
    <row r="4229">
      <c r="B4229" s="11">
        <f>IFERROR(__xludf.DUMMYFUNCTION("""COMPUTED_VALUE"""),39884.666666666664)</f>
        <v>39884.66667</v>
      </c>
      <c r="C4229" s="9">
        <f>IFERROR(__xludf.DUMMYFUNCTION("""COMPUTED_VALUE"""),17.22)</f>
        <v>17.22</v>
      </c>
      <c r="E4229" s="17"/>
      <c r="N4229" s="17"/>
      <c r="Q4229" s="17"/>
    </row>
    <row r="4230">
      <c r="B4230" s="11">
        <f>IFERROR(__xludf.DUMMYFUNCTION("""COMPUTED_VALUE"""),39883.666666666664)</f>
        <v>39883.66667</v>
      </c>
      <c r="C4230" s="9">
        <f>IFERROR(__xludf.DUMMYFUNCTION("""COMPUTED_VALUE"""),16.68)</f>
        <v>16.68</v>
      </c>
      <c r="E4230" s="17"/>
      <c r="N4230" s="17"/>
      <c r="Q4230" s="17"/>
    </row>
    <row r="4231">
      <c r="B4231" s="11">
        <f>IFERROR(__xludf.DUMMYFUNCTION("""COMPUTED_VALUE"""),39882.666666666664)</f>
        <v>39882.66667</v>
      </c>
      <c r="C4231" s="9">
        <f>IFERROR(__xludf.DUMMYFUNCTION("""COMPUTED_VALUE"""),16.52)</f>
        <v>16.52</v>
      </c>
      <c r="E4231" s="17"/>
      <c r="N4231" s="17"/>
      <c r="Q4231" s="17"/>
    </row>
    <row r="4232">
      <c r="B4232" s="11">
        <f>IFERROR(__xludf.DUMMYFUNCTION("""COMPUTED_VALUE"""),39881.666666666664)</f>
        <v>39881.66667</v>
      </c>
      <c r="C4232" s="9">
        <f>IFERROR(__xludf.DUMMYFUNCTION("""COMPUTED_VALUE"""),15.36)</f>
        <v>15.36</v>
      </c>
      <c r="E4232" s="17"/>
      <c r="N4232" s="17"/>
      <c r="Q4232" s="17"/>
    </row>
    <row r="4233">
      <c r="B4233" s="11">
        <f>IFERROR(__xludf.DUMMYFUNCTION("""COMPUTED_VALUE"""),39878.666666666664)</f>
        <v>39878.66667</v>
      </c>
      <c r="C4233" s="9">
        <f>IFERROR(__xludf.DUMMYFUNCTION("""COMPUTED_VALUE"""),15.5)</f>
        <v>15.5</v>
      </c>
      <c r="E4233" s="17"/>
      <c r="N4233" s="17"/>
      <c r="Q4233" s="17"/>
    </row>
    <row r="4234">
      <c r="B4234" s="11">
        <f>IFERROR(__xludf.DUMMYFUNCTION("""COMPUTED_VALUE"""),39877.666666666664)</f>
        <v>39877.66667</v>
      </c>
      <c r="C4234" s="9">
        <f>IFERROR(__xludf.DUMMYFUNCTION("""COMPUTED_VALUE"""),15.67)</f>
        <v>15.67</v>
      </c>
      <c r="E4234" s="17"/>
      <c r="N4234" s="17"/>
      <c r="Q4234" s="17"/>
    </row>
    <row r="4235">
      <c r="B4235" s="11">
        <f>IFERROR(__xludf.DUMMYFUNCTION("""COMPUTED_VALUE"""),39876.666666666664)</f>
        <v>39876.66667</v>
      </c>
      <c r="C4235" s="9">
        <f>IFERROR(__xludf.DUMMYFUNCTION("""COMPUTED_VALUE"""),16.3)</f>
        <v>16.3</v>
      </c>
      <c r="E4235" s="17"/>
      <c r="N4235" s="17"/>
      <c r="Q4235" s="17"/>
    </row>
    <row r="4236">
      <c r="B4236" s="11">
        <f>IFERROR(__xludf.DUMMYFUNCTION("""COMPUTED_VALUE"""),39875.666666666664)</f>
        <v>39875.66667</v>
      </c>
      <c r="C4236" s="9">
        <f>IFERROR(__xludf.DUMMYFUNCTION("""COMPUTED_VALUE"""),15.86)</f>
        <v>15.86</v>
      </c>
      <c r="E4236" s="17"/>
      <c r="N4236" s="17"/>
      <c r="Q4236" s="17"/>
    </row>
    <row r="4237">
      <c r="B4237" s="11">
        <f>IFERROR(__xludf.DUMMYFUNCTION("""COMPUTED_VALUE"""),39874.666666666664)</f>
        <v>39874.66667</v>
      </c>
      <c r="C4237" s="9">
        <f>IFERROR(__xludf.DUMMYFUNCTION("""COMPUTED_VALUE"""),15.98)</f>
        <v>15.98</v>
      </c>
      <c r="E4237" s="17"/>
      <c r="N4237" s="17"/>
      <c r="Q4237" s="17"/>
    </row>
    <row r="4238">
      <c r="B4238" s="11">
        <f>IFERROR(__xludf.DUMMYFUNCTION("""COMPUTED_VALUE"""),39871.666666666664)</f>
        <v>39871.66667</v>
      </c>
      <c r="C4238" s="9">
        <f>IFERROR(__xludf.DUMMYFUNCTION("""COMPUTED_VALUE"""),17.1)</f>
        <v>17.1</v>
      </c>
      <c r="E4238" s="17"/>
      <c r="N4238" s="17"/>
      <c r="Q4238" s="17"/>
    </row>
    <row r="4239">
      <c r="B4239" s="11">
        <f>IFERROR(__xludf.DUMMYFUNCTION("""COMPUTED_VALUE"""),39870.666666666664)</f>
        <v>39870.66667</v>
      </c>
      <c r="C4239" s="9">
        <f>IFERROR(__xludf.DUMMYFUNCTION("""COMPUTED_VALUE"""),17.54)</f>
        <v>17.54</v>
      </c>
      <c r="E4239" s="17"/>
      <c r="N4239" s="17"/>
      <c r="Q4239" s="17"/>
    </row>
    <row r="4240">
      <c r="B4240" s="11">
        <f>IFERROR(__xludf.DUMMYFUNCTION("""COMPUTED_VALUE"""),39869.666666666664)</f>
        <v>39869.66667</v>
      </c>
      <c r="C4240" s="9">
        <f>IFERROR(__xludf.DUMMYFUNCTION("""COMPUTED_VALUE"""),17.85)</f>
        <v>17.85</v>
      </c>
      <c r="E4240" s="17"/>
      <c r="N4240" s="17"/>
      <c r="Q4240" s="17"/>
    </row>
    <row r="4241">
      <c r="B4241" s="11">
        <f>IFERROR(__xludf.DUMMYFUNCTION("""COMPUTED_VALUE"""),39868.666666666664)</f>
        <v>39868.66667</v>
      </c>
      <c r="C4241" s="9">
        <f>IFERROR(__xludf.DUMMYFUNCTION("""COMPUTED_VALUE"""),18.29)</f>
        <v>18.29</v>
      </c>
      <c r="E4241" s="17"/>
      <c r="N4241" s="17"/>
      <c r="Q4241" s="17"/>
    </row>
    <row r="4242">
      <c r="B4242" s="11">
        <f>IFERROR(__xludf.DUMMYFUNCTION("""COMPUTED_VALUE"""),39867.666666666664)</f>
        <v>39867.66667</v>
      </c>
      <c r="C4242" s="9">
        <f>IFERROR(__xludf.DUMMYFUNCTION("""COMPUTED_VALUE"""),17.9)</f>
        <v>17.9</v>
      </c>
      <c r="E4242" s="17"/>
      <c r="N4242" s="17"/>
      <c r="Q4242" s="17"/>
    </row>
    <row r="4243">
      <c r="B4243" s="11">
        <f>IFERROR(__xludf.DUMMYFUNCTION("""COMPUTED_VALUE"""),39864.666666666664)</f>
        <v>39864.66667</v>
      </c>
      <c r="C4243" s="9">
        <f>IFERROR(__xludf.DUMMYFUNCTION("""COMPUTED_VALUE"""),18.62)</f>
        <v>18.62</v>
      </c>
      <c r="E4243" s="17"/>
      <c r="N4243" s="17"/>
      <c r="Q4243" s="17"/>
    </row>
    <row r="4244">
      <c r="B4244" s="11">
        <f>IFERROR(__xludf.DUMMYFUNCTION("""COMPUTED_VALUE"""),39863.666666666664)</f>
        <v>39863.66667</v>
      </c>
      <c r="C4244" s="9">
        <f>IFERROR(__xludf.DUMMYFUNCTION("""COMPUTED_VALUE"""),18.91)</f>
        <v>18.91</v>
      </c>
      <c r="E4244" s="17"/>
      <c r="N4244" s="17"/>
      <c r="Q4244" s="17"/>
    </row>
    <row r="4245">
      <c r="B4245" s="11">
        <f>IFERROR(__xludf.DUMMYFUNCTION("""COMPUTED_VALUE"""),39862.666666666664)</f>
        <v>39862.66667</v>
      </c>
      <c r="C4245" s="9">
        <f>IFERROR(__xludf.DUMMYFUNCTION("""COMPUTED_VALUE"""),19.34)</f>
        <v>19.34</v>
      </c>
      <c r="E4245" s="17"/>
      <c r="N4245" s="17"/>
      <c r="Q4245" s="17"/>
    </row>
    <row r="4246">
      <c r="B4246" s="11">
        <f>IFERROR(__xludf.DUMMYFUNCTION("""COMPUTED_VALUE"""),39861.666666666664)</f>
        <v>39861.66667</v>
      </c>
      <c r="C4246" s="9">
        <f>IFERROR(__xludf.DUMMYFUNCTION("""COMPUTED_VALUE"""),19.31)</f>
        <v>19.31</v>
      </c>
      <c r="E4246" s="17"/>
      <c r="N4246" s="17"/>
      <c r="Q4246" s="17"/>
    </row>
    <row r="4247">
      <c r="B4247" s="11">
        <f>IFERROR(__xludf.DUMMYFUNCTION("""COMPUTED_VALUE"""),39857.666666666664)</f>
        <v>39857.66667</v>
      </c>
      <c r="C4247" s="9">
        <f>IFERROR(__xludf.DUMMYFUNCTION("""COMPUTED_VALUE"""),20.34)</f>
        <v>20.34</v>
      </c>
      <c r="E4247" s="17"/>
      <c r="N4247" s="17"/>
      <c r="Q4247" s="17"/>
    </row>
    <row r="4248">
      <c r="B4248" s="11">
        <f>IFERROR(__xludf.DUMMYFUNCTION("""COMPUTED_VALUE"""),39856.666666666664)</f>
        <v>39856.66667</v>
      </c>
      <c r="C4248" s="9">
        <f>IFERROR(__xludf.DUMMYFUNCTION("""COMPUTED_VALUE"""),20.34)</f>
        <v>20.34</v>
      </c>
      <c r="E4248" s="17"/>
      <c r="N4248" s="17"/>
      <c r="Q4248" s="17"/>
    </row>
    <row r="4249">
      <c r="B4249" s="11">
        <f>IFERROR(__xludf.DUMMYFUNCTION("""COMPUTED_VALUE"""),39855.666666666664)</f>
        <v>39855.66667</v>
      </c>
      <c r="C4249" s="9">
        <f>IFERROR(__xludf.DUMMYFUNCTION("""COMPUTED_VALUE"""),20.57)</f>
        <v>20.57</v>
      </c>
      <c r="E4249" s="17"/>
      <c r="N4249" s="17"/>
      <c r="Q4249" s="17"/>
    </row>
    <row r="4250">
      <c r="B4250" s="11">
        <f>IFERROR(__xludf.DUMMYFUNCTION("""COMPUTED_VALUE"""),39854.666666666664)</f>
        <v>39854.66667</v>
      </c>
      <c r="C4250" s="9">
        <f>IFERROR(__xludf.DUMMYFUNCTION("""COMPUTED_VALUE"""),20.41)</f>
        <v>20.41</v>
      </c>
      <c r="E4250" s="17"/>
      <c r="N4250" s="17"/>
      <c r="Q4250" s="17"/>
    </row>
    <row r="4251">
      <c r="B4251" s="11">
        <f>IFERROR(__xludf.DUMMYFUNCTION("""COMPUTED_VALUE"""),39853.666666666664)</f>
        <v>39853.66667</v>
      </c>
      <c r="C4251" s="9">
        <f>IFERROR(__xludf.DUMMYFUNCTION("""COMPUTED_VALUE"""),21.54)</f>
        <v>21.54</v>
      </c>
      <c r="E4251" s="17"/>
      <c r="N4251" s="17"/>
      <c r="Q4251" s="17"/>
    </row>
    <row r="4252">
      <c r="B4252" s="11">
        <f>IFERROR(__xludf.DUMMYFUNCTION("""COMPUTED_VALUE"""),39850.666666666664)</f>
        <v>39850.66667</v>
      </c>
      <c r="C4252" s="9">
        <f>IFERROR(__xludf.DUMMYFUNCTION("""COMPUTED_VALUE"""),21.14)</f>
        <v>21.14</v>
      </c>
      <c r="E4252" s="17"/>
      <c r="N4252" s="17"/>
      <c r="Q4252" s="17"/>
    </row>
    <row r="4253">
      <c r="B4253" s="11">
        <f>IFERROR(__xludf.DUMMYFUNCTION("""COMPUTED_VALUE"""),39849.666666666664)</f>
        <v>39849.66667</v>
      </c>
      <c r="C4253" s="9">
        <f>IFERROR(__xludf.DUMMYFUNCTION("""COMPUTED_VALUE"""),20.64)</f>
        <v>20.64</v>
      </c>
      <c r="E4253" s="17"/>
      <c r="N4253" s="17"/>
      <c r="Q4253" s="17"/>
    </row>
    <row r="4254">
      <c r="B4254" s="11">
        <f>IFERROR(__xludf.DUMMYFUNCTION("""COMPUTED_VALUE"""),39848.666666666664)</f>
        <v>39848.66667</v>
      </c>
      <c r="C4254" s="9">
        <f>IFERROR(__xludf.DUMMYFUNCTION("""COMPUTED_VALUE"""),20.4)</f>
        <v>20.4</v>
      </c>
      <c r="E4254" s="17"/>
      <c r="N4254" s="17"/>
      <c r="Q4254" s="17"/>
    </row>
    <row r="4255">
      <c r="B4255" s="11">
        <f>IFERROR(__xludf.DUMMYFUNCTION("""COMPUTED_VALUE"""),39847.666666666664)</f>
        <v>39847.66667</v>
      </c>
      <c r="C4255" s="9">
        <f>IFERROR(__xludf.DUMMYFUNCTION("""COMPUTED_VALUE"""),20.51)</f>
        <v>20.51</v>
      </c>
      <c r="E4255" s="17"/>
      <c r="N4255" s="17"/>
      <c r="Q4255" s="17"/>
    </row>
    <row r="4256">
      <c r="B4256" s="11">
        <f>IFERROR(__xludf.DUMMYFUNCTION("""COMPUTED_VALUE"""),39846.666666666664)</f>
        <v>39846.66667</v>
      </c>
      <c r="C4256" s="9">
        <f>IFERROR(__xludf.DUMMYFUNCTION("""COMPUTED_VALUE"""),20.14)</f>
        <v>20.14</v>
      </c>
      <c r="E4256" s="17"/>
      <c r="N4256" s="17"/>
      <c r="Q4256" s="17"/>
    </row>
    <row r="4257">
      <c r="B4257" s="11">
        <f>IFERROR(__xludf.DUMMYFUNCTION("""COMPUTED_VALUE"""),39843.666666666664)</f>
        <v>39843.66667</v>
      </c>
      <c r="C4257" s="9">
        <f>IFERROR(__xludf.DUMMYFUNCTION("""COMPUTED_VALUE"""),20.61)</f>
        <v>20.61</v>
      </c>
      <c r="E4257" s="17"/>
      <c r="N4257" s="17"/>
      <c r="Q4257" s="17"/>
    </row>
    <row r="4258">
      <c r="B4258" s="11">
        <f>IFERROR(__xludf.DUMMYFUNCTION("""COMPUTED_VALUE"""),39842.666666666664)</f>
        <v>39842.66667</v>
      </c>
      <c r="C4258" s="9">
        <f>IFERROR(__xludf.DUMMYFUNCTION("""COMPUTED_VALUE"""),21.06)</f>
        <v>21.06</v>
      </c>
      <c r="E4258" s="17"/>
      <c r="N4258" s="17"/>
      <c r="Q4258" s="17"/>
    </row>
    <row r="4259">
      <c r="B4259" s="11">
        <f>IFERROR(__xludf.DUMMYFUNCTION("""COMPUTED_VALUE"""),39841.666666666664)</f>
        <v>39841.66667</v>
      </c>
      <c r="C4259" s="9">
        <f>IFERROR(__xludf.DUMMYFUNCTION("""COMPUTED_VALUE"""),21.86)</f>
        <v>21.86</v>
      </c>
      <c r="E4259" s="17"/>
      <c r="N4259" s="17"/>
      <c r="Q4259" s="17"/>
    </row>
    <row r="4260">
      <c r="B4260" s="11">
        <f>IFERROR(__xludf.DUMMYFUNCTION("""COMPUTED_VALUE"""),39840.666666666664)</f>
        <v>39840.66667</v>
      </c>
      <c r="C4260" s="9">
        <f>IFERROR(__xludf.DUMMYFUNCTION("""COMPUTED_VALUE"""),21.25)</f>
        <v>21.25</v>
      </c>
      <c r="E4260" s="17"/>
      <c r="N4260" s="17"/>
      <c r="Q4260" s="17"/>
    </row>
    <row r="4261">
      <c r="B4261" s="11">
        <f>IFERROR(__xludf.DUMMYFUNCTION("""COMPUTED_VALUE"""),39839.666666666664)</f>
        <v>39839.66667</v>
      </c>
      <c r="C4261" s="9">
        <f>IFERROR(__xludf.DUMMYFUNCTION("""COMPUTED_VALUE"""),20.87)</f>
        <v>20.87</v>
      </c>
      <c r="E4261" s="17"/>
      <c r="N4261" s="17"/>
      <c r="Q4261" s="17"/>
    </row>
    <row r="4262">
      <c r="B4262" s="11">
        <f>IFERROR(__xludf.DUMMYFUNCTION("""COMPUTED_VALUE"""),39836.666666666664)</f>
        <v>39836.66667</v>
      </c>
      <c r="C4262" s="9">
        <f>IFERROR(__xludf.DUMMYFUNCTION("""COMPUTED_VALUE"""),20.63)</f>
        <v>20.63</v>
      </c>
      <c r="E4262" s="17"/>
      <c r="N4262" s="17"/>
      <c r="Q4262" s="17"/>
    </row>
    <row r="4263">
      <c r="B4263" s="11">
        <f>IFERROR(__xludf.DUMMYFUNCTION("""COMPUTED_VALUE"""),39835.666666666664)</f>
        <v>39835.66667</v>
      </c>
      <c r="C4263" s="9">
        <f>IFERROR(__xludf.DUMMYFUNCTION("""COMPUTED_VALUE"""),21.27)</f>
        <v>21.27</v>
      </c>
      <c r="E4263" s="17"/>
      <c r="N4263" s="17"/>
      <c r="Q4263" s="17"/>
    </row>
    <row r="4264">
      <c r="B4264" s="11">
        <f>IFERROR(__xludf.DUMMYFUNCTION("""COMPUTED_VALUE"""),39834.666666666664)</f>
        <v>39834.66667</v>
      </c>
      <c r="C4264" s="9">
        <f>IFERROR(__xludf.DUMMYFUNCTION("""COMPUTED_VALUE"""),21.34)</f>
        <v>21.34</v>
      </c>
      <c r="E4264" s="17"/>
      <c r="N4264" s="17"/>
      <c r="Q4264" s="17"/>
    </row>
    <row r="4265">
      <c r="B4265" s="11">
        <f>IFERROR(__xludf.DUMMYFUNCTION("""COMPUTED_VALUE"""),39833.666666666664)</f>
        <v>39833.66667</v>
      </c>
      <c r="C4265" s="9">
        <f>IFERROR(__xludf.DUMMYFUNCTION("""COMPUTED_VALUE"""),20.81)</f>
        <v>20.81</v>
      </c>
      <c r="E4265" s="17"/>
      <c r="N4265" s="17"/>
      <c r="Q4265" s="17"/>
    </row>
    <row r="4266">
      <c r="B4266" s="11">
        <f>IFERROR(__xludf.DUMMYFUNCTION("""COMPUTED_VALUE"""),39829.666666666664)</f>
        <v>39829.66667</v>
      </c>
      <c r="C4266" s="9">
        <f>IFERROR(__xludf.DUMMYFUNCTION("""COMPUTED_VALUE"""),21.82)</f>
        <v>21.82</v>
      </c>
      <c r="E4266" s="17"/>
      <c r="N4266" s="17"/>
      <c r="Q4266" s="17"/>
    </row>
    <row r="4267">
      <c r="B4267" s="11">
        <f>IFERROR(__xludf.DUMMYFUNCTION("""COMPUTED_VALUE"""),39828.666666666664)</f>
        <v>39828.66667</v>
      </c>
      <c r="C4267" s="9">
        <f>IFERROR(__xludf.DUMMYFUNCTION("""COMPUTED_VALUE"""),21.7)</f>
        <v>21.7</v>
      </c>
      <c r="E4267" s="17"/>
      <c r="N4267" s="17"/>
      <c r="Q4267" s="17"/>
    </row>
    <row r="4268">
      <c r="B4268" s="11">
        <f>IFERROR(__xludf.DUMMYFUNCTION("""COMPUTED_VALUE"""),39827.666666666664)</f>
        <v>39827.66667</v>
      </c>
      <c r="C4268" s="9">
        <f>IFERROR(__xludf.DUMMYFUNCTION("""COMPUTED_VALUE"""),21.5)</f>
        <v>21.5</v>
      </c>
      <c r="E4268" s="17"/>
      <c r="N4268" s="17"/>
      <c r="Q4268" s="17"/>
    </row>
    <row r="4269">
      <c r="B4269" s="11">
        <f>IFERROR(__xludf.DUMMYFUNCTION("""COMPUTED_VALUE"""),39826.666666666664)</f>
        <v>39826.66667</v>
      </c>
      <c r="C4269" s="9">
        <f>IFERROR(__xludf.DUMMYFUNCTION("""COMPUTED_VALUE"""),22.33)</f>
        <v>22.33</v>
      </c>
      <c r="E4269" s="17"/>
      <c r="N4269" s="17"/>
      <c r="Q4269" s="17"/>
    </row>
    <row r="4270">
      <c r="B4270" s="11">
        <f>IFERROR(__xludf.DUMMYFUNCTION("""COMPUTED_VALUE"""),39825.666666666664)</f>
        <v>39825.66667</v>
      </c>
      <c r="C4270" s="9">
        <f>IFERROR(__xludf.DUMMYFUNCTION("""COMPUTED_VALUE"""),22.72)</f>
        <v>22.72</v>
      </c>
      <c r="E4270" s="17"/>
      <c r="N4270" s="17"/>
      <c r="Q4270" s="17"/>
    </row>
    <row r="4271">
      <c r="B4271" s="11">
        <f>IFERROR(__xludf.DUMMYFUNCTION("""COMPUTED_VALUE"""),39822.666666666664)</f>
        <v>39822.66667</v>
      </c>
      <c r="C4271" s="9">
        <f>IFERROR(__xludf.DUMMYFUNCTION("""COMPUTED_VALUE"""),23.23)</f>
        <v>23.23</v>
      </c>
      <c r="E4271" s="17"/>
      <c r="N4271" s="17"/>
      <c r="Q4271" s="17"/>
    </row>
    <row r="4272">
      <c r="B4272" s="11">
        <f>IFERROR(__xludf.DUMMYFUNCTION("""COMPUTED_VALUE"""),39821.666666666664)</f>
        <v>39821.66667</v>
      </c>
      <c r="C4272" s="9">
        <f>IFERROR(__xludf.DUMMYFUNCTION("""COMPUTED_VALUE"""),23.75)</f>
        <v>23.75</v>
      </c>
      <c r="E4272" s="17"/>
      <c r="N4272" s="17"/>
      <c r="Q4272" s="17"/>
    </row>
    <row r="4273">
      <c r="B4273" s="11">
        <f>IFERROR(__xludf.DUMMYFUNCTION("""COMPUTED_VALUE"""),39820.666666666664)</f>
        <v>39820.66667</v>
      </c>
      <c r="C4273" s="9">
        <f>IFERROR(__xludf.DUMMYFUNCTION("""COMPUTED_VALUE"""),23.52)</f>
        <v>23.52</v>
      </c>
      <c r="E4273" s="17"/>
      <c r="N4273" s="17"/>
      <c r="Q4273" s="17"/>
    </row>
    <row r="4274">
      <c r="B4274" s="11">
        <f>IFERROR(__xludf.DUMMYFUNCTION("""COMPUTED_VALUE"""),39819.666666666664)</f>
        <v>39819.66667</v>
      </c>
      <c r="C4274" s="9">
        <f>IFERROR(__xludf.DUMMYFUNCTION("""COMPUTED_VALUE"""),24.62)</f>
        <v>24.62</v>
      </c>
      <c r="E4274" s="17"/>
      <c r="N4274" s="17"/>
      <c r="Q4274" s="17"/>
    </row>
    <row r="4275">
      <c r="B4275" s="11">
        <f>IFERROR(__xludf.DUMMYFUNCTION("""COMPUTED_VALUE"""),39818.666666666664)</f>
        <v>39818.66667</v>
      </c>
      <c r="C4275" s="9">
        <f>IFERROR(__xludf.DUMMYFUNCTION("""COMPUTED_VALUE"""),24.09)</f>
        <v>24.09</v>
      </c>
      <c r="E4275" s="17"/>
      <c r="N4275" s="17"/>
      <c r="Q4275" s="17"/>
    </row>
    <row r="4276">
      <c r="B4276" s="11">
        <f>IFERROR(__xludf.DUMMYFUNCTION("""COMPUTED_VALUE"""),39815.666666666664)</f>
        <v>39815.66667</v>
      </c>
      <c r="C4276" s="9">
        <f>IFERROR(__xludf.DUMMYFUNCTION("""COMPUTED_VALUE"""),24.28)</f>
        <v>24.28</v>
      </c>
      <c r="E4276" s="17"/>
      <c r="N4276" s="17"/>
      <c r="Q4276" s="17"/>
    </row>
    <row r="4277">
      <c r="B4277" s="11">
        <f>IFERROR(__xludf.DUMMYFUNCTION("""COMPUTED_VALUE"""),39813.666666666664)</f>
        <v>39813.66667</v>
      </c>
      <c r="C4277" s="9">
        <f>IFERROR(__xludf.DUMMYFUNCTION("""COMPUTED_VALUE"""),23.42)</f>
        <v>23.42</v>
      </c>
      <c r="E4277" s="17"/>
      <c r="N4277" s="17"/>
      <c r="Q4277" s="17"/>
    </row>
    <row r="4278">
      <c r="B4278" s="11">
        <f>IFERROR(__xludf.DUMMYFUNCTION("""COMPUTED_VALUE"""),39812.666666666664)</f>
        <v>39812.66667</v>
      </c>
      <c r="C4278" s="9">
        <f>IFERROR(__xludf.DUMMYFUNCTION("""COMPUTED_VALUE"""),22.87)</f>
        <v>22.87</v>
      </c>
      <c r="E4278" s="17"/>
      <c r="N4278" s="17"/>
      <c r="Q4278" s="17"/>
    </row>
    <row r="4279">
      <c r="B4279" s="11">
        <f>IFERROR(__xludf.DUMMYFUNCTION("""COMPUTED_VALUE"""),39811.666666666664)</f>
        <v>39811.66667</v>
      </c>
      <c r="C4279" s="9">
        <f>IFERROR(__xludf.DUMMYFUNCTION("""COMPUTED_VALUE"""),22.05)</f>
        <v>22.05</v>
      </c>
      <c r="E4279" s="17"/>
      <c r="N4279" s="17"/>
      <c r="Q4279" s="17"/>
    </row>
    <row r="4280">
      <c r="B4280" s="11">
        <f>IFERROR(__xludf.DUMMYFUNCTION("""COMPUTED_VALUE"""),39808.666666666664)</f>
        <v>39808.66667</v>
      </c>
      <c r="C4280" s="9">
        <f>IFERROR(__xludf.DUMMYFUNCTION("""COMPUTED_VALUE"""),22.47)</f>
        <v>22.47</v>
      </c>
      <c r="E4280" s="17"/>
      <c r="N4280" s="17"/>
      <c r="Q4280" s="17"/>
    </row>
    <row r="4281">
      <c r="B4281" s="11">
        <f>IFERROR(__xludf.DUMMYFUNCTION("""COMPUTED_VALUE"""),39806.666666666664)</f>
        <v>39806.66667</v>
      </c>
      <c r="C4281" s="9">
        <f>IFERROR(__xludf.DUMMYFUNCTION("""COMPUTED_VALUE"""),22.3)</f>
        <v>22.3</v>
      </c>
      <c r="E4281" s="17"/>
      <c r="N4281" s="17"/>
      <c r="Q4281" s="17"/>
    </row>
    <row r="4282">
      <c r="B4282" s="11">
        <f>IFERROR(__xludf.DUMMYFUNCTION("""COMPUTED_VALUE"""),39805.666666666664)</f>
        <v>39805.66667</v>
      </c>
      <c r="C4282" s="9">
        <f>IFERROR(__xludf.DUMMYFUNCTION("""COMPUTED_VALUE"""),22.16)</f>
        <v>22.16</v>
      </c>
      <c r="E4282" s="17"/>
      <c r="N4282" s="17"/>
      <c r="Q4282" s="17"/>
    </row>
    <row r="4283">
      <c r="B4283" s="11">
        <f>IFERROR(__xludf.DUMMYFUNCTION("""COMPUTED_VALUE"""),39804.666666666664)</f>
        <v>39804.66667</v>
      </c>
      <c r="C4283" s="9">
        <f>IFERROR(__xludf.DUMMYFUNCTION("""COMPUTED_VALUE"""),22.23)</f>
        <v>22.23</v>
      </c>
      <c r="E4283" s="17"/>
      <c r="N4283" s="17"/>
      <c r="Q4283" s="17"/>
    </row>
    <row r="4284">
      <c r="B4284" s="11">
        <f>IFERROR(__xludf.DUMMYFUNCTION("""COMPUTED_VALUE"""),39801.666666666664)</f>
        <v>39801.66667</v>
      </c>
      <c r="C4284" s="9">
        <f>IFERROR(__xludf.DUMMYFUNCTION("""COMPUTED_VALUE"""),22.58)</f>
        <v>22.58</v>
      </c>
      <c r="E4284" s="17"/>
      <c r="N4284" s="17"/>
      <c r="Q4284" s="17"/>
    </row>
    <row r="4285">
      <c r="B4285" s="11">
        <f>IFERROR(__xludf.DUMMYFUNCTION("""COMPUTED_VALUE"""),39800.666666666664)</f>
        <v>39800.66667</v>
      </c>
      <c r="C4285" s="9">
        <f>IFERROR(__xludf.DUMMYFUNCTION("""COMPUTED_VALUE"""),22.55)</f>
        <v>22.55</v>
      </c>
      <c r="E4285" s="17"/>
      <c r="N4285" s="17"/>
      <c r="Q4285" s="17"/>
    </row>
    <row r="4286">
      <c r="B4286" s="11">
        <f>IFERROR(__xludf.DUMMYFUNCTION("""COMPUTED_VALUE"""),39799.666666666664)</f>
        <v>39799.66667</v>
      </c>
      <c r="C4286" s="9">
        <f>IFERROR(__xludf.DUMMYFUNCTION("""COMPUTED_VALUE"""),23.37)</f>
        <v>23.37</v>
      </c>
      <c r="E4286" s="17"/>
      <c r="N4286" s="17"/>
      <c r="Q4286" s="17"/>
    </row>
    <row r="4287">
      <c r="B4287" s="11">
        <f>IFERROR(__xludf.DUMMYFUNCTION("""COMPUTED_VALUE"""),39798.666666666664)</f>
        <v>39798.66667</v>
      </c>
      <c r="C4287" s="9">
        <f>IFERROR(__xludf.DUMMYFUNCTION("""COMPUTED_VALUE"""),23.36)</f>
        <v>23.36</v>
      </c>
      <c r="E4287" s="17"/>
      <c r="N4287" s="17"/>
      <c r="Q4287" s="17"/>
    </row>
    <row r="4288">
      <c r="B4288" s="11">
        <f>IFERROR(__xludf.DUMMYFUNCTION("""COMPUTED_VALUE"""),39797.666666666664)</f>
        <v>39797.66667</v>
      </c>
      <c r="C4288" s="9">
        <f>IFERROR(__xludf.DUMMYFUNCTION("""COMPUTED_VALUE"""),22.26)</f>
        <v>22.26</v>
      </c>
      <c r="E4288" s="17"/>
      <c r="N4288" s="17"/>
      <c r="Q4288" s="17"/>
    </row>
    <row r="4289">
      <c r="B4289" s="11">
        <f>IFERROR(__xludf.DUMMYFUNCTION("""COMPUTED_VALUE"""),39794.666666666664)</f>
        <v>39794.66667</v>
      </c>
      <c r="C4289" s="9">
        <f>IFERROR(__xludf.DUMMYFUNCTION("""COMPUTED_VALUE"""),22.27)</f>
        <v>22.27</v>
      </c>
      <c r="E4289" s="17"/>
      <c r="N4289" s="17"/>
      <c r="Q4289" s="17"/>
    </row>
    <row r="4290">
      <c r="B4290" s="11">
        <f>IFERROR(__xludf.DUMMYFUNCTION("""COMPUTED_VALUE"""),39793.666666666664)</f>
        <v>39793.66667</v>
      </c>
      <c r="C4290" s="9">
        <f>IFERROR(__xludf.DUMMYFUNCTION("""COMPUTED_VALUE"""),22.21)</f>
        <v>22.21</v>
      </c>
      <c r="E4290" s="17"/>
      <c r="N4290" s="17"/>
      <c r="Q4290" s="17"/>
    </row>
    <row r="4291">
      <c r="B4291" s="11">
        <f>IFERROR(__xludf.DUMMYFUNCTION("""COMPUTED_VALUE"""),39792.666666666664)</f>
        <v>39792.66667</v>
      </c>
      <c r="C4291" s="9">
        <f>IFERROR(__xludf.DUMMYFUNCTION("""COMPUTED_VALUE"""),23.21)</f>
        <v>23.21</v>
      </c>
      <c r="E4291" s="17"/>
      <c r="N4291" s="17"/>
      <c r="Q4291" s="17"/>
    </row>
    <row r="4292">
      <c r="B4292" s="11">
        <f>IFERROR(__xludf.DUMMYFUNCTION("""COMPUTED_VALUE"""),39791.666666666664)</f>
        <v>39791.66667</v>
      </c>
      <c r="C4292" s="9">
        <f>IFERROR(__xludf.DUMMYFUNCTION("""COMPUTED_VALUE"""),22.84)</f>
        <v>22.84</v>
      </c>
      <c r="E4292" s="17"/>
      <c r="N4292" s="17"/>
      <c r="Q4292" s="17"/>
    </row>
    <row r="4293">
      <c r="B4293" s="11">
        <f>IFERROR(__xludf.DUMMYFUNCTION("""COMPUTED_VALUE"""),39790.666666666664)</f>
        <v>39790.66667</v>
      </c>
      <c r="C4293" s="9">
        <f>IFERROR(__xludf.DUMMYFUNCTION("""COMPUTED_VALUE"""),23.25)</f>
        <v>23.25</v>
      </c>
      <c r="E4293" s="17"/>
      <c r="N4293" s="17"/>
      <c r="Q4293" s="17"/>
    </row>
    <row r="4294">
      <c r="B4294" s="11">
        <f>IFERROR(__xludf.DUMMYFUNCTION("""COMPUTED_VALUE"""),39787.666666666664)</f>
        <v>39787.66667</v>
      </c>
      <c r="C4294" s="9">
        <f>IFERROR(__xludf.DUMMYFUNCTION("""COMPUTED_VALUE"""),22.66)</f>
        <v>22.66</v>
      </c>
      <c r="E4294" s="17"/>
      <c r="N4294" s="17"/>
      <c r="Q4294" s="17"/>
    </row>
    <row r="4295">
      <c r="B4295" s="11">
        <f>IFERROR(__xludf.DUMMYFUNCTION("""COMPUTED_VALUE"""),39786.666666666664)</f>
        <v>39786.66667</v>
      </c>
      <c r="C4295" s="9">
        <f>IFERROR(__xludf.DUMMYFUNCTION("""COMPUTED_VALUE"""),22.12)</f>
        <v>22.12</v>
      </c>
      <c r="E4295" s="17"/>
      <c r="N4295" s="17"/>
      <c r="Q4295" s="17"/>
    </row>
    <row r="4296">
      <c r="B4296" s="11">
        <f>IFERROR(__xludf.DUMMYFUNCTION("""COMPUTED_VALUE"""),39785.666666666664)</f>
        <v>39785.66667</v>
      </c>
      <c r="C4296" s="9">
        <f>IFERROR(__xludf.DUMMYFUNCTION("""COMPUTED_VALUE"""),22.57)</f>
        <v>22.57</v>
      </c>
      <c r="E4296" s="17"/>
      <c r="N4296" s="17"/>
      <c r="Q4296" s="17"/>
    </row>
    <row r="4297">
      <c r="B4297" s="11">
        <f>IFERROR(__xludf.DUMMYFUNCTION("""COMPUTED_VALUE"""),39784.666666666664)</f>
        <v>39784.66667</v>
      </c>
      <c r="C4297" s="9">
        <f>IFERROR(__xludf.DUMMYFUNCTION("""COMPUTED_VALUE"""),22.19)</f>
        <v>22.19</v>
      </c>
      <c r="E4297" s="17"/>
      <c r="N4297" s="17"/>
      <c r="Q4297" s="17"/>
    </row>
    <row r="4298">
      <c r="B4298" s="11">
        <f>IFERROR(__xludf.DUMMYFUNCTION("""COMPUTED_VALUE"""),39783.666666666664)</f>
        <v>39783.66667</v>
      </c>
      <c r="C4298" s="9">
        <f>IFERROR(__xludf.DUMMYFUNCTION("""COMPUTED_VALUE"""),21.21)</f>
        <v>21.21</v>
      </c>
      <c r="E4298" s="17"/>
      <c r="N4298" s="17"/>
      <c r="Q4298" s="17"/>
    </row>
    <row r="4299">
      <c r="B4299" s="11">
        <f>IFERROR(__xludf.DUMMYFUNCTION("""COMPUTED_VALUE"""),39780.666666666664)</f>
        <v>39780.66667</v>
      </c>
      <c r="C4299" s="9">
        <f>IFERROR(__xludf.DUMMYFUNCTION("""COMPUTED_VALUE"""),23.11)</f>
        <v>23.11</v>
      </c>
      <c r="E4299" s="17"/>
      <c r="N4299" s="17"/>
      <c r="Q4299" s="17"/>
    </row>
    <row r="4300">
      <c r="B4300" s="11">
        <f>IFERROR(__xludf.DUMMYFUNCTION("""COMPUTED_VALUE"""),39778.666666666664)</f>
        <v>39778.66667</v>
      </c>
      <c r="C4300" s="9">
        <f>IFERROR(__xludf.DUMMYFUNCTION("""COMPUTED_VALUE"""),22.62)</f>
        <v>22.62</v>
      </c>
      <c r="E4300" s="17"/>
      <c r="N4300" s="17"/>
      <c r="Q4300" s="17"/>
    </row>
    <row r="4301">
      <c r="B4301" s="11">
        <f>IFERROR(__xludf.DUMMYFUNCTION("""COMPUTED_VALUE"""),39777.666666666664)</f>
        <v>39777.66667</v>
      </c>
      <c r="C4301" s="9">
        <f>IFERROR(__xludf.DUMMYFUNCTION("""COMPUTED_VALUE"""),21.93)</f>
        <v>21.93</v>
      </c>
      <c r="E4301" s="17"/>
      <c r="N4301" s="17"/>
      <c r="Q4301" s="17"/>
    </row>
    <row r="4302">
      <c r="B4302" s="11">
        <f>IFERROR(__xludf.DUMMYFUNCTION("""COMPUTED_VALUE"""),39776.666666666664)</f>
        <v>39776.66667</v>
      </c>
      <c r="C4302" s="9">
        <f>IFERROR(__xludf.DUMMYFUNCTION("""COMPUTED_VALUE"""),21.62)</f>
        <v>21.62</v>
      </c>
      <c r="E4302" s="17"/>
      <c r="N4302" s="17"/>
      <c r="Q4302" s="17"/>
    </row>
    <row r="4303">
      <c r="B4303" s="11">
        <f>IFERROR(__xludf.DUMMYFUNCTION("""COMPUTED_VALUE"""),39773.666666666664)</f>
        <v>39773.66667</v>
      </c>
      <c r="C4303" s="9">
        <f>IFERROR(__xludf.DUMMYFUNCTION("""COMPUTED_VALUE"""),20.59)</f>
        <v>20.59</v>
      </c>
      <c r="E4303" s="17"/>
      <c r="N4303" s="17"/>
      <c r="Q4303" s="17"/>
    </row>
    <row r="4304">
      <c r="B4304" s="11">
        <f>IFERROR(__xludf.DUMMYFUNCTION("""COMPUTED_VALUE"""),39772.666666666664)</f>
        <v>39772.66667</v>
      </c>
      <c r="C4304" s="9">
        <f>IFERROR(__xludf.DUMMYFUNCTION("""COMPUTED_VALUE"""),20.0)</f>
        <v>20</v>
      </c>
      <c r="E4304" s="17"/>
      <c r="N4304" s="17"/>
      <c r="Q4304" s="17"/>
    </row>
    <row r="4305">
      <c r="B4305" s="11">
        <f>IFERROR(__xludf.DUMMYFUNCTION("""COMPUTED_VALUE"""),39771.666666666664)</f>
        <v>39771.66667</v>
      </c>
      <c r="C4305" s="9">
        <f>IFERROR(__xludf.DUMMYFUNCTION("""COMPUTED_VALUE"""),20.55)</f>
        <v>20.55</v>
      </c>
      <c r="E4305" s="17"/>
      <c r="N4305" s="17"/>
      <c r="Q4305" s="17"/>
    </row>
    <row r="4306">
      <c r="B4306" s="11">
        <f>IFERROR(__xludf.DUMMYFUNCTION("""COMPUTED_VALUE"""),39770.666666666664)</f>
        <v>39770.66667</v>
      </c>
      <c r="C4306" s="9">
        <f>IFERROR(__xludf.DUMMYFUNCTION("""COMPUTED_VALUE"""),21.97)</f>
        <v>21.97</v>
      </c>
      <c r="E4306" s="17"/>
      <c r="N4306" s="17"/>
      <c r="Q4306" s="17"/>
    </row>
    <row r="4307">
      <c r="B4307" s="11">
        <f>IFERROR(__xludf.DUMMYFUNCTION("""COMPUTED_VALUE"""),39769.666666666664)</f>
        <v>39769.66667</v>
      </c>
      <c r="C4307" s="9">
        <f>IFERROR(__xludf.DUMMYFUNCTION("""COMPUTED_VALUE"""),21.95)</f>
        <v>21.95</v>
      </c>
      <c r="E4307" s="17"/>
      <c r="N4307" s="17"/>
      <c r="Q4307" s="17"/>
    </row>
    <row r="4308">
      <c r="B4308" s="11">
        <f>IFERROR(__xludf.DUMMYFUNCTION("""COMPUTED_VALUE"""),39766.666666666664)</f>
        <v>39766.66667</v>
      </c>
      <c r="C4308" s="9">
        <f>IFERROR(__xludf.DUMMYFUNCTION("""COMPUTED_VALUE"""),22.4)</f>
        <v>22.4</v>
      </c>
      <c r="E4308" s="17"/>
      <c r="N4308" s="17"/>
      <c r="Q4308" s="17"/>
    </row>
    <row r="4309">
      <c r="B4309" s="11">
        <f>IFERROR(__xludf.DUMMYFUNCTION("""COMPUTED_VALUE"""),39765.666666666664)</f>
        <v>39765.66667</v>
      </c>
      <c r="C4309" s="9">
        <f>IFERROR(__xludf.DUMMYFUNCTION("""COMPUTED_VALUE"""),23.39)</f>
        <v>23.39</v>
      </c>
      <c r="E4309" s="17"/>
      <c r="N4309" s="17"/>
      <c r="Q4309" s="17"/>
    </row>
    <row r="4310">
      <c r="B4310" s="11">
        <f>IFERROR(__xludf.DUMMYFUNCTION("""COMPUTED_VALUE"""),39764.666666666664)</f>
        <v>39764.66667</v>
      </c>
      <c r="C4310" s="9">
        <f>IFERROR(__xludf.DUMMYFUNCTION("""COMPUTED_VALUE"""),22.2)</f>
        <v>22.2</v>
      </c>
      <c r="E4310" s="17"/>
      <c r="N4310" s="17"/>
      <c r="Q4310" s="17"/>
    </row>
    <row r="4311">
      <c r="B4311" s="11">
        <f>IFERROR(__xludf.DUMMYFUNCTION("""COMPUTED_VALUE"""),39763.666666666664)</f>
        <v>39763.66667</v>
      </c>
      <c r="C4311" s="9">
        <f>IFERROR(__xludf.DUMMYFUNCTION("""COMPUTED_VALUE"""),23.31)</f>
        <v>23.31</v>
      </c>
      <c r="E4311" s="17"/>
      <c r="N4311" s="17"/>
      <c r="Q4311" s="17"/>
    </row>
    <row r="4312">
      <c r="B4312" s="11">
        <f>IFERROR(__xludf.DUMMYFUNCTION("""COMPUTED_VALUE"""),39762.666666666664)</f>
        <v>39762.66667</v>
      </c>
      <c r="C4312" s="9">
        <f>IFERROR(__xludf.DUMMYFUNCTION("""COMPUTED_VALUE"""),23.84)</f>
        <v>23.84</v>
      </c>
      <c r="E4312" s="17"/>
      <c r="N4312" s="17"/>
      <c r="Q4312" s="17"/>
    </row>
    <row r="4313">
      <c r="B4313" s="11">
        <f>IFERROR(__xludf.DUMMYFUNCTION("""COMPUTED_VALUE"""),39759.666666666664)</f>
        <v>39759.66667</v>
      </c>
      <c r="C4313" s="9">
        <f>IFERROR(__xludf.DUMMYFUNCTION("""COMPUTED_VALUE"""),23.83)</f>
        <v>23.83</v>
      </c>
      <c r="E4313" s="17"/>
      <c r="N4313" s="17"/>
      <c r="Q4313" s="17"/>
    </row>
    <row r="4314">
      <c r="B4314" s="11">
        <f>IFERROR(__xludf.DUMMYFUNCTION("""COMPUTED_VALUE"""),39758.666666666664)</f>
        <v>39758.66667</v>
      </c>
      <c r="C4314" s="9">
        <f>IFERROR(__xludf.DUMMYFUNCTION("""COMPUTED_VALUE"""),23.59)</f>
        <v>23.59</v>
      </c>
      <c r="E4314" s="17"/>
      <c r="N4314" s="17"/>
      <c r="Q4314" s="17"/>
    </row>
    <row r="4315">
      <c r="B4315" s="11">
        <f>IFERROR(__xludf.DUMMYFUNCTION("""COMPUTED_VALUE"""),39757.666666666664)</f>
        <v>39757.66667</v>
      </c>
      <c r="C4315" s="9">
        <f>IFERROR(__xludf.DUMMYFUNCTION("""COMPUTED_VALUE"""),24.75)</f>
        <v>24.75</v>
      </c>
      <c r="E4315" s="17"/>
      <c r="N4315" s="17"/>
      <c r="Q4315" s="17"/>
    </row>
    <row r="4316">
      <c r="B4316" s="11">
        <f>IFERROR(__xludf.DUMMYFUNCTION("""COMPUTED_VALUE"""),39756.666666666664)</f>
        <v>39756.66667</v>
      </c>
      <c r="C4316" s="9">
        <f>IFERROR(__xludf.DUMMYFUNCTION("""COMPUTED_VALUE"""),25.83)</f>
        <v>25.83</v>
      </c>
      <c r="E4316" s="17"/>
      <c r="N4316" s="17"/>
      <c r="Q4316" s="17"/>
    </row>
    <row r="4317">
      <c r="B4317" s="11">
        <f>IFERROR(__xludf.DUMMYFUNCTION("""COMPUTED_VALUE"""),39755.666666666664)</f>
        <v>39755.66667</v>
      </c>
      <c r="C4317" s="9">
        <f>IFERROR(__xludf.DUMMYFUNCTION("""COMPUTED_VALUE"""),24.75)</f>
        <v>24.75</v>
      </c>
      <c r="E4317" s="17"/>
      <c r="N4317" s="17"/>
      <c r="Q4317" s="17"/>
    </row>
    <row r="4318">
      <c r="B4318" s="11">
        <f>IFERROR(__xludf.DUMMYFUNCTION("""COMPUTED_VALUE"""),39752.666666666664)</f>
        <v>39752.66667</v>
      </c>
      <c r="C4318" s="9">
        <f>IFERROR(__xludf.DUMMYFUNCTION("""COMPUTED_VALUE"""),25.18)</f>
        <v>25.18</v>
      </c>
      <c r="E4318" s="17"/>
      <c r="N4318" s="17"/>
      <c r="Q4318" s="17"/>
    </row>
    <row r="4319">
      <c r="B4319" s="11">
        <f>IFERROR(__xludf.DUMMYFUNCTION("""COMPUTED_VALUE"""),39751.666666666664)</f>
        <v>39751.66667</v>
      </c>
      <c r="C4319" s="9">
        <f>IFERROR(__xludf.DUMMYFUNCTION("""COMPUTED_VALUE"""),24.37)</f>
        <v>24.37</v>
      </c>
      <c r="E4319" s="17"/>
      <c r="N4319" s="17"/>
      <c r="Q4319" s="17"/>
    </row>
    <row r="4320">
      <c r="B4320" s="11">
        <f>IFERROR(__xludf.DUMMYFUNCTION("""COMPUTED_VALUE"""),39750.666666666664)</f>
        <v>39750.66667</v>
      </c>
      <c r="C4320" s="9">
        <f>IFERROR(__xludf.DUMMYFUNCTION("""COMPUTED_VALUE"""),23.52)</f>
        <v>23.52</v>
      </c>
      <c r="E4320" s="17"/>
      <c r="N4320" s="17"/>
      <c r="Q4320" s="17"/>
    </row>
    <row r="4321">
      <c r="B4321" s="11">
        <f>IFERROR(__xludf.DUMMYFUNCTION("""COMPUTED_VALUE"""),39749.666666666664)</f>
        <v>39749.66667</v>
      </c>
      <c r="C4321" s="9">
        <f>IFERROR(__xludf.DUMMYFUNCTION("""COMPUTED_VALUE"""),23.42)</f>
        <v>23.42</v>
      </c>
      <c r="E4321" s="17"/>
      <c r="N4321" s="17"/>
      <c r="Q4321" s="17"/>
    </row>
    <row r="4322">
      <c r="B4322" s="11">
        <f>IFERROR(__xludf.DUMMYFUNCTION("""COMPUTED_VALUE"""),39748.666666666664)</f>
        <v>39748.66667</v>
      </c>
      <c r="C4322" s="9">
        <f>IFERROR(__xludf.DUMMYFUNCTION("""COMPUTED_VALUE"""),21.24)</f>
        <v>21.24</v>
      </c>
      <c r="E4322" s="17"/>
      <c r="N4322" s="17"/>
      <c r="Q4322" s="17"/>
    </row>
    <row r="4323">
      <c r="B4323" s="11">
        <f>IFERROR(__xludf.DUMMYFUNCTION("""COMPUTED_VALUE"""),39745.666666666664)</f>
        <v>39745.66667</v>
      </c>
      <c r="C4323" s="9">
        <f>IFERROR(__xludf.DUMMYFUNCTION("""COMPUTED_VALUE"""),22.09)</f>
        <v>22.09</v>
      </c>
      <c r="E4323" s="17"/>
      <c r="N4323" s="17"/>
      <c r="Q4323" s="17"/>
    </row>
    <row r="4324">
      <c r="B4324" s="11">
        <f>IFERROR(__xludf.DUMMYFUNCTION("""COMPUTED_VALUE"""),39744.666666666664)</f>
        <v>39744.66667</v>
      </c>
      <c r="C4324" s="9">
        <f>IFERROR(__xludf.DUMMYFUNCTION("""COMPUTED_VALUE"""),23.44)</f>
        <v>23.44</v>
      </c>
      <c r="E4324" s="17"/>
      <c r="N4324" s="17"/>
      <c r="Q4324" s="17"/>
    </row>
    <row r="4325">
      <c r="B4325" s="11">
        <f>IFERROR(__xludf.DUMMYFUNCTION("""COMPUTED_VALUE"""),39743.666666666664)</f>
        <v>39743.66667</v>
      </c>
      <c r="C4325" s="9">
        <f>IFERROR(__xludf.DUMMYFUNCTION("""COMPUTED_VALUE"""),23.38)</f>
        <v>23.38</v>
      </c>
      <c r="E4325" s="17"/>
      <c r="N4325" s="17"/>
      <c r="Q4325" s="17"/>
    </row>
    <row r="4326">
      <c r="B4326" s="11">
        <f>IFERROR(__xludf.DUMMYFUNCTION("""COMPUTED_VALUE"""),39742.666666666664)</f>
        <v>39742.66667</v>
      </c>
      <c r="C4326" s="9">
        <f>IFERROR(__xludf.DUMMYFUNCTION("""COMPUTED_VALUE"""),24.51)</f>
        <v>24.51</v>
      </c>
      <c r="E4326" s="17"/>
      <c r="N4326" s="17"/>
      <c r="Q4326" s="17"/>
    </row>
    <row r="4327">
      <c r="B4327" s="11">
        <f>IFERROR(__xludf.DUMMYFUNCTION("""COMPUTED_VALUE"""),39741.666666666664)</f>
        <v>39741.66667</v>
      </c>
      <c r="C4327" s="9">
        <f>IFERROR(__xludf.DUMMYFUNCTION("""COMPUTED_VALUE"""),24.73)</f>
        <v>24.73</v>
      </c>
      <c r="E4327" s="17"/>
      <c r="N4327" s="17"/>
      <c r="Q4327" s="17"/>
    </row>
    <row r="4328">
      <c r="B4328" s="11">
        <f>IFERROR(__xludf.DUMMYFUNCTION("""COMPUTED_VALUE"""),39738.666666666664)</f>
        <v>39738.66667</v>
      </c>
      <c r="C4328" s="9">
        <f>IFERROR(__xludf.DUMMYFUNCTION("""COMPUTED_VALUE"""),23.56)</f>
        <v>23.56</v>
      </c>
      <c r="E4328" s="17"/>
      <c r="N4328" s="17"/>
      <c r="Q4328" s="17"/>
    </row>
    <row r="4329">
      <c r="B4329" s="11">
        <f>IFERROR(__xludf.DUMMYFUNCTION("""COMPUTED_VALUE"""),39737.666666666664)</f>
        <v>39737.66667</v>
      </c>
      <c r="C4329" s="9">
        <f>IFERROR(__xludf.DUMMYFUNCTION("""COMPUTED_VALUE"""),24.08)</f>
        <v>24.08</v>
      </c>
      <c r="E4329" s="17"/>
      <c r="N4329" s="17"/>
      <c r="Q4329" s="17"/>
    </row>
    <row r="4330">
      <c r="B4330" s="11">
        <f>IFERROR(__xludf.DUMMYFUNCTION("""COMPUTED_VALUE"""),39736.666666666664)</f>
        <v>39736.66667</v>
      </c>
      <c r="C4330" s="9">
        <f>IFERROR(__xludf.DUMMYFUNCTION("""COMPUTED_VALUE"""),23.6)</f>
        <v>23.6</v>
      </c>
      <c r="E4330" s="17"/>
      <c r="N4330" s="17"/>
      <c r="Q4330" s="17"/>
    </row>
    <row r="4331">
      <c r="B4331" s="11">
        <f>IFERROR(__xludf.DUMMYFUNCTION("""COMPUTED_VALUE"""),39735.666666666664)</f>
        <v>39735.66667</v>
      </c>
      <c r="C4331" s="9">
        <f>IFERROR(__xludf.DUMMYFUNCTION("""COMPUTED_VALUE"""),26.05)</f>
        <v>26.05</v>
      </c>
      <c r="E4331" s="17"/>
      <c r="N4331" s="17"/>
      <c r="Q4331" s="17"/>
    </row>
    <row r="4332">
      <c r="B4332" s="11">
        <f>IFERROR(__xludf.DUMMYFUNCTION("""COMPUTED_VALUE"""),39734.666666666664)</f>
        <v>39734.66667</v>
      </c>
      <c r="C4332" s="9">
        <f>IFERROR(__xludf.DUMMYFUNCTION("""COMPUTED_VALUE"""),26.06)</f>
        <v>26.06</v>
      </c>
      <c r="E4332" s="17"/>
      <c r="N4332" s="17"/>
      <c r="Q4332" s="17"/>
    </row>
    <row r="4333">
      <c r="B4333" s="11">
        <f>IFERROR(__xludf.DUMMYFUNCTION("""COMPUTED_VALUE"""),39731.666666666664)</f>
        <v>39731.66667</v>
      </c>
      <c r="C4333" s="9">
        <f>IFERROR(__xludf.DUMMYFUNCTION("""COMPUTED_VALUE"""),23.54)</f>
        <v>23.54</v>
      </c>
      <c r="E4333" s="17"/>
      <c r="N4333" s="17"/>
      <c r="Q4333" s="17"/>
    </row>
    <row r="4334">
      <c r="B4334" s="11">
        <f>IFERROR(__xludf.DUMMYFUNCTION("""COMPUTED_VALUE"""),39730.666666666664)</f>
        <v>39730.66667</v>
      </c>
      <c r="C4334" s="9">
        <f>IFERROR(__xludf.DUMMYFUNCTION("""COMPUTED_VALUE"""),24.32)</f>
        <v>24.32</v>
      </c>
      <c r="E4334" s="17"/>
      <c r="N4334" s="17"/>
      <c r="Q4334" s="17"/>
    </row>
    <row r="4335">
      <c r="B4335" s="11">
        <f>IFERROR(__xludf.DUMMYFUNCTION("""COMPUTED_VALUE"""),39729.666666666664)</f>
        <v>39729.66667</v>
      </c>
      <c r="C4335" s="9">
        <f>IFERROR(__xludf.DUMMYFUNCTION("""COMPUTED_VALUE"""),25.79)</f>
        <v>25.79</v>
      </c>
      <c r="E4335" s="17"/>
      <c r="N4335" s="17"/>
      <c r="Q4335" s="17"/>
    </row>
    <row r="4336">
      <c r="B4336" s="11">
        <f>IFERROR(__xludf.DUMMYFUNCTION("""COMPUTED_VALUE"""),39728.666666666664)</f>
        <v>39728.66667</v>
      </c>
      <c r="C4336" s="9">
        <f>IFERROR(__xludf.DUMMYFUNCTION("""COMPUTED_VALUE"""),26.19)</f>
        <v>26.19</v>
      </c>
      <c r="E4336" s="17"/>
      <c r="N4336" s="17"/>
      <c r="Q4336" s="17"/>
    </row>
    <row r="4337">
      <c r="B4337" s="11">
        <f>IFERROR(__xludf.DUMMYFUNCTION("""COMPUTED_VALUE"""),39727.666666666664)</f>
        <v>39727.66667</v>
      </c>
      <c r="C4337" s="9">
        <f>IFERROR(__xludf.DUMMYFUNCTION("""COMPUTED_VALUE"""),27.09)</f>
        <v>27.09</v>
      </c>
      <c r="E4337" s="17"/>
      <c r="N4337" s="17"/>
      <c r="Q4337" s="17"/>
    </row>
    <row r="4338">
      <c r="B4338" s="11">
        <f>IFERROR(__xludf.DUMMYFUNCTION("""COMPUTED_VALUE"""),39724.666666666664)</f>
        <v>39724.66667</v>
      </c>
      <c r="C4338" s="9">
        <f>IFERROR(__xludf.DUMMYFUNCTION("""COMPUTED_VALUE"""),27.82)</f>
        <v>27.82</v>
      </c>
      <c r="E4338" s="17"/>
      <c r="N4338" s="17"/>
      <c r="Q4338" s="17"/>
    </row>
    <row r="4339">
      <c r="B4339" s="11">
        <f>IFERROR(__xludf.DUMMYFUNCTION("""COMPUTED_VALUE"""),39723.666666666664)</f>
        <v>39723.66667</v>
      </c>
      <c r="C4339" s="9">
        <f>IFERROR(__xludf.DUMMYFUNCTION("""COMPUTED_VALUE"""),28.27)</f>
        <v>28.27</v>
      </c>
      <c r="E4339" s="17"/>
      <c r="N4339" s="17"/>
      <c r="Q4339" s="17"/>
    </row>
    <row r="4340">
      <c r="B4340" s="11">
        <f>IFERROR(__xludf.DUMMYFUNCTION("""COMPUTED_VALUE"""),39722.666666666664)</f>
        <v>39722.66667</v>
      </c>
      <c r="C4340" s="9">
        <f>IFERROR(__xludf.DUMMYFUNCTION("""COMPUTED_VALUE"""),30.07)</f>
        <v>30.07</v>
      </c>
      <c r="E4340" s="17"/>
      <c r="N4340" s="17"/>
      <c r="Q4340" s="17"/>
    </row>
    <row r="4341">
      <c r="B4341" s="11">
        <f>IFERROR(__xludf.DUMMYFUNCTION("""COMPUTED_VALUE"""),39721.666666666664)</f>
        <v>39721.66667</v>
      </c>
      <c r="C4341" s="9">
        <f>IFERROR(__xludf.DUMMYFUNCTION("""COMPUTED_VALUE"""),30.8)</f>
        <v>30.8</v>
      </c>
      <c r="E4341" s="17"/>
      <c r="N4341" s="17"/>
      <c r="Q4341" s="17"/>
    </row>
    <row r="4342">
      <c r="B4342" s="11">
        <f>IFERROR(__xludf.DUMMYFUNCTION("""COMPUTED_VALUE"""),39720.666666666664)</f>
        <v>39720.66667</v>
      </c>
      <c r="C4342" s="9">
        <f>IFERROR(__xludf.DUMMYFUNCTION("""COMPUTED_VALUE"""),30.5)</f>
        <v>30.5</v>
      </c>
      <c r="E4342" s="17"/>
      <c r="N4342" s="17"/>
      <c r="Q4342" s="17"/>
    </row>
    <row r="4343">
      <c r="B4343" s="11">
        <f>IFERROR(__xludf.DUMMYFUNCTION("""COMPUTED_VALUE"""),39717.666666666664)</f>
        <v>39717.66667</v>
      </c>
      <c r="C4343" s="9">
        <f>IFERROR(__xludf.DUMMYFUNCTION("""COMPUTED_VALUE"""),31.57)</f>
        <v>31.57</v>
      </c>
      <c r="E4343" s="17"/>
      <c r="N4343" s="17"/>
      <c r="Q4343" s="17"/>
    </row>
    <row r="4344">
      <c r="B4344" s="11">
        <f>IFERROR(__xludf.DUMMYFUNCTION("""COMPUTED_VALUE"""),39716.666666666664)</f>
        <v>39716.66667</v>
      </c>
      <c r="C4344" s="9">
        <f>IFERROR(__xludf.DUMMYFUNCTION("""COMPUTED_VALUE"""),31.7)</f>
        <v>31.7</v>
      </c>
      <c r="E4344" s="17"/>
      <c r="N4344" s="17"/>
      <c r="Q4344" s="17"/>
    </row>
    <row r="4345">
      <c r="B4345" s="11">
        <f>IFERROR(__xludf.DUMMYFUNCTION("""COMPUTED_VALUE"""),39715.666666666664)</f>
        <v>39715.66667</v>
      </c>
      <c r="C4345" s="9">
        <f>IFERROR(__xludf.DUMMYFUNCTION("""COMPUTED_VALUE"""),31.45)</f>
        <v>31.45</v>
      </c>
      <c r="E4345" s="17"/>
      <c r="N4345" s="17"/>
      <c r="Q4345" s="17"/>
    </row>
    <row r="4346">
      <c r="B4346" s="11">
        <f>IFERROR(__xludf.DUMMYFUNCTION("""COMPUTED_VALUE"""),39714.666666666664)</f>
        <v>39714.66667</v>
      </c>
      <c r="C4346" s="9">
        <f>IFERROR(__xludf.DUMMYFUNCTION("""COMPUTED_VALUE"""),31.52)</f>
        <v>31.52</v>
      </c>
      <c r="E4346" s="17"/>
      <c r="N4346" s="17"/>
      <c r="Q4346" s="17"/>
    </row>
    <row r="4347">
      <c r="B4347" s="11">
        <f>IFERROR(__xludf.DUMMYFUNCTION("""COMPUTED_VALUE"""),39713.666666666664)</f>
        <v>39713.66667</v>
      </c>
      <c r="C4347" s="9">
        <f>IFERROR(__xludf.DUMMYFUNCTION("""COMPUTED_VALUE"""),32.23)</f>
        <v>32.23</v>
      </c>
      <c r="E4347" s="17"/>
      <c r="N4347" s="17"/>
      <c r="Q4347" s="17"/>
    </row>
    <row r="4348">
      <c r="B4348" s="11">
        <f>IFERROR(__xludf.DUMMYFUNCTION("""COMPUTED_VALUE"""),39710.666666666664)</f>
        <v>39710.66667</v>
      </c>
      <c r="C4348" s="9">
        <f>IFERROR(__xludf.DUMMYFUNCTION("""COMPUTED_VALUE"""),33.11)</f>
        <v>33.11</v>
      </c>
      <c r="E4348" s="17"/>
      <c r="N4348" s="17"/>
      <c r="Q4348" s="17"/>
    </row>
    <row r="4349">
      <c r="B4349" s="11">
        <f>IFERROR(__xludf.DUMMYFUNCTION("""COMPUTED_VALUE"""),39709.666666666664)</f>
        <v>39709.66667</v>
      </c>
      <c r="C4349" s="9">
        <f>IFERROR(__xludf.DUMMYFUNCTION("""COMPUTED_VALUE"""),32.38)</f>
        <v>32.38</v>
      </c>
      <c r="E4349" s="17"/>
      <c r="N4349" s="17"/>
      <c r="Q4349" s="17"/>
    </row>
    <row r="4350">
      <c r="B4350" s="11">
        <f>IFERROR(__xludf.DUMMYFUNCTION("""COMPUTED_VALUE"""),39708.666666666664)</f>
        <v>39708.66667</v>
      </c>
      <c r="C4350" s="9">
        <f>IFERROR(__xludf.DUMMYFUNCTION("""COMPUTED_VALUE"""),31.73)</f>
        <v>31.73</v>
      </c>
      <c r="E4350" s="17"/>
      <c r="N4350" s="17"/>
      <c r="Q4350" s="17"/>
    </row>
    <row r="4351">
      <c r="B4351" s="11">
        <f>IFERROR(__xludf.DUMMYFUNCTION("""COMPUTED_VALUE"""),39707.666666666664)</f>
        <v>39707.66667</v>
      </c>
      <c r="C4351" s="9">
        <f>IFERROR(__xludf.DUMMYFUNCTION("""COMPUTED_VALUE"""),32.84)</f>
        <v>32.84</v>
      </c>
      <c r="E4351" s="17"/>
      <c r="N4351" s="17"/>
      <c r="Q4351" s="17"/>
    </row>
    <row r="4352">
      <c r="B4352" s="11">
        <f>IFERROR(__xludf.DUMMYFUNCTION("""COMPUTED_VALUE"""),39706.666666666664)</f>
        <v>39706.66667</v>
      </c>
      <c r="C4352" s="9">
        <f>IFERROR(__xludf.DUMMYFUNCTION("""COMPUTED_VALUE"""),32.74)</f>
        <v>32.74</v>
      </c>
      <c r="E4352" s="17"/>
      <c r="N4352" s="17"/>
      <c r="Q4352" s="17"/>
    </row>
    <row r="4353">
      <c r="B4353" s="11">
        <f>IFERROR(__xludf.DUMMYFUNCTION("""COMPUTED_VALUE"""),39703.666666666664)</f>
        <v>39703.66667</v>
      </c>
      <c r="C4353" s="9">
        <f>IFERROR(__xludf.DUMMYFUNCTION("""COMPUTED_VALUE"""),34.11)</f>
        <v>34.11</v>
      </c>
      <c r="E4353" s="17"/>
      <c r="N4353" s="17"/>
      <c r="Q4353" s="17"/>
    </row>
    <row r="4354">
      <c r="B4354" s="11">
        <f>IFERROR(__xludf.DUMMYFUNCTION("""COMPUTED_VALUE"""),39702.666666666664)</f>
        <v>39702.66667</v>
      </c>
      <c r="C4354" s="9">
        <f>IFERROR(__xludf.DUMMYFUNCTION("""COMPUTED_VALUE"""),34.2)</f>
        <v>34.2</v>
      </c>
      <c r="E4354" s="17"/>
      <c r="N4354" s="17"/>
      <c r="Q4354" s="17"/>
    </row>
    <row r="4355">
      <c r="B4355" s="11">
        <f>IFERROR(__xludf.DUMMYFUNCTION("""COMPUTED_VALUE"""),39701.666666666664)</f>
        <v>39701.66667</v>
      </c>
      <c r="C4355" s="9">
        <f>IFERROR(__xludf.DUMMYFUNCTION("""COMPUTED_VALUE"""),33.43)</f>
        <v>33.43</v>
      </c>
      <c r="E4355" s="17"/>
      <c r="N4355" s="17"/>
      <c r="Q4355" s="17"/>
    </row>
    <row r="4356">
      <c r="B4356" s="11">
        <f>IFERROR(__xludf.DUMMYFUNCTION("""COMPUTED_VALUE"""),39700.666666666664)</f>
        <v>39700.66667</v>
      </c>
      <c r="C4356" s="9">
        <f>IFERROR(__xludf.DUMMYFUNCTION("""COMPUTED_VALUE"""),33.29)</f>
        <v>33.29</v>
      </c>
      <c r="E4356" s="17"/>
      <c r="N4356" s="17"/>
      <c r="Q4356" s="17"/>
    </row>
    <row r="4357">
      <c r="B4357" s="11">
        <f>IFERROR(__xludf.DUMMYFUNCTION("""COMPUTED_VALUE"""),39699.666666666664)</f>
        <v>39699.66667</v>
      </c>
      <c r="C4357" s="9">
        <f>IFERROR(__xludf.DUMMYFUNCTION("""COMPUTED_VALUE"""),34.3)</f>
        <v>34.3</v>
      </c>
      <c r="E4357" s="17"/>
      <c r="N4357" s="17"/>
      <c r="Q4357" s="17"/>
    </row>
    <row r="4358">
      <c r="B4358" s="11">
        <f>IFERROR(__xludf.DUMMYFUNCTION("""COMPUTED_VALUE"""),39696.666666666664)</f>
        <v>39696.66667</v>
      </c>
      <c r="C4358" s="9">
        <f>IFERROR(__xludf.DUMMYFUNCTION("""COMPUTED_VALUE"""),33.76)</f>
        <v>33.76</v>
      </c>
      <c r="E4358" s="17"/>
      <c r="N4358" s="17"/>
      <c r="Q4358" s="17"/>
    </row>
    <row r="4359">
      <c r="B4359" s="11">
        <f>IFERROR(__xludf.DUMMYFUNCTION("""COMPUTED_VALUE"""),39695.666666666664)</f>
        <v>39695.66667</v>
      </c>
      <c r="C4359" s="9">
        <f>IFERROR(__xludf.DUMMYFUNCTION("""COMPUTED_VALUE"""),33.77)</f>
        <v>33.77</v>
      </c>
      <c r="E4359" s="17"/>
      <c r="N4359" s="17"/>
      <c r="Q4359" s="17"/>
    </row>
    <row r="4360">
      <c r="B4360" s="11">
        <f>IFERROR(__xludf.DUMMYFUNCTION("""COMPUTED_VALUE"""),39694.666666666664)</f>
        <v>39694.66667</v>
      </c>
      <c r="C4360" s="9">
        <f>IFERROR(__xludf.DUMMYFUNCTION("""COMPUTED_VALUE"""),34.97)</f>
        <v>34.97</v>
      </c>
      <c r="E4360" s="17"/>
      <c r="N4360" s="17"/>
      <c r="Q4360" s="17"/>
    </row>
    <row r="4361">
      <c r="B4361" s="11">
        <f>IFERROR(__xludf.DUMMYFUNCTION("""COMPUTED_VALUE"""),39693.666666666664)</f>
        <v>39693.66667</v>
      </c>
      <c r="C4361" s="9">
        <f>IFERROR(__xludf.DUMMYFUNCTION("""COMPUTED_VALUE"""),35.23)</f>
        <v>35.23</v>
      </c>
      <c r="E4361" s="17"/>
      <c r="N4361" s="17"/>
      <c r="Q4361" s="17"/>
    </row>
    <row r="4362">
      <c r="B4362" s="11">
        <f>IFERROR(__xludf.DUMMYFUNCTION("""COMPUTED_VALUE"""),39689.666666666664)</f>
        <v>39689.66667</v>
      </c>
      <c r="C4362" s="9">
        <f>IFERROR(__xludf.DUMMYFUNCTION("""COMPUTED_VALUE"""),35.22)</f>
        <v>35.22</v>
      </c>
      <c r="E4362" s="17"/>
      <c r="N4362" s="17"/>
      <c r="Q4362" s="17"/>
    </row>
    <row r="4363">
      <c r="B4363" s="11">
        <f>IFERROR(__xludf.DUMMYFUNCTION("""COMPUTED_VALUE"""),39688.666666666664)</f>
        <v>39688.66667</v>
      </c>
      <c r="C4363" s="9">
        <f>IFERROR(__xludf.DUMMYFUNCTION("""COMPUTED_VALUE"""),35.61)</f>
        <v>35.61</v>
      </c>
      <c r="E4363" s="17"/>
      <c r="N4363" s="17"/>
      <c r="Q4363" s="17"/>
    </row>
    <row r="4364">
      <c r="B4364" s="11">
        <f>IFERROR(__xludf.DUMMYFUNCTION("""COMPUTED_VALUE"""),39687.666666666664)</f>
        <v>39687.66667</v>
      </c>
      <c r="C4364" s="9">
        <f>IFERROR(__xludf.DUMMYFUNCTION("""COMPUTED_VALUE"""),34.83)</f>
        <v>34.83</v>
      </c>
      <c r="E4364" s="17"/>
      <c r="N4364" s="17"/>
      <c r="Q4364" s="17"/>
    </row>
    <row r="4365">
      <c r="B4365" s="11">
        <f>IFERROR(__xludf.DUMMYFUNCTION("""COMPUTED_VALUE"""),39686.666666666664)</f>
        <v>39686.66667</v>
      </c>
      <c r="C4365" s="9">
        <f>IFERROR(__xludf.DUMMYFUNCTION("""COMPUTED_VALUE"""),34.73)</f>
        <v>34.73</v>
      </c>
      <c r="E4365" s="17"/>
      <c r="N4365" s="17"/>
      <c r="Q4365" s="17"/>
    </row>
    <row r="4366">
      <c r="B4366" s="11">
        <f>IFERROR(__xludf.DUMMYFUNCTION("""COMPUTED_VALUE"""),39685.666666666664)</f>
        <v>39685.66667</v>
      </c>
      <c r="C4366" s="9">
        <f>IFERROR(__xludf.DUMMYFUNCTION("""COMPUTED_VALUE"""),34.74)</f>
        <v>34.74</v>
      </c>
      <c r="E4366" s="17"/>
      <c r="N4366" s="17"/>
      <c r="Q4366" s="17"/>
    </row>
    <row r="4367">
      <c r="B4367" s="11">
        <f>IFERROR(__xludf.DUMMYFUNCTION("""COMPUTED_VALUE"""),39682.666666666664)</f>
        <v>39682.66667</v>
      </c>
      <c r="C4367" s="9">
        <f>IFERROR(__xludf.DUMMYFUNCTION("""COMPUTED_VALUE"""),35.29)</f>
        <v>35.29</v>
      </c>
      <c r="E4367" s="17"/>
      <c r="N4367" s="17"/>
      <c r="Q4367" s="17"/>
    </row>
    <row r="4368">
      <c r="B4368" s="11">
        <f>IFERROR(__xludf.DUMMYFUNCTION("""COMPUTED_VALUE"""),39681.666666666664)</f>
        <v>39681.66667</v>
      </c>
      <c r="C4368" s="9">
        <f>IFERROR(__xludf.DUMMYFUNCTION("""COMPUTED_VALUE"""),34.61)</f>
        <v>34.61</v>
      </c>
      <c r="E4368" s="17"/>
      <c r="N4368" s="17"/>
      <c r="Q4368" s="17"/>
    </row>
    <row r="4369">
      <c r="B4369" s="11">
        <f>IFERROR(__xludf.DUMMYFUNCTION("""COMPUTED_VALUE"""),39680.666666666664)</f>
        <v>39680.66667</v>
      </c>
      <c r="C4369" s="9">
        <f>IFERROR(__xludf.DUMMYFUNCTION("""COMPUTED_VALUE"""),34.53)</f>
        <v>34.53</v>
      </c>
      <c r="E4369" s="17"/>
      <c r="N4369" s="17"/>
      <c r="Q4369" s="17"/>
    </row>
    <row r="4370">
      <c r="B4370" s="11">
        <f>IFERROR(__xludf.DUMMYFUNCTION("""COMPUTED_VALUE"""),39679.666666666664)</f>
        <v>39679.66667</v>
      </c>
      <c r="C4370" s="9">
        <f>IFERROR(__xludf.DUMMYFUNCTION("""COMPUTED_VALUE"""),34.81)</f>
        <v>34.81</v>
      </c>
      <c r="E4370" s="17"/>
      <c r="N4370" s="17"/>
      <c r="Q4370" s="17"/>
    </row>
    <row r="4371">
      <c r="B4371" s="11">
        <f>IFERROR(__xludf.DUMMYFUNCTION("""COMPUTED_VALUE"""),39678.666666666664)</f>
        <v>39678.66667</v>
      </c>
      <c r="C4371" s="9">
        <f>IFERROR(__xludf.DUMMYFUNCTION("""COMPUTED_VALUE"""),35.25)</f>
        <v>35.25</v>
      </c>
      <c r="E4371" s="17"/>
      <c r="N4371" s="17"/>
      <c r="Q4371" s="17"/>
    </row>
    <row r="4372">
      <c r="B4372" s="11">
        <f>IFERROR(__xludf.DUMMYFUNCTION("""COMPUTED_VALUE"""),39675.666666666664)</f>
        <v>39675.66667</v>
      </c>
      <c r="C4372" s="9">
        <f>IFERROR(__xludf.DUMMYFUNCTION("""COMPUTED_VALUE"""),35.65)</f>
        <v>35.65</v>
      </c>
      <c r="E4372" s="17"/>
      <c r="N4372" s="17"/>
      <c r="Q4372" s="17"/>
    </row>
    <row r="4373">
      <c r="B4373" s="11">
        <f>IFERROR(__xludf.DUMMYFUNCTION("""COMPUTED_VALUE"""),39674.666666666664)</f>
        <v>39674.66667</v>
      </c>
      <c r="C4373" s="9">
        <f>IFERROR(__xludf.DUMMYFUNCTION("""COMPUTED_VALUE"""),35.45)</f>
        <v>35.45</v>
      </c>
      <c r="E4373" s="17"/>
      <c r="N4373" s="17"/>
      <c r="Q4373" s="17"/>
    </row>
    <row r="4374">
      <c r="B4374" s="11">
        <f>IFERROR(__xludf.DUMMYFUNCTION("""COMPUTED_VALUE"""),39673.666666666664)</f>
        <v>39673.66667</v>
      </c>
      <c r="C4374" s="9">
        <f>IFERROR(__xludf.DUMMYFUNCTION("""COMPUTED_VALUE"""),35.32)</f>
        <v>35.32</v>
      </c>
      <c r="E4374" s="17"/>
      <c r="N4374" s="17"/>
      <c r="Q4374" s="17"/>
    </row>
    <row r="4375">
      <c r="B4375" s="11">
        <f>IFERROR(__xludf.DUMMYFUNCTION("""COMPUTED_VALUE"""),39672.666666666664)</f>
        <v>39672.66667</v>
      </c>
      <c r="C4375" s="9">
        <f>IFERROR(__xludf.DUMMYFUNCTION("""COMPUTED_VALUE"""),35.45)</f>
        <v>35.45</v>
      </c>
      <c r="E4375" s="17"/>
      <c r="N4375" s="17"/>
      <c r="Q4375" s="17"/>
    </row>
    <row r="4376">
      <c r="B4376" s="11">
        <f>IFERROR(__xludf.DUMMYFUNCTION("""COMPUTED_VALUE"""),39671.666666666664)</f>
        <v>39671.66667</v>
      </c>
      <c r="C4376" s="9">
        <f>IFERROR(__xludf.DUMMYFUNCTION("""COMPUTED_VALUE"""),35.8)</f>
        <v>35.8</v>
      </c>
      <c r="E4376" s="17"/>
      <c r="N4376" s="17"/>
      <c r="Q4376" s="17"/>
    </row>
    <row r="4377">
      <c r="B4377" s="11">
        <f>IFERROR(__xludf.DUMMYFUNCTION("""COMPUTED_VALUE"""),39668.666666666664)</f>
        <v>39668.66667</v>
      </c>
      <c r="C4377" s="9">
        <f>IFERROR(__xludf.DUMMYFUNCTION("""COMPUTED_VALUE"""),35.71)</f>
        <v>35.71</v>
      </c>
      <c r="E4377" s="17"/>
      <c r="N4377" s="17"/>
      <c r="Q4377" s="17"/>
    </row>
    <row r="4378">
      <c r="B4378" s="11">
        <f>IFERROR(__xludf.DUMMYFUNCTION("""COMPUTED_VALUE"""),39667.666666666664)</f>
        <v>39667.66667</v>
      </c>
      <c r="C4378" s="9">
        <f>IFERROR(__xludf.DUMMYFUNCTION("""COMPUTED_VALUE"""),34.52)</f>
        <v>34.52</v>
      </c>
      <c r="E4378" s="17"/>
      <c r="N4378" s="17"/>
      <c r="Q4378" s="17"/>
    </row>
    <row r="4379">
      <c r="B4379" s="11">
        <f>IFERROR(__xludf.DUMMYFUNCTION("""COMPUTED_VALUE"""),39666.666666666664)</f>
        <v>39666.66667</v>
      </c>
      <c r="C4379" s="9">
        <f>IFERROR(__xludf.DUMMYFUNCTION("""COMPUTED_VALUE"""),35.72)</f>
        <v>35.72</v>
      </c>
      <c r="E4379" s="17"/>
      <c r="N4379" s="17"/>
      <c r="Q4379" s="17"/>
    </row>
    <row r="4380">
      <c r="B4380" s="11">
        <f>IFERROR(__xludf.DUMMYFUNCTION("""COMPUTED_VALUE"""),39665.666666666664)</f>
        <v>39665.66667</v>
      </c>
      <c r="C4380" s="9">
        <f>IFERROR(__xludf.DUMMYFUNCTION("""COMPUTED_VALUE"""),35.05)</f>
        <v>35.05</v>
      </c>
      <c r="E4380" s="17"/>
      <c r="N4380" s="17"/>
      <c r="Q4380" s="17"/>
    </row>
    <row r="4381">
      <c r="B4381" s="11">
        <f>IFERROR(__xludf.DUMMYFUNCTION("""COMPUTED_VALUE"""),39664.666666666664)</f>
        <v>39664.66667</v>
      </c>
      <c r="C4381" s="9">
        <f>IFERROR(__xludf.DUMMYFUNCTION("""COMPUTED_VALUE"""),34.1)</f>
        <v>34.1</v>
      </c>
      <c r="E4381" s="17"/>
      <c r="N4381" s="17"/>
      <c r="Q4381" s="17"/>
    </row>
    <row r="4382">
      <c r="B4382" s="11">
        <f>IFERROR(__xludf.DUMMYFUNCTION("""COMPUTED_VALUE"""),39661.666666666664)</f>
        <v>39661.66667</v>
      </c>
      <c r="C4382" s="9">
        <f>IFERROR(__xludf.DUMMYFUNCTION("""COMPUTED_VALUE"""),34.25)</f>
        <v>34.25</v>
      </c>
      <c r="E4382" s="17"/>
      <c r="N4382" s="17"/>
      <c r="Q4382" s="17"/>
    </row>
    <row r="4383">
      <c r="B4383" s="11">
        <f>IFERROR(__xludf.DUMMYFUNCTION("""COMPUTED_VALUE"""),39660.666666666664)</f>
        <v>39660.66667</v>
      </c>
      <c r="C4383" s="9">
        <f>IFERROR(__xludf.DUMMYFUNCTION("""COMPUTED_VALUE"""),34.28)</f>
        <v>34.28</v>
      </c>
      <c r="E4383" s="17"/>
      <c r="N4383" s="17"/>
      <c r="Q4383" s="17"/>
    </row>
    <row r="4384">
      <c r="B4384" s="11">
        <f>IFERROR(__xludf.DUMMYFUNCTION("""COMPUTED_VALUE"""),39659.666666666664)</f>
        <v>39659.66667</v>
      </c>
      <c r="C4384" s="9">
        <f>IFERROR(__xludf.DUMMYFUNCTION("""COMPUTED_VALUE"""),35.36)</f>
        <v>35.36</v>
      </c>
      <c r="E4384" s="17"/>
      <c r="N4384" s="17"/>
      <c r="Q4384" s="17"/>
    </row>
    <row r="4385">
      <c r="B4385" s="11">
        <f>IFERROR(__xludf.DUMMYFUNCTION("""COMPUTED_VALUE"""),39658.666666666664)</f>
        <v>39658.66667</v>
      </c>
      <c r="C4385" s="9">
        <f>IFERROR(__xludf.DUMMYFUNCTION("""COMPUTED_VALUE"""),34.95)</f>
        <v>34.95</v>
      </c>
      <c r="E4385" s="17"/>
      <c r="N4385" s="17"/>
      <c r="Q4385" s="17"/>
    </row>
    <row r="4386">
      <c r="B4386" s="11">
        <f>IFERROR(__xludf.DUMMYFUNCTION("""COMPUTED_VALUE"""),39657.666666666664)</f>
        <v>39657.66667</v>
      </c>
      <c r="C4386" s="9">
        <f>IFERROR(__xludf.DUMMYFUNCTION("""COMPUTED_VALUE"""),33.68)</f>
        <v>33.68</v>
      </c>
      <c r="E4386" s="17"/>
      <c r="N4386" s="17"/>
      <c r="Q4386" s="17"/>
    </row>
    <row r="4387">
      <c r="B4387" s="11">
        <f>IFERROR(__xludf.DUMMYFUNCTION("""COMPUTED_VALUE"""),39654.666666666664)</f>
        <v>39654.66667</v>
      </c>
      <c r="C4387" s="9">
        <f>IFERROR(__xludf.DUMMYFUNCTION("""COMPUTED_VALUE"""),34.47)</f>
        <v>34.47</v>
      </c>
      <c r="E4387" s="17"/>
      <c r="N4387" s="17"/>
      <c r="Q4387" s="17"/>
    </row>
    <row r="4388">
      <c r="B4388" s="11">
        <f>IFERROR(__xludf.DUMMYFUNCTION("""COMPUTED_VALUE"""),39653.666666666664)</f>
        <v>39653.66667</v>
      </c>
      <c r="C4388" s="9">
        <f>IFERROR(__xludf.DUMMYFUNCTION("""COMPUTED_VALUE"""),34.15)</f>
        <v>34.15</v>
      </c>
      <c r="E4388" s="17"/>
      <c r="N4388" s="17"/>
      <c r="Q4388" s="17"/>
    </row>
    <row r="4389">
      <c r="B4389" s="11">
        <f>IFERROR(__xludf.DUMMYFUNCTION("""COMPUTED_VALUE"""),39652.666666666664)</f>
        <v>39652.66667</v>
      </c>
      <c r="C4389" s="9">
        <f>IFERROR(__xludf.DUMMYFUNCTION("""COMPUTED_VALUE"""),35.02)</f>
        <v>35.02</v>
      </c>
      <c r="E4389" s="17"/>
      <c r="N4389" s="17"/>
      <c r="Q4389" s="17"/>
    </row>
    <row r="4390">
      <c r="B4390" s="11">
        <f>IFERROR(__xludf.DUMMYFUNCTION("""COMPUTED_VALUE"""),39651.666666666664)</f>
        <v>39651.66667</v>
      </c>
      <c r="C4390" s="9">
        <f>IFERROR(__xludf.DUMMYFUNCTION("""COMPUTED_VALUE"""),34.75)</f>
        <v>34.75</v>
      </c>
      <c r="E4390" s="17"/>
      <c r="N4390" s="17"/>
      <c r="Q4390" s="17"/>
    </row>
    <row r="4391">
      <c r="B4391" s="11">
        <f>IFERROR(__xludf.DUMMYFUNCTION("""COMPUTED_VALUE"""),39650.666666666664)</f>
        <v>39650.66667</v>
      </c>
      <c r="C4391" s="9">
        <f>IFERROR(__xludf.DUMMYFUNCTION("""COMPUTED_VALUE"""),34.33)</f>
        <v>34.33</v>
      </c>
      <c r="E4391" s="17"/>
      <c r="N4391" s="17"/>
      <c r="Q4391" s="17"/>
    </row>
    <row r="4392">
      <c r="B4392" s="11">
        <f>IFERROR(__xludf.DUMMYFUNCTION("""COMPUTED_VALUE"""),39647.666666666664)</f>
        <v>39647.66667</v>
      </c>
      <c r="C4392" s="9">
        <f>IFERROR(__xludf.DUMMYFUNCTION("""COMPUTED_VALUE"""),34.3)</f>
        <v>34.3</v>
      </c>
      <c r="E4392" s="17"/>
      <c r="N4392" s="17"/>
      <c r="Q4392" s="17"/>
    </row>
    <row r="4393">
      <c r="B4393" s="11">
        <f>IFERROR(__xludf.DUMMYFUNCTION("""COMPUTED_VALUE"""),39646.666666666664)</f>
        <v>39646.66667</v>
      </c>
      <c r="C4393" s="9">
        <f>IFERROR(__xludf.DUMMYFUNCTION("""COMPUTED_VALUE"""),34.25)</f>
        <v>34.25</v>
      </c>
      <c r="E4393" s="17"/>
      <c r="N4393" s="17"/>
      <c r="Q4393" s="17"/>
    </row>
    <row r="4394">
      <c r="B4394" s="11">
        <f>IFERROR(__xludf.DUMMYFUNCTION("""COMPUTED_VALUE"""),39645.666666666664)</f>
        <v>39645.66667</v>
      </c>
      <c r="C4394" s="9">
        <f>IFERROR(__xludf.DUMMYFUNCTION("""COMPUTED_VALUE"""),33.33)</f>
        <v>33.33</v>
      </c>
      <c r="E4394" s="17"/>
      <c r="N4394" s="17"/>
      <c r="Q4394" s="17"/>
    </row>
    <row r="4395">
      <c r="B4395" s="11">
        <f>IFERROR(__xludf.DUMMYFUNCTION("""COMPUTED_VALUE"""),39644.666666666664)</f>
        <v>39644.66667</v>
      </c>
      <c r="C4395" s="9">
        <f>IFERROR(__xludf.DUMMYFUNCTION("""COMPUTED_VALUE"""),32.58)</f>
        <v>32.58</v>
      </c>
      <c r="E4395" s="17"/>
      <c r="N4395" s="17"/>
      <c r="Q4395" s="17"/>
    </row>
    <row r="4396">
      <c r="B4396" s="11">
        <f>IFERROR(__xludf.DUMMYFUNCTION("""COMPUTED_VALUE"""),39643.666666666664)</f>
        <v>39643.66667</v>
      </c>
      <c r="C4396" s="9">
        <f>IFERROR(__xludf.DUMMYFUNCTION("""COMPUTED_VALUE"""),33.24)</f>
        <v>33.24</v>
      </c>
      <c r="E4396" s="17"/>
      <c r="N4396" s="17"/>
      <c r="Q4396" s="17"/>
    </row>
    <row r="4397">
      <c r="B4397" s="11">
        <f>IFERROR(__xludf.DUMMYFUNCTION("""COMPUTED_VALUE"""),39640.666666666664)</f>
        <v>39640.66667</v>
      </c>
      <c r="C4397" s="9">
        <f>IFERROR(__xludf.DUMMYFUNCTION("""COMPUTED_VALUE"""),33.09)</f>
        <v>33.09</v>
      </c>
      <c r="E4397" s="17"/>
      <c r="N4397" s="17"/>
      <c r="Q4397" s="17"/>
    </row>
    <row r="4398">
      <c r="B4398" s="11">
        <f>IFERROR(__xludf.DUMMYFUNCTION("""COMPUTED_VALUE"""),39639.666666666664)</f>
        <v>39639.66667</v>
      </c>
      <c r="C4398" s="9">
        <f>IFERROR(__xludf.DUMMYFUNCTION("""COMPUTED_VALUE"""),33.7)</f>
        <v>33.7</v>
      </c>
      <c r="E4398" s="17"/>
      <c r="N4398" s="17"/>
      <c r="Q4398" s="17"/>
    </row>
    <row r="4399">
      <c r="B4399" s="11">
        <f>IFERROR(__xludf.DUMMYFUNCTION("""COMPUTED_VALUE"""),39638.666666666664)</f>
        <v>39638.66667</v>
      </c>
      <c r="C4399" s="9">
        <f>IFERROR(__xludf.DUMMYFUNCTION("""COMPUTED_VALUE"""),33.19)</f>
        <v>33.19</v>
      </c>
      <c r="E4399" s="17"/>
      <c r="N4399" s="17"/>
      <c r="Q4399" s="17"/>
    </row>
    <row r="4400">
      <c r="B4400" s="11">
        <f>IFERROR(__xludf.DUMMYFUNCTION("""COMPUTED_VALUE"""),39637.666666666664)</f>
        <v>39637.66667</v>
      </c>
      <c r="C4400" s="9">
        <f>IFERROR(__xludf.DUMMYFUNCTION("""COMPUTED_VALUE"""),34.14)</f>
        <v>34.14</v>
      </c>
      <c r="E4400" s="17"/>
      <c r="N4400" s="17"/>
      <c r="Q4400" s="17"/>
    </row>
    <row r="4401">
      <c r="B4401" s="11">
        <f>IFERROR(__xludf.DUMMYFUNCTION("""COMPUTED_VALUE"""),39636.666666666664)</f>
        <v>39636.66667</v>
      </c>
      <c r="C4401" s="9">
        <f>IFERROR(__xludf.DUMMYFUNCTION("""COMPUTED_VALUE"""),33.37)</f>
        <v>33.37</v>
      </c>
      <c r="E4401" s="17"/>
      <c r="N4401" s="17"/>
      <c r="Q4401" s="17"/>
    </row>
    <row r="4402">
      <c r="B4402" s="11">
        <f>IFERROR(__xludf.DUMMYFUNCTION("""COMPUTED_VALUE"""),39632.666666666664)</f>
        <v>39632.66667</v>
      </c>
      <c r="C4402" s="9">
        <f>IFERROR(__xludf.DUMMYFUNCTION("""COMPUTED_VALUE"""),33.41)</f>
        <v>33.41</v>
      </c>
      <c r="E4402" s="17"/>
      <c r="N4402" s="17"/>
      <c r="Q4402" s="17"/>
    </row>
    <row r="4403">
      <c r="B4403" s="11">
        <f>IFERROR(__xludf.DUMMYFUNCTION("""COMPUTED_VALUE"""),39631.666666666664)</f>
        <v>39631.66667</v>
      </c>
      <c r="C4403" s="9">
        <f>IFERROR(__xludf.DUMMYFUNCTION("""COMPUTED_VALUE"""),32.95)</f>
        <v>32.95</v>
      </c>
      <c r="E4403" s="17"/>
      <c r="N4403" s="17"/>
      <c r="Q4403" s="17"/>
    </row>
    <row r="4404">
      <c r="B4404" s="11">
        <f>IFERROR(__xludf.DUMMYFUNCTION("""COMPUTED_VALUE"""),39630.666666666664)</f>
        <v>39630.66667</v>
      </c>
      <c r="C4404" s="9">
        <f>IFERROR(__xludf.DUMMYFUNCTION("""COMPUTED_VALUE"""),33.99)</f>
        <v>33.99</v>
      </c>
      <c r="E4404" s="17"/>
      <c r="N4404" s="17"/>
      <c r="Q4404" s="17"/>
    </row>
    <row r="4405">
      <c r="B4405" s="11">
        <f>IFERROR(__xludf.DUMMYFUNCTION("""COMPUTED_VALUE"""),39629.666666666664)</f>
        <v>39629.66667</v>
      </c>
      <c r="C4405" s="9">
        <f>IFERROR(__xludf.DUMMYFUNCTION("""COMPUTED_VALUE"""),34.01)</f>
        <v>34.01</v>
      </c>
      <c r="E4405" s="17"/>
      <c r="N4405" s="17"/>
      <c r="Q4405" s="17"/>
    </row>
    <row r="4406">
      <c r="B4406" s="11">
        <f>IFERROR(__xludf.DUMMYFUNCTION("""COMPUTED_VALUE"""),39626.666666666664)</f>
        <v>39626.66667</v>
      </c>
      <c r="C4406" s="9">
        <f>IFERROR(__xludf.DUMMYFUNCTION("""COMPUTED_VALUE"""),33.7)</f>
        <v>33.7</v>
      </c>
      <c r="E4406" s="17"/>
      <c r="N4406" s="17"/>
      <c r="Q4406" s="17"/>
    </row>
    <row r="4407">
      <c r="B4407" s="11">
        <f>IFERROR(__xludf.DUMMYFUNCTION("""COMPUTED_VALUE"""),39625.666666666664)</f>
        <v>39625.66667</v>
      </c>
      <c r="C4407" s="9">
        <f>IFERROR(__xludf.DUMMYFUNCTION("""COMPUTED_VALUE"""),34.7)</f>
        <v>34.7</v>
      </c>
      <c r="E4407" s="17"/>
      <c r="N4407" s="17"/>
      <c r="Q4407" s="17"/>
    </row>
    <row r="4408">
      <c r="B4408" s="11">
        <f>IFERROR(__xludf.DUMMYFUNCTION("""COMPUTED_VALUE"""),39624.666666666664)</f>
        <v>39624.66667</v>
      </c>
      <c r="C4408" s="9">
        <f>IFERROR(__xludf.DUMMYFUNCTION("""COMPUTED_VALUE"""),35.28)</f>
        <v>35.28</v>
      </c>
      <c r="E4408" s="17"/>
      <c r="N4408" s="17"/>
      <c r="Q4408" s="17"/>
    </row>
    <row r="4409">
      <c r="B4409" s="11">
        <f>IFERROR(__xludf.DUMMYFUNCTION("""COMPUTED_VALUE"""),39623.666666666664)</f>
        <v>39623.66667</v>
      </c>
      <c r="C4409" s="9">
        <f>IFERROR(__xludf.DUMMYFUNCTION("""COMPUTED_VALUE"""),35.54)</f>
        <v>35.54</v>
      </c>
      <c r="E4409" s="17"/>
      <c r="N4409" s="17"/>
      <c r="Q4409" s="17"/>
    </row>
    <row r="4410">
      <c r="B4410" s="11">
        <f>IFERROR(__xludf.DUMMYFUNCTION("""COMPUTED_VALUE"""),39622.666666666664)</f>
        <v>39622.66667</v>
      </c>
      <c r="C4410" s="9">
        <f>IFERROR(__xludf.DUMMYFUNCTION("""COMPUTED_VALUE"""),35.97)</f>
        <v>35.97</v>
      </c>
      <c r="E4410" s="17"/>
      <c r="N4410" s="17"/>
      <c r="Q4410" s="17"/>
    </row>
    <row r="4411">
      <c r="B4411" s="11">
        <f>IFERROR(__xludf.DUMMYFUNCTION("""COMPUTED_VALUE"""),39619.666666666664)</f>
        <v>39619.66667</v>
      </c>
      <c r="C4411" s="9">
        <f>IFERROR(__xludf.DUMMYFUNCTION("""COMPUTED_VALUE"""),35.9)</f>
        <v>35.9</v>
      </c>
      <c r="E4411" s="17"/>
      <c r="N4411" s="17"/>
      <c r="Q4411" s="17"/>
    </row>
    <row r="4412">
      <c r="B4412" s="11">
        <f>IFERROR(__xludf.DUMMYFUNCTION("""COMPUTED_VALUE"""),39618.666666666664)</f>
        <v>39618.66667</v>
      </c>
      <c r="C4412" s="9">
        <f>IFERROR(__xludf.DUMMYFUNCTION("""COMPUTED_VALUE"""),36.68)</f>
        <v>36.68</v>
      </c>
      <c r="E4412" s="17"/>
      <c r="N4412" s="17"/>
      <c r="Q4412" s="17"/>
    </row>
    <row r="4413">
      <c r="B4413" s="11">
        <f>IFERROR(__xludf.DUMMYFUNCTION("""COMPUTED_VALUE"""),39617.666666666664)</f>
        <v>39617.66667</v>
      </c>
      <c r="C4413" s="9">
        <f>IFERROR(__xludf.DUMMYFUNCTION("""COMPUTED_VALUE"""),36.21)</f>
        <v>36.21</v>
      </c>
      <c r="E4413" s="17"/>
      <c r="N4413" s="17"/>
      <c r="Q4413" s="17"/>
    </row>
    <row r="4414">
      <c r="B4414" s="11">
        <f>IFERROR(__xludf.DUMMYFUNCTION("""COMPUTED_VALUE"""),39616.666666666664)</f>
        <v>39616.66667</v>
      </c>
      <c r="C4414" s="9">
        <f>IFERROR(__xludf.DUMMYFUNCTION("""COMPUTED_VALUE"""),36.74)</f>
        <v>36.74</v>
      </c>
      <c r="E4414" s="17"/>
      <c r="N4414" s="17"/>
      <c r="Q4414" s="17"/>
    </row>
    <row r="4415">
      <c r="B4415" s="11">
        <f>IFERROR(__xludf.DUMMYFUNCTION("""COMPUTED_VALUE"""),39615.666666666664)</f>
        <v>39615.66667</v>
      </c>
      <c r="C4415" s="9">
        <f>IFERROR(__xludf.DUMMYFUNCTION("""COMPUTED_VALUE"""),36.82)</f>
        <v>36.82</v>
      </c>
      <c r="E4415" s="17"/>
      <c r="N4415" s="17"/>
      <c r="Q4415" s="17"/>
    </row>
    <row r="4416">
      <c r="B4416" s="11">
        <f>IFERROR(__xludf.DUMMYFUNCTION("""COMPUTED_VALUE"""),39612.666666666664)</f>
        <v>39612.66667</v>
      </c>
      <c r="C4416" s="9">
        <f>IFERROR(__xludf.DUMMYFUNCTION("""COMPUTED_VALUE"""),37.02)</f>
        <v>37.02</v>
      </c>
      <c r="E4416" s="17"/>
      <c r="N4416" s="17"/>
      <c r="Q4416" s="17"/>
    </row>
    <row r="4417">
      <c r="B4417" s="11">
        <f>IFERROR(__xludf.DUMMYFUNCTION("""COMPUTED_VALUE"""),39611.666666666664)</f>
        <v>39611.66667</v>
      </c>
      <c r="C4417" s="9">
        <f>IFERROR(__xludf.DUMMYFUNCTION("""COMPUTED_VALUE"""),36.6)</f>
        <v>36.6</v>
      </c>
      <c r="E4417" s="17"/>
      <c r="N4417" s="17"/>
      <c r="Q4417" s="17"/>
    </row>
    <row r="4418">
      <c r="B4418" s="11">
        <f>IFERROR(__xludf.DUMMYFUNCTION("""COMPUTED_VALUE"""),39610.666666666664)</f>
        <v>39610.66667</v>
      </c>
      <c r="C4418" s="9">
        <f>IFERROR(__xludf.DUMMYFUNCTION("""COMPUTED_VALUE"""),36.47)</f>
        <v>36.47</v>
      </c>
      <c r="E4418" s="17"/>
      <c r="N4418" s="17"/>
      <c r="Q4418" s="17"/>
    </row>
    <row r="4419">
      <c r="B4419" s="11">
        <f>IFERROR(__xludf.DUMMYFUNCTION("""COMPUTED_VALUE"""),39609.666666666664)</f>
        <v>39609.66667</v>
      </c>
      <c r="C4419" s="9">
        <f>IFERROR(__xludf.DUMMYFUNCTION("""COMPUTED_VALUE"""),37.17)</f>
        <v>37.17</v>
      </c>
      <c r="E4419" s="17"/>
      <c r="N4419" s="17"/>
      <c r="Q4419" s="17"/>
    </row>
    <row r="4420">
      <c r="B4420" s="11">
        <f>IFERROR(__xludf.DUMMYFUNCTION("""COMPUTED_VALUE"""),39608.666666666664)</f>
        <v>39608.66667</v>
      </c>
      <c r="C4420" s="9">
        <f>IFERROR(__xludf.DUMMYFUNCTION("""COMPUTED_VALUE"""),37.39)</f>
        <v>37.39</v>
      </c>
      <c r="E4420" s="17"/>
      <c r="N4420" s="17"/>
      <c r="Q4420" s="17"/>
    </row>
    <row r="4421">
      <c r="B4421" s="11">
        <f>IFERROR(__xludf.DUMMYFUNCTION("""COMPUTED_VALUE"""),39605.666666666664)</f>
        <v>39605.66667</v>
      </c>
      <c r="C4421" s="9">
        <f>IFERROR(__xludf.DUMMYFUNCTION("""COMPUTED_VALUE"""),37.01)</f>
        <v>37.01</v>
      </c>
      <c r="E4421" s="17"/>
      <c r="N4421" s="17"/>
      <c r="Q4421" s="17"/>
    </row>
    <row r="4422">
      <c r="B4422" s="11">
        <f>IFERROR(__xludf.DUMMYFUNCTION("""COMPUTED_VALUE"""),39604.666666666664)</f>
        <v>39604.66667</v>
      </c>
      <c r="C4422" s="9">
        <f>IFERROR(__xludf.DUMMYFUNCTION("""COMPUTED_VALUE"""),38.51)</f>
        <v>38.51</v>
      </c>
      <c r="E4422" s="17"/>
      <c r="N4422" s="17"/>
      <c r="Q4422" s="17"/>
    </row>
    <row r="4423">
      <c r="B4423" s="11">
        <f>IFERROR(__xludf.DUMMYFUNCTION("""COMPUTED_VALUE"""),39603.666666666664)</f>
        <v>39603.66667</v>
      </c>
      <c r="C4423" s="9">
        <f>IFERROR(__xludf.DUMMYFUNCTION("""COMPUTED_VALUE"""),38.23)</f>
        <v>38.23</v>
      </c>
      <c r="E4423" s="17"/>
      <c r="N4423" s="17"/>
      <c r="Q4423" s="17"/>
    </row>
    <row r="4424">
      <c r="B4424" s="11">
        <f>IFERROR(__xludf.DUMMYFUNCTION("""COMPUTED_VALUE"""),39602.666666666664)</f>
        <v>39602.66667</v>
      </c>
      <c r="C4424" s="9">
        <f>IFERROR(__xludf.DUMMYFUNCTION("""COMPUTED_VALUE"""),38.38)</f>
        <v>38.38</v>
      </c>
      <c r="E4424" s="17"/>
      <c r="N4424" s="17"/>
      <c r="Q4424" s="17"/>
    </row>
    <row r="4425">
      <c r="B4425" s="11">
        <f>IFERROR(__xludf.DUMMYFUNCTION("""COMPUTED_VALUE"""),39601.666666666664)</f>
        <v>39601.66667</v>
      </c>
      <c r="C4425" s="9">
        <f>IFERROR(__xludf.DUMMYFUNCTION("""COMPUTED_VALUE"""),38.51)</f>
        <v>38.51</v>
      </c>
      <c r="E4425" s="17"/>
      <c r="N4425" s="17"/>
      <c r="Q4425" s="17"/>
    </row>
    <row r="4426">
      <c r="B4426" s="11">
        <f>IFERROR(__xludf.DUMMYFUNCTION("""COMPUTED_VALUE"""),39598.666666666664)</f>
        <v>39598.66667</v>
      </c>
      <c r="C4426" s="9">
        <f>IFERROR(__xludf.DUMMYFUNCTION("""COMPUTED_VALUE"""),38.84)</f>
        <v>38.84</v>
      </c>
      <c r="E4426" s="17"/>
      <c r="N4426" s="17"/>
      <c r="Q4426" s="17"/>
    </row>
    <row r="4427">
      <c r="B4427" s="11">
        <f>IFERROR(__xludf.DUMMYFUNCTION("""COMPUTED_VALUE"""),39597.666666666664)</f>
        <v>39597.66667</v>
      </c>
      <c r="C4427" s="9">
        <f>IFERROR(__xludf.DUMMYFUNCTION("""COMPUTED_VALUE"""),38.6)</f>
        <v>38.6</v>
      </c>
      <c r="E4427" s="17"/>
      <c r="N4427" s="17"/>
      <c r="Q4427" s="17"/>
    </row>
    <row r="4428">
      <c r="B4428" s="11">
        <f>IFERROR(__xludf.DUMMYFUNCTION("""COMPUTED_VALUE"""),39596.666666666664)</f>
        <v>39596.66667</v>
      </c>
      <c r="C4428" s="9">
        <f>IFERROR(__xludf.DUMMYFUNCTION("""COMPUTED_VALUE"""),38.45)</f>
        <v>38.45</v>
      </c>
      <c r="E4428" s="17"/>
      <c r="N4428" s="17"/>
      <c r="Q4428" s="17"/>
    </row>
    <row r="4429">
      <c r="B4429" s="11">
        <f>IFERROR(__xludf.DUMMYFUNCTION("""COMPUTED_VALUE"""),39595.666666666664)</f>
        <v>39595.66667</v>
      </c>
      <c r="C4429" s="9">
        <f>IFERROR(__xludf.DUMMYFUNCTION("""COMPUTED_VALUE"""),38.19)</f>
        <v>38.19</v>
      </c>
      <c r="E4429" s="17"/>
      <c r="N4429" s="17"/>
      <c r="Q4429" s="17"/>
    </row>
    <row r="4430">
      <c r="B4430" s="11">
        <f>IFERROR(__xludf.DUMMYFUNCTION("""COMPUTED_VALUE"""),39591.666666666664)</f>
        <v>39591.66667</v>
      </c>
      <c r="C4430" s="9">
        <f>IFERROR(__xludf.DUMMYFUNCTION("""COMPUTED_VALUE"""),37.79)</f>
        <v>37.79</v>
      </c>
      <c r="E4430" s="17"/>
      <c r="N4430" s="17"/>
      <c r="Q4430" s="17"/>
    </row>
    <row r="4431">
      <c r="B4431" s="11">
        <f>IFERROR(__xludf.DUMMYFUNCTION("""COMPUTED_VALUE"""),39590.666666666664)</f>
        <v>39590.66667</v>
      </c>
      <c r="C4431" s="9">
        <f>IFERROR(__xludf.DUMMYFUNCTION("""COMPUTED_VALUE"""),38.34)</f>
        <v>38.34</v>
      </c>
      <c r="E4431" s="17"/>
      <c r="N4431" s="17"/>
      <c r="Q4431" s="17"/>
    </row>
    <row r="4432">
      <c r="B4432" s="11">
        <f>IFERROR(__xludf.DUMMYFUNCTION("""COMPUTED_VALUE"""),39589.666666666664)</f>
        <v>39589.66667</v>
      </c>
      <c r="C4432" s="9">
        <f>IFERROR(__xludf.DUMMYFUNCTION("""COMPUTED_VALUE"""),38.43)</f>
        <v>38.43</v>
      </c>
      <c r="E4432" s="17"/>
      <c r="N4432" s="17"/>
      <c r="Q4432" s="17"/>
    </row>
    <row r="4433">
      <c r="B4433" s="11">
        <f>IFERROR(__xludf.DUMMYFUNCTION("""COMPUTED_VALUE"""),39588.666666666664)</f>
        <v>39588.66667</v>
      </c>
      <c r="C4433" s="9">
        <f>IFERROR(__xludf.DUMMYFUNCTION("""COMPUTED_VALUE"""),39.09)</f>
        <v>39.09</v>
      </c>
      <c r="E4433" s="17"/>
      <c r="N4433" s="17"/>
      <c r="Q4433" s="17"/>
    </row>
    <row r="4434">
      <c r="B4434" s="11">
        <f>IFERROR(__xludf.DUMMYFUNCTION("""COMPUTED_VALUE"""),39587.666666666664)</f>
        <v>39587.66667</v>
      </c>
      <c r="C4434" s="9">
        <f>IFERROR(__xludf.DUMMYFUNCTION("""COMPUTED_VALUE"""),39.72)</f>
        <v>39.72</v>
      </c>
      <c r="E4434" s="17"/>
      <c r="N4434" s="17"/>
      <c r="Q4434" s="17"/>
    </row>
    <row r="4435">
      <c r="B4435" s="11">
        <f>IFERROR(__xludf.DUMMYFUNCTION("""COMPUTED_VALUE"""),39584.666666666664)</f>
        <v>39584.66667</v>
      </c>
      <c r="C4435" s="9">
        <f>IFERROR(__xludf.DUMMYFUNCTION("""COMPUTED_VALUE"""),39.28)</f>
        <v>39.28</v>
      </c>
      <c r="E4435" s="17"/>
      <c r="N4435" s="17"/>
      <c r="Q4435" s="17"/>
    </row>
    <row r="4436">
      <c r="B4436" s="11">
        <f>IFERROR(__xludf.DUMMYFUNCTION("""COMPUTED_VALUE"""),39583.666666666664)</f>
        <v>39583.66667</v>
      </c>
      <c r="C4436" s="9">
        <f>IFERROR(__xludf.DUMMYFUNCTION("""COMPUTED_VALUE"""),39.38)</f>
        <v>39.38</v>
      </c>
      <c r="E4436" s="17"/>
      <c r="N4436" s="17"/>
      <c r="Q4436" s="17"/>
    </row>
    <row r="4437">
      <c r="B4437" s="11">
        <f>IFERROR(__xludf.DUMMYFUNCTION("""COMPUTED_VALUE"""),39582.666666666664)</f>
        <v>39582.66667</v>
      </c>
      <c r="C4437" s="9">
        <f>IFERROR(__xludf.DUMMYFUNCTION("""COMPUTED_VALUE"""),39.15)</f>
        <v>39.15</v>
      </c>
      <c r="E4437" s="17"/>
      <c r="N4437" s="17"/>
      <c r="Q4437" s="17"/>
    </row>
    <row r="4438">
      <c r="B4438" s="11">
        <f>IFERROR(__xludf.DUMMYFUNCTION("""COMPUTED_VALUE"""),39581.666666666664)</f>
        <v>39581.66667</v>
      </c>
      <c r="C4438" s="9">
        <f>IFERROR(__xludf.DUMMYFUNCTION("""COMPUTED_VALUE"""),39.11)</f>
        <v>39.11</v>
      </c>
      <c r="E4438" s="17"/>
      <c r="N4438" s="17"/>
      <c r="Q4438" s="17"/>
    </row>
    <row r="4439">
      <c r="B4439" s="11">
        <f>IFERROR(__xludf.DUMMYFUNCTION("""COMPUTED_VALUE"""),39580.666666666664)</f>
        <v>39580.66667</v>
      </c>
      <c r="C4439" s="9">
        <f>IFERROR(__xludf.DUMMYFUNCTION("""COMPUTED_VALUE"""),38.85)</f>
        <v>38.85</v>
      </c>
      <c r="E4439" s="17"/>
      <c r="N4439" s="17"/>
      <c r="Q4439" s="17"/>
    </row>
    <row r="4440">
      <c r="B4440" s="11">
        <f>IFERROR(__xludf.DUMMYFUNCTION("""COMPUTED_VALUE"""),39577.666666666664)</f>
        <v>39577.66667</v>
      </c>
      <c r="C4440" s="9">
        <f>IFERROR(__xludf.DUMMYFUNCTION("""COMPUTED_VALUE"""),38.24)</f>
        <v>38.24</v>
      </c>
      <c r="E4440" s="17"/>
      <c r="N4440" s="17"/>
      <c r="Q4440" s="17"/>
    </row>
    <row r="4441">
      <c r="B4441" s="11">
        <f>IFERROR(__xludf.DUMMYFUNCTION("""COMPUTED_VALUE"""),39576.666666666664)</f>
        <v>39576.66667</v>
      </c>
      <c r="C4441" s="9">
        <f>IFERROR(__xludf.DUMMYFUNCTION("""COMPUTED_VALUE"""),38.48)</f>
        <v>38.48</v>
      </c>
      <c r="E4441" s="17"/>
      <c r="N4441" s="17"/>
      <c r="Q4441" s="17"/>
    </row>
    <row r="4442">
      <c r="B4442" s="11">
        <f>IFERROR(__xludf.DUMMYFUNCTION("""COMPUTED_VALUE"""),39575.666666666664)</f>
        <v>39575.66667</v>
      </c>
      <c r="C4442" s="9">
        <f>IFERROR(__xludf.DUMMYFUNCTION("""COMPUTED_VALUE"""),38.35)</f>
        <v>38.35</v>
      </c>
      <c r="E4442" s="17"/>
      <c r="N4442" s="17"/>
      <c r="Q4442" s="17"/>
    </row>
    <row r="4443">
      <c r="B4443" s="11">
        <f>IFERROR(__xludf.DUMMYFUNCTION("""COMPUTED_VALUE"""),39574.666666666664)</f>
        <v>39574.66667</v>
      </c>
      <c r="C4443" s="9">
        <f>IFERROR(__xludf.DUMMYFUNCTION("""COMPUTED_VALUE"""),38.95)</f>
        <v>38.95</v>
      </c>
      <c r="E4443" s="17"/>
      <c r="N4443" s="17"/>
      <c r="Q4443" s="17"/>
    </row>
    <row r="4444">
      <c r="B4444" s="11">
        <f>IFERROR(__xludf.DUMMYFUNCTION("""COMPUTED_VALUE"""),39573.666666666664)</f>
        <v>39573.66667</v>
      </c>
      <c r="C4444" s="9">
        <f>IFERROR(__xludf.DUMMYFUNCTION("""COMPUTED_VALUE"""),38.8)</f>
        <v>38.8</v>
      </c>
      <c r="E4444" s="17"/>
      <c r="N4444" s="17"/>
      <c r="Q4444" s="17"/>
    </row>
    <row r="4445">
      <c r="B4445" s="11">
        <f>IFERROR(__xludf.DUMMYFUNCTION("""COMPUTED_VALUE"""),39570.666666666664)</f>
        <v>39570.66667</v>
      </c>
      <c r="C4445" s="9">
        <f>IFERROR(__xludf.DUMMYFUNCTION("""COMPUTED_VALUE"""),38.9)</f>
        <v>38.9</v>
      </c>
      <c r="E4445" s="17"/>
      <c r="N4445" s="17"/>
      <c r="Q4445" s="17"/>
    </row>
    <row r="4446">
      <c r="B4446" s="11">
        <f>IFERROR(__xludf.DUMMYFUNCTION("""COMPUTED_VALUE"""),39569.666666666664)</f>
        <v>39569.66667</v>
      </c>
      <c r="C4446" s="9">
        <f>IFERROR(__xludf.DUMMYFUNCTION("""COMPUTED_VALUE"""),38.75)</f>
        <v>38.75</v>
      </c>
      <c r="E4446" s="17"/>
      <c r="N4446" s="17"/>
      <c r="Q4446" s="17"/>
    </row>
    <row r="4447">
      <c r="B4447" s="11">
        <f>IFERROR(__xludf.DUMMYFUNCTION("""COMPUTED_VALUE"""),39568.666666666664)</f>
        <v>39568.66667</v>
      </c>
      <c r="C4447" s="9">
        <f>IFERROR(__xludf.DUMMYFUNCTION("""COMPUTED_VALUE"""),38.5)</f>
        <v>38.5</v>
      </c>
      <c r="E4447" s="17"/>
      <c r="N4447" s="17"/>
      <c r="Q4447" s="17"/>
    </row>
    <row r="4448">
      <c r="B4448" s="11">
        <f>IFERROR(__xludf.DUMMYFUNCTION("""COMPUTED_VALUE"""),39567.666666666664)</f>
        <v>39567.66667</v>
      </c>
      <c r="C4448" s="9">
        <f>IFERROR(__xludf.DUMMYFUNCTION("""COMPUTED_VALUE"""),38.23)</f>
        <v>38.23</v>
      </c>
      <c r="E4448" s="17"/>
      <c r="N4448" s="17"/>
      <c r="Q4448" s="17"/>
    </row>
    <row r="4449">
      <c r="B4449" s="11">
        <f>IFERROR(__xludf.DUMMYFUNCTION("""COMPUTED_VALUE"""),39566.666666666664)</f>
        <v>39566.66667</v>
      </c>
      <c r="C4449" s="9">
        <f>IFERROR(__xludf.DUMMYFUNCTION("""COMPUTED_VALUE"""),38.59)</f>
        <v>38.59</v>
      </c>
      <c r="E4449" s="17"/>
      <c r="N4449" s="17"/>
      <c r="Q4449" s="17"/>
    </row>
    <row r="4450">
      <c r="B4450" s="11">
        <f>IFERROR(__xludf.DUMMYFUNCTION("""COMPUTED_VALUE"""),39563.666666666664)</f>
        <v>39563.66667</v>
      </c>
      <c r="C4450" s="9">
        <f>IFERROR(__xludf.DUMMYFUNCTION("""COMPUTED_VALUE"""),38.37)</f>
        <v>38.37</v>
      </c>
      <c r="E4450" s="17"/>
      <c r="N4450" s="17"/>
      <c r="Q4450" s="17"/>
    </row>
    <row r="4451">
      <c r="B4451" s="11">
        <f>IFERROR(__xludf.DUMMYFUNCTION("""COMPUTED_VALUE"""),39562.666666666664)</f>
        <v>39562.66667</v>
      </c>
      <c r="C4451" s="9">
        <f>IFERROR(__xludf.DUMMYFUNCTION("""COMPUTED_VALUE"""),37.84)</f>
        <v>37.84</v>
      </c>
      <c r="E4451" s="17"/>
      <c r="N4451" s="17"/>
      <c r="Q4451" s="17"/>
    </row>
    <row r="4452">
      <c r="B4452" s="11">
        <f>IFERROR(__xludf.DUMMYFUNCTION("""COMPUTED_VALUE"""),39561.666666666664)</f>
        <v>39561.66667</v>
      </c>
      <c r="C4452" s="9">
        <f>IFERROR(__xludf.DUMMYFUNCTION("""COMPUTED_VALUE"""),37.6)</f>
        <v>37.6</v>
      </c>
      <c r="E4452" s="17"/>
      <c r="N4452" s="17"/>
      <c r="Q4452" s="17"/>
    </row>
    <row r="4453">
      <c r="B4453" s="11">
        <f>IFERROR(__xludf.DUMMYFUNCTION("""COMPUTED_VALUE"""),39560.666666666664)</f>
        <v>39560.66667</v>
      </c>
      <c r="C4453" s="9">
        <f>IFERROR(__xludf.DUMMYFUNCTION("""COMPUTED_VALUE"""),37.58)</f>
        <v>37.58</v>
      </c>
      <c r="E4453" s="17"/>
      <c r="N4453" s="17"/>
      <c r="Q4453" s="17"/>
    </row>
    <row r="4454">
      <c r="B4454" s="11">
        <f>IFERROR(__xludf.DUMMYFUNCTION("""COMPUTED_VALUE"""),39559.666666666664)</f>
        <v>39559.66667</v>
      </c>
      <c r="C4454" s="9">
        <f>IFERROR(__xludf.DUMMYFUNCTION("""COMPUTED_VALUE"""),38.19)</f>
        <v>38.19</v>
      </c>
      <c r="E4454" s="17"/>
      <c r="N4454" s="17"/>
      <c r="Q4454" s="17"/>
    </row>
    <row r="4455">
      <c r="B4455" s="11">
        <f>IFERROR(__xludf.DUMMYFUNCTION("""COMPUTED_VALUE"""),39556.666666666664)</f>
        <v>39556.66667</v>
      </c>
      <c r="C4455" s="9">
        <f>IFERROR(__xludf.DUMMYFUNCTION("""COMPUTED_VALUE"""),38.32)</f>
        <v>38.32</v>
      </c>
      <c r="E4455" s="17"/>
      <c r="N4455" s="17"/>
      <c r="Q4455" s="17"/>
    </row>
    <row r="4456">
      <c r="B4456" s="11">
        <f>IFERROR(__xludf.DUMMYFUNCTION("""COMPUTED_VALUE"""),39555.666666666664)</f>
        <v>39555.66667</v>
      </c>
      <c r="C4456" s="9">
        <f>IFERROR(__xludf.DUMMYFUNCTION("""COMPUTED_VALUE"""),37.2)</f>
        <v>37.2</v>
      </c>
      <c r="E4456" s="17"/>
      <c r="N4456" s="17"/>
      <c r="Q4456" s="17"/>
    </row>
    <row r="4457">
      <c r="B4457" s="11">
        <f>IFERROR(__xludf.DUMMYFUNCTION("""COMPUTED_VALUE"""),39554.666666666664)</f>
        <v>39554.66667</v>
      </c>
      <c r="C4457" s="9">
        <f>IFERROR(__xludf.DUMMYFUNCTION("""COMPUTED_VALUE"""),37.64)</f>
        <v>37.64</v>
      </c>
      <c r="E4457" s="17"/>
      <c r="N4457" s="17"/>
      <c r="Q4457" s="17"/>
    </row>
    <row r="4458">
      <c r="B4458" s="11">
        <f>IFERROR(__xludf.DUMMYFUNCTION("""COMPUTED_VALUE"""),39553.666666666664)</f>
        <v>39553.66667</v>
      </c>
      <c r="C4458" s="9">
        <f>IFERROR(__xludf.DUMMYFUNCTION("""COMPUTED_VALUE"""),36.62)</f>
        <v>36.62</v>
      </c>
      <c r="E4458" s="17"/>
      <c r="N4458" s="17"/>
      <c r="Q4458" s="17"/>
    </row>
    <row r="4459">
      <c r="B4459" s="11">
        <f>IFERROR(__xludf.DUMMYFUNCTION("""COMPUTED_VALUE"""),39552.666666666664)</f>
        <v>39552.66667</v>
      </c>
      <c r="C4459" s="9">
        <f>IFERROR(__xludf.DUMMYFUNCTION("""COMPUTED_VALUE"""),36.45)</f>
        <v>36.45</v>
      </c>
      <c r="E4459" s="17"/>
      <c r="N4459" s="17"/>
      <c r="Q4459" s="17"/>
    </row>
    <row r="4460">
      <c r="B4460" s="11">
        <f>IFERROR(__xludf.DUMMYFUNCTION("""COMPUTED_VALUE"""),39549.666666666664)</f>
        <v>39549.66667</v>
      </c>
      <c r="C4460" s="9">
        <f>IFERROR(__xludf.DUMMYFUNCTION("""COMPUTED_VALUE"""),36.43)</f>
        <v>36.43</v>
      </c>
      <c r="E4460" s="17"/>
      <c r="N4460" s="17"/>
      <c r="Q4460" s="17"/>
    </row>
    <row r="4461">
      <c r="B4461" s="11">
        <f>IFERROR(__xludf.DUMMYFUNCTION("""COMPUTED_VALUE"""),39548.666666666664)</f>
        <v>39548.66667</v>
      </c>
      <c r="C4461" s="9">
        <f>IFERROR(__xludf.DUMMYFUNCTION("""COMPUTED_VALUE"""),37.92)</f>
        <v>37.92</v>
      </c>
      <c r="E4461" s="17"/>
      <c r="N4461" s="17"/>
      <c r="Q4461" s="17"/>
    </row>
    <row r="4462">
      <c r="B4462" s="11">
        <f>IFERROR(__xludf.DUMMYFUNCTION("""COMPUTED_VALUE"""),39547.666666666664)</f>
        <v>39547.66667</v>
      </c>
      <c r="C4462" s="9">
        <f>IFERROR(__xludf.DUMMYFUNCTION("""COMPUTED_VALUE"""),37.76)</f>
        <v>37.76</v>
      </c>
      <c r="E4462" s="17"/>
      <c r="N4462" s="17"/>
      <c r="Q4462" s="17"/>
    </row>
    <row r="4463">
      <c r="B4463" s="11">
        <f>IFERROR(__xludf.DUMMYFUNCTION("""COMPUTED_VALUE"""),39546.666666666664)</f>
        <v>39546.66667</v>
      </c>
      <c r="C4463" s="9">
        <f>IFERROR(__xludf.DUMMYFUNCTION("""COMPUTED_VALUE"""),38.13)</f>
        <v>38.13</v>
      </c>
      <c r="E4463" s="17"/>
      <c r="N4463" s="17"/>
      <c r="Q4463" s="17"/>
    </row>
    <row r="4464">
      <c r="B4464" s="11">
        <f>IFERROR(__xludf.DUMMYFUNCTION("""COMPUTED_VALUE"""),39545.666666666664)</f>
        <v>39545.66667</v>
      </c>
      <c r="C4464" s="9">
        <f>IFERROR(__xludf.DUMMYFUNCTION("""COMPUTED_VALUE"""),38.16)</f>
        <v>38.16</v>
      </c>
      <c r="E4464" s="17"/>
      <c r="N4464" s="17"/>
      <c r="Q4464" s="17"/>
    </row>
    <row r="4465">
      <c r="B4465" s="11">
        <f>IFERROR(__xludf.DUMMYFUNCTION("""COMPUTED_VALUE"""),39542.666666666664)</f>
        <v>39542.66667</v>
      </c>
      <c r="C4465" s="9">
        <f>IFERROR(__xludf.DUMMYFUNCTION("""COMPUTED_VALUE"""),38.4)</f>
        <v>38.4</v>
      </c>
      <c r="E4465" s="17"/>
      <c r="N4465" s="17"/>
      <c r="Q4465" s="17"/>
    </row>
    <row r="4466">
      <c r="B4466" s="11">
        <f>IFERROR(__xludf.DUMMYFUNCTION("""COMPUTED_VALUE"""),39541.666666666664)</f>
        <v>39541.66667</v>
      </c>
      <c r="C4466" s="9">
        <f>IFERROR(__xludf.DUMMYFUNCTION("""COMPUTED_VALUE"""),38.25)</f>
        <v>38.25</v>
      </c>
      <c r="E4466" s="17"/>
      <c r="N4466" s="17"/>
      <c r="Q4466" s="17"/>
    </row>
    <row r="4467">
      <c r="B4467" s="11">
        <f>IFERROR(__xludf.DUMMYFUNCTION("""COMPUTED_VALUE"""),39540.666666666664)</f>
        <v>39540.66667</v>
      </c>
      <c r="C4467" s="9">
        <f>IFERROR(__xludf.DUMMYFUNCTION("""COMPUTED_VALUE"""),38.42)</f>
        <v>38.42</v>
      </c>
      <c r="E4467" s="17"/>
      <c r="N4467" s="17"/>
      <c r="Q4467" s="17"/>
    </row>
    <row r="4468">
      <c r="B4468" s="11">
        <f>IFERROR(__xludf.DUMMYFUNCTION("""COMPUTED_VALUE"""),39539.666666666664)</f>
        <v>39539.66667</v>
      </c>
      <c r="C4468" s="9">
        <f>IFERROR(__xludf.DUMMYFUNCTION("""COMPUTED_VALUE"""),38.25)</f>
        <v>38.25</v>
      </c>
      <c r="E4468" s="17"/>
      <c r="N4468" s="17"/>
      <c r="Q4468" s="17"/>
    </row>
    <row r="4469">
      <c r="B4469" s="11">
        <f>IFERROR(__xludf.DUMMYFUNCTION("""COMPUTED_VALUE"""),39538.666666666664)</f>
        <v>39538.66667</v>
      </c>
      <c r="C4469" s="9">
        <f>IFERROR(__xludf.DUMMYFUNCTION("""COMPUTED_VALUE"""),37.4)</f>
        <v>37.4</v>
      </c>
      <c r="E4469" s="17"/>
      <c r="N4469" s="17"/>
      <c r="Q4469" s="17"/>
    </row>
    <row r="4470">
      <c r="B4470" s="11">
        <f>IFERROR(__xludf.DUMMYFUNCTION("""COMPUTED_VALUE"""),39535.666666666664)</f>
        <v>39535.66667</v>
      </c>
      <c r="C4470" s="9">
        <f>IFERROR(__xludf.DUMMYFUNCTION("""COMPUTED_VALUE"""),36.84)</f>
        <v>36.84</v>
      </c>
      <c r="E4470" s="17"/>
      <c r="N4470" s="17"/>
      <c r="Q4470" s="17"/>
    </row>
    <row r="4471">
      <c r="B4471" s="11">
        <f>IFERROR(__xludf.DUMMYFUNCTION("""COMPUTED_VALUE"""),39534.666666666664)</f>
        <v>39534.66667</v>
      </c>
      <c r="C4471" s="9">
        <f>IFERROR(__xludf.DUMMYFUNCTION("""COMPUTED_VALUE"""),36.98)</f>
        <v>36.98</v>
      </c>
      <c r="E4471" s="17"/>
      <c r="N4471" s="17"/>
      <c r="Q4471" s="17"/>
    </row>
    <row r="4472">
      <c r="B4472" s="11">
        <f>IFERROR(__xludf.DUMMYFUNCTION("""COMPUTED_VALUE"""),39533.666666666664)</f>
        <v>39533.66667</v>
      </c>
      <c r="C4472" s="9">
        <f>IFERROR(__xludf.DUMMYFUNCTION("""COMPUTED_VALUE"""),37.39)</f>
        <v>37.39</v>
      </c>
      <c r="E4472" s="17"/>
      <c r="N4472" s="17"/>
      <c r="Q4472" s="17"/>
    </row>
    <row r="4473">
      <c r="B4473" s="11">
        <f>IFERROR(__xludf.DUMMYFUNCTION("""COMPUTED_VALUE"""),39532.666666666664)</f>
        <v>39532.66667</v>
      </c>
      <c r="C4473" s="9">
        <f>IFERROR(__xludf.DUMMYFUNCTION("""COMPUTED_VALUE"""),37.69)</f>
        <v>37.69</v>
      </c>
      <c r="E4473" s="17"/>
      <c r="N4473" s="17"/>
      <c r="Q4473" s="17"/>
    </row>
    <row r="4474">
      <c r="B4474" s="11">
        <f>IFERROR(__xludf.DUMMYFUNCTION("""COMPUTED_VALUE"""),39531.666666666664)</f>
        <v>39531.66667</v>
      </c>
      <c r="C4474" s="9">
        <f>IFERROR(__xludf.DUMMYFUNCTION("""COMPUTED_VALUE"""),37.46)</f>
        <v>37.46</v>
      </c>
      <c r="E4474" s="17"/>
      <c r="N4474" s="17"/>
      <c r="Q4474" s="17"/>
    </row>
    <row r="4475">
      <c r="B4475" s="11">
        <f>IFERROR(__xludf.DUMMYFUNCTION("""COMPUTED_VALUE"""),39527.666666666664)</f>
        <v>39527.66667</v>
      </c>
      <c r="C4475" s="9">
        <f>IFERROR(__xludf.DUMMYFUNCTION("""COMPUTED_VALUE"""),36.63)</f>
        <v>36.63</v>
      </c>
      <c r="E4475" s="17"/>
      <c r="N4475" s="17"/>
      <c r="Q4475" s="17"/>
    </row>
    <row r="4476">
      <c r="B4476" s="11">
        <f>IFERROR(__xludf.DUMMYFUNCTION("""COMPUTED_VALUE"""),39526.666666666664)</f>
        <v>39526.66667</v>
      </c>
      <c r="C4476" s="9">
        <f>IFERROR(__xludf.DUMMYFUNCTION("""COMPUTED_VALUE"""),36.41)</f>
        <v>36.41</v>
      </c>
      <c r="E4476" s="17"/>
      <c r="N4476" s="17"/>
      <c r="Q4476" s="17"/>
    </row>
    <row r="4477">
      <c r="B4477" s="11">
        <f>IFERROR(__xludf.DUMMYFUNCTION("""COMPUTED_VALUE"""),39525.666666666664)</f>
        <v>39525.66667</v>
      </c>
      <c r="C4477" s="9">
        <f>IFERROR(__xludf.DUMMYFUNCTION("""COMPUTED_VALUE"""),37.79)</f>
        <v>37.79</v>
      </c>
      <c r="E4477" s="17"/>
      <c r="N4477" s="17"/>
      <c r="Q4477" s="17"/>
    </row>
    <row r="4478">
      <c r="B4478" s="11">
        <f>IFERROR(__xludf.DUMMYFUNCTION("""COMPUTED_VALUE"""),39524.666666666664)</f>
        <v>39524.66667</v>
      </c>
      <c r="C4478" s="9">
        <f>IFERROR(__xludf.DUMMYFUNCTION("""COMPUTED_VALUE"""),35.9)</f>
        <v>35.9</v>
      </c>
      <c r="E4478" s="17"/>
      <c r="N4478" s="17"/>
      <c r="Q4478" s="17"/>
    </row>
    <row r="4479">
      <c r="B4479" s="11">
        <f>IFERROR(__xludf.DUMMYFUNCTION("""COMPUTED_VALUE"""),39521.666666666664)</f>
        <v>39521.66667</v>
      </c>
      <c r="C4479" s="9">
        <f>IFERROR(__xludf.DUMMYFUNCTION("""COMPUTED_VALUE"""),36.08)</f>
        <v>36.08</v>
      </c>
      <c r="E4479" s="17"/>
      <c r="N4479" s="17"/>
      <c r="Q4479" s="17"/>
    </row>
    <row r="4480">
      <c r="B4480" s="11">
        <f>IFERROR(__xludf.DUMMYFUNCTION("""COMPUTED_VALUE"""),39520.666666666664)</f>
        <v>39520.66667</v>
      </c>
      <c r="C4480" s="9">
        <f>IFERROR(__xludf.DUMMYFUNCTION("""COMPUTED_VALUE"""),36.66)</f>
        <v>36.66</v>
      </c>
      <c r="E4480" s="17"/>
      <c r="N4480" s="17"/>
      <c r="Q4480" s="17"/>
    </row>
    <row r="4481">
      <c r="B4481" s="11">
        <f>IFERROR(__xludf.DUMMYFUNCTION("""COMPUTED_VALUE"""),39519.666666666664)</f>
        <v>39519.66667</v>
      </c>
      <c r="C4481" s="9">
        <f>IFERROR(__xludf.DUMMYFUNCTION("""COMPUTED_VALUE"""),36.16)</f>
        <v>36.16</v>
      </c>
      <c r="E4481" s="17"/>
      <c r="N4481" s="17"/>
      <c r="Q4481" s="17"/>
    </row>
    <row r="4482">
      <c r="B4482" s="11">
        <f>IFERROR(__xludf.DUMMYFUNCTION("""COMPUTED_VALUE"""),39518.666666666664)</f>
        <v>39518.66667</v>
      </c>
      <c r="C4482" s="9">
        <f>IFERROR(__xludf.DUMMYFUNCTION("""COMPUTED_VALUE"""),36.23)</f>
        <v>36.23</v>
      </c>
      <c r="E4482" s="17"/>
      <c r="N4482" s="17"/>
      <c r="Q4482" s="17"/>
    </row>
    <row r="4483">
      <c r="B4483" s="11">
        <f>IFERROR(__xludf.DUMMYFUNCTION("""COMPUTED_VALUE"""),39517.666666666664)</f>
        <v>39517.66667</v>
      </c>
      <c r="C4483" s="9">
        <f>IFERROR(__xludf.DUMMYFUNCTION("""COMPUTED_VALUE"""),35.04)</f>
        <v>35.04</v>
      </c>
      <c r="E4483" s="17"/>
      <c r="N4483" s="17"/>
      <c r="Q4483" s="17"/>
    </row>
    <row r="4484">
      <c r="B4484" s="11">
        <f>IFERROR(__xludf.DUMMYFUNCTION("""COMPUTED_VALUE"""),39514.666666666664)</f>
        <v>39514.66667</v>
      </c>
      <c r="C4484" s="9">
        <f>IFERROR(__xludf.DUMMYFUNCTION("""COMPUTED_VALUE"""),35.61)</f>
        <v>35.61</v>
      </c>
      <c r="E4484" s="17"/>
      <c r="N4484" s="17"/>
      <c r="Q4484" s="17"/>
    </row>
    <row r="4485">
      <c r="B4485" s="11">
        <f>IFERROR(__xludf.DUMMYFUNCTION("""COMPUTED_VALUE"""),39513.666666666664)</f>
        <v>39513.66667</v>
      </c>
      <c r="C4485" s="9">
        <f>IFERROR(__xludf.DUMMYFUNCTION("""COMPUTED_VALUE"""),36.13)</f>
        <v>36.13</v>
      </c>
      <c r="E4485" s="17"/>
      <c r="N4485" s="17"/>
      <c r="Q4485" s="17"/>
    </row>
    <row r="4486">
      <c r="B4486" s="11">
        <f>IFERROR(__xludf.DUMMYFUNCTION("""COMPUTED_VALUE"""),39512.666666666664)</f>
        <v>39512.66667</v>
      </c>
      <c r="C4486" s="9">
        <f>IFERROR(__xludf.DUMMYFUNCTION("""COMPUTED_VALUE"""),36.83)</f>
        <v>36.83</v>
      </c>
      <c r="E4486" s="17"/>
      <c r="N4486" s="17"/>
      <c r="Q4486" s="17"/>
    </row>
    <row r="4487">
      <c r="B4487" s="11">
        <f>IFERROR(__xludf.DUMMYFUNCTION("""COMPUTED_VALUE"""),39511.666666666664)</f>
        <v>39511.66667</v>
      </c>
      <c r="C4487" s="9">
        <f>IFERROR(__xludf.DUMMYFUNCTION("""COMPUTED_VALUE"""),36.35)</f>
        <v>36.35</v>
      </c>
      <c r="E4487" s="17"/>
      <c r="N4487" s="17"/>
      <c r="Q4487" s="17"/>
    </row>
    <row r="4488">
      <c r="B4488" s="11">
        <f>IFERROR(__xludf.DUMMYFUNCTION("""COMPUTED_VALUE"""),39510.666666666664)</f>
        <v>39510.66667</v>
      </c>
      <c r="C4488" s="9">
        <f>IFERROR(__xludf.DUMMYFUNCTION("""COMPUTED_VALUE"""),36.78)</f>
        <v>36.78</v>
      </c>
      <c r="E4488" s="17"/>
      <c r="N4488" s="17"/>
      <c r="Q4488" s="17"/>
    </row>
    <row r="4489">
      <c r="B4489" s="11">
        <f>IFERROR(__xludf.DUMMYFUNCTION("""COMPUTED_VALUE"""),39507.666666666664)</f>
        <v>39507.66667</v>
      </c>
      <c r="C4489" s="9">
        <f>IFERROR(__xludf.DUMMYFUNCTION("""COMPUTED_VALUE"""),36.25)</f>
        <v>36.25</v>
      </c>
      <c r="E4489" s="17"/>
      <c r="N4489" s="17"/>
      <c r="Q4489" s="17"/>
    </row>
    <row r="4490">
      <c r="B4490" s="11">
        <f>IFERROR(__xludf.DUMMYFUNCTION("""COMPUTED_VALUE"""),39506.666666666664)</f>
        <v>39506.66667</v>
      </c>
      <c r="C4490" s="9">
        <f>IFERROR(__xludf.DUMMYFUNCTION("""COMPUTED_VALUE"""),37.27)</f>
        <v>37.27</v>
      </c>
      <c r="E4490" s="17"/>
      <c r="N4490" s="17"/>
      <c r="Q4490" s="17"/>
    </row>
    <row r="4491">
      <c r="B4491" s="11">
        <f>IFERROR(__xludf.DUMMYFUNCTION("""COMPUTED_VALUE"""),39505.666666666664)</f>
        <v>39505.66667</v>
      </c>
      <c r="C4491" s="9">
        <f>IFERROR(__xludf.DUMMYFUNCTION("""COMPUTED_VALUE"""),37.54)</f>
        <v>37.54</v>
      </c>
      <c r="E4491" s="17"/>
      <c r="N4491" s="17"/>
      <c r="Q4491" s="17"/>
    </row>
    <row r="4492">
      <c r="B4492" s="11">
        <f>IFERROR(__xludf.DUMMYFUNCTION("""COMPUTED_VALUE"""),39504.666666666664)</f>
        <v>39504.66667</v>
      </c>
      <c r="C4492" s="9">
        <f>IFERROR(__xludf.DUMMYFUNCTION("""COMPUTED_VALUE"""),37.47)</f>
        <v>37.47</v>
      </c>
      <c r="E4492" s="17"/>
      <c r="N4492" s="17"/>
      <c r="Q4492" s="17"/>
    </row>
    <row r="4493">
      <c r="B4493" s="11">
        <f>IFERROR(__xludf.DUMMYFUNCTION("""COMPUTED_VALUE"""),39503.666666666664)</f>
        <v>39503.66667</v>
      </c>
      <c r="C4493" s="9">
        <f>IFERROR(__xludf.DUMMYFUNCTION("""COMPUTED_VALUE"""),37.44)</f>
        <v>37.44</v>
      </c>
      <c r="E4493" s="17"/>
      <c r="N4493" s="17"/>
      <c r="Q4493" s="17"/>
    </row>
    <row r="4494">
      <c r="B4494" s="11">
        <f>IFERROR(__xludf.DUMMYFUNCTION("""COMPUTED_VALUE"""),39500.666666666664)</f>
        <v>39500.66667</v>
      </c>
      <c r="C4494" s="9">
        <f>IFERROR(__xludf.DUMMYFUNCTION("""COMPUTED_VALUE"""),37.15)</f>
        <v>37.15</v>
      </c>
      <c r="E4494" s="17"/>
      <c r="N4494" s="17"/>
      <c r="Q4494" s="17"/>
    </row>
    <row r="4495">
      <c r="B4495" s="11">
        <f>IFERROR(__xludf.DUMMYFUNCTION("""COMPUTED_VALUE"""),39499.666666666664)</f>
        <v>39499.66667</v>
      </c>
      <c r="C4495" s="9">
        <f>IFERROR(__xludf.DUMMYFUNCTION("""COMPUTED_VALUE"""),36.78)</f>
        <v>36.78</v>
      </c>
      <c r="E4495" s="17"/>
      <c r="N4495" s="17"/>
      <c r="Q4495" s="17"/>
    </row>
    <row r="4496">
      <c r="B4496" s="11">
        <f>IFERROR(__xludf.DUMMYFUNCTION("""COMPUTED_VALUE"""),39498.666666666664)</f>
        <v>39498.66667</v>
      </c>
      <c r="C4496" s="9">
        <f>IFERROR(__xludf.DUMMYFUNCTION("""COMPUTED_VALUE"""),37.07)</f>
        <v>37.07</v>
      </c>
      <c r="E4496" s="17"/>
      <c r="N4496" s="17"/>
      <c r="Q4496" s="17"/>
    </row>
    <row r="4497">
      <c r="B4497" s="11">
        <f>IFERROR(__xludf.DUMMYFUNCTION("""COMPUTED_VALUE"""),39497.666666666664)</f>
        <v>39497.66667</v>
      </c>
      <c r="C4497" s="9">
        <f>IFERROR(__xludf.DUMMYFUNCTION("""COMPUTED_VALUE"""),36.95)</f>
        <v>36.95</v>
      </c>
      <c r="E4497" s="17"/>
      <c r="N4497" s="17"/>
      <c r="Q4497" s="17"/>
    </row>
    <row r="4498">
      <c r="B4498" s="11">
        <f>IFERROR(__xludf.DUMMYFUNCTION("""COMPUTED_VALUE"""),39493.666666666664)</f>
        <v>39493.66667</v>
      </c>
      <c r="C4498" s="9">
        <f>IFERROR(__xludf.DUMMYFUNCTION("""COMPUTED_VALUE"""),36.77)</f>
        <v>36.77</v>
      </c>
      <c r="E4498" s="17"/>
      <c r="N4498" s="17"/>
      <c r="Q4498" s="17"/>
    </row>
    <row r="4499">
      <c r="B4499" s="11">
        <f>IFERROR(__xludf.DUMMYFUNCTION("""COMPUTED_VALUE"""),39492.666666666664)</f>
        <v>39492.66667</v>
      </c>
      <c r="C4499" s="9">
        <f>IFERROR(__xludf.DUMMYFUNCTION("""COMPUTED_VALUE"""),37.0)</f>
        <v>37</v>
      </c>
      <c r="E4499" s="17"/>
      <c r="N4499" s="17"/>
      <c r="Q4499" s="17"/>
    </row>
    <row r="4500">
      <c r="B4500" s="11">
        <f>IFERROR(__xludf.DUMMYFUNCTION("""COMPUTED_VALUE"""),39491.666666666664)</f>
        <v>39491.66667</v>
      </c>
      <c r="C4500" s="9">
        <f>IFERROR(__xludf.DUMMYFUNCTION("""COMPUTED_VALUE"""),37.56)</f>
        <v>37.56</v>
      </c>
      <c r="E4500" s="17"/>
      <c r="N4500" s="17"/>
      <c r="Q4500" s="17"/>
    </row>
    <row r="4501">
      <c r="B4501" s="11">
        <f>IFERROR(__xludf.DUMMYFUNCTION("""COMPUTED_VALUE"""),39490.666666666664)</f>
        <v>39490.66667</v>
      </c>
      <c r="C4501" s="9">
        <f>IFERROR(__xludf.DUMMYFUNCTION("""COMPUTED_VALUE"""),36.9)</f>
        <v>36.9</v>
      </c>
      <c r="E4501" s="17"/>
      <c r="N4501" s="17"/>
      <c r="Q4501" s="17"/>
    </row>
    <row r="4502">
      <c r="B4502" s="11">
        <f>IFERROR(__xludf.DUMMYFUNCTION("""COMPUTED_VALUE"""),39489.666666666664)</f>
        <v>39489.66667</v>
      </c>
      <c r="C4502" s="9">
        <f>IFERROR(__xludf.DUMMYFUNCTION("""COMPUTED_VALUE"""),36.53)</f>
        <v>36.53</v>
      </c>
      <c r="E4502" s="17"/>
      <c r="N4502" s="17"/>
      <c r="Q4502" s="17"/>
    </row>
    <row r="4503">
      <c r="B4503" s="11">
        <f>IFERROR(__xludf.DUMMYFUNCTION("""COMPUTED_VALUE"""),39486.666666666664)</f>
        <v>39486.66667</v>
      </c>
      <c r="C4503" s="9">
        <f>IFERROR(__xludf.DUMMYFUNCTION("""COMPUTED_VALUE"""),36.17)</f>
        <v>36.17</v>
      </c>
      <c r="E4503" s="17"/>
      <c r="N4503" s="17"/>
      <c r="Q4503" s="17"/>
    </row>
    <row r="4504">
      <c r="B4504" s="11">
        <f>IFERROR(__xludf.DUMMYFUNCTION("""COMPUTED_VALUE"""),39485.666666666664)</f>
        <v>39485.66667</v>
      </c>
      <c r="C4504" s="9">
        <f>IFERROR(__xludf.DUMMYFUNCTION("""COMPUTED_VALUE"""),36.44)</f>
        <v>36.44</v>
      </c>
      <c r="E4504" s="17"/>
      <c r="N4504" s="17"/>
      <c r="Q4504" s="17"/>
    </row>
    <row r="4505">
      <c r="B4505" s="11">
        <f>IFERROR(__xludf.DUMMYFUNCTION("""COMPUTED_VALUE"""),39484.666666666664)</f>
        <v>39484.66667</v>
      </c>
      <c r="C4505" s="9">
        <f>IFERROR(__xludf.DUMMYFUNCTION("""COMPUTED_VALUE"""),36.43)</f>
        <v>36.43</v>
      </c>
      <c r="E4505" s="17"/>
      <c r="N4505" s="17"/>
      <c r="Q4505" s="17"/>
    </row>
    <row r="4506">
      <c r="B4506" s="11">
        <f>IFERROR(__xludf.DUMMYFUNCTION("""COMPUTED_VALUE"""),39483.666666666664)</f>
        <v>39483.66667</v>
      </c>
      <c r="C4506" s="9">
        <f>IFERROR(__xludf.DUMMYFUNCTION("""COMPUTED_VALUE"""),36.49)</f>
        <v>36.49</v>
      </c>
      <c r="E4506" s="17"/>
      <c r="N4506" s="17"/>
      <c r="Q4506" s="17"/>
    </row>
    <row r="4507">
      <c r="B4507" s="11">
        <f>IFERROR(__xludf.DUMMYFUNCTION("""COMPUTED_VALUE"""),39482.666666666664)</f>
        <v>39482.66667</v>
      </c>
      <c r="C4507" s="9">
        <f>IFERROR(__xludf.DUMMYFUNCTION("""COMPUTED_VALUE"""),37.44)</f>
        <v>37.44</v>
      </c>
      <c r="E4507" s="17"/>
      <c r="N4507" s="17"/>
      <c r="Q4507" s="17"/>
    </row>
    <row r="4508">
      <c r="B4508" s="11">
        <f>IFERROR(__xludf.DUMMYFUNCTION("""COMPUTED_VALUE"""),39479.666666666664)</f>
        <v>39479.66667</v>
      </c>
      <c r="C4508" s="9">
        <f>IFERROR(__xludf.DUMMYFUNCTION("""COMPUTED_VALUE"""),37.85)</f>
        <v>37.85</v>
      </c>
      <c r="E4508" s="17"/>
      <c r="N4508" s="17"/>
      <c r="Q4508" s="17"/>
    </row>
    <row r="4509">
      <c r="B4509" s="11">
        <f>IFERROR(__xludf.DUMMYFUNCTION("""COMPUTED_VALUE"""),39478.666666666664)</f>
        <v>39478.66667</v>
      </c>
      <c r="C4509" s="9">
        <f>IFERROR(__xludf.DUMMYFUNCTION("""COMPUTED_VALUE"""),37.0)</f>
        <v>37</v>
      </c>
      <c r="E4509" s="17"/>
      <c r="N4509" s="17"/>
      <c r="Q4509" s="17"/>
    </row>
    <row r="4510">
      <c r="B4510" s="11">
        <f>IFERROR(__xludf.DUMMYFUNCTION("""COMPUTED_VALUE"""),39477.666666666664)</f>
        <v>39477.66667</v>
      </c>
      <c r="C4510" s="9">
        <f>IFERROR(__xludf.DUMMYFUNCTION("""COMPUTED_VALUE"""),36.8)</f>
        <v>36.8</v>
      </c>
      <c r="E4510" s="17"/>
      <c r="N4510" s="17"/>
      <c r="Q4510" s="17"/>
    </row>
    <row r="4511">
      <c r="B4511" s="11">
        <f>IFERROR(__xludf.DUMMYFUNCTION("""COMPUTED_VALUE"""),39476.666666666664)</f>
        <v>39476.66667</v>
      </c>
      <c r="C4511" s="9">
        <f>IFERROR(__xludf.DUMMYFUNCTION("""COMPUTED_VALUE"""),36.65)</f>
        <v>36.65</v>
      </c>
      <c r="E4511" s="17"/>
      <c r="N4511" s="17"/>
      <c r="Q4511" s="17"/>
    </row>
    <row r="4512">
      <c r="B4512" s="11">
        <f>IFERROR(__xludf.DUMMYFUNCTION("""COMPUTED_VALUE"""),39475.666666666664)</f>
        <v>39475.66667</v>
      </c>
      <c r="C4512" s="9">
        <f>IFERROR(__xludf.DUMMYFUNCTION("""COMPUTED_VALUE"""),36.33)</f>
        <v>36.33</v>
      </c>
      <c r="E4512" s="17"/>
      <c r="N4512" s="17"/>
      <c r="Q4512" s="17"/>
    </row>
    <row r="4513">
      <c r="B4513" s="11">
        <f>IFERROR(__xludf.DUMMYFUNCTION("""COMPUTED_VALUE"""),39472.666666666664)</f>
        <v>39472.66667</v>
      </c>
      <c r="C4513" s="9">
        <f>IFERROR(__xludf.DUMMYFUNCTION("""COMPUTED_VALUE"""),35.8)</f>
        <v>35.8</v>
      </c>
      <c r="E4513" s="17"/>
      <c r="N4513" s="17"/>
      <c r="Q4513" s="17"/>
    </row>
    <row r="4514">
      <c r="B4514" s="11">
        <f>IFERROR(__xludf.DUMMYFUNCTION("""COMPUTED_VALUE"""),39471.666666666664)</f>
        <v>39471.66667</v>
      </c>
      <c r="C4514" s="9">
        <f>IFERROR(__xludf.DUMMYFUNCTION("""COMPUTED_VALUE"""),35.96)</f>
        <v>35.96</v>
      </c>
      <c r="E4514" s="17"/>
      <c r="N4514" s="17"/>
      <c r="Q4514" s="17"/>
    </row>
    <row r="4515">
      <c r="B4515" s="11">
        <f>IFERROR(__xludf.DUMMYFUNCTION("""COMPUTED_VALUE"""),39470.666666666664)</f>
        <v>39470.66667</v>
      </c>
      <c r="C4515" s="9">
        <f>IFERROR(__xludf.DUMMYFUNCTION("""COMPUTED_VALUE"""),35.75)</f>
        <v>35.75</v>
      </c>
      <c r="E4515" s="17"/>
      <c r="N4515" s="17"/>
      <c r="Q4515" s="17"/>
    </row>
    <row r="4516">
      <c r="B4516" s="11">
        <f>IFERROR(__xludf.DUMMYFUNCTION("""COMPUTED_VALUE"""),39469.666666666664)</f>
        <v>39469.66667</v>
      </c>
      <c r="C4516" s="9">
        <f>IFERROR(__xludf.DUMMYFUNCTION("""COMPUTED_VALUE"""),34.8)</f>
        <v>34.8</v>
      </c>
      <c r="E4516" s="17"/>
      <c r="N4516" s="17"/>
      <c r="Q4516" s="17"/>
    </row>
    <row r="4517">
      <c r="B4517" s="11">
        <f>IFERROR(__xludf.DUMMYFUNCTION("""COMPUTED_VALUE"""),39465.666666666664)</f>
        <v>39465.66667</v>
      </c>
      <c r="C4517" s="9">
        <f>IFERROR(__xludf.DUMMYFUNCTION("""COMPUTED_VALUE"""),34.68)</f>
        <v>34.68</v>
      </c>
      <c r="E4517" s="17"/>
      <c r="N4517" s="17"/>
      <c r="Q4517" s="17"/>
    </row>
    <row r="4518">
      <c r="B4518" s="11">
        <f>IFERROR(__xludf.DUMMYFUNCTION("""COMPUTED_VALUE"""),39464.666666666664)</f>
        <v>39464.66667</v>
      </c>
      <c r="C4518" s="9">
        <f>IFERROR(__xludf.DUMMYFUNCTION("""COMPUTED_VALUE"""),34.75)</f>
        <v>34.75</v>
      </c>
      <c r="E4518" s="17"/>
      <c r="N4518" s="17"/>
      <c r="Q4518" s="17"/>
    </row>
    <row r="4519">
      <c r="B4519" s="11">
        <f>IFERROR(__xludf.DUMMYFUNCTION("""COMPUTED_VALUE"""),39463.666666666664)</f>
        <v>39463.66667</v>
      </c>
      <c r="C4519" s="9">
        <f>IFERROR(__xludf.DUMMYFUNCTION("""COMPUTED_VALUE"""),35.7)</f>
        <v>35.7</v>
      </c>
      <c r="E4519" s="17"/>
      <c r="N4519" s="17"/>
      <c r="Q4519" s="17"/>
    </row>
    <row r="4520">
      <c r="B4520" s="11">
        <f>IFERROR(__xludf.DUMMYFUNCTION("""COMPUTED_VALUE"""),39462.666666666664)</f>
        <v>39462.66667</v>
      </c>
      <c r="C4520" s="9">
        <f>IFERROR(__xludf.DUMMYFUNCTION("""COMPUTED_VALUE"""),36.12)</f>
        <v>36.12</v>
      </c>
      <c r="E4520" s="17"/>
      <c r="N4520" s="17"/>
      <c r="Q4520" s="17"/>
    </row>
    <row r="4521">
      <c r="B4521" s="11">
        <f>IFERROR(__xludf.DUMMYFUNCTION("""COMPUTED_VALUE"""),39461.666666666664)</f>
        <v>39461.66667</v>
      </c>
      <c r="C4521" s="9">
        <f>IFERROR(__xludf.DUMMYFUNCTION("""COMPUTED_VALUE"""),36.89)</f>
        <v>36.89</v>
      </c>
      <c r="E4521" s="17"/>
      <c r="N4521" s="17"/>
      <c r="Q4521" s="17"/>
    </row>
    <row r="4522">
      <c r="B4522" s="11">
        <f>IFERROR(__xludf.DUMMYFUNCTION("""COMPUTED_VALUE"""),39458.666666666664)</f>
        <v>39458.66667</v>
      </c>
      <c r="C4522" s="9">
        <f>IFERROR(__xludf.DUMMYFUNCTION("""COMPUTED_VALUE"""),36.44)</f>
        <v>36.44</v>
      </c>
      <c r="E4522" s="17"/>
      <c r="N4522" s="17"/>
      <c r="Q4522" s="17"/>
    </row>
    <row r="4523">
      <c r="B4523" s="11">
        <f>IFERROR(__xludf.DUMMYFUNCTION("""COMPUTED_VALUE"""),39457.666666666664)</f>
        <v>39457.66667</v>
      </c>
      <c r="C4523" s="9">
        <f>IFERROR(__xludf.DUMMYFUNCTION("""COMPUTED_VALUE"""),37.07)</f>
        <v>37.07</v>
      </c>
      <c r="E4523" s="17"/>
      <c r="N4523" s="17"/>
      <c r="Q4523" s="17"/>
    </row>
    <row r="4524">
      <c r="B4524" s="11">
        <f>IFERROR(__xludf.DUMMYFUNCTION("""COMPUTED_VALUE"""),39456.666666666664)</f>
        <v>39456.66667</v>
      </c>
      <c r="C4524" s="9">
        <f>IFERROR(__xludf.DUMMYFUNCTION("""COMPUTED_VALUE"""),36.56)</f>
        <v>36.56</v>
      </c>
      <c r="E4524" s="17"/>
      <c r="N4524" s="17"/>
      <c r="Q4524" s="17"/>
    </row>
    <row r="4525">
      <c r="B4525" s="11">
        <f>IFERROR(__xludf.DUMMYFUNCTION("""COMPUTED_VALUE"""),39455.666666666664)</f>
        <v>39455.66667</v>
      </c>
      <c r="C4525" s="9">
        <f>IFERROR(__xludf.DUMMYFUNCTION("""COMPUTED_VALUE"""),36.45)</f>
        <v>36.45</v>
      </c>
      <c r="E4525" s="17"/>
      <c r="N4525" s="17"/>
      <c r="Q4525" s="17"/>
    </row>
    <row r="4526">
      <c r="B4526" s="11">
        <f>IFERROR(__xludf.DUMMYFUNCTION("""COMPUTED_VALUE"""),39454.666666666664)</f>
        <v>39454.66667</v>
      </c>
      <c r="C4526" s="9">
        <f>IFERROR(__xludf.DUMMYFUNCTION("""COMPUTED_VALUE"""),37.28)</f>
        <v>37.28</v>
      </c>
      <c r="E4526" s="17"/>
      <c r="N4526" s="17"/>
      <c r="Q4526" s="17"/>
    </row>
    <row r="4527">
      <c r="B4527" s="11">
        <f>IFERROR(__xludf.DUMMYFUNCTION("""COMPUTED_VALUE"""),39451.666666666664)</f>
        <v>39451.66667</v>
      </c>
      <c r="C4527" s="9">
        <f>IFERROR(__xludf.DUMMYFUNCTION("""COMPUTED_VALUE"""),37.75)</f>
        <v>37.75</v>
      </c>
      <c r="E4527" s="17"/>
      <c r="N4527" s="17"/>
      <c r="Q4527" s="17"/>
    </row>
    <row r="4528">
      <c r="B4528" s="11">
        <f>IFERROR(__xludf.DUMMYFUNCTION("""COMPUTED_VALUE"""),39450.666666666664)</f>
        <v>39450.66667</v>
      </c>
      <c r="C4528" s="9">
        <f>IFERROR(__xludf.DUMMYFUNCTION("""COMPUTED_VALUE"""),38.54)</f>
        <v>38.54</v>
      </c>
      <c r="E4528" s="17"/>
      <c r="N4528" s="17"/>
      <c r="Q4528" s="17"/>
    </row>
    <row r="4529">
      <c r="B4529" s="11">
        <f>IFERROR(__xludf.DUMMYFUNCTION("""COMPUTED_VALUE"""),39449.666666666664)</f>
        <v>39449.66667</v>
      </c>
      <c r="C4529" s="9">
        <f>IFERROR(__xludf.DUMMYFUNCTION("""COMPUTED_VALUE"""),38.51)</f>
        <v>38.51</v>
      </c>
      <c r="E4529" s="17"/>
      <c r="N4529" s="17"/>
      <c r="Q4529" s="17"/>
    </row>
    <row r="4530">
      <c r="B4530" s="11">
        <f>IFERROR(__xludf.DUMMYFUNCTION("""COMPUTED_VALUE"""),39447.666666666664)</f>
        <v>39447.66667</v>
      </c>
      <c r="C4530" s="9">
        <f>IFERROR(__xludf.DUMMYFUNCTION("""COMPUTED_VALUE"""),39.16)</f>
        <v>39.16</v>
      </c>
      <c r="E4530" s="17"/>
      <c r="N4530" s="17"/>
      <c r="Q4530" s="17"/>
    </row>
    <row r="4531">
      <c r="B4531" s="11">
        <f>IFERROR(__xludf.DUMMYFUNCTION("""COMPUTED_VALUE"""),39444.666666666664)</f>
        <v>39444.66667</v>
      </c>
      <c r="C4531" s="9">
        <f>IFERROR(__xludf.DUMMYFUNCTION("""COMPUTED_VALUE"""),39.34)</f>
        <v>39.34</v>
      </c>
      <c r="E4531" s="17"/>
      <c r="N4531" s="17"/>
      <c r="Q4531" s="17"/>
    </row>
    <row r="4532">
      <c r="B4532" s="11">
        <f>IFERROR(__xludf.DUMMYFUNCTION("""COMPUTED_VALUE"""),39443.666666666664)</f>
        <v>39443.66667</v>
      </c>
      <c r="C4532" s="9">
        <f>IFERROR(__xludf.DUMMYFUNCTION("""COMPUTED_VALUE"""),39.38)</f>
        <v>39.38</v>
      </c>
      <c r="E4532" s="17"/>
      <c r="N4532" s="17"/>
      <c r="Q4532" s="17"/>
    </row>
    <row r="4533">
      <c r="B4533" s="11">
        <f>IFERROR(__xludf.DUMMYFUNCTION("""COMPUTED_VALUE"""),39442.666666666664)</f>
        <v>39442.66667</v>
      </c>
      <c r="C4533" s="9">
        <f>IFERROR(__xludf.DUMMYFUNCTION("""COMPUTED_VALUE"""),39.84)</f>
        <v>39.84</v>
      </c>
      <c r="E4533" s="17"/>
      <c r="N4533" s="17"/>
      <c r="Q4533" s="17"/>
    </row>
    <row r="4534">
      <c r="B4534" s="11">
        <f>IFERROR(__xludf.DUMMYFUNCTION("""COMPUTED_VALUE"""),39440.666666666664)</f>
        <v>39440.66667</v>
      </c>
      <c r="C4534" s="9">
        <f>IFERROR(__xludf.DUMMYFUNCTION("""COMPUTED_VALUE"""),39.99)</f>
        <v>39.99</v>
      </c>
      <c r="E4534" s="17"/>
      <c r="N4534" s="17"/>
      <c r="Q4534" s="17"/>
    </row>
    <row r="4535">
      <c r="B4535" s="11">
        <f>IFERROR(__xludf.DUMMYFUNCTION("""COMPUTED_VALUE"""),39437.666666666664)</f>
        <v>39437.66667</v>
      </c>
      <c r="C4535" s="9">
        <f>IFERROR(__xludf.DUMMYFUNCTION("""COMPUTED_VALUE"""),39.55)</f>
        <v>39.55</v>
      </c>
      <c r="E4535" s="17"/>
      <c r="N4535" s="17"/>
      <c r="Q4535" s="17"/>
    </row>
    <row r="4536">
      <c r="B4536" s="11">
        <f>IFERROR(__xludf.DUMMYFUNCTION("""COMPUTED_VALUE"""),39436.666666666664)</f>
        <v>39436.66667</v>
      </c>
      <c r="C4536" s="9">
        <f>IFERROR(__xludf.DUMMYFUNCTION("""COMPUTED_VALUE"""),39.05)</f>
        <v>39.05</v>
      </c>
      <c r="E4536" s="17"/>
      <c r="N4536" s="17"/>
      <c r="Q4536" s="17"/>
    </row>
    <row r="4537">
      <c r="B4537" s="11">
        <f>IFERROR(__xludf.DUMMYFUNCTION("""COMPUTED_VALUE"""),39435.666666666664)</f>
        <v>39435.66667</v>
      </c>
      <c r="C4537" s="9">
        <f>IFERROR(__xludf.DUMMYFUNCTION("""COMPUTED_VALUE"""),38.73)</f>
        <v>38.73</v>
      </c>
      <c r="E4537" s="17"/>
      <c r="N4537" s="17"/>
      <c r="Q4537" s="17"/>
    </row>
    <row r="4538">
      <c r="B4538" s="11">
        <f>IFERROR(__xludf.DUMMYFUNCTION("""COMPUTED_VALUE"""),39434.666666666664)</f>
        <v>39434.66667</v>
      </c>
      <c r="C4538" s="9">
        <f>IFERROR(__xludf.DUMMYFUNCTION("""COMPUTED_VALUE"""),38.86)</f>
        <v>38.86</v>
      </c>
      <c r="E4538" s="17"/>
      <c r="N4538" s="17"/>
      <c r="Q4538" s="17"/>
    </row>
    <row r="4539">
      <c r="B4539" s="11">
        <f>IFERROR(__xludf.DUMMYFUNCTION("""COMPUTED_VALUE"""),39433.666666666664)</f>
        <v>39433.66667</v>
      </c>
      <c r="C4539" s="9">
        <f>IFERROR(__xludf.DUMMYFUNCTION("""COMPUTED_VALUE"""),38.75)</f>
        <v>38.75</v>
      </c>
      <c r="E4539" s="17"/>
      <c r="N4539" s="17"/>
      <c r="Q4539" s="17"/>
    </row>
    <row r="4540">
      <c r="B4540" s="11">
        <f>IFERROR(__xludf.DUMMYFUNCTION("""COMPUTED_VALUE"""),39430.666666666664)</f>
        <v>39430.66667</v>
      </c>
      <c r="C4540" s="9">
        <f>IFERROR(__xludf.DUMMYFUNCTION("""COMPUTED_VALUE"""),39.46)</f>
        <v>39.46</v>
      </c>
      <c r="E4540" s="17"/>
      <c r="N4540" s="17"/>
      <c r="Q4540" s="17"/>
    </row>
    <row r="4541">
      <c r="B4541" s="11">
        <f>IFERROR(__xludf.DUMMYFUNCTION("""COMPUTED_VALUE"""),39429.666666666664)</f>
        <v>39429.66667</v>
      </c>
      <c r="C4541" s="9">
        <f>IFERROR(__xludf.DUMMYFUNCTION("""COMPUTED_VALUE"""),39.9)</f>
        <v>39.9</v>
      </c>
      <c r="E4541" s="17"/>
      <c r="N4541" s="17"/>
      <c r="Q4541" s="17"/>
    </row>
    <row r="4542">
      <c r="B4542" s="11">
        <f>IFERROR(__xludf.DUMMYFUNCTION("""COMPUTED_VALUE"""),39428.666666666664)</f>
        <v>39428.66667</v>
      </c>
      <c r="C4542" s="9">
        <f>IFERROR(__xludf.DUMMYFUNCTION("""COMPUTED_VALUE"""),39.7)</f>
        <v>39.7</v>
      </c>
      <c r="E4542" s="17"/>
      <c r="N4542" s="17"/>
      <c r="Q4542" s="17"/>
    </row>
    <row r="4543">
      <c r="B4543" s="11">
        <f>IFERROR(__xludf.DUMMYFUNCTION("""COMPUTED_VALUE"""),39427.666666666664)</f>
        <v>39427.66667</v>
      </c>
      <c r="C4543" s="9">
        <f>IFERROR(__xludf.DUMMYFUNCTION("""COMPUTED_VALUE"""),39.2)</f>
        <v>39.2</v>
      </c>
      <c r="E4543" s="17"/>
      <c r="N4543" s="17"/>
      <c r="Q4543" s="17"/>
    </row>
    <row r="4544">
      <c r="B4544" s="11">
        <f>IFERROR(__xludf.DUMMYFUNCTION("""COMPUTED_VALUE"""),39426.666666666664)</f>
        <v>39426.66667</v>
      </c>
      <c r="C4544" s="9">
        <f>IFERROR(__xludf.DUMMYFUNCTION("""COMPUTED_VALUE"""),40.49)</f>
        <v>40.49</v>
      </c>
      <c r="E4544" s="17"/>
      <c r="N4544" s="17"/>
      <c r="Q4544" s="17"/>
    </row>
    <row r="4545">
      <c r="B4545" s="11">
        <f>IFERROR(__xludf.DUMMYFUNCTION("""COMPUTED_VALUE"""),39423.666666666664)</f>
        <v>39423.66667</v>
      </c>
      <c r="C4545" s="9">
        <f>IFERROR(__xludf.DUMMYFUNCTION("""COMPUTED_VALUE"""),40.3)</f>
        <v>40.3</v>
      </c>
      <c r="E4545" s="17"/>
      <c r="N4545" s="17"/>
      <c r="Q4545" s="17"/>
    </row>
    <row r="4546">
      <c r="B4546" s="11">
        <f>IFERROR(__xludf.DUMMYFUNCTION("""COMPUTED_VALUE"""),39422.666666666664)</f>
        <v>39422.66667</v>
      </c>
      <c r="C4546" s="9">
        <f>IFERROR(__xludf.DUMMYFUNCTION("""COMPUTED_VALUE"""),40.0)</f>
        <v>40</v>
      </c>
      <c r="E4546" s="17"/>
      <c r="N4546" s="17"/>
      <c r="Q4546" s="17"/>
    </row>
    <row r="4547">
      <c r="B4547" s="11">
        <f>IFERROR(__xludf.DUMMYFUNCTION("""COMPUTED_VALUE"""),39421.666666666664)</f>
        <v>39421.66667</v>
      </c>
      <c r="C4547" s="9">
        <f>IFERROR(__xludf.DUMMYFUNCTION("""COMPUTED_VALUE"""),39.55)</f>
        <v>39.55</v>
      </c>
      <c r="E4547" s="17"/>
      <c r="N4547" s="17"/>
      <c r="Q4547" s="17"/>
    </row>
    <row r="4548">
      <c r="B4548" s="11">
        <f>IFERROR(__xludf.DUMMYFUNCTION("""COMPUTED_VALUE"""),39420.666666666664)</f>
        <v>39420.66667</v>
      </c>
      <c r="C4548" s="9">
        <f>IFERROR(__xludf.DUMMYFUNCTION("""COMPUTED_VALUE"""),38.91)</f>
        <v>38.91</v>
      </c>
      <c r="E4548" s="17"/>
      <c r="N4548" s="17"/>
      <c r="Q4548" s="17"/>
    </row>
    <row r="4549">
      <c r="B4549" s="11">
        <f>IFERROR(__xludf.DUMMYFUNCTION("""COMPUTED_VALUE"""),39419.666666666664)</f>
        <v>39419.66667</v>
      </c>
      <c r="C4549" s="9">
        <f>IFERROR(__xludf.DUMMYFUNCTION("""COMPUTED_VALUE"""),39.0)</f>
        <v>39</v>
      </c>
      <c r="E4549" s="17"/>
      <c r="N4549" s="17"/>
      <c r="Q4549" s="17"/>
    </row>
    <row r="4550">
      <c r="B4550" s="11">
        <f>IFERROR(__xludf.DUMMYFUNCTION("""COMPUTED_VALUE"""),39416.666666666664)</f>
        <v>39416.66667</v>
      </c>
      <c r="C4550" s="9">
        <f>IFERROR(__xludf.DUMMYFUNCTION("""COMPUTED_VALUE"""),39.4)</f>
        <v>39.4</v>
      </c>
      <c r="E4550" s="17"/>
      <c r="N4550" s="17"/>
      <c r="Q4550" s="17"/>
    </row>
    <row r="4551">
      <c r="B4551" s="11">
        <f>IFERROR(__xludf.DUMMYFUNCTION("""COMPUTED_VALUE"""),39415.666666666664)</f>
        <v>39415.66667</v>
      </c>
      <c r="C4551" s="9">
        <f>IFERROR(__xludf.DUMMYFUNCTION("""COMPUTED_VALUE"""),39.25)</f>
        <v>39.25</v>
      </c>
      <c r="E4551" s="17"/>
      <c r="N4551" s="17"/>
      <c r="Q4551" s="17"/>
    </row>
    <row r="4552">
      <c r="B4552" s="11">
        <f>IFERROR(__xludf.DUMMYFUNCTION("""COMPUTED_VALUE"""),39414.666666666664)</f>
        <v>39414.66667</v>
      </c>
      <c r="C4552" s="9">
        <f>IFERROR(__xludf.DUMMYFUNCTION("""COMPUTED_VALUE"""),39.25)</f>
        <v>39.25</v>
      </c>
      <c r="E4552" s="17"/>
      <c r="N4552" s="17"/>
      <c r="Q4552" s="17"/>
    </row>
    <row r="4553">
      <c r="B4553" s="11">
        <f>IFERROR(__xludf.DUMMYFUNCTION("""COMPUTED_VALUE"""),39413.666666666664)</f>
        <v>39413.66667</v>
      </c>
      <c r="C4553" s="9">
        <f>IFERROR(__xludf.DUMMYFUNCTION("""COMPUTED_VALUE"""),38.32)</f>
        <v>38.32</v>
      </c>
      <c r="E4553" s="17"/>
      <c r="N4553" s="17"/>
      <c r="Q4553" s="17"/>
    </row>
    <row r="4554">
      <c r="B4554" s="11">
        <f>IFERROR(__xludf.DUMMYFUNCTION("""COMPUTED_VALUE"""),39412.666666666664)</f>
        <v>39412.66667</v>
      </c>
      <c r="C4554" s="9">
        <f>IFERROR(__xludf.DUMMYFUNCTION("""COMPUTED_VALUE"""),37.57)</f>
        <v>37.57</v>
      </c>
      <c r="E4554" s="17"/>
      <c r="N4554" s="17"/>
      <c r="Q4554" s="17"/>
    </row>
    <row r="4555">
      <c r="B4555" s="11">
        <f>IFERROR(__xludf.DUMMYFUNCTION("""COMPUTED_VALUE"""),39409.666666666664)</f>
        <v>39409.66667</v>
      </c>
      <c r="C4555" s="9">
        <f>IFERROR(__xludf.DUMMYFUNCTION("""COMPUTED_VALUE"""),38.17)</f>
        <v>38.17</v>
      </c>
      <c r="E4555" s="17"/>
      <c r="N4555" s="17"/>
      <c r="Q4555" s="17"/>
    </row>
    <row r="4556">
      <c r="B4556" s="11">
        <f>IFERROR(__xludf.DUMMYFUNCTION("""COMPUTED_VALUE"""),39407.666666666664)</f>
        <v>39407.66667</v>
      </c>
      <c r="C4556" s="9">
        <f>IFERROR(__xludf.DUMMYFUNCTION("""COMPUTED_VALUE"""),37.67)</f>
        <v>37.67</v>
      </c>
      <c r="E4556" s="17"/>
      <c r="N4556" s="17"/>
      <c r="Q4556" s="17"/>
    </row>
    <row r="4557">
      <c r="B4557" s="11">
        <f>IFERROR(__xludf.DUMMYFUNCTION("""COMPUTED_VALUE"""),39406.666666666664)</f>
        <v>39406.66667</v>
      </c>
      <c r="C4557" s="9">
        <f>IFERROR(__xludf.DUMMYFUNCTION("""COMPUTED_VALUE"""),38.31)</f>
        <v>38.31</v>
      </c>
      <c r="E4557" s="17"/>
      <c r="N4557" s="17"/>
      <c r="Q4557" s="17"/>
    </row>
    <row r="4558">
      <c r="B4558" s="11">
        <f>IFERROR(__xludf.DUMMYFUNCTION("""COMPUTED_VALUE"""),39405.666666666664)</f>
        <v>39405.66667</v>
      </c>
      <c r="C4558" s="9">
        <f>IFERROR(__xludf.DUMMYFUNCTION("""COMPUTED_VALUE"""),38.25)</f>
        <v>38.25</v>
      </c>
      <c r="E4558" s="17"/>
      <c r="N4558" s="17"/>
      <c r="Q4558" s="17"/>
    </row>
    <row r="4559">
      <c r="B4559" s="11">
        <f>IFERROR(__xludf.DUMMYFUNCTION("""COMPUTED_VALUE"""),39402.666666666664)</f>
        <v>39402.66667</v>
      </c>
      <c r="C4559" s="9">
        <f>IFERROR(__xludf.DUMMYFUNCTION("""COMPUTED_VALUE"""),38.81)</f>
        <v>38.81</v>
      </c>
      <c r="E4559" s="17"/>
      <c r="N4559" s="17"/>
      <c r="Q4559" s="17"/>
    </row>
    <row r="4560">
      <c r="B4560" s="11">
        <f>IFERROR(__xludf.DUMMYFUNCTION("""COMPUTED_VALUE"""),39401.666666666664)</f>
        <v>39401.66667</v>
      </c>
      <c r="C4560" s="9">
        <f>IFERROR(__xludf.DUMMYFUNCTION("""COMPUTED_VALUE"""),38.8)</f>
        <v>38.8</v>
      </c>
      <c r="E4560" s="17"/>
      <c r="N4560" s="17"/>
      <c r="Q4560" s="17"/>
    </row>
    <row r="4561">
      <c r="B4561" s="11">
        <f>IFERROR(__xludf.DUMMYFUNCTION("""COMPUTED_VALUE"""),39400.666666666664)</f>
        <v>39400.66667</v>
      </c>
      <c r="C4561" s="9">
        <f>IFERROR(__xludf.DUMMYFUNCTION("""COMPUTED_VALUE"""),39.35)</f>
        <v>39.35</v>
      </c>
      <c r="E4561" s="17"/>
      <c r="N4561" s="17"/>
      <c r="Q4561" s="17"/>
    </row>
    <row r="4562">
      <c r="B4562" s="11">
        <f>IFERROR(__xludf.DUMMYFUNCTION("""COMPUTED_VALUE"""),39399.666666666664)</f>
        <v>39399.66667</v>
      </c>
      <c r="C4562" s="9">
        <f>IFERROR(__xludf.DUMMYFUNCTION("""COMPUTED_VALUE"""),39.48)</f>
        <v>39.48</v>
      </c>
      <c r="E4562" s="17"/>
      <c r="N4562" s="17"/>
      <c r="Q4562" s="17"/>
    </row>
    <row r="4563">
      <c r="B4563" s="11">
        <f>IFERROR(__xludf.DUMMYFUNCTION("""COMPUTED_VALUE"""),39398.666666666664)</f>
        <v>39398.66667</v>
      </c>
      <c r="C4563" s="9">
        <f>IFERROR(__xludf.DUMMYFUNCTION("""COMPUTED_VALUE"""),38.5)</f>
        <v>38.5</v>
      </c>
      <c r="E4563" s="17"/>
      <c r="N4563" s="17"/>
      <c r="Q4563" s="17"/>
    </row>
    <row r="4564">
      <c r="B4564" s="11">
        <f>IFERROR(__xludf.DUMMYFUNCTION("""COMPUTED_VALUE"""),39395.666666666664)</f>
        <v>39395.66667</v>
      </c>
      <c r="C4564" s="9">
        <f>IFERROR(__xludf.DUMMYFUNCTION("""COMPUTED_VALUE"""),38.92)</f>
        <v>38.92</v>
      </c>
      <c r="E4564" s="17"/>
      <c r="N4564" s="17"/>
      <c r="Q4564" s="17"/>
    </row>
    <row r="4565">
      <c r="B4565" s="11">
        <f>IFERROR(__xludf.DUMMYFUNCTION("""COMPUTED_VALUE"""),39394.666666666664)</f>
        <v>39394.66667</v>
      </c>
      <c r="C4565" s="9">
        <f>IFERROR(__xludf.DUMMYFUNCTION("""COMPUTED_VALUE"""),39.71)</f>
        <v>39.71</v>
      </c>
      <c r="E4565" s="17"/>
      <c r="N4565" s="17"/>
      <c r="Q4565" s="17"/>
    </row>
    <row r="4566">
      <c r="B4566" s="11">
        <f>IFERROR(__xludf.DUMMYFUNCTION("""COMPUTED_VALUE"""),39393.666666666664)</f>
        <v>39393.66667</v>
      </c>
      <c r="C4566" s="9">
        <f>IFERROR(__xludf.DUMMYFUNCTION("""COMPUTED_VALUE"""),39.7)</f>
        <v>39.7</v>
      </c>
      <c r="E4566" s="17"/>
      <c r="N4566" s="17"/>
      <c r="Q4566" s="17"/>
    </row>
    <row r="4567">
      <c r="B4567" s="11">
        <f>IFERROR(__xludf.DUMMYFUNCTION("""COMPUTED_VALUE"""),39392.666666666664)</f>
        <v>39392.66667</v>
      </c>
      <c r="C4567" s="9">
        <f>IFERROR(__xludf.DUMMYFUNCTION("""COMPUTED_VALUE"""),40.68)</f>
        <v>40.68</v>
      </c>
      <c r="E4567" s="17"/>
      <c r="N4567" s="17"/>
      <c r="Q4567" s="17"/>
    </row>
    <row r="4568">
      <c r="B4568" s="11">
        <f>IFERROR(__xludf.DUMMYFUNCTION("""COMPUTED_VALUE"""),39391.666666666664)</f>
        <v>39391.66667</v>
      </c>
      <c r="C4568" s="9">
        <f>IFERROR(__xludf.DUMMYFUNCTION("""COMPUTED_VALUE"""),40.05)</f>
        <v>40.05</v>
      </c>
      <c r="E4568" s="17"/>
      <c r="N4568" s="17"/>
      <c r="Q4568" s="17"/>
    </row>
    <row r="4569">
      <c r="B4569" s="11">
        <f>IFERROR(__xludf.DUMMYFUNCTION("""COMPUTED_VALUE"""),39388.666666666664)</f>
        <v>39388.66667</v>
      </c>
      <c r="C4569" s="9">
        <f>IFERROR(__xludf.DUMMYFUNCTION("""COMPUTED_VALUE"""),40.22)</f>
        <v>40.22</v>
      </c>
      <c r="E4569" s="17"/>
      <c r="N4569" s="17"/>
      <c r="Q4569" s="17"/>
    </row>
    <row r="4570">
      <c r="B4570" s="11">
        <f>IFERROR(__xludf.DUMMYFUNCTION("""COMPUTED_VALUE"""),39387.666666666664)</f>
        <v>39387.66667</v>
      </c>
      <c r="C4570" s="9">
        <f>IFERROR(__xludf.DUMMYFUNCTION("""COMPUTED_VALUE"""),39.86)</f>
        <v>39.86</v>
      </c>
      <c r="E4570" s="17"/>
      <c r="N4570" s="17"/>
      <c r="Q4570" s="17"/>
    </row>
    <row r="4571">
      <c r="B4571" s="11">
        <f>IFERROR(__xludf.DUMMYFUNCTION("""COMPUTED_VALUE"""),39386.666666666664)</f>
        <v>39386.66667</v>
      </c>
      <c r="C4571" s="9">
        <f>IFERROR(__xludf.DUMMYFUNCTION("""COMPUTED_VALUE"""),40.55)</f>
        <v>40.55</v>
      </c>
      <c r="E4571" s="17"/>
      <c r="N4571" s="17"/>
      <c r="Q4571" s="17"/>
    </row>
    <row r="4572">
      <c r="B4572" s="11">
        <f>IFERROR(__xludf.DUMMYFUNCTION("""COMPUTED_VALUE"""),39385.666666666664)</f>
        <v>39385.66667</v>
      </c>
      <c r="C4572" s="9">
        <f>IFERROR(__xludf.DUMMYFUNCTION("""COMPUTED_VALUE"""),40.2)</f>
        <v>40.2</v>
      </c>
      <c r="E4572" s="17"/>
      <c r="N4572" s="17"/>
      <c r="Q4572" s="17"/>
    </row>
    <row r="4573">
      <c r="B4573" s="11">
        <f>IFERROR(__xludf.DUMMYFUNCTION("""COMPUTED_VALUE"""),39384.666666666664)</f>
        <v>39384.66667</v>
      </c>
      <c r="C4573" s="9">
        <f>IFERROR(__xludf.DUMMYFUNCTION("""COMPUTED_VALUE"""),40.56)</f>
        <v>40.56</v>
      </c>
      <c r="E4573" s="17"/>
      <c r="N4573" s="17"/>
      <c r="Q4573" s="17"/>
    </row>
    <row r="4574">
      <c r="B4574" s="11">
        <f>IFERROR(__xludf.DUMMYFUNCTION("""COMPUTED_VALUE"""),39381.666666666664)</f>
        <v>39381.66667</v>
      </c>
      <c r="C4574" s="9">
        <f>IFERROR(__xludf.DUMMYFUNCTION("""COMPUTED_VALUE"""),40.3)</f>
        <v>40.3</v>
      </c>
      <c r="E4574" s="17"/>
      <c r="N4574" s="17"/>
      <c r="Q4574" s="17"/>
    </row>
    <row r="4575">
      <c r="B4575" s="11">
        <f>IFERROR(__xludf.DUMMYFUNCTION("""COMPUTED_VALUE"""),39380.666666666664)</f>
        <v>39380.66667</v>
      </c>
      <c r="C4575" s="9">
        <f>IFERROR(__xludf.DUMMYFUNCTION("""COMPUTED_VALUE"""),40.27)</f>
        <v>40.27</v>
      </c>
      <c r="E4575" s="17"/>
      <c r="N4575" s="17"/>
      <c r="Q4575" s="17"/>
    </row>
    <row r="4576">
      <c r="B4576" s="11">
        <f>IFERROR(__xludf.DUMMYFUNCTION("""COMPUTED_VALUE"""),39379.666666666664)</f>
        <v>39379.66667</v>
      </c>
      <c r="C4576" s="9">
        <f>IFERROR(__xludf.DUMMYFUNCTION("""COMPUTED_VALUE"""),40.2)</f>
        <v>40.2</v>
      </c>
      <c r="E4576" s="17"/>
      <c r="N4576" s="17"/>
      <c r="Q4576" s="17"/>
    </row>
    <row r="4577">
      <c r="B4577" s="11">
        <f>IFERROR(__xludf.DUMMYFUNCTION("""COMPUTED_VALUE"""),39378.666666666664)</f>
        <v>39378.66667</v>
      </c>
      <c r="C4577" s="9">
        <f>IFERROR(__xludf.DUMMYFUNCTION("""COMPUTED_VALUE"""),40.32)</f>
        <v>40.32</v>
      </c>
      <c r="E4577" s="17"/>
      <c r="N4577" s="17"/>
      <c r="Q4577" s="17"/>
    </row>
    <row r="4578">
      <c r="B4578" s="11">
        <f>IFERROR(__xludf.DUMMYFUNCTION("""COMPUTED_VALUE"""),39377.666666666664)</f>
        <v>39377.66667</v>
      </c>
      <c r="C4578" s="9">
        <f>IFERROR(__xludf.DUMMYFUNCTION("""COMPUTED_VALUE"""),40.05)</f>
        <v>40.05</v>
      </c>
      <c r="E4578" s="17"/>
      <c r="N4578" s="17"/>
      <c r="Q4578" s="17"/>
    </row>
    <row r="4579">
      <c r="B4579" s="11">
        <f>IFERROR(__xludf.DUMMYFUNCTION("""COMPUTED_VALUE"""),39374.666666666664)</f>
        <v>39374.66667</v>
      </c>
      <c r="C4579" s="9">
        <f>IFERROR(__xludf.DUMMYFUNCTION("""COMPUTED_VALUE"""),39.9)</f>
        <v>39.9</v>
      </c>
      <c r="E4579" s="17"/>
      <c r="N4579" s="17"/>
      <c r="Q4579" s="17"/>
    </row>
    <row r="4580">
      <c r="B4580" s="11">
        <f>IFERROR(__xludf.DUMMYFUNCTION("""COMPUTED_VALUE"""),39373.666666666664)</f>
        <v>39373.66667</v>
      </c>
      <c r="C4580" s="9">
        <f>IFERROR(__xludf.DUMMYFUNCTION("""COMPUTED_VALUE"""),41.04)</f>
        <v>41.04</v>
      </c>
      <c r="E4580" s="17"/>
      <c r="N4580" s="17"/>
      <c r="Q4580" s="17"/>
    </row>
    <row r="4581">
      <c r="B4581" s="11">
        <f>IFERROR(__xludf.DUMMYFUNCTION("""COMPUTED_VALUE"""),39372.666666666664)</f>
        <v>39372.66667</v>
      </c>
      <c r="C4581" s="9">
        <f>IFERROR(__xludf.DUMMYFUNCTION("""COMPUTED_VALUE"""),40.93)</f>
        <v>40.93</v>
      </c>
      <c r="E4581" s="17"/>
      <c r="N4581" s="17"/>
      <c r="Q4581" s="17"/>
    </row>
    <row r="4582">
      <c r="B4582" s="11">
        <f>IFERROR(__xludf.DUMMYFUNCTION("""COMPUTED_VALUE"""),39371.666666666664)</f>
        <v>39371.66667</v>
      </c>
      <c r="C4582" s="9">
        <f>IFERROR(__xludf.DUMMYFUNCTION("""COMPUTED_VALUE"""),40.82)</f>
        <v>40.82</v>
      </c>
      <c r="E4582" s="17"/>
      <c r="N4582" s="17"/>
      <c r="Q4582" s="17"/>
    </row>
    <row r="4583">
      <c r="B4583" s="11">
        <f>IFERROR(__xludf.DUMMYFUNCTION("""COMPUTED_VALUE"""),39370.666666666664)</f>
        <v>39370.66667</v>
      </c>
      <c r="C4583" s="9">
        <f>IFERROR(__xludf.DUMMYFUNCTION("""COMPUTED_VALUE"""),41.0)</f>
        <v>41</v>
      </c>
      <c r="E4583" s="17"/>
      <c r="N4583" s="17"/>
      <c r="Q4583" s="17"/>
    </row>
    <row r="4584">
      <c r="B4584" s="11">
        <f>IFERROR(__xludf.DUMMYFUNCTION("""COMPUTED_VALUE"""),39367.666666666664)</f>
        <v>39367.66667</v>
      </c>
      <c r="C4584" s="9">
        <f>IFERROR(__xludf.DUMMYFUNCTION("""COMPUTED_VALUE"""),41.32)</f>
        <v>41.32</v>
      </c>
      <c r="E4584" s="17"/>
      <c r="N4584" s="17"/>
      <c r="Q4584" s="17"/>
    </row>
    <row r="4585">
      <c r="B4585" s="11">
        <f>IFERROR(__xludf.DUMMYFUNCTION("""COMPUTED_VALUE"""),39366.666666666664)</f>
        <v>39366.66667</v>
      </c>
      <c r="C4585" s="9">
        <f>IFERROR(__xludf.DUMMYFUNCTION("""COMPUTED_VALUE"""),41.14)</f>
        <v>41.14</v>
      </c>
      <c r="E4585" s="17"/>
      <c r="N4585" s="17"/>
      <c r="Q4585" s="17"/>
    </row>
    <row r="4586">
      <c r="B4586" s="11">
        <f>IFERROR(__xludf.DUMMYFUNCTION("""COMPUTED_VALUE"""),39365.666666666664)</f>
        <v>39365.66667</v>
      </c>
      <c r="C4586" s="9">
        <f>IFERROR(__xludf.DUMMYFUNCTION("""COMPUTED_VALUE"""),41.44)</f>
        <v>41.44</v>
      </c>
      <c r="E4586" s="17"/>
      <c r="N4586" s="17"/>
      <c r="Q4586" s="17"/>
    </row>
    <row r="4587">
      <c r="B4587" s="11">
        <f>IFERROR(__xludf.DUMMYFUNCTION("""COMPUTED_VALUE"""),39364.666666666664)</f>
        <v>39364.66667</v>
      </c>
      <c r="C4587" s="9">
        <f>IFERROR(__xludf.DUMMYFUNCTION("""COMPUTED_VALUE"""),41.9)</f>
        <v>41.9</v>
      </c>
      <c r="E4587" s="17"/>
      <c r="N4587" s="17"/>
      <c r="Q4587" s="17"/>
    </row>
    <row r="4588">
      <c r="B4588" s="11">
        <f>IFERROR(__xludf.DUMMYFUNCTION("""COMPUTED_VALUE"""),39363.666666666664)</f>
        <v>39363.66667</v>
      </c>
      <c r="C4588" s="9">
        <f>IFERROR(__xludf.DUMMYFUNCTION("""COMPUTED_VALUE"""),41.51)</f>
        <v>41.51</v>
      </c>
      <c r="E4588" s="17"/>
      <c r="N4588" s="17"/>
      <c r="Q4588" s="17"/>
    </row>
    <row r="4589">
      <c r="B4589" s="11">
        <f>IFERROR(__xludf.DUMMYFUNCTION("""COMPUTED_VALUE"""),39360.666666666664)</f>
        <v>39360.66667</v>
      </c>
      <c r="C4589" s="9">
        <f>IFERROR(__xludf.DUMMYFUNCTION("""COMPUTED_VALUE"""),41.58)</f>
        <v>41.58</v>
      </c>
      <c r="E4589" s="17"/>
      <c r="N4589" s="17"/>
      <c r="Q4589" s="17"/>
    </row>
    <row r="4590">
      <c r="B4590" s="11">
        <f>IFERROR(__xludf.DUMMYFUNCTION("""COMPUTED_VALUE"""),39359.666666666664)</f>
        <v>39359.66667</v>
      </c>
      <c r="C4590" s="9">
        <f>IFERROR(__xludf.DUMMYFUNCTION("""COMPUTED_VALUE"""),41.13)</f>
        <v>41.13</v>
      </c>
      <c r="E4590" s="17"/>
      <c r="N4590" s="17"/>
      <c r="Q4590" s="17"/>
    </row>
    <row r="4591">
      <c r="B4591" s="11">
        <f>IFERROR(__xludf.DUMMYFUNCTION("""COMPUTED_VALUE"""),39358.666666666664)</f>
        <v>39358.66667</v>
      </c>
      <c r="C4591" s="9">
        <f>IFERROR(__xludf.DUMMYFUNCTION("""COMPUTED_VALUE"""),40.99)</f>
        <v>40.99</v>
      </c>
      <c r="E4591" s="17"/>
      <c r="N4591" s="17"/>
      <c r="Q4591" s="17"/>
    </row>
    <row r="4592">
      <c r="B4592" s="11">
        <f>IFERROR(__xludf.DUMMYFUNCTION("""COMPUTED_VALUE"""),39357.666666666664)</f>
        <v>39357.66667</v>
      </c>
      <c r="C4592" s="9">
        <f>IFERROR(__xludf.DUMMYFUNCTION("""COMPUTED_VALUE"""),41.27)</f>
        <v>41.27</v>
      </c>
      <c r="E4592" s="17"/>
      <c r="N4592" s="17"/>
      <c r="Q4592" s="17"/>
    </row>
    <row r="4593">
      <c r="B4593" s="11">
        <f>IFERROR(__xludf.DUMMYFUNCTION("""COMPUTED_VALUE"""),39356.666666666664)</f>
        <v>39356.66667</v>
      </c>
      <c r="C4593" s="9">
        <f>IFERROR(__xludf.DUMMYFUNCTION("""COMPUTED_VALUE"""),41.61)</f>
        <v>41.61</v>
      </c>
      <c r="E4593" s="17"/>
      <c r="N4593" s="17"/>
      <c r="Q4593" s="17"/>
    </row>
    <row r="4594">
      <c r="B4594" s="11">
        <f>IFERROR(__xludf.DUMMYFUNCTION("""COMPUTED_VALUE"""),39353.666666666664)</f>
        <v>39353.66667</v>
      </c>
      <c r="C4594" s="9">
        <f>IFERROR(__xludf.DUMMYFUNCTION("""COMPUTED_VALUE"""),41.08)</f>
        <v>41.08</v>
      </c>
      <c r="E4594" s="17"/>
      <c r="N4594" s="17"/>
      <c r="Q4594" s="17"/>
    </row>
    <row r="4595">
      <c r="B4595" s="11">
        <f>IFERROR(__xludf.DUMMYFUNCTION("""COMPUTED_VALUE"""),39352.666666666664)</f>
        <v>39352.66667</v>
      </c>
      <c r="C4595" s="9">
        <f>IFERROR(__xludf.DUMMYFUNCTION("""COMPUTED_VALUE"""),40.86)</f>
        <v>40.86</v>
      </c>
      <c r="E4595" s="17"/>
      <c r="N4595" s="17"/>
      <c r="Q4595" s="17"/>
    </row>
    <row r="4596">
      <c r="B4596" s="11">
        <f>IFERROR(__xludf.DUMMYFUNCTION("""COMPUTED_VALUE"""),39351.666666666664)</f>
        <v>39351.66667</v>
      </c>
      <c r="C4596" s="9">
        <f>IFERROR(__xludf.DUMMYFUNCTION("""COMPUTED_VALUE"""),40.68)</f>
        <v>40.68</v>
      </c>
      <c r="E4596" s="17"/>
      <c r="N4596" s="17"/>
      <c r="Q4596" s="17"/>
    </row>
    <row r="4597">
      <c r="B4597" s="11">
        <f>IFERROR(__xludf.DUMMYFUNCTION("""COMPUTED_VALUE"""),39350.666666666664)</f>
        <v>39350.66667</v>
      </c>
      <c r="C4597" s="9">
        <f>IFERROR(__xludf.DUMMYFUNCTION("""COMPUTED_VALUE"""),40.4)</f>
        <v>40.4</v>
      </c>
      <c r="E4597" s="17"/>
      <c r="N4597" s="17"/>
      <c r="Q4597" s="17"/>
    </row>
    <row r="4598">
      <c r="B4598" s="11">
        <f>IFERROR(__xludf.DUMMYFUNCTION("""COMPUTED_VALUE"""),39349.666666666664)</f>
        <v>39349.66667</v>
      </c>
      <c r="C4598" s="9">
        <f>IFERROR(__xludf.DUMMYFUNCTION("""COMPUTED_VALUE"""),40.24)</f>
        <v>40.24</v>
      </c>
      <c r="E4598" s="17"/>
      <c r="N4598" s="17"/>
      <c r="Q4598" s="17"/>
    </row>
    <row r="4599">
      <c r="B4599" s="11">
        <f>IFERROR(__xludf.DUMMYFUNCTION("""COMPUTED_VALUE"""),39346.666666666664)</f>
        <v>39346.66667</v>
      </c>
      <c r="C4599" s="9">
        <f>IFERROR(__xludf.DUMMYFUNCTION("""COMPUTED_VALUE"""),40.63)</f>
        <v>40.63</v>
      </c>
      <c r="E4599" s="17"/>
      <c r="N4599" s="17"/>
      <c r="Q4599" s="17"/>
    </row>
    <row r="4600">
      <c r="B4600" s="11">
        <f>IFERROR(__xludf.DUMMYFUNCTION("""COMPUTED_VALUE"""),39345.666666666664)</f>
        <v>39345.66667</v>
      </c>
      <c r="C4600" s="9">
        <f>IFERROR(__xludf.DUMMYFUNCTION("""COMPUTED_VALUE"""),40.56)</f>
        <v>40.56</v>
      </c>
      <c r="E4600" s="17"/>
      <c r="N4600" s="17"/>
      <c r="Q4600" s="17"/>
    </row>
    <row r="4601">
      <c r="B4601" s="11">
        <f>IFERROR(__xludf.DUMMYFUNCTION("""COMPUTED_VALUE"""),39344.666666666664)</f>
        <v>39344.66667</v>
      </c>
      <c r="C4601" s="9">
        <f>IFERROR(__xludf.DUMMYFUNCTION("""COMPUTED_VALUE"""),40.9)</f>
        <v>40.9</v>
      </c>
      <c r="E4601" s="17"/>
      <c r="N4601" s="17"/>
      <c r="Q4601" s="17"/>
    </row>
    <row r="4602">
      <c r="B4602" s="11">
        <f>IFERROR(__xludf.DUMMYFUNCTION("""COMPUTED_VALUE"""),39343.666666666664)</f>
        <v>39343.66667</v>
      </c>
      <c r="C4602" s="9">
        <f>IFERROR(__xludf.DUMMYFUNCTION("""COMPUTED_VALUE"""),40.47)</f>
        <v>40.47</v>
      </c>
      <c r="E4602" s="17"/>
      <c r="N4602" s="17"/>
      <c r="Q4602" s="17"/>
    </row>
    <row r="4603">
      <c r="B4603" s="11">
        <f>IFERROR(__xludf.DUMMYFUNCTION("""COMPUTED_VALUE"""),39342.666666666664)</f>
        <v>39342.66667</v>
      </c>
      <c r="C4603" s="9">
        <f>IFERROR(__xludf.DUMMYFUNCTION("""COMPUTED_VALUE"""),39.2)</f>
        <v>39.2</v>
      </c>
      <c r="E4603" s="17"/>
      <c r="N4603" s="17"/>
      <c r="Q4603" s="17"/>
    </row>
    <row r="4604">
      <c r="B4604" s="11">
        <f>IFERROR(__xludf.DUMMYFUNCTION("""COMPUTED_VALUE"""),39339.666666666664)</f>
        <v>39339.66667</v>
      </c>
      <c r="C4604" s="9">
        <f>IFERROR(__xludf.DUMMYFUNCTION("""COMPUTED_VALUE"""),39.54)</f>
        <v>39.54</v>
      </c>
      <c r="E4604" s="17"/>
      <c r="N4604" s="17"/>
      <c r="Q4604" s="17"/>
    </row>
    <row r="4605">
      <c r="B4605" s="11">
        <f>IFERROR(__xludf.DUMMYFUNCTION("""COMPUTED_VALUE"""),39338.666666666664)</f>
        <v>39338.66667</v>
      </c>
      <c r="C4605" s="9">
        <f>IFERROR(__xludf.DUMMYFUNCTION("""COMPUTED_VALUE"""),39.47)</f>
        <v>39.47</v>
      </c>
      <c r="E4605" s="17"/>
      <c r="N4605" s="17"/>
      <c r="Q4605" s="17"/>
    </row>
    <row r="4606">
      <c r="B4606" s="11">
        <f>IFERROR(__xludf.DUMMYFUNCTION("""COMPUTED_VALUE"""),39337.666666666664)</f>
        <v>39337.66667</v>
      </c>
      <c r="C4606" s="9">
        <f>IFERROR(__xludf.DUMMYFUNCTION("""COMPUTED_VALUE"""),39.06)</f>
        <v>39.06</v>
      </c>
      <c r="E4606" s="17"/>
      <c r="N4606" s="17"/>
      <c r="Q4606" s="17"/>
    </row>
    <row r="4607">
      <c r="B4607" s="11">
        <f>IFERROR(__xludf.DUMMYFUNCTION("""COMPUTED_VALUE"""),39336.666666666664)</f>
        <v>39336.66667</v>
      </c>
      <c r="C4607" s="9">
        <f>IFERROR(__xludf.DUMMYFUNCTION("""COMPUTED_VALUE"""),39.09)</f>
        <v>39.09</v>
      </c>
      <c r="E4607" s="17"/>
      <c r="N4607" s="17"/>
      <c r="Q4607" s="17"/>
    </row>
    <row r="4608">
      <c r="B4608" s="11">
        <f>IFERROR(__xludf.DUMMYFUNCTION("""COMPUTED_VALUE"""),39335.666666666664)</f>
        <v>39335.66667</v>
      </c>
      <c r="C4608" s="9">
        <f>IFERROR(__xludf.DUMMYFUNCTION("""COMPUTED_VALUE"""),38.74)</f>
        <v>38.74</v>
      </c>
      <c r="E4608" s="17"/>
      <c r="N4608" s="17"/>
      <c r="Q4608" s="17"/>
    </row>
    <row r="4609">
      <c r="B4609" s="11">
        <f>IFERROR(__xludf.DUMMYFUNCTION("""COMPUTED_VALUE"""),39332.666666666664)</f>
        <v>39332.66667</v>
      </c>
      <c r="C4609" s="9">
        <f>IFERROR(__xludf.DUMMYFUNCTION("""COMPUTED_VALUE"""),38.71)</f>
        <v>38.71</v>
      </c>
      <c r="E4609" s="17"/>
      <c r="N4609" s="17"/>
      <c r="Q4609" s="17"/>
    </row>
    <row r="4610">
      <c r="B4610" s="11">
        <f>IFERROR(__xludf.DUMMYFUNCTION("""COMPUTED_VALUE"""),39331.666666666664)</f>
        <v>39331.66667</v>
      </c>
      <c r="C4610" s="9">
        <f>IFERROR(__xludf.DUMMYFUNCTION("""COMPUTED_VALUE"""),39.52)</f>
        <v>39.52</v>
      </c>
      <c r="E4610" s="17"/>
      <c r="N4610" s="17"/>
      <c r="Q4610" s="17"/>
    </row>
    <row r="4611">
      <c r="B4611" s="11">
        <f>IFERROR(__xludf.DUMMYFUNCTION("""COMPUTED_VALUE"""),39330.666666666664)</f>
        <v>39330.66667</v>
      </c>
      <c r="C4611" s="9">
        <f>IFERROR(__xludf.DUMMYFUNCTION("""COMPUTED_VALUE"""),39.2)</f>
        <v>39.2</v>
      </c>
      <c r="E4611" s="17"/>
      <c r="N4611" s="17"/>
      <c r="Q4611" s="17"/>
    </row>
    <row r="4612">
      <c r="B4612" s="11">
        <f>IFERROR(__xludf.DUMMYFUNCTION("""COMPUTED_VALUE"""),39329.666666666664)</f>
        <v>39329.66667</v>
      </c>
      <c r="C4612" s="9">
        <f>IFERROR(__xludf.DUMMYFUNCTION("""COMPUTED_VALUE"""),39.6)</f>
        <v>39.6</v>
      </c>
      <c r="E4612" s="17"/>
      <c r="N4612" s="17"/>
      <c r="Q4612" s="17"/>
    </row>
    <row r="4613">
      <c r="B4613" s="11">
        <f>IFERROR(__xludf.DUMMYFUNCTION("""COMPUTED_VALUE"""),39325.666666666664)</f>
        <v>39325.66667</v>
      </c>
      <c r="C4613" s="9">
        <f>IFERROR(__xludf.DUMMYFUNCTION("""COMPUTED_VALUE"""),39.42)</f>
        <v>39.42</v>
      </c>
      <c r="E4613" s="17"/>
      <c r="N4613" s="17"/>
      <c r="Q4613" s="17"/>
    </row>
    <row r="4614">
      <c r="B4614" s="11">
        <f>IFERROR(__xludf.DUMMYFUNCTION("""COMPUTED_VALUE"""),39324.666666666664)</f>
        <v>39324.66667</v>
      </c>
      <c r="C4614" s="9">
        <f>IFERROR(__xludf.DUMMYFUNCTION("""COMPUTED_VALUE"""),38.83)</f>
        <v>38.83</v>
      </c>
      <c r="E4614" s="17"/>
      <c r="N4614" s="17"/>
      <c r="Q4614" s="17"/>
    </row>
    <row r="4615">
      <c r="B4615" s="11">
        <f>IFERROR(__xludf.DUMMYFUNCTION("""COMPUTED_VALUE"""),39323.666666666664)</f>
        <v>39323.66667</v>
      </c>
      <c r="C4615" s="9">
        <f>IFERROR(__xludf.DUMMYFUNCTION("""COMPUTED_VALUE"""),39.07)</f>
        <v>39.07</v>
      </c>
      <c r="E4615" s="17"/>
      <c r="N4615" s="17"/>
      <c r="Q4615" s="17"/>
    </row>
    <row r="4616">
      <c r="B4616" s="11">
        <f>IFERROR(__xludf.DUMMYFUNCTION("""COMPUTED_VALUE"""),39322.666666666664)</f>
        <v>39322.66667</v>
      </c>
      <c r="C4616" s="9">
        <f>IFERROR(__xludf.DUMMYFUNCTION("""COMPUTED_VALUE"""),38.17)</f>
        <v>38.17</v>
      </c>
      <c r="E4616" s="17"/>
      <c r="N4616" s="17"/>
      <c r="Q4616" s="17"/>
    </row>
    <row r="4617">
      <c r="B4617" s="11">
        <f>IFERROR(__xludf.DUMMYFUNCTION("""COMPUTED_VALUE"""),39321.666666666664)</f>
        <v>39321.66667</v>
      </c>
      <c r="C4617" s="9">
        <f>IFERROR(__xludf.DUMMYFUNCTION("""COMPUTED_VALUE"""),39.11)</f>
        <v>39.11</v>
      </c>
      <c r="E4617" s="17"/>
      <c r="N4617" s="17"/>
      <c r="Q4617" s="17"/>
    </row>
    <row r="4618">
      <c r="B4618" s="11">
        <f>IFERROR(__xludf.DUMMYFUNCTION("""COMPUTED_VALUE"""),39318.666666666664)</f>
        <v>39318.66667</v>
      </c>
      <c r="C4618" s="9">
        <f>IFERROR(__xludf.DUMMYFUNCTION("""COMPUTED_VALUE"""),39.2)</f>
        <v>39.2</v>
      </c>
      <c r="E4618" s="17"/>
      <c r="N4618" s="17"/>
      <c r="Q4618" s="17"/>
    </row>
    <row r="4619">
      <c r="B4619" s="11">
        <f>IFERROR(__xludf.DUMMYFUNCTION("""COMPUTED_VALUE"""),39317.666666666664)</f>
        <v>39317.66667</v>
      </c>
      <c r="C4619" s="9">
        <f>IFERROR(__xludf.DUMMYFUNCTION("""COMPUTED_VALUE"""),38.88)</f>
        <v>38.88</v>
      </c>
      <c r="E4619" s="17"/>
      <c r="N4619" s="17"/>
      <c r="Q4619" s="17"/>
    </row>
    <row r="4620">
      <c r="B4620" s="11">
        <f>IFERROR(__xludf.DUMMYFUNCTION("""COMPUTED_VALUE"""),39316.666666666664)</f>
        <v>39316.66667</v>
      </c>
      <c r="C4620" s="9">
        <f>IFERROR(__xludf.DUMMYFUNCTION("""COMPUTED_VALUE"""),39.09)</f>
        <v>39.09</v>
      </c>
      <c r="E4620" s="17"/>
      <c r="N4620" s="17"/>
      <c r="Q4620" s="17"/>
    </row>
    <row r="4621">
      <c r="B4621" s="11">
        <f>IFERROR(__xludf.DUMMYFUNCTION("""COMPUTED_VALUE"""),39315.666666666664)</f>
        <v>39315.66667</v>
      </c>
      <c r="C4621" s="9">
        <f>IFERROR(__xludf.DUMMYFUNCTION("""COMPUTED_VALUE"""),38.4)</f>
        <v>38.4</v>
      </c>
      <c r="E4621" s="17"/>
      <c r="N4621" s="17"/>
      <c r="Q4621" s="17"/>
    </row>
    <row r="4622">
      <c r="B4622" s="11">
        <f>IFERROR(__xludf.DUMMYFUNCTION("""COMPUTED_VALUE"""),39314.666666666664)</f>
        <v>39314.66667</v>
      </c>
      <c r="C4622" s="9">
        <f>IFERROR(__xludf.DUMMYFUNCTION("""COMPUTED_VALUE"""),38.55)</f>
        <v>38.55</v>
      </c>
      <c r="E4622" s="17"/>
      <c r="N4622" s="17"/>
      <c r="Q4622" s="17"/>
    </row>
    <row r="4623">
      <c r="B4623" s="11">
        <f>IFERROR(__xludf.DUMMYFUNCTION("""COMPUTED_VALUE"""),39311.666666666664)</f>
        <v>39311.66667</v>
      </c>
      <c r="C4623" s="9">
        <f>IFERROR(__xludf.DUMMYFUNCTION("""COMPUTED_VALUE"""),38.0)</f>
        <v>38</v>
      </c>
      <c r="E4623" s="17"/>
      <c r="N4623" s="17"/>
      <c r="Q4623" s="17"/>
    </row>
    <row r="4624">
      <c r="B4624" s="11">
        <f>IFERROR(__xludf.DUMMYFUNCTION("""COMPUTED_VALUE"""),39310.666666666664)</f>
        <v>39310.66667</v>
      </c>
      <c r="C4624" s="9">
        <f>IFERROR(__xludf.DUMMYFUNCTION("""COMPUTED_VALUE"""),37.62)</f>
        <v>37.62</v>
      </c>
      <c r="E4624" s="17"/>
      <c r="N4624" s="17"/>
      <c r="Q4624" s="17"/>
    </row>
    <row r="4625">
      <c r="B4625" s="11">
        <f>IFERROR(__xludf.DUMMYFUNCTION("""COMPUTED_VALUE"""),39309.666666666664)</f>
        <v>39309.66667</v>
      </c>
      <c r="C4625" s="9">
        <f>IFERROR(__xludf.DUMMYFUNCTION("""COMPUTED_VALUE"""),37.6)</f>
        <v>37.6</v>
      </c>
      <c r="E4625" s="17"/>
      <c r="N4625" s="17"/>
      <c r="Q4625" s="17"/>
    </row>
    <row r="4626">
      <c r="B4626" s="11">
        <f>IFERROR(__xludf.DUMMYFUNCTION("""COMPUTED_VALUE"""),39308.666666666664)</f>
        <v>39308.66667</v>
      </c>
      <c r="C4626" s="9">
        <f>IFERROR(__xludf.DUMMYFUNCTION("""COMPUTED_VALUE"""),38.05)</f>
        <v>38.05</v>
      </c>
      <c r="E4626" s="17"/>
      <c r="N4626" s="17"/>
      <c r="Q4626" s="17"/>
    </row>
    <row r="4627">
      <c r="B4627" s="11">
        <f>IFERROR(__xludf.DUMMYFUNCTION("""COMPUTED_VALUE"""),39307.666666666664)</f>
        <v>39307.66667</v>
      </c>
      <c r="C4627" s="9">
        <f>IFERROR(__xludf.DUMMYFUNCTION("""COMPUTED_VALUE"""),39.05)</f>
        <v>39.05</v>
      </c>
      <c r="E4627" s="17"/>
      <c r="N4627" s="17"/>
      <c r="Q4627" s="17"/>
    </row>
    <row r="4628">
      <c r="B4628" s="11">
        <f>IFERROR(__xludf.DUMMYFUNCTION("""COMPUTED_VALUE"""),39304.666666666664)</f>
        <v>39304.66667</v>
      </c>
      <c r="C4628" s="9">
        <f>IFERROR(__xludf.DUMMYFUNCTION("""COMPUTED_VALUE"""),38.53)</f>
        <v>38.53</v>
      </c>
      <c r="E4628" s="17"/>
      <c r="N4628" s="17"/>
      <c r="Q4628" s="17"/>
    </row>
    <row r="4629">
      <c r="B4629" s="11">
        <f>IFERROR(__xludf.DUMMYFUNCTION("""COMPUTED_VALUE"""),39303.666666666664)</f>
        <v>39303.66667</v>
      </c>
      <c r="C4629" s="9">
        <f>IFERROR(__xludf.DUMMYFUNCTION("""COMPUTED_VALUE"""),38.98)</f>
        <v>38.98</v>
      </c>
      <c r="E4629" s="17"/>
      <c r="N4629" s="17"/>
      <c r="Q4629" s="17"/>
    </row>
    <row r="4630">
      <c r="B4630" s="11">
        <f>IFERROR(__xludf.DUMMYFUNCTION("""COMPUTED_VALUE"""),39302.666666666664)</f>
        <v>39302.66667</v>
      </c>
      <c r="C4630" s="9">
        <f>IFERROR(__xludf.DUMMYFUNCTION("""COMPUTED_VALUE"""),40.05)</f>
        <v>40.05</v>
      </c>
      <c r="E4630" s="17"/>
      <c r="N4630" s="17"/>
      <c r="Q4630" s="17"/>
    </row>
    <row r="4631">
      <c r="B4631" s="11">
        <f>IFERROR(__xludf.DUMMYFUNCTION("""COMPUTED_VALUE"""),39301.666666666664)</f>
        <v>39301.66667</v>
      </c>
      <c r="C4631" s="9">
        <f>IFERROR(__xludf.DUMMYFUNCTION("""COMPUTED_VALUE"""),39.74)</f>
        <v>39.74</v>
      </c>
      <c r="E4631" s="17"/>
      <c r="N4631" s="17"/>
      <c r="Q4631" s="17"/>
    </row>
    <row r="4632">
      <c r="B4632" s="11">
        <f>IFERROR(__xludf.DUMMYFUNCTION("""COMPUTED_VALUE"""),39300.666666666664)</f>
        <v>39300.66667</v>
      </c>
      <c r="C4632" s="9">
        <f>IFERROR(__xludf.DUMMYFUNCTION("""COMPUTED_VALUE"""),39.74)</f>
        <v>39.74</v>
      </c>
      <c r="E4632" s="17"/>
      <c r="N4632" s="17"/>
      <c r="Q4632" s="17"/>
    </row>
    <row r="4633">
      <c r="B4633" s="11">
        <f>IFERROR(__xludf.DUMMYFUNCTION("""COMPUTED_VALUE"""),39297.666666666664)</f>
        <v>39297.66667</v>
      </c>
      <c r="C4633" s="9">
        <f>IFERROR(__xludf.DUMMYFUNCTION("""COMPUTED_VALUE"""),39.15)</f>
        <v>39.15</v>
      </c>
      <c r="E4633" s="17"/>
      <c r="N4633" s="17"/>
      <c r="Q4633" s="17"/>
    </row>
    <row r="4634">
      <c r="B4634" s="11">
        <f>IFERROR(__xludf.DUMMYFUNCTION("""COMPUTED_VALUE"""),39296.666666666664)</f>
        <v>39296.66667</v>
      </c>
      <c r="C4634" s="9">
        <f>IFERROR(__xludf.DUMMYFUNCTION("""COMPUTED_VALUE"""),39.97)</f>
        <v>39.97</v>
      </c>
      <c r="E4634" s="17"/>
      <c r="N4634" s="17"/>
      <c r="Q4634" s="17"/>
    </row>
    <row r="4635">
      <c r="B4635" s="11">
        <f>IFERROR(__xludf.DUMMYFUNCTION("""COMPUTED_VALUE"""),39295.666666666664)</f>
        <v>39295.66667</v>
      </c>
      <c r="C4635" s="9">
        <f>IFERROR(__xludf.DUMMYFUNCTION("""COMPUTED_VALUE"""),39.7)</f>
        <v>39.7</v>
      </c>
      <c r="E4635" s="17"/>
      <c r="N4635" s="17"/>
      <c r="Q4635" s="17"/>
    </row>
    <row r="4636">
      <c r="B4636" s="11">
        <f>IFERROR(__xludf.DUMMYFUNCTION("""COMPUTED_VALUE"""),39294.666666666664)</f>
        <v>39294.66667</v>
      </c>
      <c r="C4636" s="9">
        <f>IFERROR(__xludf.DUMMYFUNCTION("""COMPUTED_VALUE"""),39.41)</f>
        <v>39.41</v>
      </c>
      <c r="E4636" s="17"/>
      <c r="N4636" s="17"/>
      <c r="Q4636" s="17"/>
    </row>
    <row r="4637">
      <c r="B4637" s="11">
        <f>IFERROR(__xludf.DUMMYFUNCTION("""COMPUTED_VALUE"""),39293.666666666664)</f>
        <v>39293.66667</v>
      </c>
      <c r="C4637" s="9">
        <f>IFERROR(__xludf.DUMMYFUNCTION("""COMPUTED_VALUE"""),39.95)</f>
        <v>39.95</v>
      </c>
      <c r="E4637" s="17"/>
      <c r="N4637" s="17"/>
      <c r="Q4637" s="17"/>
    </row>
    <row r="4638">
      <c r="B4638" s="11">
        <f>IFERROR(__xludf.DUMMYFUNCTION("""COMPUTED_VALUE"""),39290.666666666664)</f>
        <v>39290.66667</v>
      </c>
      <c r="C4638" s="9">
        <f>IFERROR(__xludf.DUMMYFUNCTION("""COMPUTED_VALUE"""),39.11)</f>
        <v>39.11</v>
      </c>
      <c r="E4638" s="17"/>
      <c r="N4638" s="17"/>
      <c r="Q4638" s="17"/>
    </row>
    <row r="4639">
      <c r="B4639" s="11">
        <f>IFERROR(__xludf.DUMMYFUNCTION("""COMPUTED_VALUE"""),39289.666666666664)</f>
        <v>39289.66667</v>
      </c>
      <c r="C4639" s="9">
        <f>IFERROR(__xludf.DUMMYFUNCTION("""COMPUTED_VALUE"""),39.85)</f>
        <v>39.85</v>
      </c>
      <c r="E4639" s="17"/>
      <c r="N4639" s="17"/>
      <c r="Q4639" s="17"/>
    </row>
    <row r="4640">
      <c r="B4640" s="11">
        <f>IFERROR(__xludf.DUMMYFUNCTION("""COMPUTED_VALUE"""),39288.666666666664)</f>
        <v>39288.66667</v>
      </c>
      <c r="C4640" s="9">
        <f>IFERROR(__xludf.DUMMYFUNCTION("""COMPUTED_VALUE"""),40.7)</f>
        <v>40.7</v>
      </c>
      <c r="E4640" s="17"/>
      <c r="N4640" s="17"/>
      <c r="Q4640" s="17"/>
    </row>
    <row r="4641">
      <c r="B4641" s="11">
        <f>IFERROR(__xludf.DUMMYFUNCTION("""COMPUTED_VALUE"""),39287.666666666664)</f>
        <v>39287.66667</v>
      </c>
      <c r="C4641" s="9">
        <f>IFERROR(__xludf.DUMMYFUNCTION("""COMPUTED_VALUE"""),40.6)</f>
        <v>40.6</v>
      </c>
      <c r="E4641" s="17"/>
      <c r="N4641" s="17"/>
      <c r="Q4641" s="17"/>
    </row>
    <row r="4642">
      <c r="B4642" s="11">
        <f>IFERROR(__xludf.DUMMYFUNCTION("""COMPUTED_VALUE"""),39286.666666666664)</f>
        <v>39286.66667</v>
      </c>
      <c r="C4642" s="9">
        <f>IFERROR(__xludf.DUMMYFUNCTION("""COMPUTED_VALUE"""),41.17)</f>
        <v>41.17</v>
      </c>
      <c r="E4642" s="17"/>
      <c r="N4642" s="17"/>
      <c r="Q4642" s="17"/>
    </row>
    <row r="4643">
      <c r="B4643" s="11">
        <f>IFERROR(__xludf.DUMMYFUNCTION("""COMPUTED_VALUE"""),39283.666666666664)</f>
        <v>39283.66667</v>
      </c>
      <c r="C4643" s="9">
        <f>IFERROR(__xludf.DUMMYFUNCTION("""COMPUTED_VALUE"""),40.9)</f>
        <v>40.9</v>
      </c>
      <c r="E4643" s="17"/>
      <c r="N4643" s="17"/>
      <c r="Q4643" s="17"/>
    </row>
    <row r="4644">
      <c r="B4644" s="11">
        <f>IFERROR(__xludf.DUMMYFUNCTION("""COMPUTED_VALUE"""),39282.666666666664)</f>
        <v>39282.66667</v>
      </c>
      <c r="C4644" s="9">
        <f>IFERROR(__xludf.DUMMYFUNCTION("""COMPUTED_VALUE"""),41.5)</f>
        <v>41.5</v>
      </c>
      <c r="E4644" s="17"/>
      <c r="N4644" s="17"/>
      <c r="Q4644" s="17"/>
    </row>
    <row r="4645">
      <c r="B4645" s="11">
        <f>IFERROR(__xludf.DUMMYFUNCTION("""COMPUTED_VALUE"""),39281.666666666664)</f>
        <v>39281.66667</v>
      </c>
      <c r="C4645" s="9">
        <f>IFERROR(__xludf.DUMMYFUNCTION("""COMPUTED_VALUE"""),41.13)</f>
        <v>41.13</v>
      </c>
      <c r="E4645" s="17"/>
      <c r="N4645" s="17"/>
      <c r="Q4645" s="17"/>
    </row>
    <row r="4646">
      <c r="B4646" s="11">
        <f>IFERROR(__xludf.DUMMYFUNCTION("""COMPUTED_VALUE"""),39280.666666666664)</f>
        <v>39280.66667</v>
      </c>
      <c r="C4646" s="9">
        <f>IFERROR(__xludf.DUMMYFUNCTION("""COMPUTED_VALUE"""),41.22)</f>
        <v>41.22</v>
      </c>
      <c r="E4646" s="17"/>
      <c r="N4646" s="17"/>
      <c r="Q4646" s="17"/>
    </row>
    <row r="4647">
      <c r="B4647" s="11">
        <f>IFERROR(__xludf.DUMMYFUNCTION("""COMPUTED_VALUE"""),39279.666666666664)</f>
        <v>39279.66667</v>
      </c>
      <c r="C4647" s="9">
        <f>IFERROR(__xludf.DUMMYFUNCTION("""COMPUTED_VALUE"""),40.98)</f>
        <v>40.98</v>
      </c>
      <c r="E4647" s="17"/>
      <c r="N4647" s="17"/>
      <c r="Q4647" s="17"/>
    </row>
    <row r="4648">
      <c r="B4648" s="11">
        <f>IFERROR(__xludf.DUMMYFUNCTION("""COMPUTED_VALUE"""),39276.666666666664)</f>
        <v>39276.66667</v>
      </c>
      <c r="C4648" s="9">
        <f>IFERROR(__xludf.DUMMYFUNCTION("""COMPUTED_VALUE"""),40.72)</f>
        <v>40.72</v>
      </c>
      <c r="E4648" s="17"/>
      <c r="N4648" s="17"/>
      <c r="Q4648" s="17"/>
    </row>
    <row r="4649">
      <c r="B4649" s="11">
        <f>IFERROR(__xludf.DUMMYFUNCTION("""COMPUTED_VALUE"""),39275.666666666664)</f>
        <v>39275.66667</v>
      </c>
      <c r="C4649" s="9">
        <f>IFERROR(__xludf.DUMMYFUNCTION("""COMPUTED_VALUE"""),40.44)</f>
        <v>40.44</v>
      </c>
      <c r="E4649" s="17"/>
      <c r="N4649" s="17"/>
      <c r="Q4649" s="17"/>
    </row>
    <row r="4650">
      <c r="B4650" s="11">
        <f>IFERROR(__xludf.DUMMYFUNCTION("""COMPUTED_VALUE"""),39274.666666666664)</f>
        <v>39274.66667</v>
      </c>
      <c r="C4650" s="9">
        <f>IFERROR(__xludf.DUMMYFUNCTION("""COMPUTED_VALUE"""),39.85)</f>
        <v>39.85</v>
      </c>
      <c r="E4650" s="17"/>
      <c r="N4650" s="17"/>
      <c r="Q4650" s="17"/>
    </row>
    <row r="4651">
      <c r="B4651" s="11">
        <f>IFERROR(__xludf.DUMMYFUNCTION("""COMPUTED_VALUE"""),39273.666666666664)</f>
        <v>39273.66667</v>
      </c>
      <c r="C4651" s="9">
        <f>IFERROR(__xludf.DUMMYFUNCTION("""COMPUTED_VALUE"""),39.43)</f>
        <v>39.43</v>
      </c>
      <c r="E4651" s="17"/>
      <c r="N4651" s="17"/>
      <c r="Q4651" s="17"/>
    </row>
    <row r="4652">
      <c r="B4652" s="11">
        <f>IFERROR(__xludf.DUMMYFUNCTION("""COMPUTED_VALUE"""),39272.666666666664)</f>
        <v>39272.66667</v>
      </c>
      <c r="C4652" s="9">
        <f>IFERROR(__xludf.DUMMYFUNCTION("""COMPUTED_VALUE"""),40.1)</f>
        <v>40.1</v>
      </c>
      <c r="E4652" s="17"/>
      <c r="N4652" s="17"/>
      <c r="Q4652" s="17"/>
    </row>
    <row r="4653">
      <c r="B4653" s="11">
        <f>IFERROR(__xludf.DUMMYFUNCTION("""COMPUTED_VALUE"""),39269.666666666664)</f>
        <v>39269.66667</v>
      </c>
      <c r="C4653" s="9">
        <f>IFERROR(__xludf.DUMMYFUNCTION("""COMPUTED_VALUE"""),39.8)</f>
        <v>39.8</v>
      </c>
      <c r="E4653" s="17"/>
      <c r="N4653" s="17"/>
      <c r="Q4653" s="17"/>
    </row>
    <row r="4654">
      <c r="B4654" s="11">
        <f>IFERROR(__xludf.DUMMYFUNCTION("""COMPUTED_VALUE"""),39268.666666666664)</f>
        <v>39268.66667</v>
      </c>
      <c r="C4654" s="9">
        <f>IFERROR(__xludf.DUMMYFUNCTION("""COMPUTED_VALUE"""),39.56)</f>
        <v>39.56</v>
      </c>
      <c r="E4654" s="17"/>
      <c r="N4654" s="17"/>
      <c r="Q4654" s="17"/>
    </row>
    <row r="4655">
      <c r="B4655" s="11">
        <f>IFERROR(__xludf.DUMMYFUNCTION("""COMPUTED_VALUE"""),39266.666666666664)</f>
        <v>39266.66667</v>
      </c>
      <c r="C4655" s="9">
        <f>IFERROR(__xludf.DUMMYFUNCTION("""COMPUTED_VALUE"""),39.6)</f>
        <v>39.6</v>
      </c>
      <c r="E4655" s="17"/>
      <c r="N4655" s="17"/>
      <c r="Q4655" s="17"/>
    </row>
    <row r="4656">
      <c r="B4656" s="11">
        <f>IFERROR(__xludf.DUMMYFUNCTION("""COMPUTED_VALUE"""),39265.666666666664)</f>
        <v>39265.66667</v>
      </c>
      <c r="C4656" s="9">
        <f>IFERROR(__xludf.DUMMYFUNCTION("""COMPUTED_VALUE"""),39.32)</f>
        <v>39.32</v>
      </c>
      <c r="E4656" s="17"/>
      <c r="N4656" s="17"/>
      <c r="Q4656" s="17"/>
    </row>
    <row r="4657">
      <c r="B4657" s="11">
        <f>IFERROR(__xludf.DUMMYFUNCTION("""COMPUTED_VALUE"""),39262.666666666664)</f>
        <v>39262.66667</v>
      </c>
      <c r="C4657" s="9">
        <f>IFERROR(__xludf.DUMMYFUNCTION("""COMPUTED_VALUE"""),39.04)</f>
        <v>39.04</v>
      </c>
      <c r="E4657" s="17"/>
      <c r="N4657" s="17"/>
      <c r="Q4657" s="17"/>
    </row>
    <row r="4658">
      <c r="B4658" s="11">
        <f>IFERROR(__xludf.DUMMYFUNCTION("""COMPUTED_VALUE"""),39261.666666666664)</f>
        <v>39261.66667</v>
      </c>
      <c r="C4658" s="9">
        <f>IFERROR(__xludf.DUMMYFUNCTION("""COMPUTED_VALUE"""),38.9)</f>
        <v>38.9</v>
      </c>
      <c r="E4658" s="17"/>
      <c r="N4658" s="17"/>
      <c r="Q4658" s="17"/>
    </row>
    <row r="4659">
      <c r="B4659" s="11">
        <f>IFERROR(__xludf.DUMMYFUNCTION("""COMPUTED_VALUE"""),39260.666666666664)</f>
        <v>39260.66667</v>
      </c>
      <c r="C4659" s="9">
        <f>IFERROR(__xludf.DUMMYFUNCTION("""COMPUTED_VALUE"""),39.1)</f>
        <v>39.1</v>
      </c>
      <c r="E4659" s="17"/>
      <c r="N4659" s="17"/>
      <c r="Q4659" s="17"/>
    </row>
    <row r="4660">
      <c r="B4660" s="11">
        <f>IFERROR(__xludf.DUMMYFUNCTION("""COMPUTED_VALUE"""),39259.666666666664)</f>
        <v>39259.66667</v>
      </c>
      <c r="C4660" s="9">
        <f>IFERROR(__xludf.DUMMYFUNCTION("""COMPUTED_VALUE"""),38.72)</f>
        <v>38.72</v>
      </c>
      <c r="E4660" s="17"/>
      <c r="N4660" s="17"/>
      <c r="Q4660" s="17"/>
    </row>
    <row r="4661">
      <c r="B4661" s="11">
        <f>IFERROR(__xludf.DUMMYFUNCTION("""COMPUTED_VALUE"""),39258.666666666664)</f>
        <v>39258.66667</v>
      </c>
      <c r="C4661" s="9">
        <f>IFERROR(__xludf.DUMMYFUNCTION("""COMPUTED_VALUE"""),39.05)</f>
        <v>39.05</v>
      </c>
      <c r="E4661" s="17"/>
      <c r="N4661" s="17"/>
      <c r="Q4661" s="17"/>
    </row>
    <row r="4662">
      <c r="B4662" s="11">
        <f>IFERROR(__xludf.DUMMYFUNCTION("""COMPUTED_VALUE"""),39255.666666666664)</f>
        <v>39255.66667</v>
      </c>
      <c r="C4662" s="9">
        <f>IFERROR(__xludf.DUMMYFUNCTION("""COMPUTED_VALUE"""),39.15)</f>
        <v>39.15</v>
      </c>
      <c r="E4662" s="17"/>
      <c r="N4662" s="17"/>
      <c r="Q4662" s="17"/>
    </row>
    <row r="4663">
      <c r="B4663" s="11">
        <f>IFERROR(__xludf.DUMMYFUNCTION("""COMPUTED_VALUE"""),39254.666666666664)</f>
        <v>39254.66667</v>
      </c>
      <c r="C4663" s="9">
        <f>IFERROR(__xludf.DUMMYFUNCTION("""COMPUTED_VALUE"""),39.38)</f>
        <v>39.38</v>
      </c>
      <c r="E4663" s="17"/>
      <c r="N4663" s="17"/>
      <c r="Q4663" s="17"/>
    </row>
    <row r="4664">
      <c r="B4664" s="11">
        <f>IFERROR(__xludf.DUMMYFUNCTION("""COMPUTED_VALUE"""),39253.666666666664)</f>
        <v>39253.66667</v>
      </c>
      <c r="C4664" s="9">
        <f>IFERROR(__xludf.DUMMYFUNCTION("""COMPUTED_VALUE"""),39.3)</f>
        <v>39.3</v>
      </c>
      <c r="E4664" s="17"/>
      <c r="N4664" s="17"/>
      <c r="Q4664" s="17"/>
    </row>
    <row r="4665">
      <c r="B4665" s="11">
        <f>IFERROR(__xludf.DUMMYFUNCTION("""COMPUTED_VALUE"""),39252.666666666664)</f>
        <v>39252.66667</v>
      </c>
      <c r="C4665" s="9">
        <f>IFERROR(__xludf.DUMMYFUNCTION("""COMPUTED_VALUE"""),39.52)</f>
        <v>39.52</v>
      </c>
      <c r="E4665" s="17"/>
      <c r="N4665" s="17"/>
      <c r="Q4665" s="17"/>
    </row>
    <row r="4666">
      <c r="B4666" s="11">
        <f>IFERROR(__xludf.DUMMYFUNCTION("""COMPUTED_VALUE"""),39251.666666666664)</f>
        <v>39251.66667</v>
      </c>
      <c r="C4666" s="9">
        <f>IFERROR(__xludf.DUMMYFUNCTION("""COMPUTED_VALUE"""),39.4)</f>
        <v>39.4</v>
      </c>
      <c r="E4666" s="17"/>
      <c r="N4666" s="17"/>
      <c r="Q4666" s="17"/>
    </row>
    <row r="4667">
      <c r="B4667" s="11">
        <f>IFERROR(__xludf.DUMMYFUNCTION("""COMPUTED_VALUE"""),39248.666666666664)</f>
        <v>39248.66667</v>
      </c>
      <c r="C4667" s="9">
        <f>IFERROR(__xludf.DUMMYFUNCTION("""COMPUTED_VALUE"""),39.42)</f>
        <v>39.42</v>
      </c>
      <c r="E4667" s="17"/>
      <c r="N4667" s="17"/>
      <c r="Q4667" s="17"/>
    </row>
    <row r="4668">
      <c r="B4668" s="11">
        <f>IFERROR(__xludf.DUMMYFUNCTION("""COMPUTED_VALUE"""),39247.666666666664)</f>
        <v>39247.66667</v>
      </c>
      <c r="C4668" s="9">
        <f>IFERROR(__xludf.DUMMYFUNCTION("""COMPUTED_VALUE"""),39.31)</f>
        <v>39.31</v>
      </c>
      <c r="E4668" s="17"/>
      <c r="N4668" s="17"/>
      <c r="Q4668" s="17"/>
    </row>
    <row r="4669">
      <c r="B4669" s="11">
        <f>IFERROR(__xludf.DUMMYFUNCTION("""COMPUTED_VALUE"""),39246.666666666664)</f>
        <v>39246.66667</v>
      </c>
      <c r="C4669" s="9">
        <f>IFERROR(__xludf.DUMMYFUNCTION("""COMPUTED_VALUE"""),39.11)</f>
        <v>39.11</v>
      </c>
      <c r="E4669" s="17"/>
      <c r="N4669" s="17"/>
      <c r="Q4669" s="17"/>
    </row>
    <row r="4670">
      <c r="B4670" s="11">
        <f>IFERROR(__xludf.DUMMYFUNCTION("""COMPUTED_VALUE"""),39245.666666666664)</f>
        <v>39245.66667</v>
      </c>
      <c r="C4670" s="9">
        <f>IFERROR(__xludf.DUMMYFUNCTION("""COMPUTED_VALUE"""),38.2)</f>
        <v>38.2</v>
      </c>
      <c r="E4670" s="17"/>
      <c r="N4670" s="17"/>
      <c r="Q4670" s="17"/>
    </row>
    <row r="4671">
      <c r="B4671" s="11">
        <f>IFERROR(__xludf.DUMMYFUNCTION("""COMPUTED_VALUE"""),39244.666666666664)</f>
        <v>39244.66667</v>
      </c>
      <c r="C4671" s="9">
        <f>IFERROR(__xludf.DUMMYFUNCTION("""COMPUTED_VALUE"""),38.7)</f>
        <v>38.7</v>
      </c>
      <c r="E4671" s="17"/>
      <c r="N4671" s="17"/>
      <c r="Q4671" s="17"/>
    </row>
    <row r="4672">
      <c r="B4672" s="11">
        <f>IFERROR(__xludf.DUMMYFUNCTION("""COMPUTED_VALUE"""),39241.666666666664)</f>
        <v>39241.66667</v>
      </c>
      <c r="C4672" s="9">
        <f>IFERROR(__xludf.DUMMYFUNCTION("""COMPUTED_VALUE"""),38.65)</f>
        <v>38.65</v>
      </c>
      <c r="E4672" s="17"/>
      <c r="N4672" s="17"/>
      <c r="Q4672" s="17"/>
    </row>
    <row r="4673">
      <c r="B4673" s="11">
        <f>IFERROR(__xludf.DUMMYFUNCTION("""COMPUTED_VALUE"""),39240.666666666664)</f>
        <v>39240.66667</v>
      </c>
      <c r="C4673" s="9">
        <f>IFERROR(__xludf.DUMMYFUNCTION("""COMPUTED_VALUE"""),38.12)</f>
        <v>38.12</v>
      </c>
      <c r="E4673" s="17"/>
      <c r="N4673" s="17"/>
      <c r="Q4673" s="17"/>
    </row>
    <row r="4674">
      <c r="B4674" s="11">
        <f>IFERROR(__xludf.DUMMYFUNCTION("""COMPUTED_VALUE"""),39239.666666666664)</f>
        <v>39239.66667</v>
      </c>
      <c r="C4674" s="9">
        <f>IFERROR(__xludf.DUMMYFUNCTION("""COMPUTED_VALUE"""),38.75)</f>
        <v>38.75</v>
      </c>
      <c r="E4674" s="17"/>
      <c r="N4674" s="17"/>
      <c r="Q4674" s="17"/>
    </row>
    <row r="4675">
      <c r="B4675" s="11">
        <f>IFERROR(__xludf.DUMMYFUNCTION("""COMPUTED_VALUE"""),39238.666666666664)</f>
        <v>39238.66667</v>
      </c>
      <c r="C4675" s="9">
        <f>IFERROR(__xludf.DUMMYFUNCTION("""COMPUTED_VALUE"""),39.17)</f>
        <v>39.17</v>
      </c>
      <c r="E4675" s="17"/>
      <c r="N4675" s="17"/>
      <c r="Q4675" s="17"/>
    </row>
    <row r="4676">
      <c r="B4676" s="11">
        <f>IFERROR(__xludf.DUMMYFUNCTION("""COMPUTED_VALUE"""),39237.666666666664)</f>
        <v>39237.66667</v>
      </c>
      <c r="C4676" s="9">
        <f>IFERROR(__xludf.DUMMYFUNCTION("""COMPUTED_VALUE"""),39.29)</f>
        <v>39.29</v>
      </c>
      <c r="E4676" s="17"/>
      <c r="N4676" s="17"/>
      <c r="Q4676" s="17"/>
    </row>
    <row r="4677">
      <c r="B4677" s="11">
        <f>IFERROR(__xludf.DUMMYFUNCTION("""COMPUTED_VALUE"""),39234.666666666664)</f>
        <v>39234.66667</v>
      </c>
      <c r="C4677" s="9">
        <f>IFERROR(__xludf.DUMMYFUNCTION("""COMPUTED_VALUE"""),39.28)</f>
        <v>39.28</v>
      </c>
      <c r="E4677" s="17"/>
      <c r="N4677" s="17"/>
      <c r="Q4677" s="17"/>
    </row>
    <row r="4678">
      <c r="B4678" s="11">
        <f>IFERROR(__xludf.DUMMYFUNCTION("""COMPUTED_VALUE"""),39233.666666666664)</f>
        <v>39233.66667</v>
      </c>
      <c r="C4678" s="9">
        <f>IFERROR(__xludf.DUMMYFUNCTION("""COMPUTED_VALUE"""),39.13)</f>
        <v>39.13</v>
      </c>
      <c r="E4678" s="17"/>
      <c r="N4678" s="17"/>
      <c r="Q4678" s="17"/>
    </row>
    <row r="4679">
      <c r="B4679" s="11">
        <f>IFERROR(__xludf.DUMMYFUNCTION("""COMPUTED_VALUE"""),39232.666666666664)</f>
        <v>39232.66667</v>
      </c>
      <c r="C4679" s="9">
        <f>IFERROR(__xludf.DUMMYFUNCTION("""COMPUTED_VALUE"""),38.92)</f>
        <v>38.92</v>
      </c>
      <c r="E4679" s="17"/>
      <c r="N4679" s="17"/>
      <c r="Q4679" s="17"/>
    </row>
    <row r="4680">
      <c r="B4680" s="11">
        <f>IFERROR(__xludf.DUMMYFUNCTION("""COMPUTED_VALUE"""),39231.666666666664)</f>
        <v>39231.66667</v>
      </c>
      <c r="C4680" s="9">
        <f>IFERROR(__xludf.DUMMYFUNCTION("""COMPUTED_VALUE"""),38.75)</f>
        <v>38.75</v>
      </c>
      <c r="E4680" s="17"/>
      <c r="N4680" s="17"/>
      <c r="Q4680" s="17"/>
    </row>
    <row r="4681">
      <c r="B4681" s="11">
        <f>IFERROR(__xludf.DUMMYFUNCTION("""COMPUTED_VALUE"""),39227.666666666664)</f>
        <v>39227.66667</v>
      </c>
      <c r="C4681" s="9">
        <f>IFERROR(__xludf.DUMMYFUNCTION("""COMPUTED_VALUE"""),38.5)</f>
        <v>38.5</v>
      </c>
      <c r="E4681" s="17"/>
      <c r="N4681" s="17"/>
      <c r="Q4681" s="17"/>
    </row>
    <row r="4682">
      <c r="B4682" s="11">
        <f>IFERROR(__xludf.DUMMYFUNCTION("""COMPUTED_VALUE"""),39226.666666666664)</f>
        <v>39226.66667</v>
      </c>
      <c r="C4682" s="9">
        <f>IFERROR(__xludf.DUMMYFUNCTION("""COMPUTED_VALUE"""),38.27)</f>
        <v>38.27</v>
      </c>
      <c r="E4682" s="17"/>
      <c r="N4682" s="17"/>
      <c r="Q4682" s="17"/>
    </row>
    <row r="4683">
      <c r="B4683" s="11">
        <f>IFERROR(__xludf.DUMMYFUNCTION("""COMPUTED_VALUE"""),39225.666666666664)</f>
        <v>39225.66667</v>
      </c>
      <c r="C4683" s="9">
        <f>IFERROR(__xludf.DUMMYFUNCTION("""COMPUTED_VALUE"""),38.58)</f>
        <v>38.58</v>
      </c>
      <c r="E4683" s="17"/>
      <c r="N4683" s="17"/>
      <c r="Q4683" s="17"/>
    </row>
    <row r="4684">
      <c r="B4684" s="11">
        <f>IFERROR(__xludf.DUMMYFUNCTION("""COMPUTED_VALUE"""),39224.666666666664)</f>
        <v>39224.66667</v>
      </c>
      <c r="C4684" s="9">
        <f>IFERROR(__xludf.DUMMYFUNCTION("""COMPUTED_VALUE"""),38.39)</f>
        <v>38.39</v>
      </c>
      <c r="E4684" s="17"/>
      <c r="N4684" s="17"/>
      <c r="Q4684" s="17"/>
    </row>
    <row r="4685">
      <c r="B4685" s="11">
        <f>IFERROR(__xludf.DUMMYFUNCTION("""COMPUTED_VALUE"""),39223.666666666664)</f>
        <v>39223.66667</v>
      </c>
      <c r="C4685" s="9">
        <f>IFERROR(__xludf.DUMMYFUNCTION("""COMPUTED_VALUE"""),38.47)</f>
        <v>38.47</v>
      </c>
      <c r="E4685" s="17"/>
      <c r="N4685" s="17"/>
      <c r="Q4685" s="17"/>
    </row>
    <row r="4686">
      <c r="B4686" s="11">
        <f>IFERROR(__xludf.DUMMYFUNCTION("""COMPUTED_VALUE"""),39220.666666666664)</f>
        <v>39220.66667</v>
      </c>
      <c r="C4686" s="9">
        <f>IFERROR(__xludf.DUMMYFUNCTION("""COMPUTED_VALUE"""),38.25)</f>
        <v>38.25</v>
      </c>
      <c r="E4686" s="17"/>
      <c r="N4686" s="17"/>
      <c r="Q4686" s="17"/>
    </row>
    <row r="4687">
      <c r="B4687" s="11">
        <f>IFERROR(__xludf.DUMMYFUNCTION("""COMPUTED_VALUE"""),39219.666666666664)</f>
        <v>39219.66667</v>
      </c>
      <c r="C4687" s="9">
        <f>IFERROR(__xludf.DUMMYFUNCTION("""COMPUTED_VALUE"""),38.38)</f>
        <v>38.38</v>
      </c>
      <c r="E4687" s="17"/>
      <c r="N4687" s="17"/>
      <c r="Q4687" s="17"/>
    </row>
    <row r="4688">
      <c r="B4688" s="11">
        <f>IFERROR(__xludf.DUMMYFUNCTION("""COMPUTED_VALUE"""),39218.666666666664)</f>
        <v>39218.66667</v>
      </c>
      <c r="C4688" s="9">
        <f>IFERROR(__xludf.DUMMYFUNCTION("""COMPUTED_VALUE"""),38.31)</f>
        <v>38.31</v>
      </c>
      <c r="E4688" s="17"/>
      <c r="N4688" s="17"/>
      <c r="Q4688" s="17"/>
    </row>
    <row r="4689">
      <c r="B4689" s="11">
        <f>IFERROR(__xludf.DUMMYFUNCTION("""COMPUTED_VALUE"""),39217.666666666664)</f>
        <v>39217.66667</v>
      </c>
      <c r="C4689" s="9">
        <f>IFERROR(__xludf.DUMMYFUNCTION("""COMPUTED_VALUE"""),38.12)</f>
        <v>38.12</v>
      </c>
      <c r="E4689" s="17"/>
      <c r="N4689" s="17"/>
      <c r="Q4689" s="17"/>
    </row>
    <row r="4690">
      <c r="B4690" s="11">
        <f>IFERROR(__xludf.DUMMYFUNCTION("""COMPUTED_VALUE"""),39216.666666666664)</f>
        <v>39216.66667</v>
      </c>
      <c r="C4690" s="9">
        <f>IFERROR(__xludf.DUMMYFUNCTION("""COMPUTED_VALUE"""),38.02)</f>
        <v>38.02</v>
      </c>
      <c r="E4690" s="17"/>
      <c r="N4690" s="17"/>
      <c r="Q4690" s="17"/>
    </row>
    <row r="4691">
      <c r="B4691" s="11">
        <f>IFERROR(__xludf.DUMMYFUNCTION("""COMPUTED_VALUE"""),39213.666666666664)</f>
        <v>39213.66667</v>
      </c>
      <c r="C4691" s="9">
        <f>IFERROR(__xludf.DUMMYFUNCTION("""COMPUTED_VALUE"""),38.19)</f>
        <v>38.19</v>
      </c>
      <c r="E4691" s="17"/>
      <c r="N4691" s="17"/>
      <c r="Q4691" s="17"/>
    </row>
    <row r="4692">
      <c r="B4692" s="11">
        <f>IFERROR(__xludf.DUMMYFUNCTION("""COMPUTED_VALUE"""),39212.666666666664)</f>
        <v>39212.66667</v>
      </c>
      <c r="C4692" s="9">
        <f>IFERROR(__xludf.DUMMYFUNCTION("""COMPUTED_VALUE"""),37.9)</f>
        <v>37.9</v>
      </c>
      <c r="E4692" s="17"/>
      <c r="N4692" s="17"/>
      <c r="Q4692" s="17"/>
    </row>
    <row r="4693">
      <c r="B4693" s="11">
        <f>IFERROR(__xludf.DUMMYFUNCTION("""COMPUTED_VALUE"""),39211.666666666664)</f>
        <v>39211.66667</v>
      </c>
      <c r="C4693" s="9">
        <f>IFERROR(__xludf.DUMMYFUNCTION("""COMPUTED_VALUE"""),38.16)</f>
        <v>38.16</v>
      </c>
      <c r="E4693" s="17"/>
      <c r="N4693" s="17"/>
      <c r="Q4693" s="17"/>
    </row>
    <row r="4694">
      <c r="B4694" s="11">
        <f>IFERROR(__xludf.DUMMYFUNCTION("""COMPUTED_VALUE"""),39210.666666666664)</f>
        <v>39210.66667</v>
      </c>
      <c r="C4694" s="9">
        <f>IFERROR(__xludf.DUMMYFUNCTION("""COMPUTED_VALUE"""),38.06)</f>
        <v>38.06</v>
      </c>
      <c r="E4694" s="17"/>
      <c r="N4694" s="17"/>
      <c r="Q4694" s="17"/>
    </row>
    <row r="4695">
      <c r="B4695" s="11">
        <f>IFERROR(__xludf.DUMMYFUNCTION("""COMPUTED_VALUE"""),39209.666666666664)</f>
        <v>39209.66667</v>
      </c>
      <c r="C4695" s="9">
        <f>IFERROR(__xludf.DUMMYFUNCTION("""COMPUTED_VALUE"""),38.08)</f>
        <v>38.08</v>
      </c>
      <c r="E4695" s="17"/>
      <c r="N4695" s="17"/>
      <c r="Q4695" s="17"/>
    </row>
    <row r="4696">
      <c r="B4696" s="11">
        <f>IFERROR(__xludf.DUMMYFUNCTION("""COMPUTED_VALUE"""),39206.666666666664)</f>
        <v>39206.66667</v>
      </c>
      <c r="C4696" s="9">
        <f>IFERROR(__xludf.DUMMYFUNCTION("""COMPUTED_VALUE"""),37.98)</f>
        <v>37.98</v>
      </c>
      <c r="E4696" s="17"/>
      <c r="N4696" s="17"/>
      <c r="Q4696" s="17"/>
    </row>
    <row r="4697">
      <c r="B4697" s="11">
        <f>IFERROR(__xludf.DUMMYFUNCTION("""COMPUTED_VALUE"""),39205.666666666664)</f>
        <v>39205.66667</v>
      </c>
      <c r="C4697" s="9">
        <f>IFERROR(__xludf.DUMMYFUNCTION("""COMPUTED_VALUE"""),37.94)</f>
        <v>37.94</v>
      </c>
      <c r="E4697" s="17"/>
      <c r="N4697" s="17"/>
      <c r="Q4697" s="17"/>
    </row>
    <row r="4698">
      <c r="B4698" s="11">
        <f>IFERROR(__xludf.DUMMYFUNCTION("""COMPUTED_VALUE"""),39204.666666666664)</f>
        <v>39204.66667</v>
      </c>
      <c r="C4698" s="9">
        <f>IFERROR(__xludf.DUMMYFUNCTION("""COMPUTED_VALUE"""),37.67)</f>
        <v>37.67</v>
      </c>
      <c r="E4698" s="17"/>
      <c r="N4698" s="17"/>
      <c r="Q4698" s="17"/>
    </row>
    <row r="4699">
      <c r="B4699" s="11">
        <f>IFERROR(__xludf.DUMMYFUNCTION("""COMPUTED_VALUE"""),39203.666666666664)</f>
        <v>39203.66667</v>
      </c>
      <c r="C4699" s="9">
        <f>IFERROR(__xludf.DUMMYFUNCTION("""COMPUTED_VALUE"""),37.43)</f>
        <v>37.43</v>
      </c>
      <c r="E4699" s="17"/>
      <c r="N4699" s="17"/>
      <c r="Q4699" s="17"/>
    </row>
    <row r="4700">
      <c r="B4700" s="11">
        <f>IFERROR(__xludf.DUMMYFUNCTION("""COMPUTED_VALUE"""),39202.666666666664)</f>
        <v>39202.66667</v>
      </c>
      <c r="C4700" s="9">
        <f>IFERROR(__xludf.DUMMYFUNCTION("""COMPUTED_VALUE"""),37.2)</f>
        <v>37.2</v>
      </c>
      <c r="E4700" s="17"/>
      <c r="N4700" s="17"/>
      <c r="Q4700" s="17"/>
    </row>
    <row r="4701">
      <c r="B4701" s="11">
        <f>IFERROR(__xludf.DUMMYFUNCTION("""COMPUTED_VALUE"""),39199.666666666664)</f>
        <v>39199.66667</v>
      </c>
      <c r="C4701" s="9">
        <f>IFERROR(__xludf.DUMMYFUNCTION("""COMPUTED_VALUE"""),37.64)</f>
        <v>37.64</v>
      </c>
      <c r="E4701" s="17"/>
      <c r="N4701" s="17"/>
      <c r="Q4701" s="17"/>
    </row>
    <row r="4702">
      <c r="B4702" s="11">
        <f>IFERROR(__xludf.DUMMYFUNCTION("""COMPUTED_VALUE"""),39198.666666666664)</f>
        <v>39198.66667</v>
      </c>
      <c r="C4702" s="9">
        <f>IFERROR(__xludf.DUMMYFUNCTION("""COMPUTED_VALUE"""),37.21)</f>
        <v>37.21</v>
      </c>
      <c r="E4702" s="17"/>
      <c r="N4702" s="17"/>
      <c r="Q4702" s="17"/>
    </row>
    <row r="4703">
      <c r="B4703" s="11">
        <f>IFERROR(__xludf.DUMMYFUNCTION("""COMPUTED_VALUE"""),39197.666666666664)</f>
        <v>39197.66667</v>
      </c>
      <c r="C4703" s="9">
        <f>IFERROR(__xludf.DUMMYFUNCTION("""COMPUTED_VALUE"""),37.23)</f>
        <v>37.23</v>
      </c>
      <c r="E4703" s="17"/>
      <c r="N4703" s="17"/>
      <c r="Q4703" s="17"/>
    </row>
    <row r="4704">
      <c r="B4704" s="11">
        <f>IFERROR(__xludf.DUMMYFUNCTION("""COMPUTED_VALUE"""),39196.666666666664)</f>
        <v>39196.66667</v>
      </c>
      <c r="C4704" s="9">
        <f>IFERROR(__xludf.DUMMYFUNCTION("""COMPUTED_VALUE"""),36.85)</f>
        <v>36.85</v>
      </c>
      <c r="E4704" s="17"/>
      <c r="N4704" s="17"/>
      <c r="Q4704" s="17"/>
    </row>
    <row r="4705">
      <c r="B4705" s="11">
        <f>IFERROR(__xludf.DUMMYFUNCTION("""COMPUTED_VALUE"""),39195.666666666664)</f>
        <v>39195.66667</v>
      </c>
      <c r="C4705" s="9">
        <f>IFERROR(__xludf.DUMMYFUNCTION("""COMPUTED_VALUE"""),36.96)</f>
        <v>36.96</v>
      </c>
      <c r="E4705" s="17"/>
      <c r="N4705" s="17"/>
      <c r="Q4705" s="17"/>
    </row>
    <row r="4706">
      <c r="B4706" s="11">
        <f>IFERROR(__xludf.DUMMYFUNCTION("""COMPUTED_VALUE"""),39192.666666666664)</f>
        <v>39192.66667</v>
      </c>
      <c r="C4706" s="9">
        <f>IFERROR(__xludf.DUMMYFUNCTION("""COMPUTED_VALUE"""),36.82)</f>
        <v>36.82</v>
      </c>
      <c r="E4706" s="17"/>
      <c r="N4706" s="17"/>
      <c r="Q4706" s="17"/>
    </row>
    <row r="4707">
      <c r="B4707" s="11">
        <f>IFERROR(__xludf.DUMMYFUNCTION("""COMPUTED_VALUE"""),39191.666666666664)</f>
        <v>39191.66667</v>
      </c>
      <c r="C4707" s="9">
        <f>IFERROR(__xludf.DUMMYFUNCTION("""COMPUTED_VALUE"""),36.57)</f>
        <v>36.57</v>
      </c>
      <c r="E4707" s="17"/>
      <c r="N4707" s="17"/>
      <c r="Q4707" s="17"/>
    </row>
    <row r="4708">
      <c r="B4708" s="11">
        <f>IFERROR(__xludf.DUMMYFUNCTION("""COMPUTED_VALUE"""),39190.666666666664)</f>
        <v>39190.66667</v>
      </c>
      <c r="C4708" s="9">
        <f>IFERROR(__xludf.DUMMYFUNCTION("""COMPUTED_VALUE"""),36.45)</f>
        <v>36.45</v>
      </c>
      <c r="E4708" s="17"/>
      <c r="N4708" s="17"/>
      <c r="Q4708" s="17"/>
    </row>
    <row r="4709">
      <c r="B4709" s="11">
        <f>IFERROR(__xludf.DUMMYFUNCTION("""COMPUTED_VALUE"""),39189.666666666664)</f>
        <v>39189.66667</v>
      </c>
      <c r="C4709" s="9">
        <f>IFERROR(__xludf.DUMMYFUNCTION("""COMPUTED_VALUE"""),36.35)</f>
        <v>36.35</v>
      </c>
      <c r="E4709" s="17"/>
      <c r="N4709" s="17"/>
      <c r="Q4709" s="17"/>
    </row>
    <row r="4710">
      <c r="B4710" s="11">
        <f>IFERROR(__xludf.DUMMYFUNCTION("""COMPUTED_VALUE"""),39188.666666666664)</f>
        <v>39188.66667</v>
      </c>
      <c r="C4710" s="9">
        <f>IFERROR(__xludf.DUMMYFUNCTION("""COMPUTED_VALUE"""),36.35)</f>
        <v>36.35</v>
      </c>
      <c r="E4710" s="17"/>
      <c r="N4710" s="17"/>
      <c r="Q4710" s="17"/>
    </row>
    <row r="4711">
      <c r="B4711" s="11">
        <f>IFERROR(__xludf.DUMMYFUNCTION("""COMPUTED_VALUE"""),39185.666666666664)</f>
        <v>39185.66667</v>
      </c>
      <c r="C4711" s="9">
        <f>IFERROR(__xludf.DUMMYFUNCTION("""COMPUTED_VALUE"""),36.06)</f>
        <v>36.06</v>
      </c>
      <c r="E4711" s="17"/>
      <c r="N4711" s="17"/>
      <c r="Q4711" s="17"/>
    </row>
    <row r="4712">
      <c r="B4712" s="11">
        <f>IFERROR(__xludf.DUMMYFUNCTION("""COMPUTED_VALUE"""),39184.666666666664)</f>
        <v>39184.66667</v>
      </c>
      <c r="C4712" s="9">
        <f>IFERROR(__xludf.DUMMYFUNCTION("""COMPUTED_VALUE"""),36.07)</f>
        <v>36.07</v>
      </c>
      <c r="E4712" s="17"/>
      <c r="N4712" s="17"/>
      <c r="Q4712" s="17"/>
    </row>
    <row r="4713">
      <c r="B4713" s="11">
        <f>IFERROR(__xludf.DUMMYFUNCTION("""COMPUTED_VALUE"""),39183.666666666664)</f>
        <v>39183.66667</v>
      </c>
      <c r="C4713" s="9">
        <f>IFERROR(__xludf.DUMMYFUNCTION("""COMPUTED_VALUE"""),35.64)</f>
        <v>35.64</v>
      </c>
      <c r="E4713" s="17"/>
      <c r="N4713" s="17"/>
      <c r="Q4713" s="17"/>
    </row>
    <row r="4714">
      <c r="B4714" s="11">
        <f>IFERROR(__xludf.DUMMYFUNCTION("""COMPUTED_VALUE"""),39182.666666666664)</f>
        <v>39182.66667</v>
      </c>
      <c r="C4714" s="9">
        <f>IFERROR(__xludf.DUMMYFUNCTION("""COMPUTED_VALUE"""),35.78)</f>
        <v>35.78</v>
      </c>
      <c r="E4714" s="17"/>
      <c r="N4714" s="17"/>
      <c r="Q4714" s="17"/>
    </row>
    <row r="4715">
      <c r="B4715" s="11">
        <f>IFERROR(__xludf.DUMMYFUNCTION("""COMPUTED_VALUE"""),39181.666666666664)</f>
        <v>39181.66667</v>
      </c>
      <c r="C4715" s="9">
        <f>IFERROR(__xludf.DUMMYFUNCTION("""COMPUTED_VALUE"""),35.79)</f>
        <v>35.79</v>
      </c>
      <c r="E4715" s="17"/>
      <c r="N4715" s="17"/>
      <c r="Q4715" s="17"/>
    </row>
    <row r="4716">
      <c r="B4716" s="11">
        <f>IFERROR(__xludf.DUMMYFUNCTION("""COMPUTED_VALUE"""),39177.666666666664)</f>
        <v>39177.66667</v>
      </c>
      <c r="C4716" s="9">
        <f>IFERROR(__xludf.DUMMYFUNCTION("""COMPUTED_VALUE"""),35.83)</f>
        <v>35.83</v>
      </c>
      <c r="E4716" s="17"/>
      <c r="N4716" s="17"/>
      <c r="Q4716" s="17"/>
    </row>
    <row r="4717">
      <c r="B4717" s="11">
        <f>IFERROR(__xludf.DUMMYFUNCTION("""COMPUTED_VALUE"""),39176.666666666664)</f>
        <v>39176.66667</v>
      </c>
      <c r="C4717" s="9">
        <f>IFERROR(__xludf.DUMMYFUNCTION("""COMPUTED_VALUE"""),35.72)</f>
        <v>35.72</v>
      </c>
      <c r="E4717" s="17"/>
      <c r="N4717" s="17"/>
      <c r="Q4717" s="17"/>
    </row>
    <row r="4718">
      <c r="B4718" s="11">
        <f>IFERROR(__xludf.DUMMYFUNCTION("""COMPUTED_VALUE"""),39175.666666666664)</f>
        <v>39175.66667</v>
      </c>
      <c r="C4718" s="9">
        <f>IFERROR(__xludf.DUMMYFUNCTION("""COMPUTED_VALUE"""),35.86)</f>
        <v>35.86</v>
      </c>
      <c r="E4718" s="17"/>
      <c r="N4718" s="17"/>
      <c r="Q4718" s="17"/>
    </row>
    <row r="4719">
      <c r="B4719" s="11">
        <f>IFERROR(__xludf.DUMMYFUNCTION("""COMPUTED_VALUE"""),39174.666666666664)</f>
        <v>39174.66667</v>
      </c>
      <c r="C4719" s="9">
        <f>IFERROR(__xludf.DUMMYFUNCTION("""COMPUTED_VALUE"""),35.61)</f>
        <v>35.61</v>
      </c>
      <c r="E4719" s="17"/>
      <c r="N4719" s="17"/>
      <c r="Q4719" s="17"/>
    </row>
    <row r="4720">
      <c r="B4720" s="11">
        <f>IFERROR(__xludf.DUMMYFUNCTION("""COMPUTED_VALUE"""),39171.666666666664)</f>
        <v>39171.66667</v>
      </c>
      <c r="C4720" s="9">
        <f>IFERROR(__xludf.DUMMYFUNCTION("""COMPUTED_VALUE"""),35.55)</f>
        <v>35.55</v>
      </c>
      <c r="E4720" s="17"/>
      <c r="N4720" s="17"/>
      <c r="Q4720" s="17"/>
    </row>
    <row r="4721">
      <c r="B4721" s="11">
        <f>IFERROR(__xludf.DUMMYFUNCTION("""COMPUTED_VALUE"""),39170.666666666664)</f>
        <v>39170.66667</v>
      </c>
      <c r="C4721" s="9">
        <f>IFERROR(__xludf.DUMMYFUNCTION("""COMPUTED_VALUE"""),35.59)</f>
        <v>35.59</v>
      </c>
      <c r="E4721" s="17"/>
      <c r="N4721" s="17"/>
      <c r="Q4721" s="17"/>
    </row>
    <row r="4722">
      <c r="B4722" s="11">
        <f>IFERROR(__xludf.DUMMYFUNCTION("""COMPUTED_VALUE"""),39169.666666666664)</f>
        <v>39169.66667</v>
      </c>
      <c r="C4722" s="9">
        <f>IFERROR(__xludf.DUMMYFUNCTION("""COMPUTED_VALUE"""),35.6)</f>
        <v>35.6</v>
      </c>
      <c r="E4722" s="17"/>
      <c r="N4722" s="17"/>
      <c r="Q4722" s="17"/>
    </row>
    <row r="4723">
      <c r="B4723" s="11">
        <f>IFERROR(__xludf.DUMMYFUNCTION("""COMPUTED_VALUE"""),39168.666666666664)</f>
        <v>39168.66667</v>
      </c>
      <c r="C4723" s="9">
        <f>IFERROR(__xludf.DUMMYFUNCTION("""COMPUTED_VALUE"""),35.89)</f>
        <v>35.89</v>
      </c>
      <c r="E4723" s="17"/>
      <c r="N4723" s="17"/>
      <c r="Q4723" s="17"/>
    </row>
    <row r="4724">
      <c r="B4724" s="11">
        <f>IFERROR(__xludf.DUMMYFUNCTION("""COMPUTED_VALUE"""),39167.666666666664)</f>
        <v>39167.66667</v>
      </c>
      <c r="C4724" s="9">
        <f>IFERROR(__xludf.DUMMYFUNCTION("""COMPUTED_VALUE"""),36.06)</f>
        <v>36.06</v>
      </c>
      <c r="E4724" s="17"/>
      <c r="N4724" s="17"/>
      <c r="Q4724" s="17"/>
    </row>
    <row r="4725">
      <c r="B4725" s="11">
        <f>IFERROR(__xludf.DUMMYFUNCTION("""COMPUTED_VALUE"""),39164.666666666664)</f>
        <v>39164.66667</v>
      </c>
      <c r="C4725" s="9">
        <f>IFERROR(__xludf.DUMMYFUNCTION("""COMPUTED_VALUE"""),36.36)</f>
        <v>36.36</v>
      </c>
      <c r="E4725" s="17"/>
      <c r="N4725" s="17"/>
      <c r="Q4725" s="17"/>
    </row>
    <row r="4726">
      <c r="B4726" s="11">
        <f>IFERROR(__xludf.DUMMYFUNCTION("""COMPUTED_VALUE"""),39163.666666666664)</f>
        <v>39163.66667</v>
      </c>
      <c r="C4726" s="9">
        <f>IFERROR(__xludf.DUMMYFUNCTION("""COMPUTED_VALUE"""),36.15)</f>
        <v>36.15</v>
      </c>
      <c r="E4726" s="17"/>
      <c r="N4726" s="17"/>
      <c r="Q4726" s="17"/>
    </row>
    <row r="4727">
      <c r="B4727" s="11">
        <f>IFERROR(__xludf.DUMMYFUNCTION("""COMPUTED_VALUE"""),39162.666666666664)</f>
        <v>39162.66667</v>
      </c>
      <c r="C4727" s="9">
        <f>IFERROR(__xludf.DUMMYFUNCTION("""COMPUTED_VALUE"""),36.08)</f>
        <v>36.08</v>
      </c>
      <c r="E4727" s="17"/>
      <c r="N4727" s="17"/>
      <c r="Q4727" s="17"/>
    </row>
    <row r="4728">
      <c r="B4728" s="11">
        <f>IFERROR(__xludf.DUMMYFUNCTION("""COMPUTED_VALUE"""),39161.666666666664)</f>
        <v>39161.66667</v>
      </c>
      <c r="C4728" s="9">
        <f>IFERROR(__xludf.DUMMYFUNCTION("""COMPUTED_VALUE"""),35.59)</f>
        <v>35.59</v>
      </c>
      <c r="E4728" s="17"/>
      <c r="N4728" s="17"/>
      <c r="Q4728" s="17"/>
    </row>
    <row r="4729">
      <c r="B4729" s="11">
        <f>IFERROR(__xludf.DUMMYFUNCTION("""COMPUTED_VALUE"""),39160.666666666664)</f>
        <v>39160.66667</v>
      </c>
      <c r="C4729" s="9">
        <f>IFERROR(__xludf.DUMMYFUNCTION("""COMPUTED_VALUE"""),35.5)</f>
        <v>35.5</v>
      </c>
      <c r="E4729" s="17"/>
      <c r="N4729" s="17"/>
      <c r="Q4729" s="17"/>
    </row>
    <row r="4730">
      <c r="B4730" s="11">
        <f>IFERROR(__xludf.DUMMYFUNCTION("""COMPUTED_VALUE"""),39157.666666666664)</f>
        <v>39157.66667</v>
      </c>
      <c r="C4730" s="9">
        <f>IFERROR(__xludf.DUMMYFUNCTION("""COMPUTED_VALUE"""),35.25)</f>
        <v>35.25</v>
      </c>
      <c r="E4730" s="17"/>
      <c r="N4730" s="17"/>
      <c r="Q4730" s="17"/>
    </row>
    <row r="4731">
      <c r="B4731" s="11">
        <f>IFERROR(__xludf.DUMMYFUNCTION("""COMPUTED_VALUE"""),39156.666666666664)</f>
        <v>39156.66667</v>
      </c>
      <c r="C4731" s="9">
        <f>IFERROR(__xludf.DUMMYFUNCTION("""COMPUTED_VALUE"""),35.2)</f>
        <v>35.2</v>
      </c>
      <c r="E4731" s="17"/>
      <c r="N4731" s="17"/>
      <c r="Q4731" s="17"/>
    </row>
    <row r="4732">
      <c r="B4732" s="11">
        <f>IFERROR(__xludf.DUMMYFUNCTION("""COMPUTED_VALUE"""),39155.666666666664)</f>
        <v>39155.66667</v>
      </c>
      <c r="C4732" s="9">
        <f>IFERROR(__xludf.DUMMYFUNCTION("""COMPUTED_VALUE"""),35.16)</f>
        <v>35.16</v>
      </c>
      <c r="E4732" s="17"/>
      <c r="N4732" s="17"/>
      <c r="Q4732" s="17"/>
    </row>
    <row r="4733">
      <c r="B4733" s="11">
        <f>IFERROR(__xludf.DUMMYFUNCTION("""COMPUTED_VALUE"""),39154.666666666664)</f>
        <v>39154.66667</v>
      </c>
      <c r="C4733" s="9">
        <f>IFERROR(__xludf.DUMMYFUNCTION("""COMPUTED_VALUE"""),35.02)</f>
        <v>35.02</v>
      </c>
      <c r="E4733" s="17"/>
      <c r="N4733" s="17"/>
      <c r="Q4733" s="17"/>
    </row>
    <row r="4734">
      <c r="B4734" s="11">
        <f>IFERROR(__xludf.DUMMYFUNCTION("""COMPUTED_VALUE"""),39153.666666666664)</f>
        <v>39153.66667</v>
      </c>
      <c r="C4734" s="9">
        <f>IFERROR(__xludf.DUMMYFUNCTION("""COMPUTED_VALUE"""),35.62)</f>
        <v>35.62</v>
      </c>
      <c r="E4734" s="17"/>
      <c r="N4734" s="17"/>
      <c r="Q4734" s="17"/>
    </row>
    <row r="4735">
      <c r="B4735" s="11">
        <f>IFERROR(__xludf.DUMMYFUNCTION("""COMPUTED_VALUE"""),39150.666666666664)</f>
        <v>39150.66667</v>
      </c>
      <c r="C4735" s="9">
        <f>IFERROR(__xludf.DUMMYFUNCTION("""COMPUTED_VALUE"""),35.45)</f>
        <v>35.45</v>
      </c>
      <c r="E4735" s="17"/>
      <c r="N4735" s="17"/>
      <c r="Q4735" s="17"/>
    </row>
    <row r="4736">
      <c r="B4736" s="11">
        <f>IFERROR(__xludf.DUMMYFUNCTION("""COMPUTED_VALUE"""),39149.666666666664)</f>
        <v>39149.66667</v>
      </c>
      <c r="C4736" s="9">
        <f>IFERROR(__xludf.DUMMYFUNCTION("""COMPUTED_VALUE"""),35.27)</f>
        <v>35.27</v>
      </c>
      <c r="E4736" s="17"/>
      <c r="N4736" s="17"/>
      <c r="Q4736" s="17"/>
    </row>
    <row r="4737">
      <c r="B4737" s="11">
        <f>IFERROR(__xludf.DUMMYFUNCTION("""COMPUTED_VALUE"""),39148.666666666664)</f>
        <v>39148.66667</v>
      </c>
      <c r="C4737" s="9">
        <f>IFERROR(__xludf.DUMMYFUNCTION("""COMPUTED_VALUE"""),35.01)</f>
        <v>35.01</v>
      </c>
      <c r="E4737" s="17"/>
      <c r="N4737" s="17"/>
      <c r="Q4737" s="17"/>
    </row>
    <row r="4738">
      <c r="B4738" s="11">
        <f>IFERROR(__xludf.DUMMYFUNCTION("""COMPUTED_VALUE"""),39147.666666666664)</f>
        <v>39147.66667</v>
      </c>
      <c r="C4738" s="9">
        <f>IFERROR(__xludf.DUMMYFUNCTION("""COMPUTED_VALUE"""),35.15)</f>
        <v>35.15</v>
      </c>
      <c r="E4738" s="17"/>
      <c r="N4738" s="17"/>
      <c r="Q4738" s="17"/>
    </row>
    <row r="4739">
      <c r="B4739" s="11">
        <f>IFERROR(__xludf.DUMMYFUNCTION("""COMPUTED_VALUE"""),39146.666666666664)</f>
        <v>39146.66667</v>
      </c>
      <c r="C4739" s="9">
        <f>IFERROR(__xludf.DUMMYFUNCTION("""COMPUTED_VALUE"""),34.75)</f>
        <v>34.75</v>
      </c>
      <c r="E4739" s="17"/>
      <c r="N4739" s="17"/>
      <c r="Q4739" s="17"/>
    </row>
    <row r="4740">
      <c r="B4740" s="11">
        <f>IFERROR(__xludf.DUMMYFUNCTION("""COMPUTED_VALUE"""),39143.666666666664)</f>
        <v>39143.66667</v>
      </c>
      <c r="C4740" s="9">
        <f>IFERROR(__xludf.DUMMYFUNCTION("""COMPUTED_VALUE"""),34.84)</f>
        <v>34.84</v>
      </c>
      <c r="E4740" s="17"/>
      <c r="N4740" s="17"/>
      <c r="Q4740" s="17"/>
    </row>
    <row r="4741">
      <c r="B4741" s="11">
        <f>IFERROR(__xludf.DUMMYFUNCTION("""COMPUTED_VALUE"""),39142.666666666664)</f>
        <v>39142.66667</v>
      </c>
      <c r="C4741" s="9">
        <f>IFERROR(__xludf.DUMMYFUNCTION("""COMPUTED_VALUE"""),35.28)</f>
        <v>35.28</v>
      </c>
      <c r="E4741" s="17"/>
      <c r="N4741" s="17"/>
      <c r="Q4741" s="17"/>
    </row>
    <row r="4742">
      <c r="B4742" s="11">
        <f>IFERROR(__xludf.DUMMYFUNCTION("""COMPUTED_VALUE"""),39141.666666666664)</f>
        <v>39141.66667</v>
      </c>
      <c r="C4742" s="9">
        <f>IFERROR(__xludf.DUMMYFUNCTION("""COMPUTED_VALUE"""),35.42)</f>
        <v>35.42</v>
      </c>
      <c r="E4742" s="17"/>
      <c r="N4742" s="17"/>
      <c r="Q4742" s="17"/>
    </row>
    <row r="4743">
      <c r="B4743" s="11">
        <f>IFERROR(__xludf.DUMMYFUNCTION("""COMPUTED_VALUE"""),39140.666666666664)</f>
        <v>39140.66667</v>
      </c>
      <c r="C4743" s="9">
        <f>IFERROR(__xludf.DUMMYFUNCTION("""COMPUTED_VALUE"""),35.3)</f>
        <v>35.3</v>
      </c>
      <c r="E4743" s="17"/>
      <c r="N4743" s="17"/>
      <c r="Q4743" s="17"/>
    </row>
    <row r="4744">
      <c r="B4744" s="11">
        <f>IFERROR(__xludf.DUMMYFUNCTION("""COMPUTED_VALUE"""),39139.666666666664)</f>
        <v>39139.66667</v>
      </c>
      <c r="C4744" s="9">
        <f>IFERROR(__xludf.DUMMYFUNCTION("""COMPUTED_VALUE"""),36.39)</f>
        <v>36.39</v>
      </c>
      <c r="E4744" s="17"/>
      <c r="N4744" s="17"/>
      <c r="Q4744" s="17"/>
    </row>
    <row r="4745">
      <c r="B4745" s="11">
        <f>IFERROR(__xludf.DUMMYFUNCTION("""COMPUTED_VALUE"""),39136.666666666664)</f>
        <v>39136.66667</v>
      </c>
      <c r="C4745" s="9">
        <f>IFERROR(__xludf.DUMMYFUNCTION("""COMPUTED_VALUE"""),36.6)</f>
        <v>36.6</v>
      </c>
      <c r="E4745" s="17"/>
      <c r="N4745" s="17"/>
      <c r="Q4745" s="17"/>
    </row>
    <row r="4746">
      <c r="B4746" s="11">
        <f>IFERROR(__xludf.DUMMYFUNCTION("""COMPUTED_VALUE"""),39135.666666666664)</f>
        <v>39135.66667</v>
      </c>
      <c r="C4746" s="9">
        <f>IFERROR(__xludf.DUMMYFUNCTION("""COMPUTED_VALUE"""),36.7)</f>
        <v>36.7</v>
      </c>
      <c r="E4746" s="17"/>
      <c r="N4746" s="17"/>
      <c r="Q4746" s="17"/>
    </row>
    <row r="4747">
      <c r="B4747" s="11">
        <f>IFERROR(__xludf.DUMMYFUNCTION("""COMPUTED_VALUE"""),39134.666666666664)</f>
        <v>39134.66667</v>
      </c>
      <c r="C4747" s="9">
        <f>IFERROR(__xludf.DUMMYFUNCTION("""COMPUTED_VALUE"""),36.82)</f>
        <v>36.82</v>
      </c>
      <c r="E4747" s="17"/>
      <c r="N4747" s="17"/>
      <c r="Q4747" s="17"/>
    </row>
    <row r="4748">
      <c r="B4748" s="11">
        <f>IFERROR(__xludf.DUMMYFUNCTION("""COMPUTED_VALUE"""),39133.666666666664)</f>
        <v>39133.66667</v>
      </c>
      <c r="C4748" s="9">
        <f>IFERROR(__xludf.DUMMYFUNCTION("""COMPUTED_VALUE"""),36.72)</f>
        <v>36.72</v>
      </c>
      <c r="E4748" s="17"/>
      <c r="N4748" s="17"/>
      <c r="Q4748" s="17"/>
    </row>
    <row r="4749">
      <c r="B4749" s="11">
        <f>IFERROR(__xludf.DUMMYFUNCTION("""COMPUTED_VALUE"""),39129.666666666664)</f>
        <v>39129.66667</v>
      </c>
      <c r="C4749" s="9">
        <f>IFERROR(__xludf.DUMMYFUNCTION("""COMPUTED_VALUE"""),36.66)</f>
        <v>36.66</v>
      </c>
      <c r="E4749" s="17"/>
      <c r="N4749" s="17"/>
      <c r="Q4749" s="17"/>
    </row>
    <row r="4750">
      <c r="B4750" s="11">
        <f>IFERROR(__xludf.DUMMYFUNCTION("""COMPUTED_VALUE"""),39128.666666666664)</f>
        <v>39128.66667</v>
      </c>
      <c r="C4750" s="9">
        <f>IFERROR(__xludf.DUMMYFUNCTION("""COMPUTED_VALUE"""),36.81)</f>
        <v>36.81</v>
      </c>
      <c r="E4750" s="17"/>
      <c r="N4750" s="17"/>
      <c r="Q4750" s="17"/>
    </row>
    <row r="4751">
      <c r="B4751" s="11">
        <f>IFERROR(__xludf.DUMMYFUNCTION("""COMPUTED_VALUE"""),39127.666666666664)</f>
        <v>39127.66667</v>
      </c>
      <c r="C4751" s="9">
        <f>IFERROR(__xludf.DUMMYFUNCTION("""COMPUTED_VALUE"""),36.73)</f>
        <v>36.73</v>
      </c>
      <c r="E4751" s="17"/>
      <c r="N4751" s="17"/>
      <c r="Q4751" s="17"/>
    </row>
    <row r="4752">
      <c r="B4752" s="11">
        <f>IFERROR(__xludf.DUMMYFUNCTION("""COMPUTED_VALUE"""),39126.666666666664)</f>
        <v>39126.66667</v>
      </c>
      <c r="C4752" s="9">
        <f>IFERROR(__xludf.DUMMYFUNCTION("""COMPUTED_VALUE"""),36.2)</f>
        <v>36.2</v>
      </c>
      <c r="E4752" s="17"/>
      <c r="N4752" s="17"/>
      <c r="Q4752" s="17"/>
    </row>
    <row r="4753">
      <c r="B4753" s="11">
        <f>IFERROR(__xludf.DUMMYFUNCTION("""COMPUTED_VALUE"""),39125.666666666664)</f>
        <v>39125.66667</v>
      </c>
      <c r="C4753" s="9">
        <f>IFERROR(__xludf.DUMMYFUNCTION("""COMPUTED_VALUE"""),35.91)</f>
        <v>35.91</v>
      </c>
      <c r="E4753" s="17"/>
      <c r="N4753" s="17"/>
      <c r="Q4753" s="17"/>
    </row>
    <row r="4754">
      <c r="B4754" s="11">
        <f>IFERROR(__xludf.DUMMYFUNCTION("""COMPUTED_VALUE"""),39122.666666666664)</f>
        <v>39122.66667</v>
      </c>
      <c r="C4754" s="9">
        <f>IFERROR(__xludf.DUMMYFUNCTION("""COMPUTED_VALUE"""),35.85)</f>
        <v>35.85</v>
      </c>
      <c r="E4754" s="17"/>
      <c r="N4754" s="17"/>
      <c r="Q4754" s="17"/>
    </row>
    <row r="4755">
      <c r="B4755" s="11">
        <f>IFERROR(__xludf.DUMMYFUNCTION("""COMPUTED_VALUE"""),39121.666666666664)</f>
        <v>39121.66667</v>
      </c>
      <c r="C4755" s="9">
        <f>IFERROR(__xludf.DUMMYFUNCTION("""COMPUTED_VALUE"""),35.99)</f>
        <v>35.99</v>
      </c>
      <c r="E4755" s="17"/>
      <c r="N4755" s="17"/>
      <c r="Q4755" s="17"/>
    </row>
    <row r="4756">
      <c r="B4756" s="11">
        <f>IFERROR(__xludf.DUMMYFUNCTION("""COMPUTED_VALUE"""),39120.666666666664)</f>
        <v>39120.66667</v>
      </c>
      <c r="C4756" s="9">
        <f>IFERROR(__xludf.DUMMYFUNCTION("""COMPUTED_VALUE"""),36.24)</f>
        <v>36.24</v>
      </c>
      <c r="E4756" s="17"/>
      <c r="N4756" s="17"/>
      <c r="Q4756" s="17"/>
    </row>
    <row r="4757">
      <c r="B4757" s="11">
        <f>IFERROR(__xludf.DUMMYFUNCTION("""COMPUTED_VALUE"""),39119.666666666664)</f>
        <v>39119.66667</v>
      </c>
      <c r="C4757" s="9">
        <f>IFERROR(__xludf.DUMMYFUNCTION("""COMPUTED_VALUE"""),36.27)</f>
        <v>36.27</v>
      </c>
      <c r="E4757" s="17"/>
      <c r="N4757" s="17"/>
      <c r="Q4757" s="17"/>
    </row>
    <row r="4758">
      <c r="B4758" s="11">
        <f>IFERROR(__xludf.DUMMYFUNCTION("""COMPUTED_VALUE"""),39118.666666666664)</f>
        <v>39118.66667</v>
      </c>
      <c r="C4758" s="9">
        <f>IFERROR(__xludf.DUMMYFUNCTION("""COMPUTED_VALUE"""),36.26)</f>
        <v>36.26</v>
      </c>
      <c r="E4758" s="17"/>
      <c r="N4758" s="17"/>
      <c r="Q4758" s="17"/>
    </row>
    <row r="4759">
      <c r="B4759" s="11">
        <f>IFERROR(__xludf.DUMMYFUNCTION("""COMPUTED_VALUE"""),39115.666666666664)</f>
        <v>39115.66667</v>
      </c>
      <c r="C4759" s="9">
        <f>IFERROR(__xludf.DUMMYFUNCTION("""COMPUTED_VALUE"""),36.19)</f>
        <v>36.19</v>
      </c>
      <c r="E4759" s="17"/>
      <c r="N4759" s="17"/>
      <c r="Q4759" s="17"/>
    </row>
    <row r="4760">
      <c r="B4760" s="11">
        <f>IFERROR(__xludf.DUMMYFUNCTION("""COMPUTED_VALUE"""),39114.666666666664)</f>
        <v>39114.66667</v>
      </c>
      <c r="C4760" s="9">
        <f>IFERROR(__xludf.DUMMYFUNCTION("""COMPUTED_VALUE"""),36.05)</f>
        <v>36.05</v>
      </c>
      <c r="E4760" s="17"/>
      <c r="N4760" s="17"/>
      <c r="Q4760" s="17"/>
    </row>
    <row r="4761">
      <c r="B4761" s="11">
        <f>IFERROR(__xludf.DUMMYFUNCTION("""COMPUTED_VALUE"""),39113.666666666664)</f>
        <v>39113.66667</v>
      </c>
      <c r="C4761" s="9">
        <f>IFERROR(__xludf.DUMMYFUNCTION("""COMPUTED_VALUE"""),35.74)</f>
        <v>35.74</v>
      </c>
      <c r="E4761" s="17"/>
      <c r="N4761" s="17"/>
      <c r="Q4761" s="17"/>
    </row>
    <row r="4762">
      <c r="B4762" s="11">
        <f>IFERROR(__xludf.DUMMYFUNCTION("""COMPUTED_VALUE"""),39112.666666666664)</f>
        <v>39112.66667</v>
      </c>
      <c r="C4762" s="9">
        <f>IFERROR(__xludf.DUMMYFUNCTION("""COMPUTED_VALUE"""),35.27)</f>
        <v>35.27</v>
      </c>
      <c r="E4762" s="17"/>
      <c r="N4762" s="17"/>
      <c r="Q4762" s="17"/>
    </row>
    <row r="4763">
      <c r="B4763" s="11">
        <f>IFERROR(__xludf.DUMMYFUNCTION("""COMPUTED_VALUE"""),39111.666666666664)</f>
        <v>39111.66667</v>
      </c>
      <c r="C4763" s="9">
        <f>IFERROR(__xludf.DUMMYFUNCTION("""COMPUTED_VALUE"""),35.29)</f>
        <v>35.29</v>
      </c>
      <c r="E4763" s="17"/>
      <c r="N4763" s="17"/>
      <c r="Q4763" s="17"/>
    </row>
    <row r="4764">
      <c r="B4764" s="11">
        <f>IFERROR(__xludf.DUMMYFUNCTION("""COMPUTED_VALUE"""),39108.666666666664)</f>
        <v>39108.66667</v>
      </c>
      <c r="C4764" s="9">
        <f>IFERROR(__xludf.DUMMYFUNCTION("""COMPUTED_VALUE"""),35.21)</f>
        <v>35.21</v>
      </c>
      <c r="E4764" s="17"/>
      <c r="N4764" s="17"/>
      <c r="Q4764" s="17"/>
    </row>
    <row r="4765">
      <c r="B4765" s="11">
        <f>IFERROR(__xludf.DUMMYFUNCTION("""COMPUTED_VALUE"""),39107.666666666664)</f>
        <v>39107.66667</v>
      </c>
      <c r="C4765" s="9">
        <f>IFERROR(__xludf.DUMMYFUNCTION("""COMPUTED_VALUE"""),35.35)</f>
        <v>35.35</v>
      </c>
      <c r="E4765" s="17"/>
      <c r="N4765" s="17"/>
      <c r="Q4765" s="17"/>
    </row>
    <row r="4766">
      <c r="B4766" s="11">
        <f>IFERROR(__xludf.DUMMYFUNCTION("""COMPUTED_VALUE"""),39106.666666666664)</f>
        <v>39106.66667</v>
      </c>
      <c r="C4766" s="9">
        <f>IFERROR(__xludf.DUMMYFUNCTION("""COMPUTED_VALUE"""),35.54)</f>
        <v>35.54</v>
      </c>
      <c r="E4766" s="17"/>
      <c r="N4766" s="17"/>
      <c r="Q4766" s="17"/>
    </row>
    <row r="4767">
      <c r="B4767" s="11">
        <f>IFERROR(__xludf.DUMMYFUNCTION("""COMPUTED_VALUE"""),39105.666666666664)</f>
        <v>39105.66667</v>
      </c>
      <c r="C4767" s="9">
        <f>IFERROR(__xludf.DUMMYFUNCTION("""COMPUTED_VALUE"""),35.64)</f>
        <v>35.64</v>
      </c>
      <c r="E4767" s="17"/>
      <c r="N4767" s="17"/>
      <c r="Q4767" s="17"/>
    </row>
    <row r="4768">
      <c r="B4768" s="11">
        <f>IFERROR(__xludf.DUMMYFUNCTION("""COMPUTED_VALUE"""),39104.666666666664)</f>
        <v>39104.66667</v>
      </c>
      <c r="C4768" s="9">
        <f>IFERROR(__xludf.DUMMYFUNCTION("""COMPUTED_VALUE"""),35.23)</f>
        <v>35.23</v>
      </c>
      <c r="E4768" s="17"/>
      <c r="N4768" s="17"/>
      <c r="Q4768" s="17"/>
    </row>
    <row r="4769">
      <c r="B4769" s="11">
        <f>IFERROR(__xludf.DUMMYFUNCTION("""COMPUTED_VALUE"""),39101.666666666664)</f>
        <v>39101.66667</v>
      </c>
      <c r="C4769" s="9">
        <f>IFERROR(__xludf.DUMMYFUNCTION("""COMPUTED_VALUE"""),35.62)</f>
        <v>35.62</v>
      </c>
      <c r="E4769" s="17"/>
      <c r="N4769" s="17"/>
      <c r="Q4769" s="17"/>
    </row>
    <row r="4770">
      <c r="B4770" s="11">
        <f>IFERROR(__xludf.DUMMYFUNCTION("""COMPUTED_VALUE"""),39100.666666666664)</f>
        <v>39100.66667</v>
      </c>
      <c r="C4770" s="9">
        <f>IFERROR(__xludf.DUMMYFUNCTION("""COMPUTED_VALUE"""),35.64)</f>
        <v>35.64</v>
      </c>
      <c r="E4770" s="17"/>
      <c r="N4770" s="17"/>
      <c r="Q4770" s="17"/>
    </row>
    <row r="4771">
      <c r="B4771" s="11">
        <f>IFERROR(__xludf.DUMMYFUNCTION("""COMPUTED_VALUE"""),39099.666666666664)</f>
        <v>39099.66667</v>
      </c>
      <c r="C4771" s="9">
        <f>IFERROR(__xludf.DUMMYFUNCTION("""COMPUTED_VALUE"""),35.8)</f>
        <v>35.8</v>
      </c>
      <c r="E4771" s="17"/>
      <c r="N4771" s="17"/>
      <c r="Q4771" s="17"/>
    </row>
    <row r="4772">
      <c r="B4772" s="11">
        <f>IFERROR(__xludf.DUMMYFUNCTION("""COMPUTED_VALUE"""),39098.666666666664)</f>
        <v>39098.66667</v>
      </c>
      <c r="C4772" s="9">
        <f>IFERROR(__xludf.DUMMYFUNCTION("""COMPUTED_VALUE"""),35.77)</f>
        <v>35.77</v>
      </c>
      <c r="E4772" s="17"/>
      <c r="N4772" s="17"/>
      <c r="Q4772" s="17"/>
    </row>
    <row r="4773">
      <c r="B4773" s="11">
        <f>IFERROR(__xludf.DUMMYFUNCTION("""COMPUTED_VALUE"""),39094.666666666664)</f>
        <v>39094.66667</v>
      </c>
      <c r="C4773" s="9">
        <f>IFERROR(__xludf.DUMMYFUNCTION("""COMPUTED_VALUE"""),35.58)</f>
        <v>35.58</v>
      </c>
      <c r="E4773" s="17"/>
      <c r="N4773" s="17"/>
      <c r="Q4773" s="17"/>
    </row>
    <row r="4774">
      <c r="B4774" s="11">
        <f>IFERROR(__xludf.DUMMYFUNCTION("""COMPUTED_VALUE"""),39093.666666666664)</f>
        <v>39093.66667</v>
      </c>
      <c r="C4774" s="9">
        <f>IFERROR(__xludf.DUMMYFUNCTION("""COMPUTED_VALUE"""),35.48)</f>
        <v>35.48</v>
      </c>
      <c r="E4774" s="17"/>
      <c r="N4774" s="17"/>
      <c r="Q4774" s="17"/>
    </row>
    <row r="4775">
      <c r="B4775" s="11">
        <f>IFERROR(__xludf.DUMMYFUNCTION("""COMPUTED_VALUE"""),39092.666666666664)</f>
        <v>39092.66667</v>
      </c>
      <c r="C4775" s="9">
        <f>IFERROR(__xludf.DUMMYFUNCTION("""COMPUTED_VALUE"""),35.19)</f>
        <v>35.19</v>
      </c>
      <c r="E4775" s="17"/>
      <c r="N4775" s="17"/>
      <c r="Q4775" s="17"/>
    </row>
    <row r="4776">
      <c r="B4776" s="11">
        <f>IFERROR(__xludf.DUMMYFUNCTION("""COMPUTED_VALUE"""),39091.666666666664)</f>
        <v>39091.66667</v>
      </c>
      <c r="C4776" s="9">
        <f>IFERROR(__xludf.DUMMYFUNCTION("""COMPUTED_VALUE"""),35.07)</f>
        <v>35.07</v>
      </c>
      <c r="E4776" s="17"/>
      <c r="N4776" s="17"/>
      <c r="Q4776" s="17"/>
    </row>
    <row r="4777">
      <c r="B4777" s="11">
        <f>IFERROR(__xludf.DUMMYFUNCTION("""COMPUTED_VALUE"""),39090.666666666664)</f>
        <v>39090.66667</v>
      </c>
      <c r="C4777" s="9">
        <f>IFERROR(__xludf.DUMMYFUNCTION("""COMPUTED_VALUE"""),35.09)</f>
        <v>35.09</v>
      </c>
      <c r="E4777" s="17"/>
      <c r="N4777" s="17"/>
      <c r="Q4777" s="17"/>
    </row>
    <row r="4778">
      <c r="B4778" s="11">
        <f>IFERROR(__xludf.DUMMYFUNCTION("""COMPUTED_VALUE"""),39087.666666666664)</f>
        <v>39087.66667</v>
      </c>
      <c r="C4778" s="9">
        <f>IFERROR(__xludf.DUMMYFUNCTION("""COMPUTED_VALUE"""),34.96)</f>
        <v>34.96</v>
      </c>
      <c r="E4778" s="17"/>
      <c r="N4778" s="17"/>
      <c r="Q4778" s="17"/>
    </row>
    <row r="4779">
      <c r="B4779" s="11">
        <f>IFERROR(__xludf.DUMMYFUNCTION("""COMPUTED_VALUE"""),39086.666666666664)</f>
        <v>39086.66667</v>
      </c>
      <c r="C4779" s="9">
        <f>IFERROR(__xludf.DUMMYFUNCTION("""COMPUTED_VALUE"""),35.08)</f>
        <v>35.08</v>
      </c>
      <c r="E4779" s="17"/>
      <c r="N4779" s="17"/>
      <c r="Q4779" s="17"/>
    </row>
    <row r="4780">
      <c r="B4780" s="11">
        <f>IFERROR(__xludf.DUMMYFUNCTION("""COMPUTED_VALUE"""),39085.666666666664)</f>
        <v>39085.66667</v>
      </c>
      <c r="C4780" s="9">
        <f>IFERROR(__xludf.DUMMYFUNCTION("""COMPUTED_VALUE"""),35.23)</f>
        <v>35.23</v>
      </c>
      <c r="E4780" s="17"/>
      <c r="N4780" s="17"/>
      <c r="Q4780" s="17"/>
    </row>
    <row r="4781">
      <c r="B4781" s="11">
        <f>IFERROR(__xludf.DUMMYFUNCTION("""COMPUTED_VALUE"""),39080.666666666664)</f>
        <v>39080.66667</v>
      </c>
      <c r="C4781" s="9">
        <f>IFERROR(__xludf.DUMMYFUNCTION("""COMPUTED_VALUE"""),35.01)</f>
        <v>35.01</v>
      </c>
      <c r="E4781" s="17"/>
      <c r="N4781" s="17"/>
      <c r="Q4781" s="17"/>
    </row>
    <row r="4782">
      <c r="B4782" s="11">
        <f>IFERROR(__xludf.DUMMYFUNCTION("""COMPUTED_VALUE"""),39079.666666666664)</f>
        <v>39079.66667</v>
      </c>
      <c r="C4782" s="9">
        <f>IFERROR(__xludf.DUMMYFUNCTION("""COMPUTED_VALUE"""),35.24)</f>
        <v>35.24</v>
      </c>
      <c r="E4782" s="17"/>
      <c r="N4782" s="17"/>
      <c r="Q4782" s="17"/>
    </row>
    <row r="4783">
      <c r="B4783" s="11">
        <f>IFERROR(__xludf.DUMMYFUNCTION("""COMPUTED_VALUE"""),39078.666666666664)</f>
        <v>39078.66667</v>
      </c>
      <c r="C4783" s="9">
        <f>IFERROR(__xludf.DUMMYFUNCTION("""COMPUTED_VALUE"""),35.36)</f>
        <v>35.36</v>
      </c>
      <c r="E4783" s="17"/>
      <c r="N4783" s="17"/>
      <c r="Q4783" s="17"/>
    </row>
    <row r="4784">
      <c r="B4784" s="11">
        <f>IFERROR(__xludf.DUMMYFUNCTION("""COMPUTED_VALUE"""),39077.666666666664)</f>
        <v>39077.66667</v>
      </c>
      <c r="C4784" s="9">
        <f>IFERROR(__xludf.DUMMYFUNCTION("""COMPUTED_VALUE"""),35.18)</f>
        <v>35.18</v>
      </c>
      <c r="E4784" s="17"/>
      <c r="N4784" s="17"/>
      <c r="Q4784" s="17"/>
    </row>
    <row r="4785">
      <c r="B4785" s="11">
        <f>IFERROR(__xludf.DUMMYFUNCTION("""COMPUTED_VALUE"""),39073.666666666664)</f>
        <v>39073.66667</v>
      </c>
      <c r="C4785" s="9">
        <f>IFERROR(__xludf.DUMMYFUNCTION("""COMPUTED_VALUE"""),35.01)</f>
        <v>35.01</v>
      </c>
      <c r="E4785" s="17"/>
      <c r="N4785" s="17"/>
      <c r="Q4785" s="17"/>
    </row>
    <row r="4786">
      <c r="B4786" s="11">
        <f>IFERROR(__xludf.DUMMYFUNCTION("""COMPUTED_VALUE"""),39072.666666666664)</f>
        <v>39072.66667</v>
      </c>
      <c r="C4786" s="9">
        <f>IFERROR(__xludf.DUMMYFUNCTION("""COMPUTED_VALUE"""),35.23)</f>
        <v>35.23</v>
      </c>
      <c r="E4786" s="17"/>
      <c r="N4786" s="17"/>
      <c r="Q4786" s="17"/>
    </row>
    <row r="4787">
      <c r="B4787" s="11">
        <f>IFERROR(__xludf.DUMMYFUNCTION("""COMPUTED_VALUE"""),39071.666666666664)</f>
        <v>39071.66667</v>
      </c>
      <c r="C4787" s="9">
        <f>IFERROR(__xludf.DUMMYFUNCTION("""COMPUTED_VALUE"""),35.3)</f>
        <v>35.3</v>
      </c>
      <c r="E4787" s="17"/>
      <c r="N4787" s="17"/>
      <c r="Q4787" s="17"/>
    </row>
    <row r="4788">
      <c r="B4788" s="11">
        <f>IFERROR(__xludf.DUMMYFUNCTION("""COMPUTED_VALUE"""),39070.666666666664)</f>
        <v>39070.66667</v>
      </c>
      <c r="C4788" s="9">
        <f>IFERROR(__xludf.DUMMYFUNCTION("""COMPUTED_VALUE"""),35.25)</f>
        <v>35.25</v>
      </c>
      <c r="E4788" s="17"/>
      <c r="N4788" s="17"/>
      <c r="Q4788" s="17"/>
    </row>
    <row r="4789">
      <c r="B4789" s="11">
        <f>IFERROR(__xludf.DUMMYFUNCTION("""COMPUTED_VALUE"""),39069.666666666664)</f>
        <v>39069.66667</v>
      </c>
      <c r="C4789" s="9">
        <f>IFERROR(__xludf.DUMMYFUNCTION("""COMPUTED_VALUE"""),35.24)</f>
        <v>35.24</v>
      </c>
      <c r="E4789" s="17"/>
      <c r="N4789" s="17"/>
      <c r="Q4789" s="17"/>
    </row>
    <row r="4790">
      <c r="B4790" s="11">
        <f>IFERROR(__xludf.DUMMYFUNCTION("""COMPUTED_VALUE"""),39066.666666666664)</f>
        <v>39066.66667</v>
      </c>
      <c r="C4790" s="9">
        <f>IFERROR(__xludf.DUMMYFUNCTION("""COMPUTED_VALUE"""),35.2)</f>
        <v>35.2</v>
      </c>
      <c r="E4790" s="17"/>
      <c r="N4790" s="17"/>
      <c r="Q4790" s="17"/>
    </row>
    <row r="4791">
      <c r="B4791" s="11">
        <f>IFERROR(__xludf.DUMMYFUNCTION("""COMPUTED_VALUE"""),39065.666666666664)</f>
        <v>39065.66667</v>
      </c>
      <c r="C4791" s="9">
        <f>IFERROR(__xludf.DUMMYFUNCTION("""COMPUTED_VALUE"""),35.29)</f>
        <v>35.29</v>
      </c>
      <c r="E4791" s="17"/>
      <c r="N4791" s="17"/>
      <c r="Q4791" s="17"/>
    </row>
    <row r="4792">
      <c r="B4792" s="11">
        <f>IFERROR(__xludf.DUMMYFUNCTION("""COMPUTED_VALUE"""),39064.666666666664)</f>
        <v>39064.66667</v>
      </c>
      <c r="C4792" s="9">
        <f>IFERROR(__xludf.DUMMYFUNCTION("""COMPUTED_VALUE"""),35.09)</f>
        <v>35.09</v>
      </c>
      <c r="E4792" s="17"/>
      <c r="N4792" s="17"/>
      <c r="Q4792" s="17"/>
    </row>
    <row r="4793">
      <c r="B4793" s="11">
        <f>IFERROR(__xludf.DUMMYFUNCTION("""COMPUTED_VALUE"""),39063.666666666664)</f>
        <v>39063.66667</v>
      </c>
      <c r="C4793" s="9">
        <f>IFERROR(__xludf.DUMMYFUNCTION("""COMPUTED_VALUE"""),35.21)</f>
        <v>35.21</v>
      </c>
      <c r="E4793" s="17"/>
      <c r="N4793" s="17"/>
      <c r="Q4793" s="17"/>
    </row>
    <row r="4794">
      <c r="B4794" s="11">
        <f>IFERROR(__xludf.DUMMYFUNCTION("""COMPUTED_VALUE"""),39062.666666666664)</f>
        <v>39062.66667</v>
      </c>
      <c r="C4794" s="9">
        <f>IFERROR(__xludf.DUMMYFUNCTION("""COMPUTED_VALUE"""),35.15)</f>
        <v>35.15</v>
      </c>
      <c r="E4794" s="17"/>
      <c r="N4794" s="17"/>
      <c r="Q4794" s="17"/>
    </row>
    <row r="4795">
      <c r="B4795" s="11">
        <f>IFERROR(__xludf.DUMMYFUNCTION("""COMPUTED_VALUE"""),39059.666666666664)</f>
        <v>39059.66667</v>
      </c>
      <c r="C4795" s="9">
        <f>IFERROR(__xludf.DUMMYFUNCTION("""COMPUTED_VALUE"""),35.31)</f>
        <v>35.31</v>
      </c>
      <c r="E4795" s="17"/>
      <c r="N4795" s="17"/>
      <c r="Q4795" s="17"/>
    </row>
    <row r="4796">
      <c r="B4796" s="11">
        <f>IFERROR(__xludf.DUMMYFUNCTION("""COMPUTED_VALUE"""),39058.666666666664)</f>
        <v>39058.66667</v>
      </c>
      <c r="C4796" s="9">
        <f>IFERROR(__xludf.DUMMYFUNCTION("""COMPUTED_VALUE"""),35.27)</f>
        <v>35.27</v>
      </c>
      <c r="E4796" s="17"/>
      <c r="N4796" s="17"/>
      <c r="Q4796" s="17"/>
    </row>
    <row r="4797">
      <c r="B4797" s="11">
        <f>IFERROR(__xludf.DUMMYFUNCTION("""COMPUTED_VALUE"""),39057.666666666664)</f>
        <v>39057.66667</v>
      </c>
      <c r="C4797" s="9">
        <f>IFERROR(__xludf.DUMMYFUNCTION("""COMPUTED_VALUE"""),35.33)</f>
        <v>35.33</v>
      </c>
      <c r="E4797" s="17"/>
      <c r="N4797" s="17"/>
      <c r="Q4797" s="17"/>
    </row>
    <row r="4798">
      <c r="B4798" s="11">
        <f>IFERROR(__xludf.DUMMYFUNCTION("""COMPUTED_VALUE"""),39056.666666666664)</f>
        <v>39056.66667</v>
      </c>
      <c r="C4798" s="9">
        <f>IFERROR(__xludf.DUMMYFUNCTION("""COMPUTED_VALUE"""),35.45)</f>
        <v>35.45</v>
      </c>
      <c r="E4798" s="17"/>
      <c r="N4798" s="17"/>
      <c r="Q4798" s="17"/>
    </row>
    <row r="4799">
      <c r="B4799" s="11">
        <f>IFERROR(__xludf.DUMMYFUNCTION("""COMPUTED_VALUE"""),39055.666666666664)</f>
        <v>39055.66667</v>
      </c>
      <c r="C4799" s="9">
        <f>IFERROR(__xludf.DUMMYFUNCTION("""COMPUTED_VALUE"""),35.37)</f>
        <v>35.37</v>
      </c>
      <c r="E4799" s="17"/>
      <c r="N4799" s="17"/>
      <c r="Q4799" s="17"/>
    </row>
    <row r="4800">
      <c r="B4800" s="11">
        <f>IFERROR(__xludf.DUMMYFUNCTION("""COMPUTED_VALUE"""),39052.666666666664)</f>
        <v>39052.66667</v>
      </c>
      <c r="C4800" s="9">
        <f>IFERROR(__xludf.DUMMYFUNCTION("""COMPUTED_VALUE"""),34.92)</f>
        <v>34.92</v>
      </c>
      <c r="E4800" s="17"/>
      <c r="N4800" s="17"/>
      <c r="Q4800" s="17"/>
    </row>
    <row r="4801">
      <c r="B4801" s="11">
        <f>IFERROR(__xludf.DUMMYFUNCTION("""COMPUTED_VALUE"""),39051.666666666664)</f>
        <v>39051.66667</v>
      </c>
      <c r="C4801" s="9">
        <f>IFERROR(__xludf.DUMMYFUNCTION("""COMPUTED_VALUE"""),35.12)</f>
        <v>35.12</v>
      </c>
      <c r="E4801" s="17"/>
      <c r="N4801" s="17"/>
      <c r="Q4801" s="17"/>
    </row>
    <row r="4802">
      <c r="B4802" s="11">
        <f>IFERROR(__xludf.DUMMYFUNCTION("""COMPUTED_VALUE"""),39050.666666666664)</f>
        <v>39050.66667</v>
      </c>
      <c r="C4802" s="9">
        <f>IFERROR(__xludf.DUMMYFUNCTION("""COMPUTED_VALUE"""),35.14)</f>
        <v>35.14</v>
      </c>
      <c r="E4802" s="17"/>
      <c r="N4802" s="17"/>
      <c r="Q4802" s="17"/>
    </row>
    <row r="4803">
      <c r="B4803" s="11">
        <f>IFERROR(__xludf.DUMMYFUNCTION("""COMPUTED_VALUE"""),39049.666666666664)</f>
        <v>39049.66667</v>
      </c>
      <c r="C4803" s="9">
        <f>IFERROR(__xludf.DUMMYFUNCTION("""COMPUTED_VALUE"""),34.86)</f>
        <v>34.86</v>
      </c>
      <c r="E4803" s="17"/>
      <c r="N4803" s="17"/>
      <c r="Q4803" s="17"/>
    </row>
    <row r="4804">
      <c r="B4804" s="11">
        <f>IFERROR(__xludf.DUMMYFUNCTION("""COMPUTED_VALUE"""),39048.666666666664)</f>
        <v>39048.66667</v>
      </c>
      <c r="C4804" s="9">
        <f>IFERROR(__xludf.DUMMYFUNCTION("""COMPUTED_VALUE"""),34.9)</f>
        <v>34.9</v>
      </c>
      <c r="E4804" s="17"/>
      <c r="N4804" s="17"/>
      <c r="Q4804" s="17"/>
    </row>
    <row r="4805">
      <c r="B4805" s="11">
        <f>IFERROR(__xludf.DUMMYFUNCTION("""COMPUTED_VALUE"""),39045.666666666664)</f>
        <v>39045.66667</v>
      </c>
      <c r="C4805" s="9">
        <f>IFERROR(__xludf.DUMMYFUNCTION("""COMPUTED_VALUE"""),35.47)</f>
        <v>35.47</v>
      </c>
      <c r="E4805" s="17"/>
      <c r="N4805" s="17"/>
      <c r="Q4805" s="17"/>
    </row>
    <row r="4806">
      <c r="B4806" s="11">
        <f>IFERROR(__xludf.DUMMYFUNCTION("""COMPUTED_VALUE"""),39043.666666666664)</f>
        <v>39043.66667</v>
      </c>
      <c r="C4806" s="9">
        <f>IFERROR(__xludf.DUMMYFUNCTION("""COMPUTED_VALUE"""),35.54)</f>
        <v>35.54</v>
      </c>
      <c r="E4806" s="17"/>
      <c r="N4806" s="17"/>
      <c r="Q4806" s="17"/>
    </row>
    <row r="4807">
      <c r="B4807" s="11">
        <f>IFERROR(__xludf.DUMMYFUNCTION("""COMPUTED_VALUE"""),39042.666666666664)</f>
        <v>39042.66667</v>
      </c>
      <c r="C4807" s="9">
        <f>IFERROR(__xludf.DUMMYFUNCTION("""COMPUTED_VALUE"""),35.4)</f>
        <v>35.4</v>
      </c>
      <c r="E4807" s="17"/>
      <c r="N4807" s="17"/>
      <c r="Q4807" s="17"/>
    </row>
    <row r="4808">
      <c r="B4808" s="11">
        <f>IFERROR(__xludf.DUMMYFUNCTION("""COMPUTED_VALUE"""),39041.666666666664)</f>
        <v>39041.66667</v>
      </c>
      <c r="C4808" s="9">
        <f>IFERROR(__xludf.DUMMYFUNCTION("""COMPUTED_VALUE"""),35.28)</f>
        <v>35.28</v>
      </c>
      <c r="E4808" s="17"/>
      <c r="N4808" s="17"/>
      <c r="Q4808" s="17"/>
    </row>
    <row r="4809">
      <c r="B4809" s="11">
        <f>IFERROR(__xludf.DUMMYFUNCTION("""COMPUTED_VALUE"""),39038.666666666664)</f>
        <v>39038.66667</v>
      </c>
      <c r="C4809" s="9">
        <f>IFERROR(__xludf.DUMMYFUNCTION("""COMPUTED_VALUE"""),35.4)</f>
        <v>35.4</v>
      </c>
      <c r="E4809" s="17"/>
      <c r="N4809" s="17"/>
      <c r="Q4809" s="17"/>
    </row>
    <row r="4810">
      <c r="B4810" s="11">
        <f>IFERROR(__xludf.DUMMYFUNCTION("""COMPUTED_VALUE"""),39037.666666666664)</f>
        <v>39037.66667</v>
      </c>
      <c r="C4810" s="9">
        <f>IFERROR(__xludf.DUMMYFUNCTION("""COMPUTED_VALUE"""),35.38)</f>
        <v>35.38</v>
      </c>
      <c r="E4810" s="17"/>
      <c r="N4810" s="17"/>
      <c r="Q4810" s="17"/>
    </row>
    <row r="4811">
      <c r="B4811" s="11">
        <f>IFERROR(__xludf.DUMMYFUNCTION("""COMPUTED_VALUE"""),39036.666666666664)</f>
        <v>39036.66667</v>
      </c>
      <c r="C4811" s="9">
        <f>IFERROR(__xludf.DUMMYFUNCTION("""COMPUTED_VALUE"""),35.22)</f>
        <v>35.22</v>
      </c>
      <c r="E4811" s="17"/>
      <c r="N4811" s="17"/>
      <c r="Q4811" s="17"/>
    </row>
    <row r="4812">
      <c r="B4812" s="11">
        <f>IFERROR(__xludf.DUMMYFUNCTION("""COMPUTED_VALUE"""),39035.666666666664)</f>
        <v>39035.66667</v>
      </c>
      <c r="C4812" s="9">
        <f>IFERROR(__xludf.DUMMYFUNCTION("""COMPUTED_VALUE"""),34.88)</f>
        <v>34.88</v>
      </c>
      <c r="E4812" s="17"/>
      <c r="N4812" s="17"/>
      <c r="Q4812" s="17"/>
    </row>
    <row r="4813">
      <c r="B4813" s="11">
        <f>IFERROR(__xludf.DUMMYFUNCTION("""COMPUTED_VALUE"""),39034.666666666664)</f>
        <v>39034.66667</v>
      </c>
      <c r="C4813" s="9">
        <f>IFERROR(__xludf.DUMMYFUNCTION("""COMPUTED_VALUE"""),34.77)</f>
        <v>34.77</v>
      </c>
      <c r="E4813" s="17"/>
      <c r="N4813" s="17"/>
      <c r="Q4813" s="17"/>
    </row>
    <row r="4814">
      <c r="B4814" s="11">
        <f>IFERROR(__xludf.DUMMYFUNCTION("""COMPUTED_VALUE"""),39031.666666666664)</f>
        <v>39031.66667</v>
      </c>
      <c r="C4814" s="9">
        <f>IFERROR(__xludf.DUMMYFUNCTION("""COMPUTED_VALUE"""),34.5)</f>
        <v>34.5</v>
      </c>
      <c r="E4814" s="17"/>
      <c r="N4814" s="17"/>
      <c r="Q4814" s="17"/>
    </row>
    <row r="4815">
      <c r="B4815" s="11">
        <f>IFERROR(__xludf.DUMMYFUNCTION("""COMPUTED_VALUE"""),39030.666666666664)</f>
        <v>39030.66667</v>
      </c>
      <c r="C4815" s="9">
        <f>IFERROR(__xludf.DUMMYFUNCTION("""COMPUTED_VALUE"""),34.45)</f>
        <v>34.45</v>
      </c>
      <c r="E4815" s="17"/>
      <c r="N4815" s="17"/>
      <c r="Q4815" s="17"/>
    </row>
    <row r="4816">
      <c r="B4816" s="11">
        <f>IFERROR(__xludf.DUMMYFUNCTION("""COMPUTED_VALUE"""),39029.666666666664)</f>
        <v>39029.66667</v>
      </c>
      <c r="C4816" s="9">
        <f>IFERROR(__xludf.DUMMYFUNCTION("""COMPUTED_VALUE"""),34.66)</f>
        <v>34.66</v>
      </c>
      <c r="E4816" s="17"/>
      <c r="N4816" s="17"/>
      <c r="Q4816" s="17"/>
    </row>
    <row r="4817">
      <c r="B4817" s="11">
        <f>IFERROR(__xludf.DUMMYFUNCTION("""COMPUTED_VALUE"""),39028.666666666664)</f>
        <v>39028.66667</v>
      </c>
      <c r="C4817" s="9">
        <f>IFERROR(__xludf.DUMMYFUNCTION("""COMPUTED_VALUE"""),34.61)</f>
        <v>34.61</v>
      </c>
      <c r="E4817" s="17"/>
      <c r="N4817" s="17"/>
      <c r="Q4817" s="17"/>
    </row>
    <row r="4818">
      <c r="B4818" s="11">
        <f>IFERROR(__xludf.DUMMYFUNCTION("""COMPUTED_VALUE"""),39027.666666666664)</f>
        <v>39027.66667</v>
      </c>
      <c r="C4818" s="9">
        <f>IFERROR(__xludf.DUMMYFUNCTION("""COMPUTED_VALUE"""),34.22)</f>
        <v>34.22</v>
      </c>
      <c r="E4818" s="17"/>
      <c r="N4818" s="17"/>
      <c r="Q4818" s="17"/>
    </row>
    <row r="4819">
      <c r="B4819" s="11">
        <f>IFERROR(__xludf.DUMMYFUNCTION("""COMPUTED_VALUE"""),39024.666666666664)</f>
        <v>39024.66667</v>
      </c>
      <c r="C4819" s="9">
        <f>IFERROR(__xludf.DUMMYFUNCTION("""COMPUTED_VALUE"""),33.92)</f>
        <v>33.92</v>
      </c>
      <c r="E4819" s="17"/>
      <c r="N4819" s="17"/>
      <c r="Q4819" s="17"/>
    </row>
    <row r="4820">
      <c r="B4820" s="11">
        <f>IFERROR(__xludf.DUMMYFUNCTION("""COMPUTED_VALUE"""),39023.666666666664)</f>
        <v>39023.66667</v>
      </c>
      <c r="C4820" s="9">
        <f>IFERROR(__xludf.DUMMYFUNCTION("""COMPUTED_VALUE"""),33.99)</f>
        <v>33.99</v>
      </c>
      <c r="E4820" s="17"/>
      <c r="N4820" s="17"/>
      <c r="Q4820" s="17"/>
    </row>
    <row r="4821">
      <c r="B4821" s="11">
        <f>IFERROR(__xludf.DUMMYFUNCTION("""COMPUTED_VALUE"""),39022.666666666664)</f>
        <v>39022.66667</v>
      </c>
      <c r="C4821" s="9">
        <f>IFERROR(__xludf.DUMMYFUNCTION("""COMPUTED_VALUE"""),34.11)</f>
        <v>34.11</v>
      </c>
      <c r="E4821" s="17"/>
      <c r="N4821" s="17"/>
      <c r="Q4821" s="17"/>
    </row>
    <row r="4822">
      <c r="B4822" s="11">
        <f>IFERROR(__xludf.DUMMYFUNCTION("""COMPUTED_VALUE"""),39021.666666666664)</f>
        <v>39021.66667</v>
      </c>
      <c r="C4822" s="9">
        <f>IFERROR(__xludf.DUMMYFUNCTION("""COMPUTED_VALUE"""),34.28)</f>
        <v>34.28</v>
      </c>
      <c r="E4822" s="17"/>
      <c r="N4822" s="17"/>
      <c r="Q4822" s="17"/>
    </row>
    <row r="4823">
      <c r="B4823" s="11">
        <f>IFERROR(__xludf.DUMMYFUNCTION("""COMPUTED_VALUE"""),39020.666666666664)</f>
        <v>39020.66667</v>
      </c>
      <c r="C4823" s="9">
        <f>IFERROR(__xludf.DUMMYFUNCTION("""COMPUTED_VALUE"""),34.36)</f>
        <v>34.36</v>
      </c>
      <c r="E4823" s="17"/>
      <c r="N4823" s="17"/>
      <c r="Q4823" s="17"/>
    </row>
    <row r="4824">
      <c r="B4824" s="11">
        <f>IFERROR(__xludf.DUMMYFUNCTION("""COMPUTED_VALUE"""),39017.666666666664)</f>
        <v>39017.66667</v>
      </c>
      <c r="C4824" s="9">
        <f>IFERROR(__xludf.DUMMYFUNCTION("""COMPUTED_VALUE"""),34.25)</f>
        <v>34.25</v>
      </c>
      <c r="E4824" s="17"/>
      <c r="N4824" s="17"/>
      <c r="Q4824" s="17"/>
    </row>
    <row r="4825">
      <c r="B4825" s="11">
        <f>IFERROR(__xludf.DUMMYFUNCTION("""COMPUTED_VALUE"""),39016.666666666664)</f>
        <v>39016.66667</v>
      </c>
      <c r="C4825" s="9">
        <f>IFERROR(__xludf.DUMMYFUNCTION("""COMPUTED_VALUE"""),34.5)</f>
        <v>34.5</v>
      </c>
      <c r="E4825" s="17"/>
      <c r="N4825" s="17"/>
      <c r="Q4825" s="17"/>
    </row>
    <row r="4826">
      <c r="B4826" s="11">
        <f>IFERROR(__xludf.DUMMYFUNCTION("""COMPUTED_VALUE"""),39015.666666666664)</f>
        <v>39015.66667</v>
      </c>
      <c r="C4826" s="9">
        <f>IFERROR(__xludf.DUMMYFUNCTION("""COMPUTED_VALUE"""),34.51)</f>
        <v>34.51</v>
      </c>
      <c r="E4826" s="17"/>
      <c r="N4826" s="17"/>
      <c r="Q4826" s="17"/>
    </row>
    <row r="4827">
      <c r="B4827" s="11">
        <f>IFERROR(__xludf.DUMMYFUNCTION("""COMPUTED_VALUE"""),39014.666666666664)</f>
        <v>39014.66667</v>
      </c>
      <c r="C4827" s="9">
        <f>IFERROR(__xludf.DUMMYFUNCTION("""COMPUTED_VALUE"""),34.48)</f>
        <v>34.48</v>
      </c>
      <c r="E4827" s="17"/>
      <c r="N4827" s="17"/>
      <c r="Q4827" s="17"/>
    </row>
    <row r="4828">
      <c r="B4828" s="11">
        <f>IFERROR(__xludf.DUMMYFUNCTION("""COMPUTED_VALUE"""),39013.666666666664)</f>
        <v>39013.66667</v>
      </c>
      <c r="C4828" s="9">
        <f>IFERROR(__xludf.DUMMYFUNCTION("""COMPUTED_VALUE"""),34.46)</f>
        <v>34.46</v>
      </c>
      <c r="E4828" s="17"/>
      <c r="N4828" s="17"/>
      <c r="Q4828" s="17"/>
    </row>
    <row r="4829">
      <c r="B4829" s="11">
        <f>IFERROR(__xludf.DUMMYFUNCTION("""COMPUTED_VALUE"""),39010.666666666664)</f>
        <v>39010.66667</v>
      </c>
      <c r="C4829" s="9">
        <f>IFERROR(__xludf.DUMMYFUNCTION("""COMPUTED_VALUE"""),34.28)</f>
        <v>34.28</v>
      </c>
      <c r="E4829" s="17"/>
      <c r="N4829" s="17"/>
      <c r="Q4829" s="17"/>
    </row>
    <row r="4830">
      <c r="B4830" s="11">
        <f>IFERROR(__xludf.DUMMYFUNCTION("""COMPUTED_VALUE"""),39009.666666666664)</f>
        <v>39009.66667</v>
      </c>
      <c r="C4830" s="9">
        <f>IFERROR(__xludf.DUMMYFUNCTION("""COMPUTED_VALUE"""),34.43)</f>
        <v>34.43</v>
      </c>
      <c r="E4830" s="17"/>
      <c r="N4830" s="17"/>
      <c r="Q4830" s="17"/>
    </row>
    <row r="4831">
      <c r="B4831" s="11">
        <f>IFERROR(__xludf.DUMMYFUNCTION("""COMPUTED_VALUE"""),39008.666666666664)</f>
        <v>39008.66667</v>
      </c>
      <c r="C4831" s="9">
        <f>IFERROR(__xludf.DUMMYFUNCTION("""COMPUTED_VALUE"""),34.51)</f>
        <v>34.51</v>
      </c>
      <c r="E4831" s="17"/>
      <c r="N4831" s="17"/>
      <c r="Q4831" s="17"/>
    </row>
    <row r="4832">
      <c r="B4832" s="11">
        <f>IFERROR(__xludf.DUMMYFUNCTION("""COMPUTED_VALUE"""),39007.666666666664)</f>
        <v>39007.66667</v>
      </c>
      <c r="C4832" s="9">
        <f>IFERROR(__xludf.DUMMYFUNCTION("""COMPUTED_VALUE"""),34.6)</f>
        <v>34.6</v>
      </c>
      <c r="E4832" s="17"/>
      <c r="N4832" s="17"/>
      <c r="Q4832" s="17"/>
    </row>
    <row r="4833">
      <c r="B4833" s="11">
        <f>IFERROR(__xludf.DUMMYFUNCTION("""COMPUTED_VALUE"""),39006.666666666664)</f>
        <v>39006.66667</v>
      </c>
      <c r="C4833" s="9">
        <f>IFERROR(__xludf.DUMMYFUNCTION("""COMPUTED_VALUE"""),34.79)</f>
        <v>34.79</v>
      </c>
      <c r="E4833" s="17"/>
      <c r="N4833" s="17"/>
      <c r="Q4833" s="17"/>
    </row>
    <row r="4834">
      <c r="B4834" s="11">
        <f>IFERROR(__xludf.DUMMYFUNCTION("""COMPUTED_VALUE"""),39003.666666666664)</f>
        <v>39003.66667</v>
      </c>
      <c r="C4834" s="9">
        <f>IFERROR(__xludf.DUMMYFUNCTION("""COMPUTED_VALUE"""),34.56)</f>
        <v>34.56</v>
      </c>
      <c r="E4834" s="17"/>
      <c r="N4834" s="17"/>
      <c r="Q4834" s="17"/>
    </row>
    <row r="4835">
      <c r="B4835" s="11">
        <f>IFERROR(__xludf.DUMMYFUNCTION("""COMPUTED_VALUE"""),39002.666666666664)</f>
        <v>39002.66667</v>
      </c>
      <c r="C4835" s="9">
        <f>IFERROR(__xludf.DUMMYFUNCTION("""COMPUTED_VALUE"""),34.64)</f>
        <v>34.64</v>
      </c>
      <c r="E4835" s="17"/>
      <c r="N4835" s="17"/>
      <c r="Q4835" s="17"/>
    </row>
    <row r="4836">
      <c r="B4836" s="11">
        <f>IFERROR(__xludf.DUMMYFUNCTION("""COMPUTED_VALUE"""),39001.666666666664)</f>
        <v>39001.66667</v>
      </c>
      <c r="C4836" s="9">
        <f>IFERROR(__xludf.DUMMYFUNCTION("""COMPUTED_VALUE"""),34.35)</f>
        <v>34.35</v>
      </c>
      <c r="E4836" s="17"/>
      <c r="N4836" s="17"/>
      <c r="Q4836" s="17"/>
    </row>
    <row r="4837">
      <c r="B4837" s="11">
        <f>IFERROR(__xludf.DUMMYFUNCTION("""COMPUTED_VALUE"""),39000.666666666664)</f>
        <v>39000.66667</v>
      </c>
      <c r="C4837" s="9">
        <f>IFERROR(__xludf.DUMMYFUNCTION("""COMPUTED_VALUE"""),34.34)</f>
        <v>34.34</v>
      </c>
      <c r="E4837" s="17"/>
      <c r="N4837" s="17"/>
      <c r="Q4837" s="17"/>
    </row>
    <row r="4838">
      <c r="B4838" s="11">
        <f>IFERROR(__xludf.DUMMYFUNCTION("""COMPUTED_VALUE"""),38999.666666666664)</f>
        <v>38999.66667</v>
      </c>
      <c r="C4838" s="9">
        <f>IFERROR(__xludf.DUMMYFUNCTION("""COMPUTED_VALUE"""),34.29)</f>
        <v>34.29</v>
      </c>
      <c r="E4838" s="17"/>
      <c r="N4838" s="17"/>
      <c r="Q4838" s="17"/>
    </row>
    <row r="4839">
      <c r="B4839" s="11">
        <f>IFERROR(__xludf.DUMMYFUNCTION("""COMPUTED_VALUE"""),38996.666666666664)</f>
        <v>38996.66667</v>
      </c>
      <c r="C4839" s="9">
        <f>IFERROR(__xludf.DUMMYFUNCTION("""COMPUTED_VALUE"""),34.25)</f>
        <v>34.25</v>
      </c>
      <c r="E4839" s="17"/>
      <c r="N4839" s="17"/>
      <c r="Q4839" s="17"/>
    </row>
    <row r="4840">
      <c r="B4840" s="11">
        <f>IFERROR(__xludf.DUMMYFUNCTION("""COMPUTED_VALUE"""),38995.666666666664)</f>
        <v>38995.66667</v>
      </c>
      <c r="C4840" s="9">
        <f>IFERROR(__xludf.DUMMYFUNCTION("""COMPUTED_VALUE"""),34.32)</f>
        <v>34.32</v>
      </c>
      <c r="E4840" s="17"/>
      <c r="N4840" s="17"/>
      <c r="Q4840" s="17"/>
    </row>
    <row r="4841">
      <c r="B4841" s="11">
        <f>IFERROR(__xludf.DUMMYFUNCTION("""COMPUTED_VALUE"""),38994.666666666664)</f>
        <v>38994.66667</v>
      </c>
      <c r="C4841" s="9">
        <f>IFERROR(__xludf.DUMMYFUNCTION("""COMPUTED_VALUE"""),34.15)</f>
        <v>34.15</v>
      </c>
      <c r="E4841" s="17"/>
      <c r="N4841" s="17"/>
      <c r="Q4841" s="17"/>
    </row>
    <row r="4842">
      <c r="B4842" s="11">
        <f>IFERROR(__xludf.DUMMYFUNCTION("""COMPUTED_VALUE"""),38993.666666666664)</f>
        <v>38993.66667</v>
      </c>
      <c r="C4842" s="9">
        <f>IFERROR(__xludf.DUMMYFUNCTION("""COMPUTED_VALUE"""),33.65)</f>
        <v>33.65</v>
      </c>
      <c r="E4842" s="17"/>
      <c r="N4842" s="17"/>
      <c r="Q4842" s="17"/>
    </row>
    <row r="4843">
      <c r="B4843" s="11">
        <f>IFERROR(__xludf.DUMMYFUNCTION("""COMPUTED_VALUE"""),38992.666666666664)</f>
        <v>38992.66667</v>
      </c>
      <c r="C4843" s="9">
        <f>IFERROR(__xludf.DUMMYFUNCTION("""COMPUTED_VALUE"""),33.44)</f>
        <v>33.44</v>
      </c>
      <c r="E4843" s="17"/>
      <c r="N4843" s="17"/>
      <c r="Q4843" s="17"/>
    </row>
    <row r="4844">
      <c r="B4844" s="11">
        <f>IFERROR(__xludf.DUMMYFUNCTION("""COMPUTED_VALUE"""),38989.666666666664)</f>
        <v>38989.66667</v>
      </c>
      <c r="C4844" s="9">
        <f>IFERROR(__xludf.DUMMYFUNCTION("""COMPUTED_VALUE"""),33.34)</f>
        <v>33.34</v>
      </c>
      <c r="E4844" s="17"/>
      <c r="N4844" s="17"/>
      <c r="Q4844" s="17"/>
    </row>
    <row r="4845">
      <c r="B4845" s="11">
        <f>IFERROR(__xludf.DUMMYFUNCTION("""COMPUTED_VALUE"""),38988.666666666664)</f>
        <v>38988.66667</v>
      </c>
      <c r="C4845" s="9">
        <f>IFERROR(__xludf.DUMMYFUNCTION("""COMPUTED_VALUE"""),33.5)</f>
        <v>33.5</v>
      </c>
      <c r="E4845" s="17"/>
      <c r="N4845" s="17"/>
      <c r="Q4845" s="17"/>
    </row>
    <row r="4846">
      <c r="B4846" s="11">
        <f>IFERROR(__xludf.DUMMYFUNCTION("""COMPUTED_VALUE"""),38987.666666666664)</f>
        <v>38987.66667</v>
      </c>
      <c r="C4846" s="9">
        <f>IFERROR(__xludf.DUMMYFUNCTION("""COMPUTED_VALUE"""),33.27)</f>
        <v>33.27</v>
      </c>
      <c r="E4846" s="17"/>
      <c r="N4846" s="17"/>
      <c r="Q4846" s="17"/>
    </row>
    <row r="4847">
      <c r="B4847" s="11">
        <f>IFERROR(__xludf.DUMMYFUNCTION("""COMPUTED_VALUE"""),38986.666666666664)</f>
        <v>38986.66667</v>
      </c>
      <c r="C4847" s="9">
        <f>IFERROR(__xludf.DUMMYFUNCTION("""COMPUTED_VALUE"""),33.19)</f>
        <v>33.19</v>
      </c>
      <c r="E4847" s="17"/>
      <c r="N4847" s="17"/>
      <c r="Q4847" s="17"/>
    </row>
    <row r="4848">
      <c r="B4848" s="11">
        <f>IFERROR(__xludf.DUMMYFUNCTION("""COMPUTED_VALUE"""),38985.666666666664)</f>
        <v>38985.66667</v>
      </c>
      <c r="C4848" s="9">
        <f>IFERROR(__xludf.DUMMYFUNCTION("""COMPUTED_VALUE"""),32.78)</f>
        <v>32.78</v>
      </c>
      <c r="E4848" s="17"/>
      <c r="N4848" s="17"/>
      <c r="Q4848" s="17"/>
    </row>
    <row r="4849">
      <c r="B4849" s="11">
        <f>IFERROR(__xludf.DUMMYFUNCTION("""COMPUTED_VALUE"""),38982.666666666664)</f>
        <v>38982.66667</v>
      </c>
      <c r="C4849" s="9">
        <f>IFERROR(__xludf.DUMMYFUNCTION("""COMPUTED_VALUE"""),32.39)</f>
        <v>32.39</v>
      </c>
      <c r="E4849" s="17"/>
      <c r="N4849" s="17"/>
      <c r="Q4849" s="17"/>
    </row>
    <row r="4850">
      <c r="B4850" s="11">
        <f>IFERROR(__xludf.DUMMYFUNCTION("""COMPUTED_VALUE"""),38981.666666666664)</f>
        <v>38981.66667</v>
      </c>
      <c r="C4850" s="9">
        <f>IFERROR(__xludf.DUMMYFUNCTION("""COMPUTED_VALUE"""),32.55)</f>
        <v>32.55</v>
      </c>
      <c r="E4850" s="17"/>
      <c r="N4850" s="17"/>
      <c r="Q4850" s="17"/>
    </row>
    <row r="4851">
      <c r="B4851" s="11">
        <f>IFERROR(__xludf.DUMMYFUNCTION("""COMPUTED_VALUE"""),38980.666666666664)</f>
        <v>38980.66667</v>
      </c>
      <c r="C4851" s="9">
        <f>IFERROR(__xludf.DUMMYFUNCTION("""COMPUTED_VALUE"""),32.86)</f>
        <v>32.86</v>
      </c>
      <c r="E4851" s="17"/>
      <c r="N4851" s="17"/>
      <c r="Q4851" s="17"/>
    </row>
    <row r="4852">
      <c r="B4852" s="11">
        <f>IFERROR(__xludf.DUMMYFUNCTION("""COMPUTED_VALUE"""),38979.666666666664)</f>
        <v>38979.66667</v>
      </c>
      <c r="C4852" s="9">
        <f>IFERROR(__xludf.DUMMYFUNCTION("""COMPUTED_VALUE"""),32.68)</f>
        <v>32.68</v>
      </c>
      <c r="E4852" s="17"/>
      <c r="N4852" s="17"/>
      <c r="Q4852" s="17"/>
    </row>
    <row r="4853">
      <c r="B4853" s="11">
        <f>IFERROR(__xludf.DUMMYFUNCTION("""COMPUTED_VALUE"""),38978.666666666664)</f>
        <v>38978.66667</v>
      </c>
      <c r="C4853" s="9">
        <f>IFERROR(__xludf.DUMMYFUNCTION("""COMPUTED_VALUE"""),32.81)</f>
        <v>32.81</v>
      </c>
      <c r="E4853" s="17"/>
      <c r="N4853" s="17"/>
      <c r="Q4853" s="17"/>
    </row>
    <row r="4854">
      <c r="B4854" s="11">
        <f>IFERROR(__xludf.DUMMYFUNCTION("""COMPUTED_VALUE"""),38975.666666666664)</f>
        <v>38975.66667</v>
      </c>
      <c r="C4854" s="9">
        <f>IFERROR(__xludf.DUMMYFUNCTION("""COMPUTED_VALUE"""),32.73)</f>
        <v>32.73</v>
      </c>
      <c r="E4854" s="17"/>
      <c r="N4854" s="17"/>
      <c r="Q4854" s="17"/>
    </row>
    <row r="4855">
      <c r="B4855" s="11">
        <f>IFERROR(__xludf.DUMMYFUNCTION("""COMPUTED_VALUE"""),38974.666666666664)</f>
        <v>38974.66667</v>
      </c>
      <c r="C4855" s="9">
        <f>IFERROR(__xludf.DUMMYFUNCTION("""COMPUTED_VALUE"""),32.7)</f>
        <v>32.7</v>
      </c>
      <c r="E4855" s="17"/>
      <c r="N4855" s="17"/>
      <c r="Q4855" s="17"/>
    </row>
    <row r="4856">
      <c r="B4856" s="11">
        <f>IFERROR(__xludf.DUMMYFUNCTION("""COMPUTED_VALUE"""),38973.666666666664)</f>
        <v>38973.66667</v>
      </c>
      <c r="C4856" s="9">
        <f>IFERROR(__xludf.DUMMYFUNCTION("""COMPUTED_VALUE"""),32.85)</f>
        <v>32.85</v>
      </c>
      <c r="E4856" s="17"/>
      <c r="N4856" s="17"/>
      <c r="Q4856" s="17"/>
    </row>
    <row r="4857">
      <c r="B4857" s="11">
        <f>IFERROR(__xludf.DUMMYFUNCTION("""COMPUTED_VALUE"""),38972.666666666664)</f>
        <v>38972.66667</v>
      </c>
      <c r="C4857" s="9">
        <f>IFERROR(__xludf.DUMMYFUNCTION("""COMPUTED_VALUE"""),32.52)</f>
        <v>32.52</v>
      </c>
      <c r="E4857" s="17"/>
      <c r="N4857" s="17"/>
      <c r="Q4857" s="17"/>
    </row>
    <row r="4858">
      <c r="B4858" s="11">
        <f>IFERROR(__xludf.DUMMYFUNCTION("""COMPUTED_VALUE"""),38971.666666666664)</f>
        <v>38971.66667</v>
      </c>
      <c r="C4858" s="9">
        <f>IFERROR(__xludf.DUMMYFUNCTION("""COMPUTED_VALUE"""),32.22)</f>
        <v>32.22</v>
      </c>
      <c r="E4858" s="17"/>
      <c r="N4858" s="17"/>
      <c r="Q4858" s="17"/>
    </row>
    <row r="4859">
      <c r="B4859" s="11">
        <f>IFERROR(__xludf.DUMMYFUNCTION("""COMPUTED_VALUE"""),38968.666666666664)</f>
        <v>38968.66667</v>
      </c>
      <c r="C4859" s="9">
        <f>IFERROR(__xludf.DUMMYFUNCTION("""COMPUTED_VALUE"""),32.19)</f>
        <v>32.19</v>
      </c>
      <c r="E4859" s="17"/>
      <c r="N4859" s="17"/>
      <c r="Q4859" s="17"/>
    </row>
    <row r="4860">
      <c r="B4860" s="11">
        <f>IFERROR(__xludf.DUMMYFUNCTION("""COMPUTED_VALUE"""),38967.666666666664)</f>
        <v>38967.66667</v>
      </c>
      <c r="C4860" s="9">
        <f>IFERROR(__xludf.DUMMYFUNCTION("""COMPUTED_VALUE"""),32.13)</f>
        <v>32.13</v>
      </c>
      <c r="E4860" s="17"/>
      <c r="N4860" s="17"/>
      <c r="Q4860" s="17"/>
    </row>
    <row r="4861">
      <c r="B4861" s="11">
        <f>IFERROR(__xludf.DUMMYFUNCTION("""COMPUTED_VALUE"""),38966.666666666664)</f>
        <v>38966.66667</v>
      </c>
      <c r="C4861" s="9">
        <f>IFERROR(__xludf.DUMMYFUNCTION("""COMPUTED_VALUE"""),32.21)</f>
        <v>32.21</v>
      </c>
      <c r="E4861" s="17"/>
      <c r="N4861" s="17"/>
      <c r="Q4861" s="17"/>
    </row>
    <row r="4862">
      <c r="B4862" s="11">
        <f>IFERROR(__xludf.DUMMYFUNCTION("""COMPUTED_VALUE"""),38965.666666666664)</f>
        <v>38965.66667</v>
      </c>
      <c r="C4862" s="9">
        <f>IFERROR(__xludf.DUMMYFUNCTION("""COMPUTED_VALUE"""),32.55)</f>
        <v>32.55</v>
      </c>
      <c r="E4862" s="17"/>
      <c r="N4862" s="17"/>
      <c r="Q4862" s="17"/>
    </row>
    <row r="4863">
      <c r="B4863" s="11">
        <f>IFERROR(__xludf.DUMMYFUNCTION("""COMPUTED_VALUE"""),38961.666666666664)</f>
        <v>38961.66667</v>
      </c>
      <c r="C4863" s="9">
        <f>IFERROR(__xludf.DUMMYFUNCTION("""COMPUTED_VALUE"""),32.48)</f>
        <v>32.48</v>
      </c>
      <c r="E4863" s="17"/>
      <c r="N4863" s="17"/>
      <c r="Q4863" s="17"/>
    </row>
    <row r="4864">
      <c r="B4864" s="11">
        <f>IFERROR(__xludf.DUMMYFUNCTION("""COMPUTED_VALUE"""),38960.666666666664)</f>
        <v>38960.66667</v>
      </c>
      <c r="C4864" s="9">
        <f>IFERROR(__xludf.DUMMYFUNCTION("""COMPUTED_VALUE"""),32.25)</f>
        <v>32.25</v>
      </c>
      <c r="E4864" s="17"/>
      <c r="N4864" s="17"/>
      <c r="Q4864" s="17"/>
    </row>
    <row r="4865">
      <c r="B4865" s="11">
        <f>IFERROR(__xludf.DUMMYFUNCTION("""COMPUTED_VALUE"""),38959.666666666664)</f>
        <v>38959.66667</v>
      </c>
      <c r="C4865" s="9">
        <f>IFERROR(__xludf.DUMMYFUNCTION("""COMPUTED_VALUE"""),32.18)</f>
        <v>32.18</v>
      </c>
      <c r="E4865" s="17"/>
      <c r="N4865" s="17"/>
      <c r="Q4865" s="17"/>
    </row>
    <row r="4866">
      <c r="B4866" s="11">
        <f>IFERROR(__xludf.DUMMYFUNCTION("""COMPUTED_VALUE"""),38958.666666666664)</f>
        <v>38958.66667</v>
      </c>
      <c r="C4866" s="9">
        <f>IFERROR(__xludf.DUMMYFUNCTION("""COMPUTED_VALUE"""),32.15)</f>
        <v>32.15</v>
      </c>
      <c r="E4866" s="17"/>
      <c r="N4866" s="17"/>
      <c r="Q4866" s="17"/>
    </row>
    <row r="4867">
      <c r="B4867" s="11">
        <f>IFERROR(__xludf.DUMMYFUNCTION("""COMPUTED_VALUE"""),38957.666666666664)</f>
        <v>38957.66667</v>
      </c>
      <c r="C4867" s="9">
        <f>IFERROR(__xludf.DUMMYFUNCTION("""COMPUTED_VALUE"""),32.07)</f>
        <v>32.07</v>
      </c>
      <c r="E4867" s="17"/>
      <c r="N4867" s="17"/>
      <c r="Q4867" s="17"/>
    </row>
    <row r="4868">
      <c r="B4868" s="11">
        <f>IFERROR(__xludf.DUMMYFUNCTION("""COMPUTED_VALUE"""),38954.666666666664)</f>
        <v>38954.66667</v>
      </c>
      <c r="C4868" s="9">
        <f>IFERROR(__xludf.DUMMYFUNCTION("""COMPUTED_VALUE"""),31.94)</f>
        <v>31.94</v>
      </c>
      <c r="E4868" s="17"/>
      <c r="N4868" s="17"/>
      <c r="Q4868" s="17"/>
    </row>
    <row r="4869">
      <c r="B4869" s="11">
        <f>IFERROR(__xludf.DUMMYFUNCTION("""COMPUTED_VALUE"""),38953.666666666664)</f>
        <v>38953.66667</v>
      </c>
      <c r="C4869" s="9">
        <f>IFERROR(__xludf.DUMMYFUNCTION("""COMPUTED_VALUE"""),31.93)</f>
        <v>31.93</v>
      </c>
      <c r="E4869" s="17"/>
      <c r="N4869" s="17"/>
      <c r="Q4869" s="17"/>
    </row>
    <row r="4870">
      <c r="B4870" s="11">
        <f>IFERROR(__xludf.DUMMYFUNCTION("""COMPUTED_VALUE"""),38952.666666666664)</f>
        <v>38952.66667</v>
      </c>
      <c r="C4870" s="9">
        <f>IFERROR(__xludf.DUMMYFUNCTION("""COMPUTED_VALUE"""),32.1)</f>
        <v>32.1</v>
      </c>
      <c r="E4870" s="17"/>
      <c r="N4870" s="17"/>
      <c r="Q4870" s="17"/>
    </row>
    <row r="4871">
      <c r="B4871" s="11">
        <f>IFERROR(__xludf.DUMMYFUNCTION("""COMPUTED_VALUE"""),38951.666666666664)</f>
        <v>38951.66667</v>
      </c>
      <c r="C4871" s="9">
        <f>IFERROR(__xludf.DUMMYFUNCTION("""COMPUTED_VALUE"""),32.34)</f>
        <v>32.34</v>
      </c>
      <c r="E4871" s="17"/>
      <c r="N4871" s="17"/>
      <c r="Q4871" s="17"/>
    </row>
    <row r="4872">
      <c r="B4872" s="11">
        <f>IFERROR(__xludf.DUMMYFUNCTION("""COMPUTED_VALUE"""),38950.666666666664)</f>
        <v>38950.66667</v>
      </c>
      <c r="C4872" s="9">
        <f>IFERROR(__xludf.DUMMYFUNCTION("""COMPUTED_VALUE"""),32.24)</f>
        <v>32.24</v>
      </c>
      <c r="E4872" s="17"/>
      <c r="N4872" s="17"/>
      <c r="Q4872" s="17"/>
    </row>
    <row r="4873">
      <c r="B4873" s="11">
        <f>IFERROR(__xludf.DUMMYFUNCTION("""COMPUTED_VALUE"""),38947.666666666664)</f>
        <v>38947.66667</v>
      </c>
      <c r="C4873" s="9">
        <f>IFERROR(__xludf.DUMMYFUNCTION("""COMPUTED_VALUE"""),32.53)</f>
        <v>32.53</v>
      </c>
      <c r="E4873" s="17"/>
      <c r="N4873" s="17"/>
      <c r="Q4873" s="17"/>
    </row>
    <row r="4874">
      <c r="B4874" s="11">
        <f>IFERROR(__xludf.DUMMYFUNCTION("""COMPUTED_VALUE"""),38946.666666666664)</f>
        <v>38946.66667</v>
      </c>
      <c r="C4874" s="9">
        <f>IFERROR(__xludf.DUMMYFUNCTION("""COMPUTED_VALUE"""),32.61)</f>
        <v>32.61</v>
      </c>
      <c r="E4874" s="17"/>
      <c r="N4874" s="17"/>
      <c r="Q4874" s="17"/>
    </row>
    <row r="4875">
      <c r="B4875" s="11">
        <f>IFERROR(__xludf.DUMMYFUNCTION("""COMPUTED_VALUE"""),38945.666666666664)</f>
        <v>38945.66667</v>
      </c>
      <c r="C4875" s="9">
        <f>IFERROR(__xludf.DUMMYFUNCTION("""COMPUTED_VALUE"""),32.57)</f>
        <v>32.57</v>
      </c>
      <c r="E4875" s="17"/>
      <c r="N4875" s="17"/>
      <c r="Q4875" s="17"/>
    </row>
    <row r="4876">
      <c r="B4876" s="11">
        <f>IFERROR(__xludf.DUMMYFUNCTION("""COMPUTED_VALUE"""),38944.666666666664)</f>
        <v>38944.66667</v>
      </c>
      <c r="C4876" s="9">
        <f>IFERROR(__xludf.DUMMYFUNCTION("""COMPUTED_VALUE"""),31.86)</f>
        <v>31.86</v>
      </c>
      <c r="E4876" s="17"/>
      <c r="N4876" s="17"/>
      <c r="Q4876" s="17"/>
    </row>
    <row r="4877">
      <c r="B4877" s="11">
        <f>IFERROR(__xludf.DUMMYFUNCTION("""COMPUTED_VALUE"""),38943.666666666664)</f>
        <v>38943.66667</v>
      </c>
      <c r="C4877" s="9">
        <f>IFERROR(__xludf.DUMMYFUNCTION("""COMPUTED_VALUE"""),31.29)</f>
        <v>31.29</v>
      </c>
      <c r="E4877" s="17"/>
      <c r="N4877" s="17"/>
      <c r="Q4877" s="17"/>
    </row>
    <row r="4878">
      <c r="B4878" s="11">
        <f>IFERROR(__xludf.DUMMYFUNCTION("""COMPUTED_VALUE"""),38940.666666666664)</f>
        <v>38940.66667</v>
      </c>
      <c r="C4878" s="9">
        <f>IFERROR(__xludf.DUMMYFUNCTION("""COMPUTED_VALUE"""),31.23)</f>
        <v>31.23</v>
      </c>
      <c r="E4878" s="17"/>
      <c r="N4878" s="17"/>
      <c r="Q4878" s="17"/>
    </row>
    <row r="4879">
      <c r="B4879" s="11">
        <f>IFERROR(__xludf.DUMMYFUNCTION("""COMPUTED_VALUE"""),38939.666666666664)</f>
        <v>38939.66667</v>
      </c>
      <c r="C4879" s="9">
        <f>IFERROR(__xludf.DUMMYFUNCTION("""COMPUTED_VALUE"""),31.41)</f>
        <v>31.41</v>
      </c>
      <c r="E4879" s="17"/>
      <c r="N4879" s="17"/>
      <c r="Q4879" s="17"/>
    </row>
    <row r="4880">
      <c r="B4880" s="11">
        <f>IFERROR(__xludf.DUMMYFUNCTION("""COMPUTED_VALUE"""),38938.666666666664)</f>
        <v>38938.66667</v>
      </c>
      <c r="C4880" s="9">
        <f>IFERROR(__xludf.DUMMYFUNCTION("""COMPUTED_VALUE"""),31.16)</f>
        <v>31.16</v>
      </c>
      <c r="E4880" s="17"/>
      <c r="N4880" s="17"/>
      <c r="Q4880" s="17"/>
    </row>
    <row r="4881">
      <c r="B4881" s="11">
        <f>IFERROR(__xludf.DUMMYFUNCTION("""COMPUTED_VALUE"""),38937.666666666664)</f>
        <v>38937.66667</v>
      </c>
      <c r="C4881" s="9">
        <f>IFERROR(__xludf.DUMMYFUNCTION("""COMPUTED_VALUE"""),31.65)</f>
        <v>31.65</v>
      </c>
      <c r="E4881" s="17"/>
      <c r="N4881" s="17"/>
      <c r="Q4881" s="17"/>
    </row>
    <row r="4882">
      <c r="B4882" s="11">
        <f>IFERROR(__xludf.DUMMYFUNCTION("""COMPUTED_VALUE"""),38936.666666666664)</f>
        <v>38936.66667</v>
      </c>
      <c r="C4882" s="9">
        <f>IFERROR(__xludf.DUMMYFUNCTION("""COMPUTED_VALUE"""),31.93)</f>
        <v>31.93</v>
      </c>
      <c r="E4882" s="17"/>
      <c r="N4882" s="17"/>
      <c r="Q4882" s="17"/>
    </row>
    <row r="4883">
      <c r="B4883" s="11">
        <f>IFERROR(__xludf.DUMMYFUNCTION("""COMPUTED_VALUE"""),38933.666666666664)</f>
        <v>38933.66667</v>
      </c>
      <c r="C4883" s="9">
        <f>IFERROR(__xludf.DUMMYFUNCTION("""COMPUTED_VALUE"""),32.06)</f>
        <v>32.06</v>
      </c>
      <c r="E4883" s="17"/>
      <c r="N4883" s="17"/>
      <c r="Q4883" s="17"/>
    </row>
    <row r="4884">
      <c r="B4884" s="11">
        <f>IFERROR(__xludf.DUMMYFUNCTION("""COMPUTED_VALUE"""),38932.666666666664)</f>
        <v>38932.66667</v>
      </c>
      <c r="C4884" s="9">
        <f>IFERROR(__xludf.DUMMYFUNCTION("""COMPUTED_VALUE"""),32.15)</f>
        <v>32.15</v>
      </c>
      <c r="E4884" s="17"/>
      <c r="N4884" s="17"/>
      <c r="Q4884" s="17"/>
    </row>
    <row r="4885">
      <c r="B4885" s="11">
        <f>IFERROR(__xludf.DUMMYFUNCTION("""COMPUTED_VALUE"""),38931.666666666664)</f>
        <v>38931.66667</v>
      </c>
      <c r="C4885" s="9">
        <f>IFERROR(__xludf.DUMMYFUNCTION("""COMPUTED_VALUE"""),31.89)</f>
        <v>31.89</v>
      </c>
      <c r="E4885" s="17"/>
      <c r="N4885" s="17"/>
      <c r="Q4885" s="17"/>
    </row>
    <row r="4886">
      <c r="B4886" s="11">
        <f>IFERROR(__xludf.DUMMYFUNCTION("""COMPUTED_VALUE"""),38930.666666666664)</f>
        <v>38930.66667</v>
      </c>
      <c r="C4886" s="9">
        <f>IFERROR(__xludf.DUMMYFUNCTION("""COMPUTED_VALUE"""),31.69)</f>
        <v>31.69</v>
      </c>
      <c r="E4886" s="17"/>
      <c r="N4886" s="17"/>
      <c r="Q4886" s="17"/>
    </row>
    <row r="4887">
      <c r="B4887" s="11">
        <f>IFERROR(__xludf.DUMMYFUNCTION("""COMPUTED_VALUE"""),38929.666666666664)</f>
        <v>38929.66667</v>
      </c>
      <c r="C4887" s="9">
        <f>IFERROR(__xludf.DUMMYFUNCTION("""COMPUTED_VALUE"""),31.89)</f>
        <v>31.89</v>
      </c>
      <c r="E4887" s="17"/>
      <c r="N4887" s="17"/>
      <c r="Q4887" s="17"/>
    </row>
    <row r="4888">
      <c r="B4888" s="11">
        <f>IFERROR(__xludf.DUMMYFUNCTION("""COMPUTED_VALUE"""),38926.666666666664)</f>
        <v>38926.66667</v>
      </c>
      <c r="C4888" s="9">
        <f>IFERROR(__xludf.DUMMYFUNCTION("""COMPUTED_VALUE"""),32.02)</f>
        <v>32.02</v>
      </c>
      <c r="E4888" s="17"/>
      <c r="N4888" s="17"/>
      <c r="Q4888" s="17"/>
    </row>
    <row r="4889">
      <c r="B4889" s="11">
        <f>IFERROR(__xludf.DUMMYFUNCTION("""COMPUTED_VALUE"""),38925.666666666664)</f>
        <v>38925.66667</v>
      </c>
      <c r="C4889" s="9">
        <f>IFERROR(__xludf.DUMMYFUNCTION("""COMPUTED_VALUE"""),31.66)</f>
        <v>31.66</v>
      </c>
      <c r="E4889" s="17"/>
      <c r="N4889" s="17"/>
      <c r="Q4889" s="17"/>
    </row>
    <row r="4890">
      <c r="B4890" s="11">
        <f>IFERROR(__xludf.DUMMYFUNCTION("""COMPUTED_VALUE"""),38924.666666666664)</f>
        <v>38924.66667</v>
      </c>
      <c r="C4890" s="9">
        <f>IFERROR(__xludf.DUMMYFUNCTION("""COMPUTED_VALUE"""),31.72)</f>
        <v>31.72</v>
      </c>
      <c r="E4890" s="17"/>
      <c r="N4890" s="17"/>
      <c r="Q4890" s="17"/>
    </row>
    <row r="4891">
      <c r="B4891" s="11">
        <f>IFERROR(__xludf.DUMMYFUNCTION("""COMPUTED_VALUE"""),38923.666666666664)</f>
        <v>38923.66667</v>
      </c>
      <c r="C4891" s="9">
        <f>IFERROR(__xludf.DUMMYFUNCTION("""COMPUTED_VALUE"""),32.13)</f>
        <v>32.13</v>
      </c>
      <c r="E4891" s="17"/>
      <c r="N4891" s="17"/>
      <c r="Q4891" s="17"/>
    </row>
    <row r="4892">
      <c r="B4892" s="11">
        <f>IFERROR(__xludf.DUMMYFUNCTION("""COMPUTED_VALUE"""),38922.666666666664)</f>
        <v>38922.66667</v>
      </c>
      <c r="C4892" s="9">
        <f>IFERROR(__xludf.DUMMYFUNCTION("""COMPUTED_VALUE"""),32.22)</f>
        <v>32.22</v>
      </c>
      <c r="E4892" s="17"/>
      <c r="N4892" s="17"/>
      <c r="Q4892" s="17"/>
    </row>
    <row r="4893">
      <c r="B4893" s="11">
        <f>IFERROR(__xludf.DUMMYFUNCTION("""COMPUTED_VALUE"""),38919.666666666664)</f>
        <v>38919.66667</v>
      </c>
      <c r="C4893" s="9">
        <f>IFERROR(__xludf.DUMMYFUNCTION("""COMPUTED_VALUE"""),31.7)</f>
        <v>31.7</v>
      </c>
      <c r="E4893" s="17"/>
      <c r="N4893" s="17"/>
      <c r="Q4893" s="17"/>
    </row>
    <row r="4894">
      <c r="B4894" s="11">
        <f>IFERROR(__xludf.DUMMYFUNCTION("""COMPUTED_VALUE"""),38918.666666666664)</f>
        <v>38918.66667</v>
      </c>
      <c r="C4894" s="9">
        <f>IFERROR(__xludf.DUMMYFUNCTION("""COMPUTED_VALUE"""),32.02)</f>
        <v>32.02</v>
      </c>
      <c r="E4894" s="17"/>
      <c r="N4894" s="17"/>
      <c r="Q4894" s="17"/>
    </row>
    <row r="4895">
      <c r="B4895" s="11">
        <f>IFERROR(__xludf.DUMMYFUNCTION("""COMPUTED_VALUE"""),38917.666666666664)</f>
        <v>38917.66667</v>
      </c>
      <c r="C4895" s="9">
        <f>IFERROR(__xludf.DUMMYFUNCTION("""COMPUTED_VALUE"""),32.69)</f>
        <v>32.69</v>
      </c>
      <c r="E4895" s="17"/>
      <c r="N4895" s="17"/>
      <c r="Q4895" s="17"/>
    </row>
    <row r="4896">
      <c r="B4896" s="11">
        <f>IFERROR(__xludf.DUMMYFUNCTION("""COMPUTED_VALUE"""),38916.666666666664)</f>
        <v>38916.66667</v>
      </c>
      <c r="C4896" s="9">
        <f>IFERROR(__xludf.DUMMYFUNCTION("""COMPUTED_VALUE"""),32.04)</f>
        <v>32.04</v>
      </c>
      <c r="E4896" s="17"/>
      <c r="N4896" s="17"/>
      <c r="Q4896" s="17"/>
    </row>
    <row r="4897">
      <c r="B4897" s="11">
        <f>IFERROR(__xludf.DUMMYFUNCTION("""COMPUTED_VALUE"""),38915.666666666664)</f>
        <v>38915.66667</v>
      </c>
      <c r="C4897" s="9">
        <f>IFERROR(__xludf.DUMMYFUNCTION("""COMPUTED_VALUE"""),31.89)</f>
        <v>31.89</v>
      </c>
      <c r="E4897" s="17"/>
      <c r="N4897" s="17"/>
      <c r="Q4897" s="17"/>
    </row>
    <row r="4898">
      <c r="B4898" s="11">
        <f>IFERROR(__xludf.DUMMYFUNCTION("""COMPUTED_VALUE"""),38912.666666666664)</f>
        <v>38912.66667</v>
      </c>
      <c r="C4898" s="9">
        <f>IFERROR(__xludf.DUMMYFUNCTION("""COMPUTED_VALUE"""),32.0)</f>
        <v>32</v>
      </c>
      <c r="E4898" s="17"/>
      <c r="N4898" s="17"/>
      <c r="Q4898" s="17"/>
    </row>
    <row r="4899">
      <c r="B4899" s="11">
        <f>IFERROR(__xludf.DUMMYFUNCTION("""COMPUTED_VALUE"""),38911.666666666664)</f>
        <v>38911.66667</v>
      </c>
      <c r="C4899" s="9">
        <f>IFERROR(__xludf.DUMMYFUNCTION("""COMPUTED_VALUE"""),32.46)</f>
        <v>32.46</v>
      </c>
      <c r="E4899" s="17"/>
      <c r="N4899" s="17"/>
      <c r="Q4899" s="17"/>
    </row>
    <row r="4900">
      <c r="B4900" s="11">
        <f>IFERROR(__xludf.DUMMYFUNCTION("""COMPUTED_VALUE"""),38910.666666666664)</f>
        <v>38910.66667</v>
      </c>
      <c r="C4900" s="9">
        <f>IFERROR(__xludf.DUMMYFUNCTION("""COMPUTED_VALUE"""),33.11)</f>
        <v>33.11</v>
      </c>
      <c r="E4900" s="17"/>
      <c r="N4900" s="17"/>
      <c r="Q4900" s="17"/>
    </row>
    <row r="4901">
      <c r="B4901" s="11">
        <f>IFERROR(__xludf.DUMMYFUNCTION("""COMPUTED_VALUE"""),38909.666666666664)</f>
        <v>38909.66667</v>
      </c>
      <c r="C4901" s="9">
        <f>IFERROR(__xludf.DUMMYFUNCTION("""COMPUTED_VALUE"""),33.45)</f>
        <v>33.45</v>
      </c>
      <c r="E4901" s="17"/>
      <c r="N4901" s="17"/>
      <c r="Q4901" s="17"/>
    </row>
    <row r="4902">
      <c r="B4902" s="11">
        <f>IFERROR(__xludf.DUMMYFUNCTION("""COMPUTED_VALUE"""),38908.666666666664)</f>
        <v>38908.66667</v>
      </c>
      <c r="C4902" s="9">
        <f>IFERROR(__xludf.DUMMYFUNCTION("""COMPUTED_VALUE"""),33.36)</f>
        <v>33.36</v>
      </c>
      <c r="E4902" s="17"/>
      <c r="N4902" s="17"/>
      <c r="Q4902" s="17"/>
    </row>
    <row r="4903">
      <c r="B4903" s="11">
        <f>IFERROR(__xludf.DUMMYFUNCTION("""COMPUTED_VALUE"""),38905.666666666664)</f>
        <v>38905.66667</v>
      </c>
      <c r="C4903" s="9">
        <f>IFERROR(__xludf.DUMMYFUNCTION("""COMPUTED_VALUE"""),33.27)</f>
        <v>33.27</v>
      </c>
      <c r="E4903" s="17"/>
      <c r="N4903" s="17"/>
      <c r="Q4903" s="17"/>
    </row>
    <row r="4904">
      <c r="B4904" s="11">
        <f>IFERROR(__xludf.DUMMYFUNCTION("""COMPUTED_VALUE"""),38904.666666666664)</f>
        <v>38904.66667</v>
      </c>
      <c r="C4904" s="9">
        <f>IFERROR(__xludf.DUMMYFUNCTION("""COMPUTED_VALUE"""),33.77)</f>
        <v>33.77</v>
      </c>
      <c r="E4904" s="17"/>
      <c r="N4904" s="17"/>
      <c r="Q4904" s="17"/>
    </row>
    <row r="4905">
      <c r="B4905" s="11">
        <f>IFERROR(__xludf.DUMMYFUNCTION("""COMPUTED_VALUE"""),38903.666666666664)</f>
        <v>38903.66667</v>
      </c>
      <c r="C4905" s="9">
        <f>IFERROR(__xludf.DUMMYFUNCTION("""COMPUTED_VALUE"""),33.68)</f>
        <v>33.68</v>
      </c>
      <c r="E4905" s="17"/>
      <c r="N4905" s="17"/>
      <c r="Q4905" s="17"/>
    </row>
    <row r="4906">
      <c r="B4906" s="11">
        <f>IFERROR(__xludf.DUMMYFUNCTION("""COMPUTED_VALUE"""),38901.666666666664)</f>
        <v>38901.66667</v>
      </c>
      <c r="C4906" s="9">
        <f>IFERROR(__xludf.DUMMYFUNCTION("""COMPUTED_VALUE"""),33.93)</f>
        <v>33.93</v>
      </c>
      <c r="E4906" s="17"/>
      <c r="N4906" s="17"/>
      <c r="Q4906" s="17"/>
    </row>
    <row r="4907">
      <c r="B4907" s="11">
        <f>IFERROR(__xludf.DUMMYFUNCTION("""COMPUTED_VALUE"""),38898.666666666664)</f>
        <v>38898.66667</v>
      </c>
      <c r="C4907" s="9">
        <f>IFERROR(__xludf.DUMMYFUNCTION("""COMPUTED_VALUE"""),33.81)</f>
        <v>33.81</v>
      </c>
      <c r="E4907" s="17"/>
      <c r="N4907" s="17"/>
      <c r="Q4907" s="17"/>
    </row>
    <row r="4908">
      <c r="B4908" s="11">
        <f>IFERROR(__xludf.DUMMYFUNCTION("""COMPUTED_VALUE"""),38897.666666666664)</f>
        <v>38897.66667</v>
      </c>
      <c r="C4908" s="9">
        <f>IFERROR(__xludf.DUMMYFUNCTION("""COMPUTED_VALUE"""),33.82)</f>
        <v>33.82</v>
      </c>
      <c r="E4908" s="17"/>
      <c r="N4908" s="17"/>
      <c r="Q4908" s="17"/>
    </row>
    <row r="4909">
      <c r="B4909" s="11">
        <f>IFERROR(__xludf.DUMMYFUNCTION("""COMPUTED_VALUE"""),38896.666666666664)</f>
        <v>38896.66667</v>
      </c>
      <c r="C4909" s="9">
        <f>IFERROR(__xludf.DUMMYFUNCTION("""COMPUTED_VALUE"""),33.12)</f>
        <v>33.12</v>
      </c>
      <c r="E4909" s="17"/>
      <c r="N4909" s="17"/>
      <c r="Q4909" s="17"/>
    </row>
    <row r="4910">
      <c r="B4910" s="11">
        <f>IFERROR(__xludf.DUMMYFUNCTION("""COMPUTED_VALUE"""),38895.666666666664)</f>
        <v>38895.66667</v>
      </c>
      <c r="C4910" s="9">
        <f>IFERROR(__xludf.DUMMYFUNCTION("""COMPUTED_VALUE"""),33.02)</f>
        <v>33.02</v>
      </c>
      <c r="E4910" s="17"/>
      <c r="N4910" s="17"/>
      <c r="Q4910" s="17"/>
    </row>
    <row r="4911">
      <c r="B4911" s="11">
        <f>IFERROR(__xludf.DUMMYFUNCTION("""COMPUTED_VALUE"""),38894.666666666664)</f>
        <v>38894.66667</v>
      </c>
      <c r="C4911" s="9">
        <f>IFERROR(__xludf.DUMMYFUNCTION("""COMPUTED_VALUE"""),33.33)</f>
        <v>33.33</v>
      </c>
      <c r="E4911" s="17"/>
      <c r="N4911" s="17"/>
      <c r="Q4911" s="17"/>
    </row>
    <row r="4912">
      <c r="B4912" s="11">
        <f>IFERROR(__xludf.DUMMYFUNCTION("""COMPUTED_VALUE"""),38891.666666666664)</f>
        <v>38891.66667</v>
      </c>
      <c r="C4912" s="9">
        <f>IFERROR(__xludf.DUMMYFUNCTION("""COMPUTED_VALUE"""),33.24)</f>
        <v>33.24</v>
      </c>
      <c r="E4912" s="17"/>
      <c r="N4912" s="17"/>
      <c r="Q4912" s="17"/>
    </row>
    <row r="4913">
      <c r="B4913" s="11">
        <f>IFERROR(__xludf.DUMMYFUNCTION("""COMPUTED_VALUE"""),38890.666666666664)</f>
        <v>38890.66667</v>
      </c>
      <c r="C4913" s="9">
        <f>IFERROR(__xludf.DUMMYFUNCTION("""COMPUTED_VALUE"""),33.15)</f>
        <v>33.15</v>
      </c>
      <c r="E4913" s="17"/>
      <c r="N4913" s="17"/>
      <c r="Q4913" s="17"/>
    </row>
    <row r="4914">
      <c r="B4914" s="11">
        <f>IFERROR(__xludf.DUMMYFUNCTION("""COMPUTED_VALUE"""),38889.666666666664)</f>
        <v>38889.66667</v>
      </c>
      <c r="C4914" s="9">
        <f>IFERROR(__xludf.DUMMYFUNCTION("""COMPUTED_VALUE"""),33.35)</f>
        <v>33.35</v>
      </c>
      <c r="E4914" s="17"/>
      <c r="N4914" s="17"/>
      <c r="Q4914" s="17"/>
    </row>
    <row r="4915">
      <c r="B4915" s="11">
        <f>IFERROR(__xludf.DUMMYFUNCTION("""COMPUTED_VALUE"""),38888.666666666664)</f>
        <v>38888.66667</v>
      </c>
      <c r="C4915" s="9">
        <f>IFERROR(__xludf.DUMMYFUNCTION("""COMPUTED_VALUE"""),32.96)</f>
        <v>32.96</v>
      </c>
      <c r="E4915" s="17"/>
      <c r="N4915" s="17"/>
      <c r="Q4915" s="17"/>
    </row>
    <row r="4916">
      <c r="B4916" s="11">
        <f>IFERROR(__xludf.DUMMYFUNCTION("""COMPUTED_VALUE"""),38887.666666666664)</f>
        <v>38887.66667</v>
      </c>
      <c r="C4916" s="9">
        <f>IFERROR(__xludf.DUMMYFUNCTION("""COMPUTED_VALUE"""),33.0)</f>
        <v>33</v>
      </c>
      <c r="E4916" s="17"/>
      <c r="N4916" s="17"/>
      <c r="Q4916" s="17"/>
    </row>
    <row r="4917">
      <c r="B4917" s="11">
        <f>IFERROR(__xludf.DUMMYFUNCTION("""COMPUTED_VALUE"""),38884.666666666664)</f>
        <v>38884.66667</v>
      </c>
      <c r="C4917" s="9">
        <f>IFERROR(__xludf.DUMMYFUNCTION("""COMPUTED_VALUE"""),33.26)</f>
        <v>33.26</v>
      </c>
      <c r="E4917" s="17"/>
      <c r="N4917" s="17"/>
      <c r="Q4917" s="17"/>
    </row>
    <row r="4918">
      <c r="B4918" s="11">
        <f>IFERROR(__xludf.DUMMYFUNCTION("""COMPUTED_VALUE"""),38883.666666666664)</f>
        <v>38883.66667</v>
      </c>
      <c r="C4918" s="9">
        <f>IFERROR(__xludf.DUMMYFUNCTION("""COMPUTED_VALUE"""),33.35)</f>
        <v>33.35</v>
      </c>
      <c r="E4918" s="17"/>
      <c r="N4918" s="17"/>
      <c r="Q4918" s="17"/>
    </row>
    <row r="4919">
      <c r="B4919" s="11">
        <f>IFERROR(__xludf.DUMMYFUNCTION("""COMPUTED_VALUE"""),38882.666666666664)</f>
        <v>38882.66667</v>
      </c>
      <c r="C4919" s="9">
        <f>IFERROR(__xludf.DUMMYFUNCTION("""COMPUTED_VALUE"""),32.61)</f>
        <v>32.61</v>
      </c>
      <c r="E4919" s="17"/>
      <c r="N4919" s="17"/>
      <c r="Q4919" s="17"/>
    </row>
    <row r="4920">
      <c r="B4920" s="11">
        <f>IFERROR(__xludf.DUMMYFUNCTION("""COMPUTED_VALUE"""),38881.666666666664)</f>
        <v>38881.66667</v>
      </c>
      <c r="C4920" s="9">
        <f>IFERROR(__xludf.DUMMYFUNCTION("""COMPUTED_VALUE"""),32.33)</f>
        <v>32.33</v>
      </c>
      <c r="E4920" s="17"/>
      <c r="N4920" s="17"/>
      <c r="Q4920" s="17"/>
    </row>
    <row r="4921">
      <c r="B4921" s="11">
        <f>IFERROR(__xludf.DUMMYFUNCTION("""COMPUTED_VALUE"""),38880.666666666664)</f>
        <v>38880.66667</v>
      </c>
      <c r="C4921" s="9">
        <f>IFERROR(__xludf.DUMMYFUNCTION("""COMPUTED_VALUE"""),32.43)</f>
        <v>32.43</v>
      </c>
      <c r="E4921" s="17"/>
      <c r="N4921" s="17"/>
      <c r="Q4921" s="17"/>
    </row>
    <row r="4922">
      <c r="B4922" s="11">
        <f>IFERROR(__xludf.DUMMYFUNCTION("""COMPUTED_VALUE"""),38877.666666666664)</f>
        <v>38877.66667</v>
      </c>
      <c r="C4922" s="9">
        <f>IFERROR(__xludf.DUMMYFUNCTION("""COMPUTED_VALUE"""),32.84)</f>
        <v>32.84</v>
      </c>
      <c r="E4922" s="17"/>
      <c r="N4922" s="17"/>
      <c r="Q4922" s="17"/>
    </row>
    <row r="4923">
      <c r="B4923" s="11">
        <f>IFERROR(__xludf.DUMMYFUNCTION("""COMPUTED_VALUE"""),38876.666666666664)</f>
        <v>38876.66667</v>
      </c>
      <c r="C4923" s="9">
        <f>IFERROR(__xludf.DUMMYFUNCTION("""COMPUTED_VALUE"""),33.12)</f>
        <v>33.12</v>
      </c>
      <c r="E4923" s="17"/>
      <c r="N4923" s="17"/>
      <c r="Q4923" s="17"/>
    </row>
    <row r="4924">
      <c r="B4924" s="11">
        <f>IFERROR(__xludf.DUMMYFUNCTION("""COMPUTED_VALUE"""),38875.666666666664)</f>
        <v>38875.66667</v>
      </c>
      <c r="C4924" s="9">
        <f>IFERROR(__xludf.DUMMYFUNCTION("""COMPUTED_VALUE"""),33.1)</f>
        <v>33.1</v>
      </c>
      <c r="E4924" s="17"/>
      <c r="N4924" s="17"/>
      <c r="Q4924" s="17"/>
    </row>
    <row r="4925">
      <c r="B4925" s="11">
        <f>IFERROR(__xludf.DUMMYFUNCTION("""COMPUTED_VALUE"""),38874.666666666664)</f>
        <v>38874.66667</v>
      </c>
      <c r="C4925" s="9">
        <f>IFERROR(__xludf.DUMMYFUNCTION("""COMPUTED_VALUE"""),33.47)</f>
        <v>33.47</v>
      </c>
      <c r="E4925" s="17"/>
      <c r="N4925" s="17"/>
      <c r="Q4925" s="17"/>
    </row>
    <row r="4926">
      <c r="B4926" s="11">
        <f>IFERROR(__xludf.DUMMYFUNCTION("""COMPUTED_VALUE"""),38873.666666666664)</f>
        <v>38873.66667</v>
      </c>
      <c r="C4926" s="9">
        <f>IFERROR(__xludf.DUMMYFUNCTION("""COMPUTED_VALUE"""),33.6)</f>
        <v>33.6</v>
      </c>
      <c r="E4926" s="17"/>
      <c r="N4926" s="17"/>
      <c r="Q4926" s="17"/>
    </row>
    <row r="4927">
      <c r="B4927" s="11">
        <f>IFERROR(__xludf.DUMMYFUNCTION("""COMPUTED_VALUE"""),38870.666666666664)</f>
        <v>38870.66667</v>
      </c>
      <c r="C4927" s="9">
        <f>IFERROR(__xludf.DUMMYFUNCTION("""COMPUTED_VALUE"""),34.34)</f>
        <v>34.34</v>
      </c>
      <c r="E4927" s="17"/>
      <c r="N4927" s="17"/>
      <c r="Q4927" s="17"/>
    </row>
    <row r="4928">
      <c r="B4928" s="11">
        <f>IFERROR(__xludf.DUMMYFUNCTION("""COMPUTED_VALUE"""),38869.666666666664)</f>
        <v>38869.66667</v>
      </c>
      <c r="C4928" s="9">
        <f>IFERROR(__xludf.DUMMYFUNCTION("""COMPUTED_VALUE"""),34.29)</f>
        <v>34.29</v>
      </c>
      <c r="E4928" s="17"/>
      <c r="N4928" s="17"/>
      <c r="Q4928" s="17"/>
    </row>
    <row r="4929">
      <c r="B4929" s="11">
        <f>IFERROR(__xludf.DUMMYFUNCTION("""COMPUTED_VALUE"""),38868.666666666664)</f>
        <v>38868.66667</v>
      </c>
      <c r="C4929" s="9">
        <f>IFERROR(__xludf.DUMMYFUNCTION("""COMPUTED_VALUE"""),33.94)</f>
        <v>33.94</v>
      </c>
      <c r="E4929" s="17"/>
      <c r="N4929" s="17"/>
      <c r="Q4929" s="17"/>
    </row>
    <row r="4930">
      <c r="B4930" s="11">
        <f>IFERROR(__xludf.DUMMYFUNCTION("""COMPUTED_VALUE"""),38867.666666666664)</f>
        <v>38867.66667</v>
      </c>
      <c r="C4930" s="9">
        <f>IFERROR(__xludf.DUMMYFUNCTION("""COMPUTED_VALUE"""),33.7)</f>
        <v>33.7</v>
      </c>
      <c r="E4930" s="17"/>
      <c r="N4930" s="17"/>
      <c r="Q4930" s="17"/>
    </row>
    <row r="4931">
      <c r="B4931" s="11">
        <f>IFERROR(__xludf.DUMMYFUNCTION("""COMPUTED_VALUE"""),38863.666666666664)</f>
        <v>38863.66667</v>
      </c>
      <c r="C4931" s="9">
        <f>IFERROR(__xludf.DUMMYFUNCTION("""COMPUTED_VALUE"""),34.14)</f>
        <v>34.14</v>
      </c>
      <c r="E4931" s="17"/>
      <c r="N4931" s="17"/>
      <c r="Q4931" s="17"/>
    </row>
    <row r="4932">
      <c r="B4932" s="11">
        <f>IFERROR(__xludf.DUMMYFUNCTION("""COMPUTED_VALUE"""),38862.666666666664)</f>
        <v>38862.66667</v>
      </c>
      <c r="C4932" s="9">
        <f>IFERROR(__xludf.DUMMYFUNCTION("""COMPUTED_VALUE"""),33.95)</f>
        <v>33.95</v>
      </c>
      <c r="E4932" s="17"/>
      <c r="N4932" s="17"/>
      <c r="Q4932" s="17"/>
    </row>
    <row r="4933">
      <c r="B4933" s="11">
        <f>IFERROR(__xludf.DUMMYFUNCTION("""COMPUTED_VALUE"""),38861.666666666664)</f>
        <v>38861.66667</v>
      </c>
      <c r="C4933" s="9">
        <f>IFERROR(__xludf.DUMMYFUNCTION("""COMPUTED_VALUE"""),33.72)</f>
        <v>33.72</v>
      </c>
      <c r="E4933" s="17"/>
      <c r="N4933" s="17"/>
      <c r="Q4933" s="17"/>
    </row>
    <row r="4934">
      <c r="B4934" s="11">
        <f>IFERROR(__xludf.DUMMYFUNCTION("""COMPUTED_VALUE"""),38860.666666666664)</f>
        <v>38860.66667</v>
      </c>
      <c r="C4934" s="9">
        <f>IFERROR(__xludf.DUMMYFUNCTION("""COMPUTED_VALUE"""),33.81)</f>
        <v>33.81</v>
      </c>
      <c r="E4934" s="17"/>
      <c r="N4934" s="17"/>
      <c r="Q4934" s="17"/>
    </row>
    <row r="4935">
      <c r="B4935" s="11">
        <f>IFERROR(__xludf.DUMMYFUNCTION("""COMPUTED_VALUE"""),38859.666666666664)</f>
        <v>38859.66667</v>
      </c>
      <c r="C4935" s="9">
        <f>IFERROR(__xludf.DUMMYFUNCTION("""COMPUTED_VALUE"""),33.97)</f>
        <v>33.97</v>
      </c>
      <c r="E4935" s="17"/>
      <c r="N4935" s="17"/>
      <c r="Q4935" s="17"/>
    </row>
    <row r="4936">
      <c r="B4936" s="11">
        <f>IFERROR(__xludf.DUMMYFUNCTION("""COMPUTED_VALUE"""),38856.666666666664)</f>
        <v>38856.66667</v>
      </c>
      <c r="C4936" s="9">
        <f>IFERROR(__xludf.DUMMYFUNCTION("""COMPUTED_VALUE"""),34.04)</f>
        <v>34.04</v>
      </c>
      <c r="E4936" s="17"/>
      <c r="N4936" s="17"/>
      <c r="Q4936" s="17"/>
    </row>
    <row r="4937">
      <c r="B4937" s="11">
        <f>IFERROR(__xludf.DUMMYFUNCTION("""COMPUTED_VALUE"""),38855.666666666664)</f>
        <v>38855.66667</v>
      </c>
      <c r="C4937" s="9">
        <f>IFERROR(__xludf.DUMMYFUNCTION("""COMPUTED_VALUE"""),33.93)</f>
        <v>33.93</v>
      </c>
      <c r="E4937" s="17"/>
      <c r="N4937" s="17"/>
      <c r="Q4937" s="17"/>
    </row>
    <row r="4938">
      <c r="B4938" s="11">
        <f>IFERROR(__xludf.DUMMYFUNCTION("""COMPUTED_VALUE"""),38854.666666666664)</f>
        <v>38854.66667</v>
      </c>
      <c r="C4938" s="9">
        <f>IFERROR(__xludf.DUMMYFUNCTION("""COMPUTED_VALUE"""),34.21)</f>
        <v>34.21</v>
      </c>
      <c r="E4938" s="17"/>
      <c r="N4938" s="17"/>
      <c r="Q4938" s="17"/>
    </row>
    <row r="4939">
      <c r="B4939" s="11">
        <f>IFERROR(__xludf.DUMMYFUNCTION("""COMPUTED_VALUE"""),38853.666666666664)</f>
        <v>38853.66667</v>
      </c>
      <c r="C4939" s="9">
        <f>IFERROR(__xludf.DUMMYFUNCTION("""COMPUTED_VALUE"""),34.93)</f>
        <v>34.93</v>
      </c>
      <c r="E4939" s="17"/>
      <c r="N4939" s="17"/>
      <c r="Q4939" s="17"/>
    </row>
    <row r="4940">
      <c r="B4940" s="11">
        <f>IFERROR(__xludf.DUMMYFUNCTION("""COMPUTED_VALUE"""),38852.666666666664)</f>
        <v>38852.66667</v>
      </c>
      <c r="C4940" s="9">
        <f>IFERROR(__xludf.DUMMYFUNCTION("""COMPUTED_VALUE"""),34.94)</f>
        <v>34.94</v>
      </c>
      <c r="E4940" s="17"/>
      <c r="N4940" s="17"/>
      <c r="Q4940" s="17"/>
    </row>
    <row r="4941">
      <c r="B4941" s="11">
        <f>IFERROR(__xludf.DUMMYFUNCTION("""COMPUTED_VALUE"""),38849.666666666664)</f>
        <v>38849.66667</v>
      </c>
      <c r="C4941" s="9">
        <f>IFERROR(__xludf.DUMMYFUNCTION("""COMPUTED_VALUE"""),34.93)</f>
        <v>34.93</v>
      </c>
      <c r="E4941" s="17"/>
      <c r="N4941" s="17"/>
      <c r="Q4941" s="17"/>
    </row>
    <row r="4942">
      <c r="B4942" s="11">
        <f>IFERROR(__xludf.DUMMYFUNCTION("""COMPUTED_VALUE"""),38848.666666666664)</f>
        <v>38848.66667</v>
      </c>
      <c r="C4942" s="9">
        <f>IFERROR(__xludf.DUMMYFUNCTION("""COMPUTED_VALUE"""),35.49)</f>
        <v>35.49</v>
      </c>
      <c r="E4942" s="17"/>
      <c r="N4942" s="17"/>
      <c r="Q4942" s="17"/>
    </row>
    <row r="4943">
      <c r="B4943" s="11">
        <f>IFERROR(__xludf.DUMMYFUNCTION("""COMPUTED_VALUE"""),38847.666666666664)</f>
        <v>38847.66667</v>
      </c>
      <c r="C4943" s="9">
        <f>IFERROR(__xludf.DUMMYFUNCTION("""COMPUTED_VALUE"""),35.67)</f>
        <v>35.67</v>
      </c>
      <c r="E4943" s="17"/>
      <c r="N4943" s="17"/>
      <c r="Q4943" s="17"/>
    </row>
    <row r="4944">
      <c r="B4944" s="11">
        <f>IFERROR(__xludf.DUMMYFUNCTION("""COMPUTED_VALUE"""),38846.666666666664)</f>
        <v>38846.66667</v>
      </c>
      <c r="C4944" s="9">
        <f>IFERROR(__xludf.DUMMYFUNCTION("""COMPUTED_VALUE"""),35.65)</f>
        <v>35.65</v>
      </c>
      <c r="E4944" s="17"/>
      <c r="N4944" s="17"/>
      <c r="Q4944" s="17"/>
    </row>
    <row r="4945">
      <c r="B4945" s="11">
        <f>IFERROR(__xludf.DUMMYFUNCTION("""COMPUTED_VALUE"""),38845.666666666664)</f>
        <v>38845.66667</v>
      </c>
      <c r="C4945" s="9">
        <f>IFERROR(__xludf.DUMMYFUNCTION("""COMPUTED_VALUE"""),35.65)</f>
        <v>35.65</v>
      </c>
      <c r="E4945" s="17"/>
      <c r="N4945" s="17"/>
      <c r="Q4945" s="17"/>
    </row>
    <row r="4946">
      <c r="B4946" s="11">
        <f>IFERROR(__xludf.DUMMYFUNCTION("""COMPUTED_VALUE"""),38842.666666666664)</f>
        <v>38842.66667</v>
      </c>
      <c r="C4946" s="9">
        <f>IFERROR(__xludf.DUMMYFUNCTION("""COMPUTED_VALUE"""),35.68)</f>
        <v>35.68</v>
      </c>
      <c r="E4946" s="17"/>
      <c r="N4946" s="17"/>
      <c r="Q4946" s="17"/>
    </row>
    <row r="4947">
      <c r="B4947" s="11">
        <f>IFERROR(__xludf.DUMMYFUNCTION("""COMPUTED_VALUE"""),38841.666666666664)</f>
        <v>38841.66667</v>
      </c>
      <c r="C4947" s="9">
        <f>IFERROR(__xludf.DUMMYFUNCTION("""COMPUTED_VALUE"""),35.33)</f>
        <v>35.33</v>
      </c>
      <c r="E4947" s="17"/>
      <c r="N4947" s="17"/>
      <c r="Q4947" s="17"/>
    </row>
    <row r="4948">
      <c r="B4948" s="11">
        <f>IFERROR(__xludf.DUMMYFUNCTION("""COMPUTED_VALUE"""),38840.666666666664)</f>
        <v>38840.66667</v>
      </c>
      <c r="C4948" s="9">
        <f>IFERROR(__xludf.DUMMYFUNCTION("""COMPUTED_VALUE"""),34.91)</f>
        <v>34.91</v>
      </c>
      <c r="E4948" s="17"/>
      <c r="N4948" s="17"/>
      <c r="Q4948" s="17"/>
    </row>
    <row r="4949">
      <c r="B4949" s="11">
        <f>IFERROR(__xludf.DUMMYFUNCTION("""COMPUTED_VALUE"""),38839.666666666664)</f>
        <v>38839.66667</v>
      </c>
      <c r="C4949" s="9">
        <f>IFERROR(__xludf.DUMMYFUNCTION("""COMPUTED_VALUE"""),34.9)</f>
        <v>34.9</v>
      </c>
      <c r="E4949" s="17"/>
      <c r="N4949" s="17"/>
      <c r="Q4949" s="17"/>
    </row>
    <row r="4950">
      <c r="B4950" s="11">
        <f>IFERROR(__xludf.DUMMYFUNCTION("""COMPUTED_VALUE"""),38838.666666666664)</f>
        <v>38838.66667</v>
      </c>
      <c r="C4950" s="9">
        <f>IFERROR(__xludf.DUMMYFUNCTION("""COMPUTED_VALUE"""),34.62)</f>
        <v>34.62</v>
      </c>
      <c r="E4950" s="17"/>
      <c r="N4950" s="17"/>
      <c r="Q4950" s="17"/>
    </row>
    <row r="4951">
      <c r="B4951" s="11"/>
      <c r="E4951" s="17"/>
      <c r="N4951" s="17"/>
      <c r="Q4951" s="17"/>
    </row>
    <row r="4952">
      <c r="B4952" s="11"/>
      <c r="E4952" s="17"/>
      <c r="N4952" s="17"/>
      <c r="Q4952" s="17"/>
    </row>
    <row r="4953">
      <c r="B4953" s="11"/>
      <c r="E4953" s="17"/>
      <c r="N4953" s="17"/>
      <c r="Q4953" s="17"/>
    </row>
    <row r="4954">
      <c r="B4954" s="11"/>
      <c r="E4954" s="17"/>
      <c r="N4954" s="17"/>
      <c r="Q4954" s="17"/>
    </row>
    <row r="4955">
      <c r="B4955" s="11"/>
      <c r="E4955" s="17"/>
      <c r="N4955" s="17"/>
      <c r="Q4955" s="17"/>
    </row>
    <row r="4956">
      <c r="B4956" s="11"/>
      <c r="E4956" s="17"/>
      <c r="N4956" s="17"/>
      <c r="Q4956" s="17"/>
    </row>
    <row r="4957">
      <c r="B4957" s="11"/>
      <c r="E4957" s="17"/>
      <c r="N4957" s="17"/>
      <c r="Q4957" s="17"/>
    </row>
    <row r="4958">
      <c r="B4958" s="11"/>
      <c r="E4958" s="17"/>
      <c r="N4958" s="17"/>
      <c r="Q4958" s="17"/>
    </row>
    <row r="4959">
      <c r="B4959" s="11"/>
      <c r="E4959" s="17"/>
      <c r="N4959" s="17"/>
      <c r="Q4959" s="17"/>
    </row>
    <row r="4960">
      <c r="B4960" s="11"/>
      <c r="E4960" s="17"/>
      <c r="N4960" s="17"/>
      <c r="Q4960" s="17"/>
    </row>
    <row r="4961">
      <c r="B4961" s="11"/>
      <c r="E4961" s="17"/>
      <c r="N4961" s="17"/>
      <c r="Q4961" s="17"/>
    </row>
    <row r="4962">
      <c r="B4962" s="11"/>
      <c r="E4962" s="17"/>
      <c r="N4962" s="17"/>
      <c r="Q4962" s="17"/>
    </row>
    <row r="4963">
      <c r="B4963" s="11"/>
      <c r="E4963" s="17"/>
      <c r="N4963" s="17"/>
      <c r="Q4963" s="17"/>
    </row>
    <row r="4964">
      <c r="B4964" s="11"/>
      <c r="E4964" s="17"/>
      <c r="N4964" s="17"/>
      <c r="Q4964" s="17"/>
    </row>
    <row r="4965">
      <c r="B4965" s="11"/>
      <c r="E4965" s="17"/>
      <c r="N4965" s="17"/>
      <c r="Q4965" s="17"/>
    </row>
    <row r="4966">
      <c r="B4966" s="11"/>
      <c r="E4966" s="17"/>
      <c r="N4966" s="17"/>
      <c r="Q4966" s="17"/>
    </row>
    <row r="4967">
      <c r="B4967" s="11"/>
      <c r="E4967" s="17"/>
      <c r="N4967" s="17"/>
      <c r="Q4967" s="17"/>
    </row>
    <row r="4968">
      <c r="B4968" s="11"/>
      <c r="E4968" s="17"/>
      <c r="N4968" s="17"/>
      <c r="Q4968" s="17"/>
    </row>
    <row r="4969">
      <c r="B4969" s="11"/>
      <c r="E4969" s="17"/>
      <c r="N4969" s="17"/>
      <c r="Q4969" s="17"/>
    </row>
    <row r="4970">
      <c r="B4970" s="11"/>
      <c r="E4970" s="17"/>
      <c r="N4970" s="17"/>
      <c r="Q4970" s="17"/>
    </row>
    <row r="4971">
      <c r="B4971" s="11"/>
      <c r="E4971" s="17"/>
      <c r="N4971" s="17"/>
      <c r="Q4971" s="17"/>
    </row>
    <row r="4972">
      <c r="B4972" s="11"/>
      <c r="E4972" s="17"/>
      <c r="N4972" s="17"/>
      <c r="Q4972" s="17"/>
    </row>
    <row r="4973">
      <c r="B4973" s="11"/>
      <c r="E4973" s="17"/>
      <c r="N4973" s="17"/>
      <c r="Q4973" s="17"/>
    </row>
    <row r="4974">
      <c r="B4974" s="11"/>
      <c r="E4974" s="17"/>
      <c r="N4974" s="17"/>
      <c r="Q4974" s="17"/>
    </row>
    <row r="4975">
      <c r="B4975" s="11"/>
      <c r="E4975" s="17"/>
      <c r="N4975" s="17"/>
      <c r="Q4975" s="17"/>
    </row>
    <row r="4976">
      <c r="B4976" s="11"/>
      <c r="E4976" s="17"/>
      <c r="N4976" s="17"/>
      <c r="Q4976" s="17"/>
    </row>
    <row r="4977">
      <c r="B4977" s="11"/>
      <c r="E4977" s="17"/>
      <c r="N4977" s="17"/>
      <c r="Q4977" s="17"/>
    </row>
    <row r="4978">
      <c r="B4978" s="11"/>
      <c r="E4978" s="17"/>
      <c r="N4978" s="17"/>
      <c r="Q4978" s="17"/>
    </row>
    <row r="4979">
      <c r="B4979" s="11"/>
      <c r="E4979" s="17"/>
      <c r="N4979" s="17"/>
      <c r="Q4979" s="17"/>
    </row>
    <row r="4980">
      <c r="B4980" s="11"/>
      <c r="E4980" s="17"/>
      <c r="N4980" s="17"/>
      <c r="Q4980" s="17"/>
    </row>
    <row r="4981">
      <c r="B4981" s="11"/>
      <c r="E4981" s="17"/>
      <c r="N4981" s="17"/>
      <c r="Q4981" s="17"/>
    </row>
    <row r="4982">
      <c r="B4982" s="11"/>
      <c r="E4982" s="17"/>
      <c r="N4982" s="17"/>
      <c r="Q4982" s="17"/>
    </row>
    <row r="4983">
      <c r="B4983" s="11"/>
      <c r="E4983" s="17"/>
      <c r="N4983" s="17"/>
      <c r="Q4983" s="17"/>
    </row>
    <row r="4984">
      <c r="B4984" s="11"/>
      <c r="E4984" s="17"/>
      <c r="N4984" s="17"/>
      <c r="Q4984" s="17"/>
    </row>
    <row r="4985">
      <c r="B4985" s="11"/>
      <c r="E4985" s="17"/>
      <c r="N4985" s="17"/>
      <c r="Q4985" s="17"/>
    </row>
    <row r="4986">
      <c r="B4986" s="11"/>
      <c r="E4986" s="17"/>
      <c r="N4986" s="17"/>
      <c r="Q4986" s="17"/>
    </row>
    <row r="4987">
      <c r="B4987" s="11"/>
      <c r="E4987" s="17"/>
      <c r="N4987" s="17"/>
      <c r="Q4987" s="17"/>
    </row>
    <row r="4988">
      <c r="B4988" s="11"/>
      <c r="E4988" s="17"/>
      <c r="N4988" s="17"/>
      <c r="Q4988" s="17"/>
    </row>
    <row r="4989">
      <c r="B4989" s="11"/>
      <c r="E4989" s="17"/>
      <c r="N4989" s="17"/>
      <c r="Q4989" s="17"/>
    </row>
    <row r="4990">
      <c r="B4990" s="11"/>
      <c r="E4990" s="17"/>
      <c r="N4990" s="17"/>
      <c r="Q4990" s="17"/>
    </row>
    <row r="4991">
      <c r="B4991" s="11"/>
      <c r="E4991" s="17"/>
      <c r="N4991" s="17"/>
      <c r="Q4991" s="17"/>
    </row>
    <row r="4992">
      <c r="B4992" s="11"/>
      <c r="E4992" s="17"/>
      <c r="N4992" s="17"/>
      <c r="Q4992" s="17"/>
    </row>
    <row r="4993">
      <c r="B4993" s="11"/>
      <c r="E4993" s="17"/>
      <c r="N4993" s="17"/>
      <c r="Q4993" s="17"/>
    </row>
    <row r="4994">
      <c r="B4994" s="11"/>
      <c r="E4994" s="17"/>
      <c r="N4994" s="17"/>
      <c r="Q4994" s="17"/>
    </row>
    <row r="4995">
      <c r="B4995" s="11"/>
      <c r="E4995" s="17"/>
      <c r="N4995" s="17"/>
      <c r="Q4995" s="17"/>
    </row>
    <row r="4996">
      <c r="B4996" s="11"/>
      <c r="E4996" s="17"/>
      <c r="N4996" s="17"/>
      <c r="Q4996" s="17"/>
    </row>
    <row r="4997">
      <c r="B4997" s="11"/>
      <c r="E4997" s="17"/>
      <c r="N4997" s="17"/>
      <c r="Q4997" s="17"/>
    </row>
    <row r="4998">
      <c r="B4998" s="11"/>
      <c r="E4998" s="17"/>
      <c r="N4998" s="17"/>
      <c r="Q4998" s="17"/>
    </row>
    <row r="4999">
      <c r="B4999" s="11"/>
      <c r="E4999" s="17"/>
      <c r="N4999" s="17"/>
      <c r="Q4999" s="17"/>
    </row>
    <row r="5000">
      <c r="B5000" s="11"/>
      <c r="E5000" s="17"/>
      <c r="N5000" s="17"/>
      <c r="Q5000" s="17"/>
    </row>
    <row r="5001">
      <c r="B5001" s="11"/>
      <c r="E5001" s="17"/>
      <c r="N5001" s="17"/>
      <c r="Q5001" s="17"/>
    </row>
    <row r="5002">
      <c r="B5002" s="11"/>
      <c r="E5002" s="17"/>
      <c r="N5002" s="17"/>
      <c r="Q5002" s="17"/>
    </row>
    <row r="5003">
      <c r="B5003" s="11"/>
      <c r="E5003" s="17"/>
      <c r="N5003" s="17"/>
      <c r="Q5003" s="17"/>
    </row>
    <row r="5004">
      <c r="B5004" s="11"/>
      <c r="E5004" s="17"/>
      <c r="N5004" s="17"/>
      <c r="Q5004" s="17"/>
    </row>
    <row r="5005">
      <c r="B5005" s="11"/>
      <c r="E5005" s="17"/>
      <c r="N5005" s="17"/>
      <c r="Q5005" s="17"/>
    </row>
    <row r="5006">
      <c r="B5006" s="11"/>
      <c r="E5006" s="17"/>
      <c r="N5006" s="17"/>
      <c r="Q5006" s="17"/>
    </row>
    <row r="5007">
      <c r="B5007" s="11"/>
      <c r="E5007" s="17"/>
      <c r="N5007" s="17"/>
      <c r="Q5007" s="17"/>
    </row>
    <row r="5008">
      <c r="B5008" s="11"/>
      <c r="E5008" s="17"/>
      <c r="N5008" s="17"/>
      <c r="Q5008" s="17"/>
    </row>
    <row r="5009">
      <c r="B5009" s="11"/>
      <c r="E5009" s="17"/>
      <c r="N5009" s="17"/>
      <c r="Q5009" s="17"/>
    </row>
    <row r="5010">
      <c r="B5010" s="11"/>
      <c r="E5010" s="17"/>
      <c r="N5010" s="17"/>
      <c r="Q5010" s="17"/>
    </row>
    <row r="5011">
      <c r="B5011" s="11"/>
      <c r="E5011" s="17"/>
      <c r="N5011" s="17"/>
      <c r="Q5011" s="17"/>
    </row>
    <row r="5012">
      <c r="B5012" s="11"/>
      <c r="E5012" s="17"/>
      <c r="N5012" s="17"/>
      <c r="Q5012" s="17"/>
    </row>
    <row r="5013">
      <c r="B5013" s="11"/>
      <c r="E5013" s="17"/>
      <c r="N5013" s="17"/>
      <c r="Q5013" s="17"/>
    </row>
    <row r="5014">
      <c r="B5014" s="11"/>
      <c r="E5014" s="17"/>
      <c r="N5014" s="17"/>
      <c r="Q5014" s="17"/>
    </row>
    <row r="5015">
      <c r="B5015" s="11"/>
      <c r="E5015" s="17"/>
      <c r="N5015" s="17"/>
      <c r="Q5015" s="17"/>
    </row>
    <row r="5016">
      <c r="B5016" s="11"/>
      <c r="E5016" s="17"/>
      <c r="N5016" s="17"/>
      <c r="Q5016" s="17"/>
    </row>
    <row r="5017">
      <c r="B5017" s="11"/>
      <c r="E5017" s="17"/>
      <c r="N5017" s="17"/>
      <c r="Q5017" s="17"/>
    </row>
    <row r="5018">
      <c r="B5018" s="11"/>
      <c r="E5018" s="17"/>
      <c r="N5018" s="17"/>
      <c r="Q5018" s="17"/>
    </row>
    <row r="5019">
      <c r="B5019" s="11"/>
      <c r="E5019" s="17"/>
      <c r="N5019" s="17"/>
      <c r="Q5019" s="17"/>
    </row>
    <row r="5020">
      <c r="B5020" s="11"/>
      <c r="E5020" s="17"/>
      <c r="N5020" s="17"/>
      <c r="Q5020" s="17"/>
    </row>
    <row r="5021">
      <c r="B5021" s="11"/>
      <c r="E5021" s="17"/>
      <c r="N5021" s="17"/>
      <c r="Q5021" s="17"/>
    </row>
    <row r="5022">
      <c r="B5022" s="11"/>
      <c r="E5022" s="17"/>
      <c r="N5022" s="17"/>
      <c r="Q5022" s="17"/>
    </row>
    <row r="5023">
      <c r="B5023" s="11"/>
      <c r="E5023" s="17"/>
      <c r="N5023" s="17"/>
      <c r="Q5023" s="17"/>
    </row>
    <row r="5024">
      <c r="B5024" s="11"/>
      <c r="E5024" s="17"/>
      <c r="N5024" s="17"/>
      <c r="Q5024" s="17"/>
    </row>
    <row r="5025">
      <c r="B5025" s="11"/>
      <c r="E5025" s="17"/>
      <c r="N5025" s="17"/>
      <c r="Q5025" s="17"/>
    </row>
    <row r="5026">
      <c r="B5026" s="11"/>
      <c r="E5026" s="17"/>
      <c r="N5026" s="17"/>
      <c r="Q5026" s="17"/>
    </row>
    <row r="5027">
      <c r="B5027" s="11"/>
      <c r="E5027" s="17"/>
      <c r="N5027" s="17"/>
      <c r="Q5027" s="17"/>
    </row>
    <row r="5028">
      <c r="B5028" s="11"/>
      <c r="E5028" s="17"/>
      <c r="N5028" s="17"/>
      <c r="Q5028" s="17"/>
    </row>
    <row r="5029">
      <c r="B5029" s="11"/>
      <c r="E5029" s="17"/>
      <c r="N5029" s="17"/>
      <c r="Q5029" s="17"/>
    </row>
    <row r="5030">
      <c r="B5030" s="11"/>
      <c r="E5030" s="17"/>
      <c r="N5030" s="17"/>
      <c r="Q5030" s="17"/>
    </row>
    <row r="5031">
      <c r="B5031" s="11"/>
      <c r="E5031" s="17"/>
      <c r="N5031" s="17"/>
      <c r="Q5031" s="17"/>
    </row>
    <row r="5032">
      <c r="B5032" s="11"/>
      <c r="E5032" s="17"/>
      <c r="N5032" s="17"/>
      <c r="Q5032" s="17"/>
    </row>
    <row r="5033">
      <c r="B5033" s="11"/>
      <c r="E5033" s="17"/>
      <c r="N5033" s="17"/>
      <c r="Q5033" s="17"/>
    </row>
    <row r="5034">
      <c r="B5034" s="11"/>
      <c r="E5034" s="17"/>
      <c r="N5034" s="17"/>
      <c r="Q5034" s="17"/>
    </row>
    <row r="5035">
      <c r="B5035" s="11"/>
      <c r="E5035" s="17"/>
      <c r="N5035" s="17"/>
      <c r="Q5035" s="17"/>
    </row>
    <row r="5036">
      <c r="B5036" s="11"/>
      <c r="E5036" s="17"/>
      <c r="N5036" s="17"/>
      <c r="Q5036" s="17"/>
    </row>
    <row r="5037">
      <c r="B5037" s="11"/>
      <c r="E5037" s="17"/>
      <c r="N5037" s="17"/>
      <c r="Q5037" s="17"/>
    </row>
    <row r="5038">
      <c r="B5038" s="11"/>
      <c r="E5038" s="17"/>
      <c r="N5038" s="17"/>
      <c r="Q5038" s="17"/>
    </row>
    <row r="5039">
      <c r="B5039" s="11"/>
      <c r="E5039" s="17"/>
      <c r="N5039" s="17"/>
      <c r="Q5039" s="17"/>
    </row>
    <row r="5040">
      <c r="B5040" s="11"/>
      <c r="E5040" s="17"/>
      <c r="N5040" s="17"/>
      <c r="Q5040" s="17"/>
    </row>
    <row r="5041">
      <c r="B5041" s="11"/>
      <c r="E5041" s="17"/>
      <c r="N5041" s="17"/>
      <c r="Q5041" s="17"/>
    </row>
    <row r="5042">
      <c r="B5042" s="11"/>
      <c r="E5042" s="17"/>
      <c r="N5042" s="17"/>
      <c r="Q5042" s="17"/>
    </row>
    <row r="5043">
      <c r="B5043" s="11"/>
      <c r="E5043" s="17"/>
      <c r="N5043" s="17"/>
      <c r="Q5043" s="17"/>
    </row>
    <row r="5044">
      <c r="B5044" s="11"/>
      <c r="E5044" s="17"/>
      <c r="N5044" s="17"/>
      <c r="Q5044" s="17"/>
    </row>
    <row r="5045">
      <c r="B5045" s="11"/>
      <c r="E5045" s="17"/>
      <c r="N5045" s="17"/>
      <c r="Q5045" s="17"/>
    </row>
    <row r="5046">
      <c r="B5046" s="11"/>
      <c r="E5046" s="17"/>
      <c r="N5046" s="17"/>
      <c r="Q5046" s="17"/>
    </row>
    <row r="5047">
      <c r="B5047" s="11"/>
      <c r="E5047" s="17"/>
      <c r="N5047" s="17"/>
      <c r="Q5047" s="17"/>
    </row>
    <row r="5048">
      <c r="B5048" s="11"/>
      <c r="E5048" s="17"/>
      <c r="N5048" s="17"/>
      <c r="Q5048" s="17"/>
    </row>
    <row r="5049">
      <c r="B5049" s="11"/>
      <c r="E5049" s="17"/>
      <c r="N5049" s="17"/>
      <c r="Q5049" s="17"/>
    </row>
    <row r="5050">
      <c r="B5050" s="11"/>
      <c r="E5050" s="17"/>
      <c r="N5050" s="17"/>
      <c r="Q5050" s="17"/>
    </row>
    <row r="5051">
      <c r="B5051" s="11"/>
      <c r="E5051" s="17"/>
      <c r="N5051" s="17"/>
      <c r="Q5051" s="17"/>
    </row>
    <row r="5052">
      <c r="B5052" s="11"/>
      <c r="E5052" s="17"/>
      <c r="N5052" s="17"/>
      <c r="Q5052" s="17"/>
    </row>
    <row r="5053">
      <c r="B5053" s="11"/>
      <c r="E5053" s="17"/>
      <c r="N5053" s="17"/>
      <c r="Q5053" s="17"/>
    </row>
    <row r="5054">
      <c r="B5054" s="11"/>
      <c r="E5054" s="17"/>
      <c r="N5054" s="17"/>
      <c r="Q5054" s="17"/>
    </row>
    <row r="5055">
      <c r="B5055" s="11"/>
      <c r="E5055" s="17"/>
      <c r="N5055" s="17"/>
      <c r="Q5055" s="17"/>
    </row>
    <row r="5056">
      <c r="B5056" s="11"/>
      <c r="E5056" s="17"/>
      <c r="N5056" s="17"/>
      <c r="Q5056" s="17"/>
    </row>
    <row r="5057">
      <c r="B5057" s="11"/>
      <c r="E5057" s="17"/>
      <c r="N5057" s="17"/>
      <c r="Q5057" s="17"/>
    </row>
    <row r="5058">
      <c r="B5058" s="11"/>
      <c r="E5058" s="17"/>
      <c r="N5058" s="17"/>
      <c r="Q5058" s="17"/>
    </row>
    <row r="5059">
      <c r="B5059" s="11"/>
      <c r="E5059" s="17"/>
      <c r="N5059" s="17"/>
      <c r="Q5059" s="17"/>
    </row>
    <row r="5060">
      <c r="B5060" s="11"/>
      <c r="E5060" s="17"/>
      <c r="N5060" s="17"/>
      <c r="Q5060" s="17"/>
    </row>
    <row r="5061">
      <c r="B5061" s="11"/>
      <c r="E5061" s="17"/>
      <c r="N5061" s="17"/>
      <c r="Q5061" s="17"/>
    </row>
    <row r="5062">
      <c r="B5062" s="11"/>
      <c r="E5062" s="17"/>
      <c r="N5062" s="17"/>
      <c r="Q5062" s="17"/>
    </row>
    <row r="5063">
      <c r="B5063" s="11"/>
      <c r="E5063" s="17"/>
      <c r="N5063" s="17"/>
      <c r="Q5063" s="17"/>
    </row>
    <row r="5064">
      <c r="B5064" s="11"/>
      <c r="E5064" s="17"/>
      <c r="N5064" s="17"/>
      <c r="Q5064" s="17"/>
    </row>
    <row r="5065">
      <c r="B5065" s="11"/>
      <c r="E5065" s="17"/>
      <c r="N5065" s="17"/>
      <c r="Q5065" s="17"/>
    </row>
    <row r="5066">
      <c r="B5066" s="11"/>
      <c r="E5066" s="17"/>
      <c r="N5066" s="17"/>
      <c r="Q5066" s="17"/>
    </row>
    <row r="5067">
      <c r="B5067" s="11"/>
      <c r="E5067" s="17"/>
      <c r="N5067" s="17"/>
      <c r="Q5067" s="17"/>
    </row>
    <row r="5068">
      <c r="B5068" s="11"/>
      <c r="E5068" s="17"/>
      <c r="N5068" s="17"/>
      <c r="Q5068" s="17"/>
    </row>
    <row r="5069">
      <c r="B5069" s="11"/>
      <c r="E5069" s="17"/>
      <c r="N5069" s="17"/>
      <c r="Q5069" s="17"/>
    </row>
    <row r="5070">
      <c r="B5070" s="11"/>
      <c r="E5070" s="17"/>
      <c r="N5070" s="17"/>
      <c r="Q5070" s="17"/>
    </row>
    <row r="5071">
      <c r="B5071" s="11"/>
      <c r="E5071" s="17"/>
      <c r="N5071" s="17"/>
      <c r="Q5071" s="17"/>
    </row>
    <row r="5072">
      <c r="B5072" s="11"/>
      <c r="E5072" s="17"/>
      <c r="N5072" s="17"/>
      <c r="Q5072" s="17"/>
    </row>
    <row r="5073">
      <c r="B5073" s="11"/>
      <c r="E5073" s="17"/>
      <c r="N5073" s="17"/>
      <c r="Q5073" s="17"/>
    </row>
    <row r="5074">
      <c r="B5074" s="11"/>
      <c r="E5074" s="17"/>
      <c r="N5074" s="17"/>
      <c r="Q5074" s="17"/>
    </row>
    <row r="5075">
      <c r="B5075" s="11"/>
      <c r="E5075" s="17"/>
      <c r="N5075" s="17"/>
      <c r="Q5075" s="17"/>
    </row>
    <row r="5076">
      <c r="B5076" s="11"/>
      <c r="E5076" s="17"/>
      <c r="N5076" s="17"/>
      <c r="Q5076" s="17"/>
    </row>
    <row r="5077">
      <c r="B5077" s="11"/>
      <c r="E5077" s="17"/>
      <c r="N5077" s="17"/>
      <c r="Q5077" s="17"/>
    </row>
    <row r="5078">
      <c r="B5078" s="11"/>
      <c r="E5078" s="17"/>
      <c r="N5078" s="17"/>
      <c r="Q5078" s="17"/>
    </row>
    <row r="5079">
      <c r="B5079" s="11"/>
      <c r="E5079" s="17"/>
      <c r="N5079" s="17"/>
      <c r="Q5079" s="17"/>
    </row>
    <row r="5080">
      <c r="B5080" s="11"/>
      <c r="E5080" s="17"/>
      <c r="N5080" s="17"/>
      <c r="Q5080" s="17"/>
    </row>
    <row r="5081">
      <c r="B5081" s="11"/>
      <c r="E5081" s="17"/>
      <c r="N5081" s="17"/>
      <c r="Q5081" s="17"/>
    </row>
    <row r="5082">
      <c r="B5082" s="11"/>
      <c r="E5082" s="17"/>
      <c r="N5082" s="17"/>
      <c r="Q5082" s="17"/>
    </row>
    <row r="5083">
      <c r="B5083" s="11"/>
      <c r="E5083" s="17"/>
      <c r="N5083" s="17"/>
      <c r="Q5083" s="17"/>
    </row>
    <row r="5084">
      <c r="B5084" s="11"/>
      <c r="E5084" s="17"/>
      <c r="N5084" s="17"/>
      <c r="Q5084" s="17"/>
    </row>
    <row r="5085">
      <c r="B5085" s="11"/>
      <c r="E5085" s="17"/>
      <c r="N5085" s="17"/>
      <c r="Q5085" s="17"/>
    </row>
    <row r="5086">
      <c r="B5086" s="11"/>
      <c r="E5086" s="17"/>
      <c r="N5086" s="17"/>
      <c r="Q5086" s="17"/>
    </row>
    <row r="5087">
      <c r="B5087" s="11"/>
      <c r="E5087" s="17"/>
      <c r="N5087" s="17"/>
      <c r="Q5087" s="17"/>
    </row>
    <row r="5088">
      <c r="B5088" s="11"/>
      <c r="E5088" s="17"/>
      <c r="N5088" s="17"/>
      <c r="Q5088" s="17"/>
    </row>
    <row r="5089">
      <c r="B5089" s="11"/>
      <c r="E5089" s="17"/>
      <c r="N5089" s="17"/>
      <c r="Q5089" s="17"/>
    </row>
    <row r="5090">
      <c r="B5090" s="11"/>
      <c r="E5090" s="17"/>
      <c r="N5090" s="17"/>
      <c r="Q5090" s="17"/>
    </row>
    <row r="5091">
      <c r="B5091" s="11"/>
      <c r="E5091" s="17"/>
      <c r="N5091" s="17"/>
      <c r="Q5091" s="17"/>
    </row>
    <row r="5092">
      <c r="B5092" s="11"/>
      <c r="E5092" s="17"/>
      <c r="N5092" s="17"/>
      <c r="Q5092" s="17"/>
    </row>
    <row r="5093">
      <c r="B5093" s="11"/>
      <c r="E5093" s="17"/>
      <c r="N5093" s="17"/>
      <c r="Q5093" s="17"/>
    </row>
    <row r="5094">
      <c r="B5094" s="11"/>
      <c r="E5094" s="17"/>
      <c r="N5094" s="17"/>
      <c r="Q5094" s="17"/>
    </row>
    <row r="5095">
      <c r="B5095" s="11"/>
      <c r="E5095" s="17"/>
      <c r="N5095" s="17"/>
      <c r="Q5095" s="17"/>
    </row>
    <row r="5096">
      <c r="B5096" s="11"/>
      <c r="E5096" s="17"/>
      <c r="N5096" s="17"/>
      <c r="Q5096" s="17"/>
    </row>
    <row r="5097">
      <c r="B5097" s="11"/>
      <c r="E5097" s="17"/>
      <c r="N5097" s="17"/>
      <c r="Q5097" s="17"/>
    </row>
    <row r="5098">
      <c r="B5098" s="11"/>
      <c r="E5098" s="17"/>
      <c r="N5098" s="17"/>
      <c r="Q5098" s="17"/>
    </row>
    <row r="5099">
      <c r="B5099" s="11"/>
      <c r="E5099" s="17"/>
      <c r="N5099" s="17"/>
      <c r="Q5099" s="17"/>
    </row>
    <row r="5100">
      <c r="B5100" s="11"/>
      <c r="E5100" s="17"/>
      <c r="N5100" s="17"/>
      <c r="Q5100" s="17"/>
    </row>
    <row r="5101">
      <c r="B5101" s="11"/>
      <c r="E5101" s="17"/>
      <c r="N5101" s="17"/>
      <c r="Q5101" s="17"/>
    </row>
    <row r="5102">
      <c r="B5102" s="11"/>
      <c r="E5102" s="17"/>
      <c r="N5102" s="17"/>
      <c r="Q5102" s="17"/>
    </row>
    <row r="5103">
      <c r="B5103" s="11"/>
      <c r="E5103" s="17"/>
      <c r="N5103" s="17"/>
      <c r="Q5103" s="17"/>
    </row>
    <row r="5104">
      <c r="B5104" s="11"/>
      <c r="E5104" s="17"/>
      <c r="N5104" s="17"/>
      <c r="Q5104" s="17"/>
    </row>
    <row r="5105">
      <c r="B5105" s="11"/>
      <c r="E5105" s="17"/>
      <c r="N5105" s="17"/>
      <c r="Q5105" s="17"/>
    </row>
    <row r="5106">
      <c r="B5106" s="11"/>
      <c r="E5106" s="17"/>
      <c r="N5106" s="17"/>
      <c r="Q5106" s="17"/>
    </row>
    <row r="5107">
      <c r="B5107" s="11"/>
      <c r="E5107" s="17"/>
      <c r="N5107" s="17"/>
      <c r="Q5107" s="17"/>
    </row>
    <row r="5108">
      <c r="B5108" s="11"/>
      <c r="E5108" s="17"/>
      <c r="N5108" s="17"/>
      <c r="Q5108" s="17"/>
    </row>
    <row r="5109">
      <c r="B5109" s="11"/>
      <c r="E5109" s="17"/>
      <c r="N5109" s="17"/>
      <c r="Q5109" s="17"/>
    </row>
    <row r="5110">
      <c r="B5110" s="11"/>
      <c r="E5110" s="17"/>
      <c r="N5110" s="17"/>
      <c r="Q5110" s="17"/>
    </row>
    <row r="5111">
      <c r="B5111" s="11"/>
      <c r="E5111" s="17"/>
      <c r="N5111" s="17"/>
      <c r="Q5111" s="17"/>
    </row>
    <row r="5112">
      <c r="B5112" s="11"/>
      <c r="E5112" s="17"/>
      <c r="N5112" s="17"/>
      <c r="Q5112" s="17"/>
    </row>
    <row r="5113">
      <c r="B5113" s="11"/>
      <c r="E5113" s="17"/>
      <c r="N5113" s="17"/>
      <c r="Q5113" s="17"/>
    </row>
    <row r="5114">
      <c r="B5114" s="11"/>
      <c r="E5114" s="17"/>
      <c r="N5114" s="17"/>
      <c r="Q5114" s="17"/>
    </row>
    <row r="5115">
      <c r="B5115" s="11"/>
      <c r="E5115" s="17"/>
      <c r="N5115" s="17"/>
      <c r="Q5115" s="17"/>
    </row>
    <row r="5116">
      <c r="B5116" s="11"/>
      <c r="E5116" s="17"/>
      <c r="N5116" s="17"/>
      <c r="Q5116" s="17"/>
    </row>
    <row r="5117">
      <c r="B5117" s="11"/>
      <c r="E5117" s="17"/>
      <c r="N5117" s="17"/>
      <c r="Q5117" s="17"/>
    </row>
    <row r="5118">
      <c r="B5118" s="11"/>
      <c r="E5118" s="17"/>
      <c r="N5118" s="17"/>
      <c r="Q5118" s="17"/>
    </row>
    <row r="5119">
      <c r="B5119" s="11"/>
      <c r="E5119" s="17"/>
      <c r="N5119" s="17"/>
      <c r="Q5119" s="17"/>
    </row>
    <row r="5120">
      <c r="B5120" s="11"/>
      <c r="E5120" s="17"/>
      <c r="N5120" s="17"/>
      <c r="Q5120" s="17"/>
    </row>
    <row r="5121">
      <c r="B5121" s="11"/>
      <c r="E5121" s="17"/>
      <c r="N5121" s="17"/>
      <c r="Q5121" s="17"/>
    </row>
    <row r="5122">
      <c r="B5122" s="11"/>
      <c r="E5122" s="17"/>
      <c r="N5122" s="17"/>
      <c r="Q5122" s="17"/>
    </row>
    <row r="5123">
      <c r="B5123" s="11"/>
      <c r="E5123" s="17"/>
      <c r="N5123" s="17"/>
      <c r="Q5123" s="17"/>
    </row>
    <row r="5124">
      <c r="B5124" s="11"/>
      <c r="E5124" s="17"/>
      <c r="N5124" s="17"/>
      <c r="Q5124" s="17"/>
    </row>
    <row r="5125">
      <c r="B5125" s="11"/>
      <c r="E5125" s="17"/>
      <c r="N5125" s="17"/>
      <c r="Q5125" s="17"/>
    </row>
    <row r="5126">
      <c r="B5126" s="11"/>
      <c r="E5126" s="17"/>
      <c r="N5126" s="17"/>
      <c r="Q5126" s="17"/>
    </row>
    <row r="5127">
      <c r="B5127" s="11"/>
      <c r="E5127" s="17"/>
      <c r="N5127" s="17"/>
      <c r="Q5127" s="17"/>
    </row>
    <row r="5128">
      <c r="B5128" s="11"/>
      <c r="E5128" s="17"/>
      <c r="N5128" s="17"/>
      <c r="Q5128" s="17"/>
    </row>
    <row r="5129">
      <c r="B5129" s="11"/>
      <c r="E5129" s="17"/>
      <c r="N5129" s="17"/>
      <c r="Q5129" s="17"/>
    </row>
    <row r="5130">
      <c r="B5130" s="11"/>
      <c r="E5130" s="17"/>
      <c r="N5130" s="17"/>
      <c r="Q5130" s="17"/>
    </row>
    <row r="5131">
      <c r="B5131" s="11"/>
      <c r="E5131" s="17"/>
      <c r="N5131" s="17"/>
      <c r="Q5131" s="17"/>
    </row>
    <row r="5132">
      <c r="B5132" s="11"/>
      <c r="E5132" s="17"/>
      <c r="N5132" s="17"/>
      <c r="Q5132" s="17"/>
    </row>
    <row r="5133">
      <c r="B5133" s="11"/>
      <c r="E5133" s="17"/>
      <c r="N5133" s="17"/>
      <c r="Q5133" s="17"/>
    </row>
    <row r="5134">
      <c r="B5134" s="11"/>
      <c r="E5134" s="17"/>
      <c r="N5134" s="17"/>
      <c r="Q5134" s="17"/>
    </row>
    <row r="5135">
      <c r="B5135" s="11"/>
      <c r="E5135" s="17"/>
      <c r="N5135" s="17"/>
      <c r="Q5135" s="17"/>
    </row>
    <row r="5136">
      <c r="B5136" s="11"/>
      <c r="E5136" s="17"/>
      <c r="N5136" s="17"/>
      <c r="Q5136" s="17"/>
    </row>
    <row r="5137">
      <c r="B5137" s="11"/>
      <c r="E5137" s="17"/>
      <c r="N5137" s="17"/>
      <c r="Q5137" s="17"/>
    </row>
    <row r="5138">
      <c r="B5138" s="11"/>
      <c r="E5138" s="17"/>
      <c r="N5138" s="17"/>
      <c r="Q5138" s="17"/>
    </row>
    <row r="5139">
      <c r="B5139" s="11"/>
      <c r="E5139" s="17"/>
      <c r="N5139" s="17"/>
      <c r="Q5139" s="17"/>
    </row>
    <row r="5140">
      <c r="B5140" s="11"/>
      <c r="E5140" s="17"/>
      <c r="N5140" s="17"/>
      <c r="Q5140" s="17"/>
    </row>
    <row r="5141">
      <c r="B5141" s="11"/>
      <c r="E5141" s="17"/>
      <c r="N5141" s="17"/>
      <c r="Q5141" s="17"/>
    </row>
    <row r="5142">
      <c r="B5142" s="11"/>
      <c r="E5142" s="17"/>
      <c r="N5142" s="17"/>
      <c r="Q5142" s="17"/>
    </row>
    <row r="5143">
      <c r="B5143" s="11"/>
      <c r="E5143" s="17"/>
      <c r="N5143" s="17"/>
      <c r="Q5143" s="17"/>
    </row>
    <row r="5144">
      <c r="B5144" s="11"/>
      <c r="E5144" s="17"/>
      <c r="N5144" s="17"/>
      <c r="Q5144" s="17"/>
    </row>
    <row r="5145">
      <c r="B5145" s="11"/>
      <c r="E5145" s="17"/>
      <c r="N5145" s="17"/>
      <c r="Q5145" s="17"/>
    </row>
    <row r="5146">
      <c r="B5146" s="11"/>
      <c r="E5146" s="17"/>
      <c r="N5146" s="17"/>
      <c r="Q5146" s="17"/>
    </row>
    <row r="5147">
      <c r="B5147" s="11"/>
      <c r="E5147" s="17"/>
      <c r="N5147" s="17"/>
      <c r="Q5147" s="17"/>
    </row>
    <row r="5148">
      <c r="B5148" s="11"/>
      <c r="E5148" s="17"/>
      <c r="N5148" s="17"/>
      <c r="Q5148" s="17"/>
    </row>
    <row r="5149">
      <c r="B5149" s="11"/>
      <c r="E5149" s="17"/>
      <c r="N5149" s="17"/>
      <c r="Q5149" s="17"/>
    </row>
    <row r="5150">
      <c r="B5150" s="11"/>
      <c r="E5150" s="17"/>
      <c r="N5150" s="17"/>
      <c r="Q5150" s="17"/>
    </row>
    <row r="5151">
      <c r="B5151" s="11"/>
      <c r="E5151" s="17"/>
      <c r="N5151" s="17"/>
      <c r="Q5151" s="17"/>
    </row>
    <row r="5152">
      <c r="B5152" s="11"/>
      <c r="E5152" s="17"/>
      <c r="N5152" s="17"/>
      <c r="Q5152" s="17"/>
    </row>
    <row r="5153">
      <c r="B5153" s="11"/>
      <c r="E5153" s="17"/>
      <c r="N5153" s="17"/>
      <c r="Q5153" s="17"/>
    </row>
    <row r="5154">
      <c r="B5154" s="11"/>
      <c r="E5154" s="17"/>
      <c r="N5154" s="17"/>
      <c r="Q5154" s="17"/>
    </row>
    <row r="5155">
      <c r="B5155" s="11"/>
      <c r="E5155" s="17"/>
      <c r="N5155" s="17"/>
      <c r="Q5155" s="17"/>
    </row>
    <row r="5156">
      <c r="B5156" s="11"/>
      <c r="E5156" s="17"/>
      <c r="N5156" s="17"/>
      <c r="Q5156" s="17"/>
    </row>
    <row r="5157">
      <c r="B5157" s="11"/>
      <c r="E5157" s="17"/>
      <c r="N5157" s="17"/>
      <c r="Q5157" s="17"/>
    </row>
    <row r="5158">
      <c r="B5158" s="11"/>
      <c r="E5158" s="17"/>
      <c r="N5158" s="17"/>
      <c r="Q5158" s="17"/>
    </row>
    <row r="5159">
      <c r="B5159" s="11"/>
      <c r="E5159" s="17"/>
      <c r="N5159" s="17"/>
      <c r="Q5159" s="17"/>
    </row>
    <row r="5160">
      <c r="B5160" s="11"/>
      <c r="E5160" s="17"/>
      <c r="N5160" s="17"/>
      <c r="Q5160" s="17"/>
    </row>
    <row r="5161">
      <c r="B5161" s="11"/>
      <c r="E5161" s="17"/>
      <c r="N5161" s="17"/>
      <c r="Q5161" s="17"/>
    </row>
    <row r="5162">
      <c r="B5162" s="11"/>
      <c r="E5162" s="17"/>
      <c r="N5162" s="17"/>
      <c r="Q5162" s="17"/>
    </row>
    <row r="5163">
      <c r="B5163" s="11"/>
      <c r="E5163" s="17"/>
      <c r="N5163" s="17"/>
      <c r="Q5163" s="17"/>
    </row>
    <row r="5164">
      <c r="B5164" s="11"/>
      <c r="E5164" s="17"/>
      <c r="N5164" s="17"/>
      <c r="Q5164" s="17"/>
    </row>
    <row r="5165">
      <c r="B5165" s="11"/>
      <c r="E5165" s="17"/>
      <c r="N5165" s="17"/>
      <c r="Q5165" s="17"/>
    </row>
    <row r="5166">
      <c r="B5166" s="11"/>
      <c r="E5166" s="17"/>
      <c r="N5166" s="17"/>
      <c r="Q5166" s="17"/>
    </row>
    <row r="5167">
      <c r="B5167" s="11"/>
      <c r="E5167" s="17"/>
      <c r="N5167" s="17"/>
      <c r="Q5167" s="17"/>
    </row>
    <row r="5168">
      <c r="B5168" s="11"/>
      <c r="E5168" s="17"/>
      <c r="N5168" s="17"/>
      <c r="Q5168" s="17"/>
    </row>
    <row r="5169">
      <c r="B5169" s="11"/>
      <c r="E5169" s="17"/>
      <c r="N5169" s="17"/>
      <c r="Q5169" s="17"/>
    </row>
    <row r="5170">
      <c r="B5170" s="11"/>
      <c r="E5170" s="17"/>
      <c r="N5170" s="17"/>
      <c r="Q5170" s="17"/>
    </row>
    <row r="5171">
      <c r="B5171" s="11"/>
      <c r="E5171" s="17"/>
      <c r="N5171" s="17"/>
      <c r="Q5171" s="17"/>
    </row>
    <row r="5172">
      <c r="B5172" s="11"/>
      <c r="E5172" s="17"/>
      <c r="N5172" s="17"/>
      <c r="Q5172" s="17"/>
    </row>
    <row r="5173">
      <c r="B5173" s="11"/>
      <c r="E5173" s="17"/>
      <c r="N5173" s="17"/>
      <c r="Q5173" s="17"/>
    </row>
    <row r="5174">
      <c r="B5174" s="11"/>
      <c r="E5174" s="17"/>
      <c r="N5174" s="17"/>
      <c r="Q5174" s="17"/>
    </row>
    <row r="5175">
      <c r="B5175" s="11"/>
      <c r="E5175" s="17"/>
      <c r="N5175" s="17"/>
      <c r="Q5175" s="17"/>
    </row>
    <row r="5176">
      <c r="B5176" s="11"/>
      <c r="E5176" s="17"/>
      <c r="N5176" s="17"/>
      <c r="Q5176" s="17"/>
    </row>
    <row r="5177">
      <c r="B5177" s="11"/>
      <c r="E5177" s="17"/>
      <c r="N5177" s="17"/>
      <c r="Q5177" s="17"/>
    </row>
    <row r="5178">
      <c r="B5178" s="11"/>
      <c r="E5178" s="17"/>
      <c r="N5178" s="17"/>
      <c r="Q5178" s="17"/>
    </row>
    <row r="5179">
      <c r="B5179" s="11"/>
      <c r="E5179" s="17"/>
      <c r="N5179" s="17"/>
      <c r="Q5179" s="17"/>
    </row>
    <row r="5180">
      <c r="B5180" s="11"/>
      <c r="E5180" s="17"/>
      <c r="N5180" s="17"/>
      <c r="Q5180" s="17"/>
    </row>
    <row r="5181">
      <c r="B5181" s="11"/>
      <c r="E5181" s="17"/>
      <c r="N5181" s="17"/>
      <c r="Q5181" s="17"/>
    </row>
    <row r="5182">
      <c r="B5182" s="11"/>
      <c r="E5182" s="17"/>
      <c r="N5182" s="17"/>
      <c r="Q5182" s="17"/>
    </row>
    <row r="5183">
      <c r="B5183" s="11"/>
      <c r="E5183" s="17"/>
      <c r="N5183" s="17"/>
      <c r="Q5183" s="17"/>
    </row>
    <row r="5184">
      <c r="B5184" s="11"/>
      <c r="E5184" s="17"/>
      <c r="N5184" s="17"/>
      <c r="Q5184" s="17"/>
    </row>
    <row r="5185">
      <c r="B5185" s="11"/>
      <c r="E5185" s="17"/>
      <c r="N5185" s="17"/>
      <c r="Q5185" s="17"/>
    </row>
    <row r="5186">
      <c r="B5186" s="11"/>
      <c r="E5186" s="17"/>
      <c r="N5186" s="17"/>
      <c r="Q5186" s="17"/>
    </row>
    <row r="5187">
      <c r="B5187" s="11"/>
      <c r="E5187" s="17"/>
      <c r="N5187" s="17"/>
      <c r="Q5187" s="17"/>
    </row>
    <row r="5188">
      <c r="B5188" s="11"/>
      <c r="E5188" s="17"/>
      <c r="N5188" s="17"/>
      <c r="Q5188" s="17"/>
    </row>
    <row r="5189">
      <c r="B5189" s="11"/>
      <c r="E5189" s="17"/>
      <c r="N5189" s="17"/>
      <c r="Q5189" s="17"/>
    </row>
    <row r="5190">
      <c r="B5190" s="11"/>
      <c r="E5190" s="17"/>
      <c r="N5190" s="17"/>
      <c r="Q5190" s="17"/>
    </row>
    <row r="5191">
      <c r="B5191" s="11"/>
      <c r="E5191" s="17"/>
      <c r="N5191" s="17"/>
      <c r="Q5191" s="17"/>
    </row>
    <row r="5192">
      <c r="B5192" s="11"/>
      <c r="E5192" s="17"/>
      <c r="N5192" s="17"/>
      <c r="Q5192" s="17"/>
    </row>
    <row r="5193">
      <c r="B5193" s="11"/>
      <c r="E5193" s="17"/>
      <c r="N5193" s="17"/>
      <c r="Q5193" s="17"/>
    </row>
    <row r="5194">
      <c r="B5194" s="11"/>
      <c r="E5194" s="17"/>
      <c r="N5194" s="17"/>
      <c r="Q5194" s="17"/>
    </row>
    <row r="5195">
      <c r="B5195" s="11"/>
      <c r="E5195" s="17"/>
      <c r="N5195" s="17"/>
      <c r="Q5195" s="17"/>
    </row>
    <row r="5196">
      <c r="B5196" s="11"/>
      <c r="E5196" s="17"/>
      <c r="N5196" s="17"/>
      <c r="Q5196" s="17"/>
    </row>
    <row r="5197">
      <c r="B5197" s="11"/>
      <c r="E5197" s="17"/>
      <c r="N5197" s="17"/>
      <c r="Q5197" s="17"/>
    </row>
    <row r="5198">
      <c r="B5198" s="11"/>
      <c r="E5198" s="17"/>
      <c r="N5198" s="17"/>
      <c r="Q5198" s="17"/>
    </row>
    <row r="5199">
      <c r="B5199" s="11"/>
      <c r="E5199" s="17"/>
      <c r="N5199" s="17"/>
      <c r="Q5199" s="17"/>
    </row>
    <row r="5200">
      <c r="B5200" s="11"/>
      <c r="E5200" s="17"/>
      <c r="N5200" s="17"/>
      <c r="Q5200" s="17"/>
    </row>
    <row r="5201">
      <c r="B5201" s="11"/>
      <c r="E5201" s="17"/>
      <c r="N5201" s="17"/>
      <c r="Q5201" s="17"/>
    </row>
    <row r="5202">
      <c r="B5202" s="11"/>
      <c r="E5202" s="17"/>
      <c r="N5202" s="17"/>
      <c r="Q5202" s="17"/>
    </row>
    <row r="5203">
      <c r="B5203" s="11"/>
      <c r="E5203" s="17"/>
      <c r="N5203" s="17"/>
      <c r="Q5203" s="17"/>
    </row>
    <row r="5204">
      <c r="B5204" s="11"/>
      <c r="E5204" s="17"/>
      <c r="N5204" s="17"/>
      <c r="Q5204" s="17"/>
    </row>
    <row r="5205">
      <c r="B5205" s="11"/>
      <c r="E5205" s="17"/>
      <c r="N5205" s="17"/>
      <c r="Q5205" s="17"/>
    </row>
    <row r="5206">
      <c r="B5206" s="11"/>
      <c r="E5206" s="17"/>
      <c r="N5206" s="17"/>
      <c r="Q5206" s="17"/>
    </row>
    <row r="5207">
      <c r="B5207" s="11"/>
      <c r="E5207" s="17"/>
      <c r="N5207" s="17"/>
      <c r="Q5207" s="17"/>
    </row>
    <row r="5208">
      <c r="B5208" s="11"/>
      <c r="E5208" s="17"/>
      <c r="N5208" s="17"/>
      <c r="Q5208" s="17"/>
    </row>
    <row r="5209">
      <c r="B5209" s="11"/>
      <c r="E5209" s="17"/>
      <c r="N5209" s="17"/>
      <c r="Q5209" s="17"/>
    </row>
    <row r="5210">
      <c r="B5210" s="11"/>
      <c r="E5210" s="17"/>
      <c r="N5210" s="17"/>
      <c r="Q5210" s="17"/>
    </row>
    <row r="5211">
      <c r="B5211" s="11"/>
      <c r="E5211" s="17"/>
      <c r="N5211" s="17"/>
      <c r="Q5211" s="17"/>
    </row>
    <row r="5212">
      <c r="B5212" s="11"/>
      <c r="E5212" s="17"/>
      <c r="N5212" s="17"/>
      <c r="Q5212" s="17"/>
    </row>
    <row r="5213">
      <c r="B5213" s="11"/>
      <c r="E5213" s="17"/>
      <c r="N5213" s="17"/>
      <c r="Q5213" s="17"/>
    </row>
    <row r="5214">
      <c r="B5214" s="11"/>
      <c r="E5214" s="17"/>
      <c r="N5214" s="17"/>
      <c r="Q5214" s="17"/>
    </row>
    <row r="5215">
      <c r="B5215" s="11"/>
      <c r="E5215" s="17"/>
      <c r="N5215" s="17"/>
      <c r="Q5215" s="17"/>
    </row>
    <row r="5216">
      <c r="B5216" s="11"/>
      <c r="E5216" s="17"/>
      <c r="N5216" s="17"/>
      <c r="Q5216" s="17"/>
    </row>
    <row r="5217">
      <c r="B5217" s="11"/>
      <c r="E5217" s="17"/>
      <c r="N5217" s="17"/>
      <c r="Q5217" s="17"/>
    </row>
    <row r="5218">
      <c r="B5218" s="11"/>
      <c r="E5218" s="17"/>
      <c r="N5218" s="17"/>
      <c r="Q5218" s="17"/>
    </row>
    <row r="5219">
      <c r="B5219" s="11"/>
      <c r="E5219" s="17"/>
      <c r="N5219" s="17"/>
      <c r="Q5219" s="17"/>
    </row>
    <row r="5220">
      <c r="B5220" s="11"/>
      <c r="E5220" s="17"/>
      <c r="N5220" s="17"/>
      <c r="Q5220" s="17"/>
    </row>
    <row r="5221">
      <c r="B5221" s="11"/>
      <c r="E5221" s="17"/>
      <c r="N5221" s="17"/>
      <c r="Q5221" s="17"/>
    </row>
    <row r="5222">
      <c r="B5222" s="11"/>
      <c r="E5222" s="17"/>
      <c r="N5222" s="17"/>
      <c r="Q5222" s="17"/>
    </row>
    <row r="5223">
      <c r="B5223" s="11"/>
      <c r="E5223" s="17"/>
      <c r="N5223" s="17"/>
      <c r="Q5223" s="17"/>
    </row>
    <row r="5224">
      <c r="B5224" s="11"/>
      <c r="E5224" s="17"/>
      <c r="N5224" s="17"/>
      <c r="Q5224" s="17"/>
    </row>
    <row r="5225">
      <c r="B5225" s="11"/>
      <c r="E5225" s="17"/>
      <c r="N5225" s="17"/>
      <c r="Q5225" s="17"/>
    </row>
    <row r="5226">
      <c r="B5226" s="11"/>
      <c r="E5226" s="17"/>
      <c r="N5226" s="17"/>
      <c r="Q5226" s="17"/>
    </row>
    <row r="5227">
      <c r="B5227" s="11"/>
      <c r="E5227" s="17"/>
      <c r="N5227" s="17"/>
      <c r="Q5227" s="17"/>
    </row>
    <row r="5228">
      <c r="B5228" s="11"/>
      <c r="E5228" s="17"/>
      <c r="N5228" s="17"/>
      <c r="Q5228" s="17"/>
    </row>
    <row r="5229">
      <c r="B5229" s="11"/>
      <c r="E5229" s="17"/>
      <c r="N5229" s="17"/>
      <c r="Q5229" s="17"/>
    </row>
    <row r="5230">
      <c r="B5230" s="11"/>
      <c r="E5230" s="17"/>
      <c r="N5230" s="17"/>
      <c r="Q5230" s="17"/>
    </row>
    <row r="5231">
      <c r="B5231" s="11"/>
      <c r="E5231" s="17"/>
      <c r="N5231" s="17"/>
      <c r="Q5231" s="17"/>
    </row>
    <row r="5232">
      <c r="B5232" s="11"/>
      <c r="E5232" s="17"/>
      <c r="N5232" s="17"/>
      <c r="Q5232" s="17"/>
    </row>
    <row r="5233">
      <c r="B5233" s="11"/>
      <c r="E5233" s="17"/>
      <c r="N5233" s="17"/>
      <c r="Q5233" s="17"/>
    </row>
    <row r="5234">
      <c r="B5234" s="11"/>
      <c r="E5234" s="17"/>
      <c r="N5234" s="17"/>
      <c r="Q5234" s="17"/>
    </row>
    <row r="5235">
      <c r="B5235" s="11"/>
      <c r="E5235" s="17"/>
      <c r="N5235" s="17"/>
      <c r="Q5235" s="17"/>
    </row>
    <row r="5236">
      <c r="B5236" s="11"/>
      <c r="E5236" s="17"/>
      <c r="N5236" s="17"/>
      <c r="Q5236" s="17"/>
    </row>
    <row r="5237">
      <c r="B5237" s="11"/>
      <c r="E5237" s="17"/>
      <c r="N5237" s="17"/>
      <c r="Q5237" s="17"/>
    </row>
    <row r="5238">
      <c r="B5238" s="11"/>
      <c r="E5238" s="17"/>
      <c r="N5238" s="17"/>
      <c r="Q5238" s="17"/>
    </row>
    <row r="5239">
      <c r="B5239" s="11"/>
      <c r="E5239" s="17"/>
      <c r="N5239" s="17"/>
      <c r="Q5239" s="17"/>
    </row>
    <row r="5240">
      <c r="B5240" s="11"/>
      <c r="E5240" s="17"/>
      <c r="N5240" s="17"/>
      <c r="Q5240" s="17"/>
    </row>
    <row r="5241">
      <c r="B5241" s="11"/>
      <c r="E5241" s="17"/>
      <c r="N5241" s="17"/>
      <c r="Q5241" s="17"/>
    </row>
    <row r="5242">
      <c r="B5242" s="11"/>
      <c r="E5242" s="17"/>
      <c r="N5242" s="17"/>
      <c r="Q5242" s="17"/>
    </row>
    <row r="5243">
      <c r="B5243" s="11"/>
      <c r="E5243" s="17"/>
      <c r="N5243" s="17"/>
      <c r="Q5243" s="17"/>
    </row>
    <row r="5244">
      <c r="B5244" s="11"/>
      <c r="E5244" s="17"/>
      <c r="N5244" s="17"/>
      <c r="Q5244" s="17"/>
    </row>
    <row r="5245">
      <c r="B5245" s="11"/>
      <c r="E5245" s="17"/>
      <c r="N5245" s="17"/>
      <c r="Q5245" s="17"/>
    </row>
    <row r="5246">
      <c r="B5246" s="11"/>
      <c r="E5246" s="17"/>
      <c r="N5246" s="17"/>
      <c r="Q5246" s="17"/>
    </row>
    <row r="5247">
      <c r="B5247" s="11"/>
      <c r="E5247" s="17"/>
      <c r="N5247" s="17"/>
      <c r="Q5247" s="17"/>
    </row>
    <row r="5248">
      <c r="B5248" s="11"/>
      <c r="E5248" s="17"/>
      <c r="N5248" s="17"/>
      <c r="Q5248" s="17"/>
    </row>
    <row r="5249">
      <c r="B5249" s="11"/>
      <c r="E5249" s="17"/>
      <c r="N5249" s="17"/>
      <c r="Q5249" s="17"/>
    </row>
    <row r="5250">
      <c r="B5250" s="11"/>
      <c r="E5250" s="17"/>
      <c r="N5250" s="17"/>
      <c r="Q5250" s="17"/>
    </row>
    <row r="5251">
      <c r="B5251" s="11"/>
      <c r="E5251" s="17"/>
      <c r="N5251" s="17"/>
      <c r="Q5251" s="17"/>
    </row>
    <row r="5252">
      <c r="B5252" s="11"/>
      <c r="E5252" s="17"/>
      <c r="N5252" s="17"/>
      <c r="Q5252" s="17"/>
    </row>
    <row r="5253">
      <c r="B5253" s="11"/>
      <c r="E5253" s="17"/>
      <c r="N5253" s="17"/>
      <c r="Q5253" s="1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1"/>
      <c r="E1" s="35"/>
      <c r="H1" s="17"/>
      <c r="K1" s="17"/>
      <c r="N1" s="17"/>
    </row>
    <row r="2">
      <c r="B2" s="11" t="str">
        <f>IFERROR(__xludf.DUMMYFUNCTION("SORT(IMPORTDATA(""https://fred.stlouisfed.org/graph/fredgraph.csv?id=DGS10""), 1, FALSE)"),"observation_date")</f>
        <v>observation_date</v>
      </c>
      <c r="C2" s="9" t="str">
        <f>IFERROR(__xludf.DUMMYFUNCTION("""COMPUTED_VALUE"""),"DGS10")</f>
        <v>DGS10</v>
      </c>
      <c r="E2" s="37" t="s">
        <v>67</v>
      </c>
      <c r="F2" s="9" t="s">
        <v>75</v>
      </c>
      <c r="H2" s="38" t="s">
        <v>76</v>
      </c>
      <c r="I2" s="9" t="s">
        <v>75</v>
      </c>
      <c r="K2" s="38" t="s">
        <v>59</v>
      </c>
      <c r="L2" s="9" t="s">
        <v>75</v>
      </c>
      <c r="N2" s="24" t="s">
        <v>60</v>
      </c>
      <c r="O2" s="9" t="s">
        <v>75</v>
      </c>
    </row>
    <row r="3">
      <c r="B3" s="11">
        <f>IFERROR(__xludf.DUMMYFUNCTION("""COMPUTED_VALUE"""),46022.0)</f>
        <v>46022</v>
      </c>
      <c r="C3" s="9">
        <f>IFERROR(__xludf.DUMMYFUNCTION("""COMPUTED_VALUE"""),4.18)</f>
        <v>4.18</v>
      </c>
      <c r="E3" s="28">
        <f>IFERROR(__xludf.DUMMYFUNCTION("QUERY(B:C, ""SELECT B, C WHERE B &gt;= DATE '"" &amp; TEXT(TODAY()-365*5, ""yyyy-MM-dd"") &amp; ""' ORDER BY B DESC"", 1)"),46022.0)</f>
        <v>46022</v>
      </c>
      <c r="F3" s="9">
        <f>IFERROR(__xludf.DUMMYFUNCTION("""COMPUTED_VALUE"""),4.18)</f>
        <v>4.18</v>
      </c>
      <c r="H3" s="39">
        <f>IFERROR(__xludf.DUMMYFUNCTION("QUERY(B:C, ""SELECT B, C WHERE B &gt;= DATE '"" &amp; TEXT(TODAY()-365*1, ""yyyy-MM-dd"") &amp; ""' ORDER BY B DESC"", 1)"),46022.0)</f>
        <v>46022</v>
      </c>
      <c r="I3" s="9">
        <f>IFERROR(__xludf.DUMMYFUNCTION("""COMPUTED_VALUE"""),4.18)</f>
        <v>4.18</v>
      </c>
      <c r="K3" s="39">
        <f>IFERROR(__xludf.DUMMYFUNCTION("QUERY(B:C, ""SELECT B, C WHERE B &gt;= DATE '"" &amp; TEXT(TODAY()-180, ""yyyy-MM-dd"") &amp; ""' ORDER BY B DESC"", 1)"),46022.0)</f>
        <v>46022</v>
      </c>
      <c r="L3" s="9">
        <f>IFERROR(__xludf.DUMMYFUNCTION("""COMPUTED_VALUE"""),4.18)</f>
        <v>4.18</v>
      </c>
      <c r="N3" s="39">
        <f>IFERROR(__xludf.DUMMYFUNCTION("QUERY(B:C, ""SELECT B, C WHERE B &gt;= DATE '"" &amp; TEXT(TODAY()-30, ""yyyy-MM-dd"") &amp; ""' ORDER BY B DESC"", 1)"),46022.0)</f>
        <v>46022</v>
      </c>
      <c r="O3" s="9">
        <f>IFERROR(__xludf.DUMMYFUNCTION("""COMPUTED_VALUE"""),4.18)</f>
        <v>4.18</v>
      </c>
    </row>
    <row r="4">
      <c r="B4" s="11">
        <f>IFERROR(__xludf.DUMMYFUNCTION("""COMPUTED_VALUE"""),46021.0)</f>
        <v>46021</v>
      </c>
      <c r="C4" s="9">
        <f>IFERROR(__xludf.DUMMYFUNCTION("""COMPUTED_VALUE"""),4.14)</f>
        <v>4.14</v>
      </c>
      <c r="E4" s="40">
        <f>IFERROR(__xludf.DUMMYFUNCTION("""COMPUTED_VALUE"""),46021.0)</f>
        <v>46021</v>
      </c>
      <c r="F4" s="9">
        <f>IFERROR(__xludf.DUMMYFUNCTION("""COMPUTED_VALUE"""),4.14)</f>
        <v>4.14</v>
      </c>
      <c r="H4" s="17">
        <f>IFERROR(__xludf.DUMMYFUNCTION("""COMPUTED_VALUE"""),46021.0)</f>
        <v>46021</v>
      </c>
      <c r="I4" s="9">
        <f>IFERROR(__xludf.DUMMYFUNCTION("""COMPUTED_VALUE"""),4.14)</f>
        <v>4.14</v>
      </c>
      <c r="K4" s="17">
        <f>IFERROR(__xludf.DUMMYFUNCTION("""COMPUTED_VALUE"""),46021.0)</f>
        <v>46021</v>
      </c>
      <c r="L4" s="9">
        <f>IFERROR(__xludf.DUMMYFUNCTION("""COMPUTED_VALUE"""),4.14)</f>
        <v>4.14</v>
      </c>
      <c r="N4" s="17">
        <f>IFERROR(__xludf.DUMMYFUNCTION("""COMPUTED_VALUE"""),46021.0)</f>
        <v>46021</v>
      </c>
      <c r="O4" s="9">
        <f>IFERROR(__xludf.DUMMYFUNCTION("""COMPUTED_VALUE"""),4.14)</f>
        <v>4.14</v>
      </c>
    </row>
    <row r="5">
      <c r="B5" s="11">
        <f>IFERROR(__xludf.DUMMYFUNCTION("""COMPUTED_VALUE"""),46020.0)</f>
        <v>46020</v>
      </c>
      <c r="C5" s="9">
        <f>IFERROR(__xludf.DUMMYFUNCTION("""COMPUTED_VALUE"""),4.12)</f>
        <v>4.12</v>
      </c>
      <c r="E5" s="40">
        <f>IFERROR(__xludf.DUMMYFUNCTION("""COMPUTED_VALUE"""),46020.0)</f>
        <v>46020</v>
      </c>
      <c r="F5" s="9">
        <f>IFERROR(__xludf.DUMMYFUNCTION("""COMPUTED_VALUE"""),4.12)</f>
        <v>4.12</v>
      </c>
      <c r="H5" s="17">
        <f>IFERROR(__xludf.DUMMYFUNCTION("""COMPUTED_VALUE"""),46020.0)</f>
        <v>46020</v>
      </c>
      <c r="I5" s="9">
        <f>IFERROR(__xludf.DUMMYFUNCTION("""COMPUTED_VALUE"""),4.12)</f>
        <v>4.12</v>
      </c>
      <c r="K5" s="17">
        <f>IFERROR(__xludf.DUMMYFUNCTION("""COMPUTED_VALUE"""),46020.0)</f>
        <v>46020</v>
      </c>
      <c r="L5" s="9">
        <f>IFERROR(__xludf.DUMMYFUNCTION("""COMPUTED_VALUE"""),4.12)</f>
        <v>4.12</v>
      </c>
      <c r="N5" s="17">
        <f>IFERROR(__xludf.DUMMYFUNCTION("""COMPUTED_VALUE"""),46020.0)</f>
        <v>46020</v>
      </c>
      <c r="O5" s="9">
        <f>IFERROR(__xludf.DUMMYFUNCTION("""COMPUTED_VALUE"""),4.12)</f>
        <v>4.12</v>
      </c>
    </row>
    <row r="6">
      <c r="B6" s="11">
        <f>IFERROR(__xludf.DUMMYFUNCTION("""COMPUTED_VALUE"""),46017.0)</f>
        <v>46017</v>
      </c>
      <c r="C6" s="9">
        <f>IFERROR(__xludf.DUMMYFUNCTION("""COMPUTED_VALUE"""),4.14)</f>
        <v>4.14</v>
      </c>
      <c r="E6" s="40">
        <f>IFERROR(__xludf.DUMMYFUNCTION("""COMPUTED_VALUE"""),46017.0)</f>
        <v>46017</v>
      </c>
      <c r="F6" s="9">
        <f>IFERROR(__xludf.DUMMYFUNCTION("""COMPUTED_VALUE"""),4.14)</f>
        <v>4.14</v>
      </c>
      <c r="H6" s="17">
        <f>IFERROR(__xludf.DUMMYFUNCTION("""COMPUTED_VALUE"""),46017.0)</f>
        <v>46017</v>
      </c>
      <c r="I6" s="9">
        <f>IFERROR(__xludf.DUMMYFUNCTION("""COMPUTED_VALUE"""),4.14)</f>
        <v>4.14</v>
      </c>
      <c r="K6" s="17">
        <f>IFERROR(__xludf.DUMMYFUNCTION("""COMPUTED_VALUE"""),46017.0)</f>
        <v>46017</v>
      </c>
      <c r="L6" s="9">
        <f>IFERROR(__xludf.DUMMYFUNCTION("""COMPUTED_VALUE"""),4.14)</f>
        <v>4.14</v>
      </c>
      <c r="N6" s="17">
        <f>IFERROR(__xludf.DUMMYFUNCTION("""COMPUTED_VALUE"""),46017.0)</f>
        <v>46017</v>
      </c>
      <c r="O6" s="9">
        <f>IFERROR(__xludf.DUMMYFUNCTION("""COMPUTED_VALUE"""),4.14)</f>
        <v>4.14</v>
      </c>
    </row>
    <row r="7">
      <c r="B7" s="11">
        <f>IFERROR(__xludf.DUMMYFUNCTION("""COMPUTED_VALUE"""),46016.0)</f>
        <v>46016</v>
      </c>
      <c r="C7" s="9"/>
      <c r="E7" s="40">
        <f>IFERROR(__xludf.DUMMYFUNCTION("""COMPUTED_VALUE"""),46016.0)</f>
        <v>46016</v>
      </c>
      <c r="F7" s="9"/>
      <c r="H7" s="17">
        <f>IFERROR(__xludf.DUMMYFUNCTION("""COMPUTED_VALUE"""),46016.0)</f>
        <v>46016</v>
      </c>
      <c r="I7" s="9"/>
      <c r="K7" s="17">
        <f>IFERROR(__xludf.DUMMYFUNCTION("""COMPUTED_VALUE"""),46016.0)</f>
        <v>46016</v>
      </c>
      <c r="L7" s="9"/>
      <c r="N7" s="17">
        <f>IFERROR(__xludf.DUMMYFUNCTION("""COMPUTED_VALUE"""),46016.0)</f>
        <v>46016</v>
      </c>
      <c r="O7" s="9"/>
    </row>
    <row r="8">
      <c r="B8" s="11">
        <f>IFERROR(__xludf.DUMMYFUNCTION("""COMPUTED_VALUE"""),46015.0)</f>
        <v>46015</v>
      </c>
      <c r="C8" s="9">
        <f>IFERROR(__xludf.DUMMYFUNCTION("""COMPUTED_VALUE"""),4.15)</f>
        <v>4.15</v>
      </c>
      <c r="E8" s="40">
        <f>IFERROR(__xludf.DUMMYFUNCTION("""COMPUTED_VALUE"""),46015.0)</f>
        <v>46015</v>
      </c>
      <c r="F8" s="9">
        <f>IFERROR(__xludf.DUMMYFUNCTION("""COMPUTED_VALUE"""),4.15)</f>
        <v>4.15</v>
      </c>
      <c r="H8" s="17">
        <f>IFERROR(__xludf.DUMMYFUNCTION("""COMPUTED_VALUE"""),46015.0)</f>
        <v>46015</v>
      </c>
      <c r="I8" s="9">
        <f>IFERROR(__xludf.DUMMYFUNCTION("""COMPUTED_VALUE"""),4.15)</f>
        <v>4.15</v>
      </c>
      <c r="K8" s="17">
        <f>IFERROR(__xludf.DUMMYFUNCTION("""COMPUTED_VALUE"""),46015.0)</f>
        <v>46015</v>
      </c>
      <c r="L8" s="9">
        <f>IFERROR(__xludf.DUMMYFUNCTION("""COMPUTED_VALUE"""),4.15)</f>
        <v>4.15</v>
      </c>
      <c r="N8" s="17">
        <f>IFERROR(__xludf.DUMMYFUNCTION("""COMPUTED_VALUE"""),46015.0)</f>
        <v>46015</v>
      </c>
      <c r="O8" s="9">
        <f>IFERROR(__xludf.DUMMYFUNCTION("""COMPUTED_VALUE"""),4.15)</f>
        <v>4.15</v>
      </c>
    </row>
    <row r="9">
      <c r="B9" s="11">
        <f>IFERROR(__xludf.DUMMYFUNCTION("""COMPUTED_VALUE"""),46014.0)</f>
        <v>46014</v>
      </c>
      <c r="C9" s="9">
        <f>IFERROR(__xludf.DUMMYFUNCTION("""COMPUTED_VALUE"""),4.18)</f>
        <v>4.18</v>
      </c>
      <c r="E9" s="40">
        <f>IFERROR(__xludf.DUMMYFUNCTION("""COMPUTED_VALUE"""),46014.0)</f>
        <v>46014</v>
      </c>
      <c r="F9" s="9">
        <f>IFERROR(__xludf.DUMMYFUNCTION("""COMPUTED_VALUE"""),4.18)</f>
        <v>4.18</v>
      </c>
      <c r="H9" s="17">
        <f>IFERROR(__xludf.DUMMYFUNCTION("""COMPUTED_VALUE"""),46014.0)</f>
        <v>46014</v>
      </c>
      <c r="I9" s="9">
        <f>IFERROR(__xludf.DUMMYFUNCTION("""COMPUTED_VALUE"""),4.18)</f>
        <v>4.18</v>
      </c>
      <c r="K9" s="17">
        <f>IFERROR(__xludf.DUMMYFUNCTION("""COMPUTED_VALUE"""),46014.0)</f>
        <v>46014</v>
      </c>
      <c r="L9" s="9">
        <f>IFERROR(__xludf.DUMMYFUNCTION("""COMPUTED_VALUE"""),4.18)</f>
        <v>4.18</v>
      </c>
      <c r="N9" s="17">
        <f>IFERROR(__xludf.DUMMYFUNCTION("""COMPUTED_VALUE"""),46014.0)</f>
        <v>46014</v>
      </c>
      <c r="O9" s="9">
        <f>IFERROR(__xludf.DUMMYFUNCTION("""COMPUTED_VALUE"""),4.18)</f>
        <v>4.18</v>
      </c>
    </row>
    <row r="10">
      <c r="B10" s="11">
        <f>IFERROR(__xludf.DUMMYFUNCTION("""COMPUTED_VALUE"""),46013.0)</f>
        <v>46013</v>
      </c>
      <c r="C10" s="9">
        <f>IFERROR(__xludf.DUMMYFUNCTION("""COMPUTED_VALUE"""),4.17)</f>
        <v>4.17</v>
      </c>
      <c r="E10" s="40">
        <f>IFERROR(__xludf.DUMMYFUNCTION("""COMPUTED_VALUE"""),46013.0)</f>
        <v>46013</v>
      </c>
      <c r="F10" s="9">
        <f>IFERROR(__xludf.DUMMYFUNCTION("""COMPUTED_VALUE"""),4.17)</f>
        <v>4.17</v>
      </c>
      <c r="H10" s="17">
        <f>IFERROR(__xludf.DUMMYFUNCTION("""COMPUTED_VALUE"""),46013.0)</f>
        <v>46013</v>
      </c>
      <c r="I10" s="9">
        <f>IFERROR(__xludf.DUMMYFUNCTION("""COMPUTED_VALUE"""),4.17)</f>
        <v>4.17</v>
      </c>
      <c r="K10" s="17">
        <f>IFERROR(__xludf.DUMMYFUNCTION("""COMPUTED_VALUE"""),46013.0)</f>
        <v>46013</v>
      </c>
      <c r="L10" s="9">
        <f>IFERROR(__xludf.DUMMYFUNCTION("""COMPUTED_VALUE"""),4.17)</f>
        <v>4.17</v>
      </c>
      <c r="N10" s="17">
        <f>IFERROR(__xludf.DUMMYFUNCTION("""COMPUTED_VALUE"""),46013.0)</f>
        <v>46013</v>
      </c>
      <c r="O10" s="9">
        <f>IFERROR(__xludf.DUMMYFUNCTION("""COMPUTED_VALUE"""),4.17)</f>
        <v>4.17</v>
      </c>
    </row>
    <row r="11">
      <c r="B11" s="11">
        <f>IFERROR(__xludf.DUMMYFUNCTION("""COMPUTED_VALUE"""),46010.0)</f>
        <v>46010</v>
      </c>
      <c r="C11" s="9">
        <f>IFERROR(__xludf.DUMMYFUNCTION("""COMPUTED_VALUE"""),4.16)</f>
        <v>4.16</v>
      </c>
      <c r="E11" s="40">
        <f>IFERROR(__xludf.DUMMYFUNCTION("""COMPUTED_VALUE"""),46010.0)</f>
        <v>46010</v>
      </c>
      <c r="F11" s="9">
        <f>IFERROR(__xludf.DUMMYFUNCTION("""COMPUTED_VALUE"""),4.16)</f>
        <v>4.16</v>
      </c>
      <c r="H11" s="17">
        <f>IFERROR(__xludf.DUMMYFUNCTION("""COMPUTED_VALUE"""),46010.0)</f>
        <v>46010</v>
      </c>
      <c r="I11" s="9">
        <f>IFERROR(__xludf.DUMMYFUNCTION("""COMPUTED_VALUE"""),4.16)</f>
        <v>4.16</v>
      </c>
      <c r="K11" s="17">
        <f>IFERROR(__xludf.DUMMYFUNCTION("""COMPUTED_VALUE"""),46010.0)</f>
        <v>46010</v>
      </c>
      <c r="L11" s="9">
        <f>IFERROR(__xludf.DUMMYFUNCTION("""COMPUTED_VALUE"""),4.16)</f>
        <v>4.16</v>
      </c>
      <c r="N11" s="17">
        <f>IFERROR(__xludf.DUMMYFUNCTION("""COMPUTED_VALUE"""),46010.0)</f>
        <v>46010</v>
      </c>
      <c r="O11" s="9">
        <f>IFERROR(__xludf.DUMMYFUNCTION("""COMPUTED_VALUE"""),4.16)</f>
        <v>4.16</v>
      </c>
    </row>
    <row r="12">
      <c r="B12" s="11">
        <f>IFERROR(__xludf.DUMMYFUNCTION("""COMPUTED_VALUE"""),46009.0)</f>
        <v>46009</v>
      </c>
      <c r="C12" s="9">
        <f>IFERROR(__xludf.DUMMYFUNCTION("""COMPUTED_VALUE"""),4.12)</f>
        <v>4.12</v>
      </c>
      <c r="E12" s="40">
        <f>IFERROR(__xludf.DUMMYFUNCTION("""COMPUTED_VALUE"""),46009.0)</f>
        <v>46009</v>
      </c>
      <c r="F12" s="9">
        <f>IFERROR(__xludf.DUMMYFUNCTION("""COMPUTED_VALUE"""),4.12)</f>
        <v>4.12</v>
      </c>
      <c r="H12" s="17">
        <f>IFERROR(__xludf.DUMMYFUNCTION("""COMPUTED_VALUE"""),46009.0)</f>
        <v>46009</v>
      </c>
      <c r="I12" s="9">
        <f>IFERROR(__xludf.DUMMYFUNCTION("""COMPUTED_VALUE"""),4.12)</f>
        <v>4.12</v>
      </c>
      <c r="K12" s="17">
        <f>IFERROR(__xludf.DUMMYFUNCTION("""COMPUTED_VALUE"""),46009.0)</f>
        <v>46009</v>
      </c>
      <c r="L12" s="9">
        <f>IFERROR(__xludf.DUMMYFUNCTION("""COMPUTED_VALUE"""),4.12)</f>
        <v>4.12</v>
      </c>
      <c r="N12" s="17">
        <f>IFERROR(__xludf.DUMMYFUNCTION("""COMPUTED_VALUE"""),46009.0)</f>
        <v>46009</v>
      </c>
      <c r="O12" s="9">
        <f>IFERROR(__xludf.DUMMYFUNCTION("""COMPUTED_VALUE"""),4.12)</f>
        <v>4.12</v>
      </c>
    </row>
    <row r="13">
      <c r="B13" s="11">
        <f>IFERROR(__xludf.DUMMYFUNCTION("""COMPUTED_VALUE"""),46008.0)</f>
        <v>46008</v>
      </c>
      <c r="C13" s="9">
        <f>IFERROR(__xludf.DUMMYFUNCTION("""COMPUTED_VALUE"""),4.16)</f>
        <v>4.16</v>
      </c>
      <c r="E13" s="40">
        <f>IFERROR(__xludf.DUMMYFUNCTION("""COMPUTED_VALUE"""),46008.0)</f>
        <v>46008</v>
      </c>
      <c r="F13" s="9">
        <f>IFERROR(__xludf.DUMMYFUNCTION("""COMPUTED_VALUE"""),4.16)</f>
        <v>4.16</v>
      </c>
      <c r="H13" s="17">
        <f>IFERROR(__xludf.DUMMYFUNCTION("""COMPUTED_VALUE"""),46008.0)</f>
        <v>46008</v>
      </c>
      <c r="I13" s="9">
        <f>IFERROR(__xludf.DUMMYFUNCTION("""COMPUTED_VALUE"""),4.16)</f>
        <v>4.16</v>
      </c>
      <c r="K13" s="17">
        <f>IFERROR(__xludf.DUMMYFUNCTION("""COMPUTED_VALUE"""),46008.0)</f>
        <v>46008</v>
      </c>
      <c r="L13" s="9">
        <f>IFERROR(__xludf.DUMMYFUNCTION("""COMPUTED_VALUE"""),4.16)</f>
        <v>4.16</v>
      </c>
      <c r="N13" s="17">
        <f>IFERROR(__xludf.DUMMYFUNCTION("""COMPUTED_VALUE"""),46008.0)</f>
        <v>46008</v>
      </c>
      <c r="O13" s="9">
        <f>IFERROR(__xludf.DUMMYFUNCTION("""COMPUTED_VALUE"""),4.16)</f>
        <v>4.16</v>
      </c>
    </row>
    <row r="14">
      <c r="B14" s="11">
        <f>IFERROR(__xludf.DUMMYFUNCTION("""COMPUTED_VALUE"""),46007.0)</f>
        <v>46007</v>
      </c>
      <c r="C14" s="9">
        <f>IFERROR(__xludf.DUMMYFUNCTION("""COMPUTED_VALUE"""),4.15)</f>
        <v>4.15</v>
      </c>
      <c r="E14" s="40">
        <f>IFERROR(__xludf.DUMMYFUNCTION("""COMPUTED_VALUE"""),46007.0)</f>
        <v>46007</v>
      </c>
      <c r="F14" s="9">
        <f>IFERROR(__xludf.DUMMYFUNCTION("""COMPUTED_VALUE"""),4.15)</f>
        <v>4.15</v>
      </c>
      <c r="H14" s="17">
        <f>IFERROR(__xludf.DUMMYFUNCTION("""COMPUTED_VALUE"""),46007.0)</f>
        <v>46007</v>
      </c>
      <c r="I14" s="9">
        <f>IFERROR(__xludf.DUMMYFUNCTION("""COMPUTED_VALUE"""),4.15)</f>
        <v>4.15</v>
      </c>
      <c r="K14" s="17">
        <f>IFERROR(__xludf.DUMMYFUNCTION("""COMPUTED_VALUE"""),46007.0)</f>
        <v>46007</v>
      </c>
      <c r="L14" s="9">
        <f>IFERROR(__xludf.DUMMYFUNCTION("""COMPUTED_VALUE"""),4.15)</f>
        <v>4.15</v>
      </c>
      <c r="N14" s="17">
        <f>IFERROR(__xludf.DUMMYFUNCTION("""COMPUTED_VALUE"""),46007.0)</f>
        <v>46007</v>
      </c>
      <c r="O14" s="9">
        <f>IFERROR(__xludf.DUMMYFUNCTION("""COMPUTED_VALUE"""),4.15)</f>
        <v>4.15</v>
      </c>
    </row>
    <row r="15">
      <c r="B15" s="11">
        <f>IFERROR(__xludf.DUMMYFUNCTION("""COMPUTED_VALUE"""),46006.0)</f>
        <v>46006</v>
      </c>
      <c r="C15" s="9">
        <f>IFERROR(__xludf.DUMMYFUNCTION("""COMPUTED_VALUE"""),4.18)</f>
        <v>4.18</v>
      </c>
      <c r="E15" s="40">
        <f>IFERROR(__xludf.DUMMYFUNCTION("""COMPUTED_VALUE"""),46006.0)</f>
        <v>46006</v>
      </c>
      <c r="F15" s="9">
        <f>IFERROR(__xludf.DUMMYFUNCTION("""COMPUTED_VALUE"""),4.18)</f>
        <v>4.18</v>
      </c>
      <c r="H15" s="17">
        <f>IFERROR(__xludf.DUMMYFUNCTION("""COMPUTED_VALUE"""),46006.0)</f>
        <v>46006</v>
      </c>
      <c r="I15" s="9">
        <f>IFERROR(__xludf.DUMMYFUNCTION("""COMPUTED_VALUE"""),4.18)</f>
        <v>4.18</v>
      </c>
      <c r="K15" s="17">
        <f>IFERROR(__xludf.DUMMYFUNCTION("""COMPUTED_VALUE"""),46006.0)</f>
        <v>46006</v>
      </c>
      <c r="L15" s="9">
        <f>IFERROR(__xludf.DUMMYFUNCTION("""COMPUTED_VALUE"""),4.18)</f>
        <v>4.18</v>
      </c>
      <c r="M15" s="15"/>
      <c r="N15" s="17">
        <f>IFERROR(__xludf.DUMMYFUNCTION("""COMPUTED_VALUE"""),46006.0)</f>
        <v>46006</v>
      </c>
      <c r="O15" s="9">
        <f>IFERROR(__xludf.DUMMYFUNCTION("""COMPUTED_VALUE"""),4.18)</f>
        <v>4.18</v>
      </c>
    </row>
    <row r="16">
      <c r="B16" s="11">
        <f>IFERROR(__xludf.DUMMYFUNCTION("""COMPUTED_VALUE"""),46003.0)</f>
        <v>46003</v>
      </c>
      <c r="C16" s="9">
        <f>IFERROR(__xludf.DUMMYFUNCTION("""COMPUTED_VALUE"""),4.19)</f>
        <v>4.19</v>
      </c>
      <c r="E16" s="40">
        <f>IFERROR(__xludf.DUMMYFUNCTION("""COMPUTED_VALUE"""),46003.0)</f>
        <v>46003</v>
      </c>
      <c r="F16" s="9">
        <f>IFERROR(__xludf.DUMMYFUNCTION("""COMPUTED_VALUE"""),4.19)</f>
        <v>4.19</v>
      </c>
      <c r="H16" s="17">
        <f>IFERROR(__xludf.DUMMYFUNCTION("""COMPUTED_VALUE"""),46003.0)</f>
        <v>46003</v>
      </c>
      <c r="I16" s="9">
        <f>IFERROR(__xludf.DUMMYFUNCTION("""COMPUTED_VALUE"""),4.19)</f>
        <v>4.19</v>
      </c>
      <c r="K16" s="17">
        <f>IFERROR(__xludf.DUMMYFUNCTION("""COMPUTED_VALUE"""),46003.0)</f>
        <v>46003</v>
      </c>
      <c r="L16" s="9">
        <f>IFERROR(__xludf.DUMMYFUNCTION("""COMPUTED_VALUE"""),4.19)</f>
        <v>4.19</v>
      </c>
      <c r="N16" s="17">
        <f>IFERROR(__xludf.DUMMYFUNCTION("""COMPUTED_VALUE"""),46003.0)</f>
        <v>46003</v>
      </c>
      <c r="O16" s="9">
        <f>IFERROR(__xludf.DUMMYFUNCTION("""COMPUTED_VALUE"""),4.19)</f>
        <v>4.19</v>
      </c>
    </row>
    <row r="17">
      <c r="B17" s="11">
        <f>IFERROR(__xludf.DUMMYFUNCTION("""COMPUTED_VALUE"""),46002.0)</f>
        <v>46002</v>
      </c>
      <c r="C17" s="9">
        <f>IFERROR(__xludf.DUMMYFUNCTION("""COMPUTED_VALUE"""),4.14)</f>
        <v>4.14</v>
      </c>
      <c r="E17" s="40">
        <f>IFERROR(__xludf.DUMMYFUNCTION("""COMPUTED_VALUE"""),46002.0)</f>
        <v>46002</v>
      </c>
      <c r="F17" s="9">
        <f>IFERROR(__xludf.DUMMYFUNCTION("""COMPUTED_VALUE"""),4.14)</f>
        <v>4.14</v>
      </c>
      <c r="H17" s="17">
        <f>IFERROR(__xludf.DUMMYFUNCTION("""COMPUTED_VALUE"""),46002.0)</f>
        <v>46002</v>
      </c>
      <c r="I17" s="9">
        <f>IFERROR(__xludf.DUMMYFUNCTION("""COMPUTED_VALUE"""),4.14)</f>
        <v>4.14</v>
      </c>
      <c r="K17" s="17">
        <f>IFERROR(__xludf.DUMMYFUNCTION("""COMPUTED_VALUE"""),46002.0)</f>
        <v>46002</v>
      </c>
      <c r="L17" s="9">
        <f>IFERROR(__xludf.DUMMYFUNCTION("""COMPUTED_VALUE"""),4.14)</f>
        <v>4.14</v>
      </c>
      <c r="N17" s="17">
        <f>IFERROR(__xludf.DUMMYFUNCTION("""COMPUTED_VALUE"""),46002.0)</f>
        <v>46002</v>
      </c>
      <c r="O17" s="9">
        <f>IFERROR(__xludf.DUMMYFUNCTION("""COMPUTED_VALUE"""),4.14)</f>
        <v>4.14</v>
      </c>
    </row>
    <row r="18">
      <c r="B18" s="11">
        <f>IFERROR(__xludf.DUMMYFUNCTION("""COMPUTED_VALUE"""),46001.0)</f>
        <v>46001</v>
      </c>
      <c r="C18" s="9">
        <f>IFERROR(__xludf.DUMMYFUNCTION("""COMPUTED_VALUE"""),4.13)</f>
        <v>4.13</v>
      </c>
      <c r="E18" s="40">
        <f>IFERROR(__xludf.DUMMYFUNCTION("""COMPUTED_VALUE"""),46001.0)</f>
        <v>46001</v>
      </c>
      <c r="F18" s="9">
        <f>IFERROR(__xludf.DUMMYFUNCTION("""COMPUTED_VALUE"""),4.13)</f>
        <v>4.13</v>
      </c>
      <c r="H18" s="17">
        <f>IFERROR(__xludf.DUMMYFUNCTION("""COMPUTED_VALUE"""),46001.0)</f>
        <v>46001</v>
      </c>
      <c r="I18" s="9">
        <f>IFERROR(__xludf.DUMMYFUNCTION("""COMPUTED_VALUE"""),4.13)</f>
        <v>4.13</v>
      </c>
      <c r="K18" s="17">
        <f>IFERROR(__xludf.DUMMYFUNCTION("""COMPUTED_VALUE"""),46001.0)</f>
        <v>46001</v>
      </c>
      <c r="L18" s="9">
        <f>IFERROR(__xludf.DUMMYFUNCTION("""COMPUTED_VALUE"""),4.13)</f>
        <v>4.13</v>
      </c>
      <c r="N18" s="17">
        <f>IFERROR(__xludf.DUMMYFUNCTION("""COMPUTED_VALUE"""),46001.0)</f>
        <v>46001</v>
      </c>
      <c r="O18" s="9">
        <f>IFERROR(__xludf.DUMMYFUNCTION("""COMPUTED_VALUE"""),4.13)</f>
        <v>4.13</v>
      </c>
    </row>
    <row r="19">
      <c r="B19" s="11">
        <f>IFERROR(__xludf.DUMMYFUNCTION("""COMPUTED_VALUE"""),46000.0)</f>
        <v>46000</v>
      </c>
      <c r="C19" s="9">
        <f>IFERROR(__xludf.DUMMYFUNCTION("""COMPUTED_VALUE"""),4.18)</f>
        <v>4.18</v>
      </c>
      <c r="E19" s="40">
        <f>IFERROR(__xludf.DUMMYFUNCTION("""COMPUTED_VALUE"""),46000.0)</f>
        <v>46000</v>
      </c>
      <c r="F19" s="9">
        <f>IFERROR(__xludf.DUMMYFUNCTION("""COMPUTED_VALUE"""),4.18)</f>
        <v>4.18</v>
      </c>
      <c r="H19" s="17">
        <f>IFERROR(__xludf.DUMMYFUNCTION("""COMPUTED_VALUE"""),46000.0)</f>
        <v>46000</v>
      </c>
      <c r="I19" s="9">
        <f>IFERROR(__xludf.DUMMYFUNCTION("""COMPUTED_VALUE"""),4.18)</f>
        <v>4.18</v>
      </c>
      <c r="K19" s="17">
        <f>IFERROR(__xludf.DUMMYFUNCTION("""COMPUTED_VALUE"""),46000.0)</f>
        <v>46000</v>
      </c>
      <c r="L19" s="9">
        <f>IFERROR(__xludf.DUMMYFUNCTION("""COMPUTED_VALUE"""),4.18)</f>
        <v>4.18</v>
      </c>
      <c r="N19" s="17">
        <f>IFERROR(__xludf.DUMMYFUNCTION("""COMPUTED_VALUE"""),46000.0)</f>
        <v>46000</v>
      </c>
      <c r="O19" s="9">
        <f>IFERROR(__xludf.DUMMYFUNCTION("""COMPUTED_VALUE"""),4.18)</f>
        <v>4.18</v>
      </c>
    </row>
    <row r="20">
      <c r="B20" s="11">
        <f>IFERROR(__xludf.DUMMYFUNCTION("""COMPUTED_VALUE"""),45999.0)</f>
        <v>45999</v>
      </c>
      <c r="C20" s="9">
        <f>IFERROR(__xludf.DUMMYFUNCTION("""COMPUTED_VALUE"""),4.17)</f>
        <v>4.17</v>
      </c>
      <c r="E20" s="40">
        <f>IFERROR(__xludf.DUMMYFUNCTION("""COMPUTED_VALUE"""),45999.0)</f>
        <v>45999</v>
      </c>
      <c r="F20" s="9">
        <f>IFERROR(__xludf.DUMMYFUNCTION("""COMPUTED_VALUE"""),4.17)</f>
        <v>4.17</v>
      </c>
      <c r="H20" s="17">
        <f>IFERROR(__xludf.DUMMYFUNCTION("""COMPUTED_VALUE"""),45999.0)</f>
        <v>45999</v>
      </c>
      <c r="I20" s="9">
        <f>IFERROR(__xludf.DUMMYFUNCTION("""COMPUTED_VALUE"""),4.17)</f>
        <v>4.17</v>
      </c>
      <c r="K20" s="17">
        <f>IFERROR(__xludf.DUMMYFUNCTION("""COMPUTED_VALUE"""),45999.0)</f>
        <v>45999</v>
      </c>
      <c r="L20" s="9">
        <f>IFERROR(__xludf.DUMMYFUNCTION("""COMPUTED_VALUE"""),4.17)</f>
        <v>4.17</v>
      </c>
      <c r="N20" s="17">
        <f>IFERROR(__xludf.DUMMYFUNCTION("""COMPUTED_VALUE"""),45999.0)</f>
        <v>45999</v>
      </c>
      <c r="O20" s="9">
        <f>IFERROR(__xludf.DUMMYFUNCTION("""COMPUTED_VALUE"""),4.17)</f>
        <v>4.17</v>
      </c>
    </row>
    <row r="21">
      <c r="B21" s="11">
        <f>IFERROR(__xludf.DUMMYFUNCTION("""COMPUTED_VALUE"""),45996.0)</f>
        <v>45996</v>
      </c>
      <c r="C21" s="9">
        <f>IFERROR(__xludf.DUMMYFUNCTION("""COMPUTED_VALUE"""),4.14)</f>
        <v>4.14</v>
      </c>
      <c r="E21" s="40">
        <f>IFERROR(__xludf.DUMMYFUNCTION("""COMPUTED_VALUE"""),45996.0)</f>
        <v>45996</v>
      </c>
      <c r="F21" s="9">
        <f>IFERROR(__xludf.DUMMYFUNCTION("""COMPUTED_VALUE"""),4.14)</f>
        <v>4.14</v>
      </c>
      <c r="H21" s="17">
        <f>IFERROR(__xludf.DUMMYFUNCTION("""COMPUTED_VALUE"""),45996.0)</f>
        <v>45996</v>
      </c>
      <c r="I21" s="9">
        <f>IFERROR(__xludf.DUMMYFUNCTION("""COMPUTED_VALUE"""),4.14)</f>
        <v>4.14</v>
      </c>
      <c r="K21" s="17">
        <f>IFERROR(__xludf.DUMMYFUNCTION("""COMPUTED_VALUE"""),45996.0)</f>
        <v>45996</v>
      </c>
      <c r="L21" s="9">
        <f>IFERROR(__xludf.DUMMYFUNCTION("""COMPUTED_VALUE"""),4.14)</f>
        <v>4.14</v>
      </c>
      <c r="N21" s="17">
        <f>IFERROR(__xludf.DUMMYFUNCTION("""COMPUTED_VALUE"""),45996.0)</f>
        <v>45996</v>
      </c>
      <c r="O21" s="9">
        <f>IFERROR(__xludf.DUMMYFUNCTION("""COMPUTED_VALUE"""),4.14)</f>
        <v>4.14</v>
      </c>
    </row>
    <row r="22">
      <c r="B22" s="11">
        <f>IFERROR(__xludf.DUMMYFUNCTION("""COMPUTED_VALUE"""),45995.0)</f>
        <v>45995</v>
      </c>
      <c r="C22" s="9">
        <f>IFERROR(__xludf.DUMMYFUNCTION("""COMPUTED_VALUE"""),4.11)</f>
        <v>4.11</v>
      </c>
      <c r="E22" s="40">
        <f>IFERROR(__xludf.DUMMYFUNCTION("""COMPUTED_VALUE"""),45995.0)</f>
        <v>45995</v>
      </c>
      <c r="F22" s="9">
        <f>IFERROR(__xludf.DUMMYFUNCTION("""COMPUTED_VALUE"""),4.11)</f>
        <v>4.11</v>
      </c>
      <c r="H22" s="17">
        <f>IFERROR(__xludf.DUMMYFUNCTION("""COMPUTED_VALUE"""),45995.0)</f>
        <v>45995</v>
      </c>
      <c r="I22" s="9">
        <f>IFERROR(__xludf.DUMMYFUNCTION("""COMPUTED_VALUE"""),4.11)</f>
        <v>4.11</v>
      </c>
      <c r="K22" s="17">
        <f>IFERROR(__xludf.DUMMYFUNCTION("""COMPUTED_VALUE"""),45995.0)</f>
        <v>45995</v>
      </c>
      <c r="L22" s="9">
        <f>IFERROR(__xludf.DUMMYFUNCTION("""COMPUTED_VALUE"""),4.11)</f>
        <v>4.11</v>
      </c>
      <c r="N22" s="17">
        <f>IFERROR(__xludf.DUMMYFUNCTION("""COMPUTED_VALUE"""),45995.0)</f>
        <v>45995</v>
      </c>
      <c r="O22" s="9">
        <f>IFERROR(__xludf.DUMMYFUNCTION("""COMPUTED_VALUE"""),4.11)</f>
        <v>4.11</v>
      </c>
    </row>
    <row r="23">
      <c r="B23" s="11">
        <f>IFERROR(__xludf.DUMMYFUNCTION("""COMPUTED_VALUE"""),45994.0)</f>
        <v>45994</v>
      </c>
      <c r="C23" s="9">
        <f>IFERROR(__xludf.DUMMYFUNCTION("""COMPUTED_VALUE"""),4.06)</f>
        <v>4.06</v>
      </c>
      <c r="E23" s="40">
        <f>IFERROR(__xludf.DUMMYFUNCTION("""COMPUTED_VALUE"""),45994.0)</f>
        <v>45994</v>
      </c>
      <c r="F23" s="9">
        <f>IFERROR(__xludf.DUMMYFUNCTION("""COMPUTED_VALUE"""),4.06)</f>
        <v>4.06</v>
      </c>
      <c r="H23" s="17">
        <f>IFERROR(__xludf.DUMMYFUNCTION("""COMPUTED_VALUE"""),45994.0)</f>
        <v>45994</v>
      </c>
      <c r="I23" s="9">
        <f>IFERROR(__xludf.DUMMYFUNCTION("""COMPUTED_VALUE"""),4.06)</f>
        <v>4.06</v>
      </c>
      <c r="K23" s="17">
        <f>IFERROR(__xludf.DUMMYFUNCTION("""COMPUTED_VALUE"""),45994.0)</f>
        <v>45994</v>
      </c>
      <c r="L23" s="9">
        <f>IFERROR(__xludf.DUMMYFUNCTION("""COMPUTED_VALUE"""),4.06)</f>
        <v>4.06</v>
      </c>
      <c r="N23" s="17"/>
    </row>
    <row r="24">
      <c r="B24" s="11">
        <f>IFERROR(__xludf.DUMMYFUNCTION("""COMPUTED_VALUE"""),45993.0)</f>
        <v>45993</v>
      </c>
      <c r="C24" s="9">
        <f>IFERROR(__xludf.DUMMYFUNCTION("""COMPUTED_VALUE"""),4.09)</f>
        <v>4.09</v>
      </c>
      <c r="E24" s="40">
        <f>IFERROR(__xludf.DUMMYFUNCTION("""COMPUTED_VALUE"""),45993.0)</f>
        <v>45993</v>
      </c>
      <c r="F24" s="9">
        <f>IFERROR(__xludf.DUMMYFUNCTION("""COMPUTED_VALUE"""),4.09)</f>
        <v>4.09</v>
      </c>
      <c r="H24" s="17">
        <f>IFERROR(__xludf.DUMMYFUNCTION("""COMPUTED_VALUE"""),45993.0)</f>
        <v>45993</v>
      </c>
      <c r="I24" s="9">
        <f>IFERROR(__xludf.DUMMYFUNCTION("""COMPUTED_VALUE"""),4.09)</f>
        <v>4.09</v>
      </c>
      <c r="K24" s="17">
        <f>IFERROR(__xludf.DUMMYFUNCTION("""COMPUTED_VALUE"""),45993.0)</f>
        <v>45993</v>
      </c>
      <c r="L24" s="9">
        <f>IFERROR(__xludf.DUMMYFUNCTION("""COMPUTED_VALUE"""),4.09)</f>
        <v>4.09</v>
      </c>
      <c r="N24" s="17"/>
    </row>
    <row r="25">
      <c r="B25" s="11">
        <f>IFERROR(__xludf.DUMMYFUNCTION("""COMPUTED_VALUE"""),45992.0)</f>
        <v>45992</v>
      </c>
      <c r="C25" s="9">
        <f>IFERROR(__xludf.DUMMYFUNCTION("""COMPUTED_VALUE"""),4.09)</f>
        <v>4.09</v>
      </c>
      <c r="E25" s="40">
        <f>IFERROR(__xludf.DUMMYFUNCTION("""COMPUTED_VALUE"""),45992.0)</f>
        <v>45992</v>
      </c>
      <c r="F25" s="9">
        <f>IFERROR(__xludf.DUMMYFUNCTION("""COMPUTED_VALUE"""),4.09)</f>
        <v>4.09</v>
      </c>
      <c r="H25" s="17">
        <f>IFERROR(__xludf.DUMMYFUNCTION("""COMPUTED_VALUE"""),45992.0)</f>
        <v>45992</v>
      </c>
      <c r="I25" s="9">
        <f>IFERROR(__xludf.DUMMYFUNCTION("""COMPUTED_VALUE"""),4.09)</f>
        <v>4.09</v>
      </c>
      <c r="K25" s="17">
        <f>IFERROR(__xludf.DUMMYFUNCTION("""COMPUTED_VALUE"""),45992.0)</f>
        <v>45992</v>
      </c>
      <c r="L25" s="9">
        <f>IFERROR(__xludf.DUMMYFUNCTION("""COMPUTED_VALUE"""),4.09)</f>
        <v>4.09</v>
      </c>
      <c r="N25" s="17"/>
    </row>
    <row r="26">
      <c r="B26" s="11">
        <f>IFERROR(__xludf.DUMMYFUNCTION("""COMPUTED_VALUE"""),45989.0)</f>
        <v>45989</v>
      </c>
      <c r="C26" s="9">
        <f>IFERROR(__xludf.DUMMYFUNCTION("""COMPUTED_VALUE"""),4.02)</f>
        <v>4.02</v>
      </c>
      <c r="E26" s="40">
        <f>IFERROR(__xludf.DUMMYFUNCTION("""COMPUTED_VALUE"""),45989.0)</f>
        <v>45989</v>
      </c>
      <c r="F26" s="9">
        <f>IFERROR(__xludf.DUMMYFUNCTION("""COMPUTED_VALUE"""),4.02)</f>
        <v>4.02</v>
      </c>
      <c r="H26" s="17">
        <f>IFERROR(__xludf.DUMMYFUNCTION("""COMPUTED_VALUE"""),45989.0)</f>
        <v>45989</v>
      </c>
      <c r="I26" s="9">
        <f>IFERROR(__xludf.DUMMYFUNCTION("""COMPUTED_VALUE"""),4.02)</f>
        <v>4.02</v>
      </c>
      <c r="K26" s="17">
        <f>IFERROR(__xludf.DUMMYFUNCTION("""COMPUTED_VALUE"""),45989.0)</f>
        <v>45989</v>
      </c>
      <c r="L26" s="9">
        <f>IFERROR(__xludf.DUMMYFUNCTION("""COMPUTED_VALUE"""),4.02)</f>
        <v>4.02</v>
      </c>
      <c r="N26" s="17"/>
    </row>
    <row r="27">
      <c r="B27" s="11">
        <f>IFERROR(__xludf.DUMMYFUNCTION("""COMPUTED_VALUE"""),45988.0)</f>
        <v>45988</v>
      </c>
      <c r="C27" s="9"/>
      <c r="E27" s="40">
        <f>IFERROR(__xludf.DUMMYFUNCTION("""COMPUTED_VALUE"""),45988.0)</f>
        <v>45988</v>
      </c>
      <c r="F27" s="9"/>
      <c r="H27" s="17">
        <f>IFERROR(__xludf.DUMMYFUNCTION("""COMPUTED_VALUE"""),45988.0)</f>
        <v>45988</v>
      </c>
      <c r="I27" s="9"/>
      <c r="K27" s="17">
        <f>IFERROR(__xludf.DUMMYFUNCTION("""COMPUTED_VALUE"""),45988.0)</f>
        <v>45988</v>
      </c>
      <c r="L27" s="9"/>
      <c r="N27" s="17"/>
    </row>
    <row r="28">
      <c r="B28" s="11">
        <f>IFERROR(__xludf.DUMMYFUNCTION("""COMPUTED_VALUE"""),45987.0)</f>
        <v>45987</v>
      </c>
      <c r="C28" s="9">
        <f>IFERROR(__xludf.DUMMYFUNCTION("""COMPUTED_VALUE"""),4.0)</f>
        <v>4</v>
      </c>
      <c r="E28" s="40">
        <f>IFERROR(__xludf.DUMMYFUNCTION("""COMPUTED_VALUE"""),45987.0)</f>
        <v>45987</v>
      </c>
      <c r="F28" s="9">
        <f>IFERROR(__xludf.DUMMYFUNCTION("""COMPUTED_VALUE"""),4.0)</f>
        <v>4</v>
      </c>
      <c r="H28" s="17">
        <f>IFERROR(__xludf.DUMMYFUNCTION("""COMPUTED_VALUE"""),45987.0)</f>
        <v>45987</v>
      </c>
      <c r="I28" s="9">
        <f>IFERROR(__xludf.DUMMYFUNCTION("""COMPUTED_VALUE"""),4.0)</f>
        <v>4</v>
      </c>
      <c r="K28" s="17">
        <f>IFERROR(__xludf.DUMMYFUNCTION("""COMPUTED_VALUE"""),45987.0)</f>
        <v>45987</v>
      </c>
      <c r="L28" s="9">
        <f>IFERROR(__xludf.DUMMYFUNCTION("""COMPUTED_VALUE"""),4.0)</f>
        <v>4</v>
      </c>
      <c r="N28" s="17"/>
    </row>
    <row r="29">
      <c r="B29" s="11">
        <f>IFERROR(__xludf.DUMMYFUNCTION("""COMPUTED_VALUE"""),45986.0)</f>
        <v>45986</v>
      </c>
      <c r="C29" s="9">
        <f>IFERROR(__xludf.DUMMYFUNCTION("""COMPUTED_VALUE"""),4.01)</f>
        <v>4.01</v>
      </c>
      <c r="E29" s="40">
        <f>IFERROR(__xludf.DUMMYFUNCTION("""COMPUTED_VALUE"""),45986.0)</f>
        <v>45986</v>
      </c>
      <c r="F29" s="9">
        <f>IFERROR(__xludf.DUMMYFUNCTION("""COMPUTED_VALUE"""),4.01)</f>
        <v>4.01</v>
      </c>
      <c r="H29" s="17">
        <f>IFERROR(__xludf.DUMMYFUNCTION("""COMPUTED_VALUE"""),45986.0)</f>
        <v>45986</v>
      </c>
      <c r="I29" s="9">
        <f>IFERROR(__xludf.DUMMYFUNCTION("""COMPUTED_VALUE"""),4.01)</f>
        <v>4.01</v>
      </c>
      <c r="K29" s="17">
        <f>IFERROR(__xludf.DUMMYFUNCTION("""COMPUTED_VALUE"""),45986.0)</f>
        <v>45986</v>
      </c>
      <c r="L29" s="9">
        <f>IFERROR(__xludf.DUMMYFUNCTION("""COMPUTED_VALUE"""),4.01)</f>
        <v>4.01</v>
      </c>
      <c r="N29" s="17"/>
    </row>
    <row r="30">
      <c r="B30" s="11">
        <f>IFERROR(__xludf.DUMMYFUNCTION("""COMPUTED_VALUE"""),45985.0)</f>
        <v>45985</v>
      </c>
      <c r="C30" s="9">
        <f>IFERROR(__xludf.DUMMYFUNCTION("""COMPUTED_VALUE"""),4.04)</f>
        <v>4.04</v>
      </c>
      <c r="E30" s="40">
        <f>IFERROR(__xludf.DUMMYFUNCTION("""COMPUTED_VALUE"""),45985.0)</f>
        <v>45985</v>
      </c>
      <c r="F30" s="9">
        <f>IFERROR(__xludf.DUMMYFUNCTION("""COMPUTED_VALUE"""),4.04)</f>
        <v>4.04</v>
      </c>
      <c r="H30" s="17">
        <f>IFERROR(__xludf.DUMMYFUNCTION("""COMPUTED_VALUE"""),45985.0)</f>
        <v>45985</v>
      </c>
      <c r="I30" s="9">
        <f>IFERROR(__xludf.DUMMYFUNCTION("""COMPUTED_VALUE"""),4.04)</f>
        <v>4.04</v>
      </c>
      <c r="K30" s="17">
        <f>IFERROR(__xludf.DUMMYFUNCTION("""COMPUTED_VALUE"""),45985.0)</f>
        <v>45985</v>
      </c>
      <c r="L30" s="9">
        <f>IFERROR(__xludf.DUMMYFUNCTION("""COMPUTED_VALUE"""),4.04)</f>
        <v>4.04</v>
      </c>
      <c r="N30" s="17"/>
    </row>
    <row r="31">
      <c r="B31" s="11">
        <f>IFERROR(__xludf.DUMMYFUNCTION("""COMPUTED_VALUE"""),45982.0)</f>
        <v>45982</v>
      </c>
      <c r="C31" s="9">
        <f>IFERROR(__xludf.DUMMYFUNCTION("""COMPUTED_VALUE"""),4.06)</f>
        <v>4.06</v>
      </c>
      <c r="E31" s="40">
        <f>IFERROR(__xludf.DUMMYFUNCTION("""COMPUTED_VALUE"""),45982.0)</f>
        <v>45982</v>
      </c>
      <c r="F31" s="9">
        <f>IFERROR(__xludf.DUMMYFUNCTION("""COMPUTED_VALUE"""),4.06)</f>
        <v>4.06</v>
      </c>
      <c r="H31" s="17">
        <f>IFERROR(__xludf.DUMMYFUNCTION("""COMPUTED_VALUE"""),45982.0)</f>
        <v>45982</v>
      </c>
      <c r="I31" s="9">
        <f>IFERROR(__xludf.DUMMYFUNCTION("""COMPUTED_VALUE"""),4.06)</f>
        <v>4.06</v>
      </c>
      <c r="K31" s="17">
        <f>IFERROR(__xludf.DUMMYFUNCTION("""COMPUTED_VALUE"""),45982.0)</f>
        <v>45982</v>
      </c>
      <c r="L31" s="9">
        <f>IFERROR(__xludf.DUMMYFUNCTION("""COMPUTED_VALUE"""),4.06)</f>
        <v>4.06</v>
      </c>
      <c r="N31" s="17"/>
    </row>
    <row r="32">
      <c r="B32" s="11">
        <f>IFERROR(__xludf.DUMMYFUNCTION("""COMPUTED_VALUE"""),45981.0)</f>
        <v>45981</v>
      </c>
      <c r="C32" s="9">
        <f>IFERROR(__xludf.DUMMYFUNCTION("""COMPUTED_VALUE"""),4.1)</f>
        <v>4.1</v>
      </c>
      <c r="E32" s="40">
        <f>IFERROR(__xludf.DUMMYFUNCTION("""COMPUTED_VALUE"""),45981.0)</f>
        <v>45981</v>
      </c>
      <c r="F32" s="9">
        <f>IFERROR(__xludf.DUMMYFUNCTION("""COMPUTED_VALUE"""),4.1)</f>
        <v>4.1</v>
      </c>
      <c r="H32" s="17">
        <f>IFERROR(__xludf.DUMMYFUNCTION("""COMPUTED_VALUE"""),45981.0)</f>
        <v>45981</v>
      </c>
      <c r="I32" s="9">
        <f>IFERROR(__xludf.DUMMYFUNCTION("""COMPUTED_VALUE"""),4.1)</f>
        <v>4.1</v>
      </c>
      <c r="K32" s="17">
        <f>IFERROR(__xludf.DUMMYFUNCTION("""COMPUTED_VALUE"""),45981.0)</f>
        <v>45981</v>
      </c>
      <c r="L32" s="9">
        <f>IFERROR(__xludf.DUMMYFUNCTION("""COMPUTED_VALUE"""),4.1)</f>
        <v>4.1</v>
      </c>
      <c r="N32" s="17"/>
    </row>
    <row r="33">
      <c r="B33" s="11">
        <f>IFERROR(__xludf.DUMMYFUNCTION("""COMPUTED_VALUE"""),45980.0)</f>
        <v>45980</v>
      </c>
      <c r="C33" s="9">
        <f>IFERROR(__xludf.DUMMYFUNCTION("""COMPUTED_VALUE"""),4.13)</f>
        <v>4.13</v>
      </c>
      <c r="E33" s="40">
        <f>IFERROR(__xludf.DUMMYFUNCTION("""COMPUTED_VALUE"""),45980.0)</f>
        <v>45980</v>
      </c>
      <c r="F33" s="9">
        <f>IFERROR(__xludf.DUMMYFUNCTION("""COMPUTED_VALUE"""),4.13)</f>
        <v>4.13</v>
      </c>
      <c r="H33" s="17">
        <f>IFERROR(__xludf.DUMMYFUNCTION("""COMPUTED_VALUE"""),45980.0)</f>
        <v>45980</v>
      </c>
      <c r="I33" s="9">
        <f>IFERROR(__xludf.DUMMYFUNCTION("""COMPUTED_VALUE"""),4.13)</f>
        <v>4.13</v>
      </c>
      <c r="K33" s="17">
        <f>IFERROR(__xludf.DUMMYFUNCTION("""COMPUTED_VALUE"""),45980.0)</f>
        <v>45980</v>
      </c>
      <c r="L33" s="9">
        <f>IFERROR(__xludf.DUMMYFUNCTION("""COMPUTED_VALUE"""),4.13)</f>
        <v>4.13</v>
      </c>
      <c r="N33" s="17"/>
    </row>
    <row r="34">
      <c r="B34" s="11">
        <f>IFERROR(__xludf.DUMMYFUNCTION("""COMPUTED_VALUE"""),45979.0)</f>
        <v>45979</v>
      </c>
      <c r="C34" s="9">
        <f>IFERROR(__xludf.DUMMYFUNCTION("""COMPUTED_VALUE"""),4.12)</f>
        <v>4.12</v>
      </c>
      <c r="E34" s="40">
        <f>IFERROR(__xludf.DUMMYFUNCTION("""COMPUTED_VALUE"""),45979.0)</f>
        <v>45979</v>
      </c>
      <c r="F34" s="9">
        <f>IFERROR(__xludf.DUMMYFUNCTION("""COMPUTED_VALUE"""),4.12)</f>
        <v>4.12</v>
      </c>
      <c r="H34" s="17">
        <f>IFERROR(__xludf.DUMMYFUNCTION("""COMPUTED_VALUE"""),45979.0)</f>
        <v>45979</v>
      </c>
      <c r="I34" s="9">
        <f>IFERROR(__xludf.DUMMYFUNCTION("""COMPUTED_VALUE"""),4.12)</f>
        <v>4.12</v>
      </c>
      <c r="K34" s="17">
        <f>IFERROR(__xludf.DUMMYFUNCTION("""COMPUTED_VALUE"""),45979.0)</f>
        <v>45979</v>
      </c>
      <c r="L34" s="9">
        <f>IFERROR(__xludf.DUMMYFUNCTION("""COMPUTED_VALUE"""),4.12)</f>
        <v>4.12</v>
      </c>
      <c r="N34" s="17"/>
    </row>
    <row r="35">
      <c r="B35" s="11">
        <f>IFERROR(__xludf.DUMMYFUNCTION("""COMPUTED_VALUE"""),45978.0)</f>
        <v>45978</v>
      </c>
      <c r="C35" s="9">
        <f>IFERROR(__xludf.DUMMYFUNCTION("""COMPUTED_VALUE"""),4.13)</f>
        <v>4.13</v>
      </c>
      <c r="E35" s="40">
        <f>IFERROR(__xludf.DUMMYFUNCTION("""COMPUTED_VALUE"""),45978.0)</f>
        <v>45978</v>
      </c>
      <c r="F35" s="9">
        <f>IFERROR(__xludf.DUMMYFUNCTION("""COMPUTED_VALUE"""),4.13)</f>
        <v>4.13</v>
      </c>
      <c r="H35" s="17">
        <f>IFERROR(__xludf.DUMMYFUNCTION("""COMPUTED_VALUE"""),45978.0)</f>
        <v>45978</v>
      </c>
      <c r="I35" s="9">
        <f>IFERROR(__xludf.DUMMYFUNCTION("""COMPUTED_VALUE"""),4.13)</f>
        <v>4.13</v>
      </c>
      <c r="K35" s="17">
        <f>IFERROR(__xludf.DUMMYFUNCTION("""COMPUTED_VALUE"""),45978.0)</f>
        <v>45978</v>
      </c>
      <c r="L35" s="9">
        <f>IFERROR(__xludf.DUMMYFUNCTION("""COMPUTED_VALUE"""),4.13)</f>
        <v>4.13</v>
      </c>
      <c r="N35" s="17"/>
    </row>
    <row r="36">
      <c r="B36" s="11">
        <f>IFERROR(__xludf.DUMMYFUNCTION("""COMPUTED_VALUE"""),45975.0)</f>
        <v>45975</v>
      </c>
      <c r="C36" s="9">
        <f>IFERROR(__xludf.DUMMYFUNCTION("""COMPUTED_VALUE"""),4.14)</f>
        <v>4.14</v>
      </c>
      <c r="E36" s="40">
        <f>IFERROR(__xludf.DUMMYFUNCTION("""COMPUTED_VALUE"""),45975.0)</f>
        <v>45975</v>
      </c>
      <c r="F36" s="9">
        <f>IFERROR(__xludf.DUMMYFUNCTION("""COMPUTED_VALUE"""),4.14)</f>
        <v>4.14</v>
      </c>
      <c r="H36" s="17">
        <f>IFERROR(__xludf.DUMMYFUNCTION("""COMPUTED_VALUE"""),45975.0)</f>
        <v>45975</v>
      </c>
      <c r="I36" s="9">
        <f>IFERROR(__xludf.DUMMYFUNCTION("""COMPUTED_VALUE"""),4.14)</f>
        <v>4.14</v>
      </c>
      <c r="K36" s="17">
        <f>IFERROR(__xludf.DUMMYFUNCTION("""COMPUTED_VALUE"""),45975.0)</f>
        <v>45975</v>
      </c>
      <c r="L36" s="9">
        <f>IFERROR(__xludf.DUMMYFUNCTION("""COMPUTED_VALUE"""),4.14)</f>
        <v>4.14</v>
      </c>
      <c r="N36" s="17"/>
    </row>
    <row r="37">
      <c r="B37" s="11">
        <f>IFERROR(__xludf.DUMMYFUNCTION("""COMPUTED_VALUE"""),45974.0)</f>
        <v>45974</v>
      </c>
      <c r="C37" s="9">
        <f>IFERROR(__xludf.DUMMYFUNCTION("""COMPUTED_VALUE"""),4.11)</f>
        <v>4.11</v>
      </c>
      <c r="E37" s="40">
        <f>IFERROR(__xludf.DUMMYFUNCTION("""COMPUTED_VALUE"""),45974.0)</f>
        <v>45974</v>
      </c>
      <c r="F37" s="9">
        <f>IFERROR(__xludf.DUMMYFUNCTION("""COMPUTED_VALUE"""),4.11)</f>
        <v>4.11</v>
      </c>
      <c r="H37" s="17">
        <f>IFERROR(__xludf.DUMMYFUNCTION("""COMPUTED_VALUE"""),45974.0)</f>
        <v>45974</v>
      </c>
      <c r="I37" s="9">
        <f>IFERROR(__xludf.DUMMYFUNCTION("""COMPUTED_VALUE"""),4.11)</f>
        <v>4.11</v>
      </c>
      <c r="K37" s="17">
        <f>IFERROR(__xludf.DUMMYFUNCTION("""COMPUTED_VALUE"""),45974.0)</f>
        <v>45974</v>
      </c>
      <c r="L37" s="9">
        <f>IFERROR(__xludf.DUMMYFUNCTION("""COMPUTED_VALUE"""),4.11)</f>
        <v>4.11</v>
      </c>
      <c r="N37" s="17"/>
    </row>
    <row r="38">
      <c r="B38" s="11">
        <f>IFERROR(__xludf.DUMMYFUNCTION("""COMPUTED_VALUE"""),45973.0)</f>
        <v>45973</v>
      </c>
      <c r="C38" s="9">
        <f>IFERROR(__xludf.DUMMYFUNCTION("""COMPUTED_VALUE"""),4.08)</f>
        <v>4.08</v>
      </c>
      <c r="E38" s="40">
        <f>IFERROR(__xludf.DUMMYFUNCTION("""COMPUTED_VALUE"""),45973.0)</f>
        <v>45973</v>
      </c>
      <c r="F38" s="9">
        <f>IFERROR(__xludf.DUMMYFUNCTION("""COMPUTED_VALUE"""),4.08)</f>
        <v>4.08</v>
      </c>
      <c r="H38" s="17">
        <f>IFERROR(__xludf.DUMMYFUNCTION("""COMPUTED_VALUE"""),45973.0)</f>
        <v>45973</v>
      </c>
      <c r="I38" s="9">
        <f>IFERROR(__xludf.DUMMYFUNCTION("""COMPUTED_VALUE"""),4.08)</f>
        <v>4.08</v>
      </c>
      <c r="K38" s="17">
        <f>IFERROR(__xludf.DUMMYFUNCTION("""COMPUTED_VALUE"""),45973.0)</f>
        <v>45973</v>
      </c>
      <c r="L38" s="9">
        <f>IFERROR(__xludf.DUMMYFUNCTION("""COMPUTED_VALUE"""),4.08)</f>
        <v>4.08</v>
      </c>
      <c r="N38" s="17"/>
    </row>
    <row r="39">
      <c r="B39" s="11">
        <f>IFERROR(__xludf.DUMMYFUNCTION("""COMPUTED_VALUE"""),45972.0)</f>
        <v>45972</v>
      </c>
      <c r="C39" s="9"/>
      <c r="E39" s="40">
        <f>IFERROR(__xludf.DUMMYFUNCTION("""COMPUTED_VALUE"""),45972.0)</f>
        <v>45972</v>
      </c>
      <c r="F39" s="9"/>
      <c r="H39" s="17">
        <f>IFERROR(__xludf.DUMMYFUNCTION("""COMPUTED_VALUE"""),45972.0)</f>
        <v>45972</v>
      </c>
      <c r="I39" s="9"/>
      <c r="K39" s="17">
        <f>IFERROR(__xludf.DUMMYFUNCTION("""COMPUTED_VALUE"""),45972.0)</f>
        <v>45972</v>
      </c>
      <c r="L39" s="9"/>
      <c r="N39" s="17"/>
    </row>
    <row r="40">
      <c r="B40" s="11">
        <f>IFERROR(__xludf.DUMMYFUNCTION("""COMPUTED_VALUE"""),45971.0)</f>
        <v>45971</v>
      </c>
      <c r="C40" s="9">
        <f>IFERROR(__xludf.DUMMYFUNCTION("""COMPUTED_VALUE"""),4.13)</f>
        <v>4.13</v>
      </c>
      <c r="E40" s="40">
        <f>IFERROR(__xludf.DUMMYFUNCTION("""COMPUTED_VALUE"""),45971.0)</f>
        <v>45971</v>
      </c>
      <c r="F40" s="9">
        <f>IFERROR(__xludf.DUMMYFUNCTION("""COMPUTED_VALUE"""),4.13)</f>
        <v>4.13</v>
      </c>
      <c r="H40" s="17">
        <f>IFERROR(__xludf.DUMMYFUNCTION("""COMPUTED_VALUE"""),45971.0)</f>
        <v>45971</v>
      </c>
      <c r="I40" s="9">
        <f>IFERROR(__xludf.DUMMYFUNCTION("""COMPUTED_VALUE"""),4.13)</f>
        <v>4.13</v>
      </c>
      <c r="K40" s="17">
        <f>IFERROR(__xludf.DUMMYFUNCTION("""COMPUTED_VALUE"""),45971.0)</f>
        <v>45971</v>
      </c>
      <c r="L40" s="9">
        <f>IFERROR(__xludf.DUMMYFUNCTION("""COMPUTED_VALUE"""),4.13)</f>
        <v>4.13</v>
      </c>
      <c r="N40" s="17"/>
    </row>
    <row r="41">
      <c r="B41" s="11">
        <f>IFERROR(__xludf.DUMMYFUNCTION("""COMPUTED_VALUE"""),45968.0)</f>
        <v>45968</v>
      </c>
      <c r="C41" s="9">
        <f>IFERROR(__xludf.DUMMYFUNCTION("""COMPUTED_VALUE"""),4.11)</f>
        <v>4.11</v>
      </c>
      <c r="E41" s="40">
        <f>IFERROR(__xludf.DUMMYFUNCTION("""COMPUTED_VALUE"""),45968.0)</f>
        <v>45968</v>
      </c>
      <c r="F41" s="9">
        <f>IFERROR(__xludf.DUMMYFUNCTION("""COMPUTED_VALUE"""),4.11)</f>
        <v>4.11</v>
      </c>
      <c r="H41" s="17">
        <f>IFERROR(__xludf.DUMMYFUNCTION("""COMPUTED_VALUE"""),45968.0)</f>
        <v>45968</v>
      </c>
      <c r="I41" s="9">
        <f>IFERROR(__xludf.DUMMYFUNCTION("""COMPUTED_VALUE"""),4.11)</f>
        <v>4.11</v>
      </c>
      <c r="K41" s="17">
        <f>IFERROR(__xludf.DUMMYFUNCTION("""COMPUTED_VALUE"""),45968.0)</f>
        <v>45968</v>
      </c>
      <c r="L41" s="9">
        <f>IFERROR(__xludf.DUMMYFUNCTION("""COMPUTED_VALUE"""),4.11)</f>
        <v>4.11</v>
      </c>
      <c r="N41" s="17"/>
    </row>
    <row r="42">
      <c r="B42" s="11">
        <f>IFERROR(__xludf.DUMMYFUNCTION("""COMPUTED_VALUE"""),45967.0)</f>
        <v>45967</v>
      </c>
      <c r="C42" s="9">
        <f>IFERROR(__xludf.DUMMYFUNCTION("""COMPUTED_VALUE"""),4.11)</f>
        <v>4.11</v>
      </c>
      <c r="E42" s="40">
        <f>IFERROR(__xludf.DUMMYFUNCTION("""COMPUTED_VALUE"""),45967.0)</f>
        <v>45967</v>
      </c>
      <c r="F42" s="9">
        <f>IFERROR(__xludf.DUMMYFUNCTION("""COMPUTED_VALUE"""),4.11)</f>
        <v>4.11</v>
      </c>
      <c r="H42" s="17">
        <f>IFERROR(__xludf.DUMMYFUNCTION("""COMPUTED_VALUE"""),45967.0)</f>
        <v>45967</v>
      </c>
      <c r="I42" s="9">
        <f>IFERROR(__xludf.DUMMYFUNCTION("""COMPUTED_VALUE"""),4.11)</f>
        <v>4.11</v>
      </c>
      <c r="K42" s="17">
        <f>IFERROR(__xludf.DUMMYFUNCTION("""COMPUTED_VALUE"""),45967.0)</f>
        <v>45967</v>
      </c>
      <c r="L42" s="9">
        <f>IFERROR(__xludf.DUMMYFUNCTION("""COMPUTED_VALUE"""),4.11)</f>
        <v>4.11</v>
      </c>
      <c r="N42" s="17"/>
    </row>
    <row r="43">
      <c r="B43" s="11">
        <f>IFERROR(__xludf.DUMMYFUNCTION("""COMPUTED_VALUE"""),45966.0)</f>
        <v>45966</v>
      </c>
      <c r="C43" s="9">
        <f>IFERROR(__xludf.DUMMYFUNCTION("""COMPUTED_VALUE"""),4.17)</f>
        <v>4.17</v>
      </c>
      <c r="E43" s="40">
        <f>IFERROR(__xludf.DUMMYFUNCTION("""COMPUTED_VALUE"""),45966.0)</f>
        <v>45966</v>
      </c>
      <c r="F43" s="9">
        <f>IFERROR(__xludf.DUMMYFUNCTION("""COMPUTED_VALUE"""),4.17)</f>
        <v>4.17</v>
      </c>
      <c r="H43" s="17">
        <f>IFERROR(__xludf.DUMMYFUNCTION("""COMPUTED_VALUE"""),45966.0)</f>
        <v>45966</v>
      </c>
      <c r="I43" s="9">
        <f>IFERROR(__xludf.DUMMYFUNCTION("""COMPUTED_VALUE"""),4.17)</f>
        <v>4.17</v>
      </c>
      <c r="K43" s="17">
        <f>IFERROR(__xludf.DUMMYFUNCTION("""COMPUTED_VALUE"""),45966.0)</f>
        <v>45966</v>
      </c>
      <c r="L43" s="9">
        <f>IFERROR(__xludf.DUMMYFUNCTION("""COMPUTED_VALUE"""),4.17)</f>
        <v>4.17</v>
      </c>
      <c r="N43" s="17"/>
    </row>
    <row r="44">
      <c r="B44" s="11">
        <f>IFERROR(__xludf.DUMMYFUNCTION("""COMPUTED_VALUE"""),45965.0)</f>
        <v>45965</v>
      </c>
      <c r="C44" s="9">
        <f>IFERROR(__xludf.DUMMYFUNCTION("""COMPUTED_VALUE"""),4.1)</f>
        <v>4.1</v>
      </c>
      <c r="E44" s="40">
        <f>IFERROR(__xludf.DUMMYFUNCTION("""COMPUTED_VALUE"""),45965.0)</f>
        <v>45965</v>
      </c>
      <c r="F44" s="9">
        <f>IFERROR(__xludf.DUMMYFUNCTION("""COMPUTED_VALUE"""),4.1)</f>
        <v>4.1</v>
      </c>
      <c r="H44" s="17">
        <f>IFERROR(__xludf.DUMMYFUNCTION("""COMPUTED_VALUE"""),45965.0)</f>
        <v>45965</v>
      </c>
      <c r="I44" s="9">
        <f>IFERROR(__xludf.DUMMYFUNCTION("""COMPUTED_VALUE"""),4.1)</f>
        <v>4.1</v>
      </c>
      <c r="K44" s="17">
        <f>IFERROR(__xludf.DUMMYFUNCTION("""COMPUTED_VALUE"""),45965.0)</f>
        <v>45965</v>
      </c>
      <c r="L44" s="9">
        <f>IFERROR(__xludf.DUMMYFUNCTION("""COMPUTED_VALUE"""),4.1)</f>
        <v>4.1</v>
      </c>
      <c r="N44" s="17"/>
    </row>
    <row r="45">
      <c r="B45" s="11">
        <f>IFERROR(__xludf.DUMMYFUNCTION("""COMPUTED_VALUE"""),45964.0)</f>
        <v>45964</v>
      </c>
      <c r="C45" s="9">
        <f>IFERROR(__xludf.DUMMYFUNCTION("""COMPUTED_VALUE"""),4.13)</f>
        <v>4.13</v>
      </c>
      <c r="E45" s="40">
        <f>IFERROR(__xludf.DUMMYFUNCTION("""COMPUTED_VALUE"""),45964.0)</f>
        <v>45964</v>
      </c>
      <c r="F45" s="9">
        <f>IFERROR(__xludf.DUMMYFUNCTION("""COMPUTED_VALUE"""),4.13)</f>
        <v>4.13</v>
      </c>
      <c r="H45" s="17">
        <f>IFERROR(__xludf.DUMMYFUNCTION("""COMPUTED_VALUE"""),45964.0)</f>
        <v>45964</v>
      </c>
      <c r="I45" s="9">
        <f>IFERROR(__xludf.DUMMYFUNCTION("""COMPUTED_VALUE"""),4.13)</f>
        <v>4.13</v>
      </c>
      <c r="K45" s="17">
        <f>IFERROR(__xludf.DUMMYFUNCTION("""COMPUTED_VALUE"""),45964.0)</f>
        <v>45964</v>
      </c>
      <c r="L45" s="9">
        <f>IFERROR(__xludf.DUMMYFUNCTION("""COMPUTED_VALUE"""),4.13)</f>
        <v>4.13</v>
      </c>
      <c r="N45" s="17"/>
    </row>
    <row r="46">
      <c r="B46" s="11">
        <f>IFERROR(__xludf.DUMMYFUNCTION("""COMPUTED_VALUE"""),45961.0)</f>
        <v>45961</v>
      </c>
      <c r="C46" s="9">
        <f>IFERROR(__xludf.DUMMYFUNCTION("""COMPUTED_VALUE"""),4.11)</f>
        <v>4.11</v>
      </c>
      <c r="E46" s="40">
        <f>IFERROR(__xludf.DUMMYFUNCTION("""COMPUTED_VALUE"""),45961.0)</f>
        <v>45961</v>
      </c>
      <c r="F46" s="9">
        <f>IFERROR(__xludf.DUMMYFUNCTION("""COMPUTED_VALUE"""),4.11)</f>
        <v>4.11</v>
      </c>
      <c r="H46" s="17">
        <f>IFERROR(__xludf.DUMMYFUNCTION("""COMPUTED_VALUE"""),45961.0)</f>
        <v>45961</v>
      </c>
      <c r="I46" s="9">
        <f>IFERROR(__xludf.DUMMYFUNCTION("""COMPUTED_VALUE"""),4.11)</f>
        <v>4.11</v>
      </c>
      <c r="K46" s="17">
        <f>IFERROR(__xludf.DUMMYFUNCTION("""COMPUTED_VALUE"""),45961.0)</f>
        <v>45961</v>
      </c>
      <c r="L46" s="9">
        <f>IFERROR(__xludf.DUMMYFUNCTION("""COMPUTED_VALUE"""),4.11)</f>
        <v>4.11</v>
      </c>
      <c r="N46" s="17"/>
    </row>
    <row r="47">
      <c r="B47" s="11">
        <f>IFERROR(__xludf.DUMMYFUNCTION("""COMPUTED_VALUE"""),45960.0)</f>
        <v>45960</v>
      </c>
      <c r="C47" s="9">
        <f>IFERROR(__xludf.DUMMYFUNCTION("""COMPUTED_VALUE"""),4.11)</f>
        <v>4.11</v>
      </c>
      <c r="E47" s="40">
        <f>IFERROR(__xludf.DUMMYFUNCTION("""COMPUTED_VALUE"""),45960.0)</f>
        <v>45960</v>
      </c>
      <c r="F47" s="9">
        <f>IFERROR(__xludf.DUMMYFUNCTION("""COMPUTED_VALUE"""),4.11)</f>
        <v>4.11</v>
      </c>
      <c r="H47" s="17">
        <f>IFERROR(__xludf.DUMMYFUNCTION("""COMPUTED_VALUE"""),45960.0)</f>
        <v>45960</v>
      </c>
      <c r="I47" s="9">
        <f>IFERROR(__xludf.DUMMYFUNCTION("""COMPUTED_VALUE"""),4.11)</f>
        <v>4.11</v>
      </c>
      <c r="K47" s="17">
        <f>IFERROR(__xludf.DUMMYFUNCTION("""COMPUTED_VALUE"""),45960.0)</f>
        <v>45960</v>
      </c>
      <c r="L47" s="9">
        <f>IFERROR(__xludf.DUMMYFUNCTION("""COMPUTED_VALUE"""),4.11)</f>
        <v>4.11</v>
      </c>
      <c r="N47" s="17"/>
    </row>
    <row r="48">
      <c r="B48" s="11">
        <f>IFERROR(__xludf.DUMMYFUNCTION("""COMPUTED_VALUE"""),45959.0)</f>
        <v>45959</v>
      </c>
      <c r="C48" s="9">
        <f>IFERROR(__xludf.DUMMYFUNCTION("""COMPUTED_VALUE"""),4.08)</f>
        <v>4.08</v>
      </c>
      <c r="E48" s="40">
        <f>IFERROR(__xludf.DUMMYFUNCTION("""COMPUTED_VALUE"""),45959.0)</f>
        <v>45959</v>
      </c>
      <c r="F48" s="9">
        <f>IFERROR(__xludf.DUMMYFUNCTION("""COMPUTED_VALUE"""),4.08)</f>
        <v>4.08</v>
      </c>
      <c r="H48" s="17">
        <f>IFERROR(__xludf.DUMMYFUNCTION("""COMPUTED_VALUE"""),45959.0)</f>
        <v>45959</v>
      </c>
      <c r="I48" s="9">
        <f>IFERROR(__xludf.DUMMYFUNCTION("""COMPUTED_VALUE"""),4.08)</f>
        <v>4.08</v>
      </c>
      <c r="K48" s="17">
        <f>IFERROR(__xludf.DUMMYFUNCTION("""COMPUTED_VALUE"""),45959.0)</f>
        <v>45959</v>
      </c>
      <c r="L48" s="9">
        <f>IFERROR(__xludf.DUMMYFUNCTION("""COMPUTED_VALUE"""),4.08)</f>
        <v>4.08</v>
      </c>
      <c r="N48" s="17"/>
    </row>
    <row r="49">
      <c r="B49" s="11">
        <f>IFERROR(__xludf.DUMMYFUNCTION("""COMPUTED_VALUE"""),45958.0)</f>
        <v>45958</v>
      </c>
      <c r="C49" s="9">
        <f>IFERROR(__xludf.DUMMYFUNCTION("""COMPUTED_VALUE"""),3.99)</f>
        <v>3.99</v>
      </c>
      <c r="E49" s="40">
        <f>IFERROR(__xludf.DUMMYFUNCTION("""COMPUTED_VALUE"""),45958.0)</f>
        <v>45958</v>
      </c>
      <c r="F49" s="9">
        <f>IFERROR(__xludf.DUMMYFUNCTION("""COMPUTED_VALUE"""),3.99)</f>
        <v>3.99</v>
      </c>
      <c r="H49" s="17">
        <f>IFERROR(__xludf.DUMMYFUNCTION("""COMPUTED_VALUE"""),45958.0)</f>
        <v>45958</v>
      </c>
      <c r="I49" s="9">
        <f>IFERROR(__xludf.DUMMYFUNCTION("""COMPUTED_VALUE"""),3.99)</f>
        <v>3.99</v>
      </c>
      <c r="K49" s="17">
        <f>IFERROR(__xludf.DUMMYFUNCTION("""COMPUTED_VALUE"""),45958.0)</f>
        <v>45958</v>
      </c>
      <c r="L49" s="9">
        <f>IFERROR(__xludf.DUMMYFUNCTION("""COMPUTED_VALUE"""),3.99)</f>
        <v>3.99</v>
      </c>
      <c r="N49" s="17"/>
    </row>
    <row r="50">
      <c r="B50" s="11">
        <f>IFERROR(__xludf.DUMMYFUNCTION("""COMPUTED_VALUE"""),45957.0)</f>
        <v>45957</v>
      </c>
      <c r="C50" s="9">
        <f>IFERROR(__xludf.DUMMYFUNCTION("""COMPUTED_VALUE"""),4.01)</f>
        <v>4.01</v>
      </c>
      <c r="E50" s="40">
        <f>IFERROR(__xludf.DUMMYFUNCTION("""COMPUTED_VALUE"""),45957.0)</f>
        <v>45957</v>
      </c>
      <c r="F50" s="9">
        <f>IFERROR(__xludf.DUMMYFUNCTION("""COMPUTED_VALUE"""),4.01)</f>
        <v>4.01</v>
      </c>
      <c r="H50" s="17">
        <f>IFERROR(__xludf.DUMMYFUNCTION("""COMPUTED_VALUE"""),45957.0)</f>
        <v>45957</v>
      </c>
      <c r="I50" s="9">
        <f>IFERROR(__xludf.DUMMYFUNCTION("""COMPUTED_VALUE"""),4.01)</f>
        <v>4.01</v>
      </c>
      <c r="K50" s="17">
        <f>IFERROR(__xludf.DUMMYFUNCTION("""COMPUTED_VALUE"""),45957.0)</f>
        <v>45957</v>
      </c>
      <c r="L50" s="9">
        <f>IFERROR(__xludf.DUMMYFUNCTION("""COMPUTED_VALUE"""),4.01)</f>
        <v>4.01</v>
      </c>
      <c r="N50" s="17"/>
    </row>
    <row r="51">
      <c r="B51" s="11">
        <f>IFERROR(__xludf.DUMMYFUNCTION("""COMPUTED_VALUE"""),45954.0)</f>
        <v>45954</v>
      </c>
      <c r="C51" s="9">
        <f>IFERROR(__xludf.DUMMYFUNCTION("""COMPUTED_VALUE"""),4.02)</f>
        <v>4.02</v>
      </c>
      <c r="E51" s="40">
        <f>IFERROR(__xludf.DUMMYFUNCTION("""COMPUTED_VALUE"""),45954.0)</f>
        <v>45954</v>
      </c>
      <c r="F51" s="9">
        <f>IFERROR(__xludf.DUMMYFUNCTION("""COMPUTED_VALUE"""),4.02)</f>
        <v>4.02</v>
      </c>
      <c r="H51" s="17">
        <f>IFERROR(__xludf.DUMMYFUNCTION("""COMPUTED_VALUE"""),45954.0)</f>
        <v>45954</v>
      </c>
      <c r="I51" s="9">
        <f>IFERROR(__xludf.DUMMYFUNCTION("""COMPUTED_VALUE"""),4.02)</f>
        <v>4.02</v>
      </c>
      <c r="K51" s="17">
        <f>IFERROR(__xludf.DUMMYFUNCTION("""COMPUTED_VALUE"""),45954.0)</f>
        <v>45954</v>
      </c>
      <c r="L51" s="9">
        <f>IFERROR(__xludf.DUMMYFUNCTION("""COMPUTED_VALUE"""),4.02)</f>
        <v>4.02</v>
      </c>
      <c r="N51" s="17"/>
    </row>
    <row r="52">
      <c r="B52" s="11">
        <f>IFERROR(__xludf.DUMMYFUNCTION("""COMPUTED_VALUE"""),45953.0)</f>
        <v>45953</v>
      </c>
      <c r="C52" s="9">
        <f>IFERROR(__xludf.DUMMYFUNCTION("""COMPUTED_VALUE"""),4.01)</f>
        <v>4.01</v>
      </c>
      <c r="E52" s="40">
        <f>IFERROR(__xludf.DUMMYFUNCTION("""COMPUTED_VALUE"""),45953.0)</f>
        <v>45953</v>
      </c>
      <c r="F52" s="9">
        <f>IFERROR(__xludf.DUMMYFUNCTION("""COMPUTED_VALUE"""),4.01)</f>
        <v>4.01</v>
      </c>
      <c r="H52" s="17">
        <f>IFERROR(__xludf.DUMMYFUNCTION("""COMPUTED_VALUE"""),45953.0)</f>
        <v>45953</v>
      </c>
      <c r="I52" s="9">
        <f>IFERROR(__xludf.DUMMYFUNCTION("""COMPUTED_VALUE"""),4.01)</f>
        <v>4.01</v>
      </c>
      <c r="K52" s="17">
        <f>IFERROR(__xludf.DUMMYFUNCTION("""COMPUTED_VALUE"""),45953.0)</f>
        <v>45953</v>
      </c>
      <c r="L52" s="9">
        <f>IFERROR(__xludf.DUMMYFUNCTION("""COMPUTED_VALUE"""),4.01)</f>
        <v>4.01</v>
      </c>
      <c r="N52" s="17"/>
    </row>
    <row r="53">
      <c r="B53" s="11">
        <f>IFERROR(__xludf.DUMMYFUNCTION("""COMPUTED_VALUE"""),45952.0)</f>
        <v>45952</v>
      </c>
      <c r="C53" s="9">
        <f>IFERROR(__xludf.DUMMYFUNCTION("""COMPUTED_VALUE"""),3.97)</f>
        <v>3.97</v>
      </c>
      <c r="E53" s="40">
        <f>IFERROR(__xludf.DUMMYFUNCTION("""COMPUTED_VALUE"""),45952.0)</f>
        <v>45952</v>
      </c>
      <c r="F53" s="9">
        <f>IFERROR(__xludf.DUMMYFUNCTION("""COMPUTED_VALUE"""),3.97)</f>
        <v>3.97</v>
      </c>
      <c r="H53" s="17">
        <f>IFERROR(__xludf.DUMMYFUNCTION("""COMPUTED_VALUE"""),45952.0)</f>
        <v>45952</v>
      </c>
      <c r="I53" s="9">
        <f>IFERROR(__xludf.DUMMYFUNCTION("""COMPUTED_VALUE"""),3.97)</f>
        <v>3.97</v>
      </c>
      <c r="K53" s="17">
        <f>IFERROR(__xludf.DUMMYFUNCTION("""COMPUTED_VALUE"""),45952.0)</f>
        <v>45952</v>
      </c>
      <c r="L53" s="9">
        <f>IFERROR(__xludf.DUMMYFUNCTION("""COMPUTED_VALUE"""),3.97)</f>
        <v>3.97</v>
      </c>
      <c r="N53" s="17"/>
    </row>
    <row r="54">
      <c r="B54" s="11">
        <f>IFERROR(__xludf.DUMMYFUNCTION("""COMPUTED_VALUE"""),45951.0)</f>
        <v>45951</v>
      </c>
      <c r="C54" s="9">
        <f>IFERROR(__xludf.DUMMYFUNCTION("""COMPUTED_VALUE"""),3.98)</f>
        <v>3.98</v>
      </c>
      <c r="E54" s="40">
        <f>IFERROR(__xludf.DUMMYFUNCTION("""COMPUTED_VALUE"""),45951.0)</f>
        <v>45951</v>
      </c>
      <c r="F54" s="9">
        <f>IFERROR(__xludf.DUMMYFUNCTION("""COMPUTED_VALUE"""),3.98)</f>
        <v>3.98</v>
      </c>
      <c r="H54" s="17">
        <f>IFERROR(__xludf.DUMMYFUNCTION("""COMPUTED_VALUE"""),45951.0)</f>
        <v>45951</v>
      </c>
      <c r="I54" s="9">
        <f>IFERROR(__xludf.DUMMYFUNCTION("""COMPUTED_VALUE"""),3.98)</f>
        <v>3.98</v>
      </c>
      <c r="K54" s="17">
        <f>IFERROR(__xludf.DUMMYFUNCTION("""COMPUTED_VALUE"""),45951.0)</f>
        <v>45951</v>
      </c>
      <c r="L54" s="9">
        <f>IFERROR(__xludf.DUMMYFUNCTION("""COMPUTED_VALUE"""),3.98)</f>
        <v>3.98</v>
      </c>
      <c r="N54" s="17"/>
    </row>
    <row r="55">
      <c r="B55" s="11">
        <f>IFERROR(__xludf.DUMMYFUNCTION("""COMPUTED_VALUE"""),45950.0)</f>
        <v>45950</v>
      </c>
      <c r="C55" s="9">
        <f>IFERROR(__xludf.DUMMYFUNCTION("""COMPUTED_VALUE"""),4.0)</f>
        <v>4</v>
      </c>
      <c r="E55" s="40">
        <f>IFERROR(__xludf.DUMMYFUNCTION("""COMPUTED_VALUE"""),45950.0)</f>
        <v>45950</v>
      </c>
      <c r="F55" s="9">
        <f>IFERROR(__xludf.DUMMYFUNCTION("""COMPUTED_VALUE"""),4.0)</f>
        <v>4</v>
      </c>
      <c r="H55" s="17">
        <f>IFERROR(__xludf.DUMMYFUNCTION("""COMPUTED_VALUE"""),45950.0)</f>
        <v>45950</v>
      </c>
      <c r="I55" s="9">
        <f>IFERROR(__xludf.DUMMYFUNCTION("""COMPUTED_VALUE"""),4.0)</f>
        <v>4</v>
      </c>
      <c r="K55" s="17">
        <f>IFERROR(__xludf.DUMMYFUNCTION("""COMPUTED_VALUE"""),45950.0)</f>
        <v>45950</v>
      </c>
      <c r="L55" s="9">
        <f>IFERROR(__xludf.DUMMYFUNCTION("""COMPUTED_VALUE"""),4.0)</f>
        <v>4</v>
      </c>
      <c r="N55" s="17"/>
    </row>
    <row r="56">
      <c r="B56" s="11">
        <f>IFERROR(__xludf.DUMMYFUNCTION("""COMPUTED_VALUE"""),45947.0)</f>
        <v>45947</v>
      </c>
      <c r="C56" s="9">
        <f>IFERROR(__xludf.DUMMYFUNCTION("""COMPUTED_VALUE"""),4.02)</f>
        <v>4.02</v>
      </c>
      <c r="E56" s="40">
        <f>IFERROR(__xludf.DUMMYFUNCTION("""COMPUTED_VALUE"""),45947.0)</f>
        <v>45947</v>
      </c>
      <c r="F56" s="9">
        <f>IFERROR(__xludf.DUMMYFUNCTION("""COMPUTED_VALUE"""),4.02)</f>
        <v>4.02</v>
      </c>
      <c r="H56" s="17">
        <f>IFERROR(__xludf.DUMMYFUNCTION("""COMPUTED_VALUE"""),45947.0)</f>
        <v>45947</v>
      </c>
      <c r="I56" s="9">
        <f>IFERROR(__xludf.DUMMYFUNCTION("""COMPUTED_VALUE"""),4.02)</f>
        <v>4.02</v>
      </c>
      <c r="K56" s="17">
        <f>IFERROR(__xludf.DUMMYFUNCTION("""COMPUTED_VALUE"""),45947.0)</f>
        <v>45947</v>
      </c>
      <c r="L56" s="9">
        <f>IFERROR(__xludf.DUMMYFUNCTION("""COMPUTED_VALUE"""),4.02)</f>
        <v>4.02</v>
      </c>
      <c r="N56" s="17"/>
    </row>
    <row r="57">
      <c r="B57" s="11">
        <f>IFERROR(__xludf.DUMMYFUNCTION("""COMPUTED_VALUE"""),45946.0)</f>
        <v>45946</v>
      </c>
      <c r="C57" s="9">
        <f>IFERROR(__xludf.DUMMYFUNCTION("""COMPUTED_VALUE"""),3.99)</f>
        <v>3.99</v>
      </c>
      <c r="E57" s="40">
        <f>IFERROR(__xludf.DUMMYFUNCTION("""COMPUTED_VALUE"""),45946.0)</f>
        <v>45946</v>
      </c>
      <c r="F57" s="9">
        <f>IFERROR(__xludf.DUMMYFUNCTION("""COMPUTED_VALUE"""),3.99)</f>
        <v>3.99</v>
      </c>
      <c r="H57" s="17">
        <f>IFERROR(__xludf.DUMMYFUNCTION("""COMPUTED_VALUE"""),45946.0)</f>
        <v>45946</v>
      </c>
      <c r="I57" s="9">
        <f>IFERROR(__xludf.DUMMYFUNCTION("""COMPUTED_VALUE"""),3.99)</f>
        <v>3.99</v>
      </c>
      <c r="K57" s="17">
        <f>IFERROR(__xludf.DUMMYFUNCTION("""COMPUTED_VALUE"""),45946.0)</f>
        <v>45946</v>
      </c>
      <c r="L57" s="9">
        <f>IFERROR(__xludf.DUMMYFUNCTION("""COMPUTED_VALUE"""),3.99)</f>
        <v>3.99</v>
      </c>
      <c r="N57" s="17"/>
    </row>
    <row r="58">
      <c r="B58" s="11">
        <f>IFERROR(__xludf.DUMMYFUNCTION("""COMPUTED_VALUE"""),45945.0)</f>
        <v>45945</v>
      </c>
      <c r="C58" s="9">
        <f>IFERROR(__xludf.DUMMYFUNCTION("""COMPUTED_VALUE"""),4.05)</f>
        <v>4.05</v>
      </c>
      <c r="E58" s="40">
        <f>IFERROR(__xludf.DUMMYFUNCTION("""COMPUTED_VALUE"""),45945.0)</f>
        <v>45945</v>
      </c>
      <c r="F58" s="9">
        <f>IFERROR(__xludf.DUMMYFUNCTION("""COMPUTED_VALUE"""),4.05)</f>
        <v>4.05</v>
      </c>
      <c r="H58" s="17">
        <f>IFERROR(__xludf.DUMMYFUNCTION("""COMPUTED_VALUE"""),45945.0)</f>
        <v>45945</v>
      </c>
      <c r="I58" s="9">
        <f>IFERROR(__xludf.DUMMYFUNCTION("""COMPUTED_VALUE"""),4.05)</f>
        <v>4.05</v>
      </c>
      <c r="K58" s="17">
        <f>IFERROR(__xludf.DUMMYFUNCTION("""COMPUTED_VALUE"""),45945.0)</f>
        <v>45945</v>
      </c>
      <c r="L58" s="9">
        <f>IFERROR(__xludf.DUMMYFUNCTION("""COMPUTED_VALUE"""),4.05)</f>
        <v>4.05</v>
      </c>
      <c r="N58" s="17"/>
    </row>
    <row r="59">
      <c r="B59" s="11">
        <f>IFERROR(__xludf.DUMMYFUNCTION("""COMPUTED_VALUE"""),45944.0)</f>
        <v>45944</v>
      </c>
      <c r="C59" s="9">
        <f>IFERROR(__xludf.DUMMYFUNCTION("""COMPUTED_VALUE"""),4.03)</f>
        <v>4.03</v>
      </c>
      <c r="E59" s="40">
        <f>IFERROR(__xludf.DUMMYFUNCTION("""COMPUTED_VALUE"""),45944.0)</f>
        <v>45944</v>
      </c>
      <c r="F59" s="9">
        <f>IFERROR(__xludf.DUMMYFUNCTION("""COMPUTED_VALUE"""),4.03)</f>
        <v>4.03</v>
      </c>
      <c r="H59" s="17">
        <f>IFERROR(__xludf.DUMMYFUNCTION("""COMPUTED_VALUE"""),45944.0)</f>
        <v>45944</v>
      </c>
      <c r="I59" s="9">
        <f>IFERROR(__xludf.DUMMYFUNCTION("""COMPUTED_VALUE"""),4.03)</f>
        <v>4.03</v>
      </c>
      <c r="K59" s="17">
        <f>IFERROR(__xludf.DUMMYFUNCTION("""COMPUTED_VALUE"""),45944.0)</f>
        <v>45944</v>
      </c>
      <c r="L59" s="9">
        <f>IFERROR(__xludf.DUMMYFUNCTION("""COMPUTED_VALUE"""),4.03)</f>
        <v>4.03</v>
      </c>
      <c r="N59" s="17"/>
    </row>
    <row r="60">
      <c r="B60" s="11">
        <f>IFERROR(__xludf.DUMMYFUNCTION("""COMPUTED_VALUE"""),45943.0)</f>
        <v>45943</v>
      </c>
      <c r="C60" s="9"/>
      <c r="E60" s="40">
        <f>IFERROR(__xludf.DUMMYFUNCTION("""COMPUTED_VALUE"""),45943.0)</f>
        <v>45943</v>
      </c>
      <c r="F60" s="9"/>
      <c r="H60" s="17">
        <f>IFERROR(__xludf.DUMMYFUNCTION("""COMPUTED_VALUE"""),45943.0)</f>
        <v>45943</v>
      </c>
      <c r="I60" s="9"/>
      <c r="K60" s="17">
        <f>IFERROR(__xludf.DUMMYFUNCTION("""COMPUTED_VALUE"""),45943.0)</f>
        <v>45943</v>
      </c>
      <c r="L60" s="9"/>
      <c r="N60" s="17"/>
    </row>
    <row r="61">
      <c r="B61" s="11">
        <f>IFERROR(__xludf.DUMMYFUNCTION("""COMPUTED_VALUE"""),45940.0)</f>
        <v>45940</v>
      </c>
      <c r="C61" s="9">
        <f>IFERROR(__xludf.DUMMYFUNCTION("""COMPUTED_VALUE"""),4.05)</f>
        <v>4.05</v>
      </c>
      <c r="E61" s="40">
        <f>IFERROR(__xludf.DUMMYFUNCTION("""COMPUTED_VALUE"""),45940.0)</f>
        <v>45940</v>
      </c>
      <c r="F61" s="9">
        <f>IFERROR(__xludf.DUMMYFUNCTION("""COMPUTED_VALUE"""),4.05)</f>
        <v>4.05</v>
      </c>
      <c r="H61" s="17">
        <f>IFERROR(__xludf.DUMMYFUNCTION("""COMPUTED_VALUE"""),45940.0)</f>
        <v>45940</v>
      </c>
      <c r="I61" s="9">
        <f>IFERROR(__xludf.DUMMYFUNCTION("""COMPUTED_VALUE"""),4.05)</f>
        <v>4.05</v>
      </c>
      <c r="K61" s="17">
        <f>IFERROR(__xludf.DUMMYFUNCTION("""COMPUTED_VALUE"""),45940.0)</f>
        <v>45940</v>
      </c>
      <c r="L61" s="9">
        <f>IFERROR(__xludf.DUMMYFUNCTION("""COMPUTED_VALUE"""),4.05)</f>
        <v>4.05</v>
      </c>
      <c r="N61" s="17"/>
    </row>
    <row r="62">
      <c r="B62" s="11">
        <f>IFERROR(__xludf.DUMMYFUNCTION("""COMPUTED_VALUE"""),45939.0)</f>
        <v>45939</v>
      </c>
      <c r="C62" s="9">
        <f>IFERROR(__xludf.DUMMYFUNCTION("""COMPUTED_VALUE"""),4.14)</f>
        <v>4.14</v>
      </c>
      <c r="E62" s="40">
        <f>IFERROR(__xludf.DUMMYFUNCTION("""COMPUTED_VALUE"""),45939.0)</f>
        <v>45939</v>
      </c>
      <c r="F62" s="9">
        <f>IFERROR(__xludf.DUMMYFUNCTION("""COMPUTED_VALUE"""),4.14)</f>
        <v>4.14</v>
      </c>
      <c r="H62" s="17">
        <f>IFERROR(__xludf.DUMMYFUNCTION("""COMPUTED_VALUE"""),45939.0)</f>
        <v>45939</v>
      </c>
      <c r="I62" s="9">
        <f>IFERROR(__xludf.DUMMYFUNCTION("""COMPUTED_VALUE"""),4.14)</f>
        <v>4.14</v>
      </c>
      <c r="K62" s="17">
        <f>IFERROR(__xludf.DUMMYFUNCTION("""COMPUTED_VALUE"""),45939.0)</f>
        <v>45939</v>
      </c>
      <c r="L62" s="9">
        <f>IFERROR(__xludf.DUMMYFUNCTION("""COMPUTED_VALUE"""),4.14)</f>
        <v>4.14</v>
      </c>
      <c r="N62" s="17"/>
    </row>
    <row r="63">
      <c r="B63" s="11">
        <f>IFERROR(__xludf.DUMMYFUNCTION("""COMPUTED_VALUE"""),45938.0)</f>
        <v>45938</v>
      </c>
      <c r="C63" s="9">
        <f>IFERROR(__xludf.DUMMYFUNCTION("""COMPUTED_VALUE"""),4.13)</f>
        <v>4.13</v>
      </c>
      <c r="E63" s="40">
        <f>IFERROR(__xludf.DUMMYFUNCTION("""COMPUTED_VALUE"""),45938.0)</f>
        <v>45938</v>
      </c>
      <c r="F63" s="9">
        <f>IFERROR(__xludf.DUMMYFUNCTION("""COMPUTED_VALUE"""),4.13)</f>
        <v>4.13</v>
      </c>
      <c r="H63" s="17">
        <f>IFERROR(__xludf.DUMMYFUNCTION("""COMPUTED_VALUE"""),45938.0)</f>
        <v>45938</v>
      </c>
      <c r="I63" s="9">
        <f>IFERROR(__xludf.DUMMYFUNCTION("""COMPUTED_VALUE"""),4.13)</f>
        <v>4.13</v>
      </c>
      <c r="K63" s="17">
        <f>IFERROR(__xludf.DUMMYFUNCTION("""COMPUTED_VALUE"""),45938.0)</f>
        <v>45938</v>
      </c>
      <c r="L63" s="9">
        <f>IFERROR(__xludf.DUMMYFUNCTION("""COMPUTED_VALUE"""),4.13)</f>
        <v>4.13</v>
      </c>
      <c r="N63" s="17"/>
    </row>
    <row r="64">
      <c r="B64" s="11">
        <f>IFERROR(__xludf.DUMMYFUNCTION("""COMPUTED_VALUE"""),45937.0)</f>
        <v>45937</v>
      </c>
      <c r="C64" s="9">
        <f>IFERROR(__xludf.DUMMYFUNCTION("""COMPUTED_VALUE"""),4.14)</f>
        <v>4.14</v>
      </c>
      <c r="E64" s="40">
        <f>IFERROR(__xludf.DUMMYFUNCTION("""COMPUTED_VALUE"""),45937.0)</f>
        <v>45937</v>
      </c>
      <c r="F64" s="9">
        <f>IFERROR(__xludf.DUMMYFUNCTION("""COMPUTED_VALUE"""),4.14)</f>
        <v>4.14</v>
      </c>
      <c r="H64" s="17">
        <f>IFERROR(__xludf.DUMMYFUNCTION("""COMPUTED_VALUE"""),45937.0)</f>
        <v>45937</v>
      </c>
      <c r="I64" s="9">
        <f>IFERROR(__xludf.DUMMYFUNCTION("""COMPUTED_VALUE"""),4.14)</f>
        <v>4.14</v>
      </c>
      <c r="K64" s="17">
        <f>IFERROR(__xludf.DUMMYFUNCTION("""COMPUTED_VALUE"""),45937.0)</f>
        <v>45937</v>
      </c>
      <c r="L64" s="9">
        <f>IFERROR(__xludf.DUMMYFUNCTION("""COMPUTED_VALUE"""),4.14)</f>
        <v>4.14</v>
      </c>
      <c r="N64" s="17"/>
    </row>
    <row r="65">
      <c r="B65" s="11">
        <f>IFERROR(__xludf.DUMMYFUNCTION("""COMPUTED_VALUE"""),45936.0)</f>
        <v>45936</v>
      </c>
      <c r="C65" s="9">
        <f>IFERROR(__xludf.DUMMYFUNCTION("""COMPUTED_VALUE"""),4.18)</f>
        <v>4.18</v>
      </c>
      <c r="E65" s="40">
        <f>IFERROR(__xludf.DUMMYFUNCTION("""COMPUTED_VALUE"""),45936.0)</f>
        <v>45936</v>
      </c>
      <c r="F65" s="9">
        <f>IFERROR(__xludf.DUMMYFUNCTION("""COMPUTED_VALUE"""),4.18)</f>
        <v>4.18</v>
      </c>
      <c r="H65" s="17">
        <f>IFERROR(__xludf.DUMMYFUNCTION("""COMPUTED_VALUE"""),45936.0)</f>
        <v>45936</v>
      </c>
      <c r="I65" s="9">
        <f>IFERROR(__xludf.DUMMYFUNCTION("""COMPUTED_VALUE"""),4.18)</f>
        <v>4.18</v>
      </c>
      <c r="K65" s="17">
        <f>IFERROR(__xludf.DUMMYFUNCTION("""COMPUTED_VALUE"""),45936.0)</f>
        <v>45936</v>
      </c>
      <c r="L65" s="9">
        <f>IFERROR(__xludf.DUMMYFUNCTION("""COMPUTED_VALUE"""),4.18)</f>
        <v>4.18</v>
      </c>
      <c r="N65" s="17"/>
    </row>
    <row r="66">
      <c r="B66" s="11">
        <f>IFERROR(__xludf.DUMMYFUNCTION("""COMPUTED_VALUE"""),45933.0)</f>
        <v>45933</v>
      </c>
      <c r="C66" s="9">
        <f>IFERROR(__xludf.DUMMYFUNCTION("""COMPUTED_VALUE"""),4.13)</f>
        <v>4.13</v>
      </c>
      <c r="E66" s="40">
        <f>IFERROR(__xludf.DUMMYFUNCTION("""COMPUTED_VALUE"""),45933.0)</f>
        <v>45933</v>
      </c>
      <c r="F66" s="9">
        <f>IFERROR(__xludf.DUMMYFUNCTION("""COMPUTED_VALUE"""),4.13)</f>
        <v>4.13</v>
      </c>
      <c r="H66" s="17">
        <f>IFERROR(__xludf.DUMMYFUNCTION("""COMPUTED_VALUE"""),45933.0)</f>
        <v>45933</v>
      </c>
      <c r="I66" s="9">
        <f>IFERROR(__xludf.DUMMYFUNCTION("""COMPUTED_VALUE"""),4.13)</f>
        <v>4.13</v>
      </c>
      <c r="K66" s="17">
        <f>IFERROR(__xludf.DUMMYFUNCTION("""COMPUTED_VALUE"""),45933.0)</f>
        <v>45933</v>
      </c>
      <c r="L66" s="9">
        <f>IFERROR(__xludf.DUMMYFUNCTION("""COMPUTED_VALUE"""),4.13)</f>
        <v>4.13</v>
      </c>
      <c r="N66" s="17"/>
    </row>
    <row r="67">
      <c r="B67" s="11">
        <f>IFERROR(__xludf.DUMMYFUNCTION("""COMPUTED_VALUE"""),45932.0)</f>
        <v>45932</v>
      </c>
      <c r="C67" s="9">
        <f>IFERROR(__xludf.DUMMYFUNCTION("""COMPUTED_VALUE"""),4.1)</f>
        <v>4.1</v>
      </c>
      <c r="E67" s="40">
        <f>IFERROR(__xludf.DUMMYFUNCTION("""COMPUTED_VALUE"""),45932.0)</f>
        <v>45932</v>
      </c>
      <c r="F67" s="9">
        <f>IFERROR(__xludf.DUMMYFUNCTION("""COMPUTED_VALUE"""),4.1)</f>
        <v>4.1</v>
      </c>
      <c r="H67" s="17">
        <f>IFERROR(__xludf.DUMMYFUNCTION("""COMPUTED_VALUE"""),45932.0)</f>
        <v>45932</v>
      </c>
      <c r="I67" s="9">
        <f>IFERROR(__xludf.DUMMYFUNCTION("""COMPUTED_VALUE"""),4.1)</f>
        <v>4.1</v>
      </c>
      <c r="K67" s="17">
        <f>IFERROR(__xludf.DUMMYFUNCTION("""COMPUTED_VALUE"""),45932.0)</f>
        <v>45932</v>
      </c>
      <c r="L67" s="9">
        <f>IFERROR(__xludf.DUMMYFUNCTION("""COMPUTED_VALUE"""),4.1)</f>
        <v>4.1</v>
      </c>
      <c r="N67" s="17"/>
    </row>
    <row r="68">
      <c r="B68" s="11">
        <f>IFERROR(__xludf.DUMMYFUNCTION("""COMPUTED_VALUE"""),45931.0)</f>
        <v>45931</v>
      </c>
      <c r="C68" s="9">
        <f>IFERROR(__xludf.DUMMYFUNCTION("""COMPUTED_VALUE"""),4.12)</f>
        <v>4.12</v>
      </c>
      <c r="E68" s="40">
        <f>IFERROR(__xludf.DUMMYFUNCTION("""COMPUTED_VALUE"""),45931.0)</f>
        <v>45931</v>
      </c>
      <c r="F68" s="9">
        <f>IFERROR(__xludf.DUMMYFUNCTION("""COMPUTED_VALUE"""),4.12)</f>
        <v>4.12</v>
      </c>
      <c r="H68" s="17">
        <f>IFERROR(__xludf.DUMMYFUNCTION("""COMPUTED_VALUE"""),45931.0)</f>
        <v>45931</v>
      </c>
      <c r="I68" s="9">
        <f>IFERROR(__xludf.DUMMYFUNCTION("""COMPUTED_VALUE"""),4.12)</f>
        <v>4.12</v>
      </c>
      <c r="K68" s="17">
        <f>IFERROR(__xludf.DUMMYFUNCTION("""COMPUTED_VALUE"""),45931.0)</f>
        <v>45931</v>
      </c>
      <c r="L68" s="9">
        <f>IFERROR(__xludf.DUMMYFUNCTION("""COMPUTED_VALUE"""),4.12)</f>
        <v>4.12</v>
      </c>
      <c r="N68" s="17"/>
    </row>
    <row r="69">
      <c r="B69" s="11">
        <f>IFERROR(__xludf.DUMMYFUNCTION("""COMPUTED_VALUE"""),45930.0)</f>
        <v>45930</v>
      </c>
      <c r="C69" s="9">
        <f>IFERROR(__xludf.DUMMYFUNCTION("""COMPUTED_VALUE"""),4.16)</f>
        <v>4.16</v>
      </c>
      <c r="E69" s="40">
        <f>IFERROR(__xludf.DUMMYFUNCTION("""COMPUTED_VALUE"""),45930.0)</f>
        <v>45930</v>
      </c>
      <c r="F69" s="9">
        <f>IFERROR(__xludf.DUMMYFUNCTION("""COMPUTED_VALUE"""),4.16)</f>
        <v>4.16</v>
      </c>
      <c r="H69" s="17">
        <f>IFERROR(__xludf.DUMMYFUNCTION("""COMPUTED_VALUE"""),45930.0)</f>
        <v>45930</v>
      </c>
      <c r="I69" s="9">
        <f>IFERROR(__xludf.DUMMYFUNCTION("""COMPUTED_VALUE"""),4.16)</f>
        <v>4.16</v>
      </c>
      <c r="K69" s="17">
        <f>IFERROR(__xludf.DUMMYFUNCTION("""COMPUTED_VALUE"""),45930.0)</f>
        <v>45930</v>
      </c>
      <c r="L69" s="9">
        <f>IFERROR(__xludf.DUMMYFUNCTION("""COMPUTED_VALUE"""),4.16)</f>
        <v>4.16</v>
      </c>
      <c r="N69" s="17"/>
    </row>
    <row r="70">
      <c r="B70" s="11">
        <f>IFERROR(__xludf.DUMMYFUNCTION("""COMPUTED_VALUE"""),45929.0)</f>
        <v>45929</v>
      </c>
      <c r="C70" s="9">
        <f>IFERROR(__xludf.DUMMYFUNCTION("""COMPUTED_VALUE"""),4.15)</f>
        <v>4.15</v>
      </c>
      <c r="E70" s="40">
        <f>IFERROR(__xludf.DUMMYFUNCTION("""COMPUTED_VALUE"""),45929.0)</f>
        <v>45929</v>
      </c>
      <c r="F70" s="9">
        <f>IFERROR(__xludf.DUMMYFUNCTION("""COMPUTED_VALUE"""),4.15)</f>
        <v>4.15</v>
      </c>
      <c r="H70" s="17">
        <f>IFERROR(__xludf.DUMMYFUNCTION("""COMPUTED_VALUE"""),45929.0)</f>
        <v>45929</v>
      </c>
      <c r="I70" s="9">
        <f>IFERROR(__xludf.DUMMYFUNCTION("""COMPUTED_VALUE"""),4.15)</f>
        <v>4.15</v>
      </c>
      <c r="K70" s="17">
        <f>IFERROR(__xludf.DUMMYFUNCTION("""COMPUTED_VALUE"""),45929.0)</f>
        <v>45929</v>
      </c>
      <c r="L70" s="9">
        <f>IFERROR(__xludf.DUMMYFUNCTION("""COMPUTED_VALUE"""),4.15)</f>
        <v>4.15</v>
      </c>
      <c r="N70" s="17"/>
    </row>
    <row r="71">
      <c r="B71" s="11">
        <f>IFERROR(__xludf.DUMMYFUNCTION("""COMPUTED_VALUE"""),45926.0)</f>
        <v>45926</v>
      </c>
      <c r="C71" s="9">
        <f>IFERROR(__xludf.DUMMYFUNCTION("""COMPUTED_VALUE"""),4.2)</f>
        <v>4.2</v>
      </c>
      <c r="E71" s="40">
        <f>IFERROR(__xludf.DUMMYFUNCTION("""COMPUTED_VALUE"""),45926.0)</f>
        <v>45926</v>
      </c>
      <c r="F71" s="9">
        <f>IFERROR(__xludf.DUMMYFUNCTION("""COMPUTED_VALUE"""),4.2)</f>
        <v>4.2</v>
      </c>
      <c r="H71" s="17">
        <f>IFERROR(__xludf.DUMMYFUNCTION("""COMPUTED_VALUE"""),45926.0)</f>
        <v>45926</v>
      </c>
      <c r="I71" s="9">
        <f>IFERROR(__xludf.DUMMYFUNCTION("""COMPUTED_VALUE"""),4.2)</f>
        <v>4.2</v>
      </c>
      <c r="K71" s="17">
        <f>IFERROR(__xludf.DUMMYFUNCTION("""COMPUTED_VALUE"""),45926.0)</f>
        <v>45926</v>
      </c>
      <c r="L71" s="9">
        <f>IFERROR(__xludf.DUMMYFUNCTION("""COMPUTED_VALUE"""),4.2)</f>
        <v>4.2</v>
      </c>
      <c r="N71" s="17"/>
    </row>
    <row r="72">
      <c r="B72" s="11">
        <f>IFERROR(__xludf.DUMMYFUNCTION("""COMPUTED_VALUE"""),45925.0)</f>
        <v>45925</v>
      </c>
      <c r="C72" s="9">
        <f>IFERROR(__xludf.DUMMYFUNCTION("""COMPUTED_VALUE"""),4.18)</f>
        <v>4.18</v>
      </c>
      <c r="E72" s="40">
        <f>IFERROR(__xludf.DUMMYFUNCTION("""COMPUTED_VALUE"""),45925.0)</f>
        <v>45925</v>
      </c>
      <c r="F72" s="9">
        <f>IFERROR(__xludf.DUMMYFUNCTION("""COMPUTED_VALUE"""),4.18)</f>
        <v>4.18</v>
      </c>
      <c r="H72" s="17">
        <f>IFERROR(__xludf.DUMMYFUNCTION("""COMPUTED_VALUE"""),45925.0)</f>
        <v>45925</v>
      </c>
      <c r="I72" s="9">
        <f>IFERROR(__xludf.DUMMYFUNCTION("""COMPUTED_VALUE"""),4.18)</f>
        <v>4.18</v>
      </c>
      <c r="K72" s="17">
        <f>IFERROR(__xludf.DUMMYFUNCTION("""COMPUTED_VALUE"""),45925.0)</f>
        <v>45925</v>
      </c>
      <c r="L72" s="9">
        <f>IFERROR(__xludf.DUMMYFUNCTION("""COMPUTED_VALUE"""),4.18)</f>
        <v>4.18</v>
      </c>
      <c r="N72" s="17"/>
    </row>
    <row r="73">
      <c r="B73" s="11">
        <f>IFERROR(__xludf.DUMMYFUNCTION("""COMPUTED_VALUE"""),45924.0)</f>
        <v>45924</v>
      </c>
      <c r="C73" s="9">
        <f>IFERROR(__xludf.DUMMYFUNCTION("""COMPUTED_VALUE"""),4.16)</f>
        <v>4.16</v>
      </c>
      <c r="E73" s="40">
        <f>IFERROR(__xludf.DUMMYFUNCTION("""COMPUTED_VALUE"""),45924.0)</f>
        <v>45924</v>
      </c>
      <c r="F73" s="9">
        <f>IFERROR(__xludf.DUMMYFUNCTION("""COMPUTED_VALUE"""),4.16)</f>
        <v>4.16</v>
      </c>
      <c r="H73" s="17">
        <f>IFERROR(__xludf.DUMMYFUNCTION("""COMPUTED_VALUE"""),45924.0)</f>
        <v>45924</v>
      </c>
      <c r="I73" s="9">
        <f>IFERROR(__xludf.DUMMYFUNCTION("""COMPUTED_VALUE"""),4.16)</f>
        <v>4.16</v>
      </c>
      <c r="K73" s="17">
        <f>IFERROR(__xludf.DUMMYFUNCTION("""COMPUTED_VALUE"""),45924.0)</f>
        <v>45924</v>
      </c>
      <c r="L73" s="9">
        <f>IFERROR(__xludf.DUMMYFUNCTION("""COMPUTED_VALUE"""),4.16)</f>
        <v>4.16</v>
      </c>
      <c r="N73" s="17"/>
    </row>
    <row r="74">
      <c r="B74" s="11">
        <f>IFERROR(__xludf.DUMMYFUNCTION("""COMPUTED_VALUE"""),45923.0)</f>
        <v>45923</v>
      </c>
      <c r="C74" s="9">
        <f>IFERROR(__xludf.DUMMYFUNCTION("""COMPUTED_VALUE"""),4.12)</f>
        <v>4.12</v>
      </c>
      <c r="E74" s="40">
        <f>IFERROR(__xludf.DUMMYFUNCTION("""COMPUTED_VALUE"""),45923.0)</f>
        <v>45923</v>
      </c>
      <c r="F74" s="9">
        <f>IFERROR(__xludf.DUMMYFUNCTION("""COMPUTED_VALUE"""),4.12)</f>
        <v>4.12</v>
      </c>
      <c r="H74" s="17">
        <f>IFERROR(__xludf.DUMMYFUNCTION("""COMPUTED_VALUE"""),45923.0)</f>
        <v>45923</v>
      </c>
      <c r="I74" s="9">
        <f>IFERROR(__xludf.DUMMYFUNCTION("""COMPUTED_VALUE"""),4.12)</f>
        <v>4.12</v>
      </c>
      <c r="K74" s="17">
        <f>IFERROR(__xludf.DUMMYFUNCTION("""COMPUTED_VALUE"""),45923.0)</f>
        <v>45923</v>
      </c>
      <c r="L74" s="9">
        <f>IFERROR(__xludf.DUMMYFUNCTION("""COMPUTED_VALUE"""),4.12)</f>
        <v>4.12</v>
      </c>
      <c r="N74" s="17"/>
    </row>
    <row r="75">
      <c r="B75" s="11">
        <f>IFERROR(__xludf.DUMMYFUNCTION("""COMPUTED_VALUE"""),45922.0)</f>
        <v>45922</v>
      </c>
      <c r="C75" s="9">
        <f>IFERROR(__xludf.DUMMYFUNCTION("""COMPUTED_VALUE"""),4.15)</f>
        <v>4.15</v>
      </c>
      <c r="E75" s="40">
        <f>IFERROR(__xludf.DUMMYFUNCTION("""COMPUTED_VALUE"""),45922.0)</f>
        <v>45922</v>
      </c>
      <c r="F75" s="9">
        <f>IFERROR(__xludf.DUMMYFUNCTION("""COMPUTED_VALUE"""),4.15)</f>
        <v>4.15</v>
      </c>
      <c r="H75" s="17">
        <f>IFERROR(__xludf.DUMMYFUNCTION("""COMPUTED_VALUE"""),45922.0)</f>
        <v>45922</v>
      </c>
      <c r="I75" s="9">
        <f>IFERROR(__xludf.DUMMYFUNCTION("""COMPUTED_VALUE"""),4.15)</f>
        <v>4.15</v>
      </c>
      <c r="K75" s="17">
        <f>IFERROR(__xludf.DUMMYFUNCTION("""COMPUTED_VALUE"""),45922.0)</f>
        <v>45922</v>
      </c>
      <c r="L75" s="9">
        <f>IFERROR(__xludf.DUMMYFUNCTION("""COMPUTED_VALUE"""),4.15)</f>
        <v>4.15</v>
      </c>
      <c r="N75" s="17"/>
    </row>
    <row r="76">
      <c r="B76" s="11">
        <f>IFERROR(__xludf.DUMMYFUNCTION("""COMPUTED_VALUE"""),45919.0)</f>
        <v>45919</v>
      </c>
      <c r="C76" s="9">
        <f>IFERROR(__xludf.DUMMYFUNCTION("""COMPUTED_VALUE"""),4.14)</f>
        <v>4.14</v>
      </c>
      <c r="E76" s="40">
        <f>IFERROR(__xludf.DUMMYFUNCTION("""COMPUTED_VALUE"""),45919.0)</f>
        <v>45919</v>
      </c>
      <c r="F76" s="9">
        <f>IFERROR(__xludf.DUMMYFUNCTION("""COMPUTED_VALUE"""),4.14)</f>
        <v>4.14</v>
      </c>
      <c r="H76" s="17">
        <f>IFERROR(__xludf.DUMMYFUNCTION("""COMPUTED_VALUE"""),45919.0)</f>
        <v>45919</v>
      </c>
      <c r="I76" s="9">
        <f>IFERROR(__xludf.DUMMYFUNCTION("""COMPUTED_VALUE"""),4.14)</f>
        <v>4.14</v>
      </c>
      <c r="K76" s="17">
        <f>IFERROR(__xludf.DUMMYFUNCTION("""COMPUTED_VALUE"""),45919.0)</f>
        <v>45919</v>
      </c>
      <c r="L76" s="9">
        <f>IFERROR(__xludf.DUMMYFUNCTION("""COMPUTED_VALUE"""),4.14)</f>
        <v>4.14</v>
      </c>
      <c r="N76" s="17"/>
    </row>
    <row r="77">
      <c r="B77" s="11">
        <f>IFERROR(__xludf.DUMMYFUNCTION("""COMPUTED_VALUE"""),45918.0)</f>
        <v>45918</v>
      </c>
      <c r="C77" s="9">
        <f>IFERROR(__xludf.DUMMYFUNCTION("""COMPUTED_VALUE"""),4.11)</f>
        <v>4.11</v>
      </c>
      <c r="E77" s="40">
        <f>IFERROR(__xludf.DUMMYFUNCTION("""COMPUTED_VALUE"""),45918.0)</f>
        <v>45918</v>
      </c>
      <c r="F77" s="9">
        <f>IFERROR(__xludf.DUMMYFUNCTION("""COMPUTED_VALUE"""),4.11)</f>
        <v>4.11</v>
      </c>
      <c r="H77" s="17">
        <f>IFERROR(__xludf.DUMMYFUNCTION("""COMPUTED_VALUE"""),45918.0)</f>
        <v>45918</v>
      </c>
      <c r="I77" s="9">
        <f>IFERROR(__xludf.DUMMYFUNCTION("""COMPUTED_VALUE"""),4.11)</f>
        <v>4.11</v>
      </c>
      <c r="K77" s="17">
        <f>IFERROR(__xludf.DUMMYFUNCTION("""COMPUTED_VALUE"""),45918.0)</f>
        <v>45918</v>
      </c>
      <c r="L77" s="9">
        <f>IFERROR(__xludf.DUMMYFUNCTION("""COMPUTED_VALUE"""),4.11)</f>
        <v>4.11</v>
      </c>
      <c r="N77" s="17"/>
    </row>
    <row r="78">
      <c r="B78" s="11">
        <f>IFERROR(__xludf.DUMMYFUNCTION("""COMPUTED_VALUE"""),45917.0)</f>
        <v>45917</v>
      </c>
      <c r="C78" s="9">
        <f>IFERROR(__xludf.DUMMYFUNCTION("""COMPUTED_VALUE"""),4.06)</f>
        <v>4.06</v>
      </c>
      <c r="E78" s="40">
        <f>IFERROR(__xludf.DUMMYFUNCTION("""COMPUTED_VALUE"""),45917.0)</f>
        <v>45917</v>
      </c>
      <c r="F78" s="9">
        <f>IFERROR(__xludf.DUMMYFUNCTION("""COMPUTED_VALUE"""),4.06)</f>
        <v>4.06</v>
      </c>
      <c r="H78" s="17">
        <f>IFERROR(__xludf.DUMMYFUNCTION("""COMPUTED_VALUE"""),45917.0)</f>
        <v>45917</v>
      </c>
      <c r="I78" s="9">
        <f>IFERROR(__xludf.DUMMYFUNCTION("""COMPUTED_VALUE"""),4.06)</f>
        <v>4.06</v>
      </c>
      <c r="K78" s="17">
        <f>IFERROR(__xludf.DUMMYFUNCTION("""COMPUTED_VALUE"""),45917.0)</f>
        <v>45917</v>
      </c>
      <c r="L78" s="9">
        <f>IFERROR(__xludf.DUMMYFUNCTION("""COMPUTED_VALUE"""),4.06)</f>
        <v>4.06</v>
      </c>
      <c r="N78" s="17"/>
    </row>
    <row r="79">
      <c r="B79" s="11">
        <f>IFERROR(__xludf.DUMMYFUNCTION("""COMPUTED_VALUE"""),45916.0)</f>
        <v>45916</v>
      </c>
      <c r="C79" s="9">
        <f>IFERROR(__xludf.DUMMYFUNCTION("""COMPUTED_VALUE"""),4.04)</f>
        <v>4.04</v>
      </c>
      <c r="E79" s="40">
        <f>IFERROR(__xludf.DUMMYFUNCTION("""COMPUTED_VALUE"""),45916.0)</f>
        <v>45916</v>
      </c>
      <c r="F79" s="9">
        <f>IFERROR(__xludf.DUMMYFUNCTION("""COMPUTED_VALUE"""),4.04)</f>
        <v>4.04</v>
      </c>
      <c r="H79" s="17">
        <f>IFERROR(__xludf.DUMMYFUNCTION("""COMPUTED_VALUE"""),45916.0)</f>
        <v>45916</v>
      </c>
      <c r="I79" s="9">
        <f>IFERROR(__xludf.DUMMYFUNCTION("""COMPUTED_VALUE"""),4.04)</f>
        <v>4.04</v>
      </c>
      <c r="K79" s="17">
        <f>IFERROR(__xludf.DUMMYFUNCTION("""COMPUTED_VALUE"""),45916.0)</f>
        <v>45916</v>
      </c>
      <c r="L79" s="9">
        <f>IFERROR(__xludf.DUMMYFUNCTION("""COMPUTED_VALUE"""),4.04)</f>
        <v>4.04</v>
      </c>
      <c r="N79" s="17"/>
    </row>
    <row r="80">
      <c r="B80" s="11">
        <f>IFERROR(__xludf.DUMMYFUNCTION("""COMPUTED_VALUE"""),45915.0)</f>
        <v>45915</v>
      </c>
      <c r="C80" s="9">
        <f>IFERROR(__xludf.DUMMYFUNCTION("""COMPUTED_VALUE"""),4.05)</f>
        <v>4.05</v>
      </c>
      <c r="E80" s="40">
        <f>IFERROR(__xludf.DUMMYFUNCTION("""COMPUTED_VALUE"""),45915.0)</f>
        <v>45915</v>
      </c>
      <c r="F80" s="9">
        <f>IFERROR(__xludf.DUMMYFUNCTION("""COMPUTED_VALUE"""),4.05)</f>
        <v>4.05</v>
      </c>
      <c r="H80" s="17">
        <f>IFERROR(__xludf.DUMMYFUNCTION("""COMPUTED_VALUE"""),45915.0)</f>
        <v>45915</v>
      </c>
      <c r="I80" s="9">
        <f>IFERROR(__xludf.DUMMYFUNCTION("""COMPUTED_VALUE"""),4.05)</f>
        <v>4.05</v>
      </c>
      <c r="K80" s="17">
        <f>IFERROR(__xludf.DUMMYFUNCTION("""COMPUTED_VALUE"""),45915.0)</f>
        <v>45915</v>
      </c>
      <c r="L80" s="9">
        <f>IFERROR(__xludf.DUMMYFUNCTION("""COMPUTED_VALUE"""),4.05)</f>
        <v>4.05</v>
      </c>
      <c r="N80" s="17"/>
    </row>
    <row r="81">
      <c r="B81" s="11">
        <f>IFERROR(__xludf.DUMMYFUNCTION("""COMPUTED_VALUE"""),45912.0)</f>
        <v>45912</v>
      </c>
      <c r="C81" s="9">
        <f>IFERROR(__xludf.DUMMYFUNCTION("""COMPUTED_VALUE"""),4.06)</f>
        <v>4.06</v>
      </c>
      <c r="E81" s="40">
        <f>IFERROR(__xludf.DUMMYFUNCTION("""COMPUTED_VALUE"""),45912.0)</f>
        <v>45912</v>
      </c>
      <c r="F81" s="9">
        <f>IFERROR(__xludf.DUMMYFUNCTION("""COMPUTED_VALUE"""),4.06)</f>
        <v>4.06</v>
      </c>
      <c r="H81" s="17">
        <f>IFERROR(__xludf.DUMMYFUNCTION("""COMPUTED_VALUE"""),45912.0)</f>
        <v>45912</v>
      </c>
      <c r="I81" s="9">
        <f>IFERROR(__xludf.DUMMYFUNCTION("""COMPUTED_VALUE"""),4.06)</f>
        <v>4.06</v>
      </c>
      <c r="K81" s="17">
        <f>IFERROR(__xludf.DUMMYFUNCTION("""COMPUTED_VALUE"""),45912.0)</f>
        <v>45912</v>
      </c>
      <c r="L81" s="9">
        <f>IFERROR(__xludf.DUMMYFUNCTION("""COMPUTED_VALUE"""),4.06)</f>
        <v>4.06</v>
      </c>
      <c r="N81" s="17"/>
    </row>
    <row r="82">
      <c r="B82" s="11">
        <f>IFERROR(__xludf.DUMMYFUNCTION("""COMPUTED_VALUE"""),45911.0)</f>
        <v>45911</v>
      </c>
      <c r="C82" s="9">
        <f>IFERROR(__xludf.DUMMYFUNCTION("""COMPUTED_VALUE"""),4.01)</f>
        <v>4.01</v>
      </c>
      <c r="E82" s="40">
        <f>IFERROR(__xludf.DUMMYFUNCTION("""COMPUTED_VALUE"""),45911.0)</f>
        <v>45911</v>
      </c>
      <c r="F82" s="9">
        <f>IFERROR(__xludf.DUMMYFUNCTION("""COMPUTED_VALUE"""),4.01)</f>
        <v>4.01</v>
      </c>
      <c r="H82" s="17">
        <f>IFERROR(__xludf.DUMMYFUNCTION("""COMPUTED_VALUE"""),45911.0)</f>
        <v>45911</v>
      </c>
      <c r="I82" s="9">
        <f>IFERROR(__xludf.DUMMYFUNCTION("""COMPUTED_VALUE"""),4.01)</f>
        <v>4.01</v>
      </c>
      <c r="K82" s="17">
        <f>IFERROR(__xludf.DUMMYFUNCTION("""COMPUTED_VALUE"""),45911.0)</f>
        <v>45911</v>
      </c>
      <c r="L82" s="9">
        <f>IFERROR(__xludf.DUMMYFUNCTION("""COMPUTED_VALUE"""),4.01)</f>
        <v>4.01</v>
      </c>
      <c r="N82" s="17"/>
    </row>
    <row r="83">
      <c r="B83" s="11">
        <f>IFERROR(__xludf.DUMMYFUNCTION("""COMPUTED_VALUE"""),45910.0)</f>
        <v>45910</v>
      </c>
      <c r="C83" s="9">
        <f>IFERROR(__xludf.DUMMYFUNCTION("""COMPUTED_VALUE"""),4.04)</f>
        <v>4.04</v>
      </c>
      <c r="E83" s="40">
        <f>IFERROR(__xludf.DUMMYFUNCTION("""COMPUTED_VALUE"""),45910.0)</f>
        <v>45910</v>
      </c>
      <c r="F83" s="9">
        <f>IFERROR(__xludf.DUMMYFUNCTION("""COMPUTED_VALUE"""),4.04)</f>
        <v>4.04</v>
      </c>
      <c r="H83" s="17">
        <f>IFERROR(__xludf.DUMMYFUNCTION("""COMPUTED_VALUE"""),45910.0)</f>
        <v>45910</v>
      </c>
      <c r="I83" s="9">
        <f>IFERROR(__xludf.DUMMYFUNCTION("""COMPUTED_VALUE"""),4.04)</f>
        <v>4.04</v>
      </c>
      <c r="K83" s="17">
        <f>IFERROR(__xludf.DUMMYFUNCTION("""COMPUTED_VALUE"""),45910.0)</f>
        <v>45910</v>
      </c>
      <c r="L83" s="9">
        <f>IFERROR(__xludf.DUMMYFUNCTION("""COMPUTED_VALUE"""),4.04)</f>
        <v>4.04</v>
      </c>
      <c r="N83" s="17"/>
    </row>
    <row r="84">
      <c r="B84" s="11">
        <f>IFERROR(__xludf.DUMMYFUNCTION("""COMPUTED_VALUE"""),45909.0)</f>
        <v>45909</v>
      </c>
      <c r="C84" s="9">
        <f>IFERROR(__xludf.DUMMYFUNCTION("""COMPUTED_VALUE"""),4.08)</f>
        <v>4.08</v>
      </c>
      <c r="E84" s="40">
        <f>IFERROR(__xludf.DUMMYFUNCTION("""COMPUTED_VALUE"""),45909.0)</f>
        <v>45909</v>
      </c>
      <c r="F84" s="9">
        <f>IFERROR(__xludf.DUMMYFUNCTION("""COMPUTED_VALUE"""),4.08)</f>
        <v>4.08</v>
      </c>
      <c r="H84" s="17">
        <f>IFERROR(__xludf.DUMMYFUNCTION("""COMPUTED_VALUE"""),45909.0)</f>
        <v>45909</v>
      </c>
      <c r="I84" s="9">
        <f>IFERROR(__xludf.DUMMYFUNCTION("""COMPUTED_VALUE"""),4.08)</f>
        <v>4.08</v>
      </c>
      <c r="K84" s="17">
        <f>IFERROR(__xludf.DUMMYFUNCTION("""COMPUTED_VALUE"""),45909.0)</f>
        <v>45909</v>
      </c>
      <c r="L84" s="9">
        <f>IFERROR(__xludf.DUMMYFUNCTION("""COMPUTED_VALUE"""),4.08)</f>
        <v>4.08</v>
      </c>
      <c r="N84" s="17"/>
    </row>
    <row r="85">
      <c r="B85" s="11">
        <f>IFERROR(__xludf.DUMMYFUNCTION("""COMPUTED_VALUE"""),45908.0)</f>
        <v>45908</v>
      </c>
      <c r="C85" s="9">
        <f>IFERROR(__xludf.DUMMYFUNCTION("""COMPUTED_VALUE"""),4.05)</f>
        <v>4.05</v>
      </c>
      <c r="E85" s="40">
        <f>IFERROR(__xludf.DUMMYFUNCTION("""COMPUTED_VALUE"""),45908.0)</f>
        <v>45908</v>
      </c>
      <c r="F85" s="9">
        <f>IFERROR(__xludf.DUMMYFUNCTION("""COMPUTED_VALUE"""),4.05)</f>
        <v>4.05</v>
      </c>
      <c r="H85" s="17">
        <f>IFERROR(__xludf.DUMMYFUNCTION("""COMPUTED_VALUE"""),45908.0)</f>
        <v>45908</v>
      </c>
      <c r="I85" s="9">
        <f>IFERROR(__xludf.DUMMYFUNCTION("""COMPUTED_VALUE"""),4.05)</f>
        <v>4.05</v>
      </c>
      <c r="K85" s="17">
        <f>IFERROR(__xludf.DUMMYFUNCTION("""COMPUTED_VALUE"""),45908.0)</f>
        <v>45908</v>
      </c>
      <c r="L85" s="9">
        <f>IFERROR(__xludf.DUMMYFUNCTION("""COMPUTED_VALUE"""),4.05)</f>
        <v>4.05</v>
      </c>
      <c r="N85" s="17"/>
    </row>
    <row r="86">
      <c r="B86" s="11">
        <f>IFERROR(__xludf.DUMMYFUNCTION("""COMPUTED_VALUE"""),45905.0)</f>
        <v>45905</v>
      </c>
      <c r="C86" s="9">
        <f>IFERROR(__xludf.DUMMYFUNCTION("""COMPUTED_VALUE"""),4.1)</f>
        <v>4.1</v>
      </c>
      <c r="E86" s="40">
        <f>IFERROR(__xludf.DUMMYFUNCTION("""COMPUTED_VALUE"""),45905.0)</f>
        <v>45905</v>
      </c>
      <c r="F86" s="9">
        <f>IFERROR(__xludf.DUMMYFUNCTION("""COMPUTED_VALUE"""),4.1)</f>
        <v>4.1</v>
      </c>
      <c r="H86" s="17">
        <f>IFERROR(__xludf.DUMMYFUNCTION("""COMPUTED_VALUE"""),45905.0)</f>
        <v>45905</v>
      </c>
      <c r="I86" s="9">
        <f>IFERROR(__xludf.DUMMYFUNCTION("""COMPUTED_VALUE"""),4.1)</f>
        <v>4.1</v>
      </c>
      <c r="K86" s="17">
        <f>IFERROR(__xludf.DUMMYFUNCTION("""COMPUTED_VALUE"""),45905.0)</f>
        <v>45905</v>
      </c>
      <c r="L86" s="9">
        <f>IFERROR(__xludf.DUMMYFUNCTION("""COMPUTED_VALUE"""),4.1)</f>
        <v>4.1</v>
      </c>
      <c r="N86" s="17"/>
    </row>
    <row r="87">
      <c r="B87" s="11">
        <f>IFERROR(__xludf.DUMMYFUNCTION("""COMPUTED_VALUE"""),45904.0)</f>
        <v>45904</v>
      </c>
      <c r="C87" s="9">
        <f>IFERROR(__xludf.DUMMYFUNCTION("""COMPUTED_VALUE"""),4.17)</f>
        <v>4.17</v>
      </c>
      <c r="E87" s="40">
        <f>IFERROR(__xludf.DUMMYFUNCTION("""COMPUTED_VALUE"""),45904.0)</f>
        <v>45904</v>
      </c>
      <c r="F87" s="9">
        <f>IFERROR(__xludf.DUMMYFUNCTION("""COMPUTED_VALUE"""),4.17)</f>
        <v>4.17</v>
      </c>
      <c r="H87" s="17">
        <f>IFERROR(__xludf.DUMMYFUNCTION("""COMPUTED_VALUE"""),45904.0)</f>
        <v>45904</v>
      </c>
      <c r="I87" s="9">
        <f>IFERROR(__xludf.DUMMYFUNCTION("""COMPUTED_VALUE"""),4.17)</f>
        <v>4.17</v>
      </c>
      <c r="K87" s="17">
        <f>IFERROR(__xludf.DUMMYFUNCTION("""COMPUTED_VALUE"""),45904.0)</f>
        <v>45904</v>
      </c>
      <c r="L87" s="9">
        <f>IFERROR(__xludf.DUMMYFUNCTION("""COMPUTED_VALUE"""),4.17)</f>
        <v>4.17</v>
      </c>
      <c r="N87" s="17"/>
    </row>
    <row r="88">
      <c r="B88" s="11">
        <f>IFERROR(__xludf.DUMMYFUNCTION("""COMPUTED_VALUE"""),45903.0)</f>
        <v>45903</v>
      </c>
      <c r="C88" s="9">
        <f>IFERROR(__xludf.DUMMYFUNCTION("""COMPUTED_VALUE"""),4.22)</f>
        <v>4.22</v>
      </c>
      <c r="E88" s="40">
        <f>IFERROR(__xludf.DUMMYFUNCTION("""COMPUTED_VALUE"""),45903.0)</f>
        <v>45903</v>
      </c>
      <c r="F88" s="9">
        <f>IFERROR(__xludf.DUMMYFUNCTION("""COMPUTED_VALUE"""),4.22)</f>
        <v>4.22</v>
      </c>
      <c r="H88" s="17">
        <f>IFERROR(__xludf.DUMMYFUNCTION("""COMPUTED_VALUE"""),45903.0)</f>
        <v>45903</v>
      </c>
      <c r="I88" s="9">
        <f>IFERROR(__xludf.DUMMYFUNCTION("""COMPUTED_VALUE"""),4.22)</f>
        <v>4.22</v>
      </c>
      <c r="K88" s="17">
        <f>IFERROR(__xludf.DUMMYFUNCTION("""COMPUTED_VALUE"""),45903.0)</f>
        <v>45903</v>
      </c>
      <c r="L88" s="9">
        <f>IFERROR(__xludf.DUMMYFUNCTION("""COMPUTED_VALUE"""),4.22)</f>
        <v>4.22</v>
      </c>
      <c r="N88" s="17"/>
    </row>
    <row r="89">
      <c r="B89" s="11">
        <f>IFERROR(__xludf.DUMMYFUNCTION("""COMPUTED_VALUE"""),45902.0)</f>
        <v>45902</v>
      </c>
      <c r="C89" s="9">
        <f>IFERROR(__xludf.DUMMYFUNCTION("""COMPUTED_VALUE"""),4.28)</f>
        <v>4.28</v>
      </c>
      <c r="E89" s="40">
        <f>IFERROR(__xludf.DUMMYFUNCTION("""COMPUTED_VALUE"""),45902.0)</f>
        <v>45902</v>
      </c>
      <c r="F89" s="9">
        <f>IFERROR(__xludf.DUMMYFUNCTION("""COMPUTED_VALUE"""),4.28)</f>
        <v>4.28</v>
      </c>
      <c r="H89" s="17">
        <f>IFERROR(__xludf.DUMMYFUNCTION("""COMPUTED_VALUE"""),45902.0)</f>
        <v>45902</v>
      </c>
      <c r="I89" s="9">
        <f>IFERROR(__xludf.DUMMYFUNCTION("""COMPUTED_VALUE"""),4.28)</f>
        <v>4.28</v>
      </c>
      <c r="K89" s="17">
        <f>IFERROR(__xludf.DUMMYFUNCTION("""COMPUTED_VALUE"""),45902.0)</f>
        <v>45902</v>
      </c>
      <c r="L89" s="9">
        <f>IFERROR(__xludf.DUMMYFUNCTION("""COMPUTED_VALUE"""),4.28)</f>
        <v>4.28</v>
      </c>
      <c r="N89" s="17"/>
    </row>
    <row r="90">
      <c r="B90" s="11">
        <f>IFERROR(__xludf.DUMMYFUNCTION("""COMPUTED_VALUE"""),45901.0)</f>
        <v>45901</v>
      </c>
      <c r="C90" s="9"/>
      <c r="E90" s="40">
        <f>IFERROR(__xludf.DUMMYFUNCTION("""COMPUTED_VALUE"""),45901.0)</f>
        <v>45901</v>
      </c>
      <c r="F90" s="9"/>
      <c r="H90" s="17">
        <f>IFERROR(__xludf.DUMMYFUNCTION("""COMPUTED_VALUE"""),45901.0)</f>
        <v>45901</v>
      </c>
      <c r="I90" s="9"/>
      <c r="K90" s="17">
        <f>IFERROR(__xludf.DUMMYFUNCTION("""COMPUTED_VALUE"""),45901.0)</f>
        <v>45901</v>
      </c>
      <c r="L90" s="9"/>
      <c r="N90" s="17"/>
    </row>
    <row r="91">
      <c r="B91" s="11">
        <f>IFERROR(__xludf.DUMMYFUNCTION("""COMPUTED_VALUE"""),45898.0)</f>
        <v>45898</v>
      </c>
      <c r="C91" s="9">
        <f>IFERROR(__xludf.DUMMYFUNCTION("""COMPUTED_VALUE"""),4.23)</f>
        <v>4.23</v>
      </c>
      <c r="E91" s="40">
        <f>IFERROR(__xludf.DUMMYFUNCTION("""COMPUTED_VALUE"""),45898.0)</f>
        <v>45898</v>
      </c>
      <c r="F91" s="9">
        <f>IFERROR(__xludf.DUMMYFUNCTION("""COMPUTED_VALUE"""),4.23)</f>
        <v>4.23</v>
      </c>
      <c r="H91" s="17">
        <f>IFERROR(__xludf.DUMMYFUNCTION("""COMPUTED_VALUE"""),45898.0)</f>
        <v>45898</v>
      </c>
      <c r="I91" s="9">
        <f>IFERROR(__xludf.DUMMYFUNCTION("""COMPUTED_VALUE"""),4.23)</f>
        <v>4.23</v>
      </c>
      <c r="K91" s="17">
        <f>IFERROR(__xludf.DUMMYFUNCTION("""COMPUTED_VALUE"""),45898.0)</f>
        <v>45898</v>
      </c>
      <c r="L91" s="9">
        <f>IFERROR(__xludf.DUMMYFUNCTION("""COMPUTED_VALUE"""),4.23)</f>
        <v>4.23</v>
      </c>
      <c r="N91" s="17"/>
    </row>
    <row r="92">
      <c r="B92" s="11">
        <f>IFERROR(__xludf.DUMMYFUNCTION("""COMPUTED_VALUE"""),45897.0)</f>
        <v>45897</v>
      </c>
      <c r="C92" s="9">
        <f>IFERROR(__xludf.DUMMYFUNCTION("""COMPUTED_VALUE"""),4.22)</f>
        <v>4.22</v>
      </c>
      <c r="E92" s="40">
        <f>IFERROR(__xludf.DUMMYFUNCTION("""COMPUTED_VALUE"""),45897.0)</f>
        <v>45897</v>
      </c>
      <c r="F92" s="9">
        <f>IFERROR(__xludf.DUMMYFUNCTION("""COMPUTED_VALUE"""),4.22)</f>
        <v>4.22</v>
      </c>
      <c r="H92" s="17">
        <f>IFERROR(__xludf.DUMMYFUNCTION("""COMPUTED_VALUE"""),45897.0)</f>
        <v>45897</v>
      </c>
      <c r="I92" s="9">
        <f>IFERROR(__xludf.DUMMYFUNCTION("""COMPUTED_VALUE"""),4.22)</f>
        <v>4.22</v>
      </c>
      <c r="K92" s="17">
        <f>IFERROR(__xludf.DUMMYFUNCTION("""COMPUTED_VALUE"""),45897.0)</f>
        <v>45897</v>
      </c>
      <c r="L92" s="9">
        <f>IFERROR(__xludf.DUMMYFUNCTION("""COMPUTED_VALUE"""),4.22)</f>
        <v>4.22</v>
      </c>
      <c r="N92" s="17"/>
    </row>
    <row r="93">
      <c r="B93" s="11">
        <f>IFERROR(__xludf.DUMMYFUNCTION("""COMPUTED_VALUE"""),45896.0)</f>
        <v>45896</v>
      </c>
      <c r="C93" s="9">
        <f>IFERROR(__xludf.DUMMYFUNCTION("""COMPUTED_VALUE"""),4.24)</f>
        <v>4.24</v>
      </c>
      <c r="E93" s="40">
        <f>IFERROR(__xludf.DUMMYFUNCTION("""COMPUTED_VALUE"""),45896.0)</f>
        <v>45896</v>
      </c>
      <c r="F93" s="9">
        <f>IFERROR(__xludf.DUMMYFUNCTION("""COMPUTED_VALUE"""),4.24)</f>
        <v>4.24</v>
      </c>
      <c r="H93" s="17">
        <f>IFERROR(__xludf.DUMMYFUNCTION("""COMPUTED_VALUE"""),45896.0)</f>
        <v>45896</v>
      </c>
      <c r="I93" s="9">
        <f>IFERROR(__xludf.DUMMYFUNCTION("""COMPUTED_VALUE"""),4.24)</f>
        <v>4.24</v>
      </c>
      <c r="K93" s="17">
        <f>IFERROR(__xludf.DUMMYFUNCTION("""COMPUTED_VALUE"""),45896.0)</f>
        <v>45896</v>
      </c>
      <c r="L93" s="9">
        <f>IFERROR(__xludf.DUMMYFUNCTION("""COMPUTED_VALUE"""),4.24)</f>
        <v>4.24</v>
      </c>
      <c r="N93" s="17"/>
    </row>
    <row r="94">
      <c r="B94" s="11">
        <f>IFERROR(__xludf.DUMMYFUNCTION("""COMPUTED_VALUE"""),45895.0)</f>
        <v>45895</v>
      </c>
      <c r="C94" s="9">
        <f>IFERROR(__xludf.DUMMYFUNCTION("""COMPUTED_VALUE"""),4.26)</f>
        <v>4.26</v>
      </c>
      <c r="E94" s="40">
        <f>IFERROR(__xludf.DUMMYFUNCTION("""COMPUTED_VALUE"""),45895.0)</f>
        <v>45895</v>
      </c>
      <c r="F94" s="9">
        <f>IFERROR(__xludf.DUMMYFUNCTION("""COMPUTED_VALUE"""),4.26)</f>
        <v>4.26</v>
      </c>
      <c r="H94" s="17">
        <f>IFERROR(__xludf.DUMMYFUNCTION("""COMPUTED_VALUE"""),45895.0)</f>
        <v>45895</v>
      </c>
      <c r="I94" s="9">
        <f>IFERROR(__xludf.DUMMYFUNCTION("""COMPUTED_VALUE"""),4.26)</f>
        <v>4.26</v>
      </c>
      <c r="K94" s="17">
        <f>IFERROR(__xludf.DUMMYFUNCTION("""COMPUTED_VALUE"""),45895.0)</f>
        <v>45895</v>
      </c>
      <c r="L94" s="9">
        <f>IFERROR(__xludf.DUMMYFUNCTION("""COMPUTED_VALUE"""),4.26)</f>
        <v>4.26</v>
      </c>
      <c r="N94" s="17"/>
    </row>
    <row r="95">
      <c r="B95" s="11">
        <f>IFERROR(__xludf.DUMMYFUNCTION("""COMPUTED_VALUE"""),45894.0)</f>
        <v>45894</v>
      </c>
      <c r="C95" s="9">
        <f>IFERROR(__xludf.DUMMYFUNCTION("""COMPUTED_VALUE"""),4.28)</f>
        <v>4.28</v>
      </c>
      <c r="E95" s="40">
        <f>IFERROR(__xludf.DUMMYFUNCTION("""COMPUTED_VALUE"""),45894.0)</f>
        <v>45894</v>
      </c>
      <c r="F95" s="9">
        <f>IFERROR(__xludf.DUMMYFUNCTION("""COMPUTED_VALUE"""),4.28)</f>
        <v>4.28</v>
      </c>
      <c r="H95" s="17">
        <f>IFERROR(__xludf.DUMMYFUNCTION("""COMPUTED_VALUE"""),45894.0)</f>
        <v>45894</v>
      </c>
      <c r="I95" s="9">
        <f>IFERROR(__xludf.DUMMYFUNCTION("""COMPUTED_VALUE"""),4.28)</f>
        <v>4.28</v>
      </c>
      <c r="K95" s="17">
        <f>IFERROR(__xludf.DUMMYFUNCTION("""COMPUTED_VALUE"""),45894.0)</f>
        <v>45894</v>
      </c>
      <c r="L95" s="9">
        <f>IFERROR(__xludf.DUMMYFUNCTION("""COMPUTED_VALUE"""),4.28)</f>
        <v>4.28</v>
      </c>
      <c r="N95" s="17"/>
    </row>
    <row r="96">
      <c r="B96" s="11">
        <f>IFERROR(__xludf.DUMMYFUNCTION("""COMPUTED_VALUE"""),45891.0)</f>
        <v>45891</v>
      </c>
      <c r="C96" s="9">
        <f>IFERROR(__xludf.DUMMYFUNCTION("""COMPUTED_VALUE"""),4.26)</f>
        <v>4.26</v>
      </c>
      <c r="E96" s="40">
        <f>IFERROR(__xludf.DUMMYFUNCTION("""COMPUTED_VALUE"""),45891.0)</f>
        <v>45891</v>
      </c>
      <c r="F96" s="9">
        <f>IFERROR(__xludf.DUMMYFUNCTION("""COMPUTED_VALUE"""),4.26)</f>
        <v>4.26</v>
      </c>
      <c r="H96" s="17">
        <f>IFERROR(__xludf.DUMMYFUNCTION("""COMPUTED_VALUE"""),45891.0)</f>
        <v>45891</v>
      </c>
      <c r="I96" s="9">
        <f>IFERROR(__xludf.DUMMYFUNCTION("""COMPUTED_VALUE"""),4.26)</f>
        <v>4.26</v>
      </c>
      <c r="K96" s="17">
        <f>IFERROR(__xludf.DUMMYFUNCTION("""COMPUTED_VALUE"""),45891.0)</f>
        <v>45891</v>
      </c>
      <c r="L96" s="9">
        <f>IFERROR(__xludf.DUMMYFUNCTION("""COMPUTED_VALUE"""),4.26)</f>
        <v>4.26</v>
      </c>
      <c r="N96" s="17"/>
    </row>
    <row r="97">
      <c r="B97" s="11">
        <f>IFERROR(__xludf.DUMMYFUNCTION("""COMPUTED_VALUE"""),45890.0)</f>
        <v>45890</v>
      </c>
      <c r="C97" s="9">
        <f>IFERROR(__xludf.DUMMYFUNCTION("""COMPUTED_VALUE"""),4.33)</f>
        <v>4.33</v>
      </c>
      <c r="E97" s="40">
        <f>IFERROR(__xludf.DUMMYFUNCTION("""COMPUTED_VALUE"""),45890.0)</f>
        <v>45890</v>
      </c>
      <c r="F97" s="9">
        <f>IFERROR(__xludf.DUMMYFUNCTION("""COMPUTED_VALUE"""),4.33)</f>
        <v>4.33</v>
      </c>
      <c r="H97" s="17">
        <f>IFERROR(__xludf.DUMMYFUNCTION("""COMPUTED_VALUE"""),45890.0)</f>
        <v>45890</v>
      </c>
      <c r="I97" s="9">
        <f>IFERROR(__xludf.DUMMYFUNCTION("""COMPUTED_VALUE"""),4.33)</f>
        <v>4.33</v>
      </c>
      <c r="K97" s="17">
        <f>IFERROR(__xludf.DUMMYFUNCTION("""COMPUTED_VALUE"""),45890.0)</f>
        <v>45890</v>
      </c>
      <c r="L97" s="9">
        <f>IFERROR(__xludf.DUMMYFUNCTION("""COMPUTED_VALUE"""),4.33)</f>
        <v>4.33</v>
      </c>
      <c r="N97" s="17"/>
    </row>
    <row r="98">
      <c r="B98" s="11">
        <f>IFERROR(__xludf.DUMMYFUNCTION("""COMPUTED_VALUE"""),45889.0)</f>
        <v>45889</v>
      </c>
      <c r="C98" s="9">
        <f>IFERROR(__xludf.DUMMYFUNCTION("""COMPUTED_VALUE"""),4.29)</f>
        <v>4.29</v>
      </c>
      <c r="E98" s="40">
        <f>IFERROR(__xludf.DUMMYFUNCTION("""COMPUTED_VALUE"""),45889.0)</f>
        <v>45889</v>
      </c>
      <c r="F98" s="9">
        <f>IFERROR(__xludf.DUMMYFUNCTION("""COMPUTED_VALUE"""),4.29)</f>
        <v>4.29</v>
      </c>
      <c r="H98" s="17">
        <f>IFERROR(__xludf.DUMMYFUNCTION("""COMPUTED_VALUE"""),45889.0)</f>
        <v>45889</v>
      </c>
      <c r="I98" s="9">
        <f>IFERROR(__xludf.DUMMYFUNCTION("""COMPUTED_VALUE"""),4.29)</f>
        <v>4.29</v>
      </c>
      <c r="K98" s="17">
        <f>IFERROR(__xludf.DUMMYFUNCTION("""COMPUTED_VALUE"""),45889.0)</f>
        <v>45889</v>
      </c>
      <c r="L98" s="9">
        <f>IFERROR(__xludf.DUMMYFUNCTION("""COMPUTED_VALUE"""),4.29)</f>
        <v>4.29</v>
      </c>
      <c r="N98" s="17"/>
    </row>
    <row r="99">
      <c r="B99" s="11">
        <f>IFERROR(__xludf.DUMMYFUNCTION("""COMPUTED_VALUE"""),45888.0)</f>
        <v>45888</v>
      </c>
      <c r="C99" s="9">
        <f>IFERROR(__xludf.DUMMYFUNCTION("""COMPUTED_VALUE"""),4.3)</f>
        <v>4.3</v>
      </c>
      <c r="E99" s="40">
        <f>IFERROR(__xludf.DUMMYFUNCTION("""COMPUTED_VALUE"""),45888.0)</f>
        <v>45888</v>
      </c>
      <c r="F99" s="9">
        <f>IFERROR(__xludf.DUMMYFUNCTION("""COMPUTED_VALUE"""),4.3)</f>
        <v>4.3</v>
      </c>
      <c r="H99" s="17">
        <f>IFERROR(__xludf.DUMMYFUNCTION("""COMPUTED_VALUE"""),45888.0)</f>
        <v>45888</v>
      </c>
      <c r="I99" s="9">
        <f>IFERROR(__xludf.DUMMYFUNCTION("""COMPUTED_VALUE"""),4.3)</f>
        <v>4.3</v>
      </c>
      <c r="K99" s="17">
        <f>IFERROR(__xludf.DUMMYFUNCTION("""COMPUTED_VALUE"""),45888.0)</f>
        <v>45888</v>
      </c>
      <c r="L99" s="9">
        <f>IFERROR(__xludf.DUMMYFUNCTION("""COMPUTED_VALUE"""),4.3)</f>
        <v>4.3</v>
      </c>
      <c r="N99" s="17"/>
    </row>
    <row r="100">
      <c r="B100" s="11">
        <f>IFERROR(__xludf.DUMMYFUNCTION("""COMPUTED_VALUE"""),45887.0)</f>
        <v>45887</v>
      </c>
      <c r="C100" s="9">
        <f>IFERROR(__xludf.DUMMYFUNCTION("""COMPUTED_VALUE"""),4.34)</f>
        <v>4.34</v>
      </c>
      <c r="E100" s="40">
        <f>IFERROR(__xludf.DUMMYFUNCTION("""COMPUTED_VALUE"""),45887.0)</f>
        <v>45887</v>
      </c>
      <c r="F100" s="9">
        <f>IFERROR(__xludf.DUMMYFUNCTION("""COMPUTED_VALUE"""),4.34)</f>
        <v>4.34</v>
      </c>
      <c r="H100" s="17">
        <f>IFERROR(__xludf.DUMMYFUNCTION("""COMPUTED_VALUE"""),45887.0)</f>
        <v>45887</v>
      </c>
      <c r="I100" s="9">
        <f>IFERROR(__xludf.DUMMYFUNCTION("""COMPUTED_VALUE"""),4.34)</f>
        <v>4.34</v>
      </c>
      <c r="K100" s="17">
        <f>IFERROR(__xludf.DUMMYFUNCTION("""COMPUTED_VALUE"""),45887.0)</f>
        <v>45887</v>
      </c>
      <c r="L100" s="9">
        <f>IFERROR(__xludf.DUMMYFUNCTION("""COMPUTED_VALUE"""),4.34)</f>
        <v>4.34</v>
      </c>
      <c r="N100" s="17"/>
    </row>
    <row r="101">
      <c r="B101" s="11">
        <f>IFERROR(__xludf.DUMMYFUNCTION("""COMPUTED_VALUE"""),45884.0)</f>
        <v>45884</v>
      </c>
      <c r="C101" s="9">
        <f>IFERROR(__xludf.DUMMYFUNCTION("""COMPUTED_VALUE"""),4.33)</f>
        <v>4.33</v>
      </c>
      <c r="E101" s="40">
        <f>IFERROR(__xludf.DUMMYFUNCTION("""COMPUTED_VALUE"""),45884.0)</f>
        <v>45884</v>
      </c>
      <c r="F101" s="9">
        <f>IFERROR(__xludf.DUMMYFUNCTION("""COMPUTED_VALUE"""),4.33)</f>
        <v>4.33</v>
      </c>
      <c r="H101" s="17">
        <f>IFERROR(__xludf.DUMMYFUNCTION("""COMPUTED_VALUE"""),45884.0)</f>
        <v>45884</v>
      </c>
      <c r="I101" s="9">
        <f>IFERROR(__xludf.DUMMYFUNCTION("""COMPUTED_VALUE"""),4.33)</f>
        <v>4.33</v>
      </c>
      <c r="K101" s="17">
        <f>IFERROR(__xludf.DUMMYFUNCTION("""COMPUTED_VALUE"""),45884.0)</f>
        <v>45884</v>
      </c>
      <c r="L101" s="9">
        <f>IFERROR(__xludf.DUMMYFUNCTION("""COMPUTED_VALUE"""),4.33)</f>
        <v>4.33</v>
      </c>
      <c r="N101" s="17"/>
    </row>
    <row r="102">
      <c r="B102" s="11">
        <f>IFERROR(__xludf.DUMMYFUNCTION("""COMPUTED_VALUE"""),45883.0)</f>
        <v>45883</v>
      </c>
      <c r="C102" s="9">
        <f>IFERROR(__xludf.DUMMYFUNCTION("""COMPUTED_VALUE"""),4.29)</f>
        <v>4.29</v>
      </c>
      <c r="E102" s="40">
        <f>IFERROR(__xludf.DUMMYFUNCTION("""COMPUTED_VALUE"""),45883.0)</f>
        <v>45883</v>
      </c>
      <c r="F102" s="9">
        <f>IFERROR(__xludf.DUMMYFUNCTION("""COMPUTED_VALUE"""),4.29)</f>
        <v>4.29</v>
      </c>
      <c r="H102" s="17">
        <f>IFERROR(__xludf.DUMMYFUNCTION("""COMPUTED_VALUE"""),45883.0)</f>
        <v>45883</v>
      </c>
      <c r="I102" s="9">
        <f>IFERROR(__xludf.DUMMYFUNCTION("""COMPUTED_VALUE"""),4.29)</f>
        <v>4.29</v>
      </c>
      <c r="K102" s="17">
        <f>IFERROR(__xludf.DUMMYFUNCTION("""COMPUTED_VALUE"""),45883.0)</f>
        <v>45883</v>
      </c>
      <c r="L102" s="9">
        <f>IFERROR(__xludf.DUMMYFUNCTION("""COMPUTED_VALUE"""),4.29)</f>
        <v>4.29</v>
      </c>
      <c r="N102" s="17"/>
    </row>
    <row r="103">
      <c r="B103" s="11">
        <f>IFERROR(__xludf.DUMMYFUNCTION("""COMPUTED_VALUE"""),45882.0)</f>
        <v>45882</v>
      </c>
      <c r="C103" s="9">
        <f>IFERROR(__xludf.DUMMYFUNCTION("""COMPUTED_VALUE"""),4.24)</f>
        <v>4.24</v>
      </c>
      <c r="E103" s="40">
        <f>IFERROR(__xludf.DUMMYFUNCTION("""COMPUTED_VALUE"""),45882.0)</f>
        <v>45882</v>
      </c>
      <c r="F103" s="9">
        <f>IFERROR(__xludf.DUMMYFUNCTION("""COMPUTED_VALUE"""),4.24)</f>
        <v>4.24</v>
      </c>
      <c r="H103" s="17">
        <f>IFERROR(__xludf.DUMMYFUNCTION("""COMPUTED_VALUE"""),45882.0)</f>
        <v>45882</v>
      </c>
      <c r="I103" s="9">
        <f>IFERROR(__xludf.DUMMYFUNCTION("""COMPUTED_VALUE"""),4.24)</f>
        <v>4.24</v>
      </c>
      <c r="K103" s="17">
        <f>IFERROR(__xludf.DUMMYFUNCTION("""COMPUTED_VALUE"""),45882.0)</f>
        <v>45882</v>
      </c>
      <c r="L103" s="9">
        <f>IFERROR(__xludf.DUMMYFUNCTION("""COMPUTED_VALUE"""),4.24)</f>
        <v>4.24</v>
      </c>
      <c r="N103" s="17"/>
    </row>
    <row r="104">
      <c r="B104" s="11">
        <f>IFERROR(__xludf.DUMMYFUNCTION("""COMPUTED_VALUE"""),45881.0)</f>
        <v>45881</v>
      </c>
      <c r="C104" s="9">
        <f>IFERROR(__xludf.DUMMYFUNCTION("""COMPUTED_VALUE"""),4.29)</f>
        <v>4.29</v>
      </c>
      <c r="E104" s="40">
        <f>IFERROR(__xludf.DUMMYFUNCTION("""COMPUTED_VALUE"""),45881.0)</f>
        <v>45881</v>
      </c>
      <c r="F104" s="9">
        <f>IFERROR(__xludf.DUMMYFUNCTION("""COMPUTED_VALUE"""),4.29)</f>
        <v>4.29</v>
      </c>
      <c r="H104" s="17">
        <f>IFERROR(__xludf.DUMMYFUNCTION("""COMPUTED_VALUE"""),45881.0)</f>
        <v>45881</v>
      </c>
      <c r="I104" s="9">
        <f>IFERROR(__xludf.DUMMYFUNCTION("""COMPUTED_VALUE"""),4.29)</f>
        <v>4.29</v>
      </c>
      <c r="K104" s="17">
        <f>IFERROR(__xludf.DUMMYFUNCTION("""COMPUTED_VALUE"""),45881.0)</f>
        <v>45881</v>
      </c>
      <c r="L104" s="9">
        <f>IFERROR(__xludf.DUMMYFUNCTION("""COMPUTED_VALUE"""),4.29)</f>
        <v>4.29</v>
      </c>
      <c r="N104" s="17"/>
    </row>
    <row r="105">
      <c r="B105" s="11">
        <f>IFERROR(__xludf.DUMMYFUNCTION("""COMPUTED_VALUE"""),45880.0)</f>
        <v>45880</v>
      </c>
      <c r="C105" s="9">
        <f>IFERROR(__xludf.DUMMYFUNCTION("""COMPUTED_VALUE"""),4.27)</f>
        <v>4.27</v>
      </c>
      <c r="E105" s="40">
        <f>IFERROR(__xludf.DUMMYFUNCTION("""COMPUTED_VALUE"""),45880.0)</f>
        <v>45880</v>
      </c>
      <c r="F105" s="9">
        <f>IFERROR(__xludf.DUMMYFUNCTION("""COMPUTED_VALUE"""),4.27)</f>
        <v>4.27</v>
      </c>
      <c r="H105" s="17">
        <f>IFERROR(__xludf.DUMMYFUNCTION("""COMPUTED_VALUE"""),45880.0)</f>
        <v>45880</v>
      </c>
      <c r="I105" s="9">
        <f>IFERROR(__xludf.DUMMYFUNCTION("""COMPUTED_VALUE"""),4.27)</f>
        <v>4.27</v>
      </c>
      <c r="K105" s="17">
        <f>IFERROR(__xludf.DUMMYFUNCTION("""COMPUTED_VALUE"""),45880.0)</f>
        <v>45880</v>
      </c>
      <c r="L105" s="9">
        <f>IFERROR(__xludf.DUMMYFUNCTION("""COMPUTED_VALUE"""),4.27)</f>
        <v>4.27</v>
      </c>
      <c r="N105" s="17"/>
    </row>
    <row r="106">
      <c r="B106" s="11">
        <f>IFERROR(__xludf.DUMMYFUNCTION("""COMPUTED_VALUE"""),45877.0)</f>
        <v>45877</v>
      </c>
      <c r="C106" s="9">
        <f>IFERROR(__xludf.DUMMYFUNCTION("""COMPUTED_VALUE"""),4.27)</f>
        <v>4.27</v>
      </c>
      <c r="E106" s="40">
        <f>IFERROR(__xludf.DUMMYFUNCTION("""COMPUTED_VALUE"""),45877.0)</f>
        <v>45877</v>
      </c>
      <c r="F106" s="9">
        <f>IFERROR(__xludf.DUMMYFUNCTION("""COMPUTED_VALUE"""),4.27)</f>
        <v>4.27</v>
      </c>
      <c r="H106" s="17">
        <f>IFERROR(__xludf.DUMMYFUNCTION("""COMPUTED_VALUE"""),45877.0)</f>
        <v>45877</v>
      </c>
      <c r="I106" s="9">
        <f>IFERROR(__xludf.DUMMYFUNCTION("""COMPUTED_VALUE"""),4.27)</f>
        <v>4.27</v>
      </c>
      <c r="K106" s="17">
        <f>IFERROR(__xludf.DUMMYFUNCTION("""COMPUTED_VALUE"""),45877.0)</f>
        <v>45877</v>
      </c>
      <c r="L106" s="9">
        <f>IFERROR(__xludf.DUMMYFUNCTION("""COMPUTED_VALUE"""),4.27)</f>
        <v>4.27</v>
      </c>
      <c r="N106" s="17"/>
    </row>
    <row r="107">
      <c r="B107" s="11">
        <f>IFERROR(__xludf.DUMMYFUNCTION("""COMPUTED_VALUE"""),45876.0)</f>
        <v>45876</v>
      </c>
      <c r="C107" s="9">
        <f>IFERROR(__xludf.DUMMYFUNCTION("""COMPUTED_VALUE"""),4.23)</f>
        <v>4.23</v>
      </c>
      <c r="E107" s="40">
        <f>IFERROR(__xludf.DUMMYFUNCTION("""COMPUTED_VALUE"""),45876.0)</f>
        <v>45876</v>
      </c>
      <c r="F107" s="9">
        <f>IFERROR(__xludf.DUMMYFUNCTION("""COMPUTED_VALUE"""),4.23)</f>
        <v>4.23</v>
      </c>
      <c r="H107" s="17">
        <f>IFERROR(__xludf.DUMMYFUNCTION("""COMPUTED_VALUE"""),45876.0)</f>
        <v>45876</v>
      </c>
      <c r="I107" s="9">
        <f>IFERROR(__xludf.DUMMYFUNCTION("""COMPUTED_VALUE"""),4.23)</f>
        <v>4.23</v>
      </c>
      <c r="K107" s="17">
        <f>IFERROR(__xludf.DUMMYFUNCTION("""COMPUTED_VALUE"""),45876.0)</f>
        <v>45876</v>
      </c>
      <c r="L107" s="9">
        <f>IFERROR(__xludf.DUMMYFUNCTION("""COMPUTED_VALUE"""),4.23)</f>
        <v>4.23</v>
      </c>
      <c r="N107" s="17"/>
    </row>
    <row r="108">
      <c r="B108" s="11">
        <f>IFERROR(__xludf.DUMMYFUNCTION("""COMPUTED_VALUE"""),45875.0)</f>
        <v>45875</v>
      </c>
      <c r="C108" s="9">
        <f>IFERROR(__xludf.DUMMYFUNCTION("""COMPUTED_VALUE"""),4.22)</f>
        <v>4.22</v>
      </c>
      <c r="E108" s="40">
        <f>IFERROR(__xludf.DUMMYFUNCTION("""COMPUTED_VALUE"""),45875.0)</f>
        <v>45875</v>
      </c>
      <c r="F108" s="9">
        <f>IFERROR(__xludf.DUMMYFUNCTION("""COMPUTED_VALUE"""),4.22)</f>
        <v>4.22</v>
      </c>
      <c r="H108" s="17">
        <f>IFERROR(__xludf.DUMMYFUNCTION("""COMPUTED_VALUE"""),45875.0)</f>
        <v>45875</v>
      </c>
      <c r="I108" s="9">
        <f>IFERROR(__xludf.DUMMYFUNCTION("""COMPUTED_VALUE"""),4.22)</f>
        <v>4.22</v>
      </c>
      <c r="K108" s="17">
        <f>IFERROR(__xludf.DUMMYFUNCTION("""COMPUTED_VALUE"""),45875.0)</f>
        <v>45875</v>
      </c>
      <c r="L108" s="9">
        <f>IFERROR(__xludf.DUMMYFUNCTION("""COMPUTED_VALUE"""),4.22)</f>
        <v>4.22</v>
      </c>
      <c r="N108" s="17"/>
    </row>
    <row r="109">
      <c r="B109" s="11">
        <f>IFERROR(__xludf.DUMMYFUNCTION("""COMPUTED_VALUE"""),45874.0)</f>
        <v>45874</v>
      </c>
      <c r="C109" s="9">
        <f>IFERROR(__xludf.DUMMYFUNCTION("""COMPUTED_VALUE"""),4.22)</f>
        <v>4.22</v>
      </c>
      <c r="E109" s="40">
        <f>IFERROR(__xludf.DUMMYFUNCTION("""COMPUTED_VALUE"""),45874.0)</f>
        <v>45874</v>
      </c>
      <c r="F109" s="9">
        <f>IFERROR(__xludf.DUMMYFUNCTION("""COMPUTED_VALUE"""),4.22)</f>
        <v>4.22</v>
      </c>
      <c r="H109" s="17">
        <f>IFERROR(__xludf.DUMMYFUNCTION("""COMPUTED_VALUE"""),45874.0)</f>
        <v>45874</v>
      </c>
      <c r="I109" s="9">
        <f>IFERROR(__xludf.DUMMYFUNCTION("""COMPUTED_VALUE"""),4.22)</f>
        <v>4.22</v>
      </c>
      <c r="K109" s="17">
        <f>IFERROR(__xludf.DUMMYFUNCTION("""COMPUTED_VALUE"""),45874.0)</f>
        <v>45874</v>
      </c>
      <c r="L109" s="9">
        <f>IFERROR(__xludf.DUMMYFUNCTION("""COMPUTED_VALUE"""),4.22)</f>
        <v>4.22</v>
      </c>
      <c r="N109" s="17"/>
    </row>
    <row r="110">
      <c r="B110" s="11">
        <f>IFERROR(__xludf.DUMMYFUNCTION("""COMPUTED_VALUE"""),45873.0)</f>
        <v>45873</v>
      </c>
      <c r="C110" s="9">
        <f>IFERROR(__xludf.DUMMYFUNCTION("""COMPUTED_VALUE"""),4.22)</f>
        <v>4.22</v>
      </c>
      <c r="E110" s="40">
        <f>IFERROR(__xludf.DUMMYFUNCTION("""COMPUTED_VALUE"""),45873.0)</f>
        <v>45873</v>
      </c>
      <c r="F110" s="9">
        <f>IFERROR(__xludf.DUMMYFUNCTION("""COMPUTED_VALUE"""),4.22)</f>
        <v>4.22</v>
      </c>
      <c r="H110" s="17">
        <f>IFERROR(__xludf.DUMMYFUNCTION("""COMPUTED_VALUE"""),45873.0)</f>
        <v>45873</v>
      </c>
      <c r="I110" s="9">
        <f>IFERROR(__xludf.DUMMYFUNCTION("""COMPUTED_VALUE"""),4.22)</f>
        <v>4.22</v>
      </c>
      <c r="K110" s="17">
        <f>IFERROR(__xludf.DUMMYFUNCTION("""COMPUTED_VALUE"""),45873.0)</f>
        <v>45873</v>
      </c>
      <c r="L110" s="9">
        <f>IFERROR(__xludf.DUMMYFUNCTION("""COMPUTED_VALUE"""),4.22)</f>
        <v>4.22</v>
      </c>
      <c r="N110" s="17"/>
    </row>
    <row r="111">
      <c r="B111" s="11">
        <f>IFERROR(__xludf.DUMMYFUNCTION("""COMPUTED_VALUE"""),45870.0)</f>
        <v>45870</v>
      </c>
      <c r="C111" s="9">
        <f>IFERROR(__xludf.DUMMYFUNCTION("""COMPUTED_VALUE"""),4.23)</f>
        <v>4.23</v>
      </c>
      <c r="E111" s="40">
        <f>IFERROR(__xludf.DUMMYFUNCTION("""COMPUTED_VALUE"""),45870.0)</f>
        <v>45870</v>
      </c>
      <c r="F111" s="9">
        <f>IFERROR(__xludf.DUMMYFUNCTION("""COMPUTED_VALUE"""),4.23)</f>
        <v>4.23</v>
      </c>
      <c r="H111" s="17">
        <f>IFERROR(__xludf.DUMMYFUNCTION("""COMPUTED_VALUE"""),45870.0)</f>
        <v>45870</v>
      </c>
      <c r="I111" s="9">
        <f>IFERROR(__xludf.DUMMYFUNCTION("""COMPUTED_VALUE"""),4.23)</f>
        <v>4.23</v>
      </c>
      <c r="K111" s="17">
        <f>IFERROR(__xludf.DUMMYFUNCTION("""COMPUTED_VALUE"""),45870.0)</f>
        <v>45870</v>
      </c>
      <c r="L111" s="9">
        <f>IFERROR(__xludf.DUMMYFUNCTION("""COMPUTED_VALUE"""),4.23)</f>
        <v>4.23</v>
      </c>
      <c r="N111" s="17"/>
    </row>
    <row r="112">
      <c r="B112" s="11">
        <f>IFERROR(__xludf.DUMMYFUNCTION("""COMPUTED_VALUE"""),45869.0)</f>
        <v>45869</v>
      </c>
      <c r="C112" s="9">
        <f>IFERROR(__xludf.DUMMYFUNCTION("""COMPUTED_VALUE"""),4.37)</f>
        <v>4.37</v>
      </c>
      <c r="E112" s="40">
        <f>IFERROR(__xludf.DUMMYFUNCTION("""COMPUTED_VALUE"""),45869.0)</f>
        <v>45869</v>
      </c>
      <c r="F112" s="9">
        <f>IFERROR(__xludf.DUMMYFUNCTION("""COMPUTED_VALUE"""),4.37)</f>
        <v>4.37</v>
      </c>
      <c r="H112" s="17">
        <f>IFERROR(__xludf.DUMMYFUNCTION("""COMPUTED_VALUE"""),45869.0)</f>
        <v>45869</v>
      </c>
      <c r="I112" s="9">
        <f>IFERROR(__xludf.DUMMYFUNCTION("""COMPUTED_VALUE"""),4.37)</f>
        <v>4.37</v>
      </c>
      <c r="K112" s="17">
        <f>IFERROR(__xludf.DUMMYFUNCTION("""COMPUTED_VALUE"""),45869.0)</f>
        <v>45869</v>
      </c>
      <c r="L112" s="9">
        <f>IFERROR(__xludf.DUMMYFUNCTION("""COMPUTED_VALUE"""),4.37)</f>
        <v>4.37</v>
      </c>
      <c r="N112" s="17"/>
    </row>
    <row r="113">
      <c r="B113" s="11">
        <f>IFERROR(__xludf.DUMMYFUNCTION("""COMPUTED_VALUE"""),45868.0)</f>
        <v>45868</v>
      </c>
      <c r="C113" s="9">
        <f>IFERROR(__xludf.DUMMYFUNCTION("""COMPUTED_VALUE"""),4.38)</f>
        <v>4.38</v>
      </c>
      <c r="E113" s="40">
        <f>IFERROR(__xludf.DUMMYFUNCTION("""COMPUTED_VALUE"""),45868.0)</f>
        <v>45868</v>
      </c>
      <c r="F113" s="9">
        <f>IFERROR(__xludf.DUMMYFUNCTION("""COMPUTED_VALUE"""),4.38)</f>
        <v>4.38</v>
      </c>
      <c r="H113" s="17">
        <f>IFERROR(__xludf.DUMMYFUNCTION("""COMPUTED_VALUE"""),45868.0)</f>
        <v>45868</v>
      </c>
      <c r="I113" s="9">
        <f>IFERROR(__xludf.DUMMYFUNCTION("""COMPUTED_VALUE"""),4.38)</f>
        <v>4.38</v>
      </c>
      <c r="K113" s="17">
        <f>IFERROR(__xludf.DUMMYFUNCTION("""COMPUTED_VALUE"""),45868.0)</f>
        <v>45868</v>
      </c>
      <c r="L113" s="9">
        <f>IFERROR(__xludf.DUMMYFUNCTION("""COMPUTED_VALUE"""),4.38)</f>
        <v>4.38</v>
      </c>
      <c r="N113" s="17"/>
    </row>
    <row r="114">
      <c r="B114" s="11">
        <f>IFERROR(__xludf.DUMMYFUNCTION("""COMPUTED_VALUE"""),45867.0)</f>
        <v>45867</v>
      </c>
      <c r="C114" s="9">
        <f>IFERROR(__xludf.DUMMYFUNCTION("""COMPUTED_VALUE"""),4.34)</f>
        <v>4.34</v>
      </c>
      <c r="E114" s="40">
        <f>IFERROR(__xludf.DUMMYFUNCTION("""COMPUTED_VALUE"""),45867.0)</f>
        <v>45867</v>
      </c>
      <c r="F114" s="9">
        <f>IFERROR(__xludf.DUMMYFUNCTION("""COMPUTED_VALUE"""),4.34)</f>
        <v>4.34</v>
      </c>
      <c r="H114" s="17">
        <f>IFERROR(__xludf.DUMMYFUNCTION("""COMPUTED_VALUE"""),45867.0)</f>
        <v>45867</v>
      </c>
      <c r="I114" s="9">
        <f>IFERROR(__xludf.DUMMYFUNCTION("""COMPUTED_VALUE"""),4.34)</f>
        <v>4.34</v>
      </c>
      <c r="K114" s="17">
        <f>IFERROR(__xludf.DUMMYFUNCTION("""COMPUTED_VALUE"""),45867.0)</f>
        <v>45867</v>
      </c>
      <c r="L114" s="9">
        <f>IFERROR(__xludf.DUMMYFUNCTION("""COMPUTED_VALUE"""),4.34)</f>
        <v>4.34</v>
      </c>
      <c r="N114" s="17"/>
    </row>
    <row r="115">
      <c r="B115" s="11">
        <f>IFERROR(__xludf.DUMMYFUNCTION("""COMPUTED_VALUE"""),45866.0)</f>
        <v>45866</v>
      </c>
      <c r="C115" s="9">
        <f>IFERROR(__xludf.DUMMYFUNCTION("""COMPUTED_VALUE"""),4.42)</f>
        <v>4.42</v>
      </c>
      <c r="E115" s="40">
        <f>IFERROR(__xludf.DUMMYFUNCTION("""COMPUTED_VALUE"""),45866.0)</f>
        <v>45866</v>
      </c>
      <c r="F115" s="9">
        <f>IFERROR(__xludf.DUMMYFUNCTION("""COMPUTED_VALUE"""),4.42)</f>
        <v>4.42</v>
      </c>
      <c r="H115" s="17">
        <f>IFERROR(__xludf.DUMMYFUNCTION("""COMPUTED_VALUE"""),45866.0)</f>
        <v>45866</v>
      </c>
      <c r="I115" s="9">
        <f>IFERROR(__xludf.DUMMYFUNCTION("""COMPUTED_VALUE"""),4.42)</f>
        <v>4.42</v>
      </c>
      <c r="K115" s="17">
        <f>IFERROR(__xludf.DUMMYFUNCTION("""COMPUTED_VALUE"""),45866.0)</f>
        <v>45866</v>
      </c>
      <c r="L115" s="9">
        <f>IFERROR(__xludf.DUMMYFUNCTION("""COMPUTED_VALUE"""),4.42)</f>
        <v>4.42</v>
      </c>
      <c r="N115" s="17"/>
    </row>
    <row r="116">
      <c r="B116" s="11">
        <f>IFERROR(__xludf.DUMMYFUNCTION("""COMPUTED_VALUE"""),45863.0)</f>
        <v>45863</v>
      </c>
      <c r="C116" s="9">
        <f>IFERROR(__xludf.DUMMYFUNCTION("""COMPUTED_VALUE"""),4.4)</f>
        <v>4.4</v>
      </c>
      <c r="E116" s="40">
        <f>IFERROR(__xludf.DUMMYFUNCTION("""COMPUTED_VALUE"""),45863.0)</f>
        <v>45863</v>
      </c>
      <c r="F116" s="9">
        <f>IFERROR(__xludf.DUMMYFUNCTION("""COMPUTED_VALUE"""),4.4)</f>
        <v>4.4</v>
      </c>
      <c r="H116" s="17">
        <f>IFERROR(__xludf.DUMMYFUNCTION("""COMPUTED_VALUE"""),45863.0)</f>
        <v>45863</v>
      </c>
      <c r="I116" s="9">
        <f>IFERROR(__xludf.DUMMYFUNCTION("""COMPUTED_VALUE"""),4.4)</f>
        <v>4.4</v>
      </c>
      <c r="K116" s="17">
        <f>IFERROR(__xludf.DUMMYFUNCTION("""COMPUTED_VALUE"""),45863.0)</f>
        <v>45863</v>
      </c>
      <c r="L116" s="9">
        <f>IFERROR(__xludf.DUMMYFUNCTION("""COMPUTED_VALUE"""),4.4)</f>
        <v>4.4</v>
      </c>
      <c r="N116" s="17"/>
    </row>
    <row r="117">
      <c r="B117" s="11">
        <f>IFERROR(__xludf.DUMMYFUNCTION("""COMPUTED_VALUE"""),45862.0)</f>
        <v>45862</v>
      </c>
      <c r="C117" s="9">
        <f>IFERROR(__xludf.DUMMYFUNCTION("""COMPUTED_VALUE"""),4.43)</f>
        <v>4.43</v>
      </c>
      <c r="E117" s="40">
        <f>IFERROR(__xludf.DUMMYFUNCTION("""COMPUTED_VALUE"""),45862.0)</f>
        <v>45862</v>
      </c>
      <c r="F117" s="9">
        <f>IFERROR(__xludf.DUMMYFUNCTION("""COMPUTED_VALUE"""),4.43)</f>
        <v>4.43</v>
      </c>
      <c r="H117" s="17">
        <f>IFERROR(__xludf.DUMMYFUNCTION("""COMPUTED_VALUE"""),45862.0)</f>
        <v>45862</v>
      </c>
      <c r="I117" s="9">
        <f>IFERROR(__xludf.DUMMYFUNCTION("""COMPUTED_VALUE"""),4.43)</f>
        <v>4.43</v>
      </c>
      <c r="K117" s="17">
        <f>IFERROR(__xludf.DUMMYFUNCTION("""COMPUTED_VALUE"""),45862.0)</f>
        <v>45862</v>
      </c>
      <c r="L117" s="9">
        <f>IFERROR(__xludf.DUMMYFUNCTION("""COMPUTED_VALUE"""),4.43)</f>
        <v>4.43</v>
      </c>
      <c r="N117" s="17"/>
    </row>
    <row r="118">
      <c r="B118" s="11">
        <f>IFERROR(__xludf.DUMMYFUNCTION("""COMPUTED_VALUE"""),45861.0)</f>
        <v>45861</v>
      </c>
      <c r="C118" s="9">
        <f>IFERROR(__xludf.DUMMYFUNCTION("""COMPUTED_VALUE"""),4.4)</f>
        <v>4.4</v>
      </c>
      <c r="E118" s="40">
        <f>IFERROR(__xludf.DUMMYFUNCTION("""COMPUTED_VALUE"""),45861.0)</f>
        <v>45861</v>
      </c>
      <c r="F118" s="9">
        <f>IFERROR(__xludf.DUMMYFUNCTION("""COMPUTED_VALUE"""),4.4)</f>
        <v>4.4</v>
      </c>
      <c r="H118" s="17">
        <f>IFERROR(__xludf.DUMMYFUNCTION("""COMPUTED_VALUE"""),45861.0)</f>
        <v>45861</v>
      </c>
      <c r="I118" s="9">
        <f>IFERROR(__xludf.DUMMYFUNCTION("""COMPUTED_VALUE"""),4.4)</f>
        <v>4.4</v>
      </c>
      <c r="K118" s="17">
        <f>IFERROR(__xludf.DUMMYFUNCTION("""COMPUTED_VALUE"""),45861.0)</f>
        <v>45861</v>
      </c>
      <c r="L118" s="9">
        <f>IFERROR(__xludf.DUMMYFUNCTION("""COMPUTED_VALUE"""),4.4)</f>
        <v>4.4</v>
      </c>
      <c r="N118" s="17"/>
    </row>
    <row r="119">
      <c r="B119" s="11">
        <f>IFERROR(__xludf.DUMMYFUNCTION("""COMPUTED_VALUE"""),45860.0)</f>
        <v>45860</v>
      </c>
      <c r="C119" s="9">
        <f>IFERROR(__xludf.DUMMYFUNCTION("""COMPUTED_VALUE"""),4.35)</f>
        <v>4.35</v>
      </c>
      <c r="E119" s="40">
        <f>IFERROR(__xludf.DUMMYFUNCTION("""COMPUTED_VALUE"""),45860.0)</f>
        <v>45860</v>
      </c>
      <c r="F119" s="9">
        <f>IFERROR(__xludf.DUMMYFUNCTION("""COMPUTED_VALUE"""),4.35)</f>
        <v>4.35</v>
      </c>
      <c r="H119" s="17">
        <f>IFERROR(__xludf.DUMMYFUNCTION("""COMPUTED_VALUE"""),45860.0)</f>
        <v>45860</v>
      </c>
      <c r="I119" s="9">
        <f>IFERROR(__xludf.DUMMYFUNCTION("""COMPUTED_VALUE"""),4.35)</f>
        <v>4.35</v>
      </c>
      <c r="K119" s="17">
        <f>IFERROR(__xludf.DUMMYFUNCTION("""COMPUTED_VALUE"""),45860.0)</f>
        <v>45860</v>
      </c>
      <c r="L119" s="9">
        <f>IFERROR(__xludf.DUMMYFUNCTION("""COMPUTED_VALUE"""),4.35)</f>
        <v>4.35</v>
      </c>
      <c r="N119" s="17"/>
    </row>
    <row r="120">
      <c r="B120" s="11">
        <f>IFERROR(__xludf.DUMMYFUNCTION("""COMPUTED_VALUE"""),45859.0)</f>
        <v>45859</v>
      </c>
      <c r="C120" s="9">
        <f>IFERROR(__xludf.DUMMYFUNCTION("""COMPUTED_VALUE"""),4.38)</f>
        <v>4.38</v>
      </c>
      <c r="E120" s="40">
        <f>IFERROR(__xludf.DUMMYFUNCTION("""COMPUTED_VALUE"""),45859.0)</f>
        <v>45859</v>
      </c>
      <c r="F120" s="9">
        <f>IFERROR(__xludf.DUMMYFUNCTION("""COMPUTED_VALUE"""),4.38)</f>
        <v>4.38</v>
      </c>
      <c r="H120" s="17">
        <f>IFERROR(__xludf.DUMMYFUNCTION("""COMPUTED_VALUE"""),45859.0)</f>
        <v>45859</v>
      </c>
      <c r="I120" s="9">
        <f>IFERROR(__xludf.DUMMYFUNCTION("""COMPUTED_VALUE"""),4.38)</f>
        <v>4.38</v>
      </c>
      <c r="K120" s="17">
        <f>IFERROR(__xludf.DUMMYFUNCTION("""COMPUTED_VALUE"""),45859.0)</f>
        <v>45859</v>
      </c>
      <c r="L120" s="9">
        <f>IFERROR(__xludf.DUMMYFUNCTION("""COMPUTED_VALUE"""),4.38)</f>
        <v>4.38</v>
      </c>
      <c r="N120" s="17"/>
    </row>
    <row r="121">
      <c r="B121" s="11">
        <f>IFERROR(__xludf.DUMMYFUNCTION("""COMPUTED_VALUE"""),45856.0)</f>
        <v>45856</v>
      </c>
      <c r="C121" s="9">
        <f>IFERROR(__xludf.DUMMYFUNCTION("""COMPUTED_VALUE"""),4.44)</f>
        <v>4.44</v>
      </c>
      <c r="E121" s="40">
        <f>IFERROR(__xludf.DUMMYFUNCTION("""COMPUTED_VALUE"""),45856.0)</f>
        <v>45856</v>
      </c>
      <c r="F121" s="9">
        <f>IFERROR(__xludf.DUMMYFUNCTION("""COMPUTED_VALUE"""),4.44)</f>
        <v>4.44</v>
      </c>
      <c r="H121" s="17">
        <f>IFERROR(__xludf.DUMMYFUNCTION("""COMPUTED_VALUE"""),45856.0)</f>
        <v>45856</v>
      </c>
      <c r="I121" s="9">
        <f>IFERROR(__xludf.DUMMYFUNCTION("""COMPUTED_VALUE"""),4.44)</f>
        <v>4.44</v>
      </c>
      <c r="K121" s="17">
        <f>IFERROR(__xludf.DUMMYFUNCTION("""COMPUTED_VALUE"""),45856.0)</f>
        <v>45856</v>
      </c>
      <c r="L121" s="9">
        <f>IFERROR(__xludf.DUMMYFUNCTION("""COMPUTED_VALUE"""),4.44)</f>
        <v>4.44</v>
      </c>
      <c r="N121" s="17"/>
    </row>
    <row r="122">
      <c r="B122" s="11">
        <f>IFERROR(__xludf.DUMMYFUNCTION("""COMPUTED_VALUE"""),45855.0)</f>
        <v>45855</v>
      </c>
      <c r="C122" s="9">
        <f>IFERROR(__xludf.DUMMYFUNCTION("""COMPUTED_VALUE"""),4.47)</f>
        <v>4.47</v>
      </c>
      <c r="E122" s="40">
        <f>IFERROR(__xludf.DUMMYFUNCTION("""COMPUTED_VALUE"""),45855.0)</f>
        <v>45855</v>
      </c>
      <c r="F122" s="9">
        <f>IFERROR(__xludf.DUMMYFUNCTION("""COMPUTED_VALUE"""),4.47)</f>
        <v>4.47</v>
      </c>
      <c r="H122" s="17">
        <f>IFERROR(__xludf.DUMMYFUNCTION("""COMPUTED_VALUE"""),45855.0)</f>
        <v>45855</v>
      </c>
      <c r="I122" s="9">
        <f>IFERROR(__xludf.DUMMYFUNCTION("""COMPUTED_VALUE"""),4.47)</f>
        <v>4.47</v>
      </c>
      <c r="K122" s="17">
        <f>IFERROR(__xludf.DUMMYFUNCTION("""COMPUTED_VALUE"""),45855.0)</f>
        <v>45855</v>
      </c>
      <c r="L122" s="9">
        <f>IFERROR(__xludf.DUMMYFUNCTION("""COMPUTED_VALUE"""),4.47)</f>
        <v>4.47</v>
      </c>
      <c r="N122" s="17"/>
    </row>
    <row r="123">
      <c r="B123" s="11">
        <f>IFERROR(__xludf.DUMMYFUNCTION("""COMPUTED_VALUE"""),45854.0)</f>
        <v>45854</v>
      </c>
      <c r="C123" s="9">
        <f>IFERROR(__xludf.DUMMYFUNCTION("""COMPUTED_VALUE"""),4.46)</f>
        <v>4.46</v>
      </c>
      <c r="E123" s="40">
        <f>IFERROR(__xludf.DUMMYFUNCTION("""COMPUTED_VALUE"""),45854.0)</f>
        <v>45854</v>
      </c>
      <c r="F123" s="9">
        <f>IFERROR(__xludf.DUMMYFUNCTION("""COMPUTED_VALUE"""),4.46)</f>
        <v>4.46</v>
      </c>
      <c r="H123" s="17">
        <f>IFERROR(__xludf.DUMMYFUNCTION("""COMPUTED_VALUE"""),45854.0)</f>
        <v>45854</v>
      </c>
      <c r="I123" s="9">
        <f>IFERROR(__xludf.DUMMYFUNCTION("""COMPUTED_VALUE"""),4.46)</f>
        <v>4.46</v>
      </c>
      <c r="K123" s="17">
        <f>IFERROR(__xludf.DUMMYFUNCTION("""COMPUTED_VALUE"""),45854.0)</f>
        <v>45854</v>
      </c>
      <c r="L123" s="9">
        <f>IFERROR(__xludf.DUMMYFUNCTION("""COMPUTED_VALUE"""),4.46)</f>
        <v>4.46</v>
      </c>
      <c r="N123" s="17"/>
    </row>
    <row r="124">
      <c r="B124" s="11">
        <f>IFERROR(__xludf.DUMMYFUNCTION("""COMPUTED_VALUE"""),45853.0)</f>
        <v>45853</v>
      </c>
      <c r="C124" s="9">
        <f>IFERROR(__xludf.DUMMYFUNCTION("""COMPUTED_VALUE"""),4.5)</f>
        <v>4.5</v>
      </c>
      <c r="E124" s="40">
        <f>IFERROR(__xludf.DUMMYFUNCTION("""COMPUTED_VALUE"""),45853.0)</f>
        <v>45853</v>
      </c>
      <c r="F124" s="9">
        <f>IFERROR(__xludf.DUMMYFUNCTION("""COMPUTED_VALUE"""),4.5)</f>
        <v>4.5</v>
      </c>
      <c r="H124" s="17">
        <f>IFERROR(__xludf.DUMMYFUNCTION("""COMPUTED_VALUE"""),45853.0)</f>
        <v>45853</v>
      </c>
      <c r="I124" s="9">
        <f>IFERROR(__xludf.DUMMYFUNCTION("""COMPUTED_VALUE"""),4.5)</f>
        <v>4.5</v>
      </c>
      <c r="K124" s="17">
        <f>IFERROR(__xludf.DUMMYFUNCTION("""COMPUTED_VALUE"""),45853.0)</f>
        <v>45853</v>
      </c>
      <c r="L124" s="9">
        <f>IFERROR(__xludf.DUMMYFUNCTION("""COMPUTED_VALUE"""),4.5)</f>
        <v>4.5</v>
      </c>
      <c r="N124" s="17"/>
    </row>
    <row r="125">
      <c r="B125" s="11">
        <f>IFERROR(__xludf.DUMMYFUNCTION("""COMPUTED_VALUE"""),45852.0)</f>
        <v>45852</v>
      </c>
      <c r="C125" s="9">
        <f>IFERROR(__xludf.DUMMYFUNCTION("""COMPUTED_VALUE"""),4.43)</f>
        <v>4.43</v>
      </c>
      <c r="E125" s="40">
        <f>IFERROR(__xludf.DUMMYFUNCTION("""COMPUTED_VALUE"""),45852.0)</f>
        <v>45852</v>
      </c>
      <c r="F125" s="9">
        <f>IFERROR(__xludf.DUMMYFUNCTION("""COMPUTED_VALUE"""),4.43)</f>
        <v>4.43</v>
      </c>
      <c r="H125" s="17">
        <f>IFERROR(__xludf.DUMMYFUNCTION("""COMPUTED_VALUE"""),45852.0)</f>
        <v>45852</v>
      </c>
      <c r="I125" s="9">
        <f>IFERROR(__xludf.DUMMYFUNCTION("""COMPUTED_VALUE"""),4.43)</f>
        <v>4.43</v>
      </c>
      <c r="K125" s="17">
        <f>IFERROR(__xludf.DUMMYFUNCTION("""COMPUTED_VALUE"""),45852.0)</f>
        <v>45852</v>
      </c>
      <c r="L125" s="9">
        <f>IFERROR(__xludf.DUMMYFUNCTION("""COMPUTED_VALUE"""),4.43)</f>
        <v>4.43</v>
      </c>
      <c r="N125" s="17"/>
    </row>
    <row r="126">
      <c r="B126" s="11">
        <f>IFERROR(__xludf.DUMMYFUNCTION("""COMPUTED_VALUE"""),45849.0)</f>
        <v>45849</v>
      </c>
      <c r="C126" s="9">
        <f>IFERROR(__xludf.DUMMYFUNCTION("""COMPUTED_VALUE"""),4.43)</f>
        <v>4.43</v>
      </c>
      <c r="E126" s="40">
        <f>IFERROR(__xludf.DUMMYFUNCTION("""COMPUTED_VALUE"""),45849.0)</f>
        <v>45849</v>
      </c>
      <c r="F126" s="9">
        <f>IFERROR(__xludf.DUMMYFUNCTION("""COMPUTED_VALUE"""),4.43)</f>
        <v>4.43</v>
      </c>
      <c r="H126" s="17">
        <f>IFERROR(__xludf.DUMMYFUNCTION("""COMPUTED_VALUE"""),45849.0)</f>
        <v>45849</v>
      </c>
      <c r="I126" s="9">
        <f>IFERROR(__xludf.DUMMYFUNCTION("""COMPUTED_VALUE"""),4.43)</f>
        <v>4.43</v>
      </c>
      <c r="K126" s="17">
        <f>IFERROR(__xludf.DUMMYFUNCTION("""COMPUTED_VALUE"""),45849.0)</f>
        <v>45849</v>
      </c>
      <c r="L126" s="9">
        <f>IFERROR(__xludf.DUMMYFUNCTION("""COMPUTED_VALUE"""),4.43)</f>
        <v>4.43</v>
      </c>
      <c r="N126" s="17"/>
    </row>
    <row r="127">
      <c r="B127" s="11">
        <f>IFERROR(__xludf.DUMMYFUNCTION("""COMPUTED_VALUE"""),45848.0)</f>
        <v>45848</v>
      </c>
      <c r="C127" s="9">
        <f>IFERROR(__xludf.DUMMYFUNCTION("""COMPUTED_VALUE"""),4.35)</f>
        <v>4.35</v>
      </c>
      <c r="E127" s="40">
        <f>IFERROR(__xludf.DUMMYFUNCTION("""COMPUTED_VALUE"""),45848.0)</f>
        <v>45848</v>
      </c>
      <c r="F127" s="9">
        <f>IFERROR(__xludf.DUMMYFUNCTION("""COMPUTED_VALUE"""),4.35)</f>
        <v>4.35</v>
      </c>
      <c r="H127" s="17">
        <f>IFERROR(__xludf.DUMMYFUNCTION("""COMPUTED_VALUE"""),45848.0)</f>
        <v>45848</v>
      </c>
      <c r="I127" s="9">
        <f>IFERROR(__xludf.DUMMYFUNCTION("""COMPUTED_VALUE"""),4.35)</f>
        <v>4.35</v>
      </c>
      <c r="K127" s="17">
        <f>IFERROR(__xludf.DUMMYFUNCTION("""COMPUTED_VALUE"""),45848.0)</f>
        <v>45848</v>
      </c>
      <c r="L127" s="9">
        <f>IFERROR(__xludf.DUMMYFUNCTION("""COMPUTED_VALUE"""),4.35)</f>
        <v>4.35</v>
      </c>
      <c r="N127" s="17"/>
    </row>
    <row r="128">
      <c r="B128" s="11">
        <f>IFERROR(__xludf.DUMMYFUNCTION("""COMPUTED_VALUE"""),45847.0)</f>
        <v>45847</v>
      </c>
      <c r="C128" s="9">
        <f>IFERROR(__xludf.DUMMYFUNCTION("""COMPUTED_VALUE"""),4.34)</f>
        <v>4.34</v>
      </c>
      <c r="E128" s="40">
        <f>IFERROR(__xludf.DUMMYFUNCTION("""COMPUTED_VALUE"""),45847.0)</f>
        <v>45847</v>
      </c>
      <c r="F128" s="9">
        <f>IFERROR(__xludf.DUMMYFUNCTION("""COMPUTED_VALUE"""),4.34)</f>
        <v>4.34</v>
      </c>
      <c r="H128" s="17">
        <f>IFERROR(__xludf.DUMMYFUNCTION("""COMPUTED_VALUE"""),45847.0)</f>
        <v>45847</v>
      </c>
      <c r="I128" s="9">
        <f>IFERROR(__xludf.DUMMYFUNCTION("""COMPUTED_VALUE"""),4.34)</f>
        <v>4.34</v>
      </c>
      <c r="K128" s="17">
        <f>IFERROR(__xludf.DUMMYFUNCTION("""COMPUTED_VALUE"""),45847.0)</f>
        <v>45847</v>
      </c>
      <c r="L128" s="9">
        <f>IFERROR(__xludf.DUMMYFUNCTION("""COMPUTED_VALUE"""),4.34)</f>
        <v>4.34</v>
      </c>
      <c r="N128" s="17"/>
    </row>
    <row r="129">
      <c r="B129" s="11">
        <f>IFERROR(__xludf.DUMMYFUNCTION("""COMPUTED_VALUE"""),45846.0)</f>
        <v>45846</v>
      </c>
      <c r="C129" s="9">
        <f>IFERROR(__xludf.DUMMYFUNCTION("""COMPUTED_VALUE"""),4.42)</f>
        <v>4.42</v>
      </c>
      <c r="E129" s="40">
        <f>IFERROR(__xludf.DUMMYFUNCTION("""COMPUTED_VALUE"""),45846.0)</f>
        <v>45846</v>
      </c>
      <c r="F129" s="9">
        <f>IFERROR(__xludf.DUMMYFUNCTION("""COMPUTED_VALUE"""),4.42)</f>
        <v>4.42</v>
      </c>
      <c r="H129" s="17">
        <f>IFERROR(__xludf.DUMMYFUNCTION("""COMPUTED_VALUE"""),45846.0)</f>
        <v>45846</v>
      </c>
      <c r="I129" s="9">
        <f>IFERROR(__xludf.DUMMYFUNCTION("""COMPUTED_VALUE"""),4.42)</f>
        <v>4.42</v>
      </c>
      <c r="K129" s="17">
        <f>IFERROR(__xludf.DUMMYFUNCTION("""COMPUTED_VALUE"""),45846.0)</f>
        <v>45846</v>
      </c>
      <c r="L129" s="9">
        <f>IFERROR(__xludf.DUMMYFUNCTION("""COMPUTED_VALUE"""),4.42)</f>
        <v>4.42</v>
      </c>
      <c r="N129" s="17"/>
    </row>
    <row r="130">
      <c r="B130" s="11">
        <f>IFERROR(__xludf.DUMMYFUNCTION("""COMPUTED_VALUE"""),45845.0)</f>
        <v>45845</v>
      </c>
      <c r="C130" s="9">
        <f>IFERROR(__xludf.DUMMYFUNCTION("""COMPUTED_VALUE"""),4.4)</f>
        <v>4.4</v>
      </c>
      <c r="E130" s="40">
        <f>IFERROR(__xludf.DUMMYFUNCTION("""COMPUTED_VALUE"""),45845.0)</f>
        <v>45845</v>
      </c>
      <c r="F130" s="9">
        <f>IFERROR(__xludf.DUMMYFUNCTION("""COMPUTED_VALUE"""),4.4)</f>
        <v>4.4</v>
      </c>
      <c r="H130" s="17">
        <f>IFERROR(__xludf.DUMMYFUNCTION("""COMPUTED_VALUE"""),45845.0)</f>
        <v>45845</v>
      </c>
      <c r="I130" s="9">
        <f>IFERROR(__xludf.DUMMYFUNCTION("""COMPUTED_VALUE"""),4.4)</f>
        <v>4.4</v>
      </c>
      <c r="K130" s="17">
        <f>IFERROR(__xludf.DUMMYFUNCTION("""COMPUTED_VALUE"""),45845.0)</f>
        <v>45845</v>
      </c>
      <c r="L130" s="9">
        <f>IFERROR(__xludf.DUMMYFUNCTION("""COMPUTED_VALUE"""),4.4)</f>
        <v>4.4</v>
      </c>
      <c r="N130" s="17"/>
    </row>
    <row r="131">
      <c r="B131" s="11">
        <f>IFERROR(__xludf.DUMMYFUNCTION("""COMPUTED_VALUE"""),45842.0)</f>
        <v>45842</v>
      </c>
      <c r="C131" s="9"/>
      <c r="E131" s="40">
        <f>IFERROR(__xludf.DUMMYFUNCTION("""COMPUTED_VALUE"""),45842.0)</f>
        <v>45842</v>
      </c>
      <c r="F131" s="9"/>
      <c r="H131" s="17">
        <f>IFERROR(__xludf.DUMMYFUNCTION("""COMPUTED_VALUE"""),45842.0)</f>
        <v>45842</v>
      </c>
      <c r="I131" s="9"/>
      <c r="K131" s="17"/>
      <c r="N131" s="17"/>
    </row>
    <row r="132">
      <c r="B132" s="11">
        <f>IFERROR(__xludf.DUMMYFUNCTION("""COMPUTED_VALUE"""),45841.0)</f>
        <v>45841</v>
      </c>
      <c r="C132" s="9">
        <f>IFERROR(__xludf.DUMMYFUNCTION("""COMPUTED_VALUE"""),4.35)</f>
        <v>4.35</v>
      </c>
      <c r="E132" s="40">
        <f>IFERROR(__xludf.DUMMYFUNCTION("""COMPUTED_VALUE"""),45841.0)</f>
        <v>45841</v>
      </c>
      <c r="F132" s="9">
        <f>IFERROR(__xludf.DUMMYFUNCTION("""COMPUTED_VALUE"""),4.35)</f>
        <v>4.35</v>
      </c>
      <c r="H132" s="17">
        <f>IFERROR(__xludf.DUMMYFUNCTION("""COMPUTED_VALUE"""),45841.0)</f>
        <v>45841</v>
      </c>
      <c r="I132" s="9">
        <f>IFERROR(__xludf.DUMMYFUNCTION("""COMPUTED_VALUE"""),4.35)</f>
        <v>4.35</v>
      </c>
      <c r="K132" s="17"/>
      <c r="N132" s="17"/>
    </row>
    <row r="133">
      <c r="B133" s="11">
        <f>IFERROR(__xludf.DUMMYFUNCTION("""COMPUTED_VALUE"""),45840.0)</f>
        <v>45840</v>
      </c>
      <c r="C133" s="9">
        <f>IFERROR(__xludf.DUMMYFUNCTION("""COMPUTED_VALUE"""),4.3)</f>
        <v>4.3</v>
      </c>
      <c r="E133" s="40">
        <f>IFERROR(__xludf.DUMMYFUNCTION("""COMPUTED_VALUE"""),45840.0)</f>
        <v>45840</v>
      </c>
      <c r="F133" s="9">
        <f>IFERROR(__xludf.DUMMYFUNCTION("""COMPUTED_VALUE"""),4.3)</f>
        <v>4.3</v>
      </c>
      <c r="H133" s="17">
        <f>IFERROR(__xludf.DUMMYFUNCTION("""COMPUTED_VALUE"""),45840.0)</f>
        <v>45840</v>
      </c>
      <c r="I133" s="9">
        <f>IFERROR(__xludf.DUMMYFUNCTION("""COMPUTED_VALUE"""),4.3)</f>
        <v>4.3</v>
      </c>
      <c r="K133" s="17"/>
      <c r="N133" s="17"/>
    </row>
    <row r="134">
      <c r="B134" s="11">
        <f>IFERROR(__xludf.DUMMYFUNCTION("""COMPUTED_VALUE"""),45839.0)</f>
        <v>45839</v>
      </c>
      <c r="C134" s="9">
        <f>IFERROR(__xludf.DUMMYFUNCTION("""COMPUTED_VALUE"""),4.26)</f>
        <v>4.26</v>
      </c>
      <c r="E134" s="40">
        <f>IFERROR(__xludf.DUMMYFUNCTION("""COMPUTED_VALUE"""),45839.0)</f>
        <v>45839</v>
      </c>
      <c r="F134" s="9">
        <f>IFERROR(__xludf.DUMMYFUNCTION("""COMPUTED_VALUE"""),4.26)</f>
        <v>4.26</v>
      </c>
      <c r="H134" s="17">
        <f>IFERROR(__xludf.DUMMYFUNCTION("""COMPUTED_VALUE"""),45839.0)</f>
        <v>45839</v>
      </c>
      <c r="I134" s="9">
        <f>IFERROR(__xludf.DUMMYFUNCTION("""COMPUTED_VALUE"""),4.26)</f>
        <v>4.26</v>
      </c>
      <c r="K134" s="17"/>
      <c r="N134" s="17"/>
    </row>
    <row r="135">
      <c r="B135" s="11">
        <f>IFERROR(__xludf.DUMMYFUNCTION("""COMPUTED_VALUE"""),45838.0)</f>
        <v>45838</v>
      </c>
      <c r="C135" s="9">
        <f>IFERROR(__xludf.DUMMYFUNCTION("""COMPUTED_VALUE"""),4.24)</f>
        <v>4.24</v>
      </c>
      <c r="E135" s="40">
        <f>IFERROR(__xludf.DUMMYFUNCTION("""COMPUTED_VALUE"""),45838.0)</f>
        <v>45838</v>
      </c>
      <c r="F135" s="9">
        <f>IFERROR(__xludf.DUMMYFUNCTION("""COMPUTED_VALUE"""),4.24)</f>
        <v>4.24</v>
      </c>
      <c r="H135" s="17">
        <f>IFERROR(__xludf.DUMMYFUNCTION("""COMPUTED_VALUE"""),45838.0)</f>
        <v>45838</v>
      </c>
      <c r="I135" s="9">
        <f>IFERROR(__xludf.DUMMYFUNCTION("""COMPUTED_VALUE"""),4.24)</f>
        <v>4.24</v>
      </c>
      <c r="K135" s="17"/>
      <c r="N135" s="17"/>
    </row>
    <row r="136">
      <c r="B136" s="11">
        <f>IFERROR(__xludf.DUMMYFUNCTION("""COMPUTED_VALUE"""),45835.0)</f>
        <v>45835</v>
      </c>
      <c r="C136" s="9">
        <f>IFERROR(__xludf.DUMMYFUNCTION("""COMPUTED_VALUE"""),4.29)</f>
        <v>4.29</v>
      </c>
      <c r="E136" s="40">
        <f>IFERROR(__xludf.DUMMYFUNCTION("""COMPUTED_VALUE"""),45835.0)</f>
        <v>45835</v>
      </c>
      <c r="F136" s="9">
        <f>IFERROR(__xludf.DUMMYFUNCTION("""COMPUTED_VALUE"""),4.29)</f>
        <v>4.29</v>
      </c>
      <c r="H136" s="17">
        <f>IFERROR(__xludf.DUMMYFUNCTION("""COMPUTED_VALUE"""),45835.0)</f>
        <v>45835</v>
      </c>
      <c r="I136" s="9">
        <f>IFERROR(__xludf.DUMMYFUNCTION("""COMPUTED_VALUE"""),4.29)</f>
        <v>4.29</v>
      </c>
      <c r="K136" s="17"/>
      <c r="N136" s="17"/>
    </row>
    <row r="137">
      <c r="B137" s="11">
        <f>IFERROR(__xludf.DUMMYFUNCTION("""COMPUTED_VALUE"""),45834.0)</f>
        <v>45834</v>
      </c>
      <c r="C137" s="9">
        <f>IFERROR(__xludf.DUMMYFUNCTION("""COMPUTED_VALUE"""),4.26)</f>
        <v>4.26</v>
      </c>
      <c r="E137" s="40">
        <f>IFERROR(__xludf.DUMMYFUNCTION("""COMPUTED_VALUE"""),45834.0)</f>
        <v>45834</v>
      </c>
      <c r="F137" s="9">
        <f>IFERROR(__xludf.DUMMYFUNCTION("""COMPUTED_VALUE"""),4.26)</f>
        <v>4.26</v>
      </c>
      <c r="H137" s="17">
        <f>IFERROR(__xludf.DUMMYFUNCTION("""COMPUTED_VALUE"""),45834.0)</f>
        <v>45834</v>
      </c>
      <c r="I137" s="9">
        <f>IFERROR(__xludf.DUMMYFUNCTION("""COMPUTED_VALUE"""),4.26)</f>
        <v>4.26</v>
      </c>
      <c r="K137" s="17"/>
      <c r="N137" s="17"/>
    </row>
    <row r="138">
      <c r="B138" s="11">
        <f>IFERROR(__xludf.DUMMYFUNCTION("""COMPUTED_VALUE"""),45833.0)</f>
        <v>45833</v>
      </c>
      <c r="C138" s="9">
        <f>IFERROR(__xludf.DUMMYFUNCTION("""COMPUTED_VALUE"""),4.29)</f>
        <v>4.29</v>
      </c>
      <c r="E138" s="40">
        <f>IFERROR(__xludf.DUMMYFUNCTION("""COMPUTED_VALUE"""),45833.0)</f>
        <v>45833</v>
      </c>
      <c r="F138" s="9">
        <f>IFERROR(__xludf.DUMMYFUNCTION("""COMPUTED_VALUE"""),4.29)</f>
        <v>4.29</v>
      </c>
      <c r="H138" s="17">
        <f>IFERROR(__xludf.DUMMYFUNCTION("""COMPUTED_VALUE"""),45833.0)</f>
        <v>45833</v>
      </c>
      <c r="I138" s="9">
        <f>IFERROR(__xludf.DUMMYFUNCTION("""COMPUTED_VALUE"""),4.29)</f>
        <v>4.29</v>
      </c>
      <c r="K138" s="17"/>
      <c r="N138" s="17"/>
    </row>
    <row r="139">
      <c r="B139" s="11">
        <f>IFERROR(__xludf.DUMMYFUNCTION("""COMPUTED_VALUE"""),45832.0)</f>
        <v>45832</v>
      </c>
      <c r="C139" s="9">
        <f>IFERROR(__xludf.DUMMYFUNCTION("""COMPUTED_VALUE"""),4.3)</f>
        <v>4.3</v>
      </c>
      <c r="E139" s="40">
        <f>IFERROR(__xludf.DUMMYFUNCTION("""COMPUTED_VALUE"""),45832.0)</f>
        <v>45832</v>
      </c>
      <c r="F139" s="9">
        <f>IFERROR(__xludf.DUMMYFUNCTION("""COMPUTED_VALUE"""),4.3)</f>
        <v>4.3</v>
      </c>
      <c r="H139" s="17">
        <f>IFERROR(__xludf.DUMMYFUNCTION("""COMPUTED_VALUE"""),45832.0)</f>
        <v>45832</v>
      </c>
      <c r="I139" s="9">
        <f>IFERROR(__xludf.DUMMYFUNCTION("""COMPUTED_VALUE"""),4.3)</f>
        <v>4.3</v>
      </c>
      <c r="K139" s="17"/>
      <c r="N139" s="17"/>
    </row>
    <row r="140">
      <c r="B140" s="11">
        <f>IFERROR(__xludf.DUMMYFUNCTION("""COMPUTED_VALUE"""),45831.0)</f>
        <v>45831</v>
      </c>
      <c r="C140" s="9">
        <f>IFERROR(__xludf.DUMMYFUNCTION("""COMPUTED_VALUE"""),4.34)</f>
        <v>4.34</v>
      </c>
      <c r="E140" s="40">
        <f>IFERROR(__xludf.DUMMYFUNCTION("""COMPUTED_VALUE"""),45831.0)</f>
        <v>45831</v>
      </c>
      <c r="F140" s="9">
        <f>IFERROR(__xludf.DUMMYFUNCTION("""COMPUTED_VALUE"""),4.34)</f>
        <v>4.34</v>
      </c>
      <c r="H140" s="17">
        <f>IFERROR(__xludf.DUMMYFUNCTION("""COMPUTED_VALUE"""),45831.0)</f>
        <v>45831</v>
      </c>
      <c r="I140" s="9">
        <f>IFERROR(__xludf.DUMMYFUNCTION("""COMPUTED_VALUE"""),4.34)</f>
        <v>4.34</v>
      </c>
      <c r="K140" s="17"/>
      <c r="N140" s="17"/>
    </row>
    <row r="141">
      <c r="B141" s="11">
        <f>IFERROR(__xludf.DUMMYFUNCTION("""COMPUTED_VALUE"""),45828.0)</f>
        <v>45828</v>
      </c>
      <c r="C141" s="9">
        <f>IFERROR(__xludf.DUMMYFUNCTION("""COMPUTED_VALUE"""),4.38)</f>
        <v>4.38</v>
      </c>
      <c r="E141" s="40">
        <f>IFERROR(__xludf.DUMMYFUNCTION("""COMPUTED_VALUE"""),45828.0)</f>
        <v>45828</v>
      </c>
      <c r="F141" s="9">
        <f>IFERROR(__xludf.DUMMYFUNCTION("""COMPUTED_VALUE"""),4.38)</f>
        <v>4.38</v>
      </c>
      <c r="H141" s="17">
        <f>IFERROR(__xludf.DUMMYFUNCTION("""COMPUTED_VALUE"""),45828.0)</f>
        <v>45828</v>
      </c>
      <c r="I141" s="9">
        <f>IFERROR(__xludf.DUMMYFUNCTION("""COMPUTED_VALUE"""),4.38)</f>
        <v>4.38</v>
      </c>
      <c r="K141" s="17"/>
      <c r="N141" s="17"/>
    </row>
    <row r="142">
      <c r="B142" s="11">
        <f>IFERROR(__xludf.DUMMYFUNCTION("""COMPUTED_VALUE"""),45827.0)</f>
        <v>45827</v>
      </c>
      <c r="C142" s="9"/>
      <c r="E142" s="40">
        <f>IFERROR(__xludf.DUMMYFUNCTION("""COMPUTED_VALUE"""),45827.0)</f>
        <v>45827</v>
      </c>
      <c r="F142" s="9"/>
      <c r="H142" s="17">
        <f>IFERROR(__xludf.DUMMYFUNCTION("""COMPUTED_VALUE"""),45827.0)</f>
        <v>45827</v>
      </c>
      <c r="I142" s="9"/>
      <c r="K142" s="17"/>
      <c r="N142" s="17"/>
    </row>
    <row r="143">
      <c r="B143" s="11">
        <f>IFERROR(__xludf.DUMMYFUNCTION("""COMPUTED_VALUE"""),45826.0)</f>
        <v>45826</v>
      </c>
      <c r="C143" s="9">
        <f>IFERROR(__xludf.DUMMYFUNCTION("""COMPUTED_VALUE"""),4.38)</f>
        <v>4.38</v>
      </c>
      <c r="E143" s="40">
        <f>IFERROR(__xludf.DUMMYFUNCTION("""COMPUTED_VALUE"""),45826.0)</f>
        <v>45826</v>
      </c>
      <c r="F143" s="9">
        <f>IFERROR(__xludf.DUMMYFUNCTION("""COMPUTED_VALUE"""),4.38)</f>
        <v>4.38</v>
      </c>
      <c r="H143" s="17">
        <f>IFERROR(__xludf.DUMMYFUNCTION("""COMPUTED_VALUE"""),45826.0)</f>
        <v>45826</v>
      </c>
      <c r="I143" s="9">
        <f>IFERROR(__xludf.DUMMYFUNCTION("""COMPUTED_VALUE"""),4.38)</f>
        <v>4.38</v>
      </c>
      <c r="K143" s="17"/>
      <c r="N143" s="17"/>
    </row>
    <row r="144">
      <c r="B144" s="11">
        <f>IFERROR(__xludf.DUMMYFUNCTION("""COMPUTED_VALUE"""),45825.0)</f>
        <v>45825</v>
      </c>
      <c r="C144" s="9">
        <f>IFERROR(__xludf.DUMMYFUNCTION("""COMPUTED_VALUE"""),4.39)</f>
        <v>4.39</v>
      </c>
      <c r="E144" s="40">
        <f>IFERROR(__xludf.DUMMYFUNCTION("""COMPUTED_VALUE"""),45825.0)</f>
        <v>45825</v>
      </c>
      <c r="F144" s="9">
        <f>IFERROR(__xludf.DUMMYFUNCTION("""COMPUTED_VALUE"""),4.39)</f>
        <v>4.39</v>
      </c>
      <c r="H144" s="17">
        <f>IFERROR(__xludf.DUMMYFUNCTION("""COMPUTED_VALUE"""),45825.0)</f>
        <v>45825</v>
      </c>
      <c r="I144" s="9">
        <f>IFERROR(__xludf.DUMMYFUNCTION("""COMPUTED_VALUE"""),4.39)</f>
        <v>4.39</v>
      </c>
      <c r="K144" s="17"/>
      <c r="N144" s="17"/>
    </row>
    <row r="145">
      <c r="B145" s="11">
        <f>IFERROR(__xludf.DUMMYFUNCTION("""COMPUTED_VALUE"""),45824.0)</f>
        <v>45824</v>
      </c>
      <c r="C145" s="9">
        <f>IFERROR(__xludf.DUMMYFUNCTION("""COMPUTED_VALUE"""),4.46)</f>
        <v>4.46</v>
      </c>
      <c r="E145" s="40">
        <f>IFERROR(__xludf.DUMMYFUNCTION("""COMPUTED_VALUE"""),45824.0)</f>
        <v>45824</v>
      </c>
      <c r="F145" s="9">
        <f>IFERROR(__xludf.DUMMYFUNCTION("""COMPUTED_VALUE"""),4.46)</f>
        <v>4.46</v>
      </c>
      <c r="H145" s="17">
        <f>IFERROR(__xludf.DUMMYFUNCTION("""COMPUTED_VALUE"""),45824.0)</f>
        <v>45824</v>
      </c>
      <c r="I145" s="9">
        <f>IFERROR(__xludf.DUMMYFUNCTION("""COMPUTED_VALUE"""),4.46)</f>
        <v>4.46</v>
      </c>
      <c r="K145" s="17"/>
      <c r="N145" s="17"/>
    </row>
    <row r="146">
      <c r="B146" s="11">
        <f>IFERROR(__xludf.DUMMYFUNCTION("""COMPUTED_VALUE"""),45821.0)</f>
        <v>45821</v>
      </c>
      <c r="C146" s="9">
        <f>IFERROR(__xludf.DUMMYFUNCTION("""COMPUTED_VALUE"""),4.41)</f>
        <v>4.41</v>
      </c>
      <c r="E146" s="40">
        <f>IFERROR(__xludf.DUMMYFUNCTION("""COMPUTED_VALUE"""),45821.0)</f>
        <v>45821</v>
      </c>
      <c r="F146" s="9">
        <f>IFERROR(__xludf.DUMMYFUNCTION("""COMPUTED_VALUE"""),4.41)</f>
        <v>4.41</v>
      </c>
      <c r="H146" s="17">
        <f>IFERROR(__xludf.DUMMYFUNCTION("""COMPUTED_VALUE"""),45821.0)</f>
        <v>45821</v>
      </c>
      <c r="I146" s="9">
        <f>IFERROR(__xludf.DUMMYFUNCTION("""COMPUTED_VALUE"""),4.41)</f>
        <v>4.41</v>
      </c>
      <c r="K146" s="17"/>
      <c r="N146" s="17"/>
    </row>
    <row r="147">
      <c r="B147" s="11">
        <f>IFERROR(__xludf.DUMMYFUNCTION("""COMPUTED_VALUE"""),45820.0)</f>
        <v>45820</v>
      </c>
      <c r="C147" s="9">
        <f>IFERROR(__xludf.DUMMYFUNCTION("""COMPUTED_VALUE"""),4.36)</f>
        <v>4.36</v>
      </c>
      <c r="E147" s="40">
        <f>IFERROR(__xludf.DUMMYFUNCTION("""COMPUTED_VALUE"""),45820.0)</f>
        <v>45820</v>
      </c>
      <c r="F147" s="9">
        <f>IFERROR(__xludf.DUMMYFUNCTION("""COMPUTED_VALUE"""),4.36)</f>
        <v>4.36</v>
      </c>
      <c r="H147" s="17">
        <f>IFERROR(__xludf.DUMMYFUNCTION("""COMPUTED_VALUE"""),45820.0)</f>
        <v>45820</v>
      </c>
      <c r="I147" s="9">
        <f>IFERROR(__xludf.DUMMYFUNCTION("""COMPUTED_VALUE"""),4.36)</f>
        <v>4.36</v>
      </c>
      <c r="K147" s="17"/>
      <c r="N147" s="17"/>
    </row>
    <row r="148">
      <c r="B148" s="11">
        <f>IFERROR(__xludf.DUMMYFUNCTION("""COMPUTED_VALUE"""),45819.0)</f>
        <v>45819</v>
      </c>
      <c r="C148" s="9">
        <f>IFERROR(__xludf.DUMMYFUNCTION("""COMPUTED_VALUE"""),4.41)</f>
        <v>4.41</v>
      </c>
      <c r="E148" s="40">
        <f>IFERROR(__xludf.DUMMYFUNCTION("""COMPUTED_VALUE"""),45819.0)</f>
        <v>45819</v>
      </c>
      <c r="F148" s="9">
        <f>IFERROR(__xludf.DUMMYFUNCTION("""COMPUTED_VALUE"""),4.41)</f>
        <v>4.41</v>
      </c>
      <c r="H148" s="17">
        <f>IFERROR(__xludf.DUMMYFUNCTION("""COMPUTED_VALUE"""),45819.0)</f>
        <v>45819</v>
      </c>
      <c r="I148" s="9">
        <f>IFERROR(__xludf.DUMMYFUNCTION("""COMPUTED_VALUE"""),4.41)</f>
        <v>4.41</v>
      </c>
      <c r="K148" s="17"/>
      <c r="N148" s="17"/>
    </row>
    <row r="149">
      <c r="B149" s="11">
        <f>IFERROR(__xludf.DUMMYFUNCTION("""COMPUTED_VALUE"""),45818.0)</f>
        <v>45818</v>
      </c>
      <c r="C149" s="9">
        <f>IFERROR(__xludf.DUMMYFUNCTION("""COMPUTED_VALUE"""),4.47)</f>
        <v>4.47</v>
      </c>
      <c r="E149" s="40">
        <f>IFERROR(__xludf.DUMMYFUNCTION("""COMPUTED_VALUE"""),45818.0)</f>
        <v>45818</v>
      </c>
      <c r="F149" s="9">
        <f>IFERROR(__xludf.DUMMYFUNCTION("""COMPUTED_VALUE"""),4.47)</f>
        <v>4.47</v>
      </c>
      <c r="H149" s="17">
        <f>IFERROR(__xludf.DUMMYFUNCTION("""COMPUTED_VALUE"""),45818.0)</f>
        <v>45818</v>
      </c>
      <c r="I149" s="9">
        <f>IFERROR(__xludf.DUMMYFUNCTION("""COMPUTED_VALUE"""),4.47)</f>
        <v>4.47</v>
      </c>
      <c r="K149" s="17"/>
      <c r="N149" s="17"/>
    </row>
    <row r="150">
      <c r="B150" s="11">
        <f>IFERROR(__xludf.DUMMYFUNCTION("""COMPUTED_VALUE"""),45817.0)</f>
        <v>45817</v>
      </c>
      <c r="C150" s="9">
        <f>IFERROR(__xludf.DUMMYFUNCTION("""COMPUTED_VALUE"""),4.49)</f>
        <v>4.49</v>
      </c>
      <c r="E150" s="40">
        <f>IFERROR(__xludf.DUMMYFUNCTION("""COMPUTED_VALUE"""),45817.0)</f>
        <v>45817</v>
      </c>
      <c r="F150" s="9">
        <f>IFERROR(__xludf.DUMMYFUNCTION("""COMPUTED_VALUE"""),4.49)</f>
        <v>4.49</v>
      </c>
      <c r="H150" s="17">
        <f>IFERROR(__xludf.DUMMYFUNCTION("""COMPUTED_VALUE"""),45817.0)</f>
        <v>45817</v>
      </c>
      <c r="I150" s="9">
        <f>IFERROR(__xludf.DUMMYFUNCTION("""COMPUTED_VALUE"""),4.49)</f>
        <v>4.49</v>
      </c>
      <c r="K150" s="17"/>
      <c r="N150" s="17"/>
    </row>
    <row r="151">
      <c r="B151" s="11">
        <f>IFERROR(__xludf.DUMMYFUNCTION("""COMPUTED_VALUE"""),45814.0)</f>
        <v>45814</v>
      </c>
      <c r="C151" s="9">
        <f>IFERROR(__xludf.DUMMYFUNCTION("""COMPUTED_VALUE"""),4.51)</f>
        <v>4.51</v>
      </c>
      <c r="E151" s="40">
        <f>IFERROR(__xludf.DUMMYFUNCTION("""COMPUTED_VALUE"""),45814.0)</f>
        <v>45814</v>
      </c>
      <c r="F151" s="9">
        <f>IFERROR(__xludf.DUMMYFUNCTION("""COMPUTED_VALUE"""),4.51)</f>
        <v>4.51</v>
      </c>
      <c r="H151" s="17">
        <f>IFERROR(__xludf.DUMMYFUNCTION("""COMPUTED_VALUE"""),45814.0)</f>
        <v>45814</v>
      </c>
      <c r="I151" s="9">
        <f>IFERROR(__xludf.DUMMYFUNCTION("""COMPUTED_VALUE"""),4.51)</f>
        <v>4.51</v>
      </c>
      <c r="K151" s="17"/>
      <c r="N151" s="17"/>
    </row>
    <row r="152">
      <c r="B152" s="11">
        <f>IFERROR(__xludf.DUMMYFUNCTION("""COMPUTED_VALUE"""),45813.0)</f>
        <v>45813</v>
      </c>
      <c r="C152" s="9">
        <f>IFERROR(__xludf.DUMMYFUNCTION("""COMPUTED_VALUE"""),4.4)</f>
        <v>4.4</v>
      </c>
      <c r="E152" s="40">
        <f>IFERROR(__xludf.DUMMYFUNCTION("""COMPUTED_VALUE"""),45813.0)</f>
        <v>45813</v>
      </c>
      <c r="F152" s="9">
        <f>IFERROR(__xludf.DUMMYFUNCTION("""COMPUTED_VALUE"""),4.4)</f>
        <v>4.4</v>
      </c>
      <c r="H152" s="17">
        <f>IFERROR(__xludf.DUMMYFUNCTION("""COMPUTED_VALUE"""),45813.0)</f>
        <v>45813</v>
      </c>
      <c r="I152" s="9">
        <f>IFERROR(__xludf.DUMMYFUNCTION("""COMPUTED_VALUE"""),4.4)</f>
        <v>4.4</v>
      </c>
      <c r="K152" s="17"/>
      <c r="N152" s="17"/>
    </row>
    <row r="153">
      <c r="B153" s="11">
        <f>IFERROR(__xludf.DUMMYFUNCTION("""COMPUTED_VALUE"""),45812.0)</f>
        <v>45812</v>
      </c>
      <c r="C153" s="9">
        <f>IFERROR(__xludf.DUMMYFUNCTION("""COMPUTED_VALUE"""),4.37)</f>
        <v>4.37</v>
      </c>
      <c r="E153" s="40">
        <f>IFERROR(__xludf.DUMMYFUNCTION("""COMPUTED_VALUE"""),45812.0)</f>
        <v>45812</v>
      </c>
      <c r="F153" s="9">
        <f>IFERROR(__xludf.DUMMYFUNCTION("""COMPUTED_VALUE"""),4.37)</f>
        <v>4.37</v>
      </c>
      <c r="H153" s="17">
        <f>IFERROR(__xludf.DUMMYFUNCTION("""COMPUTED_VALUE"""),45812.0)</f>
        <v>45812</v>
      </c>
      <c r="I153" s="9">
        <f>IFERROR(__xludf.DUMMYFUNCTION("""COMPUTED_VALUE"""),4.37)</f>
        <v>4.37</v>
      </c>
      <c r="K153" s="17"/>
      <c r="N153" s="17"/>
    </row>
    <row r="154">
      <c r="B154" s="11">
        <f>IFERROR(__xludf.DUMMYFUNCTION("""COMPUTED_VALUE"""),45811.0)</f>
        <v>45811</v>
      </c>
      <c r="C154" s="9">
        <f>IFERROR(__xludf.DUMMYFUNCTION("""COMPUTED_VALUE"""),4.46)</f>
        <v>4.46</v>
      </c>
      <c r="E154" s="40">
        <f>IFERROR(__xludf.DUMMYFUNCTION("""COMPUTED_VALUE"""),45811.0)</f>
        <v>45811</v>
      </c>
      <c r="F154" s="9">
        <f>IFERROR(__xludf.DUMMYFUNCTION("""COMPUTED_VALUE"""),4.46)</f>
        <v>4.46</v>
      </c>
      <c r="H154" s="17">
        <f>IFERROR(__xludf.DUMMYFUNCTION("""COMPUTED_VALUE"""),45811.0)</f>
        <v>45811</v>
      </c>
      <c r="I154" s="9">
        <f>IFERROR(__xludf.DUMMYFUNCTION("""COMPUTED_VALUE"""),4.46)</f>
        <v>4.46</v>
      </c>
      <c r="K154" s="17"/>
      <c r="N154" s="17"/>
    </row>
    <row r="155">
      <c r="B155" s="11">
        <f>IFERROR(__xludf.DUMMYFUNCTION("""COMPUTED_VALUE"""),45810.0)</f>
        <v>45810</v>
      </c>
      <c r="C155" s="9">
        <f>IFERROR(__xludf.DUMMYFUNCTION("""COMPUTED_VALUE"""),4.46)</f>
        <v>4.46</v>
      </c>
      <c r="E155" s="40">
        <f>IFERROR(__xludf.DUMMYFUNCTION("""COMPUTED_VALUE"""),45810.0)</f>
        <v>45810</v>
      </c>
      <c r="F155" s="9">
        <f>IFERROR(__xludf.DUMMYFUNCTION("""COMPUTED_VALUE"""),4.46)</f>
        <v>4.46</v>
      </c>
      <c r="H155" s="17">
        <f>IFERROR(__xludf.DUMMYFUNCTION("""COMPUTED_VALUE"""),45810.0)</f>
        <v>45810</v>
      </c>
      <c r="I155" s="9">
        <f>IFERROR(__xludf.DUMMYFUNCTION("""COMPUTED_VALUE"""),4.46)</f>
        <v>4.46</v>
      </c>
      <c r="K155" s="17"/>
      <c r="N155" s="17"/>
    </row>
    <row r="156">
      <c r="B156" s="11">
        <f>IFERROR(__xludf.DUMMYFUNCTION("""COMPUTED_VALUE"""),45807.0)</f>
        <v>45807</v>
      </c>
      <c r="C156" s="9">
        <f>IFERROR(__xludf.DUMMYFUNCTION("""COMPUTED_VALUE"""),4.41)</f>
        <v>4.41</v>
      </c>
      <c r="E156" s="40">
        <f>IFERROR(__xludf.DUMMYFUNCTION("""COMPUTED_VALUE"""),45807.0)</f>
        <v>45807</v>
      </c>
      <c r="F156" s="9">
        <f>IFERROR(__xludf.DUMMYFUNCTION("""COMPUTED_VALUE"""),4.41)</f>
        <v>4.41</v>
      </c>
      <c r="H156" s="17">
        <f>IFERROR(__xludf.DUMMYFUNCTION("""COMPUTED_VALUE"""),45807.0)</f>
        <v>45807</v>
      </c>
      <c r="I156" s="9">
        <f>IFERROR(__xludf.DUMMYFUNCTION("""COMPUTED_VALUE"""),4.41)</f>
        <v>4.41</v>
      </c>
      <c r="K156" s="17"/>
      <c r="N156" s="17"/>
    </row>
    <row r="157">
      <c r="B157" s="11">
        <f>IFERROR(__xludf.DUMMYFUNCTION("""COMPUTED_VALUE"""),45806.0)</f>
        <v>45806</v>
      </c>
      <c r="C157" s="9">
        <f>IFERROR(__xludf.DUMMYFUNCTION("""COMPUTED_VALUE"""),4.43)</f>
        <v>4.43</v>
      </c>
      <c r="E157" s="40">
        <f>IFERROR(__xludf.DUMMYFUNCTION("""COMPUTED_VALUE"""),45806.0)</f>
        <v>45806</v>
      </c>
      <c r="F157" s="9">
        <f>IFERROR(__xludf.DUMMYFUNCTION("""COMPUTED_VALUE"""),4.43)</f>
        <v>4.43</v>
      </c>
      <c r="H157" s="17">
        <f>IFERROR(__xludf.DUMMYFUNCTION("""COMPUTED_VALUE"""),45806.0)</f>
        <v>45806</v>
      </c>
      <c r="I157" s="9">
        <f>IFERROR(__xludf.DUMMYFUNCTION("""COMPUTED_VALUE"""),4.43)</f>
        <v>4.43</v>
      </c>
      <c r="K157" s="17"/>
      <c r="N157" s="17"/>
    </row>
    <row r="158">
      <c r="B158" s="11">
        <f>IFERROR(__xludf.DUMMYFUNCTION("""COMPUTED_VALUE"""),45805.0)</f>
        <v>45805</v>
      </c>
      <c r="C158" s="9">
        <f>IFERROR(__xludf.DUMMYFUNCTION("""COMPUTED_VALUE"""),4.47)</f>
        <v>4.47</v>
      </c>
      <c r="E158" s="40">
        <f>IFERROR(__xludf.DUMMYFUNCTION("""COMPUTED_VALUE"""),45805.0)</f>
        <v>45805</v>
      </c>
      <c r="F158" s="9">
        <f>IFERROR(__xludf.DUMMYFUNCTION("""COMPUTED_VALUE"""),4.47)</f>
        <v>4.47</v>
      </c>
      <c r="H158" s="17">
        <f>IFERROR(__xludf.DUMMYFUNCTION("""COMPUTED_VALUE"""),45805.0)</f>
        <v>45805</v>
      </c>
      <c r="I158" s="9">
        <f>IFERROR(__xludf.DUMMYFUNCTION("""COMPUTED_VALUE"""),4.47)</f>
        <v>4.47</v>
      </c>
      <c r="K158" s="17"/>
      <c r="N158" s="17"/>
    </row>
    <row r="159">
      <c r="B159" s="11">
        <f>IFERROR(__xludf.DUMMYFUNCTION("""COMPUTED_VALUE"""),45804.0)</f>
        <v>45804</v>
      </c>
      <c r="C159" s="9">
        <f>IFERROR(__xludf.DUMMYFUNCTION("""COMPUTED_VALUE"""),4.43)</f>
        <v>4.43</v>
      </c>
      <c r="E159" s="40">
        <f>IFERROR(__xludf.DUMMYFUNCTION("""COMPUTED_VALUE"""),45804.0)</f>
        <v>45804</v>
      </c>
      <c r="F159" s="9">
        <f>IFERROR(__xludf.DUMMYFUNCTION("""COMPUTED_VALUE"""),4.43)</f>
        <v>4.43</v>
      </c>
      <c r="H159" s="17">
        <f>IFERROR(__xludf.DUMMYFUNCTION("""COMPUTED_VALUE"""),45804.0)</f>
        <v>45804</v>
      </c>
      <c r="I159" s="9">
        <f>IFERROR(__xludf.DUMMYFUNCTION("""COMPUTED_VALUE"""),4.43)</f>
        <v>4.43</v>
      </c>
      <c r="K159" s="17"/>
      <c r="N159" s="17"/>
    </row>
    <row r="160">
      <c r="B160" s="11">
        <f>IFERROR(__xludf.DUMMYFUNCTION("""COMPUTED_VALUE"""),45803.0)</f>
        <v>45803</v>
      </c>
      <c r="C160" s="9"/>
      <c r="E160" s="40">
        <f>IFERROR(__xludf.DUMMYFUNCTION("""COMPUTED_VALUE"""),45803.0)</f>
        <v>45803</v>
      </c>
      <c r="F160" s="9"/>
      <c r="H160" s="17">
        <f>IFERROR(__xludf.DUMMYFUNCTION("""COMPUTED_VALUE"""),45803.0)</f>
        <v>45803</v>
      </c>
      <c r="I160" s="9"/>
      <c r="K160" s="17"/>
      <c r="N160" s="17"/>
    </row>
    <row r="161">
      <c r="B161" s="11">
        <f>IFERROR(__xludf.DUMMYFUNCTION("""COMPUTED_VALUE"""),45800.0)</f>
        <v>45800</v>
      </c>
      <c r="C161" s="9">
        <f>IFERROR(__xludf.DUMMYFUNCTION("""COMPUTED_VALUE"""),4.51)</f>
        <v>4.51</v>
      </c>
      <c r="E161" s="40">
        <f>IFERROR(__xludf.DUMMYFUNCTION("""COMPUTED_VALUE"""),45800.0)</f>
        <v>45800</v>
      </c>
      <c r="F161" s="9">
        <f>IFERROR(__xludf.DUMMYFUNCTION("""COMPUTED_VALUE"""),4.51)</f>
        <v>4.51</v>
      </c>
      <c r="H161" s="17">
        <f>IFERROR(__xludf.DUMMYFUNCTION("""COMPUTED_VALUE"""),45800.0)</f>
        <v>45800</v>
      </c>
      <c r="I161" s="9">
        <f>IFERROR(__xludf.DUMMYFUNCTION("""COMPUTED_VALUE"""),4.51)</f>
        <v>4.51</v>
      </c>
      <c r="K161" s="17"/>
      <c r="N161" s="17"/>
    </row>
    <row r="162">
      <c r="B162" s="11">
        <f>IFERROR(__xludf.DUMMYFUNCTION("""COMPUTED_VALUE"""),45799.0)</f>
        <v>45799</v>
      </c>
      <c r="C162" s="9">
        <f>IFERROR(__xludf.DUMMYFUNCTION("""COMPUTED_VALUE"""),4.54)</f>
        <v>4.54</v>
      </c>
      <c r="E162" s="40">
        <f>IFERROR(__xludf.DUMMYFUNCTION("""COMPUTED_VALUE"""),45799.0)</f>
        <v>45799</v>
      </c>
      <c r="F162" s="9">
        <f>IFERROR(__xludf.DUMMYFUNCTION("""COMPUTED_VALUE"""),4.54)</f>
        <v>4.54</v>
      </c>
      <c r="H162" s="17">
        <f>IFERROR(__xludf.DUMMYFUNCTION("""COMPUTED_VALUE"""),45799.0)</f>
        <v>45799</v>
      </c>
      <c r="I162" s="9">
        <f>IFERROR(__xludf.DUMMYFUNCTION("""COMPUTED_VALUE"""),4.54)</f>
        <v>4.54</v>
      </c>
      <c r="K162" s="17"/>
      <c r="N162" s="17"/>
    </row>
    <row r="163">
      <c r="B163" s="11">
        <f>IFERROR(__xludf.DUMMYFUNCTION("""COMPUTED_VALUE"""),45798.0)</f>
        <v>45798</v>
      </c>
      <c r="C163" s="9">
        <f>IFERROR(__xludf.DUMMYFUNCTION("""COMPUTED_VALUE"""),4.58)</f>
        <v>4.58</v>
      </c>
      <c r="E163" s="40">
        <f>IFERROR(__xludf.DUMMYFUNCTION("""COMPUTED_VALUE"""),45798.0)</f>
        <v>45798</v>
      </c>
      <c r="F163" s="9">
        <f>IFERROR(__xludf.DUMMYFUNCTION("""COMPUTED_VALUE"""),4.58)</f>
        <v>4.58</v>
      </c>
      <c r="H163" s="17">
        <f>IFERROR(__xludf.DUMMYFUNCTION("""COMPUTED_VALUE"""),45798.0)</f>
        <v>45798</v>
      </c>
      <c r="I163" s="9">
        <f>IFERROR(__xludf.DUMMYFUNCTION("""COMPUTED_VALUE"""),4.58)</f>
        <v>4.58</v>
      </c>
      <c r="K163" s="17"/>
      <c r="N163" s="17"/>
    </row>
    <row r="164">
      <c r="B164" s="11">
        <f>IFERROR(__xludf.DUMMYFUNCTION("""COMPUTED_VALUE"""),45797.0)</f>
        <v>45797</v>
      </c>
      <c r="C164" s="9">
        <f>IFERROR(__xludf.DUMMYFUNCTION("""COMPUTED_VALUE"""),4.48)</f>
        <v>4.48</v>
      </c>
      <c r="E164" s="40">
        <f>IFERROR(__xludf.DUMMYFUNCTION("""COMPUTED_VALUE"""),45797.0)</f>
        <v>45797</v>
      </c>
      <c r="F164" s="9">
        <f>IFERROR(__xludf.DUMMYFUNCTION("""COMPUTED_VALUE"""),4.48)</f>
        <v>4.48</v>
      </c>
      <c r="H164" s="17">
        <f>IFERROR(__xludf.DUMMYFUNCTION("""COMPUTED_VALUE"""),45797.0)</f>
        <v>45797</v>
      </c>
      <c r="I164" s="9">
        <f>IFERROR(__xludf.DUMMYFUNCTION("""COMPUTED_VALUE"""),4.48)</f>
        <v>4.48</v>
      </c>
      <c r="K164" s="17"/>
      <c r="N164" s="17"/>
    </row>
    <row r="165">
      <c r="B165" s="11">
        <f>IFERROR(__xludf.DUMMYFUNCTION("""COMPUTED_VALUE"""),45796.0)</f>
        <v>45796</v>
      </c>
      <c r="C165" s="9">
        <f>IFERROR(__xludf.DUMMYFUNCTION("""COMPUTED_VALUE"""),4.46)</f>
        <v>4.46</v>
      </c>
      <c r="E165" s="40">
        <f>IFERROR(__xludf.DUMMYFUNCTION("""COMPUTED_VALUE"""),45796.0)</f>
        <v>45796</v>
      </c>
      <c r="F165" s="9">
        <f>IFERROR(__xludf.DUMMYFUNCTION("""COMPUTED_VALUE"""),4.46)</f>
        <v>4.46</v>
      </c>
      <c r="H165" s="17">
        <f>IFERROR(__xludf.DUMMYFUNCTION("""COMPUTED_VALUE"""),45796.0)</f>
        <v>45796</v>
      </c>
      <c r="I165" s="9">
        <f>IFERROR(__xludf.DUMMYFUNCTION("""COMPUTED_VALUE"""),4.46)</f>
        <v>4.46</v>
      </c>
      <c r="K165" s="17"/>
      <c r="N165" s="17"/>
    </row>
    <row r="166">
      <c r="B166" s="11">
        <f>IFERROR(__xludf.DUMMYFUNCTION("""COMPUTED_VALUE"""),45793.0)</f>
        <v>45793</v>
      </c>
      <c r="C166" s="9">
        <f>IFERROR(__xludf.DUMMYFUNCTION("""COMPUTED_VALUE"""),4.43)</f>
        <v>4.43</v>
      </c>
      <c r="E166" s="40">
        <f>IFERROR(__xludf.DUMMYFUNCTION("""COMPUTED_VALUE"""),45793.0)</f>
        <v>45793</v>
      </c>
      <c r="F166" s="9">
        <f>IFERROR(__xludf.DUMMYFUNCTION("""COMPUTED_VALUE"""),4.43)</f>
        <v>4.43</v>
      </c>
      <c r="H166" s="17">
        <f>IFERROR(__xludf.DUMMYFUNCTION("""COMPUTED_VALUE"""),45793.0)</f>
        <v>45793</v>
      </c>
      <c r="I166" s="9">
        <f>IFERROR(__xludf.DUMMYFUNCTION("""COMPUTED_VALUE"""),4.43)</f>
        <v>4.43</v>
      </c>
      <c r="K166" s="17"/>
      <c r="N166" s="17"/>
    </row>
    <row r="167">
      <c r="B167" s="11">
        <f>IFERROR(__xludf.DUMMYFUNCTION("""COMPUTED_VALUE"""),45792.0)</f>
        <v>45792</v>
      </c>
      <c r="C167" s="9">
        <f>IFERROR(__xludf.DUMMYFUNCTION("""COMPUTED_VALUE"""),4.45)</f>
        <v>4.45</v>
      </c>
      <c r="E167" s="40">
        <f>IFERROR(__xludf.DUMMYFUNCTION("""COMPUTED_VALUE"""),45792.0)</f>
        <v>45792</v>
      </c>
      <c r="F167" s="9">
        <f>IFERROR(__xludf.DUMMYFUNCTION("""COMPUTED_VALUE"""),4.45)</f>
        <v>4.45</v>
      </c>
      <c r="H167" s="17">
        <f>IFERROR(__xludf.DUMMYFUNCTION("""COMPUTED_VALUE"""),45792.0)</f>
        <v>45792</v>
      </c>
      <c r="I167" s="9">
        <f>IFERROR(__xludf.DUMMYFUNCTION("""COMPUTED_VALUE"""),4.45)</f>
        <v>4.45</v>
      </c>
      <c r="K167" s="17"/>
      <c r="N167" s="17"/>
    </row>
    <row r="168">
      <c r="B168" s="11">
        <f>IFERROR(__xludf.DUMMYFUNCTION("""COMPUTED_VALUE"""),45791.0)</f>
        <v>45791</v>
      </c>
      <c r="C168" s="9">
        <f>IFERROR(__xludf.DUMMYFUNCTION("""COMPUTED_VALUE"""),4.53)</f>
        <v>4.53</v>
      </c>
      <c r="E168" s="40">
        <f>IFERROR(__xludf.DUMMYFUNCTION("""COMPUTED_VALUE"""),45791.0)</f>
        <v>45791</v>
      </c>
      <c r="F168" s="9">
        <f>IFERROR(__xludf.DUMMYFUNCTION("""COMPUTED_VALUE"""),4.53)</f>
        <v>4.53</v>
      </c>
      <c r="H168" s="17">
        <f>IFERROR(__xludf.DUMMYFUNCTION("""COMPUTED_VALUE"""),45791.0)</f>
        <v>45791</v>
      </c>
      <c r="I168" s="9">
        <f>IFERROR(__xludf.DUMMYFUNCTION("""COMPUTED_VALUE"""),4.53)</f>
        <v>4.53</v>
      </c>
      <c r="K168" s="17"/>
      <c r="N168" s="17"/>
    </row>
    <row r="169">
      <c r="B169" s="11">
        <f>IFERROR(__xludf.DUMMYFUNCTION("""COMPUTED_VALUE"""),45790.0)</f>
        <v>45790</v>
      </c>
      <c r="C169" s="9">
        <f>IFERROR(__xludf.DUMMYFUNCTION("""COMPUTED_VALUE"""),4.49)</f>
        <v>4.49</v>
      </c>
      <c r="E169" s="40">
        <f>IFERROR(__xludf.DUMMYFUNCTION("""COMPUTED_VALUE"""),45790.0)</f>
        <v>45790</v>
      </c>
      <c r="F169" s="9">
        <f>IFERROR(__xludf.DUMMYFUNCTION("""COMPUTED_VALUE"""),4.49)</f>
        <v>4.49</v>
      </c>
      <c r="H169" s="17">
        <f>IFERROR(__xludf.DUMMYFUNCTION("""COMPUTED_VALUE"""),45790.0)</f>
        <v>45790</v>
      </c>
      <c r="I169" s="9">
        <f>IFERROR(__xludf.DUMMYFUNCTION("""COMPUTED_VALUE"""),4.49)</f>
        <v>4.49</v>
      </c>
      <c r="K169" s="17"/>
      <c r="N169" s="17"/>
    </row>
    <row r="170">
      <c r="B170" s="11">
        <f>IFERROR(__xludf.DUMMYFUNCTION("""COMPUTED_VALUE"""),45789.0)</f>
        <v>45789</v>
      </c>
      <c r="C170" s="9">
        <f>IFERROR(__xludf.DUMMYFUNCTION("""COMPUTED_VALUE"""),4.45)</f>
        <v>4.45</v>
      </c>
      <c r="E170" s="40">
        <f>IFERROR(__xludf.DUMMYFUNCTION("""COMPUTED_VALUE"""),45789.0)</f>
        <v>45789</v>
      </c>
      <c r="F170" s="9">
        <f>IFERROR(__xludf.DUMMYFUNCTION("""COMPUTED_VALUE"""),4.45)</f>
        <v>4.45</v>
      </c>
      <c r="H170" s="17">
        <f>IFERROR(__xludf.DUMMYFUNCTION("""COMPUTED_VALUE"""),45789.0)</f>
        <v>45789</v>
      </c>
      <c r="I170" s="9">
        <f>IFERROR(__xludf.DUMMYFUNCTION("""COMPUTED_VALUE"""),4.45)</f>
        <v>4.45</v>
      </c>
      <c r="K170" s="17"/>
      <c r="N170" s="17"/>
    </row>
    <row r="171">
      <c r="B171" s="11">
        <f>IFERROR(__xludf.DUMMYFUNCTION("""COMPUTED_VALUE"""),45786.0)</f>
        <v>45786</v>
      </c>
      <c r="C171" s="9">
        <f>IFERROR(__xludf.DUMMYFUNCTION("""COMPUTED_VALUE"""),4.37)</f>
        <v>4.37</v>
      </c>
      <c r="E171" s="40">
        <f>IFERROR(__xludf.DUMMYFUNCTION("""COMPUTED_VALUE"""),45786.0)</f>
        <v>45786</v>
      </c>
      <c r="F171" s="9">
        <f>IFERROR(__xludf.DUMMYFUNCTION("""COMPUTED_VALUE"""),4.37)</f>
        <v>4.37</v>
      </c>
      <c r="H171" s="17">
        <f>IFERROR(__xludf.DUMMYFUNCTION("""COMPUTED_VALUE"""),45786.0)</f>
        <v>45786</v>
      </c>
      <c r="I171" s="9">
        <f>IFERROR(__xludf.DUMMYFUNCTION("""COMPUTED_VALUE"""),4.37)</f>
        <v>4.37</v>
      </c>
      <c r="K171" s="17"/>
      <c r="N171" s="17"/>
    </row>
    <row r="172">
      <c r="B172" s="11">
        <f>IFERROR(__xludf.DUMMYFUNCTION("""COMPUTED_VALUE"""),45785.0)</f>
        <v>45785</v>
      </c>
      <c r="C172" s="9">
        <f>IFERROR(__xludf.DUMMYFUNCTION("""COMPUTED_VALUE"""),4.37)</f>
        <v>4.37</v>
      </c>
      <c r="E172" s="40">
        <f>IFERROR(__xludf.DUMMYFUNCTION("""COMPUTED_VALUE"""),45785.0)</f>
        <v>45785</v>
      </c>
      <c r="F172" s="9">
        <f>IFERROR(__xludf.DUMMYFUNCTION("""COMPUTED_VALUE"""),4.37)</f>
        <v>4.37</v>
      </c>
      <c r="H172" s="17">
        <f>IFERROR(__xludf.DUMMYFUNCTION("""COMPUTED_VALUE"""),45785.0)</f>
        <v>45785</v>
      </c>
      <c r="I172" s="9">
        <f>IFERROR(__xludf.DUMMYFUNCTION("""COMPUTED_VALUE"""),4.37)</f>
        <v>4.37</v>
      </c>
      <c r="K172" s="17"/>
      <c r="N172" s="17"/>
    </row>
    <row r="173">
      <c r="B173" s="11">
        <f>IFERROR(__xludf.DUMMYFUNCTION("""COMPUTED_VALUE"""),45784.0)</f>
        <v>45784</v>
      </c>
      <c r="C173" s="9">
        <f>IFERROR(__xludf.DUMMYFUNCTION("""COMPUTED_VALUE"""),4.26)</f>
        <v>4.26</v>
      </c>
      <c r="E173" s="40">
        <f>IFERROR(__xludf.DUMMYFUNCTION("""COMPUTED_VALUE"""),45784.0)</f>
        <v>45784</v>
      </c>
      <c r="F173" s="9">
        <f>IFERROR(__xludf.DUMMYFUNCTION("""COMPUTED_VALUE"""),4.26)</f>
        <v>4.26</v>
      </c>
      <c r="H173" s="17">
        <f>IFERROR(__xludf.DUMMYFUNCTION("""COMPUTED_VALUE"""),45784.0)</f>
        <v>45784</v>
      </c>
      <c r="I173" s="9">
        <f>IFERROR(__xludf.DUMMYFUNCTION("""COMPUTED_VALUE"""),4.26)</f>
        <v>4.26</v>
      </c>
      <c r="K173" s="17"/>
      <c r="N173" s="17"/>
    </row>
    <row r="174">
      <c r="B174" s="11">
        <f>IFERROR(__xludf.DUMMYFUNCTION("""COMPUTED_VALUE"""),45783.0)</f>
        <v>45783</v>
      </c>
      <c r="C174" s="9">
        <f>IFERROR(__xludf.DUMMYFUNCTION("""COMPUTED_VALUE"""),4.3)</f>
        <v>4.3</v>
      </c>
      <c r="E174" s="40">
        <f>IFERROR(__xludf.DUMMYFUNCTION("""COMPUTED_VALUE"""),45783.0)</f>
        <v>45783</v>
      </c>
      <c r="F174" s="9">
        <f>IFERROR(__xludf.DUMMYFUNCTION("""COMPUTED_VALUE"""),4.3)</f>
        <v>4.3</v>
      </c>
      <c r="H174" s="17">
        <f>IFERROR(__xludf.DUMMYFUNCTION("""COMPUTED_VALUE"""),45783.0)</f>
        <v>45783</v>
      </c>
      <c r="I174" s="9">
        <f>IFERROR(__xludf.DUMMYFUNCTION("""COMPUTED_VALUE"""),4.3)</f>
        <v>4.3</v>
      </c>
      <c r="K174" s="17"/>
      <c r="N174" s="17"/>
    </row>
    <row r="175">
      <c r="B175" s="11">
        <f>IFERROR(__xludf.DUMMYFUNCTION("""COMPUTED_VALUE"""),45782.0)</f>
        <v>45782</v>
      </c>
      <c r="C175" s="9">
        <f>IFERROR(__xludf.DUMMYFUNCTION("""COMPUTED_VALUE"""),4.36)</f>
        <v>4.36</v>
      </c>
      <c r="E175" s="40">
        <f>IFERROR(__xludf.DUMMYFUNCTION("""COMPUTED_VALUE"""),45782.0)</f>
        <v>45782</v>
      </c>
      <c r="F175" s="9">
        <f>IFERROR(__xludf.DUMMYFUNCTION("""COMPUTED_VALUE"""),4.36)</f>
        <v>4.36</v>
      </c>
      <c r="H175" s="17">
        <f>IFERROR(__xludf.DUMMYFUNCTION("""COMPUTED_VALUE"""),45782.0)</f>
        <v>45782</v>
      </c>
      <c r="I175" s="9">
        <f>IFERROR(__xludf.DUMMYFUNCTION("""COMPUTED_VALUE"""),4.36)</f>
        <v>4.36</v>
      </c>
      <c r="K175" s="17"/>
      <c r="N175" s="17"/>
    </row>
    <row r="176">
      <c r="B176" s="11">
        <f>IFERROR(__xludf.DUMMYFUNCTION("""COMPUTED_VALUE"""),45779.0)</f>
        <v>45779</v>
      </c>
      <c r="C176" s="9">
        <f>IFERROR(__xludf.DUMMYFUNCTION("""COMPUTED_VALUE"""),4.33)</f>
        <v>4.33</v>
      </c>
      <c r="E176" s="40">
        <f>IFERROR(__xludf.DUMMYFUNCTION("""COMPUTED_VALUE"""),45779.0)</f>
        <v>45779</v>
      </c>
      <c r="F176" s="9">
        <f>IFERROR(__xludf.DUMMYFUNCTION("""COMPUTED_VALUE"""),4.33)</f>
        <v>4.33</v>
      </c>
      <c r="H176" s="17">
        <f>IFERROR(__xludf.DUMMYFUNCTION("""COMPUTED_VALUE"""),45779.0)</f>
        <v>45779</v>
      </c>
      <c r="I176" s="9">
        <f>IFERROR(__xludf.DUMMYFUNCTION("""COMPUTED_VALUE"""),4.33)</f>
        <v>4.33</v>
      </c>
      <c r="K176" s="17"/>
      <c r="N176" s="17"/>
    </row>
    <row r="177">
      <c r="B177" s="11">
        <f>IFERROR(__xludf.DUMMYFUNCTION("""COMPUTED_VALUE"""),45778.0)</f>
        <v>45778</v>
      </c>
      <c r="C177" s="9">
        <f>IFERROR(__xludf.DUMMYFUNCTION("""COMPUTED_VALUE"""),4.25)</f>
        <v>4.25</v>
      </c>
      <c r="E177" s="40">
        <f>IFERROR(__xludf.DUMMYFUNCTION("""COMPUTED_VALUE"""),45778.0)</f>
        <v>45778</v>
      </c>
      <c r="F177" s="9">
        <f>IFERROR(__xludf.DUMMYFUNCTION("""COMPUTED_VALUE"""),4.25)</f>
        <v>4.25</v>
      </c>
      <c r="H177" s="17">
        <f>IFERROR(__xludf.DUMMYFUNCTION("""COMPUTED_VALUE"""),45778.0)</f>
        <v>45778</v>
      </c>
      <c r="I177" s="9">
        <f>IFERROR(__xludf.DUMMYFUNCTION("""COMPUTED_VALUE"""),4.25)</f>
        <v>4.25</v>
      </c>
      <c r="K177" s="17"/>
      <c r="N177" s="17"/>
    </row>
    <row r="178">
      <c r="B178" s="11">
        <f>IFERROR(__xludf.DUMMYFUNCTION("""COMPUTED_VALUE"""),45777.0)</f>
        <v>45777</v>
      </c>
      <c r="C178" s="9">
        <f>IFERROR(__xludf.DUMMYFUNCTION("""COMPUTED_VALUE"""),4.17)</f>
        <v>4.17</v>
      </c>
      <c r="E178" s="40">
        <f>IFERROR(__xludf.DUMMYFUNCTION("""COMPUTED_VALUE"""),45777.0)</f>
        <v>45777</v>
      </c>
      <c r="F178" s="9">
        <f>IFERROR(__xludf.DUMMYFUNCTION("""COMPUTED_VALUE"""),4.17)</f>
        <v>4.17</v>
      </c>
      <c r="H178" s="17">
        <f>IFERROR(__xludf.DUMMYFUNCTION("""COMPUTED_VALUE"""),45777.0)</f>
        <v>45777</v>
      </c>
      <c r="I178" s="9">
        <f>IFERROR(__xludf.DUMMYFUNCTION("""COMPUTED_VALUE"""),4.17)</f>
        <v>4.17</v>
      </c>
      <c r="K178" s="17"/>
      <c r="N178" s="17"/>
    </row>
    <row r="179">
      <c r="B179" s="11">
        <f>IFERROR(__xludf.DUMMYFUNCTION("""COMPUTED_VALUE"""),45776.0)</f>
        <v>45776</v>
      </c>
      <c r="C179" s="9">
        <f>IFERROR(__xludf.DUMMYFUNCTION("""COMPUTED_VALUE"""),4.19)</f>
        <v>4.19</v>
      </c>
      <c r="E179" s="40">
        <f>IFERROR(__xludf.DUMMYFUNCTION("""COMPUTED_VALUE"""),45776.0)</f>
        <v>45776</v>
      </c>
      <c r="F179" s="9">
        <f>IFERROR(__xludf.DUMMYFUNCTION("""COMPUTED_VALUE"""),4.19)</f>
        <v>4.19</v>
      </c>
      <c r="H179" s="17">
        <f>IFERROR(__xludf.DUMMYFUNCTION("""COMPUTED_VALUE"""),45776.0)</f>
        <v>45776</v>
      </c>
      <c r="I179" s="9">
        <f>IFERROR(__xludf.DUMMYFUNCTION("""COMPUTED_VALUE"""),4.19)</f>
        <v>4.19</v>
      </c>
      <c r="K179" s="17"/>
      <c r="N179" s="17"/>
    </row>
    <row r="180">
      <c r="B180" s="11">
        <f>IFERROR(__xludf.DUMMYFUNCTION("""COMPUTED_VALUE"""),45775.0)</f>
        <v>45775</v>
      </c>
      <c r="C180" s="9">
        <f>IFERROR(__xludf.DUMMYFUNCTION("""COMPUTED_VALUE"""),4.23)</f>
        <v>4.23</v>
      </c>
      <c r="E180" s="40">
        <f>IFERROR(__xludf.DUMMYFUNCTION("""COMPUTED_VALUE"""),45775.0)</f>
        <v>45775</v>
      </c>
      <c r="F180" s="9">
        <f>IFERROR(__xludf.DUMMYFUNCTION("""COMPUTED_VALUE"""),4.23)</f>
        <v>4.23</v>
      </c>
      <c r="H180" s="17">
        <f>IFERROR(__xludf.DUMMYFUNCTION("""COMPUTED_VALUE"""),45775.0)</f>
        <v>45775</v>
      </c>
      <c r="I180" s="9">
        <f>IFERROR(__xludf.DUMMYFUNCTION("""COMPUTED_VALUE"""),4.23)</f>
        <v>4.23</v>
      </c>
      <c r="K180" s="17"/>
      <c r="N180" s="17"/>
    </row>
    <row r="181">
      <c r="B181" s="11">
        <f>IFERROR(__xludf.DUMMYFUNCTION("""COMPUTED_VALUE"""),45772.0)</f>
        <v>45772</v>
      </c>
      <c r="C181" s="9">
        <f>IFERROR(__xludf.DUMMYFUNCTION("""COMPUTED_VALUE"""),4.29)</f>
        <v>4.29</v>
      </c>
      <c r="E181" s="40">
        <f>IFERROR(__xludf.DUMMYFUNCTION("""COMPUTED_VALUE"""),45772.0)</f>
        <v>45772</v>
      </c>
      <c r="F181" s="9">
        <f>IFERROR(__xludf.DUMMYFUNCTION("""COMPUTED_VALUE"""),4.29)</f>
        <v>4.29</v>
      </c>
      <c r="H181" s="17">
        <f>IFERROR(__xludf.DUMMYFUNCTION("""COMPUTED_VALUE"""),45772.0)</f>
        <v>45772</v>
      </c>
      <c r="I181" s="9">
        <f>IFERROR(__xludf.DUMMYFUNCTION("""COMPUTED_VALUE"""),4.29)</f>
        <v>4.29</v>
      </c>
      <c r="K181" s="17"/>
      <c r="N181" s="17"/>
    </row>
    <row r="182">
      <c r="B182" s="11">
        <f>IFERROR(__xludf.DUMMYFUNCTION("""COMPUTED_VALUE"""),45771.0)</f>
        <v>45771</v>
      </c>
      <c r="C182" s="9">
        <f>IFERROR(__xludf.DUMMYFUNCTION("""COMPUTED_VALUE"""),4.32)</f>
        <v>4.32</v>
      </c>
      <c r="E182" s="40">
        <f>IFERROR(__xludf.DUMMYFUNCTION("""COMPUTED_VALUE"""),45771.0)</f>
        <v>45771</v>
      </c>
      <c r="F182" s="9">
        <f>IFERROR(__xludf.DUMMYFUNCTION("""COMPUTED_VALUE"""),4.32)</f>
        <v>4.32</v>
      </c>
      <c r="H182" s="17">
        <f>IFERROR(__xludf.DUMMYFUNCTION("""COMPUTED_VALUE"""),45771.0)</f>
        <v>45771</v>
      </c>
      <c r="I182" s="9">
        <f>IFERROR(__xludf.DUMMYFUNCTION("""COMPUTED_VALUE"""),4.32)</f>
        <v>4.32</v>
      </c>
      <c r="K182" s="17"/>
      <c r="N182" s="17"/>
    </row>
    <row r="183">
      <c r="B183" s="11">
        <f>IFERROR(__xludf.DUMMYFUNCTION("""COMPUTED_VALUE"""),45770.0)</f>
        <v>45770</v>
      </c>
      <c r="C183" s="9">
        <f>IFERROR(__xludf.DUMMYFUNCTION("""COMPUTED_VALUE"""),4.4)</f>
        <v>4.4</v>
      </c>
      <c r="E183" s="40">
        <f>IFERROR(__xludf.DUMMYFUNCTION("""COMPUTED_VALUE"""),45770.0)</f>
        <v>45770</v>
      </c>
      <c r="F183" s="9">
        <f>IFERROR(__xludf.DUMMYFUNCTION("""COMPUTED_VALUE"""),4.4)</f>
        <v>4.4</v>
      </c>
      <c r="H183" s="17">
        <f>IFERROR(__xludf.DUMMYFUNCTION("""COMPUTED_VALUE"""),45770.0)</f>
        <v>45770</v>
      </c>
      <c r="I183" s="9">
        <f>IFERROR(__xludf.DUMMYFUNCTION("""COMPUTED_VALUE"""),4.4)</f>
        <v>4.4</v>
      </c>
      <c r="K183" s="17"/>
      <c r="N183" s="17"/>
    </row>
    <row r="184">
      <c r="B184" s="11">
        <f>IFERROR(__xludf.DUMMYFUNCTION("""COMPUTED_VALUE"""),45769.0)</f>
        <v>45769</v>
      </c>
      <c r="C184" s="9">
        <f>IFERROR(__xludf.DUMMYFUNCTION("""COMPUTED_VALUE"""),4.41)</f>
        <v>4.41</v>
      </c>
      <c r="E184" s="40">
        <f>IFERROR(__xludf.DUMMYFUNCTION("""COMPUTED_VALUE"""),45769.0)</f>
        <v>45769</v>
      </c>
      <c r="F184" s="9">
        <f>IFERROR(__xludf.DUMMYFUNCTION("""COMPUTED_VALUE"""),4.41)</f>
        <v>4.41</v>
      </c>
      <c r="H184" s="17">
        <f>IFERROR(__xludf.DUMMYFUNCTION("""COMPUTED_VALUE"""),45769.0)</f>
        <v>45769</v>
      </c>
      <c r="I184" s="9">
        <f>IFERROR(__xludf.DUMMYFUNCTION("""COMPUTED_VALUE"""),4.41)</f>
        <v>4.41</v>
      </c>
      <c r="K184" s="17"/>
      <c r="N184" s="17"/>
    </row>
    <row r="185">
      <c r="B185" s="11">
        <f>IFERROR(__xludf.DUMMYFUNCTION("""COMPUTED_VALUE"""),45768.0)</f>
        <v>45768</v>
      </c>
      <c r="C185" s="9">
        <f>IFERROR(__xludf.DUMMYFUNCTION("""COMPUTED_VALUE"""),4.42)</f>
        <v>4.42</v>
      </c>
      <c r="E185" s="40">
        <f>IFERROR(__xludf.DUMMYFUNCTION("""COMPUTED_VALUE"""),45768.0)</f>
        <v>45768</v>
      </c>
      <c r="F185" s="9">
        <f>IFERROR(__xludf.DUMMYFUNCTION("""COMPUTED_VALUE"""),4.42)</f>
        <v>4.42</v>
      </c>
      <c r="H185" s="17">
        <f>IFERROR(__xludf.DUMMYFUNCTION("""COMPUTED_VALUE"""),45768.0)</f>
        <v>45768</v>
      </c>
      <c r="I185" s="9">
        <f>IFERROR(__xludf.DUMMYFUNCTION("""COMPUTED_VALUE"""),4.42)</f>
        <v>4.42</v>
      </c>
      <c r="K185" s="17"/>
      <c r="N185" s="17"/>
    </row>
    <row r="186">
      <c r="B186" s="11">
        <f>IFERROR(__xludf.DUMMYFUNCTION("""COMPUTED_VALUE"""),45765.0)</f>
        <v>45765</v>
      </c>
      <c r="C186" s="9"/>
      <c r="E186" s="40">
        <f>IFERROR(__xludf.DUMMYFUNCTION("""COMPUTED_VALUE"""),45765.0)</f>
        <v>45765</v>
      </c>
      <c r="F186" s="9"/>
      <c r="H186" s="17">
        <f>IFERROR(__xludf.DUMMYFUNCTION("""COMPUTED_VALUE"""),45765.0)</f>
        <v>45765</v>
      </c>
      <c r="I186" s="9"/>
      <c r="K186" s="17"/>
      <c r="N186" s="17"/>
    </row>
    <row r="187">
      <c r="B187" s="11">
        <f>IFERROR(__xludf.DUMMYFUNCTION("""COMPUTED_VALUE"""),45764.0)</f>
        <v>45764</v>
      </c>
      <c r="C187" s="9">
        <f>IFERROR(__xludf.DUMMYFUNCTION("""COMPUTED_VALUE"""),4.34)</f>
        <v>4.34</v>
      </c>
      <c r="E187" s="40">
        <f>IFERROR(__xludf.DUMMYFUNCTION("""COMPUTED_VALUE"""),45764.0)</f>
        <v>45764</v>
      </c>
      <c r="F187" s="9">
        <f>IFERROR(__xludf.DUMMYFUNCTION("""COMPUTED_VALUE"""),4.34)</f>
        <v>4.34</v>
      </c>
      <c r="H187" s="17">
        <f>IFERROR(__xludf.DUMMYFUNCTION("""COMPUTED_VALUE"""),45764.0)</f>
        <v>45764</v>
      </c>
      <c r="I187" s="9">
        <f>IFERROR(__xludf.DUMMYFUNCTION("""COMPUTED_VALUE"""),4.34)</f>
        <v>4.34</v>
      </c>
      <c r="K187" s="17"/>
      <c r="N187" s="17"/>
    </row>
    <row r="188">
      <c r="B188" s="11">
        <f>IFERROR(__xludf.DUMMYFUNCTION("""COMPUTED_VALUE"""),45763.0)</f>
        <v>45763</v>
      </c>
      <c r="C188" s="9">
        <f>IFERROR(__xludf.DUMMYFUNCTION("""COMPUTED_VALUE"""),4.29)</f>
        <v>4.29</v>
      </c>
      <c r="E188" s="40">
        <f>IFERROR(__xludf.DUMMYFUNCTION("""COMPUTED_VALUE"""),45763.0)</f>
        <v>45763</v>
      </c>
      <c r="F188" s="9">
        <f>IFERROR(__xludf.DUMMYFUNCTION("""COMPUTED_VALUE"""),4.29)</f>
        <v>4.29</v>
      </c>
      <c r="H188" s="17">
        <f>IFERROR(__xludf.DUMMYFUNCTION("""COMPUTED_VALUE"""),45763.0)</f>
        <v>45763</v>
      </c>
      <c r="I188" s="9">
        <f>IFERROR(__xludf.DUMMYFUNCTION("""COMPUTED_VALUE"""),4.29)</f>
        <v>4.29</v>
      </c>
      <c r="K188" s="17"/>
      <c r="N188" s="17"/>
    </row>
    <row r="189">
      <c r="B189" s="11">
        <f>IFERROR(__xludf.DUMMYFUNCTION("""COMPUTED_VALUE"""),45762.0)</f>
        <v>45762</v>
      </c>
      <c r="C189" s="9">
        <f>IFERROR(__xludf.DUMMYFUNCTION("""COMPUTED_VALUE"""),4.35)</f>
        <v>4.35</v>
      </c>
      <c r="E189" s="40">
        <f>IFERROR(__xludf.DUMMYFUNCTION("""COMPUTED_VALUE"""),45762.0)</f>
        <v>45762</v>
      </c>
      <c r="F189" s="9">
        <f>IFERROR(__xludf.DUMMYFUNCTION("""COMPUTED_VALUE"""),4.35)</f>
        <v>4.35</v>
      </c>
      <c r="H189" s="17">
        <f>IFERROR(__xludf.DUMMYFUNCTION("""COMPUTED_VALUE"""),45762.0)</f>
        <v>45762</v>
      </c>
      <c r="I189" s="9">
        <f>IFERROR(__xludf.DUMMYFUNCTION("""COMPUTED_VALUE"""),4.35)</f>
        <v>4.35</v>
      </c>
      <c r="K189" s="17"/>
      <c r="N189" s="17"/>
    </row>
    <row r="190">
      <c r="B190" s="11">
        <f>IFERROR(__xludf.DUMMYFUNCTION("""COMPUTED_VALUE"""),45761.0)</f>
        <v>45761</v>
      </c>
      <c r="C190" s="9">
        <f>IFERROR(__xludf.DUMMYFUNCTION("""COMPUTED_VALUE"""),4.38)</f>
        <v>4.38</v>
      </c>
      <c r="E190" s="40">
        <f>IFERROR(__xludf.DUMMYFUNCTION("""COMPUTED_VALUE"""),45761.0)</f>
        <v>45761</v>
      </c>
      <c r="F190" s="9">
        <f>IFERROR(__xludf.DUMMYFUNCTION("""COMPUTED_VALUE"""),4.38)</f>
        <v>4.38</v>
      </c>
      <c r="H190" s="17">
        <f>IFERROR(__xludf.DUMMYFUNCTION("""COMPUTED_VALUE"""),45761.0)</f>
        <v>45761</v>
      </c>
      <c r="I190" s="9">
        <f>IFERROR(__xludf.DUMMYFUNCTION("""COMPUTED_VALUE"""),4.38)</f>
        <v>4.38</v>
      </c>
      <c r="K190" s="17"/>
      <c r="N190" s="17"/>
    </row>
    <row r="191">
      <c r="B191" s="11">
        <f>IFERROR(__xludf.DUMMYFUNCTION("""COMPUTED_VALUE"""),45758.0)</f>
        <v>45758</v>
      </c>
      <c r="C191" s="9">
        <f>IFERROR(__xludf.DUMMYFUNCTION("""COMPUTED_VALUE"""),4.48)</f>
        <v>4.48</v>
      </c>
      <c r="E191" s="40">
        <f>IFERROR(__xludf.DUMMYFUNCTION("""COMPUTED_VALUE"""),45758.0)</f>
        <v>45758</v>
      </c>
      <c r="F191" s="9">
        <f>IFERROR(__xludf.DUMMYFUNCTION("""COMPUTED_VALUE"""),4.48)</f>
        <v>4.48</v>
      </c>
      <c r="H191" s="17">
        <f>IFERROR(__xludf.DUMMYFUNCTION("""COMPUTED_VALUE"""),45758.0)</f>
        <v>45758</v>
      </c>
      <c r="I191" s="9">
        <f>IFERROR(__xludf.DUMMYFUNCTION("""COMPUTED_VALUE"""),4.48)</f>
        <v>4.48</v>
      </c>
      <c r="K191" s="17"/>
      <c r="N191" s="17"/>
    </row>
    <row r="192">
      <c r="B192" s="11">
        <f>IFERROR(__xludf.DUMMYFUNCTION("""COMPUTED_VALUE"""),45757.0)</f>
        <v>45757</v>
      </c>
      <c r="C192" s="9">
        <f>IFERROR(__xludf.DUMMYFUNCTION("""COMPUTED_VALUE"""),4.4)</f>
        <v>4.4</v>
      </c>
      <c r="E192" s="40">
        <f>IFERROR(__xludf.DUMMYFUNCTION("""COMPUTED_VALUE"""),45757.0)</f>
        <v>45757</v>
      </c>
      <c r="F192" s="9">
        <f>IFERROR(__xludf.DUMMYFUNCTION("""COMPUTED_VALUE"""),4.4)</f>
        <v>4.4</v>
      </c>
      <c r="H192" s="17">
        <f>IFERROR(__xludf.DUMMYFUNCTION("""COMPUTED_VALUE"""),45757.0)</f>
        <v>45757</v>
      </c>
      <c r="I192" s="9">
        <f>IFERROR(__xludf.DUMMYFUNCTION("""COMPUTED_VALUE"""),4.4)</f>
        <v>4.4</v>
      </c>
      <c r="K192" s="17"/>
      <c r="N192" s="17"/>
    </row>
    <row r="193">
      <c r="B193" s="11">
        <f>IFERROR(__xludf.DUMMYFUNCTION("""COMPUTED_VALUE"""),45756.0)</f>
        <v>45756</v>
      </c>
      <c r="C193" s="9">
        <f>IFERROR(__xludf.DUMMYFUNCTION("""COMPUTED_VALUE"""),4.34)</f>
        <v>4.34</v>
      </c>
      <c r="E193" s="40">
        <f>IFERROR(__xludf.DUMMYFUNCTION("""COMPUTED_VALUE"""),45756.0)</f>
        <v>45756</v>
      </c>
      <c r="F193" s="9">
        <f>IFERROR(__xludf.DUMMYFUNCTION("""COMPUTED_VALUE"""),4.34)</f>
        <v>4.34</v>
      </c>
      <c r="H193" s="17">
        <f>IFERROR(__xludf.DUMMYFUNCTION("""COMPUTED_VALUE"""),45756.0)</f>
        <v>45756</v>
      </c>
      <c r="I193" s="9">
        <f>IFERROR(__xludf.DUMMYFUNCTION("""COMPUTED_VALUE"""),4.34)</f>
        <v>4.34</v>
      </c>
      <c r="K193" s="17"/>
      <c r="N193" s="17"/>
    </row>
    <row r="194">
      <c r="B194" s="11">
        <f>IFERROR(__xludf.DUMMYFUNCTION("""COMPUTED_VALUE"""),45755.0)</f>
        <v>45755</v>
      </c>
      <c r="C194" s="9">
        <f>IFERROR(__xludf.DUMMYFUNCTION("""COMPUTED_VALUE"""),4.26)</f>
        <v>4.26</v>
      </c>
      <c r="E194" s="40">
        <f>IFERROR(__xludf.DUMMYFUNCTION("""COMPUTED_VALUE"""),45755.0)</f>
        <v>45755</v>
      </c>
      <c r="F194" s="9">
        <f>IFERROR(__xludf.DUMMYFUNCTION("""COMPUTED_VALUE"""),4.26)</f>
        <v>4.26</v>
      </c>
      <c r="H194" s="17">
        <f>IFERROR(__xludf.DUMMYFUNCTION("""COMPUTED_VALUE"""),45755.0)</f>
        <v>45755</v>
      </c>
      <c r="I194" s="9">
        <f>IFERROR(__xludf.DUMMYFUNCTION("""COMPUTED_VALUE"""),4.26)</f>
        <v>4.26</v>
      </c>
      <c r="K194" s="17"/>
      <c r="N194" s="17"/>
    </row>
    <row r="195">
      <c r="B195" s="11">
        <f>IFERROR(__xludf.DUMMYFUNCTION("""COMPUTED_VALUE"""),45754.0)</f>
        <v>45754</v>
      </c>
      <c r="C195" s="9">
        <f>IFERROR(__xludf.DUMMYFUNCTION("""COMPUTED_VALUE"""),4.15)</f>
        <v>4.15</v>
      </c>
      <c r="E195" s="40">
        <f>IFERROR(__xludf.DUMMYFUNCTION("""COMPUTED_VALUE"""),45754.0)</f>
        <v>45754</v>
      </c>
      <c r="F195" s="9">
        <f>IFERROR(__xludf.DUMMYFUNCTION("""COMPUTED_VALUE"""),4.15)</f>
        <v>4.15</v>
      </c>
      <c r="H195" s="17">
        <f>IFERROR(__xludf.DUMMYFUNCTION("""COMPUTED_VALUE"""),45754.0)</f>
        <v>45754</v>
      </c>
      <c r="I195" s="9">
        <f>IFERROR(__xludf.DUMMYFUNCTION("""COMPUTED_VALUE"""),4.15)</f>
        <v>4.15</v>
      </c>
      <c r="K195" s="17"/>
      <c r="N195" s="17"/>
    </row>
    <row r="196">
      <c r="B196" s="11">
        <f>IFERROR(__xludf.DUMMYFUNCTION("""COMPUTED_VALUE"""),45751.0)</f>
        <v>45751</v>
      </c>
      <c r="C196" s="9">
        <f>IFERROR(__xludf.DUMMYFUNCTION("""COMPUTED_VALUE"""),4.01)</f>
        <v>4.01</v>
      </c>
      <c r="E196" s="40">
        <f>IFERROR(__xludf.DUMMYFUNCTION("""COMPUTED_VALUE"""),45751.0)</f>
        <v>45751</v>
      </c>
      <c r="F196" s="9">
        <f>IFERROR(__xludf.DUMMYFUNCTION("""COMPUTED_VALUE"""),4.01)</f>
        <v>4.01</v>
      </c>
      <c r="H196" s="17">
        <f>IFERROR(__xludf.DUMMYFUNCTION("""COMPUTED_VALUE"""),45751.0)</f>
        <v>45751</v>
      </c>
      <c r="I196" s="9">
        <f>IFERROR(__xludf.DUMMYFUNCTION("""COMPUTED_VALUE"""),4.01)</f>
        <v>4.01</v>
      </c>
      <c r="K196" s="17"/>
      <c r="N196" s="17"/>
    </row>
    <row r="197">
      <c r="B197" s="11">
        <f>IFERROR(__xludf.DUMMYFUNCTION("""COMPUTED_VALUE"""),45750.0)</f>
        <v>45750</v>
      </c>
      <c r="C197" s="9">
        <f>IFERROR(__xludf.DUMMYFUNCTION("""COMPUTED_VALUE"""),4.06)</f>
        <v>4.06</v>
      </c>
      <c r="E197" s="40">
        <f>IFERROR(__xludf.DUMMYFUNCTION("""COMPUTED_VALUE"""),45750.0)</f>
        <v>45750</v>
      </c>
      <c r="F197" s="9">
        <f>IFERROR(__xludf.DUMMYFUNCTION("""COMPUTED_VALUE"""),4.06)</f>
        <v>4.06</v>
      </c>
      <c r="H197" s="17">
        <f>IFERROR(__xludf.DUMMYFUNCTION("""COMPUTED_VALUE"""),45750.0)</f>
        <v>45750</v>
      </c>
      <c r="I197" s="9">
        <f>IFERROR(__xludf.DUMMYFUNCTION("""COMPUTED_VALUE"""),4.06)</f>
        <v>4.06</v>
      </c>
      <c r="K197" s="17"/>
      <c r="N197" s="17"/>
    </row>
    <row r="198">
      <c r="B198" s="11">
        <f>IFERROR(__xludf.DUMMYFUNCTION("""COMPUTED_VALUE"""),45749.0)</f>
        <v>45749</v>
      </c>
      <c r="C198" s="9">
        <f>IFERROR(__xludf.DUMMYFUNCTION("""COMPUTED_VALUE"""),4.2)</f>
        <v>4.2</v>
      </c>
      <c r="E198" s="40">
        <f>IFERROR(__xludf.DUMMYFUNCTION("""COMPUTED_VALUE"""),45749.0)</f>
        <v>45749</v>
      </c>
      <c r="F198" s="9">
        <f>IFERROR(__xludf.DUMMYFUNCTION("""COMPUTED_VALUE"""),4.2)</f>
        <v>4.2</v>
      </c>
      <c r="H198" s="17">
        <f>IFERROR(__xludf.DUMMYFUNCTION("""COMPUTED_VALUE"""),45749.0)</f>
        <v>45749</v>
      </c>
      <c r="I198" s="9">
        <f>IFERROR(__xludf.DUMMYFUNCTION("""COMPUTED_VALUE"""),4.2)</f>
        <v>4.2</v>
      </c>
      <c r="K198" s="17"/>
      <c r="N198" s="17"/>
    </row>
    <row r="199">
      <c r="B199" s="11">
        <f>IFERROR(__xludf.DUMMYFUNCTION("""COMPUTED_VALUE"""),45748.0)</f>
        <v>45748</v>
      </c>
      <c r="C199" s="9">
        <f>IFERROR(__xludf.DUMMYFUNCTION("""COMPUTED_VALUE"""),4.17)</f>
        <v>4.17</v>
      </c>
      <c r="E199" s="40">
        <f>IFERROR(__xludf.DUMMYFUNCTION("""COMPUTED_VALUE"""),45748.0)</f>
        <v>45748</v>
      </c>
      <c r="F199" s="9">
        <f>IFERROR(__xludf.DUMMYFUNCTION("""COMPUTED_VALUE"""),4.17)</f>
        <v>4.17</v>
      </c>
      <c r="H199" s="17">
        <f>IFERROR(__xludf.DUMMYFUNCTION("""COMPUTED_VALUE"""),45748.0)</f>
        <v>45748</v>
      </c>
      <c r="I199" s="9">
        <f>IFERROR(__xludf.DUMMYFUNCTION("""COMPUTED_VALUE"""),4.17)</f>
        <v>4.17</v>
      </c>
      <c r="K199" s="17"/>
      <c r="N199" s="17"/>
    </row>
    <row r="200">
      <c r="B200" s="11">
        <f>IFERROR(__xludf.DUMMYFUNCTION("""COMPUTED_VALUE"""),45747.0)</f>
        <v>45747</v>
      </c>
      <c r="C200" s="9">
        <f>IFERROR(__xludf.DUMMYFUNCTION("""COMPUTED_VALUE"""),4.23)</f>
        <v>4.23</v>
      </c>
      <c r="E200" s="40">
        <f>IFERROR(__xludf.DUMMYFUNCTION("""COMPUTED_VALUE"""),45747.0)</f>
        <v>45747</v>
      </c>
      <c r="F200" s="9">
        <f>IFERROR(__xludf.DUMMYFUNCTION("""COMPUTED_VALUE"""),4.23)</f>
        <v>4.23</v>
      </c>
      <c r="H200" s="17">
        <f>IFERROR(__xludf.DUMMYFUNCTION("""COMPUTED_VALUE"""),45747.0)</f>
        <v>45747</v>
      </c>
      <c r="I200" s="9">
        <f>IFERROR(__xludf.DUMMYFUNCTION("""COMPUTED_VALUE"""),4.23)</f>
        <v>4.23</v>
      </c>
      <c r="K200" s="17"/>
      <c r="N200" s="17"/>
    </row>
    <row r="201">
      <c r="B201" s="11">
        <f>IFERROR(__xludf.DUMMYFUNCTION("""COMPUTED_VALUE"""),45744.0)</f>
        <v>45744</v>
      </c>
      <c r="C201" s="9">
        <f>IFERROR(__xludf.DUMMYFUNCTION("""COMPUTED_VALUE"""),4.27)</f>
        <v>4.27</v>
      </c>
      <c r="E201" s="40">
        <f>IFERROR(__xludf.DUMMYFUNCTION("""COMPUTED_VALUE"""),45744.0)</f>
        <v>45744</v>
      </c>
      <c r="F201" s="9">
        <f>IFERROR(__xludf.DUMMYFUNCTION("""COMPUTED_VALUE"""),4.27)</f>
        <v>4.27</v>
      </c>
      <c r="H201" s="17">
        <f>IFERROR(__xludf.DUMMYFUNCTION("""COMPUTED_VALUE"""),45744.0)</f>
        <v>45744</v>
      </c>
      <c r="I201" s="9">
        <f>IFERROR(__xludf.DUMMYFUNCTION("""COMPUTED_VALUE"""),4.27)</f>
        <v>4.27</v>
      </c>
      <c r="K201" s="17"/>
      <c r="N201" s="17"/>
    </row>
    <row r="202">
      <c r="B202" s="11">
        <f>IFERROR(__xludf.DUMMYFUNCTION("""COMPUTED_VALUE"""),45743.0)</f>
        <v>45743</v>
      </c>
      <c r="C202" s="9">
        <f>IFERROR(__xludf.DUMMYFUNCTION("""COMPUTED_VALUE"""),4.38)</f>
        <v>4.38</v>
      </c>
      <c r="E202" s="40">
        <f>IFERROR(__xludf.DUMMYFUNCTION("""COMPUTED_VALUE"""),45743.0)</f>
        <v>45743</v>
      </c>
      <c r="F202" s="9">
        <f>IFERROR(__xludf.DUMMYFUNCTION("""COMPUTED_VALUE"""),4.38)</f>
        <v>4.38</v>
      </c>
      <c r="H202" s="17">
        <f>IFERROR(__xludf.DUMMYFUNCTION("""COMPUTED_VALUE"""),45743.0)</f>
        <v>45743</v>
      </c>
      <c r="I202" s="9">
        <f>IFERROR(__xludf.DUMMYFUNCTION("""COMPUTED_VALUE"""),4.38)</f>
        <v>4.38</v>
      </c>
      <c r="K202" s="17"/>
      <c r="N202" s="17"/>
    </row>
    <row r="203">
      <c r="B203" s="11">
        <f>IFERROR(__xludf.DUMMYFUNCTION("""COMPUTED_VALUE"""),45742.0)</f>
        <v>45742</v>
      </c>
      <c r="C203" s="9">
        <f>IFERROR(__xludf.DUMMYFUNCTION("""COMPUTED_VALUE"""),4.35)</f>
        <v>4.35</v>
      </c>
      <c r="E203" s="40">
        <f>IFERROR(__xludf.DUMMYFUNCTION("""COMPUTED_VALUE"""),45742.0)</f>
        <v>45742</v>
      </c>
      <c r="F203" s="9">
        <f>IFERROR(__xludf.DUMMYFUNCTION("""COMPUTED_VALUE"""),4.35)</f>
        <v>4.35</v>
      </c>
      <c r="H203" s="17">
        <f>IFERROR(__xludf.DUMMYFUNCTION("""COMPUTED_VALUE"""),45742.0)</f>
        <v>45742</v>
      </c>
      <c r="I203" s="9">
        <f>IFERROR(__xludf.DUMMYFUNCTION("""COMPUTED_VALUE"""),4.35)</f>
        <v>4.35</v>
      </c>
      <c r="K203" s="17"/>
      <c r="N203" s="17"/>
    </row>
    <row r="204">
      <c r="B204" s="11">
        <f>IFERROR(__xludf.DUMMYFUNCTION("""COMPUTED_VALUE"""),45741.0)</f>
        <v>45741</v>
      </c>
      <c r="C204" s="9">
        <f>IFERROR(__xludf.DUMMYFUNCTION("""COMPUTED_VALUE"""),4.31)</f>
        <v>4.31</v>
      </c>
      <c r="E204" s="40">
        <f>IFERROR(__xludf.DUMMYFUNCTION("""COMPUTED_VALUE"""),45741.0)</f>
        <v>45741</v>
      </c>
      <c r="F204" s="9">
        <f>IFERROR(__xludf.DUMMYFUNCTION("""COMPUTED_VALUE"""),4.31)</f>
        <v>4.31</v>
      </c>
      <c r="H204" s="17">
        <f>IFERROR(__xludf.DUMMYFUNCTION("""COMPUTED_VALUE"""),45741.0)</f>
        <v>45741</v>
      </c>
      <c r="I204" s="9">
        <f>IFERROR(__xludf.DUMMYFUNCTION("""COMPUTED_VALUE"""),4.31)</f>
        <v>4.31</v>
      </c>
      <c r="K204" s="17"/>
      <c r="N204" s="17"/>
    </row>
    <row r="205">
      <c r="B205" s="11">
        <f>IFERROR(__xludf.DUMMYFUNCTION("""COMPUTED_VALUE"""),45740.0)</f>
        <v>45740</v>
      </c>
      <c r="C205" s="9">
        <f>IFERROR(__xludf.DUMMYFUNCTION("""COMPUTED_VALUE"""),4.34)</f>
        <v>4.34</v>
      </c>
      <c r="E205" s="40">
        <f>IFERROR(__xludf.DUMMYFUNCTION("""COMPUTED_VALUE"""),45740.0)</f>
        <v>45740</v>
      </c>
      <c r="F205" s="9">
        <f>IFERROR(__xludf.DUMMYFUNCTION("""COMPUTED_VALUE"""),4.34)</f>
        <v>4.34</v>
      </c>
      <c r="H205" s="17">
        <f>IFERROR(__xludf.DUMMYFUNCTION("""COMPUTED_VALUE"""),45740.0)</f>
        <v>45740</v>
      </c>
      <c r="I205" s="9">
        <f>IFERROR(__xludf.DUMMYFUNCTION("""COMPUTED_VALUE"""),4.34)</f>
        <v>4.34</v>
      </c>
      <c r="K205" s="17"/>
      <c r="N205" s="17"/>
    </row>
    <row r="206">
      <c r="B206" s="11">
        <f>IFERROR(__xludf.DUMMYFUNCTION("""COMPUTED_VALUE"""),45737.0)</f>
        <v>45737</v>
      </c>
      <c r="C206" s="9">
        <f>IFERROR(__xludf.DUMMYFUNCTION("""COMPUTED_VALUE"""),4.25)</f>
        <v>4.25</v>
      </c>
      <c r="E206" s="40">
        <f>IFERROR(__xludf.DUMMYFUNCTION("""COMPUTED_VALUE"""),45737.0)</f>
        <v>45737</v>
      </c>
      <c r="F206" s="9">
        <f>IFERROR(__xludf.DUMMYFUNCTION("""COMPUTED_VALUE"""),4.25)</f>
        <v>4.25</v>
      </c>
      <c r="H206" s="17">
        <f>IFERROR(__xludf.DUMMYFUNCTION("""COMPUTED_VALUE"""),45737.0)</f>
        <v>45737</v>
      </c>
      <c r="I206" s="9">
        <f>IFERROR(__xludf.DUMMYFUNCTION("""COMPUTED_VALUE"""),4.25)</f>
        <v>4.25</v>
      </c>
      <c r="K206" s="17"/>
      <c r="N206" s="17"/>
    </row>
    <row r="207">
      <c r="B207" s="11">
        <f>IFERROR(__xludf.DUMMYFUNCTION("""COMPUTED_VALUE"""),45736.0)</f>
        <v>45736</v>
      </c>
      <c r="C207" s="9">
        <f>IFERROR(__xludf.DUMMYFUNCTION("""COMPUTED_VALUE"""),4.24)</f>
        <v>4.24</v>
      </c>
      <c r="E207" s="40">
        <f>IFERROR(__xludf.DUMMYFUNCTION("""COMPUTED_VALUE"""),45736.0)</f>
        <v>45736</v>
      </c>
      <c r="F207" s="9">
        <f>IFERROR(__xludf.DUMMYFUNCTION("""COMPUTED_VALUE"""),4.24)</f>
        <v>4.24</v>
      </c>
      <c r="H207" s="17">
        <f>IFERROR(__xludf.DUMMYFUNCTION("""COMPUTED_VALUE"""),45736.0)</f>
        <v>45736</v>
      </c>
      <c r="I207" s="9">
        <f>IFERROR(__xludf.DUMMYFUNCTION("""COMPUTED_VALUE"""),4.24)</f>
        <v>4.24</v>
      </c>
      <c r="K207" s="17"/>
      <c r="N207" s="17"/>
    </row>
    <row r="208">
      <c r="B208" s="11">
        <f>IFERROR(__xludf.DUMMYFUNCTION("""COMPUTED_VALUE"""),45735.0)</f>
        <v>45735</v>
      </c>
      <c r="C208" s="9">
        <f>IFERROR(__xludf.DUMMYFUNCTION("""COMPUTED_VALUE"""),4.25)</f>
        <v>4.25</v>
      </c>
      <c r="E208" s="40">
        <f>IFERROR(__xludf.DUMMYFUNCTION("""COMPUTED_VALUE"""),45735.0)</f>
        <v>45735</v>
      </c>
      <c r="F208" s="9">
        <f>IFERROR(__xludf.DUMMYFUNCTION("""COMPUTED_VALUE"""),4.25)</f>
        <v>4.25</v>
      </c>
      <c r="H208" s="17">
        <f>IFERROR(__xludf.DUMMYFUNCTION("""COMPUTED_VALUE"""),45735.0)</f>
        <v>45735</v>
      </c>
      <c r="I208" s="9">
        <f>IFERROR(__xludf.DUMMYFUNCTION("""COMPUTED_VALUE"""),4.25)</f>
        <v>4.25</v>
      </c>
      <c r="K208" s="17"/>
      <c r="N208" s="17"/>
    </row>
    <row r="209">
      <c r="B209" s="11">
        <f>IFERROR(__xludf.DUMMYFUNCTION("""COMPUTED_VALUE"""),45734.0)</f>
        <v>45734</v>
      </c>
      <c r="C209" s="9">
        <f>IFERROR(__xludf.DUMMYFUNCTION("""COMPUTED_VALUE"""),4.29)</f>
        <v>4.29</v>
      </c>
      <c r="E209" s="40">
        <f>IFERROR(__xludf.DUMMYFUNCTION("""COMPUTED_VALUE"""),45734.0)</f>
        <v>45734</v>
      </c>
      <c r="F209" s="9">
        <f>IFERROR(__xludf.DUMMYFUNCTION("""COMPUTED_VALUE"""),4.29)</f>
        <v>4.29</v>
      </c>
      <c r="H209" s="17">
        <f>IFERROR(__xludf.DUMMYFUNCTION("""COMPUTED_VALUE"""),45734.0)</f>
        <v>45734</v>
      </c>
      <c r="I209" s="9">
        <f>IFERROR(__xludf.DUMMYFUNCTION("""COMPUTED_VALUE"""),4.29)</f>
        <v>4.29</v>
      </c>
      <c r="K209" s="17"/>
      <c r="N209" s="17"/>
    </row>
    <row r="210">
      <c r="B210" s="11">
        <f>IFERROR(__xludf.DUMMYFUNCTION("""COMPUTED_VALUE"""),45733.0)</f>
        <v>45733</v>
      </c>
      <c r="C210" s="9">
        <f>IFERROR(__xludf.DUMMYFUNCTION("""COMPUTED_VALUE"""),4.31)</f>
        <v>4.31</v>
      </c>
      <c r="E210" s="40">
        <f>IFERROR(__xludf.DUMMYFUNCTION("""COMPUTED_VALUE"""),45733.0)</f>
        <v>45733</v>
      </c>
      <c r="F210" s="9">
        <f>IFERROR(__xludf.DUMMYFUNCTION("""COMPUTED_VALUE"""),4.31)</f>
        <v>4.31</v>
      </c>
      <c r="H210" s="17">
        <f>IFERROR(__xludf.DUMMYFUNCTION("""COMPUTED_VALUE"""),45733.0)</f>
        <v>45733</v>
      </c>
      <c r="I210" s="9">
        <f>IFERROR(__xludf.DUMMYFUNCTION("""COMPUTED_VALUE"""),4.31)</f>
        <v>4.31</v>
      </c>
      <c r="K210" s="17"/>
      <c r="N210" s="17"/>
    </row>
    <row r="211">
      <c r="B211" s="11">
        <f>IFERROR(__xludf.DUMMYFUNCTION("""COMPUTED_VALUE"""),45730.0)</f>
        <v>45730</v>
      </c>
      <c r="C211" s="9">
        <f>IFERROR(__xludf.DUMMYFUNCTION("""COMPUTED_VALUE"""),4.31)</f>
        <v>4.31</v>
      </c>
      <c r="E211" s="40">
        <f>IFERROR(__xludf.DUMMYFUNCTION("""COMPUTED_VALUE"""),45730.0)</f>
        <v>45730</v>
      </c>
      <c r="F211" s="9">
        <f>IFERROR(__xludf.DUMMYFUNCTION("""COMPUTED_VALUE"""),4.31)</f>
        <v>4.31</v>
      </c>
      <c r="H211" s="17">
        <f>IFERROR(__xludf.DUMMYFUNCTION("""COMPUTED_VALUE"""),45730.0)</f>
        <v>45730</v>
      </c>
      <c r="I211" s="9">
        <f>IFERROR(__xludf.DUMMYFUNCTION("""COMPUTED_VALUE"""),4.31)</f>
        <v>4.31</v>
      </c>
      <c r="K211" s="17"/>
      <c r="N211" s="17"/>
    </row>
    <row r="212">
      <c r="B212" s="11">
        <f>IFERROR(__xludf.DUMMYFUNCTION("""COMPUTED_VALUE"""),45729.0)</f>
        <v>45729</v>
      </c>
      <c r="C212" s="9">
        <f>IFERROR(__xludf.DUMMYFUNCTION("""COMPUTED_VALUE"""),4.27)</f>
        <v>4.27</v>
      </c>
      <c r="E212" s="40">
        <f>IFERROR(__xludf.DUMMYFUNCTION("""COMPUTED_VALUE"""),45729.0)</f>
        <v>45729</v>
      </c>
      <c r="F212" s="9">
        <f>IFERROR(__xludf.DUMMYFUNCTION("""COMPUTED_VALUE"""),4.27)</f>
        <v>4.27</v>
      </c>
      <c r="H212" s="17">
        <f>IFERROR(__xludf.DUMMYFUNCTION("""COMPUTED_VALUE"""),45729.0)</f>
        <v>45729</v>
      </c>
      <c r="I212" s="9">
        <f>IFERROR(__xludf.DUMMYFUNCTION("""COMPUTED_VALUE"""),4.27)</f>
        <v>4.27</v>
      </c>
      <c r="K212" s="17"/>
      <c r="N212" s="17"/>
    </row>
    <row r="213">
      <c r="B213" s="11">
        <f>IFERROR(__xludf.DUMMYFUNCTION("""COMPUTED_VALUE"""),45728.0)</f>
        <v>45728</v>
      </c>
      <c r="C213" s="9">
        <f>IFERROR(__xludf.DUMMYFUNCTION("""COMPUTED_VALUE"""),4.32)</f>
        <v>4.32</v>
      </c>
      <c r="E213" s="40">
        <f>IFERROR(__xludf.DUMMYFUNCTION("""COMPUTED_VALUE"""),45728.0)</f>
        <v>45728</v>
      </c>
      <c r="F213" s="9">
        <f>IFERROR(__xludf.DUMMYFUNCTION("""COMPUTED_VALUE"""),4.32)</f>
        <v>4.32</v>
      </c>
      <c r="H213" s="17">
        <f>IFERROR(__xludf.DUMMYFUNCTION("""COMPUTED_VALUE"""),45728.0)</f>
        <v>45728</v>
      </c>
      <c r="I213" s="9">
        <f>IFERROR(__xludf.DUMMYFUNCTION("""COMPUTED_VALUE"""),4.32)</f>
        <v>4.32</v>
      </c>
      <c r="K213" s="17"/>
      <c r="N213" s="17"/>
    </row>
    <row r="214">
      <c r="B214" s="11">
        <f>IFERROR(__xludf.DUMMYFUNCTION("""COMPUTED_VALUE"""),45727.0)</f>
        <v>45727</v>
      </c>
      <c r="C214" s="9">
        <f>IFERROR(__xludf.DUMMYFUNCTION("""COMPUTED_VALUE"""),4.28)</f>
        <v>4.28</v>
      </c>
      <c r="E214" s="40">
        <f>IFERROR(__xludf.DUMMYFUNCTION("""COMPUTED_VALUE"""),45727.0)</f>
        <v>45727</v>
      </c>
      <c r="F214" s="9">
        <f>IFERROR(__xludf.DUMMYFUNCTION("""COMPUTED_VALUE"""),4.28)</f>
        <v>4.28</v>
      </c>
      <c r="H214" s="17">
        <f>IFERROR(__xludf.DUMMYFUNCTION("""COMPUTED_VALUE"""),45727.0)</f>
        <v>45727</v>
      </c>
      <c r="I214" s="9">
        <f>IFERROR(__xludf.DUMMYFUNCTION("""COMPUTED_VALUE"""),4.28)</f>
        <v>4.28</v>
      </c>
      <c r="K214" s="17"/>
      <c r="N214" s="17"/>
    </row>
    <row r="215">
      <c r="B215" s="11">
        <f>IFERROR(__xludf.DUMMYFUNCTION("""COMPUTED_VALUE"""),45726.0)</f>
        <v>45726</v>
      </c>
      <c r="C215" s="9">
        <f>IFERROR(__xludf.DUMMYFUNCTION("""COMPUTED_VALUE"""),4.22)</f>
        <v>4.22</v>
      </c>
      <c r="E215" s="40">
        <f>IFERROR(__xludf.DUMMYFUNCTION("""COMPUTED_VALUE"""),45726.0)</f>
        <v>45726</v>
      </c>
      <c r="F215" s="9">
        <f>IFERROR(__xludf.DUMMYFUNCTION("""COMPUTED_VALUE"""),4.22)</f>
        <v>4.22</v>
      </c>
      <c r="H215" s="17">
        <f>IFERROR(__xludf.DUMMYFUNCTION("""COMPUTED_VALUE"""),45726.0)</f>
        <v>45726</v>
      </c>
      <c r="I215" s="9">
        <f>IFERROR(__xludf.DUMMYFUNCTION("""COMPUTED_VALUE"""),4.22)</f>
        <v>4.22</v>
      </c>
      <c r="K215" s="17"/>
      <c r="N215" s="17"/>
    </row>
    <row r="216">
      <c r="B216" s="11">
        <f>IFERROR(__xludf.DUMMYFUNCTION("""COMPUTED_VALUE"""),45723.0)</f>
        <v>45723</v>
      </c>
      <c r="C216" s="9">
        <f>IFERROR(__xludf.DUMMYFUNCTION("""COMPUTED_VALUE"""),4.32)</f>
        <v>4.32</v>
      </c>
      <c r="E216" s="40">
        <f>IFERROR(__xludf.DUMMYFUNCTION("""COMPUTED_VALUE"""),45723.0)</f>
        <v>45723</v>
      </c>
      <c r="F216" s="9">
        <f>IFERROR(__xludf.DUMMYFUNCTION("""COMPUTED_VALUE"""),4.32)</f>
        <v>4.32</v>
      </c>
      <c r="H216" s="17">
        <f>IFERROR(__xludf.DUMMYFUNCTION("""COMPUTED_VALUE"""),45723.0)</f>
        <v>45723</v>
      </c>
      <c r="I216" s="9">
        <f>IFERROR(__xludf.DUMMYFUNCTION("""COMPUTED_VALUE"""),4.32)</f>
        <v>4.32</v>
      </c>
      <c r="K216" s="17"/>
      <c r="N216" s="17"/>
    </row>
    <row r="217">
      <c r="B217" s="11">
        <f>IFERROR(__xludf.DUMMYFUNCTION("""COMPUTED_VALUE"""),45722.0)</f>
        <v>45722</v>
      </c>
      <c r="C217" s="9">
        <f>IFERROR(__xludf.DUMMYFUNCTION("""COMPUTED_VALUE"""),4.29)</f>
        <v>4.29</v>
      </c>
      <c r="E217" s="40">
        <f>IFERROR(__xludf.DUMMYFUNCTION("""COMPUTED_VALUE"""),45722.0)</f>
        <v>45722</v>
      </c>
      <c r="F217" s="9">
        <f>IFERROR(__xludf.DUMMYFUNCTION("""COMPUTED_VALUE"""),4.29)</f>
        <v>4.29</v>
      </c>
      <c r="H217" s="17">
        <f>IFERROR(__xludf.DUMMYFUNCTION("""COMPUTED_VALUE"""),45722.0)</f>
        <v>45722</v>
      </c>
      <c r="I217" s="9">
        <f>IFERROR(__xludf.DUMMYFUNCTION("""COMPUTED_VALUE"""),4.29)</f>
        <v>4.29</v>
      </c>
      <c r="K217" s="17"/>
      <c r="N217" s="17"/>
    </row>
    <row r="218">
      <c r="B218" s="11">
        <f>IFERROR(__xludf.DUMMYFUNCTION("""COMPUTED_VALUE"""),45721.0)</f>
        <v>45721</v>
      </c>
      <c r="C218" s="9">
        <f>IFERROR(__xludf.DUMMYFUNCTION("""COMPUTED_VALUE"""),4.28)</f>
        <v>4.28</v>
      </c>
      <c r="E218" s="40">
        <f>IFERROR(__xludf.DUMMYFUNCTION("""COMPUTED_VALUE"""),45721.0)</f>
        <v>45721</v>
      </c>
      <c r="F218" s="9">
        <f>IFERROR(__xludf.DUMMYFUNCTION("""COMPUTED_VALUE"""),4.28)</f>
        <v>4.28</v>
      </c>
      <c r="H218" s="17">
        <f>IFERROR(__xludf.DUMMYFUNCTION("""COMPUTED_VALUE"""),45721.0)</f>
        <v>45721</v>
      </c>
      <c r="I218" s="9">
        <f>IFERROR(__xludf.DUMMYFUNCTION("""COMPUTED_VALUE"""),4.28)</f>
        <v>4.28</v>
      </c>
      <c r="K218" s="17"/>
      <c r="N218" s="17"/>
    </row>
    <row r="219">
      <c r="B219" s="11">
        <f>IFERROR(__xludf.DUMMYFUNCTION("""COMPUTED_VALUE"""),45720.0)</f>
        <v>45720</v>
      </c>
      <c r="C219" s="9">
        <f>IFERROR(__xludf.DUMMYFUNCTION("""COMPUTED_VALUE"""),4.22)</f>
        <v>4.22</v>
      </c>
      <c r="E219" s="40">
        <f>IFERROR(__xludf.DUMMYFUNCTION("""COMPUTED_VALUE"""),45720.0)</f>
        <v>45720</v>
      </c>
      <c r="F219" s="9">
        <f>IFERROR(__xludf.DUMMYFUNCTION("""COMPUTED_VALUE"""),4.22)</f>
        <v>4.22</v>
      </c>
      <c r="H219" s="17">
        <f>IFERROR(__xludf.DUMMYFUNCTION("""COMPUTED_VALUE"""),45720.0)</f>
        <v>45720</v>
      </c>
      <c r="I219" s="9">
        <f>IFERROR(__xludf.DUMMYFUNCTION("""COMPUTED_VALUE"""),4.22)</f>
        <v>4.22</v>
      </c>
      <c r="K219" s="17"/>
      <c r="N219" s="17"/>
    </row>
    <row r="220">
      <c r="B220" s="11">
        <f>IFERROR(__xludf.DUMMYFUNCTION("""COMPUTED_VALUE"""),45719.0)</f>
        <v>45719</v>
      </c>
      <c r="C220" s="9">
        <f>IFERROR(__xludf.DUMMYFUNCTION("""COMPUTED_VALUE"""),4.16)</f>
        <v>4.16</v>
      </c>
      <c r="E220" s="40">
        <f>IFERROR(__xludf.DUMMYFUNCTION("""COMPUTED_VALUE"""),45719.0)</f>
        <v>45719</v>
      </c>
      <c r="F220" s="9">
        <f>IFERROR(__xludf.DUMMYFUNCTION("""COMPUTED_VALUE"""),4.16)</f>
        <v>4.16</v>
      </c>
      <c r="H220" s="17">
        <f>IFERROR(__xludf.DUMMYFUNCTION("""COMPUTED_VALUE"""),45719.0)</f>
        <v>45719</v>
      </c>
      <c r="I220" s="9">
        <f>IFERROR(__xludf.DUMMYFUNCTION("""COMPUTED_VALUE"""),4.16)</f>
        <v>4.16</v>
      </c>
      <c r="K220" s="17"/>
      <c r="N220" s="17"/>
    </row>
    <row r="221">
      <c r="B221" s="11">
        <f>IFERROR(__xludf.DUMMYFUNCTION("""COMPUTED_VALUE"""),45716.0)</f>
        <v>45716</v>
      </c>
      <c r="C221" s="9">
        <f>IFERROR(__xludf.DUMMYFUNCTION("""COMPUTED_VALUE"""),4.24)</f>
        <v>4.24</v>
      </c>
      <c r="E221" s="40">
        <f>IFERROR(__xludf.DUMMYFUNCTION("""COMPUTED_VALUE"""),45716.0)</f>
        <v>45716</v>
      </c>
      <c r="F221" s="9">
        <f>IFERROR(__xludf.DUMMYFUNCTION("""COMPUTED_VALUE"""),4.24)</f>
        <v>4.24</v>
      </c>
      <c r="H221" s="17">
        <f>IFERROR(__xludf.DUMMYFUNCTION("""COMPUTED_VALUE"""),45716.0)</f>
        <v>45716</v>
      </c>
      <c r="I221" s="9">
        <f>IFERROR(__xludf.DUMMYFUNCTION("""COMPUTED_VALUE"""),4.24)</f>
        <v>4.24</v>
      </c>
      <c r="K221" s="17"/>
      <c r="N221" s="17"/>
    </row>
    <row r="222">
      <c r="B222" s="11">
        <f>IFERROR(__xludf.DUMMYFUNCTION("""COMPUTED_VALUE"""),45715.0)</f>
        <v>45715</v>
      </c>
      <c r="C222" s="9">
        <f>IFERROR(__xludf.DUMMYFUNCTION("""COMPUTED_VALUE"""),4.29)</f>
        <v>4.29</v>
      </c>
      <c r="E222" s="40">
        <f>IFERROR(__xludf.DUMMYFUNCTION("""COMPUTED_VALUE"""),45715.0)</f>
        <v>45715</v>
      </c>
      <c r="F222" s="9">
        <f>IFERROR(__xludf.DUMMYFUNCTION("""COMPUTED_VALUE"""),4.29)</f>
        <v>4.29</v>
      </c>
      <c r="H222" s="17">
        <f>IFERROR(__xludf.DUMMYFUNCTION("""COMPUTED_VALUE"""),45715.0)</f>
        <v>45715</v>
      </c>
      <c r="I222" s="9">
        <f>IFERROR(__xludf.DUMMYFUNCTION("""COMPUTED_VALUE"""),4.29)</f>
        <v>4.29</v>
      </c>
      <c r="K222" s="17"/>
      <c r="N222" s="17"/>
    </row>
    <row r="223">
      <c r="B223" s="11">
        <f>IFERROR(__xludf.DUMMYFUNCTION("""COMPUTED_VALUE"""),45714.0)</f>
        <v>45714</v>
      </c>
      <c r="C223" s="9">
        <f>IFERROR(__xludf.DUMMYFUNCTION("""COMPUTED_VALUE"""),4.25)</f>
        <v>4.25</v>
      </c>
      <c r="E223" s="40">
        <f>IFERROR(__xludf.DUMMYFUNCTION("""COMPUTED_VALUE"""),45714.0)</f>
        <v>45714</v>
      </c>
      <c r="F223" s="9">
        <f>IFERROR(__xludf.DUMMYFUNCTION("""COMPUTED_VALUE"""),4.25)</f>
        <v>4.25</v>
      </c>
      <c r="H223" s="17">
        <f>IFERROR(__xludf.DUMMYFUNCTION("""COMPUTED_VALUE"""),45714.0)</f>
        <v>45714</v>
      </c>
      <c r="I223" s="9">
        <f>IFERROR(__xludf.DUMMYFUNCTION("""COMPUTED_VALUE"""),4.25)</f>
        <v>4.25</v>
      </c>
      <c r="K223" s="17"/>
      <c r="N223" s="17"/>
    </row>
    <row r="224">
      <c r="B224" s="11">
        <f>IFERROR(__xludf.DUMMYFUNCTION("""COMPUTED_VALUE"""),45713.0)</f>
        <v>45713</v>
      </c>
      <c r="C224" s="9">
        <f>IFERROR(__xludf.DUMMYFUNCTION("""COMPUTED_VALUE"""),4.3)</f>
        <v>4.3</v>
      </c>
      <c r="E224" s="40">
        <f>IFERROR(__xludf.DUMMYFUNCTION("""COMPUTED_VALUE"""),45713.0)</f>
        <v>45713</v>
      </c>
      <c r="F224" s="9">
        <f>IFERROR(__xludf.DUMMYFUNCTION("""COMPUTED_VALUE"""),4.3)</f>
        <v>4.3</v>
      </c>
      <c r="H224" s="17">
        <f>IFERROR(__xludf.DUMMYFUNCTION("""COMPUTED_VALUE"""),45713.0)</f>
        <v>45713</v>
      </c>
      <c r="I224" s="9">
        <f>IFERROR(__xludf.DUMMYFUNCTION("""COMPUTED_VALUE"""),4.3)</f>
        <v>4.3</v>
      </c>
      <c r="K224" s="17"/>
      <c r="N224" s="17"/>
    </row>
    <row r="225">
      <c r="B225" s="11">
        <f>IFERROR(__xludf.DUMMYFUNCTION("""COMPUTED_VALUE"""),45712.0)</f>
        <v>45712</v>
      </c>
      <c r="C225" s="9">
        <f>IFERROR(__xludf.DUMMYFUNCTION("""COMPUTED_VALUE"""),4.4)</f>
        <v>4.4</v>
      </c>
      <c r="E225" s="40">
        <f>IFERROR(__xludf.DUMMYFUNCTION("""COMPUTED_VALUE"""),45712.0)</f>
        <v>45712</v>
      </c>
      <c r="F225" s="9">
        <f>IFERROR(__xludf.DUMMYFUNCTION("""COMPUTED_VALUE"""),4.4)</f>
        <v>4.4</v>
      </c>
      <c r="H225" s="17">
        <f>IFERROR(__xludf.DUMMYFUNCTION("""COMPUTED_VALUE"""),45712.0)</f>
        <v>45712</v>
      </c>
      <c r="I225" s="9">
        <f>IFERROR(__xludf.DUMMYFUNCTION("""COMPUTED_VALUE"""),4.4)</f>
        <v>4.4</v>
      </c>
      <c r="K225" s="17"/>
      <c r="N225" s="17"/>
    </row>
    <row r="226">
      <c r="B226" s="11">
        <f>IFERROR(__xludf.DUMMYFUNCTION("""COMPUTED_VALUE"""),45709.0)</f>
        <v>45709</v>
      </c>
      <c r="C226" s="9">
        <f>IFERROR(__xludf.DUMMYFUNCTION("""COMPUTED_VALUE"""),4.42)</f>
        <v>4.42</v>
      </c>
      <c r="E226" s="40">
        <f>IFERROR(__xludf.DUMMYFUNCTION("""COMPUTED_VALUE"""),45709.0)</f>
        <v>45709</v>
      </c>
      <c r="F226" s="9">
        <f>IFERROR(__xludf.DUMMYFUNCTION("""COMPUTED_VALUE"""),4.42)</f>
        <v>4.42</v>
      </c>
      <c r="H226" s="17">
        <f>IFERROR(__xludf.DUMMYFUNCTION("""COMPUTED_VALUE"""),45709.0)</f>
        <v>45709</v>
      </c>
      <c r="I226" s="9">
        <f>IFERROR(__xludf.DUMMYFUNCTION("""COMPUTED_VALUE"""),4.42)</f>
        <v>4.42</v>
      </c>
      <c r="K226" s="17"/>
      <c r="N226" s="17"/>
    </row>
    <row r="227">
      <c r="B227" s="11">
        <f>IFERROR(__xludf.DUMMYFUNCTION("""COMPUTED_VALUE"""),45708.0)</f>
        <v>45708</v>
      </c>
      <c r="C227" s="9">
        <f>IFERROR(__xludf.DUMMYFUNCTION("""COMPUTED_VALUE"""),4.5)</f>
        <v>4.5</v>
      </c>
      <c r="E227" s="40">
        <f>IFERROR(__xludf.DUMMYFUNCTION("""COMPUTED_VALUE"""),45708.0)</f>
        <v>45708</v>
      </c>
      <c r="F227" s="9">
        <f>IFERROR(__xludf.DUMMYFUNCTION("""COMPUTED_VALUE"""),4.5)</f>
        <v>4.5</v>
      </c>
      <c r="H227" s="17">
        <f>IFERROR(__xludf.DUMMYFUNCTION("""COMPUTED_VALUE"""),45708.0)</f>
        <v>45708</v>
      </c>
      <c r="I227" s="9">
        <f>IFERROR(__xludf.DUMMYFUNCTION("""COMPUTED_VALUE"""),4.5)</f>
        <v>4.5</v>
      </c>
      <c r="K227" s="17"/>
      <c r="N227" s="17"/>
    </row>
    <row r="228">
      <c r="B228" s="11">
        <f>IFERROR(__xludf.DUMMYFUNCTION("""COMPUTED_VALUE"""),45707.0)</f>
        <v>45707</v>
      </c>
      <c r="C228" s="9">
        <f>IFERROR(__xludf.DUMMYFUNCTION("""COMPUTED_VALUE"""),4.53)</f>
        <v>4.53</v>
      </c>
      <c r="E228" s="40">
        <f>IFERROR(__xludf.DUMMYFUNCTION("""COMPUTED_VALUE"""),45707.0)</f>
        <v>45707</v>
      </c>
      <c r="F228" s="9">
        <f>IFERROR(__xludf.DUMMYFUNCTION("""COMPUTED_VALUE"""),4.53)</f>
        <v>4.53</v>
      </c>
      <c r="H228" s="17">
        <f>IFERROR(__xludf.DUMMYFUNCTION("""COMPUTED_VALUE"""),45707.0)</f>
        <v>45707</v>
      </c>
      <c r="I228" s="9">
        <f>IFERROR(__xludf.DUMMYFUNCTION("""COMPUTED_VALUE"""),4.53)</f>
        <v>4.53</v>
      </c>
      <c r="K228" s="17"/>
      <c r="N228" s="17"/>
    </row>
    <row r="229">
      <c r="B229" s="11">
        <f>IFERROR(__xludf.DUMMYFUNCTION("""COMPUTED_VALUE"""),45706.0)</f>
        <v>45706</v>
      </c>
      <c r="C229" s="9">
        <f>IFERROR(__xludf.DUMMYFUNCTION("""COMPUTED_VALUE"""),4.55)</f>
        <v>4.55</v>
      </c>
      <c r="E229" s="40">
        <f>IFERROR(__xludf.DUMMYFUNCTION("""COMPUTED_VALUE"""),45706.0)</f>
        <v>45706</v>
      </c>
      <c r="F229" s="9">
        <f>IFERROR(__xludf.DUMMYFUNCTION("""COMPUTED_VALUE"""),4.55)</f>
        <v>4.55</v>
      </c>
      <c r="H229" s="17">
        <f>IFERROR(__xludf.DUMMYFUNCTION("""COMPUTED_VALUE"""),45706.0)</f>
        <v>45706</v>
      </c>
      <c r="I229" s="9">
        <f>IFERROR(__xludf.DUMMYFUNCTION("""COMPUTED_VALUE"""),4.55)</f>
        <v>4.55</v>
      </c>
      <c r="K229" s="17"/>
      <c r="N229" s="17"/>
    </row>
    <row r="230">
      <c r="B230" s="11">
        <f>IFERROR(__xludf.DUMMYFUNCTION("""COMPUTED_VALUE"""),45705.0)</f>
        <v>45705</v>
      </c>
      <c r="C230" s="9"/>
      <c r="E230" s="40">
        <f>IFERROR(__xludf.DUMMYFUNCTION("""COMPUTED_VALUE"""),45705.0)</f>
        <v>45705</v>
      </c>
      <c r="F230" s="9"/>
      <c r="H230" s="17">
        <f>IFERROR(__xludf.DUMMYFUNCTION("""COMPUTED_VALUE"""),45705.0)</f>
        <v>45705</v>
      </c>
      <c r="I230" s="9"/>
      <c r="K230" s="17"/>
      <c r="N230" s="17"/>
    </row>
    <row r="231">
      <c r="B231" s="11">
        <f>IFERROR(__xludf.DUMMYFUNCTION("""COMPUTED_VALUE"""),45702.0)</f>
        <v>45702</v>
      </c>
      <c r="C231" s="9">
        <f>IFERROR(__xludf.DUMMYFUNCTION("""COMPUTED_VALUE"""),4.47)</f>
        <v>4.47</v>
      </c>
      <c r="E231" s="40">
        <f>IFERROR(__xludf.DUMMYFUNCTION("""COMPUTED_VALUE"""),45702.0)</f>
        <v>45702</v>
      </c>
      <c r="F231" s="9">
        <f>IFERROR(__xludf.DUMMYFUNCTION("""COMPUTED_VALUE"""),4.47)</f>
        <v>4.47</v>
      </c>
      <c r="H231" s="17">
        <f>IFERROR(__xludf.DUMMYFUNCTION("""COMPUTED_VALUE"""),45702.0)</f>
        <v>45702</v>
      </c>
      <c r="I231" s="9">
        <f>IFERROR(__xludf.DUMMYFUNCTION("""COMPUTED_VALUE"""),4.47)</f>
        <v>4.47</v>
      </c>
      <c r="K231" s="17"/>
      <c r="N231" s="17"/>
    </row>
    <row r="232">
      <c r="B232" s="11">
        <f>IFERROR(__xludf.DUMMYFUNCTION("""COMPUTED_VALUE"""),45701.0)</f>
        <v>45701</v>
      </c>
      <c r="C232" s="9">
        <f>IFERROR(__xludf.DUMMYFUNCTION("""COMPUTED_VALUE"""),4.52)</f>
        <v>4.52</v>
      </c>
      <c r="E232" s="40">
        <f>IFERROR(__xludf.DUMMYFUNCTION("""COMPUTED_VALUE"""),45701.0)</f>
        <v>45701</v>
      </c>
      <c r="F232" s="9">
        <f>IFERROR(__xludf.DUMMYFUNCTION("""COMPUTED_VALUE"""),4.52)</f>
        <v>4.52</v>
      </c>
      <c r="H232" s="17">
        <f>IFERROR(__xludf.DUMMYFUNCTION("""COMPUTED_VALUE"""),45701.0)</f>
        <v>45701</v>
      </c>
      <c r="I232" s="9">
        <f>IFERROR(__xludf.DUMMYFUNCTION("""COMPUTED_VALUE"""),4.52)</f>
        <v>4.52</v>
      </c>
      <c r="K232" s="17"/>
      <c r="N232" s="17"/>
    </row>
    <row r="233">
      <c r="B233" s="11">
        <f>IFERROR(__xludf.DUMMYFUNCTION("""COMPUTED_VALUE"""),45700.0)</f>
        <v>45700</v>
      </c>
      <c r="C233" s="9">
        <f>IFERROR(__xludf.DUMMYFUNCTION("""COMPUTED_VALUE"""),4.62)</f>
        <v>4.62</v>
      </c>
      <c r="E233" s="40">
        <f>IFERROR(__xludf.DUMMYFUNCTION("""COMPUTED_VALUE"""),45700.0)</f>
        <v>45700</v>
      </c>
      <c r="F233" s="9">
        <f>IFERROR(__xludf.DUMMYFUNCTION("""COMPUTED_VALUE"""),4.62)</f>
        <v>4.62</v>
      </c>
      <c r="H233" s="17">
        <f>IFERROR(__xludf.DUMMYFUNCTION("""COMPUTED_VALUE"""),45700.0)</f>
        <v>45700</v>
      </c>
      <c r="I233" s="9">
        <f>IFERROR(__xludf.DUMMYFUNCTION("""COMPUTED_VALUE"""),4.62)</f>
        <v>4.62</v>
      </c>
      <c r="K233" s="17"/>
      <c r="N233" s="17"/>
    </row>
    <row r="234">
      <c r="B234" s="11">
        <f>IFERROR(__xludf.DUMMYFUNCTION("""COMPUTED_VALUE"""),45699.0)</f>
        <v>45699</v>
      </c>
      <c r="C234" s="9">
        <f>IFERROR(__xludf.DUMMYFUNCTION("""COMPUTED_VALUE"""),4.54)</f>
        <v>4.54</v>
      </c>
      <c r="E234" s="40">
        <f>IFERROR(__xludf.DUMMYFUNCTION("""COMPUTED_VALUE"""),45699.0)</f>
        <v>45699</v>
      </c>
      <c r="F234" s="9">
        <f>IFERROR(__xludf.DUMMYFUNCTION("""COMPUTED_VALUE"""),4.54)</f>
        <v>4.54</v>
      </c>
      <c r="H234" s="17">
        <f>IFERROR(__xludf.DUMMYFUNCTION("""COMPUTED_VALUE"""),45699.0)</f>
        <v>45699</v>
      </c>
      <c r="I234" s="9">
        <f>IFERROR(__xludf.DUMMYFUNCTION("""COMPUTED_VALUE"""),4.54)</f>
        <v>4.54</v>
      </c>
      <c r="K234" s="17"/>
      <c r="N234" s="17"/>
    </row>
    <row r="235">
      <c r="B235" s="11">
        <f>IFERROR(__xludf.DUMMYFUNCTION("""COMPUTED_VALUE"""),45698.0)</f>
        <v>45698</v>
      </c>
      <c r="C235" s="9">
        <f>IFERROR(__xludf.DUMMYFUNCTION("""COMPUTED_VALUE"""),4.51)</f>
        <v>4.51</v>
      </c>
      <c r="E235" s="40">
        <f>IFERROR(__xludf.DUMMYFUNCTION("""COMPUTED_VALUE"""),45698.0)</f>
        <v>45698</v>
      </c>
      <c r="F235" s="9">
        <f>IFERROR(__xludf.DUMMYFUNCTION("""COMPUTED_VALUE"""),4.51)</f>
        <v>4.51</v>
      </c>
      <c r="H235" s="17">
        <f>IFERROR(__xludf.DUMMYFUNCTION("""COMPUTED_VALUE"""),45698.0)</f>
        <v>45698</v>
      </c>
      <c r="I235" s="9">
        <f>IFERROR(__xludf.DUMMYFUNCTION("""COMPUTED_VALUE"""),4.51)</f>
        <v>4.51</v>
      </c>
      <c r="K235" s="17"/>
      <c r="N235" s="17"/>
    </row>
    <row r="236">
      <c r="B236" s="11">
        <f>IFERROR(__xludf.DUMMYFUNCTION("""COMPUTED_VALUE"""),45695.0)</f>
        <v>45695</v>
      </c>
      <c r="C236" s="9">
        <f>IFERROR(__xludf.DUMMYFUNCTION("""COMPUTED_VALUE"""),4.49)</f>
        <v>4.49</v>
      </c>
      <c r="E236" s="40">
        <f>IFERROR(__xludf.DUMMYFUNCTION("""COMPUTED_VALUE"""),45695.0)</f>
        <v>45695</v>
      </c>
      <c r="F236" s="9">
        <f>IFERROR(__xludf.DUMMYFUNCTION("""COMPUTED_VALUE"""),4.49)</f>
        <v>4.49</v>
      </c>
      <c r="H236" s="17">
        <f>IFERROR(__xludf.DUMMYFUNCTION("""COMPUTED_VALUE"""),45695.0)</f>
        <v>45695</v>
      </c>
      <c r="I236" s="9">
        <f>IFERROR(__xludf.DUMMYFUNCTION("""COMPUTED_VALUE"""),4.49)</f>
        <v>4.49</v>
      </c>
      <c r="K236" s="17"/>
      <c r="N236" s="17"/>
    </row>
    <row r="237">
      <c r="B237" s="11">
        <f>IFERROR(__xludf.DUMMYFUNCTION("""COMPUTED_VALUE"""),45694.0)</f>
        <v>45694</v>
      </c>
      <c r="C237" s="9">
        <f>IFERROR(__xludf.DUMMYFUNCTION("""COMPUTED_VALUE"""),4.45)</f>
        <v>4.45</v>
      </c>
      <c r="E237" s="40">
        <f>IFERROR(__xludf.DUMMYFUNCTION("""COMPUTED_VALUE"""),45694.0)</f>
        <v>45694</v>
      </c>
      <c r="F237" s="9">
        <f>IFERROR(__xludf.DUMMYFUNCTION("""COMPUTED_VALUE"""),4.45)</f>
        <v>4.45</v>
      </c>
      <c r="H237" s="17">
        <f>IFERROR(__xludf.DUMMYFUNCTION("""COMPUTED_VALUE"""),45694.0)</f>
        <v>45694</v>
      </c>
      <c r="I237" s="9">
        <f>IFERROR(__xludf.DUMMYFUNCTION("""COMPUTED_VALUE"""),4.45)</f>
        <v>4.45</v>
      </c>
      <c r="K237" s="17"/>
      <c r="N237" s="17"/>
    </row>
    <row r="238">
      <c r="B238" s="11">
        <f>IFERROR(__xludf.DUMMYFUNCTION("""COMPUTED_VALUE"""),45693.0)</f>
        <v>45693</v>
      </c>
      <c r="C238" s="9">
        <f>IFERROR(__xludf.DUMMYFUNCTION("""COMPUTED_VALUE"""),4.43)</f>
        <v>4.43</v>
      </c>
      <c r="E238" s="40">
        <f>IFERROR(__xludf.DUMMYFUNCTION("""COMPUTED_VALUE"""),45693.0)</f>
        <v>45693</v>
      </c>
      <c r="F238" s="9">
        <f>IFERROR(__xludf.DUMMYFUNCTION("""COMPUTED_VALUE"""),4.43)</f>
        <v>4.43</v>
      </c>
      <c r="H238" s="17">
        <f>IFERROR(__xludf.DUMMYFUNCTION("""COMPUTED_VALUE"""),45693.0)</f>
        <v>45693</v>
      </c>
      <c r="I238" s="9">
        <f>IFERROR(__xludf.DUMMYFUNCTION("""COMPUTED_VALUE"""),4.43)</f>
        <v>4.43</v>
      </c>
      <c r="K238" s="17"/>
      <c r="N238" s="17"/>
    </row>
    <row r="239">
      <c r="B239" s="11">
        <f>IFERROR(__xludf.DUMMYFUNCTION("""COMPUTED_VALUE"""),45692.0)</f>
        <v>45692</v>
      </c>
      <c r="C239" s="9">
        <f>IFERROR(__xludf.DUMMYFUNCTION("""COMPUTED_VALUE"""),4.52)</f>
        <v>4.52</v>
      </c>
      <c r="E239" s="40">
        <f>IFERROR(__xludf.DUMMYFUNCTION("""COMPUTED_VALUE"""),45692.0)</f>
        <v>45692</v>
      </c>
      <c r="F239" s="9">
        <f>IFERROR(__xludf.DUMMYFUNCTION("""COMPUTED_VALUE"""),4.52)</f>
        <v>4.52</v>
      </c>
      <c r="H239" s="17">
        <f>IFERROR(__xludf.DUMMYFUNCTION("""COMPUTED_VALUE"""),45692.0)</f>
        <v>45692</v>
      </c>
      <c r="I239" s="9">
        <f>IFERROR(__xludf.DUMMYFUNCTION("""COMPUTED_VALUE"""),4.52)</f>
        <v>4.52</v>
      </c>
      <c r="K239" s="17"/>
      <c r="N239" s="17"/>
    </row>
    <row r="240">
      <c r="B240" s="11">
        <f>IFERROR(__xludf.DUMMYFUNCTION("""COMPUTED_VALUE"""),45691.0)</f>
        <v>45691</v>
      </c>
      <c r="C240" s="9">
        <f>IFERROR(__xludf.DUMMYFUNCTION("""COMPUTED_VALUE"""),4.54)</f>
        <v>4.54</v>
      </c>
      <c r="E240" s="40">
        <f>IFERROR(__xludf.DUMMYFUNCTION("""COMPUTED_VALUE"""),45691.0)</f>
        <v>45691</v>
      </c>
      <c r="F240" s="9">
        <f>IFERROR(__xludf.DUMMYFUNCTION("""COMPUTED_VALUE"""),4.54)</f>
        <v>4.54</v>
      </c>
      <c r="H240" s="17">
        <f>IFERROR(__xludf.DUMMYFUNCTION("""COMPUTED_VALUE"""),45691.0)</f>
        <v>45691</v>
      </c>
      <c r="I240" s="9">
        <f>IFERROR(__xludf.DUMMYFUNCTION("""COMPUTED_VALUE"""),4.54)</f>
        <v>4.54</v>
      </c>
      <c r="K240" s="17"/>
      <c r="N240" s="17"/>
    </row>
    <row r="241">
      <c r="B241" s="11">
        <f>IFERROR(__xludf.DUMMYFUNCTION("""COMPUTED_VALUE"""),45688.0)</f>
        <v>45688</v>
      </c>
      <c r="C241" s="9">
        <f>IFERROR(__xludf.DUMMYFUNCTION("""COMPUTED_VALUE"""),4.58)</f>
        <v>4.58</v>
      </c>
      <c r="E241" s="40">
        <f>IFERROR(__xludf.DUMMYFUNCTION("""COMPUTED_VALUE"""),45688.0)</f>
        <v>45688</v>
      </c>
      <c r="F241" s="9">
        <f>IFERROR(__xludf.DUMMYFUNCTION("""COMPUTED_VALUE"""),4.58)</f>
        <v>4.58</v>
      </c>
      <c r="H241" s="17">
        <f>IFERROR(__xludf.DUMMYFUNCTION("""COMPUTED_VALUE"""),45688.0)</f>
        <v>45688</v>
      </c>
      <c r="I241" s="9">
        <f>IFERROR(__xludf.DUMMYFUNCTION("""COMPUTED_VALUE"""),4.58)</f>
        <v>4.58</v>
      </c>
      <c r="K241" s="17"/>
      <c r="N241" s="17"/>
    </row>
    <row r="242">
      <c r="B242" s="11">
        <f>IFERROR(__xludf.DUMMYFUNCTION("""COMPUTED_VALUE"""),45687.0)</f>
        <v>45687</v>
      </c>
      <c r="C242" s="9">
        <f>IFERROR(__xludf.DUMMYFUNCTION("""COMPUTED_VALUE"""),4.52)</f>
        <v>4.52</v>
      </c>
      <c r="E242" s="40">
        <f>IFERROR(__xludf.DUMMYFUNCTION("""COMPUTED_VALUE"""),45687.0)</f>
        <v>45687</v>
      </c>
      <c r="F242" s="9">
        <f>IFERROR(__xludf.DUMMYFUNCTION("""COMPUTED_VALUE"""),4.52)</f>
        <v>4.52</v>
      </c>
      <c r="H242" s="17">
        <f>IFERROR(__xludf.DUMMYFUNCTION("""COMPUTED_VALUE"""),45687.0)</f>
        <v>45687</v>
      </c>
      <c r="I242" s="9">
        <f>IFERROR(__xludf.DUMMYFUNCTION("""COMPUTED_VALUE"""),4.52)</f>
        <v>4.52</v>
      </c>
      <c r="K242" s="17"/>
      <c r="N242" s="17"/>
    </row>
    <row r="243">
      <c r="B243" s="11">
        <f>IFERROR(__xludf.DUMMYFUNCTION("""COMPUTED_VALUE"""),45686.0)</f>
        <v>45686</v>
      </c>
      <c r="C243" s="9">
        <f>IFERROR(__xludf.DUMMYFUNCTION("""COMPUTED_VALUE"""),4.55)</f>
        <v>4.55</v>
      </c>
      <c r="E243" s="40">
        <f>IFERROR(__xludf.DUMMYFUNCTION("""COMPUTED_VALUE"""),45686.0)</f>
        <v>45686</v>
      </c>
      <c r="F243" s="9">
        <f>IFERROR(__xludf.DUMMYFUNCTION("""COMPUTED_VALUE"""),4.55)</f>
        <v>4.55</v>
      </c>
      <c r="H243" s="17">
        <f>IFERROR(__xludf.DUMMYFUNCTION("""COMPUTED_VALUE"""),45686.0)</f>
        <v>45686</v>
      </c>
      <c r="I243" s="9">
        <f>IFERROR(__xludf.DUMMYFUNCTION("""COMPUTED_VALUE"""),4.55)</f>
        <v>4.55</v>
      </c>
      <c r="K243" s="17"/>
      <c r="N243" s="17"/>
    </row>
    <row r="244">
      <c r="B244" s="11">
        <f>IFERROR(__xludf.DUMMYFUNCTION("""COMPUTED_VALUE"""),45685.0)</f>
        <v>45685</v>
      </c>
      <c r="C244" s="9">
        <f>IFERROR(__xludf.DUMMYFUNCTION("""COMPUTED_VALUE"""),4.55)</f>
        <v>4.55</v>
      </c>
      <c r="E244" s="40">
        <f>IFERROR(__xludf.DUMMYFUNCTION("""COMPUTED_VALUE"""),45685.0)</f>
        <v>45685</v>
      </c>
      <c r="F244" s="9">
        <f>IFERROR(__xludf.DUMMYFUNCTION("""COMPUTED_VALUE"""),4.55)</f>
        <v>4.55</v>
      </c>
      <c r="H244" s="17">
        <f>IFERROR(__xludf.DUMMYFUNCTION("""COMPUTED_VALUE"""),45685.0)</f>
        <v>45685</v>
      </c>
      <c r="I244" s="9">
        <f>IFERROR(__xludf.DUMMYFUNCTION("""COMPUTED_VALUE"""),4.55)</f>
        <v>4.55</v>
      </c>
      <c r="K244" s="17"/>
      <c r="N244" s="17"/>
    </row>
    <row r="245">
      <c r="B245" s="11">
        <f>IFERROR(__xludf.DUMMYFUNCTION("""COMPUTED_VALUE"""),45684.0)</f>
        <v>45684</v>
      </c>
      <c r="C245" s="9">
        <f>IFERROR(__xludf.DUMMYFUNCTION("""COMPUTED_VALUE"""),4.53)</f>
        <v>4.53</v>
      </c>
      <c r="E245" s="40">
        <f>IFERROR(__xludf.DUMMYFUNCTION("""COMPUTED_VALUE"""),45684.0)</f>
        <v>45684</v>
      </c>
      <c r="F245" s="9">
        <f>IFERROR(__xludf.DUMMYFUNCTION("""COMPUTED_VALUE"""),4.53)</f>
        <v>4.53</v>
      </c>
      <c r="H245" s="17">
        <f>IFERROR(__xludf.DUMMYFUNCTION("""COMPUTED_VALUE"""),45684.0)</f>
        <v>45684</v>
      </c>
      <c r="I245" s="9">
        <f>IFERROR(__xludf.DUMMYFUNCTION("""COMPUTED_VALUE"""),4.53)</f>
        <v>4.53</v>
      </c>
      <c r="K245" s="17"/>
      <c r="N245" s="17"/>
    </row>
    <row r="246">
      <c r="B246" s="11">
        <f>IFERROR(__xludf.DUMMYFUNCTION("""COMPUTED_VALUE"""),45681.0)</f>
        <v>45681</v>
      </c>
      <c r="C246" s="9">
        <f>IFERROR(__xludf.DUMMYFUNCTION("""COMPUTED_VALUE"""),4.63)</f>
        <v>4.63</v>
      </c>
      <c r="E246" s="40">
        <f>IFERROR(__xludf.DUMMYFUNCTION("""COMPUTED_VALUE"""),45681.0)</f>
        <v>45681</v>
      </c>
      <c r="F246" s="9">
        <f>IFERROR(__xludf.DUMMYFUNCTION("""COMPUTED_VALUE"""),4.63)</f>
        <v>4.63</v>
      </c>
      <c r="H246" s="17">
        <f>IFERROR(__xludf.DUMMYFUNCTION("""COMPUTED_VALUE"""),45681.0)</f>
        <v>45681</v>
      </c>
      <c r="I246" s="9">
        <f>IFERROR(__xludf.DUMMYFUNCTION("""COMPUTED_VALUE"""),4.63)</f>
        <v>4.63</v>
      </c>
      <c r="K246" s="17"/>
      <c r="N246" s="17"/>
    </row>
    <row r="247">
      <c r="B247" s="11">
        <f>IFERROR(__xludf.DUMMYFUNCTION("""COMPUTED_VALUE"""),45680.0)</f>
        <v>45680</v>
      </c>
      <c r="C247" s="9">
        <f>IFERROR(__xludf.DUMMYFUNCTION("""COMPUTED_VALUE"""),4.65)</f>
        <v>4.65</v>
      </c>
      <c r="E247" s="40">
        <f>IFERROR(__xludf.DUMMYFUNCTION("""COMPUTED_VALUE"""),45680.0)</f>
        <v>45680</v>
      </c>
      <c r="F247" s="9">
        <f>IFERROR(__xludf.DUMMYFUNCTION("""COMPUTED_VALUE"""),4.65)</f>
        <v>4.65</v>
      </c>
      <c r="H247" s="17">
        <f>IFERROR(__xludf.DUMMYFUNCTION("""COMPUTED_VALUE"""),45680.0)</f>
        <v>45680</v>
      </c>
      <c r="I247" s="9">
        <f>IFERROR(__xludf.DUMMYFUNCTION("""COMPUTED_VALUE"""),4.65)</f>
        <v>4.65</v>
      </c>
      <c r="K247" s="17"/>
      <c r="N247" s="17"/>
    </row>
    <row r="248">
      <c r="B248" s="11">
        <f>IFERROR(__xludf.DUMMYFUNCTION("""COMPUTED_VALUE"""),45679.0)</f>
        <v>45679</v>
      </c>
      <c r="C248" s="9">
        <f>IFERROR(__xludf.DUMMYFUNCTION("""COMPUTED_VALUE"""),4.6)</f>
        <v>4.6</v>
      </c>
      <c r="E248" s="40">
        <f>IFERROR(__xludf.DUMMYFUNCTION("""COMPUTED_VALUE"""),45679.0)</f>
        <v>45679</v>
      </c>
      <c r="F248" s="9">
        <f>IFERROR(__xludf.DUMMYFUNCTION("""COMPUTED_VALUE"""),4.6)</f>
        <v>4.6</v>
      </c>
      <c r="H248" s="17">
        <f>IFERROR(__xludf.DUMMYFUNCTION("""COMPUTED_VALUE"""),45679.0)</f>
        <v>45679</v>
      </c>
      <c r="I248" s="9">
        <f>IFERROR(__xludf.DUMMYFUNCTION("""COMPUTED_VALUE"""),4.6)</f>
        <v>4.6</v>
      </c>
      <c r="K248" s="17"/>
      <c r="N248" s="17"/>
    </row>
    <row r="249">
      <c r="B249" s="11">
        <f>IFERROR(__xludf.DUMMYFUNCTION("""COMPUTED_VALUE"""),45678.0)</f>
        <v>45678</v>
      </c>
      <c r="C249" s="9">
        <f>IFERROR(__xludf.DUMMYFUNCTION("""COMPUTED_VALUE"""),4.57)</f>
        <v>4.57</v>
      </c>
      <c r="E249" s="40">
        <f>IFERROR(__xludf.DUMMYFUNCTION("""COMPUTED_VALUE"""),45678.0)</f>
        <v>45678</v>
      </c>
      <c r="F249" s="9">
        <f>IFERROR(__xludf.DUMMYFUNCTION("""COMPUTED_VALUE"""),4.57)</f>
        <v>4.57</v>
      </c>
      <c r="H249" s="17">
        <f>IFERROR(__xludf.DUMMYFUNCTION("""COMPUTED_VALUE"""),45678.0)</f>
        <v>45678</v>
      </c>
      <c r="I249" s="9">
        <f>IFERROR(__xludf.DUMMYFUNCTION("""COMPUTED_VALUE"""),4.57)</f>
        <v>4.57</v>
      </c>
      <c r="K249" s="17"/>
      <c r="N249" s="17"/>
    </row>
    <row r="250">
      <c r="B250" s="11">
        <f>IFERROR(__xludf.DUMMYFUNCTION("""COMPUTED_VALUE"""),45677.0)</f>
        <v>45677</v>
      </c>
      <c r="C250" s="9"/>
      <c r="E250" s="40">
        <f>IFERROR(__xludf.DUMMYFUNCTION("""COMPUTED_VALUE"""),45677.0)</f>
        <v>45677</v>
      </c>
      <c r="F250" s="9"/>
      <c r="H250" s="17">
        <f>IFERROR(__xludf.DUMMYFUNCTION("""COMPUTED_VALUE"""),45677.0)</f>
        <v>45677</v>
      </c>
      <c r="I250" s="9"/>
      <c r="K250" s="17"/>
      <c r="N250" s="17"/>
    </row>
    <row r="251">
      <c r="B251" s="11">
        <f>IFERROR(__xludf.DUMMYFUNCTION("""COMPUTED_VALUE"""),45674.0)</f>
        <v>45674</v>
      </c>
      <c r="C251" s="9">
        <f>IFERROR(__xludf.DUMMYFUNCTION("""COMPUTED_VALUE"""),4.61)</f>
        <v>4.61</v>
      </c>
      <c r="E251" s="40">
        <f>IFERROR(__xludf.DUMMYFUNCTION("""COMPUTED_VALUE"""),45674.0)</f>
        <v>45674</v>
      </c>
      <c r="F251" s="9">
        <f>IFERROR(__xludf.DUMMYFUNCTION("""COMPUTED_VALUE"""),4.61)</f>
        <v>4.61</v>
      </c>
      <c r="H251" s="17">
        <f>IFERROR(__xludf.DUMMYFUNCTION("""COMPUTED_VALUE"""),45674.0)</f>
        <v>45674</v>
      </c>
      <c r="I251" s="9">
        <f>IFERROR(__xludf.DUMMYFUNCTION("""COMPUTED_VALUE"""),4.61)</f>
        <v>4.61</v>
      </c>
      <c r="K251" s="17"/>
      <c r="N251" s="17"/>
    </row>
    <row r="252">
      <c r="B252" s="11">
        <f>IFERROR(__xludf.DUMMYFUNCTION("""COMPUTED_VALUE"""),45673.0)</f>
        <v>45673</v>
      </c>
      <c r="C252" s="9">
        <f>IFERROR(__xludf.DUMMYFUNCTION("""COMPUTED_VALUE"""),4.61)</f>
        <v>4.61</v>
      </c>
      <c r="E252" s="40">
        <f>IFERROR(__xludf.DUMMYFUNCTION("""COMPUTED_VALUE"""),45673.0)</f>
        <v>45673</v>
      </c>
      <c r="F252" s="9">
        <f>IFERROR(__xludf.DUMMYFUNCTION("""COMPUTED_VALUE"""),4.61)</f>
        <v>4.61</v>
      </c>
      <c r="H252" s="17">
        <f>IFERROR(__xludf.DUMMYFUNCTION("""COMPUTED_VALUE"""),45673.0)</f>
        <v>45673</v>
      </c>
      <c r="I252" s="9">
        <f>IFERROR(__xludf.DUMMYFUNCTION("""COMPUTED_VALUE"""),4.61)</f>
        <v>4.61</v>
      </c>
      <c r="K252" s="17"/>
      <c r="N252" s="17"/>
    </row>
    <row r="253">
      <c r="B253" s="11">
        <f>IFERROR(__xludf.DUMMYFUNCTION("""COMPUTED_VALUE"""),45672.0)</f>
        <v>45672</v>
      </c>
      <c r="C253" s="9">
        <f>IFERROR(__xludf.DUMMYFUNCTION("""COMPUTED_VALUE"""),4.66)</f>
        <v>4.66</v>
      </c>
      <c r="E253" s="40">
        <f>IFERROR(__xludf.DUMMYFUNCTION("""COMPUTED_VALUE"""),45672.0)</f>
        <v>45672</v>
      </c>
      <c r="F253" s="9">
        <f>IFERROR(__xludf.DUMMYFUNCTION("""COMPUTED_VALUE"""),4.66)</f>
        <v>4.66</v>
      </c>
      <c r="H253" s="17">
        <f>IFERROR(__xludf.DUMMYFUNCTION("""COMPUTED_VALUE"""),45672.0)</f>
        <v>45672</v>
      </c>
      <c r="I253" s="9">
        <f>IFERROR(__xludf.DUMMYFUNCTION("""COMPUTED_VALUE"""),4.66)</f>
        <v>4.66</v>
      </c>
      <c r="K253" s="17"/>
      <c r="N253" s="17"/>
    </row>
    <row r="254">
      <c r="B254" s="11">
        <f>IFERROR(__xludf.DUMMYFUNCTION("""COMPUTED_VALUE"""),45671.0)</f>
        <v>45671</v>
      </c>
      <c r="C254" s="9">
        <f>IFERROR(__xludf.DUMMYFUNCTION("""COMPUTED_VALUE"""),4.78)</f>
        <v>4.78</v>
      </c>
      <c r="E254" s="40">
        <f>IFERROR(__xludf.DUMMYFUNCTION("""COMPUTED_VALUE"""),45671.0)</f>
        <v>45671</v>
      </c>
      <c r="F254" s="9">
        <f>IFERROR(__xludf.DUMMYFUNCTION("""COMPUTED_VALUE"""),4.78)</f>
        <v>4.78</v>
      </c>
      <c r="H254" s="17">
        <f>IFERROR(__xludf.DUMMYFUNCTION("""COMPUTED_VALUE"""),45671.0)</f>
        <v>45671</v>
      </c>
      <c r="I254" s="9">
        <f>IFERROR(__xludf.DUMMYFUNCTION("""COMPUTED_VALUE"""),4.78)</f>
        <v>4.78</v>
      </c>
      <c r="K254" s="17"/>
      <c r="N254" s="17"/>
    </row>
    <row r="255">
      <c r="B255" s="11">
        <f>IFERROR(__xludf.DUMMYFUNCTION("""COMPUTED_VALUE"""),45670.0)</f>
        <v>45670</v>
      </c>
      <c r="C255" s="9">
        <f>IFERROR(__xludf.DUMMYFUNCTION("""COMPUTED_VALUE"""),4.79)</f>
        <v>4.79</v>
      </c>
      <c r="E255" s="40">
        <f>IFERROR(__xludf.DUMMYFUNCTION("""COMPUTED_VALUE"""),45670.0)</f>
        <v>45670</v>
      </c>
      <c r="F255" s="9">
        <f>IFERROR(__xludf.DUMMYFUNCTION("""COMPUTED_VALUE"""),4.79)</f>
        <v>4.79</v>
      </c>
      <c r="H255" s="17">
        <f>IFERROR(__xludf.DUMMYFUNCTION("""COMPUTED_VALUE"""),45670.0)</f>
        <v>45670</v>
      </c>
      <c r="I255" s="9">
        <f>IFERROR(__xludf.DUMMYFUNCTION("""COMPUTED_VALUE"""),4.79)</f>
        <v>4.79</v>
      </c>
      <c r="K255" s="17"/>
      <c r="N255" s="17"/>
    </row>
    <row r="256">
      <c r="B256" s="11">
        <f>IFERROR(__xludf.DUMMYFUNCTION("""COMPUTED_VALUE"""),45667.0)</f>
        <v>45667</v>
      </c>
      <c r="C256" s="9">
        <f>IFERROR(__xludf.DUMMYFUNCTION("""COMPUTED_VALUE"""),4.77)</f>
        <v>4.77</v>
      </c>
      <c r="E256" s="40">
        <f>IFERROR(__xludf.DUMMYFUNCTION("""COMPUTED_VALUE"""),45667.0)</f>
        <v>45667</v>
      </c>
      <c r="F256" s="9">
        <f>IFERROR(__xludf.DUMMYFUNCTION("""COMPUTED_VALUE"""),4.77)</f>
        <v>4.77</v>
      </c>
      <c r="H256" s="17">
        <f>IFERROR(__xludf.DUMMYFUNCTION("""COMPUTED_VALUE"""),45667.0)</f>
        <v>45667</v>
      </c>
      <c r="I256" s="9">
        <f>IFERROR(__xludf.DUMMYFUNCTION("""COMPUTED_VALUE"""),4.77)</f>
        <v>4.77</v>
      </c>
      <c r="K256" s="17"/>
      <c r="N256" s="17"/>
    </row>
    <row r="257">
      <c r="B257" s="11">
        <f>IFERROR(__xludf.DUMMYFUNCTION("""COMPUTED_VALUE"""),45666.0)</f>
        <v>45666</v>
      </c>
      <c r="C257" s="9">
        <f>IFERROR(__xludf.DUMMYFUNCTION("""COMPUTED_VALUE"""),4.68)</f>
        <v>4.68</v>
      </c>
      <c r="E257" s="40">
        <f>IFERROR(__xludf.DUMMYFUNCTION("""COMPUTED_VALUE"""),45666.0)</f>
        <v>45666</v>
      </c>
      <c r="F257" s="9">
        <f>IFERROR(__xludf.DUMMYFUNCTION("""COMPUTED_VALUE"""),4.68)</f>
        <v>4.68</v>
      </c>
      <c r="H257" s="17">
        <f>IFERROR(__xludf.DUMMYFUNCTION("""COMPUTED_VALUE"""),45666.0)</f>
        <v>45666</v>
      </c>
      <c r="I257" s="9">
        <f>IFERROR(__xludf.DUMMYFUNCTION("""COMPUTED_VALUE"""),4.68)</f>
        <v>4.68</v>
      </c>
      <c r="K257" s="17"/>
      <c r="N257" s="17"/>
    </row>
    <row r="258">
      <c r="B258" s="11">
        <f>IFERROR(__xludf.DUMMYFUNCTION("""COMPUTED_VALUE"""),45665.0)</f>
        <v>45665</v>
      </c>
      <c r="C258" s="9">
        <f>IFERROR(__xludf.DUMMYFUNCTION("""COMPUTED_VALUE"""),4.67)</f>
        <v>4.67</v>
      </c>
      <c r="E258" s="40">
        <f>IFERROR(__xludf.DUMMYFUNCTION("""COMPUTED_VALUE"""),45665.0)</f>
        <v>45665</v>
      </c>
      <c r="F258" s="9">
        <f>IFERROR(__xludf.DUMMYFUNCTION("""COMPUTED_VALUE"""),4.67)</f>
        <v>4.67</v>
      </c>
      <c r="H258" s="17">
        <f>IFERROR(__xludf.DUMMYFUNCTION("""COMPUTED_VALUE"""),45665.0)</f>
        <v>45665</v>
      </c>
      <c r="I258" s="9">
        <f>IFERROR(__xludf.DUMMYFUNCTION("""COMPUTED_VALUE"""),4.67)</f>
        <v>4.67</v>
      </c>
      <c r="K258" s="17"/>
      <c r="N258" s="17"/>
    </row>
    <row r="259">
      <c r="B259" s="11">
        <f>IFERROR(__xludf.DUMMYFUNCTION("""COMPUTED_VALUE"""),45664.0)</f>
        <v>45664</v>
      </c>
      <c r="C259" s="9">
        <f>IFERROR(__xludf.DUMMYFUNCTION("""COMPUTED_VALUE"""),4.67)</f>
        <v>4.67</v>
      </c>
      <c r="E259" s="40">
        <f>IFERROR(__xludf.DUMMYFUNCTION("""COMPUTED_VALUE"""),45664.0)</f>
        <v>45664</v>
      </c>
      <c r="F259" s="9">
        <f>IFERROR(__xludf.DUMMYFUNCTION("""COMPUTED_VALUE"""),4.67)</f>
        <v>4.67</v>
      </c>
      <c r="H259" s="17">
        <f>IFERROR(__xludf.DUMMYFUNCTION("""COMPUTED_VALUE"""),45664.0)</f>
        <v>45664</v>
      </c>
      <c r="I259" s="9">
        <f>IFERROR(__xludf.DUMMYFUNCTION("""COMPUTED_VALUE"""),4.67)</f>
        <v>4.67</v>
      </c>
      <c r="K259" s="17"/>
      <c r="N259" s="17"/>
    </row>
    <row r="260">
      <c r="B260" s="11">
        <f>IFERROR(__xludf.DUMMYFUNCTION("""COMPUTED_VALUE"""),45663.0)</f>
        <v>45663</v>
      </c>
      <c r="C260" s="9">
        <f>IFERROR(__xludf.DUMMYFUNCTION("""COMPUTED_VALUE"""),4.62)</f>
        <v>4.62</v>
      </c>
      <c r="E260" s="40">
        <f>IFERROR(__xludf.DUMMYFUNCTION("""COMPUTED_VALUE"""),45663.0)</f>
        <v>45663</v>
      </c>
      <c r="F260" s="9">
        <f>IFERROR(__xludf.DUMMYFUNCTION("""COMPUTED_VALUE"""),4.62)</f>
        <v>4.62</v>
      </c>
      <c r="H260" s="17">
        <f>IFERROR(__xludf.DUMMYFUNCTION("""COMPUTED_VALUE"""),45663.0)</f>
        <v>45663</v>
      </c>
      <c r="I260" s="9">
        <f>IFERROR(__xludf.DUMMYFUNCTION("""COMPUTED_VALUE"""),4.62)</f>
        <v>4.62</v>
      </c>
      <c r="K260" s="17"/>
      <c r="N260" s="17"/>
    </row>
    <row r="261">
      <c r="B261" s="11">
        <f>IFERROR(__xludf.DUMMYFUNCTION("""COMPUTED_VALUE"""),45660.0)</f>
        <v>45660</v>
      </c>
      <c r="C261" s="9">
        <f>IFERROR(__xludf.DUMMYFUNCTION("""COMPUTED_VALUE"""),4.6)</f>
        <v>4.6</v>
      </c>
      <c r="E261" s="40">
        <f>IFERROR(__xludf.DUMMYFUNCTION("""COMPUTED_VALUE"""),45660.0)</f>
        <v>45660</v>
      </c>
      <c r="F261" s="9">
        <f>IFERROR(__xludf.DUMMYFUNCTION("""COMPUTED_VALUE"""),4.6)</f>
        <v>4.6</v>
      </c>
      <c r="H261" s="17">
        <f>IFERROR(__xludf.DUMMYFUNCTION("""COMPUTED_VALUE"""),45660.0)</f>
        <v>45660</v>
      </c>
      <c r="I261" s="9">
        <f>IFERROR(__xludf.DUMMYFUNCTION("""COMPUTED_VALUE"""),4.6)</f>
        <v>4.6</v>
      </c>
      <c r="K261" s="17"/>
      <c r="N261" s="17"/>
    </row>
    <row r="262">
      <c r="B262" s="11">
        <f>IFERROR(__xludf.DUMMYFUNCTION("""COMPUTED_VALUE"""),45659.0)</f>
        <v>45659</v>
      </c>
      <c r="C262" s="9">
        <f>IFERROR(__xludf.DUMMYFUNCTION("""COMPUTED_VALUE"""),4.57)</f>
        <v>4.57</v>
      </c>
      <c r="E262" s="40">
        <f>IFERROR(__xludf.DUMMYFUNCTION("""COMPUTED_VALUE"""),45659.0)</f>
        <v>45659</v>
      </c>
      <c r="F262" s="9">
        <f>IFERROR(__xludf.DUMMYFUNCTION("""COMPUTED_VALUE"""),4.57)</f>
        <v>4.57</v>
      </c>
      <c r="H262" s="17"/>
      <c r="K262" s="17"/>
      <c r="N262" s="17"/>
    </row>
    <row r="263">
      <c r="B263" s="11">
        <f>IFERROR(__xludf.DUMMYFUNCTION("""COMPUTED_VALUE"""),45658.0)</f>
        <v>45658</v>
      </c>
      <c r="C263" s="9"/>
      <c r="E263" s="40">
        <f>IFERROR(__xludf.DUMMYFUNCTION("""COMPUTED_VALUE"""),45658.0)</f>
        <v>45658</v>
      </c>
      <c r="F263" s="9"/>
      <c r="H263" s="17"/>
      <c r="K263" s="17"/>
      <c r="N263" s="17"/>
    </row>
    <row r="264">
      <c r="B264" s="11">
        <f>IFERROR(__xludf.DUMMYFUNCTION("""COMPUTED_VALUE"""),45657.0)</f>
        <v>45657</v>
      </c>
      <c r="C264" s="9">
        <f>IFERROR(__xludf.DUMMYFUNCTION("""COMPUTED_VALUE"""),4.58)</f>
        <v>4.58</v>
      </c>
      <c r="E264" s="40">
        <f>IFERROR(__xludf.DUMMYFUNCTION("""COMPUTED_VALUE"""),45657.0)</f>
        <v>45657</v>
      </c>
      <c r="F264" s="9">
        <f>IFERROR(__xludf.DUMMYFUNCTION("""COMPUTED_VALUE"""),4.58)</f>
        <v>4.58</v>
      </c>
      <c r="H264" s="17"/>
      <c r="K264" s="17"/>
      <c r="N264" s="17"/>
    </row>
    <row r="265">
      <c r="B265" s="11">
        <f>IFERROR(__xludf.DUMMYFUNCTION("""COMPUTED_VALUE"""),45656.0)</f>
        <v>45656</v>
      </c>
      <c r="C265" s="9">
        <f>IFERROR(__xludf.DUMMYFUNCTION("""COMPUTED_VALUE"""),4.55)</f>
        <v>4.55</v>
      </c>
      <c r="E265" s="40">
        <f>IFERROR(__xludf.DUMMYFUNCTION("""COMPUTED_VALUE"""),45656.0)</f>
        <v>45656</v>
      </c>
      <c r="F265" s="9">
        <f>IFERROR(__xludf.DUMMYFUNCTION("""COMPUTED_VALUE"""),4.55)</f>
        <v>4.55</v>
      </c>
      <c r="H265" s="17"/>
      <c r="K265" s="17"/>
      <c r="N265" s="17"/>
    </row>
    <row r="266">
      <c r="B266" s="11">
        <f>IFERROR(__xludf.DUMMYFUNCTION("""COMPUTED_VALUE"""),45653.0)</f>
        <v>45653</v>
      </c>
      <c r="C266" s="9">
        <f>IFERROR(__xludf.DUMMYFUNCTION("""COMPUTED_VALUE"""),4.62)</f>
        <v>4.62</v>
      </c>
      <c r="E266" s="40">
        <f>IFERROR(__xludf.DUMMYFUNCTION("""COMPUTED_VALUE"""),45653.0)</f>
        <v>45653</v>
      </c>
      <c r="F266" s="9">
        <f>IFERROR(__xludf.DUMMYFUNCTION("""COMPUTED_VALUE"""),4.62)</f>
        <v>4.62</v>
      </c>
      <c r="H266" s="17"/>
      <c r="K266" s="17"/>
      <c r="N266" s="17"/>
    </row>
    <row r="267">
      <c r="B267" s="11">
        <f>IFERROR(__xludf.DUMMYFUNCTION("""COMPUTED_VALUE"""),45652.0)</f>
        <v>45652</v>
      </c>
      <c r="C267" s="9">
        <f>IFERROR(__xludf.DUMMYFUNCTION("""COMPUTED_VALUE"""),4.58)</f>
        <v>4.58</v>
      </c>
      <c r="E267" s="40">
        <f>IFERROR(__xludf.DUMMYFUNCTION("""COMPUTED_VALUE"""),45652.0)</f>
        <v>45652</v>
      </c>
      <c r="F267" s="9">
        <f>IFERROR(__xludf.DUMMYFUNCTION("""COMPUTED_VALUE"""),4.58)</f>
        <v>4.58</v>
      </c>
      <c r="H267" s="17"/>
      <c r="K267" s="17"/>
      <c r="N267" s="17"/>
    </row>
    <row r="268">
      <c r="B268" s="11">
        <f>IFERROR(__xludf.DUMMYFUNCTION("""COMPUTED_VALUE"""),45651.0)</f>
        <v>45651</v>
      </c>
      <c r="C268" s="9"/>
      <c r="E268" s="40">
        <f>IFERROR(__xludf.DUMMYFUNCTION("""COMPUTED_VALUE"""),45651.0)</f>
        <v>45651</v>
      </c>
      <c r="F268" s="9"/>
      <c r="H268" s="17"/>
      <c r="K268" s="17"/>
      <c r="N268" s="17"/>
    </row>
    <row r="269">
      <c r="B269" s="11">
        <f>IFERROR(__xludf.DUMMYFUNCTION("""COMPUTED_VALUE"""),45650.0)</f>
        <v>45650</v>
      </c>
      <c r="C269" s="9">
        <f>IFERROR(__xludf.DUMMYFUNCTION("""COMPUTED_VALUE"""),4.59)</f>
        <v>4.59</v>
      </c>
      <c r="E269" s="40">
        <f>IFERROR(__xludf.DUMMYFUNCTION("""COMPUTED_VALUE"""),45650.0)</f>
        <v>45650</v>
      </c>
      <c r="F269" s="9">
        <f>IFERROR(__xludf.DUMMYFUNCTION("""COMPUTED_VALUE"""),4.59)</f>
        <v>4.59</v>
      </c>
      <c r="H269" s="17"/>
      <c r="K269" s="17"/>
      <c r="N269" s="17"/>
    </row>
    <row r="270">
      <c r="B270" s="11">
        <f>IFERROR(__xludf.DUMMYFUNCTION("""COMPUTED_VALUE"""),45649.0)</f>
        <v>45649</v>
      </c>
      <c r="C270" s="9">
        <f>IFERROR(__xludf.DUMMYFUNCTION("""COMPUTED_VALUE"""),4.59)</f>
        <v>4.59</v>
      </c>
      <c r="E270" s="40">
        <f>IFERROR(__xludf.DUMMYFUNCTION("""COMPUTED_VALUE"""),45649.0)</f>
        <v>45649</v>
      </c>
      <c r="F270" s="9">
        <f>IFERROR(__xludf.DUMMYFUNCTION("""COMPUTED_VALUE"""),4.59)</f>
        <v>4.59</v>
      </c>
      <c r="H270" s="17"/>
      <c r="K270" s="17"/>
      <c r="N270" s="17"/>
    </row>
    <row r="271">
      <c r="B271" s="11">
        <f>IFERROR(__xludf.DUMMYFUNCTION("""COMPUTED_VALUE"""),45646.0)</f>
        <v>45646</v>
      </c>
      <c r="C271" s="9">
        <f>IFERROR(__xludf.DUMMYFUNCTION("""COMPUTED_VALUE"""),4.52)</f>
        <v>4.52</v>
      </c>
      <c r="E271" s="40">
        <f>IFERROR(__xludf.DUMMYFUNCTION("""COMPUTED_VALUE"""),45646.0)</f>
        <v>45646</v>
      </c>
      <c r="F271" s="9">
        <f>IFERROR(__xludf.DUMMYFUNCTION("""COMPUTED_VALUE"""),4.52)</f>
        <v>4.52</v>
      </c>
      <c r="H271" s="17"/>
      <c r="K271" s="17"/>
      <c r="N271" s="17"/>
    </row>
    <row r="272">
      <c r="B272" s="11">
        <f>IFERROR(__xludf.DUMMYFUNCTION("""COMPUTED_VALUE"""),45645.0)</f>
        <v>45645</v>
      </c>
      <c r="C272" s="9">
        <f>IFERROR(__xludf.DUMMYFUNCTION("""COMPUTED_VALUE"""),4.57)</f>
        <v>4.57</v>
      </c>
      <c r="E272" s="40">
        <f>IFERROR(__xludf.DUMMYFUNCTION("""COMPUTED_VALUE"""),45645.0)</f>
        <v>45645</v>
      </c>
      <c r="F272" s="9">
        <f>IFERROR(__xludf.DUMMYFUNCTION("""COMPUTED_VALUE"""),4.57)</f>
        <v>4.57</v>
      </c>
      <c r="H272" s="17"/>
      <c r="K272" s="17"/>
      <c r="N272" s="17"/>
    </row>
    <row r="273">
      <c r="B273" s="11">
        <f>IFERROR(__xludf.DUMMYFUNCTION("""COMPUTED_VALUE"""),45644.0)</f>
        <v>45644</v>
      </c>
      <c r="C273" s="9">
        <f>IFERROR(__xludf.DUMMYFUNCTION("""COMPUTED_VALUE"""),4.5)</f>
        <v>4.5</v>
      </c>
      <c r="E273" s="40">
        <f>IFERROR(__xludf.DUMMYFUNCTION("""COMPUTED_VALUE"""),45644.0)</f>
        <v>45644</v>
      </c>
      <c r="F273" s="9">
        <f>IFERROR(__xludf.DUMMYFUNCTION("""COMPUTED_VALUE"""),4.5)</f>
        <v>4.5</v>
      </c>
      <c r="H273" s="17"/>
      <c r="K273" s="17"/>
      <c r="N273" s="17"/>
    </row>
    <row r="274">
      <c r="B274" s="11">
        <f>IFERROR(__xludf.DUMMYFUNCTION("""COMPUTED_VALUE"""),45643.0)</f>
        <v>45643</v>
      </c>
      <c r="C274" s="9">
        <f>IFERROR(__xludf.DUMMYFUNCTION("""COMPUTED_VALUE"""),4.4)</f>
        <v>4.4</v>
      </c>
      <c r="E274" s="40">
        <f>IFERROR(__xludf.DUMMYFUNCTION("""COMPUTED_VALUE"""),45643.0)</f>
        <v>45643</v>
      </c>
      <c r="F274" s="9">
        <f>IFERROR(__xludf.DUMMYFUNCTION("""COMPUTED_VALUE"""),4.4)</f>
        <v>4.4</v>
      </c>
      <c r="H274" s="17"/>
      <c r="K274" s="17"/>
      <c r="N274" s="17"/>
    </row>
    <row r="275">
      <c r="B275" s="11">
        <f>IFERROR(__xludf.DUMMYFUNCTION("""COMPUTED_VALUE"""),45642.0)</f>
        <v>45642</v>
      </c>
      <c r="C275" s="9">
        <f>IFERROR(__xludf.DUMMYFUNCTION("""COMPUTED_VALUE"""),4.39)</f>
        <v>4.39</v>
      </c>
      <c r="E275" s="40">
        <f>IFERROR(__xludf.DUMMYFUNCTION("""COMPUTED_VALUE"""),45642.0)</f>
        <v>45642</v>
      </c>
      <c r="F275" s="9">
        <f>IFERROR(__xludf.DUMMYFUNCTION("""COMPUTED_VALUE"""),4.39)</f>
        <v>4.39</v>
      </c>
      <c r="H275" s="17"/>
      <c r="K275" s="17"/>
      <c r="N275" s="17"/>
    </row>
    <row r="276">
      <c r="B276" s="11">
        <f>IFERROR(__xludf.DUMMYFUNCTION("""COMPUTED_VALUE"""),45639.0)</f>
        <v>45639</v>
      </c>
      <c r="C276" s="9">
        <f>IFERROR(__xludf.DUMMYFUNCTION("""COMPUTED_VALUE"""),4.4)</f>
        <v>4.4</v>
      </c>
      <c r="E276" s="40">
        <f>IFERROR(__xludf.DUMMYFUNCTION("""COMPUTED_VALUE"""),45639.0)</f>
        <v>45639</v>
      </c>
      <c r="F276" s="9">
        <f>IFERROR(__xludf.DUMMYFUNCTION("""COMPUTED_VALUE"""),4.4)</f>
        <v>4.4</v>
      </c>
      <c r="H276" s="17"/>
      <c r="K276" s="17"/>
      <c r="N276" s="17"/>
    </row>
    <row r="277">
      <c r="B277" s="11">
        <f>IFERROR(__xludf.DUMMYFUNCTION("""COMPUTED_VALUE"""),45638.0)</f>
        <v>45638</v>
      </c>
      <c r="C277" s="9">
        <f>IFERROR(__xludf.DUMMYFUNCTION("""COMPUTED_VALUE"""),4.32)</f>
        <v>4.32</v>
      </c>
      <c r="E277" s="40">
        <f>IFERROR(__xludf.DUMMYFUNCTION("""COMPUTED_VALUE"""),45638.0)</f>
        <v>45638</v>
      </c>
      <c r="F277" s="9">
        <f>IFERROR(__xludf.DUMMYFUNCTION("""COMPUTED_VALUE"""),4.32)</f>
        <v>4.32</v>
      </c>
      <c r="H277" s="17"/>
      <c r="K277" s="17"/>
      <c r="N277" s="17"/>
    </row>
    <row r="278">
      <c r="B278" s="11">
        <f>IFERROR(__xludf.DUMMYFUNCTION("""COMPUTED_VALUE"""),45637.0)</f>
        <v>45637</v>
      </c>
      <c r="C278" s="9">
        <f>IFERROR(__xludf.DUMMYFUNCTION("""COMPUTED_VALUE"""),4.26)</f>
        <v>4.26</v>
      </c>
      <c r="E278" s="40">
        <f>IFERROR(__xludf.DUMMYFUNCTION("""COMPUTED_VALUE"""),45637.0)</f>
        <v>45637</v>
      </c>
      <c r="F278" s="9">
        <f>IFERROR(__xludf.DUMMYFUNCTION("""COMPUTED_VALUE"""),4.26)</f>
        <v>4.26</v>
      </c>
      <c r="H278" s="17"/>
      <c r="K278" s="17"/>
      <c r="N278" s="17"/>
    </row>
    <row r="279">
      <c r="B279" s="11">
        <f>IFERROR(__xludf.DUMMYFUNCTION("""COMPUTED_VALUE"""),45636.0)</f>
        <v>45636</v>
      </c>
      <c r="C279" s="9">
        <f>IFERROR(__xludf.DUMMYFUNCTION("""COMPUTED_VALUE"""),4.22)</f>
        <v>4.22</v>
      </c>
      <c r="E279" s="40">
        <f>IFERROR(__xludf.DUMMYFUNCTION("""COMPUTED_VALUE"""),45636.0)</f>
        <v>45636</v>
      </c>
      <c r="F279" s="9">
        <f>IFERROR(__xludf.DUMMYFUNCTION("""COMPUTED_VALUE"""),4.22)</f>
        <v>4.22</v>
      </c>
      <c r="H279" s="17"/>
      <c r="K279" s="17"/>
      <c r="N279" s="17"/>
    </row>
    <row r="280">
      <c r="B280" s="11">
        <f>IFERROR(__xludf.DUMMYFUNCTION("""COMPUTED_VALUE"""),45635.0)</f>
        <v>45635</v>
      </c>
      <c r="C280" s="9">
        <f>IFERROR(__xludf.DUMMYFUNCTION("""COMPUTED_VALUE"""),4.2)</f>
        <v>4.2</v>
      </c>
      <c r="E280" s="40">
        <f>IFERROR(__xludf.DUMMYFUNCTION("""COMPUTED_VALUE"""),45635.0)</f>
        <v>45635</v>
      </c>
      <c r="F280" s="9">
        <f>IFERROR(__xludf.DUMMYFUNCTION("""COMPUTED_VALUE"""),4.2)</f>
        <v>4.2</v>
      </c>
      <c r="H280" s="17"/>
      <c r="K280" s="17"/>
      <c r="N280" s="17"/>
    </row>
    <row r="281">
      <c r="B281" s="11">
        <f>IFERROR(__xludf.DUMMYFUNCTION("""COMPUTED_VALUE"""),45632.0)</f>
        <v>45632</v>
      </c>
      <c r="C281" s="9">
        <f>IFERROR(__xludf.DUMMYFUNCTION("""COMPUTED_VALUE"""),4.15)</f>
        <v>4.15</v>
      </c>
      <c r="E281" s="40">
        <f>IFERROR(__xludf.DUMMYFUNCTION("""COMPUTED_VALUE"""),45632.0)</f>
        <v>45632</v>
      </c>
      <c r="F281" s="9">
        <f>IFERROR(__xludf.DUMMYFUNCTION("""COMPUTED_VALUE"""),4.15)</f>
        <v>4.15</v>
      </c>
      <c r="H281" s="17"/>
      <c r="K281" s="17"/>
      <c r="N281" s="17"/>
    </row>
    <row r="282">
      <c r="B282" s="11">
        <f>IFERROR(__xludf.DUMMYFUNCTION("""COMPUTED_VALUE"""),45631.0)</f>
        <v>45631</v>
      </c>
      <c r="C282" s="9">
        <f>IFERROR(__xludf.DUMMYFUNCTION("""COMPUTED_VALUE"""),4.17)</f>
        <v>4.17</v>
      </c>
      <c r="E282" s="40">
        <f>IFERROR(__xludf.DUMMYFUNCTION("""COMPUTED_VALUE"""),45631.0)</f>
        <v>45631</v>
      </c>
      <c r="F282" s="9">
        <f>IFERROR(__xludf.DUMMYFUNCTION("""COMPUTED_VALUE"""),4.17)</f>
        <v>4.17</v>
      </c>
      <c r="H282" s="17"/>
      <c r="K282" s="17"/>
      <c r="N282" s="17"/>
    </row>
    <row r="283">
      <c r="B283" s="11">
        <f>IFERROR(__xludf.DUMMYFUNCTION("""COMPUTED_VALUE"""),45630.0)</f>
        <v>45630</v>
      </c>
      <c r="C283" s="9">
        <f>IFERROR(__xludf.DUMMYFUNCTION("""COMPUTED_VALUE"""),4.19)</f>
        <v>4.19</v>
      </c>
      <c r="E283" s="40">
        <f>IFERROR(__xludf.DUMMYFUNCTION("""COMPUTED_VALUE"""),45630.0)</f>
        <v>45630</v>
      </c>
      <c r="F283" s="9">
        <f>IFERROR(__xludf.DUMMYFUNCTION("""COMPUTED_VALUE"""),4.19)</f>
        <v>4.19</v>
      </c>
      <c r="H283" s="17"/>
      <c r="K283" s="17"/>
      <c r="N283" s="17"/>
    </row>
    <row r="284">
      <c r="B284" s="11">
        <f>IFERROR(__xludf.DUMMYFUNCTION("""COMPUTED_VALUE"""),45629.0)</f>
        <v>45629</v>
      </c>
      <c r="C284" s="9">
        <f>IFERROR(__xludf.DUMMYFUNCTION("""COMPUTED_VALUE"""),4.23)</f>
        <v>4.23</v>
      </c>
      <c r="E284" s="40">
        <f>IFERROR(__xludf.DUMMYFUNCTION("""COMPUTED_VALUE"""),45629.0)</f>
        <v>45629</v>
      </c>
      <c r="F284" s="9">
        <f>IFERROR(__xludf.DUMMYFUNCTION("""COMPUTED_VALUE"""),4.23)</f>
        <v>4.23</v>
      </c>
      <c r="H284" s="17"/>
      <c r="K284" s="17"/>
      <c r="N284" s="17"/>
    </row>
    <row r="285">
      <c r="B285" s="11">
        <f>IFERROR(__xludf.DUMMYFUNCTION("""COMPUTED_VALUE"""),45628.0)</f>
        <v>45628</v>
      </c>
      <c r="C285" s="9">
        <f>IFERROR(__xludf.DUMMYFUNCTION("""COMPUTED_VALUE"""),4.19)</f>
        <v>4.19</v>
      </c>
      <c r="E285" s="40">
        <f>IFERROR(__xludf.DUMMYFUNCTION("""COMPUTED_VALUE"""),45628.0)</f>
        <v>45628</v>
      </c>
      <c r="F285" s="9">
        <f>IFERROR(__xludf.DUMMYFUNCTION("""COMPUTED_VALUE"""),4.19)</f>
        <v>4.19</v>
      </c>
      <c r="H285" s="17"/>
      <c r="K285" s="17"/>
      <c r="N285" s="17"/>
    </row>
    <row r="286">
      <c r="B286" s="11">
        <f>IFERROR(__xludf.DUMMYFUNCTION("""COMPUTED_VALUE"""),45625.0)</f>
        <v>45625</v>
      </c>
      <c r="C286" s="9">
        <f>IFERROR(__xludf.DUMMYFUNCTION("""COMPUTED_VALUE"""),4.18)</f>
        <v>4.18</v>
      </c>
      <c r="E286" s="40">
        <f>IFERROR(__xludf.DUMMYFUNCTION("""COMPUTED_VALUE"""),45625.0)</f>
        <v>45625</v>
      </c>
      <c r="F286" s="9">
        <f>IFERROR(__xludf.DUMMYFUNCTION("""COMPUTED_VALUE"""),4.18)</f>
        <v>4.18</v>
      </c>
      <c r="H286" s="17"/>
      <c r="K286" s="17"/>
      <c r="N286" s="17"/>
    </row>
    <row r="287">
      <c r="B287" s="11">
        <f>IFERROR(__xludf.DUMMYFUNCTION("""COMPUTED_VALUE"""),45624.0)</f>
        <v>45624</v>
      </c>
      <c r="C287" s="9"/>
      <c r="E287" s="40">
        <f>IFERROR(__xludf.DUMMYFUNCTION("""COMPUTED_VALUE"""),45624.0)</f>
        <v>45624</v>
      </c>
      <c r="F287" s="9"/>
      <c r="H287" s="17"/>
      <c r="K287" s="17"/>
      <c r="N287" s="17"/>
    </row>
    <row r="288">
      <c r="B288" s="11">
        <f>IFERROR(__xludf.DUMMYFUNCTION("""COMPUTED_VALUE"""),45623.0)</f>
        <v>45623</v>
      </c>
      <c r="C288" s="9">
        <f>IFERROR(__xludf.DUMMYFUNCTION("""COMPUTED_VALUE"""),4.25)</f>
        <v>4.25</v>
      </c>
      <c r="E288" s="40">
        <f>IFERROR(__xludf.DUMMYFUNCTION("""COMPUTED_VALUE"""),45623.0)</f>
        <v>45623</v>
      </c>
      <c r="F288" s="9">
        <f>IFERROR(__xludf.DUMMYFUNCTION("""COMPUTED_VALUE"""),4.25)</f>
        <v>4.25</v>
      </c>
      <c r="H288" s="17"/>
      <c r="K288" s="17"/>
      <c r="N288" s="17"/>
    </row>
    <row r="289">
      <c r="B289" s="11">
        <f>IFERROR(__xludf.DUMMYFUNCTION("""COMPUTED_VALUE"""),45622.0)</f>
        <v>45622</v>
      </c>
      <c r="C289" s="9">
        <f>IFERROR(__xludf.DUMMYFUNCTION("""COMPUTED_VALUE"""),4.3)</f>
        <v>4.3</v>
      </c>
      <c r="E289" s="40">
        <f>IFERROR(__xludf.DUMMYFUNCTION("""COMPUTED_VALUE"""),45622.0)</f>
        <v>45622</v>
      </c>
      <c r="F289" s="9">
        <f>IFERROR(__xludf.DUMMYFUNCTION("""COMPUTED_VALUE"""),4.3)</f>
        <v>4.3</v>
      </c>
      <c r="H289" s="17"/>
      <c r="K289" s="17"/>
      <c r="N289" s="17"/>
    </row>
    <row r="290">
      <c r="B290" s="11">
        <f>IFERROR(__xludf.DUMMYFUNCTION("""COMPUTED_VALUE"""),45621.0)</f>
        <v>45621</v>
      </c>
      <c r="C290" s="9">
        <f>IFERROR(__xludf.DUMMYFUNCTION("""COMPUTED_VALUE"""),4.27)</f>
        <v>4.27</v>
      </c>
      <c r="E290" s="40">
        <f>IFERROR(__xludf.DUMMYFUNCTION("""COMPUTED_VALUE"""),45621.0)</f>
        <v>45621</v>
      </c>
      <c r="F290" s="9">
        <f>IFERROR(__xludf.DUMMYFUNCTION("""COMPUTED_VALUE"""),4.27)</f>
        <v>4.27</v>
      </c>
      <c r="H290" s="17"/>
      <c r="K290" s="17"/>
      <c r="N290" s="17"/>
    </row>
    <row r="291">
      <c r="B291" s="11">
        <f>IFERROR(__xludf.DUMMYFUNCTION("""COMPUTED_VALUE"""),45618.0)</f>
        <v>45618</v>
      </c>
      <c r="C291" s="9">
        <f>IFERROR(__xludf.DUMMYFUNCTION("""COMPUTED_VALUE"""),4.41)</f>
        <v>4.41</v>
      </c>
      <c r="E291" s="40">
        <f>IFERROR(__xludf.DUMMYFUNCTION("""COMPUTED_VALUE"""),45618.0)</f>
        <v>45618</v>
      </c>
      <c r="F291" s="9">
        <f>IFERROR(__xludf.DUMMYFUNCTION("""COMPUTED_VALUE"""),4.41)</f>
        <v>4.41</v>
      </c>
      <c r="H291" s="17"/>
      <c r="K291" s="17"/>
      <c r="N291" s="17"/>
    </row>
    <row r="292">
      <c r="B292" s="11">
        <f>IFERROR(__xludf.DUMMYFUNCTION("""COMPUTED_VALUE"""),45617.0)</f>
        <v>45617</v>
      </c>
      <c r="C292" s="9">
        <f>IFERROR(__xludf.DUMMYFUNCTION("""COMPUTED_VALUE"""),4.43)</f>
        <v>4.43</v>
      </c>
      <c r="E292" s="40">
        <f>IFERROR(__xludf.DUMMYFUNCTION("""COMPUTED_VALUE"""),45617.0)</f>
        <v>45617</v>
      </c>
      <c r="F292" s="9">
        <f>IFERROR(__xludf.DUMMYFUNCTION("""COMPUTED_VALUE"""),4.43)</f>
        <v>4.43</v>
      </c>
      <c r="H292" s="17"/>
      <c r="K292" s="17"/>
      <c r="N292" s="17"/>
    </row>
    <row r="293">
      <c r="B293" s="11">
        <f>IFERROR(__xludf.DUMMYFUNCTION("""COMPUTED_VALUE"""),45616.0)</f>
        <v>45616</v>
      </c>
      <c r="C293" s="9">
        <f>IFERROR(__xludf.DUMMYFUNCTION("""COMPUTED_VALUE"""),4.41)</f>
        <v>4.41</v>
      </c>
      <c r="E293" s="40">
        <f>IFERROR(__xludf.DUMMYFUNCTION("""COMPUTED_VALUE"""),45616.0)</f>
        <v>45616</v>
      </c>
      <c r="F293" s="9">
        <f>IFERROR(__xludf.DUMMYFUNCTION("""COMPUTED_VALUE"""),4.41)</f>
        <v>4.41</v>
      </c>
      <c r="H293" s="17"/>
      <c r="K293" s="17"/>
      <c r="N293" s="17"/>
    </row>
    <row r="294">
      <c r="B294" s="11">
        <f>IFERROR(__xludf.DUMMYFUNCTION("""COMPUTED_VALUE"""),45615.0)</f>
        <v>45615</v>
      </c>
      <c r="C294" s="9">
        <f>IFERROR(__xludf.DUMMYFUNCTION("""COMPUTED_VALUE"""),4.39)</f>
        <v>4.39</v>
      </c>
      <c r="E294" s="40">
        <f>IFERROR(__xludf.DUMMYFUNCTION("""COMPUTED_VALUE"""),45615.0)</f>
        <v>45615</v>
      </c>
      <c r="F294" s="9">
        <f>IFERROR(__xludf.DUMMYFUNCTION("""COMPUTED_VALUE"""),4.39)</f>
        <v>4.39</v>
      </c>
      <c r="H294" s="17"/>
      <c r="K294" s="17"/>
      <c r="N294" s="17"/>
    </row>
    <row r="295">
      <c r="B295" s="11">
        <f>IFERROR(__xludf.DUMMYFUNCTION("""COMPUTED_VALUE"""),45614.0)</f>
        <v>45614</v>
      </c>
      <c r="C295" s="9">
        <f>IFERROR(__xludf.DUMMYFUNCTION("""COMPUTED_VALUE"""),4.42)</f>
        <v>4.42</v>
      </c>
      <c r="E295" s="40">
        <f>IFERROR(__xludf.DUMMYFUNCTION("""COMPUTED_VALUE"""),45614.0)</f>
        <v>45614</v>
      </c>
      <c r="F295" s="9">
        <f>IFERROR(__xludf.DUMMYFUNCTION("""COMPUTED_VALUE"""),4.42)</f>
        <v>4.42</v>
      </c>
      <c r="H295" s="17"/>
      <c r="K295" s="17"/>
      <c r="N295" s="17"/>
    </row>
    <row r="296">
      <c r="B296" s="11">
        <f>IFERROR(__xludf.DUMMYFUNCTION("""COMPUTED_VALUE"""),45611.0)</f>
        <v>45611</v>
      </c>
      <c r="C296" s="9">
        <f>IFERROR(__xludf.DUMMYFUNCTION("""COMPUTED_VALUE"""),4.43)</f>
        <v>4.43</v>
      </c>
      <c r="E296" s="40">
        <f>IFERROR(__xludf.DUMMYFUNCTION("""COMPUTED_VALUE"""),45611.0)</f>
        <v>45611</v>
      </c>
      <c r="F296" s="9">
        <f>IFERROR(__xludf.DUMMYFUNCTION("""COMPUTED_VALUE"""),4.43)</f>
        <v>4.43</v>
      </c>
      <c r="H296" s="17"/>
      <c r="K296" s="17"/>
      <c r="N296" s="17"/>
    </row>
    <row r="297">
      <c r="B297" s="11">
        <f>IFERROR(__xludf.DUMMYFUNCTION("""COMPUTED_VALUE"""),45610.0)</f>
        <v>45610</v>
      </c>
      <c r="C297" s="9">
        <f>IFERROR(__xludf.DUMMYFUNCTION("""COMPUTED_VALUE"""),4.43)</f>
        <v>4.43</v>
      </c>
      <c r="E297" s="40">
        <f>IFERROR(__xludf.DUMMYFUNCTION("""COMPUTED_VALUE"""),45610.0)</f>
        <v>45610</v>
      </c>
      <c r="F297" s="9">
        <f>IFERROR(__xludf.DUMMYFUNCTION("""COMPUTED_VALUE"""),4.43)</f>
        <v>4.43</v>
      </c>
      <c r="H297" s="17"/>
      <c r="K297" s="17"/>
      <c r="N297" s="17"/>
    </row>
    <row r="298">
      <c r="B298" s="11">
        <f>IFERROR(__xludf.DUMMYFUNCTION("""COMPUTED_VALUE"""),45609.0)</f>
        <v>45609</v>
      </c>
      <c r="C298" s="9">
        <f>IFERROR(__xludf.DUMMYFUNCTION("""COMPUTED_VALUE"""),4.44)</f>
        <v>4.44</v>
      </c>
      <c r="E298" s="40">
        <f>IFERROR(__xludf.DUMMYFUNCTION("""COMPUTED_VALUE"""),45609.0)</f>
        <v>45609</v>
      </c>
      <c r="F298" s="9">
        <f>IFERROR(__xludf.DUMMYFUNCTION("""COMPUTED_VALUE"""),4.44)</f>
        <v>4.44</v>
      </c>
      <c r="H298" s="17"/>
      <c r="K298" s="17"/>
      <c r="N298" s="17"/>
    </row>
    <row r="299">
      <c r="B299" s="11">
        <f>IFERROR(__xludf.DUMMYFUNCTION("""COMPUTED_VALUE"""),45608.0)</f>
        <v>45608</v>
      </c>
      <c r="C299" s="9">
        <f>IFERROR(__xludf.DUMMYFUNCTION("""COMPUTED_VALUE"""),4.43)</f>
        <v>4.43</v>
      </c>
      <c r="E299" s="40">
        <f>IFERROR(__xludf.DUMMYFUNCTION("""COMPUTED_VALUE"""),45608.0)</f>
        <v>45608</v>
      </c>
      <c r="F299" s="9">
        <f>IFERROR(__xludf.DUMMYFUNCTION("""COMPUTED_VALUE"""),4.43)</f>
        <v>4.43</v>
      </c>
      <c r="H299" s="17"/>
      <c r="K299" s="17"/>
      <c r="N299" s="17"/>
    </row>
    <row r="300">
      <c r="B300" s="11">
        <f>IFERROR(__xludf.DUMMYFUNCTION("""COMPUTED_VALUE"""),45607.0)</f>
        <v>45607</v>
      </c>
      <c r="C300" s="9"/>
      <c r="E300" s="40">
        <f>IFERROR(__xludf.DUMMYFUNCTION("""COMPUTED_VALUE"""),45607.0)</f>
        <v>45607</v>
      </c>
      <c r="F300" s="9"/>
      <c r="H300" s="17"/>
      <c r="K300" s="17"/>
      <c r="N300" s="17"/>
    </row>
    <row r="301">
      <c r="B301" s="11">
        <f>IFERROR(__xludf.DUMMYFUNCTION("""COMPUTED_VALUE"""),45604.0)</f>
        <v>45604</v>
      </c>
      <c r="C301" s="9">
        <f>IFERROR(__xludf.DUMMYFUNCTION("""COMPUTED_VALUE"""),4.3)</f>
        <v>4.3</v>
      </c>
      <c r="E301" s="40">
        <f>IFERROR(__xludf.DUMMYFUNCTION("""COMPUTED_VALUE"""),45604.0)</f>
        <v>45604</v>
      </c>
      <c r="F301" s="9">
        <f>IFERROR(__xludf.DUMMYFUNCTION("""COMPUTED_VALUE"""),4.3)</f>
        <v>4.3</v>
      </c>
      <c r="H301" s="17"/>
      <c r="K301" s="17"/>
      <c r="N301" s="17"/>
    </row>
    <row r="302">
      <c r="B302" s="11">
        <f>IFERROR(__xludf.DUMMYFUNCTION("""COMPUTED_VALUE"""),45603.0)</f>
        <v>45603</v>
      </c>
      <c r="C302" s="9">
        <f>IFERROR(__xludf.DUMMYFUNCTION("""COMPUTED_VALUE"""),4.31)</f>
        <v>4.31</v>
      </c>
      <c r="E302" s="40">
        <f>IFERROR(__xludf.DUMMYFUNCTION("""COMPUTED_VALUE"""),45603.0)</f>
        <v>45603</v>
      </c>
      <c r="F302" s="9">
        <f>IFERROR(__xludf.DUMMYFUNCTION("""COMPUTED_VALUE"""),4.31)</f>
        <v>4.31</v>
      </c>
      <c r="H302" s="17"/>
      <c r="K302" s="17"/>
      <c r="N302" s="17"/>
    </row>
    <row r="303">
      <c r="B303" s="11">
        <f>IFERROR(__xludf.DUMMYFUNCTION("""COMPUTED_VALUE"""),45602.0)</f>
        <v>45602</v>
      </c>
      <c r="C303" s="9">
        <f>IFERROR(__xludf.DUMMYFUNCTION("""COMPUTED_VALUE"""),4.42)</f>
        <v>4.42</v>
      </c>
      <c r="E303" s="40">
        <f>IFERROR(__xludf.DUMMYFUNCTION("""COMPUTED_VALUE"""),45602.0)</f>
        <v>45602</v>
      </c>
      <c r="F303" s="9">
        <f>IFERROR(__xludf.DUMMYFUNCTION("""COMPUTED_VALUE"""),4.42)</f>
        <v>4.42</v>
      </c>
      <c r="H303" s="17"/>
      <c r="K303" s="17"/>
      <c r="N303" s="17"/>
    </row>
    <row r="304">
      <c r="B304" s="11">
        <f>IFERROR(__xludf.DUMMYFUNCTION("""COMPUTED_VALUE"""),45601.0)</f>
        <v>45601</v>
      </c>
      <c r="C304" s="9">
        <f>IFERROR(__xludf.DUMMYFUNCTION("""COMPUTED_VALUE"""),4.26)</f>
        <v>4.26</v>
      </c>
      <c r="E304" s="40">
        <f>IFERROR(__xludf.DUMMYFUNCTION("""COMPUTED_VALUE"""),45601.0)</f>
        <v>45601</v>
      </c>
      <c r="F304" s="9">
        <f>IFERROR(__xludf.DUMMYFUNCTION("""COMPUTED_VALUE"""),4.26)</f>
        <v>4.26</v>
      </c>
      <c r="H304" s="17"/>
      <c r="K304" s="17"/>
      <c r="N304" s="17"/>
    </row>
    <row r="305">
      <c r="B305" s="11">
        <f>IFERROR(__xludf.DUMMYFUNCTION("""COMPUTED_VALUE"""),45600.0)</f>
        <v>45600</v>
      </c>
      <c r="C305" s="9">
        <f>IFERROR(__xludf.DUMMYFUNCTION("""COMPUTED_VALUE"""),4.31)</f>
        <v>4.31</v>
      </c>
      <c r="E305" s="40">
        <f>IFERROR(__xludf.DUMMYFUNCTION("""COMPUTED_VALUE"""),45600.0)</f>
        <v>45600</v>
      </c>
      <c r="F305" s="9">
        <f>IFERROR(__xludf.DUMMYFUNCTION("""COMPUTED_VALUE"""),4.31)</f>
        <v>4.31</v>
      </c>
      <c r="H305" s="17"/>
      <c r="K305" s="17"/>
      <c r="N305" s="17"/>
    </row>
    <row r="306">
      <c r="B306" s="11">
        <f>IFERROR(__xludf.DUMMYFUNCTION("""COMPUTED_VALUE"""),45597.0)</f>
        <v>45597</v>
      </c>
      <c r="C306" s="9">
        <f>IFERROR(__xludf.DUMMYFUNCTION("""COMPUTED_VALUE"""),4.37)</f>
        <v>4.37</v>
      </c>
      <c r="E306" s="40">
        <f>IFERROR(__xludf.DUMMYFUNCTION("""COMPUTED_VALUE"""),45597.0)</f>
        <v>45597</v>
      </c>
      <c r="F306" s="9">
        <f>IFERROR(__xludf.DUMMYFUNCTION("""COMPUTED_VALUE"""),4.37)</f>
        <v>4.37</v>
      </c>
      <c r="H306" s="17"/>
      <c r="K306" s="17"/>
      <c r="N306" s="17"/>
    </row>
    <row r="307">
      <c r="B307" s="11">
        <f>IFERROR(__xludf.DUMMYFUNCTION("""COMPUTED_VALUE"""),45596.0)</f>
        <v>45596</v>
      </c>
      <c r="C307" s="9">
        <f>IFERROR(__xludf.DUMMYFUNCTION("""COMPUTED_VALUE"""),4.28)</f>
        <v>4.28</v>
      </c>
      <c r="E307" s="40">
        <f>IFERROR(__xludf.DUMMYFUNCTION("""COMPUTED_VALUE"""),45596.0)</f>
        <v>45596</v>
      </c>
      <c r="F307" s="9">
        <f>IFERROR(__xludf.DUMMYFUNCTION("""COMPUTED_VALUE"""),4.28)</f>
        <v>4.28</v>
      </c>
      <c r="H307" s="17"/>
      <c r="K307" s="17"/>
      <c r="N307" s="17"/>
    </row>
    <row r="308">
      <c r="B308" s="11">
        <f>IFERROR(__xludf.DUMMYFUNCTION("""COMPUTED_VALUE"""),45595.0)</f>
        <v>45595</v>
      </c>
      <c r="C308" s="9">
        <f>IFERROR(__xludf.DUMMYFUNCTION("""COMPUTED_VALUE"""),4.29)</f>
        <v>4.29</v>
      </c>
      <c r="E308" s="40">
        <f>IFERROR(__xludf.DUMMYFUNCTION("""COMPUTED_VALUE"""),45595.0)</f>
        <v>45595</v>
      </c>
      <c r="F308" s="9">
        <f>IFERROR(__xludf.DUMMYFUNCTION("""COMPUTED_VALUE"""),4.29)</f>
        <v>4.29</v>
      </c>
      <c r="H308" s="17"/>
      <c r="K308" s="17"/>
      <c r="N308" s="17"/>
    </row>
    <row r="309">
      <c r="B309" s="11">
        <f>IFERROR(__xludf.DUMMYFUNCTION("""COMPUTED_VALUE"""),45594.0)</f>
        <v>45594</v>
      </c>
      <c r="C309" s="9">
        <f>IFERROR(__xludf.DUMMYFUNCTION("""COMPUTED_VALUE"""),4.28)</f>
        <v>4.28</v>
      </c>
      <c r="E309" s="40">
        <f>IFERROR(__xludf.DUMMYFUNCTION("""COMPUTED_VALUE"""),45594.0)</f>
        <v>45594</v>
      </c>
      <c r="F309" s="9">
        <f>IFERROR(__xludf.DUMMYFUNCTION("""COMPUTED_VALUE"""),4.28)</f>
        <v>4.28</v>
      </c>
      <c r="H309" s="17"/>
      <c r="K309" s="17"/>
      <c r="N309" s="17"/>
    </row>
    <row r="310">
      <c r="B310" s="11">
        <f>IFERROR(__xludf.DUMMYFUNCTION("""COMPUTED_VALUE"""),45593.0)</f>
        <v>45593</v>
      </c>
      <c r="C310" s="9">
        <f>IFERROR(__xludf.DUMMYFUNCTION("""COMPUTED_VALUE"""),4.28)</f>
        <v>4.28</v>
      </c>
      <c r="E310" s="40">
        <f>IFERROR(__xludf.DUMMYFUNCTION("""COMPUTED_VALUE"""),45593.0)</f>
        <v>45593</v>
      </c>
      <c r="F310" s="9">
        <f>IFERROR(__xludf.DUMMYFUNCTION("""COMPUTED_VALUE"""),4.28)</f>
        <v>4.28</v>
      </c>
      <c r="H310" s="17"/>
      <c r="K310" s="17"/>
      <c r="N310" s="17"/>
    </row>
    <row r="311">
      <c r="B311" s="11">
        <f>IFERROR(__xludf.DUMMYFUNCTION("""COMPUTED_VALUE"""),45590.0)</f>
        <v>45590</v>
      </c>
      <c r="C311" s="9">
        <f>IFERROR(__xludf.DUMMYFUNCTION("""COMPUTED_VALUE"""),4.25)</f>
        <v>4.25</v>
      </c>
      <c r="E311" s="40">
        <f>IFERROR(__xludf.DUMMYFUNCTION("""COMPUTED_VALUE"""),45590.0)</f>
        <v>45590</v>
      </c>
      <c r="F311" s="9">
        <f>IFERROR(__xludf.DUMMYFUNCTION("""COMPUTED_VALUE"""),4.25)</f>
        <v>4.25</v>
      </c>
      <c r="H311" s="17"/>
      <c r="K311" s="17"/>
      <c r="N311" s="17"/>
    </row>
    <row r="312">
      <c r="B312" s="11">
        <f>IFERROR(__xludf.DUMMYFUNCTION("""COMPUTED_VALUE"""),45589.0)</f>
        <v>45589</v>
      </c>
      <c r="C312" s="9">
        <f>IFERROR(__xludf.DUMMYFUNCTION("""COMPUTED_VALUE"""),4.21)</f>
        <v>4.21</v>
      </c>
      <c r="E312" s="40">
        <f>IFERROR(__xludf.DUMMYFUNCTION("""COMPUTED_VALUE"""),45589.0)</f>
        <v>45589</v>
      </c>
      <c r="F312" s="9">
        <f>IFERROR(__xludf.DUMMYFUNCTION("""COMPUTED_VALUE"""),4.21)</f>
        <v>4.21</v>
      </c>
      <c r="H312" s="17"/>
      <c r="K312" s="17"/>
      <c r="N312" s="17"/>
    </row>
    <row r="313">
      <c r="B313" s="11">
        <f>IFERROR(__xludf.DUMMYFUNCTION("""COMPUTED_VALUE"""),45588.0)</f>
        <v>45588</v>
      </c>
      <c r="C313" s="9">
        <f>IFERROR(__xludf.DUMMYFUNCTION("""COMPUTED_VALUE"""),4.24)</f>
        <v>4.24</v>
      </c>
      <c r="E313" s="40">
        <f>IFERROR(__xludf.DUMMYFUNCTION("""COMPUTED_VALUE"""),45588.0)</f>
        <v>45588</v>
      </c>
      <c r="F313" s="9">
        <f>IFERROR(__xludf.DUMMYFUNCTION("""COMPUTED_VALUE"""),4.24)</f>
        <v>4.24</v>
      </c>
      <c r="H313" s="17"/>
      <c r="K313" s="17"/>
      <c r="N313" s="17"/>
    </row>
    <row r="314">
      <c r="B314" s="11">
        <f>IFERROR(__xludf.DUMMYFUNCTION("""COMPUTED_VALUE"""),45587.0)</f>
        <v>45587</v>
      </c>
      <c r="C314" s="9">
        <f>IFERROR(__xludf.DUMMYFUNCTION("""COMPUTED_VALUE"""),4.2)</f>
        <v>4.2</v>
      </c>
      <c r="E314" s="40">
        <f>IFERROR(__xludf.DUMMYFUNCTION("""COMPUTED_VALUE"""),45587.0)</f>
        <v>45587</v>
      </c>
      <c r="F314" s="9">
        <f>IFERROR(__xludf.DUMMYFUNCTION("""COMPUTED_VALUE"""),4.2)</f>
        <v>4.2</v>
      </c>
      <c r="H314" s="17"/>
      <c r="K314" s="17"/>
      <c r="N314" s="17"/>
    </row>
    <row r="315">
      <c r="B315" s="11">
        <f>IFERROR(__xludf.DUMMYFUNCTION("""COMPUTED_VALUE"""),45586.0)</f>
        <v>45586</v>
      </c>
      <c r="C315" s="9">
        <f>IFERROR(__xludf.DUMMYFUNCTION("""COMPUTED_VALUE"""),4.19)</f>
        <v>4.19</v>
      </c>
      <c r="E315" s="40">
        <f>IFERROR(__xludf.DUMMYFUNCTION("""COMPUTED_VALUE"""),45586.0)</f>
        <v>45586</v>
      </c>
      <c r="F315" s="9">
        <f>IFERROR(__xludf.DUMMYFUNCTION("""COMPUTED_VALUE"""),4.19)</f>
        <v>4.19</v>
      </c>
      <c r="H315" s="17"/>
      <c r="K315" s="17"/>
      <c r="N315" s="17"/>
    </row>
    <row r="316">
      <c r="B316" s="11">
        <f>IFERROR(__xludf.DUMMYFUNCTION("""COMPUTED_VALUE"""),45583.0)</f>
        <v>45583</v>
      </c>
      <c r="C316" s="9">
        <f>IFERROR(__xludf.DUMMYFUNCTION("""COMPUTED_VALUE"""),4.08)</f>
        <v>4.08</v>
      </c>
      <c r="E316" s="40">
        <f>IFERROR(__xludf.DUMMYFUNCTION("""COMPUTED_VALUE"""),45583.0)</f>
        <v>45583</v>
      </c>
      <c r="F316" s="9">
        <f>IFERROR(__xludf.DUMMYFUNCTION("""COMPUTED_VALUE"""),4.08)</f>
        <v>4.08</v>
      </c>
      <c r="H316" s="17"/>
      <c r="K316" s="17"/>
      <c r="N316" s="17"/>
    </row>
    <row r="317">
      <c r="B317" s="11">
        <f>IFERROR(__xludf.DUMMYFUNCTION("""COMPUTED_VALUE"""),45582.0)</f>
        <v>45582</v>
      </c>
      <c r="C317" s="9">
        <f>IFERROR(__xludf.DUMMYFUNCTION("""COMPUTED_VALUE"""),4.09)</f>
        <v>4.09</v>
      </c>
      <c r="E317" s="40">
        <f>IFERROR(__xludf.DUMMYFUNCTION("""COMPUTED_VALUE"""),45582.0)</f>
        <v>45582</v>
      </c>
      <c r="F317" s="9">
        <f>IFERROR(__xludf.DUMMYFUNCTION("""COMPUTED_VALUE"""),4.09)</f>
        <v>4.09</v>
      </c>
      <c r="H317" s="17"/>
      <c r="K317" s="17"/>
      <c r="N317" s="17"/>
    </row>
    <row r="318">
      <c r="B318" s="11">
        <f>IFERROR(__xludf.DUMMYFUNCTION("""COMPUTED_VALUE"""),45581.0)</f>
        <v>45581</v>
      </c>
      <c r="C318" s="9">
        <f>IFERROR(__xludf.DUMMYFUNCTION("""COMPUTED_VALUE"""),4.02)</f>
        <v>4.02</v>
      </c>
      <c r="E318" s="40">
        <f>IFERROR(__xludf.DUMMYFUNCTION("""COMPUTED_VALUE"""),45581.0)</f>
        <v>45581</v>
      </c>
      <c r="F318" s="9">
        <f>IFERROR(__xludf.DUMMYFUNCTION("""COMPUTED_VALUE"""),4.02)</f>
        <v>4.02</v>
      </c>
      <c r="H318" s="17"/>
      <c r="K318" s="17"/>
      <c r="N318" s="17"/>
    </row>
    <row r="319">
      <c r="B319" s="11">
        <f>IFERROR(__xludf.DUMMYFUNCTION("""COMPUTED_VALUE"""),45580.0)</f>
        <v>45580</v>
      </c>
      <c r="C319" s="9">
        <f>IFERROR(__xludf.DUMMYFUNCTION("""COMPUTED_VALUE"""),4.03)</f>
        <v>4.03</v>
      </c>
      <c r="E319" s="40">
        <f>IFERROR(__xludf.DUMMYFUNCTION("""COMPUTED_VALUE"""),45580.0)</f>
        <v>45580</v>
      </c>
      <c r="F319" s="9">
        <f>IFERROR(__xludf.DUMMYFUNCTION("""COMPUTED_VALUE"""),4.03)</f>
        <v>4.03</v>
      </c>
      <c r="H319" s="17"/>
      <c r="K319" s="17"/>
      <c r="N319" s="17"/>
    </row>
    <row r="320">
      <c r="B320" s="11">
        <f>IFERROR(__xludf.DUMMYFUNCTION("""COMPUTED_VALUE"""),45579.0)</f>
        <v>45579</v>
      </c>
      <c r="C320" s="9"/>
      <c r="E320" s="40">
        <f>IFERROR(__xludf.DUMMYFUNCTION("""COMPUTED_VALUE"""),45579.0)</f>
        <v>45579</v>
      </c>
      <c r="F320" s="9"/>
      <c r="H320" s="17"/>
      <c r="K320" s="17"/>
      <c r="N320" s="17"/>
    </row>
    <row r="321">
      <c r="B321" s="11">
        <f>IFERROR(__xludf.DUMMYFUNCTION("""COMPUTED_VALUE"""),45576.0)</f>
        <v>45576</v>
      </c>
      <c r="C321" s="9">
        <f>IFERROR(__xludf.DUMMYFUNCTION("""COMPUTED_VALUE"""),4.08)</f>
        <v>4.08</v>
      </c>
      <c r="E321" s="40">
        <f>IFERROR(__xludf.DUMMYFUNCTION("""COMPUTED_VALUE"""),45576.0)</f>
        <v>45576</v>
      </c>
      <c r="F321" s="9">
        <f>IFERROR(__xludf.DUMMYFUNCTION("""COMPUTED_VALUE"""),4.08)</f>
        <v>4.08</v>
      </c>
      <c r="H321" s="17"/>
      <c r="K321" s="17"/>
      <c r="N321" s="17"/>
    </row>
    <row r="322">
      <c r="B322" s="11">
        <f>IFERROR(__xludf.DUMMYFUNCTION("""COMPUTED_VALUE"""),45575.0)</f>
        <v>45575</v>
      </c>
      <c r="C322" s="9">
        <f>IFERROR(__xludf.DUMMYFUNCTION("""COMPUTED_VALUE"""),4.09)</f>
        <v>4.09</v>
      </c>
      <c r="E322" s="40">
        <f>IFERROR(__xludf.DUMMYFUNCTION("""COMPUTED_VALUE"""),45575.0)</f>
        <v>45575</v>
      </c>
      <c r="F322" s="9">
        <f>IFERROR(__xludf.DUMMYFUNCTION("""COMPUTED_VALUE"""),4.09)</f>
        <v>4.09</v>
      </c>
      <c r="H322" s="17"/>
      <c r="K322" s="17"/>
      <c r="N322" s="17"/>
    </row>
    <row r="323">
      <c r="B323" s="11">
        <f>IFERROR(__xludf.DUMMYFUNCTION("""COMPUTED_VALUE"""),45574.0)</f>
        <v>45574</v>
      </c>
      <c r="C323" s="9">
        <f>IFERROR(__xludf.DUMMYFUNCTION("""COMPUTED_VALUE"""),4.06)</f>
        <v>4.06</v>
      </c>
      <c r="E323" s="40">
        <f>IFERROR(__xludf.DUMMYFUNCTION("""COMPUTED_VALUE"""),45574.0)</f>
        <v>45574</v>
      </c>
      <c r="F323" s="9">
        <f>IFERROR(__xludf.DUMMYFUNCTION("""COMPUTED_VALUE"""),4.06)</f>
        <v>4.06</v>
      </c>
      <c r="H323" s="17"/>
      <c r="K323" s="17"/>
      <c r="N323" s="17"/>
    </row>
    <row r="324">
      <c r="B324" s="11">
        <f>IFERROR(__xludf.DUMMYFUNCTION("""COMPUTED_VALUE"""),45573.0)</f>
        <v>45573</v>
      </c>
      <c r="C324" s="9">
        <f>IFERROR(__xludf.DUMMYFUNCTION("""COMPUTED_VALUE"""),4.04)</f>
        <v>4.04</v>
      </c>
      <c r="E324" s="40">
        <f>IFERROR(__xludf.DUMMYFUNCTION("""COMPUTED_VALUE"""),45573.0)</f>
        <v>45573</v>
      </c>
      <c r="F324" s="9">
        <f>IFERROR(__xludf.DUMMYFUNCTION("""COMPUTED_VALUE"""),4.04)</f>
        <v>4.04</v>
      </c>
      <c r="H324" s="17"/>
      <c r="K324" s="17"/>
      <c r="N324" s="17"/>
    </row>
    <row r="325">
      <c r="B325" s="11">
        <f>IFERROR(__xludf.DUMMYFUNCTION("""COMPUTED_VALUE"""),45572.0)</f>
        <v>45572</v>
      </c>
      <c r="C325" s="9">
        <f>IFERROR(__xludf.DUMMYFUNCTION("""COMPUTED_VALUE"""),4.03)</f>
        <v>4.03</v>
      </c>
      <c r="E325" s="40">
        <f>IFERROR(__xludf.DUMMYFUNCTION("""COMPUTED_VALUE"""),45572.0)</f>
        <v>45572</v>
      </c>
      <c r="F325" s="9">
        <f>IFERROR(__xludf.DUMMYFUNCTION("""COMPUTED_VALUE"""),4.03)</f>
        <v>4.03</v>
      </c>
      <c r="H325" s="17"/>
      <c r="K325" s="17"/>
      <c r="N325" s="17"/>
    </row>
    <row r="326">
      <c r="B326" s="11">
        <f>IFERROR(__xludf.DUMMYFUNCTION("""COMPUTED_VALUE"""),45569.0)</f>
        <v>45569</v>
      </c>
      <c r="C326" s="9">
        <f>IFERROR(__xludf.DUMMYFUNCTION("""COMPUTED_VALUE"""),3.98)</f>
        <v>3.98</v>
      </c>
      <c r="E326" s="40">
        <f>IFERROR(__xludf.DUMMYFUNCTION("""COMPUTED_VALUE"""),45569.0)</f>
        <v>45569</v>
      </c>
      <c r="F326" s="9">
        <f>IFERROR(__xludf.DUMMYFUNCTION("""COMPUTED_VALUE"""),3.98)</f>
        <v>3.98</v>
      </c>
      <c r="H326" s="17"/>
      <c r="K326" s="17"/>
      <c r="N326" s="17"/>
    </row>
    <row r="327">
      <c r="B327" s="11">
        <f>IFERROR(__xludf.DUMMYFUNCTION("""COMPUTED_VALUE"""),45568.0)</f>
        <v>45568</v>
      </c>
      <c r="C327" s="9">
        <f>IFERROR(__xludf.DUMMYFUNCTION("""COMPUTED_VALUE"""),3.85)</f>
        <v>3.85</v>
      </c>
      <c r="E327" s="40">
        <f>IFERROR(__xludf.DUMMYFUNCTION("""COMPUTED_VALUE"""),45568.0)</f>
        <v>45568</v>
      </c>
      <c r="F327" s="9">
        <f>IFERROR(__xludf.DUMMYFUNCTION("""COMPUTED_VALUE"""),3.85)</f>
        <v>3.85</v>
      </c>
      <c r="H327" s="17"/>
      <c r="K327" s="17"/>
      <c r="N327" s="17"/>
    </row>
    <row r="328">
      <c r="B328" s="11">
        <f>IFERROR(__xludf.DUMMYFUNCTION("""COMPUTED_VALUE"""),45567.0)</f>
        <v>45567</v>
      </c>
      <c r="C328" s="9">
        <f>IFERROR(__xludf.DUMMYFUNCTION("""COMPUTED_VALUE"""),3.79)</f>
        <v>3.79</v>
      </c>
      <c r="E328" s="40">
        <f>IFERROR(__xludf.DUMMYFUNCTION("""COMPUTED_VALUE"""),45567.0)</f>
        <v>45567</v>
      </c>
      <c r="F328" s="9">
        <f>IFERROR(__xludf.DUMMYFUNCTION("""COMPUTED_VALUE"""),3.79)</f>
        <v>3.79</v>
      </c>
      <c r="H328" s="17"/>
      <c r="K328" s="17"/>
      <c r="N328" s="17"/>
    </row>
    <row r="329">
      <c r="B329" s="11">
        <f>IFERROR(__xludf.DUMMYFUNCTION("""COMPUTED_VALUE"""),45566.0)</f>
        <v>45566</v>
      </c>
      <c r="C329" s="9">
        <f>IFERROR(__xludf.DUMMYFUNCTION("""COMPUTED_VALUE"""),3.74)</f>
        <v>3.74</v>
      </c>
      <c r="E329" s="40">
        <f>IFERROR(__xludf.DUMMYFUNCTION("""COMPUTED_VALUE"""),45566.0)</f>
        <v>45566</v>
      </c>
      <c r="F329" s="9">
        <f>IFERROR(__xludf.DUMMYFUNCTION("""COMPUTED_VALUE"""),3.74)</f>
        <v>3.74</v>
      </c>
      <c r="H329" s="17"/>
      <c r="K329" s="17"/>
      <c r="N329" s="17"/>
    </row>
    <row r="330">
      <c r="B330" s="11">
        <f>IFERROR(__xludf.DUMMYFUNCTION("""COMPUTED_VALUE"""),45565.0)</f>
        <v>45565</v>
      </c>
      <c r="C330" s="9">
        <f>IFERROR(__xludf.DUMMYFUNCTION("""COMPUTED_VALUE"""),3.81)</f>
        <v>3.81</v>
      </c>
      <c r="E330" s="40">
        <f>IFERROR(__xludf.DUMMYFUNCTION("""COMPUTED_VALUE"""),45565.0)</f>
        <v>45565</v>
      </c>
      <c r="F330" s="9">
        <f>IFERROR(__xludf.DUMMYFUNCTION("""COMPUTED_VALUE"""),3.81)</f>
        <v>3.81</v>
      </c>
      <c r="H330" s="17"/>
      <c r="K330" s="17"/>
      <c r="N330" s="17"/>
    </row>
    <row r="331">
      <c r="B331" s="11">
        <f>IFERROR(__xludf.DUMMYFUNCTION("""COMPUTED_VALUE"""),45562.0)</f>
        <v>45562</v>
      </c>
      <c r="C331" s="9">
        <f>IFERROR(__xludf.DUMMYFUNCTION("""COMPUTED_VALUE"""),3.75)</f>
        <v>3.75</v>
      </c>
      <c r="E331" s="40">
        <f>IFERROR(__xludf.DUMMYFUNCTION("""COMPUTED_VALUE"""),45562.0)</f>
        <v>45562</v>
      </c>
      <c r="F331" s="9">
        <f>IFERROR(__xludf.DUMMYFUNCTION("""COMPUTED_VALUE"""),3.75)</f>
        <v>3.75</v>
      </c>
      <c r="H331" s="17"/>
      <c r="K331" s="17"/>
      <c r="N331" s="17"/>
    </row>
    <row r="332">
      <c r="B332" s="11">
        <f>IFERROR(__xludf.DUMMYFUNCTION("""COMPUTED_VALUE"""),45561.0)</f>
        <v>45561</v>
      </c>
      <c r="C332" s="9">
        <f>IFERROR(__xludf.DUMMYFUNCTION("""COMPUTED_VALUE"""),3.79)</f>
        <v>3.79</v>
      </c>
      <c r="E332" s="40">
        <f>IFERROR(__xludf.DUMMYFUNCTION("""COMPUTED_VALUE"""),45561.0)</f>
        <v>45561</v>
      </c>
      <c r="F332" s="9">
        <f>IFERROR(__xludf.DUMMYFUNCTION("""COMPUTED_VALUE"""),3.79)</f>
        <v>3.79</v>
      </c>
      <c r="H332" s="17"/>
      <c r="K332" s="17"/>
      <c r="N332" s="17"/>
    </row>
    <row r="333">
      <c r="B333" s="11">
        <f>IFERROR(__xludf.DUMMYFUNCTION("""COMPUTED_VALUE"""),45560.0)</f>
        <v>45560</v>
      </c>
      <c r="C333" s="9">
        <f>IFERROR(__xludf.DUMMYFUNCTION("""COMPUTED_VALUE"""),3.79)</f>
        <v>3.79</v>
      </c>
      <c r="E333" s="40">
        <f>IFERROR(__xludf.DUMMYFUNCTION("""COMPUTED_VALUE"""),45560.0)</f>
        <v>45560</v>
      </c>
      <c r="F333" s="9">
        <f>IFERROR(__xludf.DUMMYFUNCTION("""COMPUTED_VALUE"""),3.79)</f>
        <v>3.79</v>
      </c>
      <c r="H333" s="17"/>
      <c r="K333" s="17"/>
      <c r="N333" s="17"/>
    </row>
    <row r="334">
      <c r="B334" s="11">
        <f>IFERROR(__xludf.DUMMYFUNCTION("""COMPUTED_VALUE"""),45559.0)</f>
        <v>45559</v>
      </c>
      <c r="C334" s="9">
        <f>IFERROR(__xludf.DUMMYFUNCTION("""COMPUTED_VALUE"""),3.74)</f>
        <v>3.74</v>
      </c>
      <c r="E334" s="40">
        <f>IFERROR(__xludf.DUMMYFUNCTION("""COMPUTED_VALUE"""),45559.0)</f>
        <v>45559</v>
      </c>
      <c r="F334" s="9">
        <f>IFERROR(__xludf.DUMMYFUNCTION("""COMPUTED_VALUE"""),3.74)</f>
        <v>3.74</v>
      </c>
      <c r="H334" s="17"/>
      <c r="K334" s="17"/>
      <c r="N334" s="17"/>
    </row>
    <row r="335">
      <c r="B335" s="11">
        <f>IFERROR(__xludf.DUMMYFUNCTION("""COMPUTED_VALUE"""),45558.0)</f>
        <v>45558</v>
      </c>
      <c r="C335" s="9">
        <f>IFERROR(__xludf.DUMMYFUNCTION("""COMPUTED_VALUE"""),3.75)</f>
        <v>3.75</v>
      </c>
      <c r="E335" s="40">
        <f>IFERROR(__xludf.DUMMYFUNCTION("""COMPUTED_VALUE"""),45558.0)</f>
        <v>45558</v>
      </c>
      <c r="F335" s="9">
        <f>IFERROR(__xludf.DUMMYFUNCTION("""COMPUTED_VALUE"""),3.75)</f>
        <v>3.75</v>
      </c>
      <c r="H335" s="17"/>
      <c r="K335" s="17"/>
      <c r="N335" s="17"/>
    </row>
    <row r="336">
      <c r="B336" s="11">
        <f>IFERROR(__xludf.DUMMYFUNCTION("""COMPUTED_VALUE"""),45555.0)</f>
        <v>45555</v>
      </c>
      <c r="C336" s="9">
        <f>IFERROR(__xludf.DUMMYFUNCTION("""COMPUTED_VALUE"""),3.73)</f>
        <v>3.73</v>
      </c>
      <c r="E336" s="40">
        <f>IFERROR(__xludf.DUMMYFUNCTION("""COMPUTED_VALUE"""),45555.0)</f>
        <v>45555</v>
      </c>
      <c r="F336" s="9">
        <f>IFERROR(__xludf.DUMMYFUNCTION("""COMPUTED_VALUE"""),3.73)</f>
        <v>3.73</v>
      </c>
      <c r="H336" s="17"/>
      <c r="K336" s="17"/>
      <c r="N336" s="17"/>
    </row>
    <row r="337">
      <c r="B337" s="11">
        <f>IFERROR(__xludf.DUMMYFUNCTION("""COMPUTED_VALUE"""),45554.0)</f>
        <v>45554</v>
      </c>
      <c r="C337" s="9">
        <f>IFERROR(__xludf.DUMMYFUNCTION("""COMPUTED_VALUE"""),3.73)</f>
        <v>3.73</v>
      </c>
      <c r="E337" s="40">
        <f>IFERROR(__xludf.DUMMYFUNCTION("""COMPUTED_VALUE"""),45554.0)</f>
        <v>45554</v>
      </c>
      <c r="F337" s="9">
        <f>IFERROR(__xludf.DUMMYFUNCTION("""COMPUTED_VALUE"""),3.73)</f>
        <v>3.73</v>
      </c>
      <c r="H337" s="17"/>
      <c r="K337" s="17"/>
      <c r="N337" s="17"/>
    </row>
    <row r="338">
      <c r="B338" s="11">
        <f>IFERROR(__xludf.DUMMYFUNCTION("""COMPUTED_VALUE"""),45553.0)</f>
        <v>45553</v>
      </c>
      <c r="C338" s="9">
        <f>IFERROR(__xludf.DUMMYFUNCTION("""COMPUTED_VALUE"""),3.7)</f>
        <v>3.7</v>
      </c>
      <c r="E338" s="40">
        <f>IFERROR(__xludf.DUMMYFUNCTION("""COMPUTED_VALUE"""),45553.0)</f>
        <v>45553</v>
      </c>
      <c r="F338" s="9">
        <f>IFERROR(__xludf.DUMMYFUNCTION("""COMPUTED_VALUE"""),3.7)</f>
        <v>3.7</v>
      </c>
      <c r="H338" s="17"/>
      <c r="K338" s="17"/>
      <c r="N338" s="17"/>
    </row>
    <row r="339">
      <c r="B339" s="11">
        <f>IFERROR(__xludf.DUMMYFUNCTION("""COMPUTED_VALUE"""),45552.0)</f>
        <v>45552</v>
      </c>
      <c r="C339" s="9">
        <f>IFERROR(__xludf.DUMMYFUNCTION("""COMPUTED_VALUE"""),3.65)</f>
        <v>3.65</v>
      </c>
      <c r="E339" s="40">
        <f>IFERROR(__xludf.DUMMYFUNCTION("""COMPUTED_VALUE"""),45552.0)</f>
        <v>45552</v>
      </c>
      <c r="F339" s="9">
        <f>IFERROR(__xludf.DUMMYFUNCTION("""COMPUTED_VALUE"""),3.65)</f>
        <v>3.65</v>
      </c>
      <c r="H339" s="17"/>
      <c r="K339" s="17"/>
      <c r="N339" s="17"/>
    </row>
    <row r="340">
      <c r="B340" s="11">
        <f>IFERROR(__xludf.DUMMYFUNCTION("""COMPUTED_VALUE"""),45551.0)</f>
        <v>45551</v>
      </c>
      <c r="C340" s="9">
        <f>IFERROR(__xludf.DUMMYFUNCTION("""COMPUTED_VALUE"""),3.63)</f>
        <v>3.63</v>
      </c>
      <c r="E340" s="40">
        <f>IFERROR(__xludf.DUMMYFUNCTION("""COMPUTED_VALUE"""),45551.0)</f>
        <v>45551</v>
      </c>
      <c r="F340" s="9">
        <f>IFERROR(__xludf.DUMMYFUNCTION("""COMPUTED_VALUE"""),3.63)</f>
        <v>3.63</v>
      </c>
      <c r="H340" s="17"/>
      <c r="K340" s="17"/>
      <c r="N340" s="17"/>
    </row>
    <row r="341">
      <c r="B341" s="11">
        <f>IFERROR(__xludf.DUMMYFUNCTION("""COMPUTED_VALUE"""),45548.0)</f>
        <v>45548</v>
      </c>
      <c r="C341" s="9">
        <f>IFERROR(__xludf.DUMMYFUNCTION("""COMPUTED_VALUE"""),3.66)</f>
        <v>3.66</v>
      </c>
      <c r="E341" s="40">
        <f>IFERROR(__xludf.DUMMYFUNCTION("""COMPUTED_VALUE"""),45548.0)</f>
        <v>45548</v>
      </c>
      <c r="F341" s="9">
        <f>IFERROR(__xludf.DUMMYFUNCTION("""COMPUTED_VALUE"""),3.66)</f>
        <v>3.66</v>
      </c>
      <c r="H341" s="17"/>
      <c r="K341" s="17"/>
      <c r="N341" s="17"/>
    </row>
    <row r="342">
      <c r="B342" s="11">
        <f>IFERROR(__xludf.DUMMYFUNCTION("""COMPUTED_VALUE"""),45547.0)</f>
        <v>45547</v>
      </c>
      <c r="C342" s="9">
        <f>IFERROR(__xludf.DUMMYFUNCTION("""COMPUTED_VALUE"""),3.68)</f>
        <v>3.68</v>
      </c>
      <c r="E342" s="40">
        <f>IFERROR(__xludf.DUMMYFUNCTION("""COMPUTED_VALUE"""),45547.0)</f>
        <v>45547</v>
      </c>
      <c r="F342" s="9">
        <f>IFERROR(__xludf.DUMMYFUNCTION("""COMPUTED_VALUE"""),3.68)</f>
        <v>3.68</v>
      </c>
      <c r="H342" s="17"/>
      <c r="K342" s="17"/>
      <c r="N342" s="17"/>
    </row>
    <row r="343">
      <c r="B343" s="11">
        <f>IFERROR(__xludf.DUMMYFUNCTION("""COMPUTED_VALUE"""),45546.0)</f>
        <v>45546</v>
      </c>
      <c r="C343" s="9">
        <f>IFERROR(__xludf.DUMMYFUNCTION("""COMPUTED_VALUE"""),3.65)</f>
        <v>3.65</v>
      </c>
      <c r="E343" s="40">
        <f>IFERROR(__xludf.DUMMYFUNCTION("""COMPUTED_VALUE"""),45546.0)</f>
        <v>45546</v>
      </c>
      <c r="F343" s="9">
        <f>IFERROR(__xludf.DUMMYFUNCTION("""COMPUTED_VALUE"""),3.65)</f>
        <v>3.65</v>
      </c>
      <c r="H343" s="17"/>
      <c r="K343" s="17"/>
      <c r="N343" s="17"/>
    </row>
    <row r="344">
      <c r="B344" s="11">
        <f>IFERROR(__xludf.DUMMYFUNCTION("""COMPUTED_VALUE"""),45545.0)</f>
        <v>45545</v>
      </c>
      <c r="C344" s="9">
        <f>IFERROR(__xludf.DUMMYFUNCTION("""COMPUTED_VALUE"""),3.65)</f>
        <v>3.65</v>
      </c>
      <c r="E344" s="40">
        <f>IFERROR(__xludf.DUMMYFUNCTION("""COMPUTED_VALUE"""),45545.0)</f>
        <v>45545</v>
      </c>
      <c r="F344" s="9">
        <f>IFERROR(__xludf.DUMMYFUNCTION("""COMPUTED_VALUE"""),3.65)</f>
        <v>3.65</v>
      </c>
      <c r="H344" s="17"/>
      <c r="K344" s="17"/>
      <c r="N344" s="17"/>
    </row>
    <row r="345">
      <c r="B345" s="11">
        <f>IFERROR(__xludf.DUMMYFUNCTION("""COMPUTED_VALUE"""),45544.0)</f>
        <v>45544</v>
      </c>
      <c r="C345" s="9">
        <f>IFERROR(__xludf.DUMMYFUNCTION("""COMPUTED_VALUE"""),3.7)</f>
        <v>3.7</v>
      </c>
      <c r="E345" s="40">
        <f>IFERROR(__xludf.DUMMYFUNCTION("""COMPUTED_VALUE"""),45544.0)</f>
        <v>45544</v>
      </c>
      <c r="F345" s="9">
        <f>IFERROR(__xludf.DUMMYFUNCTION("""COMPUTED_VALUE"""),3.7)</f>
        <v>3.7</v>
      </c>
      <c r="H345" s="17"/>
      <c r="K345" s="17"/>
      <c r="N345" s="17"/>
    </row>
    <row r="346">
      <c r="B346" s="11">
        <f>IFERROR(__xludf.DUMMYFUNCTION("""COMPUTED_VALUE"""),45541.0)</f>
        <v>45541</v>
      </c>
      <c r="C346" s="9">
        <f>IFERROR(__xludf.DUMMYFUNCTION("""COMPUTED_VALUE"""),3.72)</f>
        <v>3.72</v>
      </c>
      <c r="E346" s="40">
        <f>IFERROR(__xludf.DUMMYFUNCTION("""COMPUTED_VALUE"""),45541.0)</f>
        <v>45541</v>
      </c>
      <c r="F346" s="9">
        <f>IFERROR(__xludf.DUMMYFUNCTION("""COMPUTED_VALUE"""),3.72)</f>
        <v>3.72</v>
      </c>
      <c r="H346" s="17"/>
      <c r="K346" s="17"/>
      <c r="N346" s="17"/>
    </row>
    <row r="347">
      <c r="B347" s="11">
        <f>IFERROR(__xludf.DUMMYFUNCTION("""COMPUTED_VALUE"""),45540.0)</f>
        <v>45540</v>
      </c>
      <c r="C347" s="9">
        <f>IFERROR(__xludf.DUMMYFUNCTION("""COMPUTED_VALUE"""),3.73)</f>
        <v>3.73</v>
      </c>
      <c r="E347" s="40">
        <f>IFERROR(__xludf.DUMMYFUNCTION("""COMPUTED_VALUE"""),45540.0)</f>
        <v>45540</v>
      </c>
      <c r="F347" s="9">
        <f>IFERROR(__xludf.DUMMYFUNCTION("""COMPUTED_VALUE"""),3.73)</f>
        <v>3.73</v>
      </c>
      <c r="H347" s="17"/>
      <c r="K347" s="17"/>
      <c r="N347" s="17"/>
    </row>
    <row r="348">
      <c r="B348" s="11">
        <f>IFERROR(__xludf.DUMMYFUNCTION("""COMPUTED_VALUE"""),45539.0)</f>
        <v>45539</v>
      </c>
      <c r="C348" s="9">
        <f>IFERROR(__xludf.DUMMYFUNCTION("""COMPUTED_VALUE"""),3.77)</f>
        <v>3.77</v>
      </c>
      <c r="E348" s="40">
        <f>IFERROR(__xludf.DUMMYFUNCTION("""COMPUTED_VALUE"""),45539.0)</f>
        <v>45539</v>
      </c>
      <c r="F348" s="9">
        <f>IFERROR(__xludf.DUMMYFUNCTION("""COMPUTED_VALUE"""),3.77)</f>
        <v>3.77</v>
      </c>
      <c r="H348" s="17"/>
      <c r="K348" s="17"/>
      <c r="N348" s="17"/>
    </row>
    <row r="349">
      <c r="B349" s="11">
        <f>IFERROR(__xludf.DUMMYFUNCTION("""COMPUTED_VALUE"""),45538.0)</f>
        <v>45538</v>
      </c>
      <c r="C349" s="9">
        <f>IFERROR(__xludf.DUMMYFUNCTION("""COMPUTED_VALUE"""),3.84)</f>
        <v>3.84</v>
      </c>
      <c r="E349" s="40">
        <f>IFERROR(__xludf.DUMMYFUNCTION("""COMPUTED_VALUE"""),45538.0)</f>
        <v>45538</v>
      </c>
      <c r="F349" s="9">
        <f>IFERROR(__xludf.DUMMYFUNCTION("""COMPUTED_VALUE"""),3.84)</f>
        <v>3.84</v>
      </c>
      <c r="H349" s="17"/>
      <c r="K349" s="17"/>
      <c r="N349" s="17"/>
    </row>
    <row r="350">
      <c r="B350" s="11">
        <f>IFERROR(__xludf.DUMMYFUNCTION("""COMPUTED_VALUE"""),45537.0)</f>
        <v>45537</v>
      </c>
      <c r="C350" s="9"/>
      <c r="E350" s="40">
        <f>IFERROR(__xludf.DUMMYFUNCTION("""COMPUTED_VALUE"""),45537.0)</f>
        <v>45537</v>
      </c>
      <c r="F350" s="9"/>
      <c r="H350" s="17"/>
      <c r="K350" s="17"/>
      <c r="N350" s="17"/>
    </row>
    <row r="351">
      <c r="B351" s="11">
        <f>IFERROR(__xludf.DUMMYFUNCTION("""COMPUTED_VALUE"""),45534.0)</f>
        <v>45534</v>
      </c>
      <c r="C351" s="9">
        <f>IFERROR(__xludf.DUMMYFUNCTION("""COMPUTED_VALUE"""),3.91)</f>
        <v>3.91</v>
      </c>
      <c r="E351" s="40">
        <f>IFERROR(__xludf.DUMMYFUNCTION("""COMPUTED_VALUE"""),45534.0)</f>
        <v>45534</v>
      </c>
      <c r="F351" s="9">
        <f>IFERROR(__xludf.DUMMYFUNCTION("""COMPUTED_VALUE"""),3.91)</f>
        <v>3.91</v>
      </c>
      <c r="H351" s="17"/>
      <c r="K351" s="17"/>
      <c r="N351" s="17"/>
    </row>
    <row r="352">
      <c r="B352" s="11">
        <f>IFERROR(__xludf.DUMMYFUNCTION("""COMPUTED_VALUE"""),45533.0)</f>
        <v>45533</v>
      </c>
      <c r="C352" s="9">
        <f>IFERROR(__xludf.DUMMYFUNCTION("""COMPUTED_VALUE"""),3.87)</f>
        <v>3.87</v>
      </c>
      <c r="E352" s="40">
        <f>IFERROR(__xludf.DUMMYFUNCTION("""COMPUTED_VALUE"""),45533.0)</f>
        <v>45533</v>
      </c>
      <c r="F352" s="9">
        <f>IFERROR(__xludf.DUMMYFUNCTION("""COMPUTED_VALUE"""),3.87)</f>
        <v>3.87</v>
      </c>
      <c r="H352" s="17"/>
      <c r="K352" s="17"/>
      <c r="N352" s="17"/>
    </row>
    <row r="353">
      <c r="B353" s="11">
        <f>IFERROR(__xludf.DUMMYFUNCTION("""COMPUTED_VALUE"""),45532.0)</f>
        <v>45532</v>
      </c>
      <c r="C353" s="9">
        <f>IFERROR(__xludf.DUMMYFUNCTION("""COMPUTED_VALUE"""),3.84)</f>
        <v>3.84</v>
      </c>
      <c r="E353" s="40">
        <f>IFERROR(__xludf.DUMMYFUNCTION("""COMPUTED_VALUE"""),45532.0)</f>
        <v>45532</v>
      </c>
      <c r="F353" s="9">
        <f>IFERROR(__xludf.DUMMYFUNCTION("""COMPUTED_VALUE"""),3.84)</f>
        <v>3.84</v>
      </c>
      <c r="H353" s="17"/>
      <c r="K353" s="17"/>
      <c r="N353" s="17"/>
    </row>
    <row r="354">
      <c r="B354" s="11">
        <f>IFERROR(__xludf.DUMMYFUNCTION("""COMPUTED_VALUE"""),45531.0)</f>
        <v>45531</v>
      </c>
      <c r="C354" s="9">
        <f>IFERROR(__xludf.DUMMYFUNCTION("""COMPUTED_VALUE"""),3.83)</f>
        <v>3.83</v>
      </c>
      <c r="E354" s="40">
        <f>IFERROR(__xludf.DUMMYFUNCTION("""COMPUTED_VALUE"""),45531.0)</f>
        <v>45531</v>
      </c>
      <c r="F354" s="9">
        <f>IFERROR(__xludf.DUMMYFUNCTION("""COMPUTED_VALUE"""),3.83)</f>
        <v>3.83</v>
      </c>
      <c r="H354" s="17"/>
      <c r="K354" s="17"/>
      <c r="N354" s="17"/>
    </row>
    <row r="355">
      <c r="B355" s="11">
        <f>IFERROR(__xludf.DUMMYFUNCTION("""COMPUTED_VALUE"""),45530.0)</f>
        <v>45530</v>
      </c>
      <c r="C355" s="9">
        <f>IFERROR(__xludf.DUMMYFUNCTION("""COMPUTED_VALUE"""),3.82)</f>
        <v>3.82</v>
      </c>
      <c r="E355" s="40">
        <f>IFERROR(__xludf.DUMMYFUNCTION("""COMPUTED_VALUE"""),45530.0)</f>
        <v>45530</v>
      </c>
      <c r="F355" s="9">
        <f>IFERROR(__xludf.DUMMYFUNCTION("""COMPUTED_VALUE"""),3.82)</f>
        <v>3.82</v>
      </c>
      <c r="H355" s="17"/>
      <c r="K355" s="17"/>
      <c r="N355" s="17"/>
    </row>
    <row r="356">
      <c r="B356" s="11">
        <f>IFERROR(__xludf.DUMMYFUNCTION("""COMPUTED_VALUE"""),45527.0)</f>
        <v>45527</v>
      </c>
      <c r="C356" s="9">
        <f>IFERROR(__xludf.DUMMYFUNCTION("""COMPUTED_VALUE"""),3.81)</f>
        <v>3.81</v>
      </c>
      <c r="E356" s="40">
        <f>IFERROR(__xludf.DUMMYFUNCTION("""COMPUTED_VALUE"""),45527.0)</f>
        <v>45527</v>
      </c>
      <c r="F356" s="9">
        <f>IFERROR(__xludf.DUMMYFUNCTION("""COMPUTED_VALUE"""),3.81)</f>
        <v>3.81</v>
      </c>
      <c r="H356" s="17"/>
      <c r="K356" s="17"/>
      <c r="N356" s="17"/>
    </row>
    <row r="357">
      <c r="B357" s="11">
        <f>IFERROR(__xludf.DUMMYFUNCTION("""COMPUTED_VALUE"""),45526.0)</f>
        <v>45526</v>
      </c>
      <c r="C357" s="9">
        <f>IFERROR(__xludf.DUMMYFUNCTION("""COMPUTED_VALUE"""),3.86)</f>
        <v>3.86</v>
      </c>
      <c r="E357" s="40">
        <f>IFERROR(__xludf.DUMMYFUNCTION("""COMPUTED_VALUE"""),45526.0)</f>
        <v>45526</v>
      </c>
      <c r="F357" s="9">
        <f>IFERROR(__xludf.DUMMYFUNCTION("""COMPUTED_VALUE"""),3.86)</f>
        <v>3.86</v>
      </c>
      <c r="H357" s="17"/>
      <c r="K357" s="17"/>
      <c r="N357" s="17"/>
    </row>
    <row r="358">
      <c r="B358" s="11">
        <f>IFERROR(__xludf.DUMMYFUNCTION("""COMPUTED_VALUE"""),45525.0)</f>
        <v>45525</v>
      </c>
      <c r="C358" s="9">
        <f>IFERROR(__xludf.DUMMYFUNCTION("""COMPUTED_VALUE"""),3.79)</f>
        <v>3.79</v>
      </c>
      <c r="E358" s="40">
        <f>IFERROR(__xludf.DUMMYFUNCTION("""COMPUTED_VALUE"""),45525.0)</f>
        <v>45525</v>
      </c>
      <c r="F358" s="9">
        <f>IFERROR(__xludf.DUMMYFUNCTION("""COMPUTED_VALUE"""),3.79)</f>
        <v>3.79</v>
      </c>
      <c r="H358" s="17"/>
      <c r="K358" s="17"/>
      <c r="N358" s="17"/>
    </row>
    <row r="359">
      <c r="B359" s="11">
        <f>IFERROR(__xludf.DUMMYFUNCTION("""COMPUTED_VALUE"""),45524.0)</f>
        <v>45524</v>
      </c>
      <c r="C359" s="9">
        <f>IFERROR(__xludf.DUMMYFUNCTION("""COMPUTED_VALUE"""),3.82)</f>
        <v>3.82</v>
      </c>
      <c r="E359" s="40">
        <f>IFERROR(__xludf.DUMMYFUNCTION("""COMPUTED_VALUE"""),45524.0)</f>
        <v>45524</v>
      </c>
      <c r="F359" s="9">
        <f>IFERROR(__xludf.DUMMYFUNCTION("""COMPUTED_VALUE"""),3.82)</f>
        <v>3.82</v>
      </c>
      <c r="H359" s="17"/>
      <c r="K359" s="17"/>
      <c r="N359" s="17"/>
    </row>
    <row r="360">
      <c r="B360" s="11">
        <f>IFERROR(__xludf.DUMMYFUNCTION("""COMPUTED_VALUE"""),45523.0)</f>
        <v>45523</v>
      </c>
      <c r="C360" s="9">
        <f>IFERROR(__xludf.DUMMYFUNCTION("""COMPUTED_VALUE"""),3.86)</f>
        <v>3.86</v>
      </c>
      <c r="E360" s="40">
        <f>IFERROR(__xludf.DUMMYFUNCTION("""COMPUTED_VALUE"""),45523.0)</f>
        <v>45523</v>
      </c>
      <c r="F360" s="9">
        <f>IFERROR(__xludf.DUMMYFUNCTION("""COMPUTED_VALUE"""),3.86)</f>
        <v>3.86</v>
      </c>
      <c r="H360" s="17"/>
      <c r="K360" s="17"/>
      <c r="N360" s="17"/>
    </row>
    <row r="361">
      <c r="B361" s="11">
        <f>IFERROR(__xludf.DUMMYFUNCTION("""COMPUTED_VALUE"""),45520.0)</f>
        <v>45520</v>
      </c>
      <c r="C361" s="9">
        <f>IFERROR(__xludf.DUMMYFUNCTION("""COMPUTED_VALUE"""),3.89)</f>
        <v>3.89</v>
      </c>
      <c r="E361" s="40">
        <f>IFERROR(__xludf.DUMMYFUNCTION("""COMPUTED_VALUE"""),45520.0)</f>
        <v>45520</v>
      </c>
      <c r="F361" s="9">
        <f>IFERROR(__xludf.DUMMYFUNCTION("""COMPUTED_VALUE"""),3.89)</f>
        <v>3.89</v>
      </c>
      <c r="H361" s="17"/>
      <c r="K361" s="17"/>
      <c r="N361" s="17"/>
    </row>
    <row r="362">
      <c r="B362" s="11">
        <f>IFERROR(__xludf.DUMMYFUNCTION("""COMPUTED_VALUE"""),45519.0)</f>
        <v>45519</v>
      </c>
      <c r="C362" s="9">
        <f>IFERROR(__xludf.DUMMYFUNCTION("""COMPUTED_VALUE"""),3.92)</f>
        <v>3.92</v>
      </c>
      <c r="E362" s="40">
        <f>IFERROR(__xludf.DUMMYFUNCTION("""COMPUTED_VALUE"""),45519.0)</f>
        <v>45519</v>
      </c>
      <c r="F362" s="9">
        <f>IFERROR(__xludf.DUMMYFUNCTION("""COMPUTED_VALUE"""),3.92)</f>
        <v>3.92</v>
      </c>
      <c r="H362" s="17"/>
      <c r="K362" s="17"/>
      <c r="N362" s="17"/>
    </row>
    <row r="363">
      <c r="B363" s="11">
        <f>IFERROR(__xludf.DUMMYFUNCTION("""COMPUTED_VALUE"""),45518.0)</f>
        <v>45518</v>
      </c>
      <c r="C363" s="9">
        <f>IFERROR(__xludf.DUMMYFUNCTION("""COMPUTED_VALUE"""),3.83)</f>
        <v>3.83</v>
      </c>
      <c r="E363" s="40">
        <f>IFERROR(__xludf.DUMMYFUNCTION("""COMPUTED_VALUE"""),45518.0)</f>
        <v>45518</v>
      </c>
      <c r="F363" s="9">
        <f>IFERROR(__xludf.DUMMYFUNCTION("""COMPUTED_VALUE"""),3.83)</f>
        <v>3.83</v>
      </c>
      <c r="H363" s="17"/>
      <c r="K363" s="17"/>
      <c r="N363" s="17"/>
    </row>
    <row r="364">
      <c r="B364" s="11">
        <f>IFERROR(__xludf.DUMMYFUNCTION("""COMPUTED_VALUE"""),45517.0)</f>
        <v>45517</v>
      </c>
      <c r="C364" s="9">
        <f>IFERROR(__xludf.DUMMYFUNCTION("""COMPUTED_VALUE"""),3.85)</f>
        <v>3.85</v>
      </c>
      <c r="E364" s="40">
        <f>IFERROR(__xludf.DUMMYFUNCTION("""COMPUTED_VALUE"""),45517.0)</f>
        <v>45517</v>
      </c>
      <c r="F364" s="9">
        <f>IFERROR(__xludf.DUMMYFUNCTION("""COMPUTED_VALUE"""),3.85)</f>
        <v>3.85</v>
      </c>
      <c r="H364" s="17"/>
      <c r="K364" s="17"/>
      <c r="N364" s="17"/>
    </row>
    <row r="365">
      <c r="B365" s="11">
        <f>IFERROR(__xludf.DUMMYFUNCTION("""COMPUTED_VALUE"""),45516.0)</f>
        <v>45516</v>
      </c>
      <c r="C365" s="9">
        <f>IFERROR(__xludf.DUMMYFUNCTION("""COMPUTED_VALUE"""),3.9)</f>
        <v>3.9</v>
      </c>
      <c r="E365" s="40">
        <f>IFERROR(__xludf.DUMMYFUNCTION("""COMPUTED_VALUE"""),45516.0)</f>
        <v>45516</v>
      </c>
      <c r="F365" s="9">
        <f>IFERROR(__xludf.DUMMYFUNCTION("""COMPUTED_VALUE"""),3.9)</f>
        <v>3.9</v>
      </c>
      <c r="H365" s="17"/>
      <c r="K365" s="17"/>
      <c r="N365" s="17"/>
    </row>
    <row r="366">
      <c r="B366" s="11">
        <f>IFERROR(__xludf.DUMMYFUNCTION("""COMPUTED_VALUE"""),45513.0)</f>
        <v>45513</v>
      </c>
      <c r="C366" s="9">
        <f>IFERROR(__xludf.DUMMYFUNCTION("""COMPUTED_VALUE"""),3.94)</f>
        <v>3.94</v>
      </c>
      <c r="E366" s="40">
        <f>IFERROR(__xludf.DUMMYFUNCTION("""COMPUTED_VALUE"""),45513.0)</f>
        <v>45513</v>
      </c>
      <c r="F366" s="9">
        <f>IFERROR(__xludf.DUMMYFUNCTION("""COMPUTED_VALUE"""),3.94)</f>
        <v>3.94</v>
      </c>
      <c r="H366" s="17"/>
      <c r="K366" s="17"/>
      <c r="N366" s="17"/>
    </row>
    <row r="367">
      <c r="B367" s="11">
        <f>IFERROR(__xludf.DUMMYFUNCTION("""COMPUTED_VALUE"""),45512.0)</f>
        <v>45512</v>
      </c>
      <c r="C367" s="9">
        <f>IFERROR(__xludf.DUMMYFUNCTION("""COMPUTED_VALUE"""),3.99)</f>
        <v>3.99</v>
      </c>
      <c r="E367" s="40">
        <f>IFERROR(__xludf.DUMMYFUNCTION("""COMPUTED_VALUE"""),45512.0)</f>
        <v>45512</v>
      </c>
      <c r="F367" s="9">
        <f>IFERROR(__xludf.DUMMYFUNCTION("""COMPUTED_VALUE"""),3.99)</f>
        <v>3.99</v>
      </c>
      <c r="H367" s="17"/>
      <c r="K367" s="17"/>
      <c r="N367" s="17"/>
    </row>
    <row r="368">
      <c r="B368" s="11">
        <f>IFERROR(__xludf.DUMMYFUNCTION("""COMPUTED_VALUE"""),45511.0)</f>
        <v>45511</v>
      </c>
      <c r="C368" s="9">
        <f>IFERROR(__xludf.DUMMYFUNCTION("""COMPUTED_VALUE"""),3.96)</f>
        <v>3.96</v>
      </c>
      <c r="E368" s="40">
        <f>IFERROR(__xludf.DUMMYFUNCTION("""COMPUTED_VALUE"""),45511.0)</f>
        <v>45511</v>
      </c>
      <c r="F368" s="9">
        <f>IFERROR(__xludf.DUMMYFUNCTION("""COMPUTED_VALUE"""),3.96)</f>
        <v>3.96</v>
      </c>
      <c r="H368" s="17"/>
      <c r="K368" s="17"/>
      <c r="N368" s="17"/>
    </row>
    <row r="369">
      <c r="B369" s="11">
        <f>IFERROR(__xludf.DUMMYFUNCTION("""COMPUTED_VALUE"""),45510.0)</f>
        <v>45510</v>
      </c>
      <c r="C369" s="9">
        <f>IFERROR(__xludf.DUMMYFUNCTION("""COMPUTED_VALUE"""),3.9)</f>
        <v>3.9</v>
      </c>
      <c r="E369" s="40">
        <f>IFERROR(__xludf.DUMMYFUNCTION("""COMPUTED_VALUE"""),45510.0)</f>
        <v>45510</v>
      </c>
      <c r="F369" s="9">
        <f>IFERROR(__xludf.DUMMYFUNCTION("""COMPUTED_VALUE"""),3.9)</f>
        <v>3.9</v>
      </c>
      <c r="H369" s="17"/>
      <c r="K369" s="17"/>
      <c r="N369" s="17"/>
    </row>
    <row r="370">
      <c r="B370" s="11">
        <f>IFERROR(__xludf.DUMMYFUNCTION("""COMPUTED_VALUE"""),45509.0)</f>
        <v>45509</v>
      </c>
      <c r="C370" s="9">
        <f>IFERROR(__xludf.DUMMYFUNCTION("""COMPUTED_VALUE"""),3.78)</f>
        <v>3.78</v>
      </c>
      <c r="E370" s="40">
        <f>IFERROR(__xludf.DUMMYFUNCTION("""COMPUTED_VALUE"""),45509.0)</f>
        <v>45509</v>
      </c>
      <c r="F370" s="9">
        <f>IFERROR(__xludf.DUMMYFUNCTION("""COMPUTED_VALUE"""),3.78)</f>
        <v>3.78</v>
      </c>
      <c r="H370" s="17"/>
      <c r="K370" s="17"/>
      <c r="N370" s="17"/>
    </row>
    <row r="371">
      <c r="B371" s="11">
        <f>IFERROR(__xludf.DUMMYFUNCTION("""COMPUTED_VALUE"""),45506.0)</f>
        <v>45506</v>
      </c>
      <c r="C371" s="9">
        <f>IFERROR(__xludf.DUMMYFUNCTION("""COMPUTED_VALUE"""),3.8)</f>
        <v>3.8</v>
      </c>
      <c r="E371" s="40">
        <f>IFERROR(__xludf.DUMMYFUNCTION("""COMPUTED_VALUE"""),45506.0)</f>
        <v>45506</v>
      </c>
      <c r="F371" s="9">
        <f>IFERROR(__xludf.DUMMYFUNCTION("""COMPUTED_VALUE"""),3.8)</f>
        <v>3.8</v>
      </c>
      <c r="H371" s="17"/>
      <c r="K371" s="17"/>
      <c r="N371" s="17"/>
    </row>
    <row r="372">
      <c r="B372" s="11">
        <f>IFERROR(__xludf.DUMMYFUNCTION("""COMPUTED_VALUE"""),45505.0)</f>
        <v>45505</v>
      </c>
      <c r="C372" s="9">
        <f>IFERROR(__xludf.DUMMYFUNCTION("""COMPUTED_VALUE"""),3.99)</f>
        <v>3.99</v>
      </c>
      <c r="E372" s="40">
        <f>IFERROR(__xludf.DUMMYFUNCTION("""COMPUTED_VALUE"""),45505.0)</f>
        <v>45505</v>
      </c>
      <c r="F372" s="9">
        <f>IFERROR(__xludf.DUMMYFUNCTION("""COMPUTED_VALUE"""),3.99)</f>
        <v>3.99</v>
      </c>
      <c r="H372" s="17"/>
      <c r="K372" s="17"/>
      <c r="N372" s="17"/>
    </row>
    <row r="373">
      <c r="B373" s="11">
        <f>IFERROR(__xludf.DUMMYFUNCTION("""COMPUTED_VALUE"""),45504.0)</f>
        <v>45504</v>
      </c>
      <c r="C373" s="9">
        <f>IFERROR(__xludf.DUMMYFUNCTION("""COMPUTED_VALUE"""),4.09)</f>
        <v>4.09</v>
      </c>
      <c r="E373" s="40">
        <f>IFERROR(__xludf.DUMMYFUNCTION("""COMPUTED_VALUE"""),45504.0)</f>
        <v>45504</v>
      </c>
      <c r="F373" s="9">
        <f>IFERROR(__xludf.DUMMYFUNCTION("""COMPUTED_VALUE"""),4.09)</f>
        <v>4.09</v>
      </c>
      <c r="H373" s="17"/>
      <c r="K373" s="17"/>
      <c r="N373" s="17"/>
    </row>
    <row r="374">
      <c r="B374" s="11">
        <f>IFERROR(__xludf.DUMMYFUNCTION("""COMPUTED_VALUE"""),45503.0)</f>
        <v>45503</v>
      </c>
      <c r="C374" s="9">
        <f>IFERROR(__xludf.DUMMYFUNCTION("""COMPUTED_VALUE"""),4.15)</f>
        <v>4.15</v>
      </c>
      <c r="E374" s="40">
        <f>IFERROR(__xludf.DUMMYFUNCTION("""COMPUTED_VALUE"""),45503.0)</f>
        <v>45503</v>
      </c>
      <c r="F374" s="9">
        <f>IFERROR(__xludf.DUMMYFUNCTION("""COMPUTED_VALUE"""),4.15)</f>
        <v>4.15</v>
      </c>
      <c r="H374" s="17"/>
      <c r="K374" s="17"/>
      <c r="N374" s="17"/>
    </row>
    <row r="375">
      <c r="B375" s="11">
        <f>IFERROR(__xludf.DUMMYFUNCTION("""COMPUTED_VALUE"""),45502.0)</f>
        <v>45502</v>
      </c>
      <c r="C375" s="9">
        <f>IFERROR(__xludf.DUMMYFUNCTION("""COMPUTED_VALUE"""),4.17)</f>
        <v>4.17</v>
      </c>
      <c r="E375" s="40">
        <f>IFERROR(__xludf.DUMMYFUNCTION("""COMPUTED_VALUE"""),45502.0)</f>
        <v>45502</v>
      </c>
      <c r="F375" s="9">
        <f>IFERROR(__xludf.DUMMYFUNCTION("""COMPUTED_VALUE"""),4.17)</f>
        <v>4.17</v>
      </c>
      <c r="H375" s="17"/>
      <c r="K375" s="17"/>
      <c r="N375" s="17"/>
    </row>
    <row r="376">
      <c r="B376" s="11">
        <f>IFERROR(__xludf.DUMMYFUNCTION("""COMPUTED_VALUE"""),45499.0)</f>
        <v>45499</v>
      </c>
      <c r="C376" s="9">
        <f>IFERROR(__xludf.DUMMYFUNCTION("""COMPUTED_VALUE"""),4.2)</f>
        <v>4.2</v>
      </c>
      <c r="E376" s="40">
        <f>IFERROR(__xludf.DUMMYFUNCTION("""COMPUTED_VALUE"""),45499.0)</f>
        <v>45499</v>
      </c>
      <c r="F376" s="9">
        <f>IFERROR(__xludf.DUMMYFUNCTION("""COMPUTED_VALUE"""),4.2)</f>
        <v>4.2</v>
      </c>
      <c r="H376" s="17"/>
      <c r="K376" s="17"/>
      <c r="N376" s="17"/>
    </row>
    <row r="377">
      <c r="B377" s="11">
        <f>IFERROR(__xludf.DUMMYFUNCTION("""COMPUTED_VALUE"""),45498.0)</f>
        <v>45498</v>
      </c>
      <c r="C377" s="9">
        <f>IFERROR(__xludf.DUMMYFUNCTION("""COMPUTED_VALUE"""),4.27)</f>
        <v>4.27</v>
      </c>
      <c r="E377" s="40">
        <f>IFERROR(__xludf.DUMMYFUNCTION("""COMPUTED_VALUE"""),45498.0)</f>
        <v>45498</v>
      </c>
      <c r="F377" s="9">
        <f>IFERROR(__xludf.DUMMYFUNCTION("""COMPUTED_VALUE"""),4.27)</f>
        <v>4.27</v>
      </c>
      <c r="H377" s="17"/>
      <c r="K377" s="17"/>
      <c r="N377" s="17"/>
    </row>
    <row r="378">
      <c r="B378" s="11">
        <f>IFERROR(__xludf.DUMMYFUNCTION("""COMPUTED_VALUE"""),45497.0)</f>
        <v>45497</v>
      </c>
      <c r="C378" s="9">
        <f>IFERROR(__xludf.DUMMYFUNCTION("""COMPUTED_VALUE"""),4.28)</f>
        <v>4.28</v>
      </c>
      <c r="E378" s="40">
        <f>IFERROR(__xludf.DUMMYFUNCTION("""COMPUTED_VALUE"""),45497.0)</f>
        <v>45497</v>
      </c>
      <c r="F378" s="9">
        <f>IFERROR(__xludf.DUMMYFUNCTION("""COMPUTED_VALUE"""),4.28)</f>
        <v>4.28</v>
      </c>
      <c r="H378" s="17"/>
      <c r="K378" s="17"/>
      <c r="N378" s="17"/>
    </row>
    <row r="379">
      <c r="B379" s="11">
        <f>IFERROR(__xludf.DUMMYFUNCTION("""COMPUTED_VALUE"""),45496.0)</f>
        <v>45496</v>
      </c>
      <c r="C379" s="9">
        <f>IFERROR(__xludf.DUMMYFUNCTION("""COMPUTED_VALUE"""),4.25)</f>
        <v>4.25</v>
      </c>
      <c r="E379" s="40">
        <f>IFERROR(__xludf.DUMMYFUNCTION("""COMPUTED_VALUE"""),45496.0)</f>
        <v>45496</v>
      </c>
      <c r="F379" s="9">
        <f>IFERROR(__xludf.DUMMYFUNCTION("""COMPUTED_VALUE"""),4.25)</f>
        <v>4.25</v>
      </c>
      <c r="H379" s="17"/>
      <c r="K379" s="17"/>
      <c r="N379" s="17"/>
    </row>
    <row r="380">
      <c r="B380" s="11">
        <f>IFERROR(__xludf.DUMMYFUNCTION("""COMPUTED_VALUE"""),45495.0)</f>
        <v>45495</v>
      </c>
      <c r="C380" s="9">
        <f>IFERROR(__xludf.DUMMYFUNCTION("""COMPUTED_VALUE"""),4.26)</f>
        <v>4.26</v>
      </c>
      <c r="E380" s="40">
        <f>IFERROR(__xludf.DUMMYFUNCTION("""COMPUTED_VALUE"""),45495.0)</f>
        <v>45495</v>
      </c>
      <c r="F380" s="9">
        <f>IFERROR(__xludf.DUMMYFUNCTION("""COMPUTED_VALUE"""),4.26)</f>
        <v>4.26</v>
      </c>
      <c r="H380" s="17"/>
      <c r="K380" s="17"/>
      <c r="N380" s="17"/>
    </row>
    <row r="381">
      <c r="B381" s="11">
        <f>IFERROR(__xludf.DUMMYFUNCTION("""COMPUTED_VALUE"""),45492.0)</f>
        <v>45492</v>
      </c>
      <c r="C381" s="9">
        <f>IFERROR(__xludf.DUMMYFUNCTION("""COMPUTED_VALUE"""),4.25)</f>
        <v>4.25</v>
      </c>
      <c r="E381" s="40">
        <f>IFERROR(__xludf.DUMMYFUNCTION("""COMPUTED_VALUE"""),45492.0)</f>
        <v>45492</v>
      </c>
      <c r="F381" s="9">
        <f>IFERROR(__xludf.DUMMYFUNCTION("""COMPUTED_VALUE"""),4.25)</f>
        <v>4.25</v>
      </c>
      <c r="H381" s="17"/>
      <c r="K381" s="17"/>
      <c r="N381" s="17"/>
    </row>
    <row r="382">
      <c r="B382" s="11">
        <f>IFERROR(__xludf.DUMMYFUNCTION("""COMPUTED_VALUE"""),45491.0)</f>
        <v>45491</v>
      </c>
      <c r="C382" s="9">
        <f>IFERROR(__xludf.DUMMYFUNCTION("""COMPUTED_VALUE"""),4.2)</f>
        <v>4.2</v>
      </c>
      <c r="E382" s="40">
        <f>IFERROR(__xludf.DUMMYFUNCTION("""COMPUTED_VALUE"""),45491.0)</f>
        <v>45491</v>
      </c>
      <c r="F382" s="9">
        <f>IFERROR(__xludf.DUMMYFUNCTION("""COMPUTED_VALUE"""),4.2)</f>
        <v>4.2</v>
      </c>
      <c r="H382" s="17"/>
      <c r="K382" s="17"/>
      <c r="N382" s="17"/>
    </row>
    <row r="383">
      <c r="B383" s="11">
        <f>IFERROR(__xludf.DUMMYFUNCTION("""COMPUTED_VALUE"""),45490.0)</f>
        <v>45490</v>
      </c>
      <c r="C383" s="9">
        <f>IFERROR(__xludf.DUMMYFUNCTION("""COMPUTED_VALUE"""),4.16)</f>
        <v>4.16</v>
      </c>
      <c r="E383" s="40">
        <f>IFERROR(__xludf.DUMMYFUNCTION("""COMPUTED_VALUE"""),45490.0)</f>
        <v>45490</v>
      </c>
      <c r="F383" s="9">
        <f>IFERROR(__xludf.DUMMYFUNCTION("""COMPUTED_VALUE"""),4.16)</f>
        <v>4.16</v>
      </c>
      <c r="H383" s="17"/>
      <c r="K383" s="17"/>
      <c r="N383" s="17"/>
    </row>
    <row r="384">
      <c r="B384" s="11">
        <f>IFERROR(__xludf.DUMMYFUNCTION("""COMPUTED_VALUE"""),45489.0)</f>
        <v>45489</v>
      </c>
      <c r="C384" s="9">
        <f>IFERROR(__xludf.DUMMYFUNCTION("""COMPUTED_VALUE"""),4.17)</f>
        <v>4.17</v>
      </c>
      <c r="E384" s="40">
        <f>IFERROR(__xludf.DUMMYFUNCTION("""COMPUTED_VALUE"""),45489.0)</f>
        <v>45489</v>
      </c>
      <c r="F384" s="9">
        <f>IFERROR(__xludf.DUMMYFUNCTION("""COMPUTED_VALUE"""),4.17)</f>
        <v>4.17</v>
      </c>
      <c r="H384" s="17"/>
      <c r="K384" s="17"/>
      <c r="N384" s="17"/>
    </row>
    <row r="385">
      <c r="B385" s="11">
        <f>IFERROR(__xludf.DUMMYFUNCTION("""COMPUTED_VALUE"""),45488.0)</f>
        <v>45488</v>
      </c>
      <c r="C385" s="9">
        <f>IFERROR(__xludf.DUMMYFUNCTION("""COMPUTED_VALUE"""),4.23)</f>
        <v>4.23</v>
      </c>
      <c r="E385" s="40">
        <f>IFERROR(__xludf.DUMMYFUNCTION("""COMPUTED_VALUE"""),45488.0)</f>
        <v>45488</v>
      </c>
      <c r="F385" s="9">
        <f>IFERROR(__xludf.DUMMYFUNCTION("""COMPUTED_VALUE"""),4.23)</f>
        <v>4.23</v>
      </c>
      <c r="H385" s="17"/>
      <c r="K385" s="17"/>
      <c r="N385" s="17"/>
    </row>
    <row r="386">
      <c r="B386" s="11">
        <f>IFERROR(__xludf.DUMMYFUNCTION("""COMPUTED_VALUE"""),45485.0)</f>
        <v>45485</v>
      </c>
      <c r="C386" s="9">
        <f>IFERROR(__xludf.DUMMYFUNCTION("""COMPUTED_VALUE"""),4.18)</f>
        <v>4.18</v>
      </c>
      <c r="E386" s="40">
        <f>IFERROR(__xludf.DUMMYFUNCTION("""COMPUTED_VALUE"""),45485.0)</f>
        <v>45485</v>
      </c>
      <c r="F386" s="9">
        <f>IFERROR(__xludf.DUMMYFUNCTION("""COMPUTED_VALUE"""),4.18)</f>
        <v>4.18</v>
      </c>
      <c r="H386" s="17"/>
      <c r="K386" s="17"/>
      <c r="N386" s="17"/>
    </row>
    <row r="387">
      <c r="B387" s="11">
        <f>IFERROR(__xludf.DUMMYFUNCTION("""COMPUTED_VALUE"""),45484.0)</f>
        <v>45484</v>
      </c>
      <c r="C387" s="9">
        <f>IFERROR(__xludf.DUMMYFUNCTION("""COMPUTED_VALUE"""),4.2)</f>
        <v>4.2</v>
      </c>
      <c r="E387" s="40">
        <f>IFERROR(__xludf.DUMMYFUNCTION("""COMPUTED_VALUE"""),45484.0)</f>
        <v>45484</v>
      </c>
      <c r="F387" s="9">
        <f>IFERROR(__xludf.DUMMYFUNCTION("""COMPUTED_VALUE"""),4.2)</f>
        <v>4.2</v>
      </c>
      <c r="H387" s="17"/>
      <c r="K387" s="17"/>
      <c r="N387" s="17"/>
    </row>
    <row r="388">
      <c r="B388" s="11">
        <f>IFERROR(__xludf.DUMMYFUNCTION("""COMPUTED_VALUE"""),45483.0)</f>
        <v>45483</v>
      </c>
      <c r="C388" s="9">
        <f>IFERROR(__xludf.DUMMYFUNCTION("""COMPUTED_VALUE"""),4.28)</f>
        <v>4.28</v>
      </c>
      <c r="E388" s="40">
        <f>IFERROR(__xludf.DUMMYFUNCTION("""COMPUTED_VALUE"""),45483.0)</f>
        <v>45483</v>
      </c>
      <c r="F388" s="9">
        <f>IFERROR(__xludf.DUMMYFUNCTION("""COMPUTED_VALUE"""),4.28)</f>
        <v>4.28</v>
      </c>
      <c r="H388" s="17"/>
      <c r="K388" s="17"/>
      <c r="N388" s="17"/>
    </row>
    <row r="389">
      <c r="B389" s="11">
        <f>IFERROR(__xludf.DUMMYFUNCTION("""COMPUTED_VALUE"""),45482.0)</f>
        <v>45482</v>
      </c>
      <c r="C389" s="9">
        <f>IFERROR(__xludf.DUMMYFUNCTION("""COMPUTED_VALUE"""),4.3)</f>
        <v>4.3</v>
      </c>
      <c r="E389" s="40">
        <f>IFERROR(__xludf.DUMMYFUNCTION("""COMPUTED_VALUE"""),45482.0)</f>
        <v>45482</v>
      </c>
      <c r="F389" s="9">
        <f>IFERROR(__xludf.DUMMYFUNCTION("""COMPUTED_VALUE"""),4.3)</f>
        <v>4.3</v>
      </c>
      <c r="H389" s="17"/>
      <c r="K389" s="17"/>
      <c r="N389" s="17"/>
    </row>
    <row r="390">
      <c r="B390" s="11">
        <f>IFERROR(__xludf.DUMMYFUNCTION("""COMPUTED_VALUE"""),45481.0)</f>
        <v>45481</v>
      </c>
      <c r="C390" s="9">
        <f>IFERROR(__xludf.DUMMYFUNCTION("""COMPUTED_VALUE"""),4.28)</f>
        <v>4.28</v>
      </c>
      <c r="E390" s="40">
        <f>IFERROR(__xludf.DUMMYFUNCTION("""COMPUTED_VALUE"""),45481.0)</f>
        <v>45481</v>
      </c>
      <c r="F390" s="9">
        <f>IFERROR(__xludf.DUMMYFUNCTION("""COMPUTED_VALUE"""),4.28)</f>
        <v>4.28</v>
      </c>
      <c r="H390" s="17"/>
      <c r="K390" s="17"/>
      <c r="N390" s="17"/>
    </row>
    <row r="391">
      <c r="B391" s="11">
        <f>IFERROR(__xludf.DUMMYFUNCTION("""COMPUTED_VALUE"""),45478.0)</f>
        <v>45478</v>
      </c>
      <c r="C391" s="9">
        <f>IFERROR(__xludf.DUMMYFUNCTION("""COMPUTED_VALUE"""),4.28)</f>
        <v>4.28</v>
      </c>
      <c r="E391" s="40">
        <f>IFERROR(__xludf.DUMMYFUNCTION("""COMPUTED_VALUE"""),45478.0)</f>
        <v>45478</v>
      </c>
      <c r="F391" s="9">
        <f>IFERROR(__xludf.DUMMYFUNCTION("""COMPUTED_VALUE"""),4.28)</f>
        <v>4.28</v>
      </c>
      <c r="H391" s="17"/>
      <c r="K391" s="17"/>
      <c r="N391" s="17"/>
    </row>
    <row r="392">
      <c r="B392" s="11">
        <f>IFERROR(__xludf.DUMMYFUNCTION("""COMPUTED_VALUE"""),45477.0)</f>
        <v>45477</v>
      </c>
      <c r="C392" s="9"/>
      <c r="E392" s="40">
        <f>IFERROR(__xludf.DUMMYFUNCTION("""COMPUTED_VALUE"""),45477.0)</f>
        <v>45477</v>
      </c>
      <c r="F392" s="9"/>
      <c r="H392" s="17"/>
      <c r="K392" s="17"/>
      <c r="N392" s="17"/>
    </row>
    <row r="393">
      <c r="B393" s="11">
        <f>IFERROR(__xludf.DUMMYFUNCTION("""COMPUTED_VALUE"""),45476.0)</f>
        <v>45476</v>
      </c>
      <c r="C393" s="9">
        <f>IFERROR(__xludf.DUMMYFUNCTION("""COMPUTED_VALUE"""),4.36)</f>
        <v>4.36</v>
      </c>
      <c r="E393" s="40">
        <f>IFERROR(__xludf.DUMMYFUNCTION("""COMPUTED_VALUE"""),45476.0)</f>
        <v>45476</v>
      </c>
      <c r="F393" s="9">
        <f>IFERROR(__xludf.DUMMYFUNCTION("""COMPUTED_VALUE"""),4.36)</f>
        <v>4.36</v>
      </c>
      <c r="H393" s="17"/>
      <c r="K393" s="17"/>
      <c r="N393" s="17"/>
    </row>
    <row r="394">
      <c r="B394" s="11">
        <f>IFERROR(__xludf.DUMMYFUNCTION("""COMPUTED_VALUE"""),45475.0)</f>
        <v>45475</v>
      </c>
      <c r="C394" s="9">
        <f>IFERROR(__xludf.DUMMYFUNCTION("""COMPUTED_VALUE"""),4.43)</f>
        <v>4.43</v>
      </c>
      <c r="E394" s="40">
        <f>IFERROR(__xludf.DUMMYFUNCTION("""COMPUTED_VALUE"""),45475.0)</f>
        <v>45475</v>
      </c>
      <c r="F394" s="9">
        <f>IFERROR(__xludf.DUMMYFUNCTION("""COMPUTED_VALUE"""),4.43)</f>
        <v>4.43</v>
      </c>
      <c r="H394" s="17"/>
      <c r="K394" s="17"/>
      <c r="N394" s="17"/>
    </row>
    <row r="395">
      <c r="B395" s="11">
        <f>IFERROR(__xludf.DUMMYFUNCTION("""COMPUTED_VALUE"""),45474.0)</f>
        <v>45474</v>
      </c>
      <c r="C395" s="9">
        <f>IFERROR(__xludf.DUMMYFUNCTION("""COMPUTED_VALUE"""),4.48)</f>
        <v>4.48</v>
      </c>
      <c r="E395" s="40">
        <f>IFERROR(__xludf.DUMMYFUNCTION("""COMPUTED_VALUE"""),45474.0)</f>
        <v>45474</v>
      </c>
      <c r="F395" s="9">
        <f>IFERROR(__xludf.DUMMYFUNCTION("""COMPUTED_VALUE"""),4.48)</f>
        <v>4.48</v>
      </c>
      <c r="H395" s="17"/>
      <c r="K395" s="17"/>
      <c r="N395" s="17"/>
    </row>
    <row r="396">
      <c r="B396" s="11">
        <f>IFERROR(__xludf.DUMMYFUNCTION("""COMPUTED_VALUE"""),45471.0)</f>
        <v>45471</v>
      </c>
      <c r="C396" s="9">
        <f>IFERROR(__xludf.DUMMYFUNCTION("""COMPUTED_VALUE"""),4.36)</f>
        <v>4.36</v>
      </c>
      <c r="E396" s="40">
        <f>IFERROR(__xludf.DUMMYFUNCTION("""COMPUTED_VALUE"""),45471.0)</f>
        <v>45471</v>
      </c>
      <c r="F396" s="9">
        <f>IFERROR(__xludf.DUMMYFUNCTION("""COMPUTED_VALUE"""),4.36)</f>
        <v>4.36</v>
      </c>
      <c r="H396" s="17"/>
      <c r="K396" s="17"/>
      <c r="N396" s="17"/>
    </row>
    <row r="397">
      <c r="B397" s="11">
        <f>IFERROR(__xludf.DUMMYFUNCTION("""COMPUTED_VALUE"""),45470.0)</f>
        <v>45470</v>
      </c>
      <c r="C397" s="9">
        <f>IFERROR(__xludf.DUMMYFUNCTION("""COMPUTED_VALUE"""),4.29)</f>
        <v>4.29</v>
      </c>
      <c r="E397" s="40">
        <f>IFERROR(__xludf.DUMMYFUNCTION("""COMPUTED_VALUE"""),45470.0)</f>
        <v>45470</v>
      </c>
      <c r="F397" s="9">
        <f>IFERROR(__xludf.DUMMYFUNCTION("""COMPUTED_VALUE"""),4.29)</f>
        <v>4.29</v>
      </c>
      <c r="H397" s="17"/>
      <c r="K397" s="17"/>
      <c r="N397" s="17"/>
    </row>
    <row r="398">
      <c r="B398" s="11">
        <f>IFERROR(__xludf.DUMMYFUNCTION("""COMPUTED_VALUE"""),45469.0)</f>
        <v>45469</v>
      </c>
      <c r="C398" s="9">
        <f>IFERROR(__xludf.DUMMYFUNCTION("""COMPUTED_VALUE"""),4.32)</f>
        <v>4.32</v>
      </c>
      <c r="E398" s="40">
        <f>IFERROR(__xludf.DUMMYFUNCTION("""COMPUTED_VALUE"""),45469.0)</f>
        <v>45469</v>
      </c>
      <c r="F398" s="9">
        <f>IFERROR(__xludf.DUMMYFUNCTION("""COMPUTED_VALUE"""),4.32)</f>
        <v>4.32</v>
      </c>
      <c r="H398" s="17"/>
      <c r="K398" s="17"/>
      <c r="N398" s="17"/>
    </row>
    <row r="399">
      <c r="B399" s="11">
        <f>IFERROR(__xludf.DUMMYFUNCTION("""COMPUTED_VALUE"""),45468.0)</f>
        <v>45468</v>
      </c>
      <c r="C399" s="9">
        <f>IFERROR(__xludf.DUMMYFUNCTION("""COMPUTED_VALUE"""),4.23)</f>
        <v>4.23</v>
      </c>
      <c r="E399" s="40">
        <f>IFERROR(__xludf.DUMMYFUNCTION("""COMPUTED_VALUE"""),45468.0)</f>
        <v>45468</v>
      </c>
      <c r="F399" s="9">
        <f>IFERROR(__xludf.DUMMYFUNCTION("""COMPUTED_VALUE"""),4.23)</f>
        <v>4.23</v>
      </c>
      <c r="H399" s="17"/>
      <c r="K399" s="17"/>
      <c r="N399" s="17"/>
    </row>
    <row r="400">
      <c r="B400" s="11">
        <f>IFERROR(__xludf.DUMMYFUNCTION("""COMPUTED_VALUE"""),45467.0)</f>
        <v>45467</v>
      </c>
      <c r="C400" s="9">
        <f>IFERROR(__xludf.DUMMYFUNCTION("""COMPUTED_VALUE"""),4.25)</f>
        <v>4.25</v>
      </c>
      <c r="E400" s="40">
        <f>IFERROR(__xludf.DUMMYFUNCTION("""COMPUTED_VALUE"""),45467.0)</f>
        <v>45467</v>
      </c>
      <c r="F400" s="9">
        <f>IFERROR(__xludf.DUMMYFUNCTION("""COMPUTED_VALUE"""),4.25)</f>
        <v>4.25</v>
      </c>
      <c r="H400" s="17"/>
      <c r="K400" s="17"/>
      <c r="N400" s="17"/>
    </row>
    <row r="401">
      <c r="B401" s="11">
        <f>IFERROR(__xludf.DUMMYFUNCTION("""COMPUTED_VALUE"""),45464.0)</f>
        <v>45464</v>
      </c>
      <c r="C401" s="9">
        <f>IFERROR(__xludf.DUMMYFUNCTION("""COMPUTED_VALUE"""),4.25)</f>
        <v>4.25</v>
      </c>
      <c r="E401" s="40">
        <f>IFERROR(__xludf.DUMMYFUNCTION("""COMPUTED_VALUE"""),45464.0)</f>
        <v>45464</v>
      </c>
      <c r="F401" s="9">
        <f>IFERROR(__xludf.DUMMYFUNCTION("""COMPUTED_VALUE"""),4.25)</f>
        <v>4.25</v>
      </c>
      <c r="H401" s="17"/>
      <c r="K401" s="17"/>
      <c r="N401" s="17"/>
    </row>
    <row r="402">
      <c r="B402" s="11">
        <f>IFERROR(__xludf.DUMMYFUNCTION("""COMPUTED_VALUE"""),45463.0)</f>
        <v>45463</v>
      </c>
      <c r="C402" s="9">
        <f>IFERROR(__xludf.DUMMYFUNCTION("""COMPUTED_VALUE"""),4.25)</f>
        <v>4.25</v>
      </c>
      <c r="E402" s="40">
        <f>IFERROR(__xludf.DUMMYFUNCTION("""COMPUTED_VALUE"""),45463.0)</f>
        <v>45463</v>
      </c>
      <c r="F402" s="9">
        <f>IFERROR(__xludf.DUMMYFUNCTION("""COMPUTED_VALUE"""),4.25)</f>
        <v>4.25</v>
      </c>
      <c r="H402" s="17"/>
      <c r="K402" s="17"/>
      <c r="N402" s="17"/>
    </row>
    <row r="403">
      <c r="B403" s="11">
        <f>IFERROR(__xludf.DUMMYFUNCTION("""COMPUTED_VALUE"""),45462.0)</f>
        <v>45462</v>
      </c>
      <c r="C403" s="9"/>
      <c r="E403" s="40">
        <f>IFERROR(__xludf.DUMMYFUNCTION("""COMPUTED_VALUE"""),45462.0)</f>
        <v>45462</v>
      </c>
      <c r="F403" s="9"/>
      <c r="H403" s="17"/>
      <c r="K403" s="17"/>
      <c r="N403" s="17"/>
    </row>
    <row r="404">
      <c r="B404" s="11">
        <f>IFERROR(__xludf.DUMMYFUNCTION("""COMPUTED_VALUE"""),45461.0)</f>
        <v>45461</v>
      </c>
      <c r="C404" s="9">
        <f>IFERROR(__xludf.DUMMYFUNCTION("""COMPUTED_VALUE"""),4.22)</f>
        <v>4.22</v>
      </c>
      <c r="E404" s="40">
        <f>IFERROR(__xludf.DUMMYFUNCTION("""COMPUTED_VALUE"""),45461.0)</f>
        <v>45461</v>
      </c>
      <c r="F404" s="9">
        <f>IFERROR(__xludf.DUMMYFUNCTION("""COMPUTED_VALUE"""),4.22)</f>
        <v>4.22</v>
      </c>
      <c r="H404" s="17"/>
      <c r="K404" s="17"/>
      <c r="N404" s="17"/>
    </row>
    <row r="405">
      <c r="B405" s="11">
        <f>IFERROR(__xludf.DUMMYFUNCTION("""COMPUTED_VALUE"""),45460.0)</f>
        <v>45460</v>
      </c>
      <c r="C405" s="9">
        <f>IFERROR(__xludf.DUMMYFUNCTION("""COMPUTED_VALUE"""),4.28)</f>
        <v>4.28</v>
      </c>
      <c r="E405" s="40">
        <f>IFERROR(__xludf.DUMMYFUNCTION("""COMPUTED_VALUE"""),45460.0)</f>
        <v>45460</v>
      </c>
      <c r="F405" s="9">
        <f>IFERROR(__xludf.DUMMYFUNCTION("""COMPUTED_VALUE"""),4.28)</f>
        <v>4.28</v>
      </c>
      <c r="H405" s="17"/>
      <c r="K405" s="17"/>
      <c r="N405" s="17"/>
    </row>
    <row r="406">
      <c r="B406" s="11">
        <f>IFERROR(__xludf.DUMMYFUNCTION("""COMPUTED_VALUE"""),45457.0)</f>
        <v>45457</v>
      </c>
      <c r="C406" s="9">
        <f>IFERROR(__xludf.DUMMYFUNCTION("""COMPUTED_VALUE"""),4.2)</f>
        <v>4.2</v>
      </c>
      <c r="E406" s="40">
        <f>IFERROR(__xludf.DUMMYFUNCTION("""COMPUTED_VALUE"""),45457.0)</f>
        <v>45457</v>
      </c>
      <c r="F406" s="9">
        <f>IFERROR(__xludf.DUMMYFUNCTION("""COMPUTED_VALUE"""),4.2)</f>
        <v>4.2</v>
      </c>
      <c r="H406" s="17"/>
      <c r="K406" s="17"/>
      <c r="N406" s="17"/>
    </row>
    <row r="407">
      <c r="B407" s="11">
        <f>IFERROR(__xludf.DUMMYFUNCTION("""COMPUTED_VALUE"""),45456.0)</f>
        <v>45456</v>
      </c>
      <c r="C407" s="9">
        <f>IFERROR(__xludf.DUMMYFUNCTION("""COMPUTED_VALUE"""),4.24)</f>
        <v>4.24</v>
      </c>
      <c r="E407" s="40">
        <f>IFERROR(__xludf.DUMMYFUNCTION("""COMPUTED_VALUE"""),45456.0)</f>
        <v>45456</v>
      </c>
      <c r="F407" s="9">
        <f>IFERROR(__xludf.DUMMYFUNCTION("""COMPUTED_VALUE"""),4.24)</f>
        <v>4.24</v>
      </c>
      <c r="H407" s="17"/>
      <c r="K407" s="17"/>
      <c r="N407" s="17"/>
    </row>
    <row r="408">
      <c r="B408" s="11">
        <f>IFERROR(__xludf.DUMMYFUNCTION("""COMPUTED_VALUE"""),45455.0)</f>
        <v>45455</v>
      </c>
      <c r="C408" s="9">
        <f>IFERROR(__xludf.DUMMYFUNCTION("""COMPUTED_VALUE"""),4.31)</f>
        <v>4.31</v>
      </c>
      <c r="E408" s="40">
        <f>IFERROR(__xludf.DUMMYFUNCTION("""COMPUTED_VALUE"""),45455.0)</f>
        <v>45455</v>
      </c>
      <c r="F408" s="9">
        <f>IFERROR(__xludf.DUMMYFUNCTION("""COMPUTED_VALUE"""),4.31)</f>
        <v>4.31</v>
      </c>
      <c r="H408" s="17"/>
      <c r="K408" s="17"/>
      <c r="N408" s="17"/>
    </row>
    <row r="409">
      <c r="B409" s="11">
        <f>IFERROR(__xludf.DUMMYFUNCTION("""COMPUTED_VALUE"""),45454.0)</f>
        <v>45454</v>
      </c>
      <c r="C409" s="9">
        <f>IFERROR(__xludf.DUMMYFUNCTION("""COMPUTED_VALUE"""),4.39)</f>
        <v>4.39</v>
      </c>
      <c r="E409" s="40">
        <f>IFERROR(__xludf.DUMMYFUNCTION("""COMPUTED_VALUE"""),45454.0)</f>
        <v>45454</v>
      </c>
      <c r="F409" s="9">
        <f>IFERROR(__xludf.DUMMYFUNCTION("""COMPUTED_VALUE"""),4.39)</f>
        <v>4.39</v>
      </c>
      <c r="H409" s="17"/>
      <c r="K409" s="17"/>
      <c r="N409" s="17"/>
    </row>
    <row r="410">
      <c r="B410" s="11">
        <f>IFERROR(__xludf.DUMMYFUNCTION("""COMPUTED_VALUE"""),45453.0)</f>
        <v>45453</v>
      </c>
      <c r="C410" s="9">
        <f>IFERROR(__xludf.DUMMYFUNCTION("""COMPUTED_VALUE"""),4.47)</f>
        <v>4.47</v>
      </c>
      <c r="E410" s="40">
        <f>IFERROR(__xludf.DUMMYFUNCTION("""COMPUTED_VALUE"""),45453.0)</f>
        <v>45453</v>
      </c>
      <c r="F410" s="9">
        <f>IFERROR(__xludf.DUMMYFUNCTION("""COMPUTED_VALUE"""),4.47)</f>
        <v>4.47</v>
      </c>
      <c r="H410" s="17"/>
      <c r="K410" s="17"/>
      <c r="N410" s="17"/>
    </row>
    <row r="411">
      <c r="B411" s="11">
        <f>IFERROR(__xludf.DUMMYFUNCTION("""COMPUTED_VALUE"""),45450.0)</f>
        <v>45450</v>
      </c>
      <c r="C411" s="9">
        <f>IFERROR(__xludf.DUMMYFUNCTION("""COMPUTED_VALUE"""),4.43)</f>
        <v>4.43</v>
      </c>
      <c r="E411" s="40">
        <f>IFERROR(__xludf.DUMMYFUNCTION("""COMPUTED_VALUE"""),45450.0)</f>
        <v>45450</v>
      </c>
      <c r="F411" s="9">
        <f>IFERROR(__xludf.DUMMYFUNCTION("""COMPUTED_VALUE"""),4.43)</f>
        <v>4.43</v>
      </c>
      <c r="H411" s="17"/>
      <c r="K411" s="17"/>
      <c r="N411" s="17"/>
    </row>
    <row r="412">
      <c r="B412" s="11">
        <f>IFERROR(__xludf.DUMMYFUNCTION("""COMPUTED_VALUE"""),45449.0)</f>
        <v>45449</v>
      </c>
      <c r="C412" s="9">
        <f>IFERROR(__xludf.DUMMYFUNCTION("""COMPUTED_VALUE"""),4.28)</f>
        <v>4.28</v>
      </c>
      <c r="E412" s="40">
        <f>IFERROR(__xludf.DUMMYFUNCTION("""COMPUTED_VALUE"""),45449.0)</f>
        <v>45449</v>
      </c>
      <c r="F412" s="9">
        <f>IFERROR(__xludf.DUMMYFUNCTION("""COMPUTED_VALUE"""),4.28)</f>
        <v>4.28</v>
      </c>
      <c r="H412" s="17"/>
      <c r="K412" s="17"/>
      <c r="N412" s="17"/>
    </row>
    <row r="413">
      <c r="B413" s="11">
        <f>IFERROR(__xludf.DUMMYFUNCTION("""COMPUTED_VALUE"""),45448.0)</f>
        <v>45448</v>
      </c>
      <c r="C413" s="9">
        <f>IFERROR(__xludf.DUMMYFUNCTION("""COMPUTED_VALUE"""),4.29)</f>
        <v>4.29</v>
      </c>
      <c r="E413" s="40">
        <f>IFERROR(__xludf.DUMMYFUNCTION("""COMPUTED_VALUE"""),45448.0)</f>
        <v>45448</v>
      </c>
      <c r="F413" s="9">
        <f>IFERROR(__xludf.DUMMYFUNCTION("""COMPUTED_VALUE"""),4.29)</f>
        <v>4.29</v>
      </c>
      <c r="H413" s="17"/>
      <c r="K413" s="17"/>
      <c r="N413" s="17"/>
    </row>
    <row r="414">
      <c r="B414" s="11">
        <f>IFERROR(__xludf.DUMMYFUNCTION("""COMPUTED_VALUE"""),45447.0)</f>
        <v>45447</v>
      </c>
      <c r="C414" s="9">
        <f>IFERROR(__xludf.DUMMYFUNCTION("""COMPUTED_VALUE"""),4.33)</f>
        <v>4.33</v>
      </c>
      <c r="E414" s="40">
        <f>IFERROR(__xludf.DUMMYFUNCTION("""COMPUTED_VALUE"""),45447.0)</f>
        <v>45447</v>
      </c>
      <c r="F414" s="9">
        <f>IFERROR(__xludf.DUMMYFUNCTION("""COMPUTED_VALUE"""),4.33)</f>
        <v>4.33</v>
      </c>
      <c r="H414" s="17"/>
      <c r="K414" s="17"/>
      <c r="N414" s="17"/>
    </row>
    <row r="415">
      <c r="B415" s="11">
        <f>IFERROR(__xludf.DUMMYFUNCTION("""COMPUTED_VALUE"""),45446.0)</f>
        <v>45446</v>
      </c>
      <c r="C415" s="9">
        <f>IFERROR(__xludf.DUMMYFUNCTION("""COMPUTED_VALUE"""),4.41)</f>
        <v>4.41</v>
      </c>
      <c r="E415" s="40">
        <f>IFERROR(__xludf.DUMMYFUNCTION("""COMPUTED_VALUE"""),45446.0)</f>
        <v>45446</v>
      </c>
      <c r="F415" s="9">
        <f>IFERROR(__xludf.DUMMYFUNCTION("""COMPUTED_VALUE"""),4.41)</f>
        <v>4.41</v>
      </c>
      <c r="H415" s="17"/>
      <c r="K415" s="17"/>
      <c r="N415" s="17"/>
    </row>
    <row r="416">
      <c r="B416" s="11">
        <f>IFERROR(__xludf.DUMMYFUNCTION("""COMPUTED_VALUE"""),45443.0)</f>
        <v>45443</v>
      </c>
      <c r="C416" s="9">
        <f>IFERROR(__xludf.DUMMYFUNCTION("""COMPUTED_VALUE"""),4.51)</f>
        <v>4.51</v>
      </c>
      <c r="E416" s="40">
        <f>IFERROR(__xludf.DUMMYFUNCTION("""COMPUTED_VALUE"""),45443.0)</f>
        <v>45443</v>
      </c>
      <c r="F416" s="9">
        <f>IFERROR(__xludf.DUMMYFUNCTION("""COMPUTED_VALUE"""),4.51)</f>
        <v>4.51</v>
      </c>
      <c r="H416" s="17"/>
      <c r="K416" s="17"/>
      <c r="N416" s="17"/>
    </row>
    <row r="417">
      <c r="B417" s="11">
        <f>IFERROR(__xludf.DUMMYFUNCTION("""COMPUTED_VALUE"""),45442.0)</f>
        <v>45442</v>
      </c>
      <c r="C417" s="9">
        <f>IFERROR(__xludf.DUMMYFUNCTION("""COMPUTED_VALUE"""),4.55)</f>
        <v>4.55</v>
      </c>
      <c r="E417" s="40">
        <f>IFERROR(__xludf.DUMMYFUNCTION("""COMPUTED_VALUE"""),45442.0)</f>
        <v>45442</v>
      </c>
      <c r="F417" s="9">
        <f>IFERROR(__xludf.DUMMYFUNCTION("""COMPUTED_VALUE"""),4.55)</f>
        <v>4.55</v>
      </c>
      <c r="H417" s="17"/>
      <c r="K417" s="17"/>
      <c r="N417" s="17"/>
    </row>
    <row r="418">
      <c r="B418" s="11">
        <f>IFERROR(__xludf.DUMMYFUNCTION("""COMPUTED_VALUE"""),45441.0)</f>
        <v>45441</v>
      </c>
      <c r="C418" s="9">
        <f>IFERROR(__xludf.DUMMYFUNCTION("""COMPUTED_VALUE"""),4.61)</f>
        <v>4.61</v>
      </c>
      <c r="E418" s="40">
        <f>IFERROR(__xludf.DUMMYFUNCTION("""COMPUTED_VALUE"""),45441.0)</f>
        <v>45441</v>
      </c>
      <c r="F418" s="9">
        <f>IFERROR(__xludf.DUMMYFUNCTION("""COMPUTED_VALUE"""),4.61)</f>
        <v>4.61</v>
      </c>
      <c r="H418" s="17"/>
      <c r="K418" s="17"/>
      <c r="N418" s="17"/>
    </row>
    <row r="419">
      <c r="B419" s="11">
        <f>IFERROR(__xludf.DUMMYFUNCTION("""COMPUTED_VALUE"""),45440.0)</f>
        <v>45440</v>
      </c>
      <c r="C419" s="9">
        <f>IFERROR(__xludf.DUMMYFUNCTION("""COMPUTED_VALUE"""),4.54)</f>
        <v>4.54</v>
      </c>
      <c r="E419" s="40">
        <f>IFERROR(__xludf.DUMMYFUNCTION("""COMPUTED_VALUE"""),45440.0)</f>
        <v>45440</v>
      </c>
      <c r="F419" s="9">
        <f>IFERROR(__xludf.DUMMYFUNCTION("""COMPUTED_VALUE"""),4.54)</f>
        <v>4.54</v>
      </c>
      <c r="H419" s="17"/>
      <c r="K419" s="17"/>
      <c r="N419" s="17"/>
    </row>
    <row r="420">
      <c r="B420" s="11">
        <f>IFERROR(__xludf.DUMMYFUNCTION("""COMPUTED_VALUE"""),45439.0)</f>
        <v>45439</v>
      </c>
      <c r="C420" s="9"/>
      <c r="E420" s="40">
        <f>IFERROR(__xludf.DUMMYFUNCTION("""COMPUTED_VALUE"""),45439.0)</f>
        <v>45439</v>
      </c>
      <c r="F420" s="9"/>
      <c r="H420" s="17"/>
      <c r="K420" s="17"/>
      <c r="N420" s="17"/>
    </row>
    <row r="421">
      <c r="B421" s="11">
        <f>IFERROR(__xludf.DUMMYFUNCTION("""COMPUTED_VALUE"""),45436.0)</f>
        <v>45436</v>
      </c>
      <c r="C421" s="9">
        <f>IFERROR(__xludf.DUMMYFUNCTION("""COMPUTED_VALUE"""),4.46)</f>
        <v>4.46</v>
      </c>
      <c r="E421" s="40">
        <f>IFERROR(__xludf.DUMMYFUNCTION("""COMPUTED_VALUE"""),45436.0)</f>
        <v>45436</v>
      </c>
      <c r="F421" s="9">
        <f>IFERROR(__xludf.DUMMYFUNCTION("""COMPUTED_VALUE"""),4.46)</f>
        <v>4.46</v>
      </c>
      <c r="H421" s="17"/>
      <c r="K421" s="17"/>
      <c r="N421" s="17"/>
    </row>
    <row r="422">
      <c r="B422" s="11">
        <f>IFERROR(__xludf.DUMMYFUNCTION("""COMPUTED_VALUE"""),45435.0)</f>
        <v>45435</v>
      </c>
      <c r="C422" s="9">
        <f>IFERROR(__xludf.DUMMYFUNCTION("""COMPUTED_VALUE"""),4.47)</f>
        <v>4.47</v>
      </c>
      <c r="E422" s="40">
        <f>IFERROR(__xludf.DUMMYFUNCTION("""COMPUTED_VALUE"""),45435.0)</f>
        <v>45435</v>
      </c>
      <c r="F422" s="9">
        <f>IFERROR(__xludf.DUMMYFUNCTION("""COMPUTED_VALUE"""),4.47)</f>
        <v>4.47</v>
      </c>
      <c r="H422" s="17"/>
      <c r="K422" s="17"/>
      <c r="N422" s="17"/>
    </row>
    <row r="423">
      <c r="B423" s="11">
        <f>IFERROR(__xludf.DUMMYFUNCTION("""COMPUTED_VALUE"""),45434.0)</f>
        <v>45434</v>
      </c>
      <c r="C423" s="9">
        <f>IFERROR(__xludf.DUMMYFUNCTION("""COMPUTED_VALUE"""),4.43)</f>
        <v>4.43</v>
      </c>
      <c r="E423" s="40">
        <f>IFERROR(__xludf.DUMMYFUNCTION("""COMPUTED_VALUE"""),45434.0)</f>
        <v>45434</v>
      </c>
      <c r="F423" s="9">
        <f>IFERROR(__xludf.DUMMYFUNCTION("""COMPUTED_VALUE"""),4.43)</f>
        <v>4.43</v>
      </c>
      <c r="H423" s="17"/>
      <c r="K423" s="17"/>
      <c r="N423" s="17"/>
    </row>
    <row r="424">
      <c r="B424" s="11">
        <f>IFERROR(__xludf.DUMMYFUNCTION("""COMPUTED_VALUE"""),45433.0)</f>
        <v>45433</v>
      </c>
      <c r="C424" s="9">
        <f>IFERROR(__xludf.DUMMYFUNCTION("""COMPUTED_VALUE"""),4.41)</f>
        <v>4.41</v>
      </c>
      <c r="E424" s="40">
        <f>IFERROR(__xludf.DUMMYFUNCTION("""COMPUTED_VALUE"""),45433.0)</f>
        <v>45433</v>
      </c>
      <c r="F424" s="9">
        <f>IFERROR(__xludf.DUMMYFUNCTION("""COMPUTED_VALUE"""),4.41)</f>
        <v>4.41</v>
      </c>
      <c r="H424" s="17"/>
      <c r="K424" s="17"/>
      <c r="N424" s="17"/>
    </row>
    <row r="425">
      <c r="B425" s="11">
        <f>IFERROR(__xludf.DUMMYFUNCTION("""COMPUTED_VALUE"""),45432.0)</f>
        <v>45432</v>
      </c>
      <c r="C425" s="9">
        <f>IFERROR(__xludf.DUMMYFUNCTION("""COMPUTED_VALUE"""),4.44)</f>
        <v>4.44</v>
      </c>
      <c r="E425" s="40">
        <f>IFERROR(__xludf.DUMMYFUNCTION("""COMPUTED_VALUE"""),45432.0)</f>
        <v>45432</v>
      </c>
      <c r="F425" s="9">
        <f>IFERROR(__xludf.DUMMYFUNCTION("""COMPUTED_VALUE"""),4.44)</f>
        <v>4.44</v>
      </c>
      <c r="H425" s="17"/>
      <c r="K425" s="17"/>
      <c r="N425" s="17"/>
    </row>
    <row r="426">
      <c r="B426" s="11">
        <f>IFERROR(__xludf.DUMMYFUNCTION("""COMPUTED_VALUE"""),45429.0)</f>
        <v>45429</v>
      </c>
      <c r="C426" s="9">
        <f>IFERROR(__xludf.DUMMYFUNCTION("""COMPUTED_VALUE"""),4.42)</f>
        <v>4.42</v>
      </c>
      <c r="E426" s="40">
        <f>IFERROR(__xludf.DUMMYFUNCTION("""COMPUTED_VALUE"""),45429.0)</f>
        <v>45429</v>
      </c>
      <c r="F426" s="9">
        <f>IFERROR(__xludf.DUMMYFUNCTION("""COMPUTED_VALUE"""),4.42)</f>
        <v>4.42</v>
      </c>
      <c r="H426" s="17"/>
      <c r="K426" s="17"/>
      <c r="N426" s="17"/>
    </row>
    <row r="427">
      <c r="B427" s="11">
        <f>IFERROR(__xludf.DUMMYFUNCTION("""COMPUTED_VALUE"""),45428.0)</f>
        <v>45428</v>
      </c>
      <c r="C427" s="9">
        <f>IFERROR(__xludf.DUMMYFUNCTION("""COMPUTED_VALUE"""),4.38)</f>
        <v>4.38</v>
      </c>
      <c r="E427" s="40">
        <f>IFERROR(__xludf.DUMMYFUNCTION("""COMPUTED_VALUE"""),45428.0)</f>
        <v>45428</v>
      </c>
      <c r="F427" s="9">
        <f>IFERROR(__xludf.DUMMYFUNCTION("""COMPUTED_VALUE"""),4.38)</f>
        <v>4.38</v>
      </c>
      <c r="H427" s="17"/>
      <c r="K427" s="17"/>
      <c r="N427" s="17"/>
    </row>
    <row r="428">
      <c r="B428" s="11">
        <f>IFERROR(__xludf.DUMMYFUNCTION("""COMPUTED_VALUE"""),45427.0)</f>
        <v>45427</v>
      </c>
      <c r="C428" s="9">
        <f>IFERROR(__xludf.DUMMYFUNCTION("""COMPUTED_VALUE"""),4.36)</f>
        <v>4.36</v>
      </c>
      <c r="E428" s="40">
        <f>IFERROR(__xludf.DUMMYFUNCTION("""COMPUTED_VALUE"""),45427.0)</f>
        <v>45427</v>
      </c>
      <c r="F428" s="9">
        <f>IFERROR(__xludf.DUMMYFUNCTION("""COMPUTED_VALUE"""),4.36)</f>
        <v>4.36</v>
      </c>
      <c r="H428" s="17"/>
      <c r="K428" s="17"/>
      <c r="N428" s="17"/>
    </row>
    <row r="429">
      <c r="B429" s="11">
        <f>IFERROR(__xludf.DUMMYFUNCTION("""COMPUTED_VALUE"""),45426.0)</f>
        <v>45426</v>
      </c>
      <c r="C429" s="9">
        <f>IFERROR(__xludf.DUMMYFUNCTION("""COMPUTED_VALUE"""),4.45)</f>
        <v>4.45</v>
      </c>
      <c r="E429" s="40">
        <f>IFERROR(__xludf.DUMMYFUNCTION("""COMPUTED_VALUE"""),45426.0)</f>
        <v>45426</v>
      </c>
      <c r="F429" s="9">
        <f>IFERROR(__xludf.DUMMYFUNCTION("""COMPUTED_VALUE"""),4.45)</f>
        <v>4.45</v>
      </c>
      <c r="H429" s="17"/>
      <c r="K429" s="17"/>
      <c r="N429" s="17"/>
    </row>
    <row r="430">
      <c r="B430" s="11">
        <f>IFERROR(__xludf.DUMMYFUNCTION("""COMPUTED_VALUE"""),45425.0)</f>
        <v>45425</v>
      </c>
      <c r="C430" s="9">
        <f>IFERROR(__xludf.DUMMYFUNCTION("""COMPUTED_VALUE"""),4.48)</f>
        <v>4.48</v>
      </c>
      <c r="E430" s="40">
        <f>IFERROR(__xludf.DUMMYFUNCTION("""COMPUTED_VALUE"""),45425.0)</f>
        <v>45425</v>
      </c>
      <c r="F430" s="9">
        <f>IFERROR(__xludf.DUMMYFUNCTION("""COMPUTED_VALUE"""),4.48)</f>
        <v>4.48</v>
      </c>
      <c r="H430" s="17"/>
      <c r="K430" s="17"/>
      <c r="N430" s="17"/>
    </row>
    <row r="431">
      <c r="B431" s="11">
        <f>IFERROR(__xludf.DUMMYFUNCTION("""COMPUTED_VALUE"""),45422.0)</f>
        <v>45422</v>
      </c>
      <c r="C431" s="9">
        <f>IFERROR(__xludf.DUMMYFUNCTION("""COMPUTED_VALUE"""),4.5)</f>
        <v>4.5</v>
      </c>
      <c r="E431" s="40">
        <f>IFERROR(__xludf.DUMMYFUNCTION("""COMPUTED_VALUE"""),45422.0)</f>
        <v>45422</v>
      </c>
      <c r="F431" s="9">
        <f>IFERROR(__xludf.DUMMYFUNCTION("""COMPUTED_VALUE"""),4.5)</f>
        <v>4.5</v>
      </c>
      <c r="H431" s="17"/>
      <c r="K431" s="17"/>
      <c r="N431" s="17"/>
    </row>
    <row r="432">
      <c r="B432" s="11">
        <f>IFERROR(__xludf.DUMMYFUNCTION("""COMPUTED_VALUE"""),45421.0)</f>
        <v>45421</v>
      </c>
      <c r="C432" s="9">
        <f>IFERROR(__xludf.DUMMYFUNCTION("""COMPUTED_VALUE"""),4.45)</f>
        <v>4.45</v>
      </c>
      <c r="E432" s="40">
        <f>IFERROR(__xludf.DUMMYFUNCTION("""COMPUTED_VALUE"""),45421.0)</f>
        <v>45421</v>
      </c>
      <c r="F432" s="9">
        <f>IFERROR(__xludf.DUMMYFUNCTION("""COMPUTED_VALUE"""),4.45)</f>
        <v>4.45</v>
      </c>
      <c r="H432" s="17"/>
      <c r="K432" s="17"/>
      <c r="N432" s="17"/>
    </row>
    <row r="433">
      <c r="B433" s="11">
        <f>IFERROR(__xludf.DUMMYFUNCTION("""COMPUTED_VALUE"""),45420.0)</f>
        <v>45420</v>
      </c>
      <c r="C433" s="9">
        <f>IFERROR(__xludf.DUMMYFUNCTION("""COMPUTED_VALUE"""),4.48)</f>
        <v>4.48</v>
      </c>
      <c r="E433" s="40">
        <f>IFERROR(__xludf.DUMMYFUNCTION("""COMPUTED_VALUE"""),45420.0)</f>
        <v>45420</v>
      </c>
      <c r="F433" s="9">
        <f>IFERROR(__xludf.DUMMYFUNCTION("""COMPUTED_VALUE"""),4.48)</f>
        <v>4.48</v>
      </c>
      <c r="H433" s="17"/>
      <c r="K433" s="17"/>
      <c r="N433" s="17"/>
    </row>
    <row r="434">
      <c r="B434" s="11">
        <f>IFERROR(__xludf.DUMMYFUNCTION("""COMPUTED_VALUE"""),45419.0)</f>
        <v>45419</v>
      </c>
      <c r="C434" s="9">
        <f>IFERROR(__xludf.DUMMYFUNCTION("""COMPUTED_VALUE"""),4.47)</f>
        <v>4.47</v>
      </c>
      <c r="E434" s="40">
        <f>IFERROR(__xludf.DUMMYFUNCTION("""COMPUTED_VALUE"""),45419.0)</f>
        <v>45419</v>
      </c>
      <c r="F434" s="9">
        <f>IFERROR(__xludf.DUMMYFUNCTION("""COMPUTED_VALUE"""),4.47)</f>
        <v>4.47</v>
      </c>
      <c r="H434" s="17"/>
      <c r="K434" s="17"/>
      <c r="N434" s="17"/>
    </row>
    <row r="435">
      <c r="B435" s="11">
        <f>IFERROR(__xludf.DUMMYFUNCTION("""COMPUTED_VALUE"""),45418.0)</f>
        <v>45418</v>
      </c>
      <c r="C435" s="9">
        <f>IFERROR(__xludf.DUMMYFUNCTION("""COMPUTED_VALUE"""),4.49)</f>
        <v>4.49</v>
      </c>
      <c r="E435" s="40">
        <f>IFERROR(__xludf.DUMMYFUNCTION("""COMPUTED_VALUE"""),45418.0)</f>
        <v>45418</v>
      </c>
      <c r="F435" s="9">
        <f>IFERROR(__xludf.DUMMYFUNCTION("""COMPUTED_VALUE"""),4.49)</f>
        <v>4.49</v>
      </c>
      <c r="H435" s="17"/>
      <c r="K435" s="17"/>
      <c r="N435" s="17"/>
    </row>
    <row r="436">
      <c r="B436" s="11">
        <f>IFERROR(__xludf.DUMMYFUNCTION("""COMPUTED_VALUE"""),45415.0)</f>
        <v>45415</v>
      </c>
      <c r="C436" s="9">
        <f>IFERROR(__xludf.DUMMYFUNCTION("""COMPUTED_VALUE"""),4.5)</f>
        <v>4.5</v>
      </c>
      <c r="E436" s="40">
        <f>IFERROR(__xludf.DUMMYFUNCTION("""COMPUTED_VALUE"""),45415.0)</f>
        <v>45415</v>
      </c>
      <c r="F436" s="9">
        <f>IFERROR(__xludf.DUMMYFUNCTION("""COMPUTED_VALUE"""),4.5)</f>
        <v>4.5</v>
      </c>
      <c r="H436" s="17"/>
      <c r="K436" s="17"/>
      <c r="N436" s="17"/>
    </row>
    <row r="437">
      <c r="B437" s="11">
        <f>IFERROR(__xludf.DUMMYFUNCTION("""COMPUTED_VALUE"""),45414.0)</f>
        <v>45414</v>
      </c>
      <c r="C437" s="9">
        <f>IFERROR(__xludf.DUMMYFUNCTION("""COMPUTED_VALUE"""),4.58)</f>
        <v>4.58</v>
      </c>
      <c r="E437" s="40">
        <f>IFERROR(__xludf.DUMMYFUNCTION("""COMPUTED_VALUE"""),45414.0)</f>
        <v>45414</v>
      </c>
      <c r="F437" s="9">
        <f>IFERROR(__xludf.DUMMYFUNCTION("""COMPUTED_VALUE"""),4.58)</f>
        <v>4.58</v>
      </c>
      <c r="H437" s="17"/>
      <c r="K437" s="17"/>
      <c r="N437" s="17"/>
    </row>
    <row r="438">
      <c r="B438" s="11">
        <f>IFERROR(__xludf.DUMMYFUNCTION("""COMPUTED_VALUE"""),45413.0)</f>
        <v>45413</v>
      </c>
      <c r="C438" s="9">
        <f>IFERROR(__xludf.DUMMYFUNCTION("""COMPUTED_VALUE"""),4.63)</f>
        <v>4.63</v>
      </c>
      <c r="E438" s="40">
        <f>IFERROR(__xludf.DUMMYFUNCTION("""COMPUTED_VALUE"""),45413.0)</f>
        <v>45413</v>
      </c>
      <c r="F438" s="9">
        <f>IFERROR(__xludf.DUMMYFUNCTION("""COMPUTED_VALUE"""),4.63)</f>
        <v>4.63</v>
      </c>
      <c r="H438" s="17"/>
      <c r="K438" s="17"/>
      <c r="N438" s="17"/>
    </row>
    <row r="439">
      <c r="B439" s="11">
        <f>IFERROR(__xludf.DUMMYFUNCTION("""COMPUTED_VALUE"""),45412.0)</f>
        <v>45412</v>
      </c>
      <c r="C439" s="9">
        <f>IFERROR(__xludf.DUMMYFUNCTION("""COMPUTED_VALUE"""),4.69)</f>
        <v>4.69</v>
      </c>
      <c r="E439" s="40">
        <f>IFERROR(__xludf.DUMMYFUNCTION("""COMPUTED_VALUE"""),45412.0)</f>
        <v>45412</v>
      </c>
      <c r="F439" s="9">
        <f>IFERROR(__xludf.DUMMYFUNCTION("""COMPUTED_VALUE"""),4.69)</f>
        <v>4.69</v>
      </c>
      <c r="H439" s="17"/>
      <c r="K439" s="17"/>
      <c r="N439" s="17"/>
    </row>
    <row r="440">
      <c r="B440" s="11">
        <f>IFERROR(__xludf.DUMMYFUNCTION("""COMPUTED_VALUE"""),45411.0)</f>
        <v>45411</v>
      </c>
      <c r="C440" s="9">
        <f>IFERROR(__xludf.DUMMYFUNCTION("""COMPUTED_VALUE"""),4.63)</f>
        <v>4.63</v>
      </c>
      <c r="E440" s="40">
        <f>IFERROR(__xludf.DUMMYFUNCTION("""COMPUTED_VALUE"""),45411.0)</f>
        <v>45411</v>
      </c>
      <c r="F440" s="9">
        <f>IFERROR(__xludf.DUMMYFUNCTION("""COMPUTED_VALUE"""),4.63)</f>
        <v>4.63</v>
      </c>
      <c r="H440" s="17"/>
      <c r="K440" s="17"/>
      <c r="N440" s="17"/>
    </row>
    <row r="441">
      <c r="B441" s="11">
        <f>IFERROR(__xludf.DUMMYFUNCTION("""COMPUTED_VALUE"""),45408.0)</f>
        <v>45408</v>
      </c>
      <c r="C441" s="9">
        <f>IFERROR(__xludf.DUMMYFUNCTION("""COMPUTED_VALUE"""),4.67)</f>
        <v>4.67</v>
      </c>
      <c r="E441" s="40">
        <f>IFERROR(__xludf.DUMMYFUNCTION("""COMPUTED_VALUE"""),45408.0)</f>
        <v>45408</v>
      </c>
      <c r="F441" s="9">
        <f>IFERROR(__xludf.DUMMYFUNCTION("""COMPUTED_VALUE"""),4.67)</f>
        <v>4.67</v>
      </c>
      <c r="H441" s="17"/>
      <c r="K441" s="17"/>
      <c r="N441" s="17"/>
    </row>
    <row r="442">
      <c r="B442" s="11">
        <f>IFERROR(__xludf.DUMMYFUNCTION("""COMPUTED_VALUE"""),45407.0)</f>
        <v>45407</v>
      </c>
      <c r="C442" s="9">
        <f>IFERROR(__xludf.DUMMYFUNCTION("""COMPUTED_VALUE"""),4.7)</f>
        <v>4.7</v>
      </c>
      <c r="E442" s="40">
        <f>IFERROR(__xludf.DUMMYFUNCTION("""COMPUTED_VALUE"""),45407.0)</f>
        <v>45407</v>
      </c>
      <c r="F442" s="9">
        <f>IFERROR(__xludf.DUMMYFUNCTION("""COMPUTED_VALUE"""),4.7)</f>
        <v>4.7</v>
      </c>
      <c r="H442" s="17"/>
      <c r="K442" s="17"/>
      <c r="N442" s="17"/>
    </row>
    <row r="443">
      <c r="B443" s="11">
        <f>IFERROR(__xludf.DUMMYFUNCTION("""COMPUTED_VALUE"""),45406.0)</f>
        <v>45406</v>
      </c>
      <c r="C443" s="9">
        <f>IFERROR(__xludf.DUMMYFUNCTION("""COMPUTED_VALUE"""),4.65)</f>
        <v>4.65</v>
      </c>
      <c r="E443" s="40">
        <f>IFERROR(__xludf.DUMMYFUNCTION("""COMPUTED_VALUE"""),45406.0)</f>
        <v>45406</v>
      </c>
      <c r="F443" s="9">
        <f>IFERROR(__xludf.DUMMYFUNCTION("""COMPUTED_VALUE"""),4.65)</f>
        <v>4.65</v>
      </c>
      <c r="H443" s="17"/>
      <c r="K443" s="17"/>
      <c r="N443" s="17"/>
    </row>
    <row r="444">
      <c r="B444" s="11">
        <f>IFERROR(__xludf.DUMMYFUNCTION("""COMPUTED_VALUE"""),45405.0)</f>
        <v>45405</v>
      </c>
      <c r="C444" s="9">
        <f>IFERROR(__xludf.DUMMYFUNCTION("""COMPUTED_VALUE"""),4.61)</f>
        <v>4.61</v>
      </c>
      <c r="E444" s="40">
        <f>IFERROR(__xludf.DUMMYFUNCTION("""COMPUTED_VALUE"""),45405.0)</f>
        <v>45405</v>
      </c>
      <c r="F444" s="9">
        <f>IFERROR(__xludf.DUMMYFUNCTION("""COMPUTED_VALUE"""),4.61)</f>
        <v>4.61</v>
      </c>
      <c r="H444" s="17"/>
      <c r="K444" s="17"/>
      <c r="N444" s="17"/>
    </row>
    <row r="445">
      <c r="B445" s="11">
        <f>IFERROR(__xludf.DUMMYFUNCTION("""COMPUTED_VALUE"""),45404.0)</f>
        <v>45404</v>
      </c>
      <c r="C445" s="9">
        <f>IFERROR(__xludf.DUMMYFUNCTION("""COMPUTED_VALUE"""),4.62)</f>
        <v>4.62</v>
      </c>
      <c r="E445" s="40">
        <f>IFERROR(__xludf.DUMMYFUNCTION("""COMPUTED_VALUE"""),45404.0)</f>
        <v>45404</v>
      </c>
      <c r="F445" s="9">
        <f>IFERROR(__xludf.DUMMYFUNCTION("""COMPUTED_VALUE"""),4.62)</f>
        <v>4.62</v>
      </c>
      <c r="H445" s="17"/>
      <c r="K445" s="17"/>
      <c r="N445" s="17"/>
    </row>
    <row r="446">
      <c r="B446" s="11">
        <f>IFERROR(__xludf.DUMMYFUNCTION("""COMPUTED_VALUE"""),45401.0)</f>
        <v>45401</v>
      </c>
      <c r="C446" s="9">
        <f>IFERROR(__xludf.DUMMYFUNCTION("""COMPUTED_VALUE"""),4.62)</f>
        <v>4.62</v>
      </c>
      <c r="E446" s="40">
        <f>IFERROR(__xludf.DUMMYFUNCTION("""COMPUTED_VALUE"""),45401.0)</f>
        <v>45401</v>
      </c>
      <c r="F446" s="9">
        <f>IFERROR(__xludf.DUMMYFUNCTION("""COMPUTED_VALUE"""),4.62)</f>
        <v>4.62</v>
      </c>
      <c r="H446" s="17"/>
      <c r="K446" s="17"/>
      <c r="N446" s="17"/>
    </row>
    <row r="447">
      <c r="B447" s="11">
        <f>IFERROR(__xludf.DUMMYFUNCTION("""COMPUTED_VALUE"""),45400.0)</f>
        <v>45400</v>
      </c>
      <c r="C447" s="9">
        <f>IFERROR(__xludf.DUMMYFUNCTION("""COMPUTED_VALUE"""),4.64)</f>
        <v>4.64</v>
      </c>
      <c r="E447" s="40">
        <f>IFERROR(__xludf.DUMMYFUNCTION("""COMPUTED_VALUE"""),45400.0)</f>
        <v>45400</v>
      </c>
      <c r="F447" s="9">
        <f>IFERROR(__xludf.DUMMYFUNCTION("""COMPUTED_VALUE"""),4.64)</f>
        <v>4.64</v>
      </c>
      <c r="H447" s="17"/>
      <c r="K447" s="17"/>
      <c r="N447" s="17"/>
    </row>
    <row r="448">
      <c r="B448" s="11">
        <f>IFERROR(__xludf.DUMMYFUNCTION("""COMPUTED_VALUE"""),45399.0)</f>
        <v>45399</v>
      </c>
      <c r="C448" s="9">
        <f>IFERROR(__xludf.DUMMYFUNCTION("""COMPUTED_VALUE"""),4.59)</f>
        <v>4.59</v>
      </c>
      <c r="E448" s="40">
        <f>IFERROR(__xludf.DUMMYFUNCTION("""COMPUTED_VALUE"""),45399.0)</f>
        <v>45399</v>
      </c>
      <c r="F448" s="9">
        <f>IFERROR(__xludf.DUMMYFUNCTION("""COMPUTED_VALUE"""),4.59)</f>
        <v>4.59</v>
      </c>
      <c r="H448" s="17"/>
      <c r="K448" s="17"/>
      <c r="N448" s="17"/>
    </row>
    <row r="449">
      <c r="B449" s="11">
        <f>IFERROR(__xludf.DUMMYFUNCTION("""COMPUTED_VALUE"""),45398.0)</f>
        <v>45398</v>
      </c>
      <c r="C449" s="9">
        <f>IFERROR(__xludf.DUMMYFUNCTION("""COMPUTED_VALUE"""),4.67)</f>
        <v>4.67</v>
      </c>
      <c r="E449" s="40">
        <f>IFERROR(__xludf.DUMMYFUNCTION("""COMPUTED_VALUE"""),45398.0)</f>
        <v>45398</v>
      </c>
      <c r="F449" s="9">
        <f>IFERROR(__xludf.DUMMYFUNCTION("""COMPUTED_VALUE"""),4.67)</f>
        <v>4.67</v>
      </c>
      <c r="H449" s="17"/>
      <c r="K449" s="17"/>
      <c r="N449" s="17"/>
    </row>
    <row r="450">
      <c r="B450" s="11">
        <f>IFERROR(__xludf.DUMMYFUNCTION("""COMPUTED_VALUE"""),45397.0)</f>
        <v>45397</v>
      </c>
      <c r="C450" s="9">
        <f>IFERROR(__xludf.DUMMYFUNCTION("""COMPUTED_VALUE"""),4.63)</f>
        <v>4.63</v>
      </c>
      <c r="E450" s="40">
        <f>IFERROR(__xludf.DUMMYFUNCTION("""COMPUTED_VALUE"""),45397.0)</f>
        <v>45397</v>
      </c>
      <c r="F450" s="9">
        <f>IFERROR(__xludf.DUMMYFUNCTION("""COMPUTED_VALUE"""),4.63)</f>
        <v>4.63</v>
      </c>
      <c r="H450" s="17"/>
      <c r="K450" s="17"/>
      <c r="N450" s="17"/>
    </row>
    <row r="451">
      <c r="B451" s="11">
        <f>IFERROR(__xludf.DUMMYFUNCTION("""COMPUTED_VALUE"""),45394.0)</f>
        <v>45394</v>
      </c>
      <c r="C451" s="9">
        <f>IFERROR(__xludf.DUMMYFUNCTION("""COMPUTED_VALUE"""),4.5)</f>
        <v>4.5</v>
      </c>
      <c r="E451" s="40">
        <f>IFERROR(__xludf.DUMMYFUNCTION("""COMPUTED_VALUE"""),45394.0)</f>
        <v>45394</v>
      </c>
      <c r="F451" s="9">
        <f>IFERROR(__xludf.DUMMYFUNCTION("""COMPUTED_VALUE"""),4.5)</f>
        <v>4.5</v>
      </c>
      <c r="H451" s="17"/>
      <c r="K451" s="17"/>
      <c r="N451" s="17"/>
    </row>
    <row r="452">
      <c r="B452" s="11">
        <f>IFERROR(__xludf.DUMMYFUNCTION("""COMPUTED_VALUE"""),45393.0)</f>
        <v>45393</v>
      </c>
      <c r="C452" s="9">
        <f>IFERROR(__xludf.DUMMYFUNCTION("""COMPUTED_VALUE"""),4.56)</f>
        <v>4.56</v>
      </c>
      <c r="E452" s="40">
        <f>IFERROR(__xludf.DUMMYFUNCTION("""COMPUTED_VALUE"""),45393.0)</f>
        <v>45393</v>
      </c>
      <c r="F452" s="9">
        <f>IFERROR(__xludf.DUMMYFUNCTION("""COMPUTED_VALUE"""),4.56)</f>
        <v>4.56</v>
      </c>
      <c r="H452" s="17"/>
      <c r="K452" s="17"/>
      <c r="N452" s="17"/>
    </row>
    <row r="453">
      <c r="B453" s="11">
        <f>IFERROR(__xludf.DUMMYFUNCTION("""COMPUTED_VALUE"""),45392.0)</f>
        <v>45392</v>
      </c>
      <c r="C453" s="9">
        <f>IFERROR(__xludf.DUMMYFUNCTION("""COMPUTED_VALUE"""),4.55)</f>
        <v>4.55</v>
      </c>
      <c r="E453" s="40">
        <f>IFERROR(__xludf.DUMMYFUNCTION("""COMPUTED_VALUE"""),45392.0)</f>
        <v>45392</v>
      </c>
      <c r="F453" s="9">
        <f>IFERROR(__xludf.DUMMYFUNCTION("""COMPUTED_VALUE"""),4.55)</f>
        <v>4.55</v>
      </c>
      <c r="H453" s="17"/>
      <c r="K453" s="17"/>
      <c r="N453" s="17"/>
    </row>
    <row r="454">
      <c r="B454" s="11">
        <f>IFERROR(__xludf.DUMMYFUNCTION("""COMPUTED_VALUE"""),45391.0)</f>
        <v>45391</v>
      </c>
      <c r="C454" s="9">
        <f>IFERROR(__xludf.DUMMYFUNCTION("""COMPUTED_VALUE"""),4.36)</f>
        <v>4.36</v>
      </c>
      <c r="E454" s="40">
        <f>IFERROR(__xludf.DUMMYFUNCTION("""COMPUTED_VALUE"""),45391.0)</f>
        <v>45391</v>
      </c>
      <c r="F454" s="9">
        <f>IFERROR(__xludf.DUMMYFUNCTION("""COMPUTED_VALUE"""),4.36)</f>
        <v>4.36</v>
      </c>
      <c r="H454" s="17"/>
      <c r="K454" s="17"/>
      <c r="N454" s="17"/>
    </row>
    <row r="455">
      <c r="B455" s="11">
        <f>IFERROR(__xludf.DUMMYFUNCTION("""COMPUTED_VALUE"""),45390.0)</f>
        <v>45390</v>
      </c>
      <c r="C455" s="9">
        <f>IFERROR(__xludf.DUMMYFUNCTION("""COMPUTED_VALUE"""),4.42)</f>
        <v>4.42</v>
      </c>
      <c r="E455" s="40">
        <f>IFERROR(__xludf.DUMMYFUNCTION("""COMPUTED_VALUE"""),45390.0)</f>
        <v>45390</v>
      </c>
      <c r="F455" s="9">
        <f>IFERROR(__xludf.DUMMYFUNCTION("""COMPUTED_VALUE"""),4.42)</f>
        <v>4.42</v>
      </c>
      <c r="H455" s="17"/>
      <c r="K455" s="17"/>
      <c r="N455" s="17"/>
    </row>
    <row r="456">
      <c r="B456" s="11">
        <f>IFERROR(__xludf.DUMMYFUNCTION("""COMPUTED_VALUE"""),45387.0)</f>
        <v>45387</v>
      </c>
      <c r="C456" s="9">
        <f>IFERROR(__xludf.DUMMYFUNCTION("""COMPUTED_VALUE"""),4.39)</f>
        <v>4.39</v>
      </c>
      <c r="E456" s="40">
        <f>IFERROR(__xludf.DUMMYFUNCTION("""COMPUTED_VALUE"""),45387.0)</f>
        <v>45387</v>
      </c>
      <c r="F456" s="9">
        <f>IFERROR(__xludf.DUMMYFUNCTION("""COMPUTED_VALUE"""),4.39)</f>
        <v>4.39</v>
      </c>
      <c r="H456" s="17"/>
      <c r="K456" s="17"/>
      <c r="N456" s="17"/>
    </row>
    <row r="457">
      <c r="B457" s="11">
        <f>IFERROR(__xludf.DUMMYFUNCTION("""COMPUTED_VALUE"""),45386.0)</f>
        <v>45386</v>
      </c>
      <c r="C457" s="9">
        <f>IFERROR(__xludf.DUMMYFUNCTION("""COMPUTED_VALUE"""),4.31)</f>
        <v>4.31</v>
      </c>
      <c r="E457" s="40">
        <f>IFERROR(__xludf.DUMMYFUNCTION("""COMPUTED_VALUE"""),45386.0)</f>
        <v>45386</v>
      </c>
      <c r="F457" s="9">
        <f>IFERROR(__xludf.DUMMYFUNCTION("""COMPUTED_VALUE"""),4.31)</f>
        <v>4.31</v>
      </c>
      <c r="H457" s="17"/>
      <c r="K457" s="17"/>
      <c r="N457" s="17"/>
    </row>
    <row r="458">
      <c r="B458" s="11">
        <f>IFERROR(__xludf.DUMMYFUNCTION("""COMPUTED_VALUE"""),45385.0)</f>
        <v>45385</v>
      </c>
      <c r="C458" s="9">
        <f>IFERROR(__xludf.DUMMYFUNCTION("""COMPUTED_VALUE"""),4.36)</f>
        <v>4.36</v>
      </c>
      <c r="E458" s="40">
        <f>IFERROR(__xludf.DUMMYFUNCTION("""COMPUTED_VALUE"""),45385.0)</f>
        <v>45385</v>
      </c>
      <c r="F458" s="9">
        <f>IFERROR(__xludf.DUMMYFUNCTION("""COMPUTED_VALUE"""),4.36)</f>
        <v>4.36</v>
      </c>
      <c r="H458" s="17"/>
      <c r="K458" s="17"/>
      <c r="N458" s="17"/>
    </row>
    <row r="459">
      <c r="B459" s="11">
        <f>IFERROR(__xludf.DUMMYFUNCTION("""COMPUTED_VALUE"""),45384.0)</f>
        <v>45384</v>
      </c>
      <c r="C459" s="9">
        <f>IFERROR(__xludf.DUMMYFUNCTION("""COMPUTED_VALUE"""),4.36)</f>
        <v>4.36</v>
      </c>
      <c r="E459" s="40">
        <f>IFERROR(__xludf.DUMMYFUNCTION("""COMPUTED_VALUE"""),45384.0)</f>
        <v>45384</v>
      </c>
      <c r="F459" s="9">
        <f>IFERROR(__xludf.DUMMYFUNCTION("""COMPUTED_VALUE"""),4.36)</f>
        <v>4.36</v>
      </c>
      <c r="H459" s="17"/>
      <c r="K459" s="17"/>
      <c r="N459" s="17"/>
    </row>
    <row r="460">
      <c r="B460" s="11">
        <f>IFERROR(__xludf.DUMMYFUNCTION("""COMPUTED_VALUE"""),45383.0)</f>
        <v>45383</v>
      </c>
      <c r="C460" s="9">
        <f>IFERROR(__xludf.DUMMYFUNCTION("""COMPUTED_VALUE"""),4.33)</f>
        <v>4.33</v>
      </c>
      <c r="E460" s="40">
        <f>IFERROR(__xludf.DUMMYFUNCTION("""COMPUTED_VALUE"""),45383.0)</f>
        <v>45383</v>
      </c>
      <c r="F460" s="9">
        <f>IFERROR(__xludf.DUMMYFUNCTION("""COMPUTED_VALUE"""),4.33)</f>
        <v>4.33</v>
      </c>
      <c r="H460" s="17"/>
      <c r="K460" s="17"/>
      <c r="N460" s="17"/>
    </row>
    <row r="461">
      <c r="B461" s="11">
        <f>IFERROR(__xludf.DUMMYFUNCTION("""COMPUTED_VALUE"""),45380.0)</f>
        <v>45380</v>
      </c>
      <c r="C461" s="9"/>
      <c r="E461" s="40">
        <f>IFERROR(__xludf.DUMMYFUNCTION("""COMPUTED_VALUE"""),45380.0)</f>
        <v>45380</v>
      </c>
      <c r="F461" s="9"/>
      <c r="H461" s="17"/>
      <c r="K461" s="17"/>
      <c r="N461" s="17"/>
    </row>
    <row r="462">
      <c r="B462" s="11">
        <f>IFERROR(__xludf.DUMMYFUNCTION("""COMPUTED_VALUE"""),45379.0)</f>
        <v>45379</v>
      </c>
      <c r="C462" s="9">
        <f>IFERROR(__xludf.DUMMYFUNCTION("""COMPUTED_VALUE"""),4.2)</f>
        <v>4.2</v>
      </c>
      <c r="E462" s="40">
        <f>IFERROR(__xludf.DUMMYFUNCTION("""COMPUTED_VALUE"""),45379.0)</f>
        <v>45379</v>
      </c>
      <c r="F462" s="9">
        <f>IFERROR(__xludf.DUMMYFUNCTION("""COMPUTED_VALUE"""),4.2)</f>
        <v>4.2</v>
      </c>
      <c r="H462" s="17"/>
      <c r="K462" s="17"/>
      <c r="N462" s="17"/>
    </row>
    <row r="463">
      <c r="B463" s="11">
        <f>IFERROR(__xludf.DUMMYFUNCTION("""COMPUTED_VALUE"""),45378.0)</f>
        <v>45378</v>
      </c>
      <c r="C463" s="9">
        <f>IFERROR(__xludf.DUMMYFUNCTION("""COMPUTED_VALUE"""),4.2)</f>
        <v>4.2</v>
      </c>
      <c r="E463" s="40">
        <f>IFERROR(__xludf.DUMMYFUNCTION("""COMPUTED_VALUE"""),45378.0)</f>
        <v>45378</v>
      </c>
      <c r="F463" s="9">
        <f>IFERROR(__xludf.DUMMYFUNCTION("""COMPUTED_VALUE"""),4.2)</f>
        <v>4.2</v>
      </c>
      <c r="H463" s="17"/>
      <c r="K463" s="17"/>
      <c r="N463" s="17"/>
    </row>
    <row r="464">
      <c r="B464" s="11">
        <f>IFERROR(__xludf.DUMMYFUNCTION("""COMPUTED_VALUE"""),45377.0)</f>
        <v>45377</v>
      </c>
      <c r="C464" s="9">
        <f>IFERROR(__xludf.DUMMYFUNCTION("""COMPUTED_VALUE"""),4.24)</f>
        <v>4.24</v>
      </c>
      <c r="E464" s="40">
        <f>IFERROR(__xludf.DUMMYFUNCTION("""COMPUTED_VALUE"""),45377.0)</f>
        <v>45377</v>
      </c>
      <c r="F464" s="9">
        <f>IFERROR(__xludf.DUMMYFUNCTION("""COMPUTED_VALUE"""),4.24)</f>
        <v>4.24</v>
      </c>
      <c r="H464" s="17"/>
      <c r="K464" s="17"/>
      <c r="N464" s="17"/>
    </row>
    <row r="465">
      <c r="B465" s="11">
        <f>IFERROR(__xludf.DUMMYFUNCTION("""COMPUTED_VALUE"""),45376.0)</f>
        <v>45376</v>
      </c>
      <c r="C465" s="9">
        <f>IFERROR(__xludf.DUMMYFUNCTION("""COMPUTED_VALUE"""),4.25)</f>
        <v>4.25</v>
      </c>
      <c r="E465" s="40">
        <f>IFERROR(__xludf.DUMMYFUNCTION("""COMPUTED_VALUE"""),45376.0)</f>
        <v>45376</v>
      </c>
      <c r="F465" s="9">
        <f>IFERROR(__xludf.DUMMYFUNCTION("""COMPUTED_VALUE"""),4.25)</f>
        <v>4.25</v>
      </c>
      <c r="H465" s="17"/>
      <c r="K465" s="17"/>
      <c r="N465" s="17"/>
    </row>
    <row r="466">
      <c r="B466" s="11">
        <f>IFERROR(__xludf.DUMMYFUNCTION("""COMPUTED_VALUE"""),45373.0)</f>
        <v>45373</v>
      </c>
      <c r="C466" s="9">
        <f>IFERROR(__xludf.DUMMYFUNCTION("""COMPUTED_VALUE"""),4.22)</f>
        <v>4.22</v>
      </c>
      <c r="E466" s="40">
        <f>IFERROR(__xludf.DUMMYFUNCTION("""COMPUTED_VALUE"""),45373.0)</f>
        <v>45373</v>
      </c>
      <c r="F466" s="9">
        <f>IFERROR(__xludf.DUMMYFUNCTION("""COMPUTED_VALUE"""),4.22)</f>
        <v>4.22</v>
      </c>
      <c r="H466" s="17"/>
      <c r="K466" s="17"/>
      <c r="N466" s="17"/>
    </row>
    <row r="467">
      <c r="B467" s="11">
        <f>IFERROR(__xludf.DUMMYFUNCTION("""COMPUTED_VALUE"""),45372.0)</f>
        <v>45372</v>
      </c>
      <c r="C467" s="9">
        <f>IFERROR(__xludf.DUMMYFUNCTION("""COMPUTED_VALUE"""),4.27)</f>
        <v>4.27</v>
      </c>
      <c r="E467" s="40">
        <f>IFERROR(__xludf.DUMMYFUNCTION("""COMPUTED_VALUE"""),45372.0)</f>
        <v>45372</v>
      </c>
      <c r="F467" s="9">
        <f>IFERROR(__xludf.DUMMYFUNCTION("""COMPUTED_VALUE"""),4.27)</f>
        <v>4.27</v>
      </c>
      <c r="H467" s="17"/>
      <c r="K467" s="17"/>
      <c r="N467" s="17"/>
    </row>
    <row r="468">
      <c r="B468" s="11">
        <f>IFERROR(__xludf.DUMMYFUNCTION("""COMPUTED_VALUE"""),45371.0)</f>
        <v>45371</v>
      </c>
      <c r="C468" s="9">
        <f>IFERROR(__xludf.DUMMYFUNCTION("""COMPUTED_VALUE"""),4.27)</f>
        <v>4.27</v>
      </c>
      <c r="E468" s="40">
        <f>IFERROR(__xludf.DUMMYFUNCTION("""COMPUTED_VALUE"""),45371.0)</f>
        <v>45371</v>
      </c>
      <c r="F468" s="9">
        <f>IFERROR(__xludf.DUMMYFUNCTION("""COMPUTED_VALUE"""),4.27)</f>
        <v>4.27</v>
      </c>
      <c r="H468" s="17"/>
      <c r="K468" s="17"/>
      <c r="N468" s="17"/>
    </row>
    <row r="469">
      <c r="B469" s="11">
        <f>IFERROR(__xludf.DUMMYFUNCTION("""COMPUTED_VALUE"""),45370.0)</f>
        <v>45370</v>
      </c>
      <c r="C469" s="9">
        <f>IFERROR(__xludf.DUMMYFUNCTION("""COMPUTED_VALUE"""),4.3)</f>
        <v>4.3</v>
      </c>
      <c r="E469" s="40">
        <f>IFERROR(__xludf.DUMMYFUNCTION("""COMPUTED_VALUE"""),45370.0)</f>
        <v>45370</v>
      </c>
      <c r="F469" s="9">
        <f>IFERROR(__xludf.DUMMYFUNCTION("""COMPUTED_VALUE"""),4.3)</f>
        <v>4.3</v>
      </c>
      <c r="H469" s="17"/>
      <c r="K469" s="17"/>
      <c r="N469" s="17"/>
    </row>
    <row r="470">
      <c r="B470" s="11">
        <f>IFERROR(__xludf.DUMMYFUNCTION("""COMPUTED_VALUE"""),45369.0)</f>
        <v>45369</v>
      </c>
      <c r="C470" s="9">
        <f>IFERROR(__xludf.DUMMYFUNCTION("""COMPUTED_VALUE"""),4.34)</f>
        <v>4.34</v>
      </c>
      <c r="E470" s="40">
        <f>IFERROR(__xludf.DUMMYFUNCTION("""COMPUTED_VALUE"""),45369.0)</f>
        <v>45369</v>
      </c>
      <c r="F470" s="9">
        <f>IFERROR(__xludf.DUMMYFUNCTION("""COMPUTED_VALUE"""),4.34)</f>
        <v>4.34</v>
      </c>
      <c r="H470" s="17"/>
      <c r="K470" s="17"/>
      <c r="N470" s="17"/>
    </row>
    <row r="471">
      <c r="B471" s="11">
        <f>IFERROR(__xludf.DUMMYFUNCTION("""COMPUTED_VALUE"""),45366.0)</f>
        <v>45366</v>
      </c>
      <c r="C471" s="9">
        <f>IFERROR(__xludf.DUMMYFUNCTION("""COMPUTED_VALUE"""),4.31)</f>
        <v>4.31</v>
      </c>
      <c r="E471" s="40">
        <f>IFERROR(__xludf.DUMMYFUNCTION("""COMPUTED_VALUE"""),45366.0)</f>
        <v>45366</v>
      </c>
      <c r="F471" s="9">
        <f>IFERROR(__xludf.DUMMYFUNCTION("""COMPUTED_VALUE"""),4.31)</f>
        <v>4.31</v>
      </c>
      <c r="H471" s="17"/>
      <c r="K471" s="17"/>
      <c r="N471" s="17"/>
    </row>
    <row r="472">
      <c r="B472" s="11">
        <f>IFERROR(__xludf.DUMMYFUNCTION("""COMPUTED_VALUE"""),45365.0)</f>
        <v>45365</v>
      </c>
      <c r="C472" s="9">
        <f>IFERROR(__xludf.DUMMYFUNCTION("""COMPUTED_VALUE"""),4.29)</f>
        <v>4.29</v>
      </c>
      <c r="E472" s="40">
        <f>IFERROR(__xludf.DUMMYFUNCTION("""COMPUTED_VALUE"""),45365.0)</f>
        <v>45365</v>
      </c>
      <c r="F472" s="9">
        <f>IFERROR(__xludf.DUMMYFUNCTION("""COMPUTED_VALUE"""),4.29)</f>
        <v>4.29</v>
      </c>
      <c r="H472" s="17"/>
      <c r="K472" s="17"/>
      <c r="N472" s="17"/>
    </row>
    <row r="473">
      <c r="B473" s="11">
        <f>IFERROR(__xludf.DUMMYFUNCTION("""COMPUTED_VALUE"""),45364.0)</f>
        <v>45364</v>
      </c>
      <c r="C473" s="9">
        <f>IFERROR(__xludf.DUMMYFUNCTION("""COMPUTED_VALUE"""),4.19)</f>
        <v>4.19</v>
      </c>
      <c r="E473" s="40">
        <f>IFERROR(__xludf.DUMMYFUNCTION("""COMPUTED_VALUE"""),45364.0)</f>
        <v>45364</v>
      </c>
      <c r="F473" s="9">
        <f>IFERROR(__xludf.DUMMYFUNCTION("""COMPUTED_VALUE"""),4.19)</f>
        <v>4.19</v>
      </c>
      <c r="H473" s="17"/>
      <c r="K473" s="17"/>
      <c r="N473" s="17"/>
    </row>
    <row r="474">
      <c r="B474" s="11">
        <f>IFERROR(__xludf.DUMMYFUNCTION("""COMPUTED_VALUE"""),45363.0)</f>
        <v>45363</v>
      </c>
      <c r="C474" s="9">
        <f>IFERROR(__xludf.DUMMYFUNCTION("""COMPUTED_VALUE"""),4.16)</f>
        <v>4.16</v>
      </c>
      <c r="E474" s="40">
        <f>IFERROR(__xludf.DUMMYFUNCTION("""COMPUTED_VALUE"""),45363.0)</f>
        <v>45363</v>
      </c>
      <c r="F474" s="9">
        <f>IFERROR(__xludf.DUMMYFUNCTION("""COMPUTED_VALUE"""),4.16)</f>
        <v>4.16</v>
      </c>
      <c r="H474" s="17"/>
      <c r="K474" s="17"/>
      <c r="N474" s="17"/>
    </row>
    <row r="475">
      <c r="B475" s="11">
        <f>IFERROR(__xludf.DUMMYFUNCTION("""COMPUTED_VALUE"""),45362.0)</f>
        <v>45362</v>
      </c>
      <c r="C475" s="9">
        <f>IFERROR(__xludf.DUMMYFUNCTION("""COMPUTED_VALUE"""),4.1)</f>
        <v>4.1</v>
      </c>
      <c r="E475" s="40">
        <f>IFERROR(__xludf.DUMMYFUNCTION("""COMPUTED_VALUE"""),45362.0)</f>
        <v>45362</v>
      </c>
      <c r="F475" s="9">
        <f>IFERROR(__xludf.DUMMYFUNCTION("""COMPUTED_VALUE"""),4.1)</f>
        <v>4.1</v>
      </c>
      <c r="H475" s="17"/>
      <c r="K475" s="17"/>
      <c r="N475" s="17"/>
    </row>
    <row r="476">
      <c r="B476" s="11">
        <f>IFERROR(__xludf.DUMMYFUNCTION("""COMPUTED_VALUE"""),45359.0)</f>
        <v>45359</v>
      </c>
      <c r="C476" s="9">
        <f>IFERROR(__xludf.DUMMYFUNCTION("""COMPUTED_VALUE"""),4.09)</f>
        <v>4.09</v>
      </c>
      <c r="E476" s="40">
        <f>IFERROR(__xludf.DUMMYFUNCTION("""COMPUTED_VALUE"""),45359.0)</f>
        <v>45359</v>
      </c>
      <c r="F476" s="9">
        <f>IFERROR(__xludf.DUMMYFUNCTION("""COMPUTED_VALUE"""),4.09)</f>
        <v>4.09</v>
      </c>
      <c r="H476" s="17"/>
      <c r="K476" s="17"/>
      <c r="N476" s="17"/>
    </row>
    <row r="477">
      <c r="B477" s="11">
        <f>IFERROR(__xludf.DUMMYFUNCTION("""COMPUTED_VALUE"""),45358.0)</f>
        <v>45358</v>
      </c>
      <c r="C477" s="9">
        <f>IFERROR(__xludf.DUMMYFUNCTION("""COMPUTED_VALUE"""),4.09)</f>
        <v>4.09</v>
      </c>
      <c r="E477" s="40">
        <f>IFERROR(__xludf.DUMMYFUNCTION("""COMPUTED_VALUE"""),45358.0)</f>
        <v>45358</v>
      </c>
      <c r="F477" s="9">
        <f>IFERROR(__xludf.DUMMYFUNCTION("""COMPUTED_VALUE"""),4.09)</f>
        <v>4.09</v>
      </c>
      <c r="H477" s="17"/>
      <c r="K477" s="17"/>
      <c r="N477" s="17"/>
    </row>
    <row r="478">
      <c r="B478" s="11">
        <f>IFERROR(__xludf.DUMMYFUNCTION("""COMPUTED_VALUE"""),45357.0)</f>
        <v>45357</v>
      </c>
      <c r="C478" s="9">
        <f>IFERROR(__xludf.DUMMYFUNCTION("""COMPUTED_VALUE"""),4.11)</f>
        <v>4.11</v>
      </c>
      <c r="E478" s="40">
        <f>IFERROR(__xludf.DUMMYFUNCTION("""COMPUTED_VALUE"""),45357.0)</f>
        <v>45357</v>
      </c>
      <c r="F478" s="9">
        <f>IFERROR(__xludf.DUMMYFUNCTION("""COMPUTED_VALUE"""),4.11)</f>
        <v>4.11</v>
      </c>
      <c r="H478" s="17"/>
      <c r="K478" s="17"/>
      <c r="N478" s="17"/>
    </row>
    <row r="479">
      <c r="B479" s="11">
        <f>IFERROR(__xludf.DUMMYFUNCTION("""COMPUTED_VALUE"""),45356.0)</f>
        <v>45356</v>
      </c>
      <c r="C479" s="9">
        <f>IFERROR(__xludf.DUMMYFUNCTION("""COMPUTED_VALUE"""),4.13)</f>
        <v>4.13</v>
      </c>
      <c r="E479" s="40">
        <f>IFERROR(__xludf.DUMMYFUNCTION("""COMPUTED_VALUE"""),45356.0)</f>
        <v>45356</v>
      </c>
      <c r="F479" s="9">
        <f>IFERROR(__xludf.DUMMYFUNCTION("""COMPUTED_VALUE"""),4.13)</f>
        <v>4.13</v>
      </c>
      <c r="H479" s="17"/>
      <c r="K479" s="17"/>
      <c r="N479" s="17"/>
    </row>
    <row r="480">
      <c r="B480" s="11">
        <f>IFERROR(__xludf.DUMMYFUNCTION("""COMPUTED_VALUE"""),45355.0)</f>
        <v>45355</v>
      </c>
      <c r="C480" s="9">
        <f>IFERROR(__xludf.DUMMYFUNCTION("""COMPUTED_VALUE"""),4.22)</f>
        <v>4.22</v>
      </c>
      <c r="E480" s="40">
        <f>IFERROR(__xludf.DUMMYFUNCTION("""COMPUTED_VALUE"""),45355.0)</f>
        <v>45355</v>
      </c>
      <c r="F480" s="9">
        <f>IFERROR(__xludf.DUMMYFUNCTION("""COMPUTED_VALUE"""),4.22)</f>
        <v>4.22</v>
      </c>
      <c r="H480" s="17"/>
      <c r="K480" s="17"/>
      <c r="N480" s="17"/>
    </row>
    <row r="481">
      <c r="B481" s="11">
        <f>IFERROR(__xludf.DUMMYFUNCTION("""COMPUTED_VALUE"""),45352.0)</f>
        <v>45352</v>
      </c>
      <c r="C481" s="9">
        <f>IFERROR(__xludf.DUMMYFUNCTION("""COMPUTED_VALUE"""),4.19)</f>
        <v>4.19</v>
      </c>
      <c r="E481" s="40">
        <f>IFERROR(__xludf.DUMMYFUNCTION("""COMPUTED_VALUE"""),45352.0)</f>
        <v>45352</v>
      </c>
      <c r="F481" s="9">
        <f>IFERROR(__xludf.DUMMYFUNCTION("""COMPUTED_VALUE"""),4.19)</f>
        <v>4.19</v>
      </c>
      <c r="H481" s="17"/>
      <c r="K481" s="17"/>
      <c r="N481" s="17"/>
    </row>
    <row r="482">
      <c r="B482" s="11">
        <f>IFERROR(__xludf.DUMMYFUNCTION("""COMPUTED_VALUE"""),45351.0)</f>
        <v>45351</v>
      </c>
      <c r="C482" s="9">
        <f>IFERROR(__xludf.DUMMYFUNCTION("""COMPUTED_VALUE"""),4.25)</f>
        <v>4.25</v>
      </c>
      <c r="E482" s="40">
        <f>IFERROR(__xludf.DUMMYFUNCTION("""COMPUTED_VALUE"""),45351.0)</f>
        <v>45351</v>
      </c>
      <c r="F482" s="9">
        <f>IFERROR(__xludf.DUMMYFUNCTION("""COMPUTED_VALUE"""),4.25)</f>
        <v>4.25</v>
      </c>
      <c r="H482" s="17"/>
      <c r="K482" s="17"/>
      <c r="N482" s="17"/>
    </row>
    <row r="483">
      <c r="B483" s="11">
        <f>IFERROR(__xludf.DUMMYFUNCTION("""COMPUTED_VALUE"""),45350.0)</f>
        <v>45350</v>
      </c>
      <c r="C483" s="9">
        <f>IFERROR(__xludf.DUMMYFUNCTION("""COMPUTED_VALUE"""),4.27)</f>
        <v>4.27</v>
      </c>
      <c r="E483" s="40">
        <f>IFERROR(__xludf.DUMMYFUNCTION("""COMPUTED_VALUE"""),45350.0)</f>
        <v>45350</v>
      </c>
      <c r="F483" s="9">
        <f>IFERROR(__xludf.DUMMYFUNCTION("""COMPUTED_VALUE"""),4.27)</f>
        <v>4.27</v>
      </c>
      <c r="H483" s="17"/>
      <c r="K483" s="17"/>
      <c r="N483" s="17"/>
    </row>
    <row r="484">
      <c r="B484" s="11">
        <f>IFERROR(__xludf.DUMMYFUNCTION("""COMPUTED_VALUE"""),45349.0)</f>
        <v>45349</v>
      </c>
      <c r="C484" s="9">
        <f>IFERROR(__xludf.DUMMYFUNCTION("""COMPUTED_VALUE"""),4.31)</f>
        <v>4.31</v>
      </c>
      <c r="E484" s="40">
        <f>IFERROR(__xludf.DUMMYFUNCTION("""COMPUTED_VALUE"""),45349.0)</f>
        <v>45349</v>
      </c>
      <c r="F484" s="9">
        <f>IFERROR(__xludf.DUMMYFUNCTION("""COMPUTED_VALUE"""),4.31)</f>
        <v>4.31</v>
      </c>
      <c r="H484" s="17"/>
      <c r="K484" s="17"/>
      <c r="N484" s="17"/>
    </row>
    <row r="485">
      <c r="B485" s="11">
        <f>IFERROR(__xludf.DUMMYFUNCTION("""COMPUTED_VALUE"""),45348.0)</f>
        <v>45348</v>
      </c>
      <c r="C485" s="9">
        <f>IFERROR(__xludf.DUMMYFUNCTION("""COMPUTED_VALUE"""),4.28)</f>
        <v>4.28</v>
      </c>
      <c r="E485" s="40">
        <f>IFERROR(__xludf.DUMMYFUNCTION("""COMPUTED_VALUE"""),45348.0)</f>
        <v>45348</v>
      </c>
      <c r="F485" s="9">
        <f>IFERROR(__xludf.DUMMYFUNCTION("""COMPUTED_VALUE"""),4.28)</f>
        <v>4.28</v>
      </c>
      <c r="H485" s="17"/>
      <c r="K485" s="17"/>
      <c r="N485" s="17"/>
    </row>
    <row r="486">
      <c r="B486" s="11">
        <f>IFERROR(__xludf.DUMMYFUNCTION("""COMPUTED_VALUE"""),45345.0)</f>
        <v>45345</v>
      </c>
      <c r="C486" s="9">
        <f>IFERROR(__xludf.DUMMYFUNCTION("""COMPUTED_VALUE"""),4.26)</f>
        <v>4.26</v>
      </c>
      <c r="E486" s="40">
        <f>IFERROR(__xludf.DUMMYFUNCTION("""COMPUTED_VALUE"""),45345.0)</f>
        <v>45345</v>
      </c>
      <c r="F486" s="9">
        <f>IFERROR(__xludf.DUMMYFUNCTION("""COMPUTED_VALUE"""),4.26)</f>
        <v>4.26</v>
      </c>
      <c r="H486" s="17"/>
      <c r="K486" s="17"/>
      <c r="N486" s="17"/>
    </row>
    <row r="487">
      <c r="B487" s="11">
        <f>IFERROR(__xludf.DUMMYFUNCTION("""COMPUTED_VALUE"""),45344.0)</f>
        <v>45344</v>
      </c>
      <c r="C487" s="9">
        <f>IFERROR(__xludf.DUMMYFUNCTION("""COMPUTED_VALUE"""),4.33)</f>
        <v>4.33</v>
      </c>
      <c r="E487" s="40">
        <f>IFERROR(__xludf.DUMMYFUNCTION("""COMPUTED_VALUE"""),45344.0)</f>
        <v>45344</v>
      </c>
      <c r="F487" s="9">
        <f>IFERROR(__xludf.DUMMYFUNCTION("""COMPUTED_VALUE"""),4.33)</f>
        <v>4.33</v>
      </c>
      <c r="H487" s="17"/>
      <c r="K487" s="17"/>
      <c r="N487" s="17"/>
    </row>
    <row r="488">
      <c r="B488" s="11">
        <f>IFERROR(__xludf.DUMMYFUNCTION("""COMPUTED_VALUE"""),45343.0)</f>
        <v>45343</v>
      </c>
      <c r="C488" s="9">
        <f>IFERROR(__xludf.DUMMYFUNCTION("""COMPUTED_VALUE"""),4.32)</f>
        <v>4.32</v>
      </c>
      <c r="E488" s="40">
        <f>IFERROR(__xludf.DUMMYFUNCTION("""COMPUTED_VALUE"""),45343.0)</f>
        <v>45343</v>
      </c>
      <c r="F488" s="9">
        <f>IFERROR(__xludf.DUMMYFUNCTION("""COMPUTED_VALUE"""),4.32)</f>
        <v>4.32</v>
      </c>
      <c r="H488" s="17"/>
      <c r="K488" s="17"/>
      <c r="N488" s="17"/>
    </row>
    <row r="489">
      <c r="B489" s="11">
        <f>IFERROR(__xludf.DUMMYFUNCTION("""COMPUTED_VALUE"""),45342.0)</f>
        <v>45342</v>
      </c>
      <c r="C489" s="9">
        <f>IFERROR(__xludf.DUMMYFUNCTION("""COMPUTED_VALUE"""),4.27)</f>
        <v>4.27</v>
      </c>
      <c r="E489" s="40">
        <f>IFERROR(__xludf.DUMMYFUNCTION("""COMPUTED_VALUE"""),45342.0)</f>
        <v>45342</v>
      </c>
      <c r="F489" s="9">
        <f>IFERROR(__xludf.DUMMYFUNCTION("""COMPUTED_VALUE"""),4.27)</f>
        <v>4.27</v>
      </c>
      <c r="H489" s="17"/>
      <c r="K489" s="17"/>
      <c r="N489" s="17"/>
    </row>
    <row r="490">
      <c r="B490" s="11">
        <f>IFERROR(__xludf.DUMMYFUNCTION("""COMPUTED_VALUE"""),45341.0)</f>
        <v>45341</v>
      </c>
      <c r="C490" s="9"/>
      <c r="E490" s="40">
        <f>IFERROR(__xludf.DUMMYFUNCTION("""COMPUTED_VALUE"""),45341.0)</f>
        <v>45341</v>
      </c>
      <c r="F490" s="9"/>
      <c r="H490" s="17"/>
      <c r="K490" s="17"/>
      <c r="N490" s="17"/>
    </row>
    <row r="491">
      <c r="B491" s="11">
        <f>IFERROR(__xludf.DUMMYFUNCTION("""COMPUTED_VALUE"""),45338.0)</f>
        <v>45338</v>
      </c>
      <c r="C491" s="9">
        <f>IFERROR(__xludf.DUMMYFUNCTION("""COMPUTED_VALUE"""),4.3)</f>
        <v>4.3</v>
      </c>
      <c r="E491" s="40">
        <f>IFERROR(__xludf.DUMMYFUNCTION("""COMPUTED_VALUE"""),45338.0)</f>
        <v>45338</v>
      </c>
      <c r="F491" s="9">
        <f>IFERROR(__xludf.DUMMYFUNCTION("""COMPUTED_VALUE"""),4.3)</f>
        <v>4.3</v>
      </c>
      <c r="H491" s="17"/>
      <c r="K491" s="17"/>
      <c r="N491" s="17"/>
    </row>
    <row r="492">
      <c r="B492" s="11">
        <f>IFERROR(__xludf.DUMMYFUNCTION("""COMPUTED_VALUE"""),45337.0)</f>
        <v>45337</v>
      </c>
      <c r="C492" s="9">
        <f>IFERROR(__xludf.DUMMYFUNCTION("""COMPUTED_VALUE"""),4.24)</f>
        <v>4.24</v>
      </c>
      <c r="E492" s="40">
        <f>IFERROR(__xludf.DUMMYFUNCTION("""COMPUTED_VALUE"""),45337.0)</f>
        <v>45337</v>
      </c>
      <c r="F492" s="9">
        <f>IFERROR(__xludf.DUMMYFUNCTION("""COMPUTED_VALUE"""),4.24)</f>
        <v>4.24</v>
      </c>
      <c r="H492" s="17"/>
      <c r="K492" s="17"/>
      <c r="N492" s="17"/>
    </row>
    <row r="493">
      <c r="B493" s="11">
        <f>IFERROR(__xludf.DUMMYFUNCTION("""COMPUTED_VALUE"""),45336.0)</f>
        <v>45336</v>
      </c>
      <c r="C493" s="9">
        <f>IFERROR(__xludf.DUMMYFUNCTION("""COMPUTED_VALUE"""),4.27)</f>
        <v>4.27</v>
      </c>
      <c r="E493" s="40">
        <f>IFERROR(__xludf.DUMMYFUNCTION("""COMPUTED_VALUE"""),45336.0)</f>
        <v>45336</v>
      </c>
      <c r="F493" s="9">
        <f>IFERROR(__xludf.DUMMYFUNCTION("""COMPUTED_VALUE"""),4.27)</f>
        <v>4.27</v>
      </c>
      <c r="H493" s="17"/>
      <c r="K493" s="17"/>
      <c r="N493" s="17"/>
    </row>
    <row r="494">
      <c r="B494" s="11">
        <f>IFERROR(__xludf.DUMMYFUNCTION("""COMPUTED_VALUE"""),45335.0)</f>
        <v>45335</v>
      </c>
      <c r="C494" s="9">
        <f>IFERROR(__xludf.DUMMYFUNCTION("""COMPUTED_VALUE"""),4.31)</f>
        <v>4.31</v>
      </c>
      <c r="E494" s="40">
        <f>IFERROR(__xludf.DUMMYFUNCTION("""COMPUTED_VALUE"""),45335.0)</f>
        <v>45335</v>
      </c>
      <c r="F494" s="9">
        <f>IFERROR(__xludf.DUMMYFUNCTION("""COMPUTED_VALUE"""),4.31)</f>
        <v>4.31</v>
      </c>
      <c r="H494" s="17"/>
      <c r="K494" s="17"/>
      <c r="N494" s="17"/>
    </row>
    <row r="495">
      <c r="B495" s="11">
        <f>IFERROR(__xludf.DUMMYFUNCTION("""COMPUTED_VALUE"""),45334.0)</f>
        <v>45334</v>
      </c>
      <c r="C495" s="9">
        <f>IFERROR(__xludf.DUMMYFUNCTION("""COMPUTED_VALUE"""),4.17)</f>
        <v>4.17</v>
      </c>
      <c r="E495" s="40">
        <f>IFERROR(__xludf.DUMMYFUNCTION("""COMPUTED_VALUE"""),45334.0)</f>
        <v>45334</v>
      </c>
      <c r="F495" s="9">
        <f>IFERROR(__xludf.DUMMYFUNCTION("""COMPUTED_VALUE"""),4.17)</f>
        <v>4.17</v>
      </c>
      <c r="H495" s="17"/>
      <c r="K495" s="17"/>
      <c r="N495" s="17"/>
    </row>
    <row r="496">
      <c r="B496" s="11">
        <f>IFERROR(__xludf.DUMMYFUNCTION("""COMPUTED_VALUE"""),45331.0)</f>
        <v>45331</v>
      </c>
      <c r="C496" s="9">
        <f>IFERROR(__xludf.DUMMYFUNCTION("""COMPUTED_VALUE"""),4.17)</f>
        <v>4.17</v>
      </c>
      <c r="E496" s="40">
        <f>IFERROR(__xludf.DUMMYFUNCTION("""COMPUTED_VALUE"""),45331.0)</f>
        <v>45331</v>
      </c>
      <c r="F496" s="9">
        <f>IFERROR(__xludf.DUMMYFUNCTION("""COMPUTED_VALUE"""),4.17)</f>
        <v>4.17</v>
      </c>
      <c r="H496" s="17"/>
      <c r="K496" s="17"/>
      <c r="N496" s="17"/>
    </row>
    <row r="497">
      <c r="B497" s="11">
        <f>IFERROR(__xludf.DUMMYFUNCTION("""COMPUTED_VALUE"""),45330.0)</f>
        <v>45330</v>
      </c>
      <c r="C497" s="9">
        <f>IFERROR(__xludf.DUMMYFUNCTION("""COMPUTED_VALUE"""),4.15)</f>
        <v>4.15</v>
      </c>
      <c r="E497" s="40">
        <f>IFERROR(__xludf.DUMMYFUNCTION("""COMPUTED_VALUE"""),45330.0)</f>
        <v>45330</v>
      </c>
      <c r="F497" s="9">
        <f>IFERROR(__xludf.DUMMYFUNCTION("""COMPUTED_VALUE"""),4.15)</f>
        <v>4.15</v>
      </c>
      <c r="H497" s="17"/>
      <c r="K497" s="17"/>
      <c r="N497" s="17"/>
    </row>
    <row r="498">
      <c r="B498" s="11">
        <f>IFERROR(__xludf.DUMMYFUNCTION("""COMPUTED_VALUE"""),45329.0)</f>
        <v>45329</v>
      </c>
      <c r="C498" s="9">
        <f>IFERROR(__xludf.DUMMYFUNCTION("""COMPUTED_VALUE"""),4.09)</f>
        <v>4.09</v>
      </c>
      <c r="E498" s="40">
        <f>IFERROR(__xludf.DUMMYFUNCTION("""COMPUTED_VALUE"""),45329.0)</f>
        <v>45329</v>
      </c>
      <c r="F498" s="9">
        <f>IFERROR(__xludf.DUMMYFUNCTION("""COMPUTED_VALUE"""),4.09)</f>
        <v>4.09</v>
      </c>
      <c r="H498" s="17"/>
      <c r="K498" s="17"/>
      <c r="N498" s="17"/>
    </row>
    <row r="499">
      <c r="B499" s="11">
        <f>IFERROR(__xludf.DUMMYFUNCTION("""COMPUTED_VALUE"""),45328.0)</f>
        <v>45328</v>
      </c>
      <c r="C499" s="9">
        <f>IFERROR(__xludf.DUMMYFUNCTION("""COMPUTED_VALUE"""),4.09)</f>
        <v>4.09</v>
      </c>
      <c r="E499" s="40">
        <f>IFERROR(__xludf.DUMMYFUNCTION("""COMPUTED_VALUE"""),45328.0)</f>
        <v>45328</v>
      </c>
      <c r="F499" s="9">
        <f>IFERROR(__xludf.DUMMYFUNCTION("""COMPUTED_VALUE"""),4.09)</f>
        <v>4.09</v>
      </c>
      <c r="H499" s="17"/>
      <c r="K499" s="17"/>
      <c r="N499" s="17"/>
    </row>
    <row r="500">
      <c r="B500" s="11">
        <f>IFERROR(__xludf.DUMMYFUNCTION("""COMPUTED_VALUE"""),45327.0)</f>
        <v>45327</v>
      </c>
      <c r="C500" s="9">
        <f>IFERROR(__xludf.DUMMYFUNCTION("""COMPUTED_VALUE"""),4.17)</f>
        <v>4.17</v>
      </c>
      <c r="E500" s="40">
        <f>IFERROR(__xludf.DUMMYFUNCTION("""COMPUTED_VALUE"""),45327.0)</f>
        <v>45327</v>
      </c>
      <c r="F500" s="9">
        <f>IFERROR(__xludf.DUMMYFUNCTION("""COMPUTED_VALUE"""),4.17)</f>
        <v>4.17</v>
      </c>
      <c r="H500" s="17"/>
      <c r="K500" s="17"/>
      <c r="N500" s="17"/>
    </row>
    <row r="501">
      <c r="B501" s="11">
        <f>IFERROR(__xludf.DUMMYFUNCTION("""COMPUTED_VALUE"""),45324.0)</f>
        <v>45324</v>
      </c>
      <c r="C501" s="9">
        <f>IFERROR(__xludf.DUMMYFUNCTION("""COMPUTED_VALUE"""),4.03)</f>
        <v>4.03</v>
      </c>
      <c r="E501" s="40">
        <f>IFERROR(__xludf.DUMMYFUNCTION("""COMPUTED_VALUE"""),45324.0)</f>
        <v>45324</v>
      </c>
      <c r="F501" s="9">
        <f>IFERROR(__xludf.DUMMYFUNCTION("""COMPUTED_VALUE"""),4.03)</f>
        <v>4.03</v>
      </c>
      <c r="H501" s="17"/>
      <c r="K501" s="17"/>
      <c r="N501" s="17"/>
    </row>
    <row r="502">
      <c r="B502" s="11">
        <f>IFERROR(__xludf.DUMMYFUNCTION("""COMPUTED_VALUE"""),45323.0)</f>
        <v>45323</v>
      </c>
      <c r="C502" s="9">
        <f>IFERROR(__xludf.DUMMYFUNCTION("""COMPUTED_VALUE"""),3.87)</f>
        <v>3.87</v>
      </c>
      <c r="E502" s="40">
        <f>IFERROR(__xludf.DUMMYFUNCTION("""COMPUTED_VALUE"""),45323.0)</f>
        <v>45323</v>
      </c>
      <c r="F502" s="9">
        <f>IFERROR(__xludf.DUMMYFUNCTION("""COMPUTED_VALUE"""),3.87)</f>
        <v>3.87</v>
      </c>
      <c r="H502" s="17"/>
      <c r="K502" s="17"/>
      <c r="N502" s="17"/>
    </row>
    <row r="503">
      <c r="B503" s="11">
        <f>IFERROR(__xludf.DUMMYFUNCTION("""COMPUTED_VALUE"""),45322.0)</f>
        <v>45322</v>
      </c>
      <c r="C503" s="9">
        <f>IFERROR(__xludf.DUMMYFUNCTION("""COMPUTED_VALUE"""),3.99)</f>
        <v>3.99</v>
      </c>
      <c r="E503" s="40">
        <f>IFERROR(__xludf.DUMMYFUNCTION("""COMPUTED_VALUE"""),45322.0)</f>
        <v>45322</v>
      </c>
      <c r="F503" s="9">
        <f>IFERROR(__xludf.DUMMYFUNCTION("""COMPUTED_VALUE"""),3.99)</f>
        <v>3.99</v>
      </c>
      <c r="H503" s="17"/>
      <c r="K503" s="17"/>
      <c r="N503" s="17"/>
    </row>
    <row r="504">
      <c r="B504" s="11">
        <f>IFERROR(__xludf.DUMMYFUNCTION("""COMPUTED_VALUE"""),45321.0)</f>
        <v>45321</v>
      </c>
      <c r="C504" s="9">
        <f>IFERROR(__xludf.DUMMYFUNCTION("""COMPUTED_VALUE"""),4.06)</f>
        <v>4.06</v>
      </c>
      <c r="E504" s="40">
        <f>IFERROR(__xludf.DUMMYFUNCTION("""COMPUTED_VALUE"""),45321.0)</f>
        <v>45321</v>
      </c>
      <c r="F504" s="9">
        <f>IFERROR(__xludf.DUMMYFUNCTION("""COMPUTED_VALUE"""),4.06)</f>
        <v>4.06</v>
      </c>
      <c r="H504" s="17"/>
      <c r="K504" s="17"/>
      <c r="N504" s="17"/>
    </row>
    <row r="505">
      <c r="B505" s="11">
        <f>IFERROR(__xludf.DUMMYFUNCTION("""COMPUTED_VALUE"""),45320.0)</f>
        <v>45320</v>
      </c>
      <c r="C505" s="9">
        <f>IFERROR(__xludf.DUMMYFUNCTION("""COMPUTED_VALUE"""),4.08)</f>
        <v>4.08</v>
      </c>
      <c r="E505" s="40">
        <f>IFERROR(__xludf.DUMMYFUNCTION("""COMPUTED_VALUE"""),45320.0)</f>
        <v>45320</v>
      </c>
      <c r="F505" s="9">
        <f>IFERROR(__xludf.DUMMYFUNCTION("""COMPUTED_VALUE"""),4.08)</f>
        <v>4.08</v>
      </c>
      <c r="H505" s="17"/>
      <c r="K505" s="17"/>
      <c r="N505" s="17"/>
    </row>
    <row r="506">
      <c r="B506" s="11">
        <f>IFERROR(__xludf.DUMMYFUNCTION("""COMPUTED_VALUE"""),45317.0)</f>
        <v>45317</v>
      </c>
      <c r="C506" s="9">
        <f>IFERROR(__xludf.DUMMYFUNCTION("""COMPUTED_VALUE"""),4.15)</f>
        <v>4.15</v>
      </c>
      <c r="E506" s="40">
        <f>IFERROR(__xludf.DUMMYFUNCTION("""COMPUTED_VALUE"""),45317.0)</f>
        <v>45317</v>
      </c>
      <c r="F506" s="9">
        <f>IFERROR(__xludf.DUMMYFUNCTION("""COMPUTED_VALUE"""),4.15)</f>
        <v>4.15</v>
      </c>
      <c r="H506" s="17"/>
      <c r="K506" s="17"/>
      <c r="N506" s="17"/>
    </row>
    <row r="507">
      <c r="B507" s="11">
        <f>IFERROR(__xludf.DUMMYFUNCTION("""COMPUTED_VALUE"""),45316.0)</f>
        <v>45316</v>
      </c>
      <c r="C507" s="9">
        <f>IFERROR(__xludf.DUMMYFUNCTION("""COMPUTED_VALUE"""),4.14)</f>
        <v>4.14</v>
      </c>
      <c r="E507" s="40">
        <f>IFERROR(__xludf.DUMMYFUNCTION("""COMPUTED_VALUE"""),45316.0)</f>
        <v>45316</v>
      </c>
      <c r="F507" s="9">
        <f>IFERROR(__xludf.DUMMYFUNCTION("""COMPUTED_VALUE"""),4.14)</f>
        <v>4.14</v>
      </c>
      <c r="H507" s="17"/>
      <c r="K507" s="17"/>
      <c r="N507" s="17"/>
    </row>
    <row r="508">
      <c r="B508" s="11">
        <f>IFERROR(__xludf.DUMMYFUNCTION("""COMPUTED_VALUE"""),45315.0)</f>
        <v>45315</v>
      </c>
      <c r="C508" s="9">
        <f>IFERROR(__xludf.DUMMYFUNCTION("""COMPUTED_VALUE"""),4.18)</f>
        <v>4.18</v>
      </c>
      <c r="E508" s="40">
        <f>IFERROR(__xludf.DUMMYFUNCTION("""COMPUTED_VALUE"""),45315.0)</f>
        <v>45315</v>
      </c>
      <c r="F508" s="9">
        <f>IFERROR(__xludf.DUMMYFUNCTION("""COMPUTED_VALUE"""),4.18)</f>
        <v>4.18</v>
      </c>
      <c r="H508" s="17"/>
      <c r="K508" s="17"/>
      <c r="N508" s="17"/>
    </row>
    <row r="509">
      <c r="B509" s="11">
        <f>IFERROR(__xludf.DUMMYFUNCTION("""COMPUTED_VALUE"""),45314.0)</f>
        <v>45314</v>
      </c>
      <c r="C509" s="9">
        <f>IFERROR(__xludf.DUMMYFUNCTION("""COMPUTED_VALUE"""),4.14)</f>
        <v>4.14</v>
      </c>
      <c r="E509" s="40">
        <f>IFERROR(__xludf.DUMMYFUNCTION("""COMPUTED_VALUE"""),45314.0)</f>
        <v>45314</v>
      </c>
      <c r="F509" s="9">
        <f>IFERROR(__xludf.DUMMYFUNCTION("""COMPUTED_VALUE"""),4.14)</f>
        <v>4.14</v>
      </c>
      <c r="H509" s="17"/>
      <c r="K509" s="17"/>
      <c r="N509" s="17"/>
    </row>
    <row r="510">
      <c r="B510" s="11">
        <f>IFERROR(__xludf.DUMMYFUNCTION("""COMPUTED_VALUE"""),45313.0)</f>
        <v>45313</v>
      </c>
      <c r="C510" s="9">
        <f>IFERROR(__xludf.DUMMYFUNCTION("""COMPUTED_VALUE"""),4.11)</f>
        <v>4.11</v>
      </c>
      <c r="E510" s="40">
        <f>IFERROR(__xludf.DUMMYFUNCTION("""COMPUTED_VALUE"""),45313.0)</f>
        <v>45313</v>
      </c>
      <c r="F510" s="9">
        <f>IFERROR(__xludf.DUMMYFUNCTION("""COMPUTED_VALUE"""),4.11)</f>
        <v>4.11</v>
      </c>
      <c r="H510" s="17"/>
      <c r="K510" s="17"/>
      <c r="N510" s="17"/>
    </row>
    <row r="511">
      <c r="B511" s="11">
        <f>IFERROR(__xludf.DUMMYFUNCTION("""COMPUTED_VALUE"""),45310.0)</f>
        <v>45310</v>
      </c>
      <c r="C511" s="9">
        <f>IFERROR(__xludf.DUMMYFUNCTION("""COMPUTED_VALUE"""),4.15)</f>
        <v>4.15</v>
      </c>
      <c r="E511" s="40">
        <f>IFERROR(__xludf.DUMMYFUNCTION("""COMPUTED_VALUE"""),45310.0)</f>
        <v>45310</v>
      </c>
      <c r="F511" s="9">
        <f>IFERROR(__xludf.DUMMYFUNCTION("""COMPUTED_VALUE"""),4.15)</f>
        <v>4.15</v>
      </c>
      <c r="H511" s="17"/>
      <c r="K511" s="17"/>
      <c r="N511" s="17"/>
    </row>
    <row r="512">
      <c r="B512" s="11">
        <f>IFERROR(__xludf.DUMMYFUNCTION("""COMPUTED_VALUE"""),45309.0)</f>
        <v>45309</v>
      </c>
      <c r="C512" s="9">
        <f>IFERROR(__xludf.DUMMYFUNCTION("""COMPUTED_VALUE"""),4.14)</f>
        <v>4.14</v>
      </c>
      <c r="E512" s="40">
        <f>IFERROR(__xludf.DUMMYFUNCTION("""COMPUTED_VALUE"""),45309.0)</f>
        <v>45309</v>
      </c>
      <c r="F512" s="9">
        <f>IFERROR(__xludf.DUMMYFUNCTION("""COMPUTED_VALUE"""),4.14)</f>
        <v>4.14</v>
      </c>
      <c r="H512" s="17"/>
      <c r="K512" s="17"/>
      <c r="N512" s="17"/>
    </row>
    <row r="513">
      <c r="B513" s="11">
        <f>IFERROR(__xludf.DUMMYFUNCTION("""COMPUTED_VALUE"""),45308.0)</f>
        <v>45308</v>
      </c>
      <c r="C513" s="9">
        <f>IFERROR(__xludf.DUMMYFUNCTION("""COMPUTED_VALUE"""),4.1)</f>
        <v>4.1</v>
      </c>
      <c r="E513" s="40">
        <f>IFERROR(__xludf.DUMMYFUNCTION("""COMPUTED_VALUE"""),45308.0)</f>
        <v>45308</v>
      </c>
      <c r="F513" s="9">
        <f>IFERROR(__xludf.DUMMYFUNCTION("""COMPUTED_VALUE"""),4.1)</f>
        <v>4.1</v>
      </c>
      <c r="H513" s="17"/>
      <c r="K513" s="17"/>
      <c r="N513" s="17"/>
    </row>
    <row r="514">
      <c r="B514" s="11">
        <f>IFERROR(__xludf.DUMMYFUNCTION("""COMPUTED_VALUE"""),45307.0)</f>
        <v>45307</v>
      </c>
      <c r="C514" s="9">
        <f>IFERROR(__xludf.DUMMYFUNCTION("""COMPUTED_VALUE"""),4.07)</f>
        <v>4.07</v>
      </c>
      <c r="E514" s="40">
        <f>IFERROR(__xludf.DUMMYFUNCTION("""COMPUTED_VALUE"""),45307.0)</f>
        <v>45307</v>
      </c>
      <c r="F514" s="9">
        <f>IFERROR(__xludf.DUMMYFUNCTION("""COMPUTED_VALUE"""),4.07)</f>
        <v>4.07</v>
      </c>
      <c r="H514" s="17"/>
      <c r="K514" s="17"/>
      <c r="N514" s="17"/>
    </row>
    <row r="515">
      <c r="B515" s="11">
        <f>IFERROR(__xludf.DUMMYFUNCTION("""COMPUTED_VALUE"""),45306.0)</f>
        <v>45306</v>
      </c>
      <c r="C515" s="9"/>
      <c r="E515" s="40">
        <f>IFERROR(__xludf.DUMMYFUNCTION("""COMPUTED_VALUE"""),45306.0)</f>
        <v>45306</v>
      </c>
      <c r="F515" s="9"/>
      <c r="H515" s="17"/>
      <c r="K515" s="17"/>
      <c r="N515" s="17"/>
    </row>
    <row r="516">
      <c r="B516" s="11">
        <f>IFERROR(__xludf.DUMMYFUNCTION("""COMPUTED_VALUE"""),45303.0)</f>
        <v>45303</v>
      </c>
      <c r="C516" s="9">
        <f>IFERROR(__xludf.DUMMYFUNCTION("""COMPUTED_VALUE"""),3.96)</f>
        <v>3.96</v>
      </c>
      <c r="E516" s="40">
        <f>IFERROR(__xludf.DUMMYFUNCTION("""COMPUTED_VALUE"""),45303.0)</f>
        <v>45303</v>
      </c>
      <c r="F516" s="9">
        <f>IFERROR(__xludf.DUMMYFUNCTION("""COMPUTED_VALUE"""),3.96)</f>
        <v>3.96</v>
      </c>
      <c r="H516" s="17"/>
      <c r="K516" s="17"/>
      <c r="N516" s="17"/>
    </row>
    <row r="517">
      <c r="B517" s="11">
        <f>IFERROR(__xludf.DUMMYFUNCTION("""COMPUTED_VALUE"""),45302.0)</f>
        <v>45302</v>
      </c>
      <c r="C517" s="9">
        <f>IFERROR(__xludf.DUMMYFUNCTION("""COMPUTED_VALUE"""),3.98)</f>
        <v>3.98</v>
      </c>
      <c r="E517" s="40">
        <f>IFERROR(__xludf.DUMMYFUNCTION("""COMPUTED_VALUE"""),45302.0)</f>
        <v>45302</v>
      </c>
      <c r="F517" s="9">
        <f>IFERROR(__xludf.DUMMYFUNCTION("""COMPUTED_VALUE"""),3.98)</f>
        <v>3.98</v>
      </c>
      <c r="H517" s="17"/>
      <c r="K517" s="17"/>
      <c r="N517" s="17"/>
    </row>
    <row r="518">
      <c r="B518" s="11">
        <f>IFERROR(__xludf.DUMMYFUNCTION("""COMPUTED_VALUE"""),45301.0)</f>
        <v>45301</v>
      </c>
      <c r="C518" s="9">
        <f>IFERROR(__xludf.DUMMYFUNCTION("""COMPUTED_VALUE"""),4.04)</f>
        <v>4.04</v>
      </c>
      <c r="E518" s="40">
        <f>IFERROR(__xludf.DUMMYFUNCTION("""COMPUTED_VALUE"""),45301.0)</f>
        <v>45301</v>
      </c>
      <c r="F518" s="9">
        <f>IFERROR(__xludf.DUMMYFUNCTION("""COMPUTED_VALUE"""),4.04)</f>
        <v>4.04</v>
      </c>
      <c r="H518" s="17"/>
      <c r="K518" s="17"/>
      <c r="N518" s="17"/>
    </row>
    <row r="519">
      <c r="B519" s="11">
        <f>IFERROR(__xludf.DUMMYFUNCTION("""COMPUTED_VALUE"""),45300.0)</f>
        <v>45300</v>
      </c>
      <c r="C519" s="9">
        <f>IFERROR(__xludf.DUMMYFUNCTION("""COMPUTED_VALUE"""),4.02)</f>
        <v>4.02</v>
      </c>
      <c r="E519" s="40">
        <f>IFERROR(__xludf.DUMMYFUNCTION("""COMPUTED_VALUE"""),45300.0)</f>
        <v>45300</v>
      </c>
      <c r="F519" s="9">
        <f>IFERROR(__xludf.DUMMYFUNCTION("""COMPUTED_VALUE"""),4.02)</f>
        <v>4.02</v>
      </c>
      <c r="H519" s="17"/>
      <c r="K519" s="17"/>
      <c r="N519" s="17"/>
    </row>
    <row r="520">
      <c r="B520" s="11">
        <f>IFERROR(__xludf.DUMMYFUNCTION("""COMPUTED_VALUE"""),45299.0)</f>
        <v>45299</v>
      </c>
      <c r="C520" s="9">
        <f>IFERROR(__xludf.DUMMYFUNCTION("""COMPUTED_VALUE"""),4.01)</f>
        <v>4.01</v>
      </c>
      <c r="E520" s="40">
        <f>IFERROR(__xludf.DUMMYFUNCTION("""COMPUTED_VALUE"""),45299.0)</f>
        <v>45299</v>
      </c>
      <c r="F520" s="9">
        <f>IFERROR(__xludf.DUMMYFUNCTION("""COMPUTED_VALUE"""),4.01)</f>
        <v>4.01</v>
      </c>
      <c r="H520" s="17"/>
      <c r="K520" s="17"/>
      <c r="N520" s="17"/>
    </row>
    <row r="521">
      <c r="B521" s="11">
        <f>IFERROR(__xludf.DUMMYFUNCTION("""COMPUTED_VALUE"""),45296.0)</f>
        <v>45296</v>
      </c>
      <c r="C521" s="9">
        <f>IFERROR(__xludf.DUMMYFUNCTION("""COMPUTED_VALUE"""),4.05)</f>
        <v>4.05</v>
      </c>
      <c r="E521" s="40">
        <f>IFERROR(__xludf.DUMMYFUNCTION("""COMPUTED_VALUE"""),45296.0)</f>
        <v>45296</v>
      </c>
      <c r="F521" s="9">
        <f>IFERROR(__xludf.DUMMYFUNCTION("""COMPUTED_VALUE"""),4.05)</f>
        <v>4.05</v>
      </c>
      <c r="H521" s="17"/>
      <c r="K521" s="17"/>
      <c r="N521" s="17"/>
    </row>
    <row r="522">
      <c r="B522" s="11">
        <f>IFERROR(__xludf.DUMMYFUNCTION("""COMPUTED_VALUE"""),45295.0)</f>
        <v>45295</v>
      </c>
      <c r="C522" s="9">
        <f>IFERROR(__xludf.DUMMYFUNCTION("""COMPUTED_VALUE"""),3.99)</f>
        <v>3.99</v>
      </c>
      <c r="E522" s="40">
        <f>IFERROR(__xludf.DUMMYFUNCTION("""COMPUTED_VALUE"""),45295.0)</f>
        <v>45295</v>
      </c>
      <c r="F522" s="9">
        <f>IFERROR(__xludf.DUMMYFUNCTION("""COMPUTED_VALUE"""),3.99)</f>
        <v>3.99</v>
      </c>
      <c r="H522" s="17"/>
      <c r="K522" s="17"/>
      <c r="N522" s="17"/>
    </row>
    <row r="523">
      <c r="B523" s="11">
        <f>IFERROR(__xludf.DUMMYFUNCTION("""COMPUTED_VALUE"""),45294.0)</f>
        <v>45294</v>
      </c>
      <c r="C523" s="9">
        <f>IFERROR(__xludf.DUMMYFUNCTION("""COMPUTED_VALUE"""),3.91)</f>
        <v>3.91</v>
      </c>
      <c r="E523" s="40">
        <f>IFERROR(__xludf.DUMMYFUNCTION("""COMPUTED_VALUE"""),45294.0)</f>
        <v>45294</v>
      </c>
      <c r="F523" s="9">
        <f>IFERROR(__xludf.DUMMYFUNCTION("""COMPUTED_VALUE"""),3.91)</f>
        <v>3.91</v>
      </c>
      <c r="H523" s="17"/>
      <c r="K523" s="17"/>
      <c r="N523" s="17"/>
    </row>
    <row r="524">
      <c r="B524" s="11">
        <f>IFERROR(__xludf.DUMMYFUNCTION("""COMPUTED_VALUE"""),45293.0)</f>
        <v>45293</v>
      </c>
      <c r="C524" s="9">
        <f>IFERROR(__xludf.DUMMYFUNCTION("""COMPUTED_VALUE"""),3.95)</f>
        <v>3.95</v>
      </c>
      <c r="E524" s="40">
        <f>IFERROR(__xludf.DUMMYFUNCTION("""COMPUTED_VALUE"""),45293.0)</f>
        <v>45293</v>
      </c>
      <c r="F524" s="9">
        <f>IFERROR(__xludf.DUMMYFUNCTION("""COMPUTED_VALUE"""),3.95)</f>
        <v>3.95</v>
      </c>
      <c r="H524" s="17"/>
      <c r="K524" s="17"/>
      <c r="N524" s="17"/>
    </row>
    <row r="525">
      <c r="B525" s="11">
        <f>IFERROR(__xludf.DUMMYFUNCTION("""COMPUTED_VALUE"""),45292.0)</f>
        <v>45292</v>
      </c>
      <c r="C525" s="9"/>
      <c r="E525" s="40">
        <f>IFERROR(__xludf.DUMMYFUNCTION("""COMPUTED_VALUE"""),45292.0)</f>
        <v>45292</v>
      </c>
      <c r="F525" s="9"/>
      <c r="H525" s="17"/>
      <c r="K525" s="17"/>
      <c r="N525" s="17"/>
    </row>
    <row r="526">
      <c r="B526" s="11">
        <f>IFERROR(__xludf.DUMMYFUNCTION("""COMPUTED_VALUE"""),45289.0)</f>
        <v>45289</v>
      </c>
      <c r="C526" s="9">
        <f>IFERROR(__xludf.DUMMYFUNCTION("""COMPUTED_VALUE"""),3.88)</f>
        <v>3.88</v>
      </c>
      <c r="E526" s="40">
        <f>IFERROR(__xludf.DUMMYFUNCTION("""COMPUTED_VALUE"""),45289.0)</f>
        <v>45289</v>
      </c>
      <c r="F526" s="9">
        <f>IFERROR(__xludf.DUMMYFUNCTION("""COMPUTED_VALUE"""),3.88)</f>
        <v>3.88</v>
      </c>
      <c r="H526" s="17"/>
      <c r="K526" s="17"/>
      <c r="N526" s="17"/>
    </row>
    <row r="527">
      <c r="B527" s="11">
        <f>IFERROR(__xludf.DUMMYFUNCTION("""COMPUTED_VALUE"""),45288.0)</f>
        <v>45288</v>
      </c>
      <c r="C527" s="9">
        <f>IFERROR(__xludf.DUMMYFUNCTION("""COMPUTED_VALUE"""),3.84)</f>
        <v>3.84</v>
      </c>
      <c r="E527" s="40">
        <f>IFERROR(__xludf.DUMMYFUNCTION("""COMPUTED_VALUE"""),45288.0)</f>
        <v>45288</v>
      </c>
      <c r="F527" s="9">
        <f>IFERROR(__xludf.DUMMYFUNCTION("""COMPUTED_VALUE"""),3.84)</f>
        <v>3.84</v>
      </c>
      <c r="H527" s="17"/>
      <c r="K527" s="17"/>
      <c r="N527" s="17"/>
    </row>
    <row r="528">
      <c r="B528" s="11">
        <f>IFERROR(__xludf.DUMMYFUNCTION("""COMPUTED_VALUE"""),45287.0)</f>
        <v>45287</v>
      </c>
      <c r="C528" s="9">
        <f>IFERROR(__xludf.DUMMYFUNCTION("""COMPUTED_VALUE"""),3.79)</f>
        <v>3.79</v>
      </c>
      <c r="E528" s="40">
        <f>IFERROR(__xludf.DUMMYFUNCTION("""COMPUTED_VALUE"""),45287.0)</f>
        <v>45287</v>
      </c>
      <c r="F528" s="9">
        <f>IFERROR(__xludf.DUMMYFUNCTION("""COMPUTED_VALUE"""),3.79)</f>
        <v>3.79</v>
      </c>
      <c r="H528" s="17"/>
      <c r="K528" s="17"/>
      <c r="N528" s="17"/>
    </row>
    <row r="529">
      <c r="B529" s="11">
        <f>IFERROR(__xludf.DUMMYFUNCTION("""COMPUTED_VALUE"""),45286.0)</f>
        <v>45286</v>
      </c>
      <c r="C529" s="9">
        <f>IFERROR(__xludf.DUMMYFUNCTION("""COMPUTED_VALUE"""),3.89)</f>
        <v>3.89</v>
      </c>
      <c r="E529" s="40">
        <f>IFERROR(__xludf.DUMMYFUNCTION("""COMPUTED_VALUE"""),45286.0)</f>
        <v>45286</v>
      </c>
      <c r="F529" s="9">
        <f>IFERROR(__xludf.DUMMYFUNCTION("""COMPUTED_VALUE"""),3.89)</f>
        <v>3.89</v>
      </c>
      <c r="H529" s="17"/>
      <c r="K529" s="17"/>
      <c r="N529" s="17"/>
    </row>
    <row r="530">
      <c r="B530" s="11">
        <f>IFERROR(__xludf.DUMMYFUNCTION("""COMPUTED_VALUE"""),45285.0)</f>
        <v>45285</v>
      </c>
      <c r="C530" s="9"/>
      <c r="E530" s="40">
        <f>IFERROR(__xludf.DUMMYFUNCTION("""COMPUTED_VALUE"""),45285.0)</f>
        <v>45285</v>
      </c>
      <c r="F530" s="9"/>
      <c r="H530" s="17"/>
      <c r="K530" s="17"/>
      <c r="N530" s="17"/>
    </row>
    <row r="531">
      <c r="B531" s="11">
        <f>IFERROR(__xludf.DUMMYFUNCTION("""COMPUTED_VALUE"""),45282.0)</f>
        <v>45282</v>
      </c>
      <c r="C531" s="9">
        <f>IFERROR(__xludf.DUMMYFUNCTION("""COMPUTED_VALUE"""),3.9)</f>
        <v>3.9</v>
      </c>
      <c r="E531" s="40">
        <f>IFERROR(__xludf.DUMMYFUNCTION("""COMPUTED_VALUE"""),45282.0)</f>
        <v>45282</v>
      </c>
      <c r="F531" s="9">
        <f>IFERROR(__xludf.DUMMYFUNCTION("""COMPUTED_VALUE"""),3.9)</f>
        <v>3.9</v>
      </c>
      <c r="H531" s="17"/>
      <c r="K531" s="17"/>
      <c r="N531" s="17"/>
    </row>
    <row r="532">
      <c r="B532" s="11">
        <f>IFERROR(__xludf.DUMMYFUNCTION("""COMPUTED_VALUE"""),45281.0)</f>
        <v>45281</v>
      </c>
      <c r="C532" s="9">
        <f>IFERROR(__xludf.DUMMYFUNCTION("""COMPUTED_VALUE"""),3.89)</f>
        <v>3.89</v>
      </c>
      <c r="E532" s="40">
        <f>IFERROR(__xludf.DUMMYFUNCTION("""COMPUTED_VALUE"""),45281.0)</f>
        <v>45281</v>
      </c>
      <c r="F532" s="9">
        <f>IFERROR(__xludf.DUMMYFUNCTION("""COMPUTED_VALUE"""),3.89)</f>
        <v>3.89</v>
      </c>
      <c r="H532" s="17"/>
      <c r="K532" s="17"/>
      <c r="N532" s="17"/>
    </row>
    <row r="533">
      <c r="B533" s="11">
        <f>IFERROR(__xludf.DUMMYFUNCTION("""COMPUTED_VALUE"""),45280.0)</f>
        <v>45280</v>
      </c>
      <c r="C533" s="9">
        <f>IFERROR(__xludf.DUMMYFUNCTION("""COMPUTED_VALUE"""),3.86)</f>
        <v>3.86</v>
      </c>
      <c r="E533" s="40">
        <f>IFERROR(__xludf.DUMMYFUNCTION("""COMPUTED_VALUE"""),45280.0)</f>
        <v>45280</v>
      </c>
      <c r="F533" s="9">
        <f>IFERROR(__xludf.DUMMYFUNCTION("""COMPUTED_VALUE"""),3.86)</f>
        <v>3.86</v>
      </c>
      <c r="H533" s="17"/>
      <c r="K533" s="17"/>
      <c r="N533" s="17"/>
    </row>
    <row r="534">
      <c r="B534" s="11">
        <f>IFERROR(__xludf.DUMMYFUNCTION("""COMPUTED_VALUE"""),45279.0)</f>
        <v>45279</v>
      </c>
      <c r="C534" s="9">
        <f>IFERROR(__xludf.DUMMYFUNCTION("""COMPUTED_VALUE"""),3.93)</f>
        <v>3.93</v>
      </c>
      <c r="E534" s="40">
        <f>IFERROR(__xludf.DUMMYFUNCTION("""COMPUTED_VALUE"""),45279.0)</f>
        <v>45279</v>
      </c>
      <c r="F534" s="9">
        <f>IFERROR(__xludf.DUMMYFUNCTION("""COMPUTED_VALUE"""),3.93)</f>
        <v>3.93</v>
      </c>
      <c r="H534" s="17"/>
      <c r="K534" s="17"/>
      <c r="N534" s="17"/>
    </row>
    <row r="535">
      <c r="B535" s="11">
        <f>IFERROR(__xludf.DUMMYFUNCTION("""COMPUTED_VALUE"""),45278.0)</f>
        <v>45278</v>
      </c>
      <c r="C535" s="9">
        <f>IFERROR(__xludf.DUMMYFUNCTION("""COMPUTED_VALUE"""),3.95)</f>
        <v>3.95</v>
      </c>
      <c r="E535" s="40">
        <f>IFERROR(__xludf.DUMMYFUNCTION("""COMPUTED_VALUE"""),45278.0)</f>
        <v>45278</v>
      </c>
      <c r="F535" s="9">
        <f>IFERROR(__xludf.DUMMYFUNCTION("""COMPUTED_VALUE"""),3.95)</f>
        <v>3.95</v>
      </c>
      <c r="H535" s="17"/>
      <c r="K535" s="17"/>
      <c r="N535" s="17"/>
    </row>
    <row r="536">
      <c r="B536" s="11">
        <f>IFERROR(__xludf.DUMMYFUNCTION("""COMPUTED_VALUE"""),45275.0)</f>
        <v>45275</v>
      </c>
      <c r="C536" s="9">
        <f>IFERROR(__xludf.DUMMYFUNCTION("""COMPUTED_VALUE"""),3.91)</f>
        <v>3.91</v>
      </c>
      <c r="E536" s="40">
        <f>IFERROR(__xludf.DUMMYFUNCTION("""COMPUTED_VALUE"""),45275.0)</f>
        <v>45275</v>
      </c>
      <c r="F536" s="9">
        <f>IFERROR(__xludf.DUMMYFUNCTION("""COMPUTED_VALUE"""),3.91)</f>
        <v>3.91</v>
      </c>
      <c r="H536" s="17"/>
      <c r="K536" s="17"/>
      <c r="N536" s="17"/>
    </row>
    <row r="537">
      <c r="B537" s="11">
        <f>IFERROR(__xludf.DUMMYFUNCTION("""COMPUTED_VALUE"""),45274.0)</f>
        <v>45274</v>
      </c>
      <c r="C537" s="9">
        <f>IFERROR(__xludf.DUMMYFUNCTION("""COMPUTED_VALUE"""),3.92)</f>
        <v>3.92</v>
      </c>
      <c r="E537" s="40">
        <f>IFERROR(__xludf.DUMMYFUNCTION("""COMPUTED_VALUE"""),45274.0)</f>
        <v>45274</v>
      </c>
      <c r="F537" s="9">
        <f>IFERROR(__xludf.DUMMYFUNCTION("""COMPUTED_VALUE"""),3.92)</f>
        <v>3.92</v>
      </c>
      <c r="H537" s="17"/>
      <c r="K537" s="17"/>
      <c r="N537" s="17"/>
    </row>
    <row r="538">
      <c r="B538" s="11">
        <f>IFERROR(__xludf.DUMMYFUNCTION("""COMPUTED_VALUE"""),45273.0)</f>
        <v>45273</v>
      </c>
      <c r="C538" s="9">
        <f>IFERROR(__xludf.DUMMYFUNCTION("""COMPUTED_VALUE"""),4.04)</f>
        <v>4.04</v>
      </c>
      <c r="E538" s="40">
        <f>IFERROR(__xludf.DUMMYFUNCTION("""COMPUTED_VALUE"""),45273.0)</f>
        <v>45273</v>
      </c>
      <c r="F538" s="9">
        <f>IFERROR(__xludf.DUMMYFUNCTION("""COMPUTED_VALUE"""),4.04)</f>
        <v>4.04</v>
      </c>
      <c r="H538" s="17"/>
      <c r="K538" s="17"/>
      <c r="N538" s="17"/>
    </row>
    <row r="539">
      <c r="B539" s="11">
        <f>IFERROR(__xludf.DUMMYFUNCTION("""COMPUTED_VALUE"""),45272.0)</f>
        <v>45272</v>
      </c>
      <c r="C539" s="9">
        <f>IFERROR(__xludf.DUMMYFUNCTION("""COMPUTED_VALUE"""),4.2)</f>
        <v>4.2</v>
      </c>
      <c r="E539" s="40">
        <f>IFERROR(__xludf.DUMMYFUNCTION("""COMPUTED_VALUE"""),45272.0)</f>
        <v>45272</v>
      </c>
      <c r="F539" s="9">
        <f>IFERROR(__xludf.DUMMYFUNCTION("""COMPUTED_VALUE"""),4.2)</f>
        <v>4.2</v>
      </c>
      <c r="H539" s="17"/>
      <c r="K539" s="17"/>
      <c r="N539" s="17"/>
    </row>
    <row r="540">
      <c r="B540" s="11">
        <f>IFERROR(__xludf.DUMMYFUNCTION("""COMPUTED_VALUE"""),45271.0)</f>
        <v>45271</v>
      </c>
      <c r="C540" s="9">
        <f>IFERROR(__xludf.DUMMYFUNCTION("""COMPUTED_VALUE"""),4.23)</f>
        <v>4.23</v>
      </c>
      <c r="E540" s="40">
        <f>IFERROR(__xludf.DUMMYFUNCTION("""COMPUTED_VALUE"""),45271.0)</f>
        <v>45271</v>
      </c>
      <c r="F540" s="9">
        <f>IFERROR(__xludf.DUMMYFUNCTION("""COMPUTED_VALUE"""),4.23)</f>
        <v>4.23</v>
      </c>
      <c r="H540" s="17"/>
      <c r="K540" s="17"/>
      <c r="N540" s="17"/>
    </row>
    <row r="541">
      <c r="B541" s="11">
        <f>IFERROR(__xludf.DUMMYFUNCTION("""COMPUTED_VALUE"""),45268.0)</f>
        <v>45268</v>
      </c>
      <c r="C541" s="9">
        <f>IFERROR(__xludf.DUMMYFUNCTION("""COMPUTED_VALUE"""),4.23)</f>
        <v>4.23</v>
      </c>
      <c r="E541" s="40">
        <f>IFERROR(__xludf.DUMMYFUNCTION("""COMPUTED_VALUE"""),45268.0)</f>
        <v>45268</v>
      </c>
      <c r="F541" s="9">
        <f>IFERROR(__xludf.DUMMYFUNCTION("""COMPUTED_VALUE"""),4.23)</f>
        <v>4.23</v>
      </c>
      <c r="H541" s="17"/>
      <c r="K541" s="17"/>
      <c r="N541" s="17"/>
    </row>
    <row r="542">
      <c r="B542" s="11">
        <f>IFERROR(__xludf.DUMMYFUNCTION("""COMPUTED_VALUE"""),45267.0)</f>
        <v>45267</v>
      </c>
      <c r="C542" s="9">
        <f>IFERROR(__xludf.DUMMYFUNCTION("""COMPUTED_VALUE"""),4.14)</f>
        <v>4.14</v>
      </c>
      <c r="E542" s="40">
        <f>IFERROR(__xludf.DUMMYFUNCTION("""COMPUTED_VALUE"""),45267.0)</f>
        <v>45267</v>
      </c>
      <c r="F542" s="9">
        <f>IFERROR(__xludf.DUMMYFUNCTION("""COMPUTED_VALUE"""),4.14)</f>
        <v>4.14</v>
      </c>
      <c r="H542" s="17"/>
      <c r="K542" s="17"/>
      <c r="N542" s="17"/>
    </row>
    <row r="543">
      <c r="B543" s="11">
        <f>IFERROR(__xludf.DUMMYFUNCTION("""COMPUTED_VALUE"""),45266.0)</f>
        <v>45266</v>
      </c>
      <c r="C543" s="9">
        <f>IFERROR(__xludf.DUMMYFUNCTION("""COMPUTED_VALUE"""),4.12)</f>
        <v>4.12</v>
      </c>
      <c r="E543" s="40">
        <f>IFERROR(__xludf.DUMMYFUNCTION("""COMPUTED_VALUE"""),45266.0)</f>
        <v>45266</v>
      </c>
      <c r="F543" s="9">
        <f>IFERROR(__xludf.DUMMYFUNCTION("""COMPUTED_VALUE"""),4.12)</f>
        <v>4.12</v>
      </c>
      <c r="H543" s="17"/>
      <c r="K543" s="17"/>
      <c r="N543" s="17"/>
    </row>
    <row r="544">
      <c r="B544" s="11">
        <f>IFERROR(__xludf.DUMMYFUNCTION("""COMPUTED_VALUE"""),45265.0)</f>
        <v>45265</v>
      </c>
      <c r="C544" s="9">
        <f>IFERROR(__xludf.DUMMYFUNCTION("""COMPUTED_VALUE"""),4.18)</f>
        <v>4.18</v>
      </c>
      <c r="E544" s="40">
        <f>IFERROR(__xludf.DUMMYFUNCTION("""COMPUTED_VALUE"""),45265.0)</f>
        <v>45265</v>
      </c>
      <c r="F544" s="9">
        <f>IFERROR(__xludf.DUMMYFUNCTION("""COMPUTED_VALUE"""),4.18)</f>
        <v>4.18</v>
      </c>
      <c r="H544" s="17"/>
      <c r="K544" s="17"/>
      <c r="N544" s="17"/>
    </row>
    <row r="545">
      <c r="B545" s="11">
        <f>IFERROR(__xludf.DUMMYFUNCTION("""COMPUTED_VALUE"""),45264.0)</f>
        <v>45264</v>
      </c>
      <c r="C545" s="9">
        <f>IFERROR(__xludf.DUMMYFUNCTION("""COMPUTED_VALUE"""),4.28)</f>
        <v>4.28</v>
      </c>
      <c r="E545" s="40">
        <f>IFERROR(__xludf.DUMMYFUNCTION("""COMPUTED_VALUE"""),45264.0)</f>
        <v>45264</v>
      </c>
      <c r="F545" s="9">
        <f>IFERROR(__xludf.DUMMYFUNCTION("""COMPUTED_VALUE"""),4.28)</f>
        <v>4.28</v>
      </c>
      <c r="H545" s="17"/>
      <c r="K545" s="17"/>
      <c r="N545" s="17"/>
    </row>
    <row r="546">
      <c r="B546" s="11">
        <f>IFERROR(__xludf.DUMMYFUNCTION("""COMPUTED_VALUE"""),45261.0)</f>
        <v>45261</v>
      </c>
      <c r="C546" s="9">
        <f>IFERROR(__xludf.DUMMYFUNCTION("""COMPUTED_VALUE"""),4.22)</f>
        <v>4.22</v>
      </c>
      <c r="E546" s="40">
        <f>IFERROR(__xludf.DUMMYFUNCTION("""COMPUTED_VALUE"""),45261.0)</f>
        <v>45261</v>
      </c>
      <c r="F546" s="9">
        <f>IFERROR(__xludf.DUMMYFUNCTION("""COMPUTED_VALUE"""),4.22)</f>
        <v>4.22</v>
      </c>
      <c r="H546" s="17"/>
      <c r="K546" s="17"/>
      <c r="N546" s="17"/>
    </row>
    <row r="547">
      <c r="B547" s="11">
        <f>IFERROR(__xludf.DUMMYFUNCTION("""COMPUTED_VALUE"""),45260.0)</f>
        <v>45260</v>
      </c>
      <c r="C547" s="9">
        <f>IFERROR(__xludf.DUMMYFUNCTION("""COMPUTED_VALUE"""),4.37)</f>
        <v>4.37</v>
      </c>
      <c r="E547" s="40">
        <f>IFERROR(__xludf.DUMMYFUNCTION("""COMPUTED_VALUE"""),45260.0)</f>
        <v>45260</v>
      </c>
      <c r="F547" s="9">
        <f>IFERROR(__xludf.DUMMYFUNCTION("""COMPUTED_VALUE"""),4.37)</f>
        <v>4.37</v>
      </c>
      <c r="H547" s="17"/>
      <c r="K547" s="17"/>
      <c r="N547" s="17"/>
    </row>
    <row r="548">
      <c r="B548" s="11">
        <f>IFERROR(__xludf.DUMMYFUNCTION("""COMPUTED_VALUE"""),45259.0)</f>
        <v>45259</v>
      </c>
      <c r="C548" s="9">
        <f>IFERROR(__xludf.DUMMYFUNCTION("""COMPUTED_VALUE"""),4.27)</f>
        <v>4.27</v>
      </c>
      <c r="E548" s="40">
        <f>IFERROR(__xludf.DUMMYFUNCTION("""COMPUTED_VALUE"""),45259.0)</f>
        <v>45259</v>
      </c>
      <c r="F548" s="9">
        <f>IFERROR(__xludf.DUMMYFUNCTION("""COMPUTED_VALUE"""),4.27)</f>
        <v>4.27</v>
      </c>
      <c r="H548" s="17"/>
      <c r="K548" s="17"/>
      <c r="N548" s="17"/>
    </row>
    <row r="549">
      <c r="B549" s="11">
        <f>IFERROR(__xludf.DUMMYFUNCTION("""COMPUTED_VALUE"""),45258.0)</f>
        <v>45258</v>
      </c>
      <c r="C549" s="9">
        <f>IFERROR(__xludf.DUMMYFUNCTION("""COMPUTED_VALUE"""),4.34)</f>
        <v>4.34</v>
      </c>
      <c r="E549" s="40">
        <f>IFERROR(__xludf.DUMMYFUNCTION("""COMPUTED_VALUE"""),45258.0)</f>
        <v>45258</v>
      </c>
      <c r="F549" s="9">
        <f>IFERROR(__xludf.DUMMYFUNCTION("""COMPUTED_VALUE"""),4.34)</f>
        <v>4.34</v>
      </c>
      <c r="H549" s="17"/>
      <c r="K549" s="17"/>
      <c r="N549" s="17"/>
    </row>
    <row r="550">
      <c r="B550" s="11">
        <f>IFERROR(__xludf.DUMMYFUNCTION("""COMPUTED_VALUE"""),45257.0)</f>
        <v>45257</v>
      </c>
      <c r="C550" s="9">
        <f>IFERROR(__xludf.DUMMYFUNCTION("""COMPUTED_VALUE"""),4.39)</f>
        <v>4.39</v>
      </c>
      <c r="E550" s="40">
        <f>IFERROR(__xludf.DUMMYFUNCTION("""COMPUTED_VALUE"""),45257.0)</f>
        <v>45257</v>
      </c>
      <c r="F550" s="9">
        <f>IFERROR(__xludf.DUMMYFUNCTION("""COMPUTED_VALUE"""),4.39)</f>
        <v>4.39</v>
      </c>
      <c r="H550" s="17"/>
      <c r="K550" s="17"/>
      <c r="N550" s="17"/>
    </row>
    <row r="551">
      <c r="B551" s="11">
        <f>IFERROR(__xludf.DUMMYFUNCTION("""COMPUTED_VALUE"""),45254.0)</f>
        <v>45254</v>
      </c>
      <c r="C551" s="9">
        <f>IFERROR(__xludf.DUMMYFUNCTION("""COMPUTED_VALUE"""),4.47)</f>
        <v>4.47</v>
      </c>
      <c r="E551" s="40">
        <f>IFERROR(__xludf.DUMMYFUNCTION("""COMPUTED_VALUE"""),45254.0)</f>
        <v>45254</v>
      </c>
      <c r="F551" s="9">
        <f>IFERROR(__xludf.DUMMYFUNCTION("""COMPUTED_VALUE"""),4.47)</f>
        <v>4.47</v>
      </c>
      <c r="H551" s="17"/>
      <c r="K551" s="17"/>
      <c r="N551" s="17"/>
    </row>
    <row r="552">
      <c r="B552" s="11">
        <f>IFERROR(__xludf.DUMMYFUNCTION("""COMPUTED_VALUE"""),45253.0)</f>
        <v>45253</v>
      </c>
      <c r="C552" s="9"/>
      <c r="E552" s="40">
        <f>IFERROR(__xludf.DUMMYFUNCTION("""COMPUTED_VALUE"""),45253.0)</f>
        <v>45253</v>
      </c>
      <c r="F552" s="9"/>
      <c r="H552" s="17"/>
      <c r="K552" s="17"/>
      <c r="N552" s="17"/>
    </row>
    <row r="553">
      <c r="B553" s="11">
        <f>IFERROR(__xludf.DUMMYFUNCTION("""COMPUTED_VALUE"""),45252.0)</f>
        <v>45252</v>
      </c>
      <c r="C553" s="9">
        <f>IFERROR(__xludf.DUMMYFUNCTION("""COMPUTED_VALUE"""),4.42)</f>
        <v>4.42</v>
      </c>
      <c r="E553" s="40">
        <f>IFERROR(__xludf.DUMMYFUNCTION("""COMPUTED_VALUE"""),45252.0)</f>
        <v>45252</v>
      </c>
      <c r="F553" s="9">
        <f>IFERROR(__xludf.DUMMYFUNCTION("""COMPUTED_VALUE"""),4.42)</f>
        <v>4.42</v>
      </c>
      <c r="H553" s="17"/>
      <c r="K553" s="17"/>
      <c r="N553" s="17"/>
    </row>
    <row r="554">
      <c r="B554" s="11">
        <f>IFERROR(__xludf.DUMMYFUNCTION("""COMPUTED_VALUE"""),45251.0)</f>
        <v>45251</v>
      </c>
      <c r="C554" s="9">
        <f>IFERROR(__xludf.DUMMYFUNCTION("""COMPUTED_VALUE"""),4.41)</f>
        <v>4.41</v>
      </c>
      <c r="E554" s="40">
        <f>IFERROR(__xludf.DUMMYFUNCTION("""COMPUTED_VALUE"""),45251.0)</f>
        <v>45251</v>
      </c>
      <c r="F554" s="9">
        <f>IFERROR(__xludf.DUMMYFUNCTION("""COMPUTED_VALUE"""),4.41)</f>
        <v>4.41</v>
      </c>
      <c r="H554" s="17"/>
      <c r="K554" s="17"/>
      <c r="N554" s="17"/>
    </row>
    <row r="555">
      <c r="B555" s="11">
        <f>IFERROR(__xludf.DUMMYFUNCTION("""COMPUTED_VALUE"""),45250.0)</f>
        <v>45250</v>
      </c>
      <c r="C555" s="9">
        <f>IFERROR(__xludf.DUMMYFUNCTION("""COMPUTED_VALUE"""),4.42)</f>
        <v>4.42</v>
      </c>
      <c r="E555" s="40">
        <f>IFERROR(__xludf.DUMMYFUNCTION("""COMPUTED_VALUE"""),45250.0)</f>
        <v>45250</v>
      </c>
      <c r="F555" s="9">
        <f>IFERROR(__xludf.DUMMYFUNCTION("""COMPUTED_VALUE"""),4.42)</f>
        <v>4.42</v>
      </c>
      <c r="H555" s="17"/>
      <c r="K555" s="17"/>
      <c r="N555" s="17"/>
    </row>
    <row r="556">
      <c r="B556" s="11">
        <f>IFERROR(__xludf.DUMMYFUNCTION("""COMPUTED_VALUE"""),45247.0)</f>
        <v>45247</v>
      </c>
      <c r="C556" s="9">
        <f>IFERROR(__xludf.DUMMYFUNCTION("""COMPUTED_VALUE"""),4.44)</f>
        <v>4.44</v>
      </c>
      <c r="E556" s="40">
        <f>IFERROR(__xludf.DUMMYFUNCTION("""COMPUTED_VALUE"""),45247.0)</f>
        <v>45247</v>
      </c>
      <c r="F556" s="9">
        <f>IFERROR(__xludf.DUMMYFUNCTION("""COMPUTED_VALUE"""),4.44)</f>
        <v>4.44</v>
      </c>
      <c r="H556" s="17"/>
      <c r="K556" s="17"/>
      <c r="N556" s="17"/>
    </row>
    <row r="557">
      <c r="B557" s="11">
        <f>IFERROR(__xludf.DUMMYFUNCTION("""COMPUTED_VALUE"""),45246.0)</f>
        <v>45246</v>
      </c>
      <c r="C557" s="9">
        <f>IFERROR(__xludf.DUMMYFUNCTION("""COMPUTED_VALUE"""),4.45)</f>
        <v>4.45</v>
      </c>
      <c r="E557" s="40">
        <f>IFERROR(__xludf.DUMMYFUNCTION("""COMPUTED_VALUE"""),45246.0)</f>
        <v>45246</v>
      </c>
      <c r="F557" s="9">
        <f>IFERROR(__xludf.DUMMYFUNCTION("""COMPUTED_VALUE"""),4.45)</f>
        <v>4.45</v>
      </c>
      <c r="H557" s="17"/>
      <c r="K557" s="17"/>
      <c r="N557" s="17"/>
    </row>
    <row r="558">
      <c r="B558" s="11">
        <f>IFERROR(__xludf.DUMMYFUNCTION("""COMPUTED_VALUE"""),45245.0)</f>
        <v>45245</v>
      </c>
      <c r="C558" s="9">
        <f>IFERROR(__xludf.DUMMYFUNCTION("""COMPUTED_VALUE"""),4.53)</f>
        <v>4.53</v>
      </c>
      <c r="E558" s="40">
        <f>IFERROR(__xludf.DUMMYFUNCTION("""COMPUTED_VALUE"""),45245.0)</f>
        <v>45245</v>
      </c>
      <c r="F558" s="9">
        <f>IFERROR(__xludf.DUMMYFUNCTION("""COMPUTED_VALUE"""),4.53)</f>
        <v>4.53</v>
      </c>
      <c r="H558" s="17"/>
      <c r="K558" s="17"/>
      <c r="N558" s="17"/>
    </row>
    <row r="559">
      <c r="B559" s="11">
        <f>IFERROR(__xludf.DUMMYFUNCTION("""COMPUTED_VALUE"""),45244.0)</f>
        <v>45244</v>
      </c>
      <c r="C559" s="9">
        <f>IFERROR(__xludf.DUMMYFUNCTION("""COMPUTED_VALUE"""),4.44)</f>
        <v>4.44</v>
      </c>
      <c r="E559" s="40">
        <f>IFERROR(__xludf.DUMMYFUNCTION("""COMPUTED_VALUE"""),45244.0)</f>
        <v>45244</v>
      </c>
      <c r="F559" s="9">
        <f>IFERROR(__xludf.DUMMYFUNCTION("""COMPUTED_VALUE"""),4.44)</f>
        <v>4.44</v>
      </c>
      <c r="H559" s="17"/>
      <c r="K559" s="17"/>
      <c r="N559" s="17"/>
    </row>
    <row r="560">
      <c r="B560" s="11">
        <f>IFERROR(__xludf.DUMMYFUNCTION("""COMPUTED_VALUE"""),45243.0)</f>
        <v>45243</v>
      </c>
      <c r="C560" s="9">
        <f>IFERROR(__xludf.DUMMYFUNCTION("""COMPUTED_VALUE"""),4.63)</f>
        <v>4.63</v>
      </c>
      <c r="E560" s="40">
        <f>IFERROR(__xludf.DUMMYFUNCTION("""COMPUTED_VALUE"""),45243.0)</f>
        <v>45243</v>
      </c>
      <c r="F560" s="9">
        <f>IFERROR(__xludf.DUMMYFUNCTION("""COMPUTED_VALUE"""),4.63)</f>
        <v>4.63</v>
      </c>
      <c r="H560" s="17"/>
      <c r="K560" s="17"/>
      <c r="N560" s="17"/>
    </row>
    <row r="561">
      <c r="B561" s="11">
        <f>IFERROR(__xludf.DUMMYFUNCTION("""COMPUTED_VALUE"""),45240.0)</f>
        <v>45240</v>
      </c>
      <c r="C561" s="9">
        <f>IFERROR(__xludf.DUMMYFUNCTION("""COMPUTED_VALUE"""),4.61)</f>
        <v>4.61</v>
      </c>
      <c r="E561" s="40">
        <f>IFERROR(__xludf.DUMMYFUNCTION("""COMPUTED_VALUE"""),45240.0)</f>
        <v>45240</v>
      </c>
      <c r="F561" s="9">
        <f>IFERROR(__xludf.DUMMYFUNCTION("""COMPUTED_VALUE"""),4.61)</f>
        <v>4.61</v>
      </c>
      <c r="H561" s="17"/>
      <c r="K561" s="17"/>
      <c r="N561" s="17"/>
    </row>
    <row r="562">
      <c r="B562" s="11">
        <f>IFERROR(__xludf.DUMMYFUNCTION("""COMPUTED_VALUE"""),45239.0)</f>
        <v>45239</v>
      </c>
      <c r="C562" s="9">
        <f>IFERROR(__xludf.DUMMYFUNCTION("""COMPUTED_VALUE"""),4.62)</f>
        <v>4.62</v>
      </c>
      <c r="E562" s="40">
        <f>IFERROR(__xludf.DUMMYFUNCTION("""COMPUTED_VALUE"""),45239.0)</f>
        <v>45239</v>
      </c>
      <c r="F562" s="9">
        <f>IFERROR(__xludf.DUMMYFUNCTION("""COMPUTED_VALUE"""),4.62)</f>
        <v>4.62</v>
      </c>
      <c r="H562" s="17"/>
      <c r="K562" s="17"/>
      <c r="N562" s="17"/>
    </row>
    <row r="563">
      <c r="B563" s="11">
        <f>IFERROR(__xludf.DUMMYFUNCTION("""COMPUTED_VALUE"""),45238.0)</f>
        <v>45238</v>
      </c>
      <c r="C563" s="9">
        <f>IFERROR(__xludf.DUMMYFUNCTION("""COMPUTED_VALUE"""),4.49)</f>
        <v>4.49</v>
      </c>
      <c r="E563" s="40">
        <f>IFERROR(__xludf.DUMMYFUNCTION("""COMPUTED_VALUE"""),45238.0)</f>
        <v>45238</v>
      </c>
      <c r="F563" s="9">
        <f>IFERROR(__xludf.DUMMYFUNCTION("""COMPUTED_VALUE"""),4.49)</f>
        <v>4.49</v>
      </c>
      <c r="H563" s="17"/>
      <c r="K563" s="17"/>
      <c r="N563" s="17"/>
    </row>
    <row r="564">
      <c r="B564" s="11">
        <f>IFERROR(__xludf.DUMMYFUNCTION("""COMPUTED_VALUE"""),45237.0)</f>
        <v>45237</v>
      </c>
      <c r="C564" s="9">
        <f>IFERROR(__xludf.DUMMYFUNCTION("""COMPUTED_VALUE"""),4.58)</f>
        <v>4.58</v>
      </c>
      <c r="E564" s="40">
        <f>IFERROR(__xludf.DUMMYFUNCTION("""COMPUTED_VALUE"""),45237.0)</f>
        <v>45237</v>
      </c>
      <c r="F564" s="9">
        <f>IFERROR(__xludf.DUMMYFUNCTION("""COMPUTED_VALUE"""),4.58)</f>
        <v>4.58</v>
      </c>
      <c r="H564" s="17"/>
      <c r="K564" s="17"/>
      <c r="N564" s="17"/>
    </row>
    <row r="565">
      <c r="B565" s="11">
        <f>IFERROR(__xludf.DUMMYFUNCTION("""COMPUTED_VALUE"""),45236.0)</f>
        <v>45236</v>
      </c>
      <c r="C565" s="9">
        <f>IFERROR(__xludf.DUMMYFUNCTION("""COMPUTED_VALUE"""),4.67)</f>
        <v>4.67</v>
      </c>
      <c r="E565" s="40">
        <f>IFERROR(__xludf.DUMMYFUNCTION("""COMPUTED_VALUE"""),45236.0)</f>
        <v>45236</v>
      </c>
      <c r="F565" s="9">
        <f>IFERROR(__xludf.DUMMYFUNCTION("""COMPUTED_VALUE"""),4.67)</f>
        <v>4.67</v>
      </c>
      <c r="H565" s="17"/>
      <c r="K565" s="17"/>
      <c r="N565" s="17"/>
    </row>
    <row r="566">
      <c r="B566" s="11">
        <f>IFERROR(__xludf.DUMMYFUNCTION("""COMPUTED_VALUE"""),45233.0)</f>
        <v>45233</v>
      </c>
      <c r="C566" s="9">
        <f>IFERROR(__xludf.DUMMYFUNCTION("""COMPUTED_VALUE"""),4.57)</f>
        <v>4.57</v>
      </c>
      <c r="E566" s="40">
        <f>IFERROR(__xludf.DUMMYFUNCTION("""COMPUTED_VALUE"""),45233.0)</f>
        <v>45233</v>
      </c>
      <c r="F566" s="9">
        <f>IFERROR(__xludf.DUMMYFUNCTION("""COMPUTED_VALUE"""),4.57)</f>
        <v>4.57</v>
      </c>
      <c r="H566" s="17"/>
      <c r="K566" s="17"/>
      <c r="N566" s="17"/>
    </row>
    <row r="567">
      <c r="B567" s="11">
        <f>IFERROR(__xludf.DUMMYFUNCTION("""COMPUTED_VALUE"""),45232.0)</f>
        <v>45232</v>
      </c>
      <c r="C567" s="9">
        <f>IFERROR(__xludf.DUMMYFUNCTION("""COMPUTED_VALUE"""),4.67)</f>
        <v>4.67</v>
      </c>
      <c r="E567" s="40">
        <f>IFERROR(__xludf.DUMMYFUNCTION("""COMPUTED_VALUE"""),45232.0)</f>
        <v>45232</v>
      </c>
      <c r="F567" s="9">
        <f>IFERROR(__xludf.DUMMYFUNCTION("""COMPUTED_VALUE"""),4.67)</f>
        <v>4.67</v>
      </c>
      <c r="H567" s="17"/>
      <c r="K567" s="17"/>
      <c r="N567" s="17"/>
    </row>
    <row r="568">
      <c r="B568" s="11">
        <f>IFERROR(__xludf.DUMMYFUNCTION("""COMPUTED_VALUE"""),45231.0)</f>
        <v>45231</v>
      </c>
      <c r="C568" s="9">
        <f>IFERROR(__xludf.DUMMYFUNCTION("""COMPUTED_VALUE"""),4.77)</f>
        <v>4.77</v>
      </c>
      <c r="E568" s="40">
        <f>IFERROR(__xludf.DUMMYFUNCTION("""COMPUTED_VALUE"""),45231.0)</f>
        <v>45231</v>
      </c>
      <c r="F568" s="9">
        <f>IFERROR(__xludf.DUMMYFUNCTION("""COMPUTED_VALUE"""),4.77)</f>
        <v>4.77</v>
      </c>
      <c r="H568" s="17"/>
      <c r="K568" s="17"/>
      <c r="N568" s="17"/>
    </row>
    <row r="569">
      <c r="B569" s="11">
        <f>IFERROR(__xludf.DUMMYFUNCTION("""COMPUTED_VALUE"""),45230.0)</f>
        <v>45230</v>
      </c>
      <c r="C569" s="9">
        <f>IFERROR(__xludf.DUMMYFUNCTION("""COMPUTED_VALUE"""),4.88)</f>
        <v>4.88</v>
      </c>
      <c r="E569" s="40">
        <f>IFERROR(__xludf.DUMMYFUNCTION("""COMPUTED_VALUE"""),45230.0)</f>
        <v>45230</v>
      </c>
      <c r="F569" s="9">
        <f>IFERROR(__xludf.DUMMYFUNCTION("""COMPUTED_VALUE"""),4.88)</f>
        <v>4.88</v>
      </c>
      <c r="H569" s="17"/>
      <c r="K569" s="17"/>
      <c r="N569" s="17"/>
    </row>
    <row r="570">
      <c r="B570" s="11">
        <f>IFERROR(__xludf.DUMMYFUNCTION("""COMPUTED_VALUE"""),45229.0)</f>
        <v>45229</v>
      </c>
      <c r="C570" s="9">
        <f>IFERROR(__xludf.DUMMYFUNCTION("""COMPUTED_VALUE"""),4.88)</f>
        <v>4.88</v>
      </c>
      <c r="E570" s="40">
        <f>IFERROR(__xludf.DUMMYFUNCTION("""COMPUTED_VALUE"""),45229.0)</f>
        <v>45229</v>
      </c>
      <c r="F570" s="9">
        <f>IFERROR(__xludf.DUMMYFUNCTION("""COMPUTED_VALUE"""),4.88)</f>
        <v>4.88</v>
      </c>
      <c r="H570" s="17"/>
      <c r="K570" s="17"/>
      <c r="N570" s="17"/>
    </row>
    <row r="571">
      <c r="B571" s="11">
        <f>IFERROR(__xludf.DUMMYFUNCTION("""COMPUTED_VALUE"""),45226.0)</f>
        <v>45226</v>
      </c>
      <c r="C571" s="9">
        <f>IFERROR(__xludf.DUMMYFUNCTION("""COMPUTED_VALUE"""),4.84)</f>
        <v>4.84</v>
      </c>
      <c r="E571" s="40">
        <f>IFERROR(__xludf.DUMMYFUNCTION("""COMPUTED_VALUE"""),45226.0)</f>
        <v>45226</v>
      </c>
      <c r="F571" s="9">
        <f>IFERROR(__xludf.DUMMYFUNCTION("""COMPUTED_VALUE"""),4.84)</f>
        <v>4.84</v>
      </c>
      <c r="H571" s="17"/>
      <c r="K571" s="17"/>
      <c r="N571" s="17"/>
    </row>
    <row r="572">
      <c r="B572" s="11">
        <f>IFERROR(__xludf.DUMMYFUNCTION("""COMPUTED_VALUE"""),45225.0)</f>
        <v>45225</v>
      </c>
      <c r="C572" s="9">
        <f>IFERROR(__xludf.DUMMYFUNCTION("""COMPUTED_VALUE"""),4.86)</f>
        <v>4.86</v>
      </c>
      <c r="E572" s="40">
        <f>IFERROR(__xludf.DUMMYFUNCTION("""COMPUTED_VALUE"""),45225.0)</f>
        <v>45225</v>
      </c>
      <c r="F572" s="9">
        <f>IFERROR(__xludf.DUMMYFUNCTION("""COMPUTED_VALUE"""),4.86)</f>
        <v>4.86</v>
      </c>
      <c r="H572" s="17"/>
      <c r="K572" s="17"/>
      <c r="N572" s="17"/>
    </row>
    <row r="573">
      <c r="B573" s="11">
        <f>IFERROR(__xludf.DUMMYFUNCTION("""COMPUTED_VALUE"""),45224.0)</f>
        <v>45224</v>
      </c>
      <c r="C573" s="9">
        <f>IFERROR(__xludf.DUMMYFUNCTION("""COMPUTED_VALUE"""),4.95)</f>
        <v>4.95</v>
      </c>
      <c r="E573" s="40">
        <f>IFERROR(__xludf.DUMMYFUNCTION("""COMPUTED_VALUE"""),45224.0)</f>
        <v>45224</v>
      </c>
      <c r="F573" s="9">
        <f>IFERROR(__xludf.DUMMYFUNCTION("""COMPUTED_VALUE"""),4.95)</f>
        <v>4.95</v>
      </c>
      <c r="H573" s="17"/>
      <c r="K573" s="17"/>
      <c r="N573" s="17"/>
    </row>
    <row r="574">
      <c r="B574" s="11">
        <f>IFERROR(__xludf.DUMMYFUNCTION("""COMPUTED_VALUE"""),45223.0)</f>
        <v>45223</v>
      </c>
      <c r="C574" s="9">
        <f>IFERROR(__xludf.DUMMYFUNCTION("""COMPUTED_VALUE"""),4.83)</f>
        <v>4.83</v>
      </c>
      <c r="E574" s="40">
        <f>IFERROR(__xludf.DUMMYFUNCTION("""COMPUTED_VALUE"""),45223.0)</f>
        <v>45223</v>
      </c>
      <c r="F574" s="9">
        <f>IFERROR(__xludf.DUMMYFUNCTION("""COMPUTED_VALUE"""),4.83)</f>
        <v>4.83</v>
      </c>
      <c r="H574" s="17"/>
      <c r="K574" s="17"/>
      <c r="N574" s="17"/>
    </row>
    <row r="575">
      <c r="B575" s="11">
        <f>IFERROR(__xludf.DUMMYFUNCTION("""COMPUTED_VALUE"""),45222.0)</f>
        <v>45222</v>
      </c>
      <c r="C575" s="9">
        <f>IFERROR(__xludf.DUMMYFUNCTION("""COMPUTED_VALUE"""),4.86)</f>
        <v>4.86</v>
      </c>
      <c r="E575" s="40">
        <f>IFERROR(__xludf.DUMMYFUNCTION("""COMPUTED_VALUE"""),45222.0)</f>
        <v>45222</v>
      </c>
      <c r="F575" s="9">
        <f>IFERROR(__xludf.DUMMYFUNCTION("""COMPUTED_VALUE"""),4.86)</f>
        <v>4.86</v>
      </c>
      <c r="H575" s="17"/>
      <c r="K575" s="17"/>
      <c r="N575" s="17"/>
    </row>
    <row r="576">
      <c r="B576" s="11">
        <f>IFERROR(__xludf.DUMMYFUNCTION("""COMPUTED_VALUE"""),45219.0)</f>
        <v>45219</v>
      </c>
      <c r="C576" s="9">
        <f>IFERROR(__xludf.DUMMYFUNCTION("""COMPUTED_VALUE"""),4.93)</f>
        <v>4.93</v>
      </c>
      <c r="E576" s="40">
        <f>IFERROR(__xludf.DUMMYFUNCTION("""COMPUTED_VALUE"""),45219.0)</f>
        <v>45219</v>
      </c>
      <c r="F576" s="9">
        <f>IFERROR(__xludf.DUMMYFUNCTION("""COMPUTED_VALUE"""),4.93)</f>
        <v>4.93</v>
      </c>
      <c r="H576" s="17"/>
      <c r="K576" s="17"/>
      <c r="N576" s="17"/>
    </row>
    <row r="577">
      <c r="B577" s="11">
        <f>IFERROR(__xludf.DUMMYFUNCTION("""COMPUTED_VALUE"""),45218.0)</f>
        <v>45218</v>
      </c>
      <c r="C577" s="9">
        <f>IFERROR(__xludf.DUMMYFUNCTION("""COMPUTED_VALUE"""),4.98)</f>
        <v>4.98</v>
      </c>
      <c r="E577" s="40">
        <f>IFERROR(__xludf.DUMMYFUNCTION("""COMPUTED_VALUE"""),45218.0)</f>
        <v>45218</v>
      </c>
      <c r="F577" s="9">
        <f>IFERROR(__xludf.DUMMYFUNCTION("""COMPUTED_VALUE"""),4.98)</f>
        <v>4.98</v>
      </c>
      <c r="H577" s="17"/>
      <c r="K577" s="17"/>
      <c r="N577" s="17"/>
    </row>
    <row r="578">
      <c r="B578" s="11">
        <f>IFERROR(__xludf.DUMMYFUNCTION("""COMPUTED_VALUE"""),45217.0)</f>
        <v>45217</v>
      </c>
      <c r="C578" s="9">
        <f>IFERROR(__xludf.DUMMYFUNCTION("""COMPUTED_VALUE"""),4.91)</f>
        <v>4.91</v>
      </c>
      <c r="E578" s="40">
        <f>IFERROR(__xludf.DUMMYFUNCTION("""COMPUTED_VALUE"""),45217.0)</f>
        <v>45217</v>
      </c>
      <c r="F578" s="9">
        <f>IFERROR(__xludf.DUMMYFUNCTION("""COMPUTED_VALUE"""),4.91)</f>
        <v>4.91</v>
      </c>
      <c r="H578" s="17"/>
      <c r="K578" s="17"/>
      <c r="N578" s="17"/>
    </row>
    <row r="579">
      <c r="B579" s="11">
        <f>IFERROR(__xludf.DUMMYFUNCTION("""COMPUTED_VALUE"""),45216.0)</f>
        <v>45216</v>
      </c>
      <c r="C579" s="9">
        <f>IFERROR(__xludf.DUMMYFUNCTION("""COMPUTED_VALUE"""),4.83)</f>
        <v>4.83</v>
      </c>
      <c r="E579" s="40">
        <f>IFERROR(__xludf.DUMMYFUNCTION("""COMPUTED_VALUE"""),45216.0)</f>
        <v>45216</v>
      </c>
      <c r="F579" s="9">
        <f>IFERROR(__xludf.DUMMYFUNCTION("""COMPUTED_VALUE"""),4.83)</f>
        <v>4.83</v>
      </c>
      <c r="H579" s="17"/>
      <c r="K579" s="17"/>
      <c r="N579" s="17"/>
    </row>
    <row r="580">
      <c r="B580" s="11">
        <f>IFERROR(__xludf.DUMMYFUNCTION("""COMPUTED_VALUE"""),45215.0)</f>
        <v>45215</v>
      </c>
      <c r="C580" s="9">
        <f>IFERROR(__xludf.DUMMYFUNCTION("""COMPUTED_VALUE"""),4.71)</f>
        <v>4.71</v>
      </c>
      <c r="E580" s="40">
        <f>IFERROR(__xludf.DUMMYFUNCTION("""COMPUTED_VALUE"""),45215.0)</f>
        <v>45215</v>
      </c>
      <c r="F580" s="9">
        <f>IFERROR(__xludf.DUMMYFUNCTION("""COMPUTED_VALUE"""),4.71)</f>
        <v>4.71</v>
      </c>
      <c r="H580" s="17"/>
      <c r="K580" s="17"/>
      <c r="N580" s="17"/>
    </row>
    <row r="581">
      <c r="B581" s="11">
        <f>IFERROR(__xludf.DUMMYFUNCTION("""COMPUTED_VALUE"""),45212.0)</f>
        <v>45212</v>
      </c>
      <c r="C581" s="9">
        <f>IFERROR(__xludf.DUMMYFUNCTION("""COMPUTED_VALUE"""),4.63)</f>
        <v>4.63</v>
      </c>
      <c r="E581" s="40">
        <f>IFERROR(__xludf.DUMMYFUNCTION("""COMPUTED_VALUE"""),45212.0)</f>
        <v>45212</v>
      </c>
      <c r="F581" s="9">
        <f>IFERROR(__xludf.DUMMYFUNCTION("""COMPUTED_VALUE"""),4.63)</f>
        <v>4.63</v>
      </c>
      <c r="H581" s="17"/>
      <c r="K581" s="17"/>
      <c r="N581" s="17"/>
    </row>
    <row r="582">
      <c r="B582" s="11">
        <f>IFERROR(__xludf.DUMMYFUNCTION("""COMPUTED_VALUE"""),45211.0)</f>
        <v>45211</v>
      </c>
      <c r="C582" s="9">
        <f>IFERROR(__xludf.DUMMYFUNCTION("""COMPUTED_VALUE"""),4.7)</f>
        <v>4.7</v>
      </c>
      <c r="E582" s="40">
        <f>IFERROR(__xludf.DUMMYFUNCTION("""COMPUTED_VALUE"""),45211.0)</f>
        <v>45211</v>
      </c>
      <c r="F582" s="9">
        <f>IFERROR(__xludf.DUMMYFUNCTION("""COMPUTED_VALUE"""),4.7)</f>
        <v>4.7</v>
      </c>
      <c r="H582" s="17"/>
      <c r="K582" s="17"/>
      <c r="N582" s="17"/>
    </row>
    <row r="583">
      <c r="B583" s="11">
        <f>IFERROR(__xludf.DUMMYFUNCTION("""COMPUTED_VALUE"""),45210.0)</f>
        <v>45210</v>
      </c>
      <c r="C583" s="9">
        <f>IFERROR(__xludf.DUMMYFUNCTION("""COMPUTED_VALUE"""),4.58)</f>
        <v>4.58</v>
      </c>
      <c r="E583" s="40">
        <f>IFERROR(__xludf.DUMMYFUNCTION("""COMPUTED_VALUE"""),45210.0)</f>
        <v>45210</v>
      </c>
      <c r="F583" s="9">
        <f>IFERROR(__xludf.DUMMYFUNCTION("""COMPUTED_VALUE"""),4.58)</f>
        <v>4.58</v>
      </c>
      <c r="H583" s="17"/>
      <c r="K583" s="17"/>
      <c r="N583" s="17"/>
    </row>
    <row r="584">
      <c r="B584" s="11">
        <f>IFERROR(__xludf.DUMMYFUNCTION("""COMPUTED_VALUE"""),45209.0)</f>
        <v>45209</v>
      </c>
      <c r="C584" s="9">
        <f>IFERROR(__xludf.DUMMYFUNCTION("""COMPUTED_VALUE"""),4.66)</f>
        <v>4.66</v>
      </c>
      <c r="E584" s="40">
        <f>IFERROR(__xludf.DUMMYFUNCTION("""COMPUTED_VALUE"""),45209.0)</f>
        <v>45209</v>
      </c>
      <c r="F584" s="9">
        <f>IFERROR(__xludf.DUMMYFUNCTION("""COMPUTED_VALUE"""),4.66)</f>
        <v>4.66</v>
      </c>
      <c r="H584" s="17"/>
      <c r="K584" s="17"/>
      <c r="N584" s="17"/>
    </row>
    <row r="585">
      <c r="B585" s="11">
        <f>IFERROR(__xludf.DUMMYFUNCTION("""COMPUTED_VALUE"""),45208.0)</f>
        <v>45208</v>
      </c>
      <c r="C585" s="9"/>
      <c r="E585" s="40">
        <f>IFERROR(__xludf.DUMMYFUNCTION("""COMPUTED_VALUE"""),45208.0)</f>
        <v>45208</v>
      </c>
      <c r="F585" s="9"/>
      <c r="H585" s="17"/>
      <c r="K585" s="17"/>
      <c r="N585" s="17"/>
    </row>
    <row r="586">
      <c r="B586" s="11">
        <f>IFERROR(__xludf.DUMMYFUNCTION("""COMPUTED_VALUE"""),45205.0)</f>
        <v>45205</v>
      </c>
      <c r="C586" s="9">
        <f>IFERROR(__xludf.DUMMYFUNCTION("""COMPUTED_VALUE"""),4.78)</f>
        <v>4.78</v>
      </c>
      <c r="E586" s="40">
        <f>IFERROR(__xludf.DUMMYFUNCTION("""COMPUTED_VALUE"""),45205.0)</f>
        <v>45205</v>
      </c>
      <c r="F586" s="9">
        <f>IFERROR(__xludf.DUMMYFUNCTION("""COMPUTED_VALUE"""),4.78)</f>
        <v>4.78</v>
      </c>
      <c r="H586" s="17"/>
      <c r="K586" s="17"/>
      <c r="N586" s="17"/>
    </row>
    <row r="587">
      <c r="B587" s="11">
        <f>IFERROR(__xludf.DUMMYFUNCTION("""COMPUTED_VALUE"""),45204.0)</f>
        <v>45204</v>
      </c>
      <c r="C587" s="9">
        <f>IFERROR(__xludf.DUMMYFUNCTION("""COMPUTED_VALUE"""),4.72)</f>
        <v>4.72</v>
      </c>
      <c r="E587" s="40">
        <f>IFERROR(__xludf.DUMMYFUNCTION("""COMPUTED_VALUE"""),45204.0)</f>
        <v>45204</v>
      </c>
      <c r="F587" s="9">
        <f>IFERROR(__xludf.DUMMYFUNCTION("""COMPUTED_VALUE"""),4.72)</f>
        <v>4.72</v>
      </c>
      <c r="H587" s="17"/>
      <c r="K587" s="17"/>
      <c r="N587" s="17"/>
    </row>
    <row r="588">
      <c r="B588" s="11">
        <f>IFERROR(__xludf.DUMMYFUNCTION("""COMPUTED_VALUE"""),45203.0)</f>
        <v>45203</v>
      </c>
      <c r="C588" s="9">
        <f>IFERROR(__xludf.DUMMYFUNCTION("""COMPUTED_VALUE"""),4.73)</f>
        <v>4.73</v>
      </c>
      <c r="E588" s="40">
        <f>IFERROR(__xludf.DUMMYFUNCTION("""COMPUTED_VALUE"""),45203.0)</f>
        <v>45203</v>
      </c>
      <c r="F588" s="9">
        <f>IFERROR(__xludf.DUMMYFUNCTION("""COMPUTED_VALUE"""),4.73)</f>
        <v>4.73</v>
      </c>
      <c r="H588" s="17"/>
      <c r="K588" s="17"/>
      <c r="N588" s="17"/>
    </row>
    <row r="589">
      <c r="B589" s="11">
        <f>IFERROR(__xludf.DUMMYFUNCTION("""COMPUTED_VALUE"""),45202.0)</f>
        <v>45202</v>
      </c>
      <c r="C589" s="9">
        <f>IFERROR(__xludf.DUMMYFUNCTION("""COMPUTED_VALUE"""),4.81)</f>
        <v>4.81</v>
      </c>
      <c r="E589" s="40">
        <f>IFERROR(__xludf.DUMMYFUNCTION("""COMPUTED_VALUE"""),45202.0)</f>
        <v>45202</v>
      </c>
      <c r="F589" s="9">
        <f>IFERROR(__xludf.DUMMYFUNCTION("""COMPUTED_VALUE"""),4.81)</f>
        <v>4.81</v>
      </c>
      <c r="H589" s="17"/>
      <c r="K589" s="17"/>
      <c r="N589" s="17"/>
    </row>
    <row r="590">
      <c r="B590" s="11">
        <f>IFERROR(__xludf.DUMMYFUNCTION("""COMPUTED_VALUE"""),45201.0)</f>
        <v>45201</v>
      </c>
      <c r="C590" s="9">
        <f>IFERROR(__xludf.DUMMYFUNCTION("""COMPUTED_VALUE"""),4.69)</f>
        <v>4.69</v>
      </c>
      <c r="E590" s="40">
        <f>IFERROR(__xludf.DUMMYFUNCTION("""COMPUTED_VALUE"""),45201.0)</f>
        <v>45201</v>
      </c>
      <c r="F590" s="9">
        <f>IFERROR(__xludf.DUMMYFUNCTION("""COMPUTED_VALUE"""),4.69)</f>
        <v>4.69</v>
      </c>
      <c r="H590" s="17"/>
      <c r="K590" s="17"/>
      <c r="N590" s="17"/>
    </row>
    <row r="591">
      <c r="B591" s="11">
        <f>IFERROR(__xludf.DUMMYFUNCTION("""COMPUTED_VALUE"""),45198.0)</f>
        <v>45198</v>
      </c>
      <c r="C591" s="9">
        <f>IFERROR(__xludf.DUMMYFUNCTION("""COMPUTED_VALUE"""),4.59)</f>
        <v>4.59</v>
      </c>
      <c r="E591" s="40">
        <f>IFERROR(__xludf.DUMMYFUNCTION("""COMPUTED_VALUE"""),45198.0)</f>
        <v>45198</v>
      </c>
      <c r="F591" s="9">
        <f>IFERROR(__xludf.DUMMYFUNCTION("""COMPUTED_VALUE"""),4.59)</f>
        <v>4.59</v>
      </c>
      <c r="H591" s="17"/>
      <c r="K591" s="17"/>
      <c r="N591" s="17"/>
    </row>
    <row r="592">
      <c r="B592" s="11">
        <f>IFERROR(__xludf.DUMMYFUNCTION("""COMPUTED_VALUE"""),45197.0)</f>
        <v>45197</v>
      </c>
      <c r="C592" s="9">
        <f>IFERROR(__xludf.DUMMYFUNCTION("""COMPUTED_VALUE"""),4.59)</f>
        <v>4.59</v>
      </c>
      <c r="E592" s="40">
        <f>IFERROR(__xludf.DUMMYFUNCTION("""COMPUTED_VALUE"""),45197.0)</f>
        <v>45197</v>
      </c>
      <c r="F592" s="9">
        <f>IFERROR(__xludf.DUMMYFUNCTION("""COMPUTED_VALUE"""),4.59)</f>
        <v>4.59</v>
      </c>
      <c r="H592" s="17"/>
      <c r="K592" s="17"/>
      <c r="N592" s="17"/>
    </row>
    <row r="593">
      <c r="B593" s="11">
        <f>IFERROR(__xludf.DUMMYFUNCTION("""COMPUTED_VALUE"""),45196.0)</f>
        <v>45196</v>
      </c>
      <c r="C593" s="9">
        <f>IFERROR(__xludf.DUMMYFUNCTION("""COMPUTED_VALUE"""),4.61)</f>
        <v>4.61</v>
      </c>
      <c r="E593" s="40">
        <f>IFERROR(__xludf.DUMMYFUNCTION("""COMPUTED_VALUE"""),45196.0)</f>
        <v>45196</v>
      </c>
      <c r="F593" s="9">
        <f>IFERROR(__xludf.DUMMYFUNCTION("""COMPUTED_VALUE"""),4.61)</f>
        <v>4.61</v>
      </c>
      <c r="H593" s="17"/>
      <c r="K593" s="17"/>
      <c r="N593" s="17"/>
    </row>
    <row r="594">
      <c r="B594" s="11">
        <f>IFERROR(__xludf.DUMMYFUNCTION("""COMPUTED_VALUE"""),45195.0)</f>
        <v>45195</v>
      </c>
      <c r="C594" s="9">
        <f>IFERROR(__xludf.DUMMYFUNCTION("""COMPUTED_VALUE"""),4.56)</f>
        <v>4.56</v>
      </c>
      <c r="E594" s="40">
        <f>IFERROR(__xludf.DUMMYFUNCTION("""COMPUTED_VALUE"""),45195.0)</f>
        <v>45195</v>
      </c>
      <c r="F594" s="9">
        <f>IFERROR(__xludf.DUMMYFUNCTION("""COMPUTED_VALUE"""),4.56)</f>
        <v>4.56</v>
      </c>
      <c r="H594" s="17"/>
      <c r="K594" s="17"/>
      <c r="N594" s="17"/>
    </row>
    <row r="595">
      <c r="B595" s="11">
        <f>IFERROR(__xludf.DUMMYFUNCTION("""COMPUTED_VALUE"""),45194.0)</f>
        <v>45194</v>
      </c>
      <c r="C595" s="9">
        <f>IFERROR(__xludf.DUMMYFUNCTION("""COMPUTED_VALUE"""),4.55)</f>
        <v>4.55</v>
      </c>
      <c r="E595" s="40">
        <f>IFERROR(__xludf.DUMMYFUNCTION("""COMPUTED_VALUE"""),45194.0)</f>
        <v>45194</v>
      </c>
      <c r="F595" s="9">
        <f>IFERROR(__xludf.DUMMYFUNCTION("""COMPUTED_VALUE"""),4.55)</f>
        <v>4.55</v>
      </c>
      <c r="H595" s="17"/>
      <c r="K595" s="17"/>
      <c r="N595" s="17"/>
    </row>
    <row r="596">
      <c r="B596" s="11">
        <f>IFERROR(__xludf.DUMMYFUNCTION("""COMPUTED_VALUE"""),45191.0)</f>
        <v>45191</v>
      </c>
      <c r="C596" s="9">
        <f>IFERROR(__xludf.DUMMYFUNCTION("""COMPUTED_VALUE"""),4.44)</f>
        <v>4.44</v>
      </c>
      <c r="E596" s="40">
        <f>IFERROR(__xludf.DUMMYFUNCTION("""COMPUTED_VALUE"""),45191.0)</f>
        <v>45191</v>
      </c>
      <c r="F596" s="9">
        <f>IFERROR(__xludf.DUMMYFUNCTION("""COMPUTED_VALUE"""),4.44)</f>
        <v>4.44</v>
      </c>
      <c r="H596" s="17"/>
      <c r="K596" s="17"/>
      <c r="N596" s="17"/>
    </row>
    <row r="597">
      <c r="B597" s="11">
        <f>IFERROR(__xludf.DUMMYFUNCTION("""COMPUTED_VALUE"""),45190.0)</f>
        <v>45190</v>
      </c>
      <c r="C597" s="9">
        <f>IFERROR(__xludf.DUMMYFUNCTION("""COMPUTED_VALUE"""),4.49)</f>
        <v>4.49</v>
      </c>
      <c r="E597" s="40">
        <f>IFERROR(__xludf.DUMMYFUNCTION("""COMPUTED_VALUE"""),45190.0)</f>
        <v>45190</v>
      </c>
      <c r="F597" s="9">
        <f>IFERROR(__xludf.DUMMYFUNCTION("""COMPUTED_VALUE"""),4.49)</f>
        <v>4.49</v>
      </c>
      <c r="H597" s="17"/>
      <c r="K597" s="17"/>
      <c r="N597" s="17"/>
    </row>
    <row r="598">
      <c r="B598" s="11">
        <f>IFERROR(__xludf.DUMMYFUNCTION("""COMPUTED_VALUE"""),45189.0)</f>
        <v>45189</v>
      </c>
      <c r="C598" s="9">
        <f>IFERROR(__xludf.DUMMYFUNCTION("""COMPUTED_VALUE"""),4.35)</f>
        <v>4.35</v>
      </c>
      <c r="E598" s="40">
        <f>IFERROR(__xludf.DUMMYFUNCTION("""COMPUTED_VALUE"""),45189.0)</f>
        <v>45189</v>
      </c>
      <c r="F598" s="9">
        <f>IFERROR(__xludf.DUMMYFUNCTION("""COMPUTED_VALUE"""),4.35)</f>
        <v>4.35</v>
      </c>
      <c r="H598" s="17"/>
      <c r="K598" s="17"/>
      <c r="N598" s="17"/>
    </row>
    <row r="599">
      <c r="B599" s="11">
        <f>IFERROR(__xludf.DUMMYFUNCTION("""COMPUTED_VALUE"""),45188.0)</f>
        <v>45188</v>
      </c>
      <c r="C599" s="9">
        <f>IFERROR(__xludf.DUMMYFUNCTION("""COMPUTED_VALUE"""),4.37)</f>
        <v>4.37</v>
      </c>
      <c r="E599" s="40">
        <f>IFERROR(__xludf.DUMMYFUNCTION("""COMPUTED_VALUE"""),45188.0)</f>
        <v>45188</v>
      </c>
      <c r="F599" s="9">
        <f>IFERROR(__xludf.DUMMYFUNCTION("""COMPUTED_VALUE"""),4.37)</f>
        <v>4.37</v>
      </c>
      <c r="H599" s="17"/>
      <c r="K599" s="17"/>
      <c r="N599" s="17"/>
    </row>
    <row r="600">
      <c r="B600" s="11">
        <f>IFERROR(__xludf.DUMMYFUNCTION("""COMPUTED_VALUE"""),45187.0)</f>
        <v>45187</v>
      </c>
      <c r="C600" s="9">
        <f>IFERROR(__xludf.DUMMYFUNCTION("""COMPUTED_VALUE"""),4.32)</f>
        <v>4.32</v>
      </c>
      <c r="E600" s="40">
        <f>IFERROR(__xludf.DUMMYFUNCTION("""COMPUTED_VALUE"""),45187.0)</f>
        <v>45187</v>
      </c>
      <c r="F600" s="9">
        <f>IFERROR(__xludf.DUMMYFUNCTION("""COMPUTED_VALUE"""),4.32)</f>
        <v>4.32</v>
      </c>
      <c r="H600" s="17"/>
      <c r="K600" s="17"/>
      <c r="N600" s="17"/>
    </row>
    <row r="601">
      <c r="B601" s="11">
        <f>IFERROR(__xludf.DUMMYFUNCTION("""COMPUTED_VALUE"""),45184.0)</f>
        <v>45184</v>
      </c>
      <c r="C601" s="9">
        <f>IFERROR(__xludf.DUMMYFUNCTION("""COMPUTED_VALUE"""),4.33)</f>
        <v>4.33</v>
      </c>
      <c r="E601" s="40">
        <f>IFERROR(__xludf.DUMMYFUNCTION("""COMPUTED_VALUE"""),45184.0)</f>
        <v>45184</v>
      </c>
      <c r="F601" s="9">
        <f>IFERROR(__xludf.DUMMYFUNCTION("""COMPUTED_VALUE"""),4.33)</f>
        <v>4.33</v>
      </c>
      <c r="H601" s="17"/>
      <c r="K601" s="17"/>
      <c r="N601" s="17"/>
    </row>
    <row r="602">
      <c r="B602" s="11">
        <f>IFERROR(__xludf.DUMMYFUNCTION("""COMPUTED_VALUE"""),45183.0)</f>
        <v>45183</v>
      </c>
      <c r="C602" s="9">
        <f>IFERROR(__xludf.DUMMYFUNCTION("""COMPUTED_VALUE"""),4.29)</f>
        <v>4.29</v>
      </c>
      <c r="E602" s="40">
        <f>IFERROR(__xludf.DUMMYFUNCTION("""COMPUTED_VALUE"""),45183.0)</f>
        <v>45183</v>
      </c>
      <c r="F602" s="9">
        <f>IFERROR(__xludf.DUMMYFUNCTION("""COMPUTED_VALUE"""),4.29)</f>
        <v>4.29</v>
      </c>
      <c r="H602" s="17"/>
      <c r="K602" s="17"/>
      <c r="N602" s="17"/>
    </row>
    <row r="603">
      <c r="B603" s="11">
        <f>IFERROR(__xludf.DUMMYFUNCTION("""COMPUTED_VALUE"""),45182.0)</f>
        <v>45182</v>
      </c>
      <c r="C603" s="9">
        <f>IFERROR(__xludf.DUMMYFUNCTION("""COMPUTED_VALUE"""),4.25)</f>
        <v>4.25</v>
      </c>
      <c r="E603" s="40">
        <f>IFERROR(__xludf.DUMMYFUNCTION("""COMPUTED_VALUE"""),45182.0)</f>
        <v>45182</v>
      </c>
      <c r="F603" s="9">
        <f>IFERROR(__xludf.DUMMYFUNCTION("""COMPUTED_VALUE"""),4.25)</f>
        <v>4.25</v>
      </c>
      <c r="H603" s="17"/>
      <c r="K603" s="17"/>
      <c r="N603" s="17"/>
    </row>
    <row r="604">
      <c r="B604" s="11">
        <f>IFERROR(__xludf.DUMMYFUNCTION("""COMPUTED_VALUE"""),45181.0)</f>
        <v>45181</v>
      </c>
      <c r="C604" s="9">
        <f>IFERROR(__xludf.DUMMYFUNCTION("""COMPUTED_VALUE"""),4.27)</f>
        <v>4.27</v>
      </c>
      <c r="E604" s="40">
        <f>IFERROR(__xludf.DUMMYFUNCTION("""COMPUTED_VALUE"""),45181.0)</f>
        <v>45181</v>
      </c>
      <c r="F604" s="9">
        <f>IFERROR(__xludf.DUMMYFUNCTION("""COMPUTED_VALUE"""),4.27)</f>
        <v>4.27</v>
      </c>
      <c r="H604" s="17"/>
      <c r="K604" s="17"/>
      <c r="N604" s="17"/>
    </row>
    <row r="605">
      <c r="B605" s="11">
        <f>IFERROR(__xludf.DUMMYFUNCTION("""COMPUTED_VALUE"""),45180.0)</f>
        <v>45180</v>
      </c>
      <c r="C605" s="9">
        <f>IFERROR(__xludf.DUMMYFUNCTION("""COMPUTED_VALUE"""),4.29)</f>
        <v>4.29</v>
      </c>
      <c r="E605" s="40">
        <f>IFERROR(__xludf.DUMMYFUNCTION("""COMPUTED_VALUE"""),45180.0)</f>
        <v>45180</v>
      </c>
      <c r="F605" s="9">
        <f>IFERROR(__xludf.DUMMYFUNCTION("""COMPUTED_VALUE"""),4.29)</f>
        <v>4.29</v>
      </c>
      <c r="H605" s="17"/>
      <c r="K605" s="17"/>
      <c r="N605" s="17"/>
    </row>
    <row r="606">
      <c r="B606" s="11">
        <f>IFERROR(__xludf.DUMMYFUNCTION("""COMPUTED_VALUE"""),45177.0)</f>
        <v>45177</v>
      </c>
      <c r="C606" s="9">
        <f>IFERROR(__xludf.DUMMYFUNCTION("""COMPUTED_VALUE"""),4.26)</f>
        <v>4.26</v>
      </c>
      <c r="E606" s="40">
        <f>IFERROR(__xludf.DUMMYFUNCTION("""COMPUTED_VALUE"""),45177.0)</f>
        <v>45177</v>
      </c>
      <c r="F606" s="9">
        <f>IFERROR(__xludf.DUMMYFUNCTION("""COMPUTED_VALUE"""),4.26)</f>
        <v>4.26</v>
      </c>
      <c r="H606" s="17"/>
      <c r="K606" s="17"/>
      <c r="N606" s="17"/>
    </row>
    <row r="607">
      <c r="B607" s="11">
        <f>IFERROR(__xludf.DUMMYFUNCTION("""COMPUTED_VALUE"""),45176.0)</f>
        <v>45176</v>
      </c>
      <c r="C607" s="9">
        <f>IFERROR(__xludf.DUMMYFUNCTION("""COMPUTED_VALUE"""),4.27)</f>
        <v>4.27</v>
      </c>
      <c r="E607" s="40">
        <f>IFERROR(__xludf.DUMMYFUNCTION("""COMPUTED_VALUE"""),45176.0)</f>
        <v>45176</v>
      </c>
      <c r="F607" s="9">
        <f>IFERROR(__xludf.DUMMYFUNCTION("""COMPUTED_VALUE"""),4.27)</f>
        <v>4.27</v>
      </c>
      <c r="H607" s="17"/>
      <c r="K607" s="17"/>
      <c r="N607" s="17"/>
    </row>
    <row r="608">
      <c r="B608" s="11">
        <f>IFERROR(__xludf.DUMMYFUNCTION("""COMPUTED_VALUE"""),45175.0)</f>
        <v>45175</v>
      </c>
      <c r="C608" s="9">
        <f>IFERROR(__xludf.DUMMYFUNCTION("""COMPUTED_VALUE"""),4.3)</f>
        <v>4.3</v>
      </c>
      <c r="E608" s="40">
        <f>IFERROR(__xludf.DUMMYFUNCTION("""COMPUTED_VALUE"""),45175.0)</f>
        <v>45175</v>
      </c>
      <c r="F608" s="9">
        <f>IFERROR(__xludf.DUMMYFUNCTION("""COMPUTED_VALUE"""),4.3)</f>
        <v>4.3</v>
      </c>
      <c r="H608" s="17"/>
      <c r="K608" s="17"/>
      <c r="N608" s="17"/>
    </row>
    <row r="609">
      <c r="B609" s="11">
        <f>IFERROR(__xludf.DUMMYFUNCTION("""COMPUTED_VALUE"""),45174.0)</f>
        <v>45174</v>
      </c>
      <c r="C609" s="9">
        <f>IFERROR(__xludf.DUMMYFUNCTION("""COMPUTED_VALUE"""),4.27)</f>
        <v>4.27</v>
      </c>
      <c r="E609" s="40">
        <f>IFERROR(__xludf.DUMMYFUNCTION("""COMPUTED_VALUE"""),45174.0)</f>
        <v>45174</v>
      </c>
      <c r="F609" s="9">
        <f>IFERROR(__xludf.DUMMYFUNCTION("""COMPUTED_VALUE"""),4.27)</f>
        <v>4.27</v>
      </c>
      <c r="H609" s="17"/>
      <c r="K609" s="17"/>
      <c r="N609" s="17"/>
    </row>
    <row r="610">
      <c r="B610" s="11">
        <f>IFERROR(__xludf.DUMMYFUNCTION("""COMPUTED_VALUE"""),45173.0)</f>
        <v>45173</v>
      </c>
      <c r="C610" s="9"/>
      <c r="E610" s="40">
        <f>IFERROR(__xludf.DUMMYFUNCTION("""COMPUTED_VALUE"""),45173.0)</f>
        <v>45173</v>
      </c>
      <c r="F610" s="9"/>
      <c r="H610" s="17"/>
      <c r="K610" s="17"/>
      <c r="N610" s="17"/>
    </row>
    <row r="611">
      <c r="B611" s="11">
        <f>IFERROR(__xludf.DUMMYFUNCTION("""COMPUTED_VALUE"""),45170.0)</f>
        <v>45170</v>
      </c>
      <c r="C611" s="9">
        <f>IFERROR(__xludf.DUMMYFUNCTION("""COMPUTED_VALUE"""),4.18)</f>
        <v>4.18</v>
      </c>
      <c r="E611" s="40">
        <f>IFERROR(__xludf.DUMMYFUNCTION("""COMPUTED_VALUE"""),45170.0)</f>
        <v>45170</v>
      </c>
      <c r="F611" s="9">
        <f>IFERROR(__xludf.DUMMYFUNCTION("""COMPUTED_VALUE"""),4.18)</f>
        <v>4.18</v>
      </c>
      <c r="H611" s="17"/>
      <c r="K611" s="17"/>
      <c r="N611" s="17"/>
    </row>
    <row r="612">
      <c r="B612" s="11">
        <f>IFERROR(__xludf.DUMMYFUNCTION("""COMPUTED_VALUE"""),45169.0)</f>
        <v>45169</v>
      </c>
      <c r="C612" s="9">
        <f>IFERROR(__xludf.DUMMYFUNCTION("""COMPUTED_VALUE"""),4.09)</f>
        <v>4.09</v>
      </c>
      <c r="E612" s="40">
        <f>IFERROR(__xludf.DUMMYFUNCTION("""COMPUTED_VALUE"""),45169.0)</f>
        <v>45169</v>
      </c>
      <c r="F612" s="9">
        <f>IFERROR(__xludf.DUMMYFUNCTION("""COMPUTED_VALUE"""),4.09)</f>
        <v>4.09</v>
      </c>
      <c r="H612" s="17"/>
      <c r="K612" s="17"/>
      <c r="N612" s="17"/>
    </row>
    <row r="613">
      <c r="B613" s="11">
        <f>IFERROR(__xludf.DUMMYFUNCTION("""COMPUTED_VALUE"""),45168.0)</f>
        <v>45168</v>
      </c>
      <c r="C613" s="9">
        <f>IFERROR(__xludf.DUMMYFUNCTION("""COMPUTED_VALUE"""),4.12)</f>
        <v>4.12</v>
      </c>
      <c r="E613" s="40">
        <f>IFERROR(__xludf.DUMMYFUNCTION("""COMPUTED_VALUE"""),45168.0)</f>
        <v>45168</v>
      </c>
      <c r="F613" s="9">
        <f>IFERROR(__xludf.DUMMYFUNCTION("""COMPUTED_VALUE"""),4.12)</f>
        <v>4.12</v>
      </c>
      <c r="H613" s="17"/>
      <c r="K613" s="17"/>
      <c r="N613" s="17"/>
    </row>
    <row r="614">
      <c r="B614" s="11">
        <f>IFERROR(__xludf.DUMMYFUNCTION("""COMPUTED_VALUE"""),45167.0)</f>
        <v>45167</v>
      </c>
      <c r="C614" s="9">
        <f>IFERROR(__xludf.DUMMYFUNCTION("""COMPUTED_VALUE"""),4.12)</f>
        <v>4.12</v>
      </c>
      <c r="E614" s="40">
        <f>IFERROR(__xludf.DUMMYFUNCTION("""COMPUTED_VALUE"""),45167.0)</f>
        <v>45167</v>
      </c>
      <c r="F614" s="9">
        <f>IFERROR(__xludf.DUMMYFUNCTION("""COMPUTED_VALUE"""),4.12)</f>
        <v>4.12</v>
      </c>
      <c r="H614" s="17"/>
      <c r="K614" s="17"/>
      <c r="N614" s="17"/>
    </row>
    <row r="615">
      <c r="B615" s="11">
        <f>IFERROR(__xludf.DUMMYFUNCTION("""COMPUTED_VALUE"""),45166.0)</f>
        <v>45166</v>
      </c>
      <c r="C615" s="9">
        <f>IFERROR(__xludf.DUMMYFUNCTION("""COMPUTED_VALUE"""),4.2)</f>
        <v>4.2</v>
      </c>
      <c r="E615" s="40">
        <f>IFERROR(__xludf.DUMMYFUNCTION("""COMPUTED_VALUE"""),45166.0)</f>
        <v>45166</v>
      </c>
      <c r="F615" s="9">
        <f>IFERROR(__xludf.DUMMYFUNCTION("""COMPUTED_VALUE"""),4.2)</f>
        <v>4.2</v>
      </c>
      <c r="H615" s="17"/>
      <c r="K615" s="17"/>
      <c r="N615" s="17"/>
    </row>
    <row r="616">
      <c r="B616" s="11">
        <f>IFERROR(__xludf.DUMMYFUNCTION("""COMPUTED_VALUE"""),45163.0)</f>
        <v>45163</v>
      </c>
      <c r="C616" s="9">
        <f>IFERROR(__xludf.DUMMYFUNCTION("""COMPUTED_VALUE"""),4.25)</f>
        <v>4.25</v>
      </c>
      <c r="E616" s="40">
        <f>IFERROR(__xludf.DUMMYFUNCTION("""COMPUTED_VALUE"""),45163.0)</f>
        <v>45163</v>
      </c>
      <c r="F616" s="9">
        <f>IFERROR(__xludf.DUMMYFUNCTION("""COMPUTED_VALUE"""),4.25)</f>
        <v>4.25</v>
      </c>
      <c r="H616" s="17"/>
      <c r="K616" s="17"/>
      <c r="N616" s="17"/>
    </row>
    <row r="617">
      <c r="B617" s="11">
        <f>IFERROR(__xludf.DUMMYFUNCTION("""COMPUTED_VALUE"""),45162.0)</f>
        <v>45162</v>
      </c>
      <c r="C617" s="9">
        <f>IFERROR(__xludf.DUMMYFUNCTION("""COMPUTED_VALUE"""),4.23)</f>
        <v>4.23</v>
      </c>
      <c r="E617" s="40">
        <f>IFERROR(__xludf.DUMMYFUNCTION("""COMPUTED_VALUE"""),45162.0)</f>
        <v>45162</v>
      </c>
      <c r="F617" s="9">
        <f>IFERROR(__xludf.DUMMYFUNCTION("""COMPUTED_VALUE"""),4.23)</f>
        <v>4.23</v>
      </c>
      <c r="H617" s="17"/>
      <c r="K617" s="17"/>
      <c r="N617" s="17"/>
    </row>
    <row r="618">
      <c r="B618" s="11">
        <f>IFERROR(__xludf.DUMMYFUNCTION("""COMPUTED_VALUE"""),45161.0)</f>
        <v>45161</v>
      </c>
      <c r="C618" s="9">
        <f>IFERROR(__xludf.DUMMYFUNCTION("""COMPUTED_VALUE"""),4.19)</f>
        <v>4.19</v>
      </c>
      <c r="E618" s="40">
        <f>IFERROR(__xludf.DUMMYFUNCTION("""COMPUTED_VALUE"""),45161.0)</f>
        <v>45161</v>
      </c>
      <c r="F618" s="9">
        <f>IFERROR(__xludf.DUMMYFUNCTION("""COMPUTED_VALUE"""),4.19)</f>
        <v>4.19</v>
      </c>
      <c r="H618" s="17"/>
      <c r="K618" s="17"/>
      <c r="N618" s="17"/>
    </row>
    <row r="619">
      <c r="B619" s="11">
        <f>IFERROR(__xludf.DUMMYFUNCTION("""COMPUTED_VALUE"""),45160.0)</f>
        <v>45160</v>
      </c>
      <c r="C619" s="9">
        <f>IFERROR(__xludf.DUMMYFUNCTION("""COMPUTED_VALUE"""),4.34)</f>
        <v>4.34</v>
      </c>
      <c r="E619" s="40">
        <f>IFERROR(__xludf.DUMMYFUNCTION("""COMPUTED_VALUE"""),45160.0)</f>
        <v>45160</v>
      </c>
      <c r="F619" s="9">
        <f>IFERROR(__xludf.DUMMYFUNCTION("""COMPUTED_VALUE"""),4.34)</f>
        <v>4.34</v>
      </c>
      <c r="H619" s="17"/>
      <c r="K619" s="17"/>
      <c r="N619" s="17"/>
    </row>
    <row r="620">
      <c r="B620" s="11">
        <f>IFERROR(__xludf.DUMMYFUNCTION("""COMPUTED_VALUE"""),45159.0)</f>
        <v>45159</v>
      </c>
      <c r="C620" s="9">
        <f>IFERROR(__xludf.DUMMYFUNCTION("""COMPUTED_VALUE"""),4.34)</f>
        <v>4.34</v>
      </c>
      <c r="E620" s="40">
        <f>IFERROR(__xludf.DUMMYFUNCTION("""COMPUTED_VALUE"""),45159.0)</f>
        <v>45159</v>
      </c>
      <c r="F620" s="9">
        <f>IFERROR(__xludf.DUMMYFUNCTION("""COMPUTED_VALUE"""),4.34)</f>
        <v>4.34</v>
      </c>
      <c r="H620" s="17"/>
      <c r="K620" s="17"/>
      <c r="N620" s="17"/>
    </row>
    <row r="621">
      <c r="B621" s="11">
        <f>IFERROR(__xludf.DUMMYFUNCTION("""COMPUTED_VALUE"""),45156.0)</f>
        <v>45156</v>
      </c>
      <c r="C621" s="9">
        <f>IFERROR(__xludf.DUMMYFUNCTION("""COMPUTED_VALUE"""),4.26)</f>
        <v>4.26</v>
      </c>
      <c r="E621" s="40">
        <f>IFERROR(__xludf.DUMMYFUNCTION("""COMPUTED_VALUE"""),45156.0)</f>
        <v>45156</v>
      </c>
      <c r="F621" s="9">
        <f>IFERROR(__xludf.DUMMYFUNCTION("""COMPUTED_VALUE"""),4.26)</f>
        <v>4.26</v>
      </c>
      <c r="H621" s="17"/>
      <c r="K621" s="17"/>
      <c r="N621" s="17"/>
    </row>
    <row r="622">
      <c r="B622" s="11">
        <f>IFERROR(__xludf.DUMMYFUNCTION("""COMPUTED_VALUE"""),45155.0)</f>
        <v>45155</v>
      </c>
      <c r="C622" s="9">
        <f>IFERROR(__xludf.DUMMYFUNCTION("""COMPUTED_VALUE"""),4.3)</f>
        <v>4.3</v>
      </c>
      <c r="E622" s="40">
        <f>IFERROR(__xludf.DUMMYFUNCTION("""COMPUTED_VALUE"""),45155.0)</f>
        <v>45155</v>
      </c>
      <c r="F622" s="9">
        <f>IFERROR(__xludf.DUMMYFUNCTION("""COMPUTED_VALUE"""),4.3)</f>
        <v>4.3</v>
      </c>
      <c r="H622" s="17"/>
      <c r="K622" s="17"/>
      <c r="N622" s="17"/>
    </row>
    <row r="623">
      <c r="B623" s="11">
        <f>IFERROR(__xludf.DUMMYFUNCTION("""COMPUTED_VALUE"""),45154.0)</f>
        <v>45154</v>
      </c>
      <c r="C623" s="9">
        <f>IFERROR(__xludf.DUMMYFUNCTION("""COMPUTED_VALUE"""),4.28)</f>
        <v>4.28</v>
      </c>
      <c r="E623" s="40">
        <f>IFERROR(__xludf.DUMMYFUNCTION("""COMPUTED_VALUE"""),45154.0)</f>
        <v>45154</v>
      </c>
      <c r="F623" s="9">
        <f>IFERROR(__xludf.DUMMYFUNCTION("""COMPUTED_VALUE"""),4.28)</f>
        <v>4.28</v>
      </c>
      <c r="H623" s="17"/>
      <c r="K623" s="17"/>
      <c r="N623" s="17"/>
    </row>
    <row r="624">
      <c r="B624" s="11">
        <f>IFERROR(__xludf.DUMMYFUNCTION("""COMPUTED_VALUE"""),45153.0)</f>
        <v>45153</v>
      </c>
      <c r="C624" s="9">
        <f>IFERROR(__xludf.DUMMYFUNCTION("""COMPUTED_VALUE"""),4.21)</f>
        <v>4.21</v>
      </c>
      <c r="E624" s="40">
        <f>IFERROR(__xludf.DUMMYFUNCTION("""COMPUTED_VALUE"""),45153.0)</f>
        <v>45153</v>
      </c>
      <c r="F624" s="9">
        <f>IFERROR(__xludf.DUMMYFUNCTION("""COMPUTED_VALUE"""),4.21)</f>
        <v>4.21</v>
      </c>
      <c r="H624" s="17"/>
      <c r="K624" s="17"/>
      <c r="N624" s="17"/>
    </row>
    <row r="625">
      <c r="B625" s="11">
        <f>IFERROR(__xludf.DUMMYFUNCTION("""COMPUTED_VALUE"""),45152.0)</f>
        <v>45152</v>
      </c>
      <c r="C625" s="9">
        <f>IFERROR(__xludf.DUMMYFUNCTION("""COMPUTED_VALUE"""),4.19)</f>
        <v>4.19</v>
      </c>
      <c r="E625" s="40">
        <f>IFERROR(__xludf.DUMMYFUNCTION("""COMPUTED_VALUE"""),45152.0)</f>
        <v>45152</v>
      </c>
      <c r="F625" s="9">
        <f>IFERROR(__xludf.DUMMYFUNCTION("""COMPUTED_VALUE"""),4.19)</f>
        <v>4.19</v>
      </c>
      <c r="H625" s="17"/>
      <c r="K625" s="17"/>
      <c r="N625" s="17"/>
    </row>
    <row r="626">
      <c r="B626" s="11">
        <f>IFERROR(__xludf.DUMMYFUNCTION("""COMPUTED_VALUE"""),45149.0)</f>
        <v>45149</v>
      </c>
      <c r="C626" s="9">
        <f>IFERROR(__xludf.DUMMYFUNCTION("""COMPUTED_VALUE"""),4.16)</f>
        <v>4.16</v>
      </c>
      <c r="E626" s="40">
        <f>IFERROR(__xludf.DUMMYFUNCTION("""COMPUTED_VALUE"""),45149.0)</f>
        <v>45149</v>
      </c>
      <c r="F626" s="9">
        <f>IFERROR(__xludf.DUMMYFUNCTION("""COMPUTED_VALUE"""),4.16)</f>
        <v>4.16</v>
      </c>
      <c r="H626" s="17"/>
      <c r="K626" s="17"/>
      <c r="N626" s="17"/>
    </row>
    <row r="627">
      <c r="B627" s="11">
        <f>IFERROR(__xludf.DUMMYFUNCTION("""COMPUTED_VALUE"""),45148.0)</f>
        <v>45148</v>
      </c>
      <c r="C627" s="9">
        <f>IFERROR(__xludf.DUMMYFUNCTION("""COMPUTED_VALUE"""),4.09)</f>
        <v>4.09</v>
      </c>
      <c r="E627" s="40">
        <f>IFERROR(__xludf.DUMMYFUNCTION("""COMPUTED_VALUE"""),45148.0)</f>
        <v>45148</v>
      </c>
      <c r="F627" s="9">
        <f>IFERROR(__xludf.DUMMYFUNCTION("""COMPUTED_VALUE"""),4.09)</f>
        <v>4.09</v>
      </c>
      <c r="H627" s="17"/>
      <c r="K627" s="17"/>
      <c r="N627" s="17"/>
    </row>
    <row r="628">
      <c r="B628" s="11">
        <f>IFERROR(__xludf.DUMMYFUNCTION("""COMPUTED_VALUE"""),45147.0)</f>
        <v>45147</v>
      </c>
      <c r="C628" s="9">
        <f>IFERROR(__xludf.DUMMYFUNCTION("""COMPUTED_VALUE"""),4.0)</f>
        <v>4</v>
      </c>
      <c r="E628" s="40">
        <f>IFERROR(__xludf.DUMMYFUNCTION("""COMPUTED_VALUE"""),45147.0)</f>
        <v>45147</v>
      </c>
      <c r="F628" s="9">
        <f>IFERROR(__xludf.DUMMYFUNCTION("""COMPUTED_VALUE"""),4.0)</f>
        <v>4</v>
      </c>
      <c r="H628" s="17"/>
      <c r="K628" s="17"/>
      <c r="N628" s="17"/>
    </row>
    <row r="629">
      <c r="B629" s="11">
        <f>IFERROR(__xludf.DUMMYFUNCTION("""COMPUTED_VALUE"""),45146.0)</f>
        <v>45146</v>
      </c>
      <c r="C629" s="9">
        <f>IFERROR(__xludf.DUMMYFUNCTION("""COMPUTED_VALUE"""),4.02)</f>
        <v>4.02</v>
      </c>
      <c r="E629" s="40">
        <f>IFERROR(__xludf.DUMMYFUNCTION("""COMPUTED_VALUE"""),45146.0)</f>
        <v>45146</v>
      </c>
      <c r="F629" s="9">
        <f>IFERROR(__xludf.DUMMYFUNCTION("""COMPUTED_VALUE"""),4.02)</f>
        <v>4.02</v>
      </c>
      <c r="H629" s="17"/>
      <c r="K629" s="17"/>
      <c r="N629" s="17"/>
    </row>
    <row r="630">
      <c r="B630" s="11">
        <f>IFERROR(__xludf.DUMMYFUNCTION("""COMPUTED_VALUE"""),45145.0)</f>
        <v>45145</v>
      </c>
      <c r="C630" s="9">
        <f>IFERROR(__xludf.DUMMYFUNCTION("""COMPUTED_VALUE"""),4.09)</f>
        <v>4.09</v>
      </c>
      <c r="E630" s="40">
        <f>IFERROR(__xludf.DUMMYFUNCTION("""COMPUTED_VALUE"""),45145.0)</f>
        <v>45145</v>
      </c>
      <c r="F630" s="9">
        <f>IFERROR(__xludf.DUMMYFUNCTION("""COMPUTED_VALUE"""),4.09)</f>
        <v>4.09</v>
      </c>
      <c r="H630" s="17"/>
      <c r="K630" s="17"/>
      <c r="N630" s="17"/>
    </row>
    <row r="631">
      <c r="B631" s="11">
        <f>IFERROR(__xludf.DUMMYFUNCTION("""COMPUTED_VALUE"""),45142.0)</f>
        <v>45142</v>
      </c>
      <c r="C631" s="9">
        <f>IFERROR(__xludf.DUMMYFUNCTION("""COMPUTED_VALUE"""),4.05)</f>
        <v>4.05</v>
      </c>
      <c r="E631" s="40">
        <f>IFERROR(__xludf.DUMMYFUNCTION("""COMPUTED_VALUE"""),45142.0)</f>
        <v>45142</v>
      </c>
      <c r="F631" s="9">
        <f>IFERROR(__xludf.DUMMYFUNCTION("""COMPUTED_VALUE"""),4.05)</f>
        <v>4.05</v>
      </c>
      <c r="H631" s="17"/>
      <c r="K631" s="17"/>
      <c r="N631" s="17"/>
    </row>
    <row r="632">
      <c r="B632" s="11">
        <f>IFERROR(__xludf.DUMMYFUNCTION("""COMPUTED_VALUE"""),45141.0)</f>
        <v>45141</v>
      </c>
      <c r="C632" s="9">
        <f>IFERROR(__xludf.DUMMYFUNCTION("""COMPUTED_VALUE"""),4.2)</f>
        <v>4.2</v>
      </c>
      <c r="E632" s="40">
        <f>IFERROR(__xludf.DUMMYFUNCTION("""COMPUTED_VALUE"""),45141.0)</f>
        <v>45141</v>
      </c>
      <c r="F632" s="9">
        <f>IFERROR(__xludf.DUMMYFUNCTION("""COMPUTED_VALUE"""),4.2)</f>
        <v>4.2</v>
      </c>
      <c r="H632" s="17"/>
      <c r="K632" s="17"/>
      <c r="N632" s="17"/>
    </row>
    <row r="633">
      <c r="B633" s="11">
        <f>IFERROR(__xludf.DUMMYFUNCTION("""COMPUTED_VALUE"""),45140.0)</f>
        <v>45140</v>
      </c>
      <c r="C633" s="9">
        <f>IFERROR(__xludf.DUMMYFUNCTION("""COMPUTED_VALUE"""),4.08)</f>
        <v>4.08</v>
      </c>
      <c r="E633" s="40">
        <f>IFERROR(__xludf.DUMMYFUNCTION("""COMPUTED_VALUE"""),45140.0)</f>
        <v>45140</v>
      </c>
      <c r="F633" s="9">
        <f>IFERROR(__xludf.DUMMYFUNCTION("""COMPUTED_VALUE"""),4.08)</f>
        <v>4.08</v>
      </c>
      <c r="H633" s="17"/>
      <c r="K633" s="17"/>
      <c r="N633" s="17"/>
    </row>
    <row r="634">
      <c r="B634" s="11">
        <f>IFERROR(__xludf.DUMMYFUNCTION("""COMPUTED_VALUE"""),45139.0)</f>
        <v>45139</v>
      </c>
      <c r="C634" s="9">
        <f>IFERROR(__xludf.DUMMYFUNCTION("""COMPUTED_VALUE"""),4.05)</f>
        <v>4.05</v>
      </c>
      <c r="E634" s="40">
        <f>IFERROR(__xludf.DUMMYFUNCTION("""COMPUTED_VALUE"""),45139.0)</f>
        <v>45139</v>
      </c>
      <c r="F634" s="9">
        <f>IFERROR(__xludf.DUMMYFUNCTION("""COMPUTED_VALUE"""),4.05)</f>
        <v>4.05</v>
      </c>
      <c r="H634" s="17"/>
      <c r="K634" s="17"/>
      <c r="N634" s="17"/>
    </row>
    <row r="635">
      <c r="B635" s="11">
        <f>IFERROR(__xludf.DUMMYFUNCTION("""COMPUTED_VALUE"""),45138.0)</f>
        <v>45138</v>
      </c>
      <c r="C635" s="9">
        <f>IFERROR(__xludf.DUMMYFUNCTION("""COMPUTED_VALUE"""),3.97)</f>
        <v>3.97</v>
      </c>
      <c r="E635" s="40">
        <f>IFERROR(__xludf.DUMMYFUNCTION("""COMPUTED_VALUE"""),45138.0)</f>
        <v>45138</v>
      </c>
      <c r="F635" s="9">
        <f>IFERROR(__xludf.DUMMYFUNCTION("""COMPUTED_VALUE"""),3.97)</f>
        <v>3.97</v>
      </c>
      <c r="H635" s="17"/>
      <c r="K635" s="17"/>
      <c r="N635" s="17"/>
    </row>
    <row r="636">
      <c r="B636" s="11">
        <f>IFERROR(__xludf.DUMMYFUNCTION("""COMPUTED_VALUE"""),45135.0)</f>
        <v>45135</v>
      </c>
      <c r="C636" s="9">
        <f>IFERROR(__xludf.DUMMYFUNCTION("""COMPUTED_VALUE"""),3.96)</f>
        <v>3.96</v>
      </c>
      <c r="E636" s="40">
        <f>IFERROR(__xludf.DUMMYFUNCTION("""COMPUTED_VALUE"""),45135.0)</f>
        <v>45135</v>
      </c>
      <c r="F636" s="9">
        <f>IFERROR(__xludf.DUMMYFUNCTION("""COMPUTED_VALUE"""),3.96)</f>
        <v>3.96</v>
      </c>
      <c r="H636" s="17"/>
      <c r="K636" s="17"/>
      <c r="N636" s="17"/>
    </row>
    <row r="637">
      <c r="B637" s="11">
        <f>IFERROR(__xludf.DUMMYFUNCTION("""COMPUTED_VALUE"""),45134.0)</f>
        <v>45134</v>
      </c>
      <c r="C637" s="9">
        <f>IFERROR(__xludf.DUMMYFUNCTION("""COMPUTED_VALUE"""),4.01)</f>
        <v>4.01</v>
      </c>
      <c r="E637" s="40">
        <f>IFERROR(__xludf.DUMMYFUNCTION("""COMPUTED_VALUE"""),45134.0)</f>
        <v>45134</v>
      </c>
      <c r="F637" s="9">
        <f>IFERROR(__xludf.DUMMYFUNCTION("""COMPUTED_VALUE"""),4.01)</f>
        <v>4.01</v>
      </c>
      <c r="H637" s="17"/>
      <c r="K637" s="17"/>
      <c r="N637" s="17"/>
    </row>
    <row r="638">
      <c r="B638" s="11">
        <f>IFERROR(__xludf.DUMMYFUNCTION("""COMPUTED_VALUE"""),45133.0)</f>
        <v>45133</v>
      </c>
      <c r="C638" s="9">
        <f>IFERROR(__xludf.DUMMYFUNCTION("""COMPUTED_VALUE"""),3.86)</f>
        <v>3.86</v>
      </c>
      <c r="E638" s="40">
        <f>IFERROR(__xludf.DUMMYFUNCTION("""COMPUTED_VALUE"""),45133.0)</f>
        <v>45133</v>
      </c>
      <c r="F638" s="9">
        <f>IFERROR(__xludf.DUMMYFUNCTION("""COMPUTED_VALUE"""),3.86)</f>
        <v>3.86</v>
      </c>
      <c r="H638" s="17"/>
      <c r="K638" s="17"/>
      <c r="N638" s="17"/>
    </row>
    <row r="639">
      <c r="B639" s="11">
        <f>IFERROR(__xludf.DUMMYFUNCTION("""COMPUTED_VALUE"""),45132.0)</f>
        <v>45132</v>
      </c>
      <c r="C639" s="9">
        <f>IFERROR(__xludf.DUMMYFUNCTION("""COMPUTED_VALUE"""),3.91)</f>
        <v>3.91</v>
      </c>
      <c r="E639" s="40">
        <f>IFERROR(__xludf.DUMMYFUNCTION("""COMPUTED_VALUE"""),45132.0)</f>
        <v>45132</v>
      </c>
      <c r="F639" s="9">
        <f>IFERROR(__xludf.DUMMYFUNCTION("""COMPUTED_VALUE"""),3.91)</f>
        <v>3.91</v>
      </c>
      <c r="H639" s="17"/>
      <c r="K639" s="17"/>
      <c r="N639" s="17"/>
    </row>
    <row r="640">
      <c r="B640" s="11">
        <f>IFERROR(__xludf.DUMMYFUNCTION("""COMPUTED_VALUE"""),45131.0)</f>
        <v>45131</v>
      </c>
      <c r="C640" s="9">
        <f>IFERROR(__xludf.DUMMYFUNCTION("""COMPUTED_VALUE"""),3.86)</f>
        <v>3.86</v>
      </c>
      <c r="E640" s="40">
        <f>IFERROR(__xludf.DUMMYFUNCTION("""COMPUTED_VALUE"""),45131.0)</f>
        <v>45131</v>
      </c>
      <c r="F640" s="9">
        <f>IFERROR(__xludf.DUMMYFUNCTION("""COMPUTED_VALUE"""),3.86)</f>
        <v>3.86</v>
      </c>
      <c r="H640" s="17"/>
      <c r="K640" s="17"/>
      <c r="N640" s="17"/>
    </row>
    <row r="641">
      <c r="B641" s="11">
        <f>IFERROR(__xludf.DUMMYFUNCTION("""COMPUTED_VALUE"""),45128.0)</f>
        <v>45128</v>
      </c>
      <c r="C641" s="9">
        <f>IFERROR(__xludf.DUMMYFUNCTION("""COMPUTED_VALUE"""),3.84)</f>
        <v>3.84</v>
      </c>
      <c r="E641" s="40">
        <f>IFERROR(__xludf.DUMMYFUNCTION("""COMPUTED_VALUE"""),45128.0)</f>
        <v>45128</v>
      </c>
      <c r="F641" s="9">
        <f>IFERROR(__xludf.DUMMYFUNCTION("""COMPUTED_VALUE"""),3.84)</f>
        <v>3.84</v>
      </c>
      <c r="H641" s="17"/>
      <c r="K641" s="17"/>
      <c r="N641" s="17"/>
    </row>
    <row r="642">
      <c r="B642" s="11">
        <f>IFERROR(__xludf.DUMMYFUNCTION("""COMPUTED_VALUE"""),45127.0)</f>
        <v>45127</v>
      </c>
      <c r="C642" s="9">
        <f>IFERROR(__xludf.DUMMYFUNCTION("""COMPUTED_VALUE"""),3.85)</f>
        <v>3.85</v>
      </c>
      <c r="E642" s="40">
        <f>IFERROR(__xludf.DUMMYFUNCTION("""COMPUTED_VALUE"""),45127.0)</f>
        <v>45127</v>
      </c>
      <c r="F642" s="9">
        <f>IFERROR(__xludf.DUMMYFUNCTION("""COMPUTED_VALUE"""),3.85)</f>
        <v>3.85</v>
      </c>
      <c r="H642" s="17"/>
      <c r="K642" s="17"/>
      <c r="N642" s="17"/>
    </row>
    <row r="643">
      <c r="B643" s="11">
        <f>IFERROR(__xludf.DUMMYFUNCTION("""COMPUTED_VALUE"""),45126.0)</f>
        <v>45126</v>
      </c>
      <c r="C643" s="9">
        <f>IFERROR(__xludf.DUMMYFUNCTION("""COMPUTED_VALUE"""),3.75)</f>
        <v>3.75</v>
      </c>
      <c r="E643" s="40">
        <f>IFERROR(__xludf.DUMMYFUNCTION("""COMPUTED_VALUE"""),45126.0)</f>
        <v>45126</v>
      </c>
      <c r="F643" s="9">
        <f>IFERROR(__xludf.DUMMYFUNCTION("""COMPUTED_VALUE"""),3.75)</f>
        <v>3.75</v>
      </c>
      <c r="H643" s="17"/>
      <c r="K643" s="17"/>
      <c r="N643" s="17"/>
    </row>
    <row r="644">
      <c r="B644" s="11">
        <f>IFERROR(__xludf.DUMMYFUNCTION("""COMPUTED_VALUE"""),45125.0)</f>
        <v>45125</v>
      </c>
      <c r="C644" s="9">
        <f>IFERROR(__xludf.DUMMYFUNCTION("""COMPUTED_VALUE"""),3.8)</f>
        <v>3.8</v>
      </c>
      <c r="E644" s="40">
        <f>IFERROR(__xludf.DUMMYFUNCTION("""COMPUTED_VALUE"""),45125.0)</f>
        <v>45125</v>
      </c>
      <c r="F644" s="9">
        <f>IFERROR(__xludf.DUMMYFUNCTION("""COMPUTED_VALUE"""),3.8)</f>
        <v>3.8</v>
      </c>
      <c r="H644" s="17"/>
      <c r="K644" s="17"/>
      <c r="N644" s="17"/>
    </row>
    <row r="645">
      <c r="B645" s="11">
        <f>IFERROR(__xludf.DUMMYFUNCTION("""COMPUTED_VALUE"""),45124.0)</f>
        <v>45124</v>
      </c>
      <c r="C645" s="9">
        <f>IFERROR(__xludf.DUMMYFUNCTION("""COMPUTED_VALUE"""),3.81)</f>
        <v>3.81</v>
      </c>
      <c r="E645" s="40">
        <f>IFERROR(__xludf.DUMMYFUNCTION("""COMPUTED_VALUE"""),45124.0)</f>
        <v>45124</v>
      </c>
      <c r="F645" s="9">
        <f>IFERROR(__xludf.DUMMYFUNCTION("""COMPUTED_VALUE"""),3.81)</f>
        <v>3.81</v>
      </c>
      <c r="H645" s="17"/>
      <c r="K645" s="17"/>
      <c r="N645" s="17"/>
    </row>
    <row r="646">
      <c r="B646" s="11">
        <f>IFERROR(__xludf.DUMMYFUNCTION("""COMPUTED_VALUE"""),45121.0)</f>
        <v>45121</v>
      </c>
      <c r="C646" s="9">
        <f>IFERROR(__xludf.DUMMYFUNCTION("""COMPUTED_VALUE"""),3.83)</f>
        <v>3.83</v>
      </c>
      <c r="E646" s="40">
        <f>IFERROR(__xludf.DUMMYFUNCTION("""COMPUTED_VALUE"""),45121.0)</f>
        <v>45121</v>
      </c>
      <c r="F646" s="9">
        <f>IFERROR(__xludf.DUMMYFUNCTION("""COMPUTED_VALUE"""),3.83)</f>
        <v>3.83</v>
      </c>
      <c r="H646" s="17"/>
      <c r="K646" s="17"/>
      <c r="N646" s="17"/>
    </row>
    <row r="647">
      <c r="B647" s="11">
        <f>IFERROR(__xludf.DUMMYFUNCTION("""COMPUTED_VALUE"""),45120.0)</f>
        <v>45120</v>
      </c>
      <c r="C647" s="9">
        <f>IFERROR(__xludf.DUMMYFUNCTION("""COMPUTED_VALUE"""),3.76)</f>
        <v>3.76</v>
      </c>
      <c r="E647" s="40">
        <f>IFERROR(__xludf.DUMMYFUNCTION("""COMPUTED_VALUE"""),45120.0)</f>
        <v>45120</v>
      </c>
      <c r="F647" s="9">
        <f>IFERROR(__xludf.DUMMYFUNCTION("""COMPUTED_VALUE"""),3.76)</f>
        <v>3.76</v>
      </c>
      <c r="H647" s="17"/>
      <c r="K647" s="17"/>
      <c r="N647" s="17"/>
    </row>
    <row r="648">
      <c r="B648" s="11">
        <f>IFERROR(__xludf.DUMMYFUNCTION("""COMPUTED_VALUE"""),45119.0)</f>
        <v>45119</v>
      </c>
      <c r="C648" s="9">
        <f>IFERROR(__xludf.DUMMYFUNCTION("""COMPUTED_VALUE"""),3.86)</f>
        <v>3.86</v>
      </c>
      <c r="E648" s="40">
        <f>IFERROR(__xludf.DUMMYFUNCTION("""COMPUTED_VALUE"""),45119.0)</f>
        <v>45119</v>
      </c>
      <c r="F648" s="9">
        <f>IFERROR(__xludf.DUMMYFUNCTION("""COMPUTED_VALUE"""),3.86)</f>
        <v>3.86</v>
      </c>
      <c r="H648" s="17"/>
      <c r="K648" s="17"/>
      <c r="N648" s="17"/>
    </row>
    <row r="649">
      <c r="B649" s="11">
        <f>IFERROR(__xludf.DUMMYFUNCTION("""COMPUTED_VALUE"""),45118.0)</f>
        <v>45118</v>
      </c>
      <c r="C649" s="9">
        <f>IFERROR(__xludf.DUMMYFUNCTION("""COMPUTED_VALUE"""),3.99)</f>
        <v>3.99</v>
      </c>
      <c r="E649" s="40">
        <f>IFERROR(__xludf.DUMMYFUNCTION("""COMPUTED_VALUE"""),45118.0)</f>
        <v>45118</v>
      </c>
      <c r="F649" s="9">
        <f>IFERROR(__xludf.DUMMYFUNCTION("""COMPUTED_VALUE"""),3.99)</f>
        <v>3.99</v>
      </c>
      <c r="H649" s="17"/>
      <c r="K649" s="17"/>
      <c r="N649" s="17"/>
    </row>
    <row r="650">
      <c r="B650" s="11">
        <f>IFERROR(__xludf.DUMMYFUNCTION("""COMPUTED_VALUE"""),45117.0)</f>
        <v>45117</v>
      </c>
      <c r="C650" s="9">
        <f>IFERROR(__xludf.DUMMYFUNCTION("""COMPUTED_VALUE"""),4.01)</f>
        <v>4.01</v>
      </c>
      <c r="E650" s="40">
        <f>IFERROR(__xludf.DUMMYFUNCTION("""COMPUTED_VALUE"""),45117.0)</f>
        <v>45117</v>
      </c>
      <c r="F650" s="9">
        <f>IFERROR(__xludf.DUMMYFUNCTION("""COMPUTED_VALUE"""),4.01)</f>
        <v>4.01</v>
      </c>
      <c r="H650" s="17"/>
      <c r="K650" s="17"/>
      <c r="N650" s="17"/>
    </row>
    <row r="651">
      <c r="B651" s="11">
        <f>IFERROR(__xludf.DUMMYFUNCTION("""COMPUTED_VALUE"""),45114.0)</f>
        <v>45114</v>
      </c>
      <c r="C651" s="9">
        <f>IFERROR(__xludf.DUMMYFUNCTION("""COMPUTED_VALUE"""),4.06)</f>
        <v>4.06</v>
      </c>
      <c r="E651" s="40">
        <f>IFERROR(__xludf.DUMMYFUNCTION("""COMPUTED_VALUE"""),45114.0)</f>
        <v>45114</v>
      </c>
      <c r="F651" s="9">
        <f>IFERROR(__xludf.DUMMYFUNCTION("""COMPUTED_VALUE"""),4.06)</f>
        <v>4.06</v>
      </c>
      <c r="H651" s="17"/>
      <c r="K651" s="17"/>
      <c r="N651" s="17"/>
    </row>
    <row r="652">
      <c r="B652" s="11">
        <f>IFERROR(__xludf.DUMMYFUNCTION("""COMPUTED_VALUE"""),45113.0)</f>
        <v>45113</v>
      </c>
      <c r="C652" s="9">
        <f>IFERROR(__xludf.DUMMYFUNCTION("""COMPUTED_VALUE"""),4.05)</f>
        <v>4.05</v>
      </c>
      <c r="E652" s="40">
        <f>IFERROR(__xludf.DUMMYFUNCTION("""COMPUTED_VALUE"""),45113.0)</f>
        <v>45113</v>
      </c>
      <c r="F652" s="9">
        <f>IFERROR(__xludf.DUMMYFUNCTION("""COMPUTED_VALUE"""),4.05)</f>
        <v>4.05</v>
      </c>
      <c r="H652" s="17"/>
      <c r="K652" s="17"/>
      <c r="N652" s="17"/>
    </row>
    <row r="653">
      <c r="B653" s="11">
        <f>IFERROR(__xludf.DUMMYFUNCTION("""COMPUTED_VALUE"""),45112.0)</f>
        <v>45112</v>
      </c>
      <c r="C653" s="9">
        <f>IFERROR(__xludf.DUMMYFUNCTION("""COMPUTED_VALUE"""),3.95)</f>
        <v>3.95</v>
      </c>
      <c r="E653" s="40">
        <f>IFERROR(__xludf.DUMMYFUNCTION("""COMPUTED_VALUE"""),45112.0)</f>
        <v>45112</v>
      </c>
      <c r="F653" s="9">
        <f>IFERROR(__xludf.DUMMYFUNCTION("""COMPUTED_VALUE"""),3.95)</f>
        <v>3.95</v>
      </c>
      <c r="H653" s="17"/>
      <c r="K653" s="17"/>
      <c r="N653" s="17"/>
    </row>
    <row r="654">
      <c r="B654" s="11">
        <f>IFERROR(__xludf.DUMMYFUNCTION("""COMPUTED_VALUE"""),45111.0)</f>
        <v>45111</v>
      </c>
      <c r="C654" s="9"/>
      <c r="E654" s="40">
        <f>IFERROR(__xludf.DUMMYFUNCTION("""COMPUTED_VALUE"""),45111.0)</f>
        <v>45111</v>
      </c>
      <c r="F654" s="9"/>
      <c r="H654" s="17"/>
      <c r="K654" s="17"/>
      <c r="N654" s="17"/>
    </row>
    <row r="655">
      <c r="B655" s="11">
        <f>IFERROR(__xludf.DUMMYFUNCTION("""COMPUTED_VALUE"""),45110.0)</f>
        <v>45110</v>
      </c>
      <c r="C655" s="9">
        <f>IFERROR(__xludf.DUMMYFUNCTION("""COMPUTED_VALUE"""),3.86)</f>
        <v>3.86</v>
      </c>
      <c r="E655" s="40">
        <f>IFERROR(__xludf.DUMMYFUNCTION("""COMPUTED_VALUE"""),45110.0)</f>
        <v>45110</v>
      </c>
      <c r="F655" s="9">
        <f>IFERROR(__xludf.DUMMYFUNCTION("""COMPUTED_VALUE"""),3.86)</f>
        <v>3.86</v>
      </c>
      <c r="H655" s="17"/>
      <c r="K655" s="17"/>
      <c r="N655" s="17"/>
    </row>
    <row r="656">
      <c r="B656" s="11">
        <f>IFERROR(__xludf.DUMMYFUNCTION("""COMPUTED_VALUE"""),45107.0)</f>
        <v>45107</v>
      </c>
      <c r="C656" s="9">
        <f>IFERROR(__xludf.DUMMYFUNCTION("""COMPUTED_VALUE"""),3.81)</f>
        <v>3.81</v>
      </c>
      <c r="E656" s="40">
        <f>IFERROR(__xludf.DUMMYFUNCTION("""COMPUTED_VALUE"""),45107.0)</f>
        <v>45107</v>
      </c>
      <c r="F656" s="9">
        <f>IFERROR(__xludf.DUMMYFUNCTION("""COMPUTED_VALUE"""),3.81)</f>
        <v>3.81</v>
      </c>
      <c r="H656" s="17"/>
      <c r="K656" s="17"/>
      <c r="N656" s="17"/>
    </row>
    <row r="657">
      <c r="B657" s="11">
        <f>IFERROR(__xludf.DUMMYFUNCTION("""COMPUTED_VALUE"""),45106.0)</f>
        <v>45106</v>
      </c>
      <c r="C657" s="9">
        <f>IFERROR(__xludf.DUMMYFUNCTION("""COMPUTED_VALUE"""),3.85)</f>
        <v>3.85</v>
      </c>
      <c r="E657" s="40">
        <f>IFERROR(__xludf.DUMMYFUNCTION("""COMPUTED_VALUE"""),45106.0)</f>
        <v>45106</v>
      </c>
      <c r="F657" s="9">
        <f>IFERROR(__xludf.DUMMYFUNCTION("""COMPUTED_VALUE"""),3.85)</f>
        <v>3.85</v>
      </c>
      <c r="H657" s="17"/>
      <c r="K657" s="17"/>
      <c r="N657" s="17"/>
    </row>
    <row r="658">
      <c r="B658" s="11">
        <f>IFERROR(__xludf.DUMMYFUNCTION("""COMPUTED_VALUE"""),45105.0)</f>
        <v>45105</v>
      </c>
      <c r="C658" s="9">
        <f>IFERROR(__xludf.DUMMYFUNCTION("""COMPUTED_VALUE"""),3.71)</f>
        <v>3.71</v>
      </c>
      <c r="E658" s="40">
        <f>IFERROR(__xludf.DUMMYFUNCTION("""COMPUTED_VALUE"""),45105.0)</f>
        <v>45105</v>
      </c>
      <c r="F658" s="9">
        <f>IFERROR(__xludf.DUMMYFUNCTION("""COMPUTED_VALUE"""),3.71)</f>
        <v>3.71</v>
      </c>
      <c r="H658" s="17"/>
      <c r="K658" s="17"/>
      <c r="N658" s="17"/>
    </row>
    <row r="659">
      <c r="B659" s="11">
        <f>IFERROR(__xludf.DUMMYFUNCTION("""COMPUTED_VALUE"""),45104.0)</f>
        <v>45104</v>
      </c>
      <c r="C659" s="9">
        <f>IFERROR(__xludf.DUMMYFUNCTION("""COMPUTED_VALUE"""),3.77)</f>
        <v>3.77</v>
      </c>
      <c r="E659" s="40">
        <f>IFERROR(__xludf.DUMMYFUNCTION("""COMPUTED_VALUE"""),45104.0)</f>
        <v>45104</v>
      </c>
      <c r="F659" s="9">
        <f>IFERROR(__xludf.DUMMYFUNCTION("""COMPUTED_VALUE"""),3.77)</f>
        <v>3.77</v>
      </c>
      <c r="H659" s="17"/>
      <c r="K659" s="17"/>
      <c r="N659" s="17"/>
    </row>
    <row r="660">
      <c r="B660" s="11">
        <f>IFERROR(__xludf.DUMMYFUNCTION("""COMPUTED_VALUE"""),45103.0)</f>
        <v>45103</v>
      </c>
      <c r="C660" s="9">
        <f>IFERROR(__xludf.DUMMYFUNCTION("""COMPUTED_VALUE"""),3.72)</f>
        <v>3.72</v>
      </c>
      <c r="E660" s="40">
        <f>IFERROR(__xludf.DUMMYFUNCTION("""COMPUTED_VALUE"""),45103.0)</f>
        <v>45103</v>
      </c>
      <c r="F660" s="9">
        <f>IFERROR(__xludf.DUMMYFUNCTION("""COMPUTED_VALUE"""),3.72)</f>
        <v>3.72</v>
      </c>
      <c r="H660" s="17"/>
      <c r="K660" s="17"/>
      <c r="N660" s="17"/>
    </row>
    <row r="661">
      <c r="B661" s="11">
        <f>IFERROR(__xludf.DUMMYFUNCTION("""COMPUTED_VALUE"""),45100.0)</f>
        <v>45100</v>
      </c>
      <c r="C661" s="9">
        <f>IFERROR(__xludf.DUMMYFUNCTION("""COMPUTED_VALUE"""),3.74)</f>
        <v>3.74</v>
      </c>
      <c r="E661" s="40">
        <f>IFERROR(__xludf.DUMMYFUNCTION("""COMPUTED_VALUE"""),45100.0)</f>
        <v>45100</v>
      </c>
      <c r="F661" s="9">
        <f>IFERROR(__xludf.DUMMYFUNCTION("""COMPUTED_VALUE"""),3.74)</f>
        <v>3.74</v>
      </c>
      <c r="H661" s="17"/>
      <c r="K661" s="17"/>
      <c r="N661" s="17"/>
    </row>
    <row r="662">
      <c r="B662" s="11">
        <f>IFERROR(__xludf.DUMMYFUNCTION("""COMPUTED_VALUE"""),45099.0)</f>
        <v>45099</v>
      </c>
      <c r="C662" s="9">
        <f>IFERROR(__xludf.DUMMYFUNCTION("""COMPUTED_VALUE"""),3.8)</f>
        <v>3.8</v>
      </c>
      <c r="E662" s="40">
        <f>IFERROR(__xludf.DUMMYFUNCTION("""COMPUTED_VALUE"""),45099.0)</f>
        <v>45099</v>
      </c>
      <c r="F662" s="9">
        <f>IFERROR(__xludf.DUMMYFUNCTION("""COMPUTED_VALUE"""),3.8)</f>
        <v>3.8</v>
      </c>
      <c r="H662" s="17"/>
      <c r="K662" s="17"/>
      <c r="N662" s="17"/>
    </row>
    <row r="663">
      <c r="B663" s="11">
        <f>IFERROR(__xludf.DUMMYFUNCTION("""COMPUTED_VALUE"""),45098.0)</f>
        <v>45098</v>
      </c>
      <c r="C663" s="9">
        <f>IFERROR(__xludf.DUMMYFUNCTION("""COMPUTED_VALUE"""),3.72)</f>
        <v>3.72</v>
      </c>
      <c r="E663" s="40">
        <f>IFERROR(__xludf.DUMMYFUNCTION("""COMPUTED_VALUE"""),45098.0)</f>
        <v>45098</v>
      </c>
      <c r="F663" s="9">
        <f>IFERROR(__xludf.DUMMYFUNCTION("""COMPUTED_VALUE"""),3.72)</f>
        <v>3.72</v>
      </c>
      <c r="H663" s="17"/>
      <c r="K663" s="17"/>
      <c r="N663" s="17"/>
    </row>
    <row r="664">
      <c r="B664" s="11">
        <f>IFERROR(__xludf.DUMMYFUNCTION("""COMPUTED_VALUE"""),45097.0)</f>
        <v>45097</v>
      </c>
      <c r="C664" s="9">
        <f>IFERROR(__xludf.DUMMYFUNCTION("""COMPUTED_VALUE"""),3.74)</f>
        <v>3.74</v>
      </c>
      <c r="E664" s="40">
        <f>IFERROR(__xludf.DUMMYFUNCTION("""COMPUTED_VALUE"""),45097.0)</f>
        <v>45097</v>
      </c>
      <c r="F664" s="9">
        <f>IFERROR(__xludf.DUMMYFUNCTION("""COMPUTED_VALUE"""),3.74)</f>
        <v>3.74</v>
      </c>
      <c r="H664" s="17"/>
      <c r="K664" s="17"/>
      <c r="N664" s="17"/>
    </row>
    <row r="665">
      <c r="B665" s="11">
        <f>IFERROR(__xludf.DUMMYFUNCTION("""COMPUTED_VALUE"""),45096.0)</f>
        <v>45096</v>
      </c>
      <c r="C665" s="9"/>
      <c r="E665" s="40">
        <f>IFERROR(__xludf.DUMMYFUNCTION("""COMPUTED_VALUE"""),45096.0)</f>
        <v>45096</v>
      </c>
      <c r="F665" s="9"/>
      <c r="H665" s="17"/>
      <c r="K665" s="17"/>
      <c r="N665" s="17"/>
    </row>
    <row r="666">
      <c r="B666" s="11">
        <f>IFERROR(__xludf.DUMMYFUNCTION("""COMPUTED_VALUE"""),45093.0)</f>
        <v>45093</v>
      </c>
      <c r="C666" s="9">
        <f>IFERROR(__xludf.DUMMYFUNCTION("""COMPUTED_VALUE"""),3.77)</f>
        <v>3.77</v>
      </c>
      <c r="E666" s="40">
        <f>IFERROR(__xludf.DUMMYFUNCTION("""COMPUTED_VALUE"""),45093.0)</f>
        <v>45093</v>
      </c>
      <c r="F666" s="9">
        <f>IFERROR(__xludf.DUMMYFUNCTION("""COMPUTED_VALUE"""),3.77)</f>
        <v>3.77</v>
      </c>
      <c r="H666" s="17"/>
      <c r="K666" s="17"/>
      <c r="N666" s="17"/>
    </row>
    <row r="667">
      <c r="B667" s="11">
        <f>IFERROR(__xludf.DUMMYFUNCTION("""COMPUTED_VALUE"""),45092.0)</f>
        <v>45092</v>
      </c>
      <c r="C667" s="9">
        <f>IFERROR(__xludf.DUMMYFUNCTION("""COMPUTED_VALUE"""),3.72)</f>
        <v>3.72</v>
      </c>
      <c r="E667" s="40">
        <f>IFERROR(__xludf.DUMMYFUNCTION("""COMPUTED_VALUE"""),45092.0)</f>
        <v>45092</v>
      </c>
      <c r="F667" s="9">
        <f>IFERROR(__xludf.DUMMYFUNCTION("""COMPUTED_VALUE"""),3.72)</f>
        <v>3.72</v>
      </c>
      <c r="H667" s="17"/>
      <c r="K667" s="17"/>
      <c r="N667" s="17"/>
    </row>
    <row r="668">
      <c r="B668" s="11">
        <f>IFERROR(__xludf.DUMMYFUNCTION("""COMPUTED_VALUE"""),45091.0)</f>
        <v>45091</v>
      </c>
      <c r="C668" s="9">
        <f>IFERROR(__xludf.DUMMYFUNCTION("""COMPUTED_VALUE"""),3.83)</f>
        <v>3.83</v>
      </c>
      <c r="E668" s="40">
        <f>IFERROR(__xludf.DUMMYFUNCTION("""COMPUTED_VALUE"""),45091.0)</f>
        <v>45091</v>
      </c>
      <c r="F668" s="9">
        <f>IFERROR(__xludf.DUMMYFUNCTION("""COMPUTED_VALUE"""),3.83)</f>
        <v>3.83</v>
      </c>
      <c r="H668" s="17"/>
      <c r="K668" s="17"/>
      <c r="N668" s="17"/>
    </row>
    <row r="669">
      <c r="B669" s="11">
        <f>IFERROR(__xludf.DUMMYFUNCTION("""COMPUTED_VALUE"""),45090.0)</f>
        <v>45090</v>
      </c>
      <c r="C669" s="9">
        <f>IFERROR(__xludf.DUMMYFUNCTION("""COMPUTED_VALUE"""),3.84)</f>
        <v>3.84</v>
      </c>
      <c r="E669" s="40">
        <f>IFERROR(__xludf.DUMMYFUNCTION("""COMPUTED_VALUE"""),45090.0)</f>
        <v>45090</v>
      </c>
      <c r="F669" s="9">
        <f>IFERROR(__xludf.DUMMYFUNCTION("""COMPUTED_VALUE"""),3.84)</f>
        <v>3.84</v>
      </c>
      <c r="H669" s="17"/>
      <c r="K669" s="17"/>
      <c r="N669" s="17"/>
    </row>
    <row r="670">
      <c r="B670" s="11">
        <f>IFERROR(__xludf.DUMMYFUNCTION("""COMPUTED_VALUE"""),45089.0)</f>
        <v>45089</v>
      </c>
      <c r="C670" s="9">
        <f>IFERROR(__xludf.DUMMYFUNCTION("""COMPUTED_VALUE"""),3.73)</f>
        <v>3.73</v>
      </c>
      <c r="E670" s="40">
        <f>IFERROR(__xludf.DUMMYFUNCTION("""COMPUTED_VALUE"""),45089.0)</f>
        <v>45089</v>
      </c>
      <c r="F670" s="9">
        <f>IFERROR(__xludf.DUMMYFUNCTION("""COMPUTED_VALUE"""),3.73)</f>
        <v>3.73</v>
      </c>
      <c r="H670" s="17"/>
      <c r="K670" s="17"/>
      <c r="N670" s="17"/>
    </row>
    <row r="671">
      <c r="B671" s="11">
        <f>IFERROR(__xludf.DUMMYFUNCTION("""COMPUTED_VALUE"""),45086.0)</f>
        <v>45086</v>
      </c>
      <c r="C671" s="9">
        <f>IFERROR(__xludf.DUMMYFUNCTION("""COMPUTED_VALUE"""),3.75)</f>
        <v>3.75</v>
      </c>
      <c r="E671" s="40">
        <f>IFERROR(__xludf.DUMMYFUNCTION("""COMPUTED_VALUE"""),45086.0)</f>
        <v>45086</v>
      </c>
      <c r="F671" s="9">
        <f>IFERROR(__xludf.DUMMYFUNCTION("""COMPUTED_VALUE"""),3.75)</f>
        <v>3.75</v>
      </c>
      <c r="H671" s="17"/>
      <c r="K671" s="17"/>
      <c r="N671" s="17"/>
    </row>
    <row r="672">
      <c r="B672" s="11">
        <f>IFERROR(__xludf.DUMMYFUNCTION("""COMPUTED_VALUE"""),45085.0)</f>
        <v>45085</v>
      </c>
      <c r="C672" s="9">
        <f>IFERROR(__xludf.DUMMYFUNCTION("""COMPUTED_VALUE"""),3.73)</f>
        <v>3.73</v>
      </c>
      <c r="E672" s="40">
        <f>IFERROR(__xludf.DUMMYFUNCTION("""COMPUTED_VALUE"""),45085.0)</f>
        <v>45085</v>
      </c>
      <c r="F672" s="9">
        <f>IFERROR(__xludf.DUMMYFUNCTION("""COMPUTED_VALUE"""),3.73)</f>
        <v>3.73</v>
      </c>
      <c r="H672" s="17"/>
      <c r="K672" s="17"/>
      <c r="N672" s="17"/>
    </row>
    <row r="673">
      <c r="B673" s="11">
        <f>IFERROR(__xludf.DUMMYFUNCTION("""COMPUTED_VALUE"""),45084.0)</f>
        <v>45084</v>
      </c>
      <c r="C673" s="9">
        <f>IFERROR(__xludf.DUMMYFUNCTION("""COMPUTED_VALUE"""),3.79)</f>
        <v>3.79</v>
      </c>
      <c r="E673" s="40">
        <f>IFERROR(__xludf.DUMMYFUNCTION("""COMPUTED_VALUE"""),45084.0)</f>
        <v>45084</v>
      </c>
      <c r="F673" s="9">
        <f>IFERROR(__xludf.DUMMYFUNCTION("""COMPUTED_VALUE"""),3.79)</f>
        <v>3.79</v>
      </c>
      <c r="H673" s="17"/>
      <c r="K673" s="17"/>
      <c r="N673" s="17"/>
    </row>
    <row r="674">
      <c r="B674" s="11">
        <f>IFERROR(__xludf.DUMMYFUNCTION("""COMPUTED_VALUE"""),45083.0)</f>
        <v>45083</v>
      </c>
      <c r="C674" s="9">
        <f>IFERROR(__xludf.DUMMYFUNCTION("""COMPUTED_VALUE"""),3.7)</f>
        <v>3.7</v>
      </c>
      <c r="E674" s="40">
        <f>IFERROR(__xludf.DUMMYFUNCTION("""COMPUTED_VALUE"""),45083.0)</f>
        <v>45083</v>
      </c>
      <c r="F674" s="9">
        <f>IFERROR(__xludf.DUMMYFUNCTION("""COMPUTED_VALUE"""),3.7)</f>
        <v>3.7</v>
      </c>
      <c r="H674" s="17"/>
      <c r="K674" s="17"/>
      <c r="N674" s="17"/>
    </row>
    <row r="675">
      <c r="B675" s="11">
        <f>IFERROR(__xludf.DUMMYFUNCTION("""COMPUTED_VALUE"""),45082.0)</f>
        <v>45082</v>
      </c>
      <c r="C675" s="9">
        <f>IFERROR(__xludf.DUMMYFUNCTION("""COMPUTED_VALUE"""),3.69)</f>
        <v>3.69</v>
      </c>
      <c r="E675" s="40">
        <f>IFERROR(__xludf.DUMMYFUNCTION("""COMPUTED_VALUE"""),45082.0)</f>
        <v>45082</v>
      </c>
      <c r="F675" s="9">
        <f>IFERROR(__xludf.DUMMYFUNCTION("""COMPUTED_VALUE"""),3.69)</f>
        <v>3.69</v>
      </c>
      <c r="H675" s="17"/>
      <c r="K675" s="17"/>
      <c r="N675" s="17"/>
    </row>
    <row r="676">
      <c r="B676" s="11">
        <f>IFERROR(__xludf.DUMMYFUNCTION("""COMPUTED_VALUE"""),45079.0)</f>
        <v>45079</v>
      </c>
      <c r="C676" s="9">
        <f>IFERROR(__xludf.DUMMYFUNCTION("""COMPUTED_VALUE"""),3.69)</f>
        <v>3.69</v>
      </c>
      <c r="E676" s="40">
        <f>IFERROR(__xludf.DUMMYFUNCTION("""COMPUTED_VALUE"""),45079.0)</f>
        <v>45079</v>
      </c>
      <c r="F676" s="9">
        <f>IFERROR(__xludf.DUMMYFUNCTION("""COMPUTED_VALUE"""),3.69)</f>
        <v>3.69</v>
      </c>
      <c r="H676" s="17"/>
      <c r="K676" s="17"/>
      <c r="N676" s="17"/>
    </row>
    <row r="677">
      <c r="B677" s="11">
        <f>IFERROR(__xludf.DUMMYFUNCTION("""COMPUTED_VALUE"""),45078.0)</f>
        <v>45078</v>
      </c>
      <c r="C677" s="9">
        <f>IFERROR(__xludf.DUMMYFUNCTION("""COMPUTED_VALUE"""),3.61)</f>
        <v>3.61</v>
      </c>
      <c r="E677" s="40">
        <f>IFERROR(__xludf.DUMMYFUNCTION("""COMPUTED_VALUE"""),45078.0)</f>
        <v>45078</v>
      </c>
      <c r="F677" s="9">
        <f>IFERROR(__xludf.DUMMYFUNCTION("""COMPUTED_VALUE"""),3.61)</f>
        <v>3.61</v>
      </c>
      <c r="H677" s="17"/>
      <c r="K677" s="17"/>
      <c r="N677" s="17"/>
    </row>
    <row r="678">
      <c r="B678" s="11">
        <f>IFERROR(__xludf.DUMMYFUNCTION("""COMPUTED_VALUE"""),45077.0)</f>
        <v>45077</v>
      </c>
      <c r="C678" s="9">
        <f>IFERROR(__xludf.DUMMYFUNCTION("""COMPUTED_VALUE"""),3.64)</f>
        <v>3.64</v>
      </c>
      <c r="E678" s="40">
        <f>IFERROR(__xludf.DUMMYFUNCTION("""COMPUTED_VALUE"""),45077.0)</f>
        <v>45077</v>
      </c>
      <c r="F678" s="9">
        <f>IFERROR(__xludf.DUMMYFUNCTION("""COMPUTED_VALUE"""),3.64)</f>
        <v>3.64</v>
      </c>
      <c r="H678" s="17"/>
      <c r="K678" s="17"/>
      <c r="N678" s="17"/>
    </row>
    <row r="679">
      <c r="B679" s="11">
        <f>IFERROR(__xludf.DUMMYFUNCTION("""COMPUTED_VALUE"""),45076.0)</f>
        <v>45076</v>
      </c>
      <c r="C679" s="9">
        <f>IFERROR(__xludf.DUMMYFUNCTION("""COMPUTED_VALUE"""),3.69)</f>
        <v>3.69</v>
      </c>
      <c r="E679" s="40">
        <f>IFERROR(__xludf.DUMMYFUNCTION("""COMPUTED_VALUE"""),45076.0)</f>
        <v>45076</v>
      </c>
      <c r="F679" s="9">
        <f>IFERROR(__xludf.DUMMYFUNCTION("""COMPUTED_VALUE"""),3.69)</f>
        <v>3.69</v>
      </c>
      <c r="H679" s="17"/>
      <c r="K679" s="17"/>
      <c r="N679" s="17"/>
    </row>
    <row r="680">
      <c r="B680" s="11">
        <f>IFERROR(__xludf.DUMMYFUNCTION("""COMPUTED_VALUE"""),45075.0)</f>
        <v>45075</v>
      </c>
      <c r="C680" s="9"/>
      <c r="E680" s="40">
        <f>IFERROR(__xludf.DUMMYFUNCTION("""COMPUTED_VALUE"""),45075.0)</f>
        <v>45075</v>
      </c>
      <c r="F680" s="9"/>
      <c r="H680" s="17"/>
      <c r="K680" s="17"/>
      <c r="N680" s="17"/>
    </row>
    <row r="681">
      <c r="B681" s="11">
        <f>IFERROR(__xludf.DUMMYFUNCTION("""COMPUTED_VALUE"""),45072.0)</f>
        <v>45072</v>
      </c>
      <c r="C681" s="9">
        <f>IFERROR(__xludf.DUMMYFUNCTION("""COMPUTED_VALUE"""),3.8)</f>
        <v>3.8</v>
      </c>
      <c r="E681" s="40">
        <f>IFERROR(__xludf.DUMMYFUNCTION("""COMPUTED_VALUE"""),45072.0)</f>
        <v>45072</v>
      </c>
      <c r="F681" s="9">
        <f>IFERROR(__xludf.DUMMYFUNCTION("""COMPUTED_VALUE"""),3.8)</f>
        <v>3.8</v>
      </c>
      <c r="H681" s="17"/>
      <c r="K681" s="17"/>
      <c r="N681" s="17"/>
    </row>
    <row r="682">
      <c r="B682" s="11">
        <f>IFERROR(__xludf.DUMMYFUNCTION("""COMPUTED_VALUE"""),45071.0)</f>
        <v>45071</v>
      </c>
      <c r="C682" s="9">
        <f>IFERROR(__xludf.DUMMYFUNCTION("""COMPUTED_VALUE"""),3.83)</f>
        <v>3.83</v>
      </c>
      <c r="E682" s="40">
        <f>IFERROR(__xludf.DUMMYFUNCTION("""COMPUTED_VALUE"""),45071.0)</f>
        <v>45071</v>
      </c>
      <c r="F682" s="9">
        <f>IFERROR(__xludf.DUMMYFUNCTION("""COMPUTED_VALUE"""),3.83)</f>
        <v>3.83</v>
      </c>
      <c r="H682" s="17"/>
      <c r="K682" s="17"/>
      <c r="N682" s="17"/>
    </row>
    <row r="683">
      <c r="B683" s="11">
        <f>IFERROR(__xludf.DUMMYFUNCTION("""COMPUTED_VALUE"""),45070.0)</f>
        <v>45070</v>
      </c>
      <c r="C683" s="9">
        <f>IFERROR(__xludf.DUMMYFUNCTION("""COMPUTED_VALUE"""),3.73)</f>
        <v>3.73</v>
      </c>
      <c r="E683" s="40">
        <f>IFERROR(__xludf.DUMMYFUNCTION("""COMPUTED_VALUE"""),45070.0)</f>
        <v>45070</v>
      </c>
      <c r="F683" s="9">
        <f>IFERROR(__xludf.DUMMYFUNCTION("""COMPUTED_VALUE"""),3.73)</f>
        <v>3.73</v>
      </c>
      <c r="H683" s="17"/>
      <c r="K683" s="17"/>
      <c r="N683" s="17"/>
    </row>
    <row r="684">
      <c r="B684" s="11">
        <f>IFERROR(__xludf.DUMMYFUNCTION("""COMPUTED_VALUE"""),45069.0)</f>
        <v>45069</v>
      </c>
      <c r="C684" s="9">
        <f>IFERROR(__xludf.DUMMYFUNCTION("""COMPUTED_VALUE"""),3.7)</f>
        <v>3.7</v>
      </c>
      <c r="E684" s="40">
        <f>IFERROR(__xludf.DUMMYFUNCTION("""COMPUTED_VALUE"""),45069.0)</f>
        <v>45069</v>
      </c>
      <c r="F684" s="9">
        <f>IFERROR(__xludf.DUMMYFUNCTION("""COMPUTED_VALUE"""),3.7)</f>
        <v>3.7</v>
      </c>
      <c r="H684" s="17"/>
      <c r="K684" s="17"/>
      <c r="N684" s="17"/>
    </row>
    <row r="685">
      <c r="B685" s="11">
        <f>IFERROR(__xludf.DUMMYFUNCTION("""COMPUTED_VALUE"""),45068.0)</f>
        <v>45068</v>
      </c>
      <c r="C685" s="9">
        <f>IFERROR(__xludf.DUMMYFUNCTION("""COMPUTED_VALUE"""),3.72)</f>
        <v>3.72</v>
      </c>
      <c r="E685" s="40">
        <f>IFERROR(__xludf.DUMMYFUNCTION("""COMPUTED_VALUE"""),45068.0)</f>
        <v>45068</v>
      </c>
      <c r="F685" s="9">
        <f>IFERROR(__xludf.DUMMYFUNCTION("""COMPUTED_VALUE"""),3.72)</f>
        <v>3.72</v>
      </c>
      <c r="H685" s="17"/>
      <c r="K685" s="17"/>
      <c r="N685" s="17"/>
    </row>
    <row r="686">
      <c r="B686" s="11">
        <f>IFERROR(__xludf.DUMMYFUNCTION("""COMPUTED_VALUE"""),45065.0)</f>
        <v>45065</v>
      </c>
      <c r="C686" s="9">
        <f>IFERROR(__xludf.DUMMYFUNCTION("""COMPUTED_VALUE"""),3.7)</f>
        <v>3.7</v>
      </c>
      <c r="E686" s="40">
        <f>IFERROR(__xludf.DUMMYFUNCTION("""COMPUTED_VALUE"""),45065.0)</f>
        <v>45065</v>
      </c>
      <c r="F686" s="9">
        <f>IFERROR(__xludf.DUMMYFUNCTION("""COMPUTED_VALUE"""),3.7)</f>
        <v>3.7</v>
      </c>
      <c r="H686" s="17"/>
      <c r="K686" s="17"/>
      <c r="N686" s="17"/>
    </row>
    <row r="687">
      <c r="B687" s="11">
        <f>IFERROR(__xludf.DUMMYFUNCTION("""COMPUTED_VALUE"""),45064.0)</f>
        <v>45064</v>
      </c>
      <c r="C687" s="9">
        <f>IFERROR(__xludf.DUMMYFUNCTION("""COMPUTED_VALUE"""),3.65)</f>
        <v>3.65</v>
      </c>
      <c r="E687" s="40">
        <f>IFERROR(__xludf.DUMMYFUNCTION("""COMPUTED_VALUE"""),45064.0)</f>
        <v>45064</v>
      </c>
      <c r="F687" s="9">
        <f>IFERROR(__xludf.DUMMYFUNCTION("""COMPUTED_VALUE"""),3.65)</f>
        <v>3.65</v>
      </c>
      <c r="H687" s="17"/>
      <c r="K687" s="17"/>
      <c r="N687" s="17"/>
    </row>
    <row r="688">
      <c r="B688" s="11">
        <f>IFERROR(__xludf.DUMMYFUNCTION("""COMPUTED_VALUE"""),45063.0)</f>
        <v>45063</v>
      </c>
      <c r="C688" s="9">
        <f>IFERROR(__xludf.DUMMYFUNCTION("""COMPUTED_VALUE"""),3.57)</f>
        <v>3.57</v>
      </c>
      <c r="E688" s="40">
        <f>IFERROR(__xludf.DUMMYFUNCTION("""COMPUTED_VALUE"""),45063.0)</f>
        <v>45063</v>
      </c>
      <c r="F688" s="9">
        <f>IFERROR(__xludf.DUMMYFUNCTION("""COMPUTED_VALUE"""),3.57)</f>
        <v>3.57</v>
      </c>
      <c r="H688" s="17"/>
      <c r="K688" s="17"/>
      <c r="N688" s="17"/>
    </row>
    <row r="689">
      <c r="B689" s="11">
        <f>IFERROR(__xludf.DUMMYFUNCTION("""COMPUTED_VALUE"""),45062.0)</f>
        <v>45062</v>
      </c>
      <c r="C689" s="9">
        <f>IFERROR(__xludf.DUMMYFUNCTION("""COMPUTED_VALUE"""),3.54)</f>
        <v>3.54</v>
      </c>
      <c r="E689" s="40">
        <f>IFERROR(__xludf.DUMMYFUNCTION("""COMPUTED_VALUE"""),45062.0)</f>
        <v>45062</v>
      </c>
      <c r="F689" s="9">
        <f>IFERROR(__xludf.DUMMYFUNCTION("""COMPUTED_VALUE"""),3.54)</f>
        <v>3.54</v>
      </c>
      <c r="H689" s="17"/>
      <c r="K689" s="17"/>
      <c r="N689" s="17"/>
    </row>
    <row r="690">
      <c r="B690" s="11">
        <f>IFERROR(__xludf.DUMMYFUNCTION("""COMPUTED_VALUE"""),45061.0)</f>
        <v>45061</v>
      </c>
      <c r="C690" s="9">
        <f>IFERROR(__xludf.DUMMYFUNCTION("""COMPUTED_VALUE"""),3.5)</f>
        <v>3.5</v>
      </c>
      <c r="E690" s="40">
        <f>IFERROR(__xludf.DUMMYFUNCTION("""COMPUTED_VALUE"""),45061.0)</f>
        <v>45061</v>
      </c>
      <c r="F690" s="9">
        <f>IFERROR(__xludf.DUMMYFUNCTION("""COMPUTED_VALUE"""),3.5)</f>
        <v>3.5</v>
      </c>
      <c r="H690" s="17"/>
      <c r="K690" s="17"/>
      <c r="N690" s="17"/>
    </row>
    <row r="691">
      <c r="B691" s="11">
        <f>IFERROR(__xludf.DUMMYFUNCTION("""COMPUTED_VALUE"""),45058.0)</f>
        <v>45058</v>
      </c>
      <c r="C691" s="9">
        <f>IFERROR(__xludf.DUMMYFUNCTION("""COMPUTED_VALUE"""),3.46)</f>
        <v>3.46</v>
      </c>
      <c r="E691" s="40">
        <f>IFERROR(__xludf.DUMMYFUNCTION("""COMPUTED_VALUE"""),45058.0)</f>
        <v>45058</v>
      </c>
      <c r="F691" s="9">
        <f>IFERROR(__xludf.DUMMYFUNCTION("""COMPUTED_VALUE"""),3.46)</f>
        <v>3.46</v>
      </c>
      <c r="H691" s="17"/>
      <c r="K691" s="17"/>
      <c r="N691" s="17"/>
    </row>
    <row r="692">
      <c r="B692" s="11">
        <f>IFERROR(__xludf.DUMMYFUNCTION("""COMPUTED_VALUE"""),45057.0)</f>
        <v>45057</v>
      </c>
      <c r="C692" s="9">
        <f>IFERROR(__xludf.DUMMYFUNCTION("""COMPUTED_VALUE"""),3.39)</f>
        <v>3.39</v>
      </c>
      <c r="E692" s="40">
        <f>IFERROR(__xludf.DUMMYFUNCTION("""COMPUTED_VALUE"""),45057.0)</f>
        <v>45057</v>
      </c>
      <c r="F692" s="9">
        <f>IFERROR(__xludf.DUMMYFUNCTION("""COMPUTED_VALUE"""),3.39)</f>
        <v>3.39</v>
      </c>
      <c r="H692" s="17"/>
      <c r="K692" s="17"/>
      <c r="N692" s="17"/>
    </row>
    <row r="693">
      <c r="B693" s="11">
        <f>IFERROR(__xludf.DUMMYFUNCTION("""COMPUTED_VALUE"""),45056.0)</f>
        <v>45056</v>
      </c>
      <c r="C693" s="9">
        <f>IFERROR(__xludf.DUMMYFUNCTION("""COMPUTED_VALUE"""),3.43)</f>
        <v>3.43</v>
      </c>
      <c r="E693" s="40">
        <f>IFERROR(__xludf.DUMMYFUNCTION("""COMPUTED_VALUE"""),45056.0)</f>
        <v>45056</v>
      </c>
      <c r="F693" s="9">
        <f>IFERROR(__xludf.DUMMYFUNCTION("""COMPUTED_VALUE"""),3.43)</f>
        <v>3.43</v>
      </c>
      <c r="H693" s="17"/>
      <c r="K693" s="17"/>
      <c r="N693" s="17"/>
    </row>
    <row r="694">
      <c r="B694" s="11">
        <f>IFERROR(__xludf.DUMMYFUNCTION("""COMPUTED_VALUE"""),45055.0)</f>
        <v>45055</v>
      </c>
      <c r="C694" s="9">
        <f>IFERROR(__xludf.DUMMYFUNCTION("""COMPUTED_VALUE"""),3.53)</f>
        <v>3.53</v>
      </c>
      <c r="E694" s="40">
        <f>IFERROR(__xludf.DUMMYFUNCTION("""COMPUTED_VALUE"""),45055.0)</f>
        <v>45055</v>
      </c>
      <c r="F694" s="9">
        <f>IFERROR(__xludf.DUMMYFUNCTION("""COMPUTED_VALUE"""),3.53)</f>
        <v>3.53</v>
      </c>
      <c r="H694" s="17"/>
      <c r="K694" s="17"/>
      <c r="N694" s="17"/>
    </row>
    <row r="695">
      <c r="B695" s="11">
        <f>IFERROR(__xludf.DUMMYFUNCTION("""COMPUTED_VALUE"""),45054.0)</f>
        <v>45054</v>
      </c>
      <c r="C695" s="9">
        <f>IFERROR(__xludf.DUMMYFUNCTION("""COMPUTED_VALUE"""),3.52)</f>
        <v>3.52</v>
      </c>
      <c r="E695" s="40">
        <f>IFERROR(__xludf.DUMMYFUNCTION("""COMPUTED_VALUE"""),45054.0)</f>
        <v>45054</v>
      </c>
      <c r="F695" s="9">
        <f>IFERROR(__xludf.DUMMYFUNCTION("""COMPUTED_VALUE"""),3.52)</f>
        <v>3.52</v>
      </c>
      <c r="H695" s="17"/>
      <c r="K695" s="17"/>
      <c r="N695" s="17"/>
    </row>
    <row r="696">
      <c r="B696" s="11">
        <f>IFERROR(__xludf.DUMMYFUNCTION("""COMPUTED_VALUE"""),45051.0)</f>
        <v>45051</v>
      </c>
      <c r="C696" s="9">
        <f>IFERROR(__xludf.DUMMYFUNCTION("""COMPUTED_VALUE"""),3.44)</f>
        <v>3.44</v>
      </c>
      <c r="E696" s="40">
        <f>IFERROR(__xludf.DUMMYFUNCTION("""COMPUTED_VALUE"""),45051.0)</f>
        <v>45051</v>
      </c>
      <c r="F696" s="9">
        <f>IFERROR(__xludf.DUMMYFUNCTION("""COMPUTED_VALUE"""),3.44)</f>
        <v>3.44</v>
      </c>
      <c r="H696" s="17"/>
      <c r="K696" s="17"/>
      <c r="N696" s="17"/>
    </row>
    <row r="697">
      <c r="B697" s="11">
        <f>IFERROR(__xludf.DUMMYFUNCTION("""COMPUTED_VALUE"""),45050.0)</f>
        <v>45050</v>
      </c>
      <c r="C697" s="9">
        <f>IFERROR(__xludf.DUMMYFUNCTION("""COMPUTED_VALUE"""),3.37)</f>
        <v>3.37</v>
      </c>
      <c r="E697" s="40">
        <f>IFERROR(__xludf.DUMMYFUNCTION("""COMPUTED_VALUE"""),45050.0)</f>
        <v>45050</v>
      </c>
      <c r="F697" s="9">
        <f>IFERROR(__xludf.DUMMYFUNCTION("""COMPUTED_VALUE"""),3.37)</f>
        <v>3.37</v>
      </c>
      <c r="H697" s="17"/>
      <c r="K697" s="17"/>
      <c r="N697" s="17"/>
    </row>
    <row r="698">
      <c r="B698" s="11">
        <f>IFERROR(__xludf.DUMMYFUNCTION("""COMPUTED_VALUE"""),45049.0)</f>
        <v>45049</v>
      </c>
      <c r="C698" s="9">
        <f>IFERROR(__xludf.DUMMYFUNCTION("""COMPUTED_VALUE"""),3.38)</f>
        <v>3.38</v>
      </c>
      <c r="E698" s="40">
        <f>IFERROR(__xludf.DUMMYFUNCTION("""COMPUTED_VALUE"""),45049.0)</f>
        <v>45049</v>
      </c>
      <c r="F698" s="9">
        <f>IFERROR(__xludf.DUMMYFUNCTION("""COMPUTED_VALUE"""),3.38)</f>
        <v>3.38</v>
      </c>
      <c r="H698" s="17"/>
      <c r="K698" s="17"/>
      <c r="N698" s="17"/>
    </row>
    <row r="699">
      <c r="B699" s="11">
        <f>IFERROR(__xludf.DUMMYFUNCTION("""COMPUTED_VALUE"""),45048.0)</f>
        <v>45048</v>
      </c>
      <c r="C699" s="9">
        <f>IFERROR(__xludf.DUMMYFUNCTION("""COMPUTED_VALUE"""),3.44)</f>
        <v>3.44</v>
      </c>
      <c r="E699" s="40">
        <f>IFERROR(__xludf.DUMMYFUNCTION("""COMPUTED_VALUE"""),45048.0)</f>
        <v>45048</v>
      </c>
      <c r="F699" s="9">
        <f>IFERROR(__xludf.DUMMYFUNCTION("""COMPUTED_VALUE"""),3.44)</f>
        <v>3.44</v>
      </c>
      <c r="H699" s="17"/>
      <c r="K699" s="17"/>
      <c r="N699" s="17"/>
    </row>
    <row r="700">
      <c r="B700" s="11">
        <f>IFERROR(__xludf.DUMMYFUNCTION("""COMPUTED_VALUE"""),45047.0)</f>
        <v>45047</v>
      </c>
      <c r="C700" s="9">
        <f>IFERROR(__xludf.DUMMYFUNCTION("""COMPUTED_VALUE"""),3.59)</f>
        <v>3.59</v>
      </c>
      <c r="E700" s="40">
        <f>IFERROR(__xludf.DUMMYFUNCTION("""COMPUTED_VALUE"""),45047.0)</f>
        <v>45047</v>
      </c>
      <c r="F700" s="9">
        <f>IFERROR(__xludf.DUMMYFUNCTION("""COMPUTED_VALUE"""),3.59)</f>
        <v>3.59</v>
      </c>
      <c r="H700" s="17"/>
      <c r="K700" s="17"/>
      <c r="N700" s="17"/>
    </row>
    <row r="701">
      <c r="B701" s="11">
        <f>IFERROR(__xludf.DUMMYFUNCTION("""COMPUTED_VALUE"""),45044.0)</f>
        <v>45044</v>
      </c>
      <c r="C701" s="9">
        <f>IFERROR(__xludf.DUMMYFUNCTION("""COMPUTED_VALUE"""),3.44)</f>
        <v>3.44</v>
      </c>
      <c r="E701" s="40">
        <f>IFERROR(__xludf.DUMMYFUNCTION("""COMPUTED_VALUE"""),45044.0)</f>
        <v>45044</v>
      </c>
      <c r="F701" s="9">
        <f>IFERROR(__xludf.DUMMYFUNCTION("""COMPUTED_VALUE"""),3.44)</f>
        <v>3.44</v>
      </c>
      <c r="H701" s="17"/>
      <c r="K701" s="17"/>
      <c r="N701" s="17"/>
    </row>
    <row r="702">
      <c r="B702" s="11">
        <f>IFERROR(__xludf.DUMMYFUNCTION("""COMPUTED_VALUE"""),45043.0)</f>
        <v>45043</v>
      </c>
      <c r="C702" s="9">
        <f>IFERROR(__xludf.DUMMYFUNCTION("""COMPUTED_VALUE"""),3.53)</f>
        <v>3.53</v>
      </c>
      <c r="E702" s="40">
        <f>IFERROR(__xludf.DUMMYFUNCTION("""COMPUTED_VALUE"""),45043.0)</f>
        <v>45043</v>
      </c>
      <c r="F702" s="9">
        <f>IFERROR(__xludf.DUMMYFUNCTION("""COMPUTED_VALUE"""),3.53)</f>
        <v>3.53</v>
      </c>
      <c r="H702" s="17"/>
      <c r="K702" s="17"/>
      <c r="N702" s="17"/>
    </row>
    <row r="703">
      <c r="B703" s="11">
        <f>IFERROR(__xludf.DUMMYFUNCTION("""COMPUTED_VALUE"""),45042.0)</f>
        <v>45042</v>
      </c>
      <c r="C703" s="9">
        <f>IFERROR(__xludf.DUMMYFUNCTION("""COMPUTED_VALUE"""),3.43)</f>
        <v>3.43</v>
      </c>
      <c r="E703" s="40">
        <f>IFERROR(__xludf.DUMMYFUNCTION("""COMPUTED_VALUE"""),45042.0)</f>
        <v>45042</v>
      </c>
      <c r="F703" s="9">
        <f>IFERROR(__xludf.DUMMYFUNCTION("""COMPUTED_VALUE"""),3.43)</f>
        <v>3.43</v>
      </c>
      <c r="H703" s="17"/>
      <c r="K703" s="17"/>
      <c r="N703" s="17"/>
    </row>
    <row r="704">
      <c r="B704" s="11">
        <f>IFERROR(__xludf.DUMMYFUNCTION("""COMPUTED_VALUE"""),45041.0)</f>
        <v>45041</v>
      </c>
      <c r="C704" s="9">
        <f>IFERROR(__xludf.DUMMYFUNCTION("""COMPUTED_VALUE"""),3.4)</f>
        <v>3.4</v>
      </c>
      <c r="E704" s="40">
        <f>IFERROR(__xludf.DUMMYFUNCTION("""COMPUTED_VALUE"""),45041.0)</f>
        <v>45041</v>
      </c>
      <c r="F704" s="9">
        <f>IFERROR(__xludf.DUMMYFUNCTION("""COMPUTED_VALUE"""),3.4)</f>
        <v>3.4</v>
      </c>
      <c r="H704" s="17"/>
      <c r="K704" s="17"/>
      <c r="N704" s="17"/>
    </row>
    <row r="705">
      <c r="B705" s="11">
        <f>IFERROR(__xludf.DUMMYFUNCTION("""COMPUTED_VALUE"""),45040.0)</f>
        <v>45040</v>
      </c>
      <c r="C705" s="9">
        <f>IFERROR(__xludf.DUMMYFUNCTION("""COMPUTED_VALUE"""),3.52)</f>
        <v>3.52</v>
      </c>
      <c r="E705" s="40">
        <f>IFERROR(__xludf.DUMMYFUNCTION("""COMPUTED_VALUE"""),45040.0)</f>
        <v>45040</v>
      </c>
      <c r="F705" s="9">
        <f>IFERROR(__xludf.DUMMYFUNCTION("""COMPUTED_VALUE"""),3.52)</f>
        <v>3.52</v>
      </c>
      <c r="H705" s="17"/>
      <c r="K705" s="17"/>
      <c r="N705" s="17"/>
    </row>
    <row r="706">
      <c r="B706" s="11">
        <f>IFERROR(__xludf.DUMMYFUNCTION("""COMPUTED_VALUE"""),45037.0)</f>
        <v>45037</v>
      </c>
      <c r="C706" s="9">
        <f>IFERROR(__xludf.DUMMYFUNCTION("""COMPUTED_VALUE"""),3.57)</f>
        <v>3.57</v>
      </c>
      <c r="E706" s="40">
        <f>IFERROR(__xludf.DUMMYFUNCTION("""COMPUTED_VALUE"""),45037.0)</f>
        <v>45037</v>
      </c>
      <c r="F706" s="9">
        <f>IFERROR(__xludf.DUMMYFUNCTION("""COMPUTED_VALUE"""),3.57)</f>
        <v>3.57</v>
      </c>
      <c r="H706" s="17"/>
      <c r="K706" s="17"/>
      <c r="N706" s="17"/>
    </row>
    <row r="707">
      <c r="B707" s="11">
        <f>IFERROR(__xludf.DUMMYFUNCTION("""COMPUTED_VALUE"""),45036.0)</f>
        <v>45036</v>
      </c>
      <c r="C707" s="9">
        <f>IFERROR(__xludf.DUMMYFUNCTION("""COMPUTED_VALUE"""),3.54)</f>
        <v>3.54</v>
      </c>
      <c r="E707" s="40">
        <f>IFERROR(__xludf.DUMMYFUNCTION("""COMPUTED_VALUE"""),45036.0)</f>
        <v>45036</v>
      </c>
      <c r="F707" s="9">
        <f>IFERROR(__xludf.DUMMYFUNCTION("""COMPUTED_VALUE"""),3.54)</f>
        <v>3.54</v>
      </c>
      <c r="H707" s="17"/>
      <c r="K707" s="17"/>
      <c r="N707" s="17"/>
    </row>
    <row r="708">
      <c r="B708" s="11">
        <f>IFERROR(__xludf.DUMMYFUNCTION("""COMPUTED_VALUE"""),45035.0)</f>
        <v>45035</v>
      </c>
      <c r="C708" s="9">
        <f>IFERROR(__xludf.DUMMYFUNCTION("""COMPUTED_VALUE"""),3.6)</f>
        <v>3.6</v>
      </c>
      <c r="E708" s="40">
        <f>IFERROR(__xludf.DUMMYFUNCTION("""COMPUTED_VALUE"""),45035.0)</f>
        <v>45035</v>
      </c>
      <c r="F708" s="9">
        <f>IFERROR(__xludf.DUMMYFUNCTION("""COMPUTED_VALUE"""),3.6)</f>
        <v>3.6</v>
      </c>
      <c r="H708" s="17"/>
      <c r="K708" s="17"/>
      <c r="N708" s="17"/>
    </row>
    <row r="709">
      <c r="B709" s="11">
        <f>IFERROR(__xludf.DUMMYFUNCTION("""COMPUTED_VALUE"""),45034.0)</f>
        <v>45034</v>
      </c>
      <c r="C709" s="9">
        <f>IFERROR(__xludf.DUMMYFUNCTION("""COMPUTED_VALUE"""),3.58)</f>
        <v>3.58</v>
      </c>
      <c r="E709" s="40">
        <f>IFERROR(__xludf.DUMMYFUNCTION("""COMPUTED_VALUE"""),45034.0)</f>
        <v>45034</v>
      </c>
      <c r="F709" s="9">
        <f>IFERROR(__xludf.DUMMYFUNCTION("""COMPUTED_VALUE"""),3.58)</f>
        <v>3.58</v>
      </c>
      <c r="H709" s="17"/>
      <c r="K709" s="17"/>
      <c r="N709" s="17"/>
    </row>
    <row r="710">
      <c r="B710" s="11">
        <f>IFERROR(__xludf.DUMMYFUNCTION("""COMPUTED_VALUE"""),45033.0)</f>
        <v>45033</v>
      </c>
      <c r="C710" s="9">
        <f>IFERROR(__xludf.DUMMYFUNCTION("""COMPUTED_VALUE"""),3.6)</f>
        <v>3.6</v>
      </c>
      <c r="E710" s="40">
        <f>IFERROR(__xludf.DUMMYFUNCTION("""COMPUTED_VALUE"""),45033.0)</f>
        <v>45033</v>
      </c>
      <c r="F710" s="9">
        <f>IFERROR(__xludf.DUMMYFUNCTION("""COMPUTED_VALUE"""),3.6)</f>
        <v>3.6</v>
      </c>
      <c r="H710" s="17"/>
      <c r="K710" s="17"/>
      <c r="N710" s="17"/>
    </row>
    <row r="711">
      <c r="B711" s="11">
        <f>IFERROR(__xludf.DUMMYFUNCTION("""COMPUTED_VALUE"""),45030.0)</f>
        <v>45030</v>
      </c>
      <c r="C711" s="9">
        <f>IFERROR(__xludf.DUMMYFUNCTION("""COMPUTED_VALUE"""),3.52)</f>
        <v>3.52</v>
      </c>
      <c r="E711" s="40">
        <f>IFERROR(__xludf.DUMMYFUNCTION("""COMPUTED_VALUE"""),45030.0)</f>
        <v>45030</v>
      </c>
      <c r="F711" s="9">
        <f>IFERROR(__xludf.DUMMYFUNCTION("""COMPUTED_VALUE"""),3.52)</f>
        <v>3.52</v>
      </c>
      <c r="H711" s="17"/>
      <c r="K711" s="17"/>
      <c r="N711" s="17"/>
    </row>
    <row r="712">
      <c r="B712" s="11">
        <f>IFERROR(__xludf.DUMMYFUNCTION("""COMPUTED_VALUE"""),45029.0)</f>
        <v>45029</v>
      </c>
      <c r="C712" s="9">
        <f>IFERROR(__xludf.DUMMYFUNCTION("""COMPUTED_VALUE"""),3.45)</f>
        <v>3.45</v>
      </c>
      <c r="E712" s="40">
        <f>IFERROR(__xludf.DUMMYFUNCTION("""COMPUTED_VALUE"""),45029.0)</f>
        <v>45029</v>
      </c>
      <c r="F712" s="9">
        <f>IFERROR(__xludf.DUMMYFUNCTION("""COMPUTED_VALUE"""),3.45)</f>
        <v>3.45</v>
      </c>
      <c r="H712" s="17"/>
      <c r="K712" s="17"/>
      <c r="N712" s="17"/>
    </row>
    <row r="713">
      <c r="B713" s="11">
        <f>IFERROR(__xludf.DUMMYFUNCTION("""COMPUTED_VALUE"""),45028.0)</f>
        <v>45028</v>
      </c>
      <c r="C713" s="9">
        <f>IFERROR(__xludf.DUMMYFUNCTION("""COMPUTED_VALUE"""),3.41)</f>
        <v>3.41</v>
      </c>
      <c r="E713" s="40">
        <f>IFERROR(__xludf.DUMMYFUNCTION("""COMPUTED_VALUE"""),45028.0)</f>
        <v>45028</v>
      </c>
      <c r="F713" s="9">
        <f>IFERROR(__xludf.DUMMYFUNCTION("""COMPUTED_VALUE"""),3.41)</f>
        <v>3.41</v>
      </c>
      <c r="H713" s="17"/>
      <c r="K713" s="17"/>
      <c r="N713" s="17"/>
    </row>
    <row r="714">
      <c r="B714" s="11">
        <f>IFERROR(__xludf.DUMMYFUNCTION("""COMPUTED_VALUE"""),45027.0)</f>
        <v>45027</v>
      </c>
      <c r="C714" s="9">
        <f>IFERROR(__xludf.DUMMYFUNCTION("""COMPUTED_VALUE"""),3.43)</f>
        <v>3.43</v>
      </c>
      <c r="E714" s="40">
        <f>IFERROR(__xludf.DUMMYFUNCTION("""COMPUTED_VALUE"""),45027.0)</f>
        <v>45027</v>
      </c>
      <c r="F714" s="9">
        <f>IFERROR(__xludf.DUMMYFUNCTION("""COMPUTED_VALUE"""),3.43)</f>
        <v>3.43</v>
      </c>
      <c r="H714" s="17"/>
      <c r="K714" s="17"/>
      <c r="N714" s="17"/>
    </row>
    <row r="715">
      <c r="B715" s="11">
        <f>IFERROR(__xludf.DUMMYFUNCTION("""COMPUTED_VALUE"""),45026.0)</f>
        <v>45026</v>
      </c>
      <c r="C715" s="9">
        <f>IFERROR(__xludf.DUMMYFUNCTION("""COMPUTED_VALUE"""),3.41)</f>
        <v>3.41</v>
      </c>
      <c r="E715" s="40">
        <f>IFERROR(__xludf.DUMMYFUNCTION("""COMPUTED_VALUE"""),45026.0)</f>
        <v>45026</v>
      </c>
      <c r="F715" s="9">
        <f>IFERROR(__xludf.DUMMYFUNCTION("""COMPUTED_VALUE"""),3.41)</f>
        <v>3.41</v>
      </c>
      <c r="H715" s="17"/>
      <c r="K715" s="17"/>
      <c r="N715" s="17"/>
    </row>
    <row r="716">
      <c r="B716" s="11">
        <f>IFERROR(__xludf.DUMMYFUNCTION("""COMPUTED_VALUE"""),45023.0)</f>
        <v>45023</v>
      </c>
      <c r="C716" s="9">
        <f>IFERROR(__xludf.DUMMYFUNCTION("""COMPUTED_VALUE"""),3.39)</f>
        <v>3.39</v>
      </c>
      <c r="E716" s="40">
        <f>IFERROR(__xludf.DUMMYFUNCTION("""COMPUTED_VALUE"""),45023.0)</f>
        <v>45023</v>
      </c>
      <c r="F716" s="9">
        <f>IFERROR(__xludf.DUMMYFUNCTION("""COMPUTED_VALUE"""),3.39)</f>
        <v>3.39</v>
      </c>
      <c r="H716" s="17"/>
      <c r="K716" s="17"/>
      <c r="N716" s="17"/>
    </row>
    <row r="717">
      <c r="B717" s="11">
        <f>IFERROR(__xludf.DUMMYFUNCTION("""COMPUTED_VALUE"""),45022.0)</f>
        <v>45022</v>
      </c>
      <c r="C717" s="9">
        <f>IFERROR(__xludf.DUMMYFUNCTION("""COMPUTED_VALUE"""),3.3)</f>
        <v>3.3</v>
      </c>
      <c r="E717" s="40">
        <f>IFERROR(__xludf.DUMMYFUNCTION("""COMPUTED_VALUE"""),45022.0)</f>
        <v>45022</v>
      </c>
      <c r="F717" s="9">
        <f>IFERROR(__xludf.DUMMYFUNCTION("""COMPUTED_VALUE"""),3.3)</f>
        <v>3.3</v>
      </c>
      <c r="H717" s="17"/>
      <c r="K717" s="17"/>
      <c r="N717" s="17"/>
    </row>
    <row r="718">
      <c r="B718" s="11">
        <f>IFERROR(__xludf.DUMMYFUNCTION("""COMPUTED_VALUE"""),45021.0)</f>
        <v>45021</v>
      </c>
      <c r="C718" s="9">
        <f>IFERROR(__xludf.DUMMYFUNCTION("""COMPUTED_VALUE"""),3.3)</f>
        <v>3.3</v>
      </c>
      <c r="E718" s="40">
        <f>IFERROR(__xludf.DUMMYFUNCTION("""COMPUTED_VALUE"""),45021.0)</f>
        <v>45021</v>
      </c>
      <c r="F718" s="9">
        <f>IFERROR(__xludf.DUMMYFUNCTION("""COMPUTED_VALUE"""),3.3)</f>
        <v>3.3</v>
      </c>
      <c r="H718" s="17"/>
      <c r="K718" s="17"/>
      <c r="N718" s="17"/>
    </row>
    <row r="719">
      <c r="B719" s="11">
        <f>IFERROR(__xludf.DUMMYFUNCTION("""COMPUTED_VALUE"""),45020.0)</f>
        <v>45020</v>
      </c>
      <c r="C719" s="9">
        <f>IFERROR(__xludf.DUMMYFUNCTION("""COMPUTED_VALUE"""),3.35)</f>
        <v>3.35</v>
      </c>
      <c r="E719" s="40">
        <f>IFERROR(__xludf.DUMMYFUNCTION("""COMPUTED_VALUE"""),45020.0)</f>
        <v>45020</v>
      </c>
      <c r="F719" s="9">
        <f>IFERROR(__xludf.DUMMYFUNCTION("""COMPUTED_VALUE"""),3.35)</f>
        <v>3.35</v>
      </c>
      <c r="H719" s="17"/>
      <c r="K719" s="17"/>
      <c r="N719" s="17"/>
    </row>
    <row r="720">
      <c r="B720" s="11">
        <f>IFERROR(__xludf.DUMMYFUNCTION("""COMPUTED_VALUE"""),45019.0)</f>
        <v>45019</v>
      </c>
      <c r="C720" s="9">
        <f>IFERROR(__xludf.DUMMYFUNCTION("""COMPUTED_VALUE"""),3.43)</f>
        <v>3.43</v>
      </c>
      <c r="E720" s="40">
        <f>IFERROR(__xludf.DUMMYFUNCTION("""COMPUTED_VALUE"""),45019.0)</f>
        <v>45019</v>
      </c>
      <c r="F720" s="9">
        <f>IFERROR(__xludf.DUMMYFUNCTION("""COMPUTED_VALUE"""),3.43)</f>
        <v>3.43</v>
      </c>
      <c r="H720" s="17"/>
      <c r="K720" s="17"/>
      <c r="N720" s="17"/>
    </row>
    <row r="721">
      <c r="B721" s="11">
        <f>IFERROR(__xludf.DUMMYFUNCTION("""COMPUTED_VALUE"""),45016.0)</f>
        <v>45016</v>
      </c>
      <c r="C721" s="9">
        <f>IFERROR(__xludf.DUMMYFUNCTION("""COMPUTED_VALUE"""),3.48)</f>
        <v>3.48</v>
      </c>
      <c r="E721" s="40">
        <f>IFERROR(__xludf.DUMMYFUNCTION("""COMPUTED_VALUE"""),45016.0)</f>
        <v>45016</v>
      </c>
      <c r="F721" s="9">
        <f>IFERROR(__xludf.DUMMYFUNCTION("""COMPUTED_VALUE"""),3.48)</f>
        <v>3.48</v>
      </c>
      <c r="H721" s="17"/>
      <c r="K721" s="17"/>
      <c r="N721" s="17"/>
    </row>
    <row r="722">
      <c r="B722" s="11">
        <f>IFERROR(__xludf.DUMMYFUNCTION("""COMPUTED_VALUE"""),45015.0)</f>
        <v>45015</v>
      </c>
      <c r="C722" s="9">
        <f>IFERROR(__xludf.DUMMYFUNCTION("""COMPUTED_VALUE"""),3.55)</f>
        <v>3.55</v>
      </c>
      <c r="E722" s="40">
        <f>IFERROR(__xludf.DUMMYFUNCTION("""COMPUTED_VALUE"""),45015.0)</f>
        <v>45015</v>
      </c>
      <c r="F722" s="9">
        <f>IFERROR(__xludf.DUMMYFUNCTION("""COMPUTED_VALUE"""),3.55)</f>
        <v>3.55</v>
      </c>
      <c r="H722" s="17"/>
      <c r="K722" s="17"/>
      <c r="N722" s="17"/>
    </row>
    <row r="723">
      <c r="B723" s="11">
        <f>IFERROR(__xludf.DUMMYFUNCTION("""COMPUTED_VALUE"""),45014.0)</f>
        <v>45014</v>
      </c>
      <c r="C723" s="9">
        <f>IFERROR(__xludf.DUMMYFUNCTION("""COMPUTED_VALUE"""),3.57)</f>
        <v>3.57</v>
      </c>
      <c r="E723" s="40">
        <f>IFERROR(__xludf.DUMMYFUNCTION("""COMPUTED_VALUE"""),45014.0)</f>
        <v>45014</v>
      </c>
      <c r="F723" s="9">
        <f>IFERROR(__xludf.DUMMYFUNCTION("""COMPUTED_VALUE"""),3.57)</f>
        <v>3.57</v>
      </c>
      <c r="H723" s="17"/>
      <c r="K723" s="17"/>
      <c r="N723" s="17"/>
    </row>
    <row r="724">
      <c r="B724" s="11">
        <f>IFERROR(__xludf.DUMMYFUNCTION("""COMPUTED_VALUE"""),45013.0)</f>
        <v>45013</v>
      </c>
      <c r="C724" s="9">
        <f>IFERROR(__xludf.DUMMYFUNCTION("""COMPUTED_VALUE"""),3.55)</f>
        <v>3.55</v>
      </c>
      <c r="E724" s="40">
        <f>IFERROR(__xludf.DUMMYFUNCTION("""COMPUTED_VALUE"""),45013.0)</f>
        <v>45013</v>
      </c>
      <c r="F724" s="9">
        <f>IFERROR(__xludf.DUMMYFUNCTION("""COMPUTED_VALUE"""),3.55)</f>
        <v>3.55</v>
      </c>
      <c r="H724" s="17"/>
      <c r="K724" s="17"/>
      <c r="N724" s="17"/>
    </row>
    <row r="725">
      <c r="B725" s="11">
        <f>IFERROR(__xludf.DUMMYFUNCTION("""COMPUTED_VALUE"""),45012.0)</f>
        <v>45012</v>
      </c>
      <c r="C725" s="9">
        <f>IFERROR(__xludf.DUMMYFUNCTION("""COMPUTED_VALUE"""),3.53)</f>
        <v>3.53</v>
      </c>
      <c r="E725" s="40">
        <f>IFERROR(__xludf.DUMMYFUNCTION("""COMPUTED_VALUE"""),45012.0)</f>
        <v>45012</v>
      </c>
      <c r="F725" s="9">
        <f>IFERROR(__xludf.DUMMYFUNCTION("""COMPUTED_VALUE"""),3.53)</f>
        <v>3.53</v>
      </c>
      <c r="H725" s="17"/>
      <c r="K725" s="17"/>
      <c r="N725" s="17"/>
    </row>
    <row r="726">
      <c r="B726" s="11">
        <f>IFERROR(__xludf.DUMMYFUNCTION("""COMPUTED_VALUE"""),45009.0)</f>
        <v>45009</v>
      </c>
      <c r="C726" s="9">
        <f>IFERROR(__xludf.DUMMYFUNCTION("""COMPUTED_VALUE"""),3.38)</f>
        <v>3.38</v>
      </c>
      <c r="E726" s="40">
        <f>IFERROR(__xludf.DUMMYFUNCTION("""COMPUTED_VALUE"""),45009.0)</f>
        <v>45009</v>
      </c>
      <c r="F726" s="9">
        <f>IFERROR(__xludf.DUMMYFUNCTION("""COMPUTED_VALUE"""),3.38)</f>
        <v>3.38</v>
      </c>
      <c r="H726" s="17"/>
      <c r="K726" s="17"/>
      <c r="N726" s="17"/>
    </row>
    <row r="727">
      <c r="B727" s="11">
        <f>IFERROR(__xludf.DUMMYFUNCTION("""COMPUTED_VALUE"""),45008.0)</f>
        <v>45008</v>
      </c>
      <c r="C727" s="9">
        <f>IFERROR(__xludf.DUMMYFUNCTION("""COMPUTED_VALUE"""),3.38)</f>
        <v>3.38</v>
      </c>
      <c r="E727" s="40">
        <f>IFERROR(__xludf.DUMMYFUNCTION("""COMPUTED_VALUE"""),45008.0)</f>
        <v>45008</v>
      </c>
      <c r="F727" s="9">
        <f>IFERROR(__xludf.DUMMYFUNCTION("""COMPUTED_VALUE"""),3.38)</f>
        <v>3.38</v>
      </c>
      <c r="H727" s="17"/>
      <c r="K727" s="17"/>
      <c r="N727" s="17"/>
    </row>
    <row r="728">
      <c r="B728" s="11">
        <f>IFERROR(__xludf.DUMMYFUNCTION("""COMPUTED_VALUE"""),45007.0)</f>
        <v>45007</v>
      </c>
      <c r="C728" s="9">
        <f>IFERROR(__xludf.DUMMYFUNCTION("""COMPUTED_VALUE"""),3.48)</f>
        <v>3.48</v>
      </c>
      <c r="E728" s="40">
        <f>IFERROR(__xludf.DUMMYFUNCTION("""COMPUTED_VALUE"""),45007.0)</f>
        <v>45007</v>
      </c>
      <c r="F728" s="9">
        <f>IFERROR(__xludf.DUMMYFUNCTION("""COMPUTED_VALUE"""),3.48)</f>
        <v>3.48</v>
      </c>
      <c r="H728" s="17"/>
      <c r="K728" s="17"/>
      <c r="N728" s="17"/>
    </row>
    <row r="729">
      <c r="B729" s="11">
        <f>IFERROR(__xludf.DUMMYFUNCTION("""COMPUTED_VALUE"""),45006.0)</f>
        <v>45006</v>
      </c>
      <c r="C729" s="9">
        <f>IFERROR(__xludf.DUMMYFUNCTION("""COMPUTED_VALUE"""),3.59)</f>
        <v>3.59</v>
      </c>
      <c r="E729" s="40">
        <f>IFERROR(__xludf.DUMMYFUNCTION("""COMPUTED_VALUE"""),45006.0)</f>
        <v>45006</v>
      </c>
      <c r="F729" s="9">
        <f>IFERROR(__xludf.DUMMYFUNCTION("""COMPUTED_VALUE"""),3.59)</f>
        <v>3.59</v>
      </c>
      <c r="H729" s="17"/>
      <c r="K729" s="17"/>
      <c r="N729" s="17"/>
    </row>
    <row r="730">
      <c r="B730" s="11">
        <f>IFERROR(__xludf.DUMMYFUNCTION("""COMPUTED_VALUE"""),45005.0)</f>
        <v>45005</v>
      </c>
      <c r="C730" s="9">
        <f>IFERROR(__xludf.DUMMYFUNCTION("""COMPUTED_VALUE"""),3.47)</f>
        <v>3.47</v>
      </c>
      <c r="E730" s="40">
        <f>IFERROR(__xludf.DUMMYFUNCTION("""COMPUTED_VALUE"""),45005.0)</f>
        <v>45005</v>
      </c>
      <c r="F730" s="9">
        <f>IFERROR(__xludf.DUMMYFUNCTION("""COMPUTED_VALUE"""),3.47)</f>
        <v>3.47</v>
      </c>
      <c r="H730" s="17"/>
      <c r="K730" s="17"/>
      <c r="N730" s="17"/>
    </row>
    <row r="731">
      <c r="B731" s="11">
        <f>IFERROR(__xludf.DUMMYFUNCTION("""COMPUTED_VALUE"""),45002.0)</f>
        <v>45002</v>
      </c>
      <c r="C731" s="9">
        <f>IFERROR(__xludf.DUMMYFUNCTION("""COMPUTED_VALUE"""),3.39)</f>
        <v>3.39</v>
      </c>
      <c r="E731" s="40">
        <f>IFERROR(__xludf.DUMMYFUNCTION("""COMPUTED_VALUE"""),45002.0)</f>
        <v>45002</v>
      </c>
      <c r="F731" s="9">
        <f>IFERROR(__xludf.DUMMYFUNCTION("""COMPUTED_VALUE"""),3.39)</f>
        <v>3.39</v>
      </c>
      <c r="H731" s="17"/>
      <c r="K731" s="17"/>
      <c r="N731" s="17"/>
    </row>
    <row r="732">
      <c r="B732" s="11">
        <f>IFERROR(__xludf.DUMMYFUNCTION("""COMPUTED_VALUE"""),45001.0)</f>
        <v>45001</v>
      </c>
      <c r="C732" s="9">
        <f>IFERROR(__xludf.DUMMYFUNCTION("""COMPUTED_VALUE"""),3.56)</f>
        <v>3.56</v>
      </c>
      <c r="E732" s="40">
        <f>IFERROR(__xludf.DUMMYFUNCTION("""COMPUTED_VALUE"""),45001.0)</f>
        <v>45001</v>
      </c>
      <c r="F732" s="9">
        <f>IFERROR(__xludf.DUMMYFUNCTION("""COMPUTED_VALUE"""),3.56)</f>
        <v>3.56</v>
      </c>
      <c r="H732" s="17"/>
      <c r="K732" s="17"/>
      <c r="N732" s="17"/>
    </row>
    <row r="733">
      <c r="B733" s="11">
        <f>IFERROR(__xludf.DUMMYFUNCTION("""COMPUTED_VALUE"""),45000.0)</f>
        <v>45000</v>
      </c>
      <c r="C733" s="9">
        <f>IFERROR(__xludf.DUMMYFUNCTION("""COMPUTED_VALUE"""),3.51)</f>
        <v>3.51</v>
      </c>
      <c r="E733" s="40">
        <f>IFERROR(__xludf.DUMMYFUNCTION("""COMPUTED_VALUE"""),45000.0)</f>
        <v>45000</v>
      </c>
      <c r="F733" s="9">
        <f>IFERROR(__xludf.DUMMYFUNCTION("""COMPUTED_VALUE"""),3.51)</f>
        <v>3.51</v>
      </c>
      <c r="H733" s="17"/>
      <c r="K733" s="17"/>
      <c r="N733" s="17"/>
    </row>
    <row r="734">
      <c r="B734" s="11">
        <f>IFERROR(__xludf.DUMMYFUNCTION("""COMPUTED_VALUE"""),44999.0)</f>
        <v>44999</v>
      </c>
      <c r="C734" s="9">
        <f>IFERROR(__xludf.DUMMYFUNCTION("""COMPUTED_VALUE"""),3.64)</f>
        <v>3.64</v>
      </c>
      <c r="E734" s="40">
        <f>IFERROR(__xludf.DUMMYFUNCTION("""COMPUTED_VALUE"""),44999.0)</f>
        <v>44999</v>
      </c>
      <c r="F734" s="9">
        <f>IFERROR(__xludf.DUMMYFUNCTION("""COMPUTED_VALUE"""),3.64)</f>
        <v>3.64</v>
      </c>
      <c r="H734" s="17"/>
      <c r="K734" s="17"/>
      <c r="N734" s="17"/>
    </row>
    <row r="735">
      <c r="B735" s="11">
        <f>IFERROR(__xludf.DUMMYFUNCTION("""COMPUTED_VALUE"""),44998.0)</f>
        <v>44998</v>
      </c>
      <c r="C735" s="9">
        <f>IFERROR(__xludf.DUMMYFUNCTION("""COMPUTED_VALUE"""),3.55)</f>
        <v>3.55</v>
      </c>
      <c r="E735" s="40">
        <f>IFERROR(__xludf.DUMMYFUNCTION("""COMPUTED_VALUE"""),44998.0)</f>
        <v>44998</v>
      </c>
      <c r="F735" s="9">
        <f>IFERROR(__xludf.DUMMYFUNCTION("""COMPUTED_VALUE"""),3.55)</f>
        <v>3.55</v>
      </c>
      <c r="H735" s="17"/>
      <c r="K735" s="17"/>
      <c r="N735" s="17"/>
    </row>
    <row r="736">
      <c r="B736" s="11">
        <f>IFERROR(__xludf.DUMMYFUNCTION("""COMPUTED_VALUE"""),44995.0)</f>
        <v>44995</v>
      </c>
      <c r="C736" s="9">
        <f>IFERROR(__xludf.DUMMYFUNCTION("""COMPUTED_VALUE"""),3.7)</f>
        <v>3.7</v>
      </c>
      <c r="E736" s="40">
        <f>IFERROR(__xludf.DUMMYFUNCTION("""COMPUTED_VALUE"""),44995.0)</f>
        <v>44995</v>
      </c>
      <c r="F736" s="9">
        <f>IFERROR(__xludf.DUMMYFUNCTION("""COMPUTED_VALUE"""),3.7)</f>
        <v>3.7</v>
      </c>
      <c r="H736" s="17"/>
      <c r="K736" s="17"/>
      <c r="N736" s="17"/>
    </row>
    <row r="737">
      <c r="B737" s="11">
        <f>IFERROR(__xludf.DUMMYFUNCTION("""COMPUTED_VALUE"""),44994.0)</f>
        <v>44994</v>
      </c>
      <c r="C737" s="9">
        <f>IFERROR(__xludf.DUMMYFUNCTION("""COMPUTED_VALUE"""),3.93)</f>
        <v>3.93</v>
      </c>
      <c r="E737" s="40">
        <f>IFERROR(__xludf.DUMMYFUNCTION("""COMPUTED_VALUE"""),44994.0)</f>
        <v>44994</v>
      </c>
      <c r="F737" s="9">
        <f>IFERROR(__xludf.DUMMYFUNCTION("""COMPUTED_VALUE"""),3.93)</f>
        <v>3.93</v>
      </c>
      <c r="H737" s="17"/>
      <c r="K737" s="17"/>
      <c r="N737" s="17"/>
    </row>
    <row r="738">
      <c r="B738" s="11">
        <f>IFERROR(__xludf.DUMMYFUNCTION("""COMPUTED_VALUE"""),44993.0)</f>
        <v>44993</v>
      </c>
      <c r="C738" s="9">
        <f>IFERROR(__xludf.DUMMYFUNCTION("""COMPUTED_VALUE"""),3.98)</f>
        <v>3.98</v>
      </c>
      <c r="E738" s="40">
        <f>IFERROR(__xludf.DUMMYFUNCTION("""COMPUTED_VALUE"""),44993.0)</f>
        <v>44993</v>
      </c>
      <c r="F738" s="9">
        <f>IFERROR(__xludf.DUMMYFUNCTION("""COMPUTED_VALUE"""),3.98)</f>
        <v>3.98</v>
      </c>
      <c r="H738" s="17"/>
      <c r="K738" s="17"/>
      <c r="N738" s="17"/>
    </row>
    <row r="739">
      <c r="B739" s="11">
        <f>IFERROR(__xludf.DUMMYFUNCTION("""COMPUTED_VALUE"""),44992.0)</f>
        <v>44992</v>
      </c>
      <c r="C739" s="9">
        <f>IFERROR(__xludf.DUMMYFUNCTION("""COMPUTED_VALUE"""),3.97)</f>
        <v>3.97</v>
      </c>
      <c r="E739" s="40">
        <f>IFERROR(__xludf.DUMMYFUNCTION("""COMPUTED_VALUE"""),44992.0)</f>
        <v>44992</v>
      </c>
      <c r="F739" s="9">
        <f>IFERROR(__xludf.DUMMYFUNCTION("""COMPUTED_VALUE"""),3.97)</f>
        <v>3.97</v>
      </c>
      <c r="H739" s="17"/>
      <c r="K739" s="17"/>
      <c r="N739" s="17"/>
    </row>
    <row r="740">
      <c r="B740" s="11">
        <f>IFERROR(__xludf.DUMMYFUNCTION("""COMPUTED_VALUE"""),44991.0)</f>
        <v>44991</v>
      </c>
      <c r="C740" s="9">
        <f>IFERROR(__xludf.DUMMYFUNCTION("""COMPUTED_VALUE"""),3.98)</f>
        <v>3.98</v>
      </c>
      <c r="E740" s="40">
        <f>IFERROR(__xludf.DUMMYFUNCTION("""COMPUTED_VALUE"""),44991.0)</f>
        <v>44991</v>
      </c>
      <c r="F740" s="9">
        <f>IFERROR(__xludf.DUMMYFUNCTION("""COMPUTED_VALUE"""),3.98)</f>
        <v>3.98</v>
      </c>
      <c r="H740" s="17"/>
      <c r="K740" s="17"/>
      <c r="N740" s="17"/>
    </row>
    <row r="741">
      <c r="B741" s="11">
        <f>IFERROR(__xludf.DUMMYFUNCTION("""COMPUTED_VALUE"""),44988.0)</f>
        <v>44988</v>
      </c>
      <c r="C741" s="9">
        <f>IFERROR(__xludf.DUMMYFUNCTION("""COMPUTED_VALUE"""),3.97)</f>
        <v>3.97</v>
      </c>
      <c r="E741" s="40">
        <f>IFERROR(__xludf.DUMMYFUNCTION("""COMPUTED_VALUE"""),44988.0)</f>
        <v>44988</v>
      </c>
      <c r="F741" s="9">
        <f>IFERROR(__xludf.DUMMYFUNCTION("""COMPUTED_VALUE"""),3.97)</f>
        <v>3.97</v>
      </c>
      <c r="H741" s="17"/>
      <c r="K741" s="17"/>
      <c r="N741" s="17"/>
    </row>
    <row r="742">
      <c r="B742" s="11">
        <f>IFERROR(__xludf.DUMMYFUNCTION("""COMPUTED_VALUE"""),44987.0)</f>
        <v>44987</v>
      </c>
      <c r="C742" s="9">
        <f>IFERROR(__xludf.DUMMYFUNCTION("""COMPUTED_VALUE"""),4.08)</f>
        <v>4.08</v>
      </c>
      <c r="E742" s="40">
        <f>IFERROR(__xludf.DUMMYFUNCTION("""COMPUTED_VALUE"""),44987.0)</f>
        <v>44987</v>
      </c>
      <c r="F742" s="9">
        <f>IFERROR(__xludf.DUMMYFUNCTION("""COMPUTED_VALUE"""),4.08)</f>
        <v>4.08</v>
      </c>
      <c r="H742" s="17"/>
      <c r="K742" s="17"/>
      <c r="N742" s="17"/>
    </row>
    <row r="743">
      <c r="B743" s="11">
        <f>IFERROR(__xludf.DUMMYFUNCTION("""COMPUTED_VALUE"""),44986.0)</f>
        <v>44986</v>
      </c>
      <c r="C743" s="9">
        <f>IFERROR(__xludf.DUMMYFUNCTION("""COMPUTED_VALUE"""),4.01)</f>
        <v>4.01</v>
      </c>
      <c r="E743" s="40">
        <f>IFERROR(__xludf.DUMMYFUNCTION("""COMPUTED_VALUE"""),44986.0)</f>
        <v>44986</v>
      </c>
      <c r="F743" s="9">
        <f>IFERROR(__xludf.DUMMYFUNCTION("""COMPUTED_VALUE"""),4.01)</f>
        <v>4.01</v>
      </c>
      <c r="H743" s="17"/>
      <c r="K743" s="17"/>
      <c r="N743" s="17"/>
    </row>
    <row r="744">
      <c r="B744" s="11">
        <f>IFERROR(__xludf.DUMMYFUNCTION("""COMPUTED_VALUE"""),44985.0)</f>
        <v>44985</v>
      </c>
      <c r="C744" s="9">
        <f>IFERROR(__xludf.DUMMYFUNCTION("""COMPUTED_VALUE"""),3.92)</f>
        <v>3.92</v>
      </c>
      <c r="E744" s="40">
        <f>IFERROR(__xludf.DUMMYFUNCTION("""COMPUTED_VALUE"""),44985.0)</f>
        <v>44985</v>
      </c>
      <c r="F744" s="9">
        <f>IFERROR(__xludf.DUMMYFUNCTION("""COMPUTED_VALUE"""),3.92)</f>
        <v>3.92</v>
      </c>
      <c r="H744" s="17"/>
      <c r="K744" s="17"/>
      <c r="N744" s="17"/>
    </row>
    <row r="745">
      <c r="B745" s="11">
        <f>IFERROR(__xludf.DUMMYFUNCTION("""COMPUTED_VALUE"""),44984.0)</f>
        <v>44984</v>
      </c>
      <c r="C745" s="9">
        <f>IFERROR(__xludf.DUMMYFUNCTION("""COMPUTED_VALUE"""),3.92)</f>
        <v>3.92</v>
      </c>
      <c r="E745" s="40">
        <f>IFERROR(__xludf.DUMMYFUNCTION("""COMPUTED_VALUE"""),44984.0)</f>
        <v>44984</v>
      </c>
      <c r="F745" s="9">
        <f>IFERROR(__xludf.DUMMYFUNCTION("""COMPUTED_VALUE"""),3.92)</f>
        <v>3.92</v>
      </c>
      <c r="H745" s="17"/>
      <c r="K745" s="17"/>
      <c r="N745" s="17"/>
    </row>
    <row r="746">
      <c r="B746" s="11">
        <f>IFERROR(__xludf.DUMMYFUNCTION("""COMPUTED_VALUE"""),44981.0)</f>
        <v>44981</v>
      </c>
      <c r="C746" s="9">
        <f>IFERROR(__xludf.DUMMYFUNCTION("""COMPUTED_VALUE"""),3.95)</f>
        <v>3.95</v>
      </c>
      <c r="E746" s="40">
        <f>IFERROR(__xludf.DUMMYFUNCTION("""COMPUTED_VALUE"""),44981.0)</f>
        <v>44981</v>
      </c>
      <c r="F746" s="9">
        <f>IFERROR(__xludf.DUMMYFUNCTION("""COMPUTED_VALUE"""),3.95)</f>
        <v>3.95</v>
      </c>
      <c r="H746" s="17"/>
      <c r="K746" s="17"/>
      <c r="N746" s="17"/>
    </row>
    <row r="747">
      <c r="B747" s="11">
        <f>IFERROR(__xludf.DUMMYFUNCTION("""COMPUTED_VALUE"""),44980.0)</f>
        <v>44980</v>
      </c>
      <c r="C747" s="9">
        <f>IFERROR(__xludf.DUMMYFUNCTION("""COMPUTED_VALUE"""),3.88)</f>
        <v>3.88</v>
      </c>
      <c r="E747" s="40">
        <f>IFERROR(__xludf.DUMMYFUNCTION("""COMPUTED_VALUE"""),44980.0)</f>
        <v>44980</v>
      </c>
      <c r="F747" s="9">
        <f>IFERROR(__xludf.DUMMYFUNCTION("""COMPUTED_VALUE"""),3.88)</f>
        <v>3.88</v>
      </c>
      <c r="H747" s="17"/>
      <c r="K747" s="17"/>
      <c r="N747" s="17"/>
    </row>
    <row r="748">
      <c r="B748" s="11">
        <f>IFERROR(__xludf.DUMMYFUNCTION("""COMPUTED_VALUE"""),44979.0)</f>
        <v>44979</v>
      </c>
      <c r="C748" s="9">
        <f>IFERROR(__xludf.DUMMYFUNCTION("""COMPUTED_VALUE"""),3.93)</f>
        <v>3.93</v>
      </c>
      <c r="E748" s="40">
        <f>IFERROR(__xludf.DUMMYFUNCTION("""COMPUTED_VALUE"""),44979.0)</f>
        <v>44979</v>
      </c>
      <c r="F748" s="9">
        <f>IFERROR(__xludf.DUMMYFUNCTION("""COMPUTED_VALUE"""),3.93)</f>
        <v>3.93</v>
      </c>
      <c r="H748" s="17"/>
      <c r="K748" s="17"/>
      <c r="N748" s="17"/>
    </row>
    <row r="749">
      <c r="B749" s="11">
        <f>IFERROR(__xludf.DUMMYFUNCTION("""COMPUTED_VALUE"""),44978.0)</f>
        <v>44978</v>
      </c>
      <c r="C749" s="9">
        <f>IFERROR(__xludf.DUMMYFUNCTION("""COMPUTED_VALUE"""),3.95)</f>
        <v>3.95</v>
      </c>
      <c r="E749" s="40">
        <f>IFERROR(__xludf.DUMMYFUNCTION("""COMPUTED_VALUE"""),44978.0)</f>
        <v>44978</v>
      </c>
      <c r="F749" s="9">
        <f>IFERROR(__xludf.DUMMYFUNCTION("""COMPUTED_VALUE"""),3.95)</f>
        <v>3.95</v>
      </c>
      <c r="H749" s="17"/>
      <c r="K749" s="17"/>
      <c r="N749" s="17"/>
    </row>
    <row r="750">
      <c r="B750" s="11">
        <f>IFERROR(__xludf.DUMMYFUNCTION("""COMPUTED_VALUE"""),44977.0)</f>
        <v>44977</v>
      </c>
      <c r="C750" s="9"/>
      <c r="E750" s="40">
        <f>IFERROR(__xludf.DUMMYFUNCTION("""COMPUTED_VALUE"""),44977.0)</f>
        <v>44977</v>
      </c>
      <c r="F750" s="9"/>
      <c r="H750" s="17"/>
      <c r="K750" s="17"/>
      <c r="N750" s="17"/>
    </row>
    <row r="751">
      <c r="B751" s="11">
        <f>IFERROR(__xludf.DUMMYFUNCTION("""COMPUTED_VALUE"""),44974.0)</f>
        <v>44974</v>
      </c>
      <c r="C751" s="9">
        <f>IFERROR(__xludf.DUMMYFUNCTION("""COMPUTED_VALUE"""),3.82)</f>
        <v>3.82</v>
      </c>
      <c r="E751" s="40">
        <f>IFERROR(__xludf.DUMMYFUNCTION("""COMPUTED_VALUE"""),44974.0)</f>
        <v>44974</v>
      </c>
      <c r="F751" s="9">
        <f>IFERROR(__xludf.DUMMYFUNCTION("""COMPUTED_VALUE"""),3.82)</f>
        <v>3.82</v>
      </c>
      <c r="H751" s="17"/>
      <c r="K751" s="17"/>
      <c r="N751" s="17"/>
    </row>
    <row r="752">
      <c r="B752" s="11">
        <f>IFERROR(__xludf.DUMMYFUNCTION("""COMPUTED_VALUE"""),44973.0)</f>
        <v>44973</v>
      </c>
      <c r="C752" s="9">
        <f>IFERROR(__xludf.DUMMYFUNCTION("""COMPUTED_VALUE"""),3.86)</f>
        <v>3.86</v>
      </c>
      <c r="E752" s="40">
        <f>IFERROR(__xludf.DUMMYFUNCTION("""COMPUTED_VALUE"""),44973.0)</f>
        <v>44973</v>
      </c>
      <c r="F752" s="9">
        <f>IFERROR(__xludf.DUMMYFUNCTION("""COMPUTED_VALUE"""),3.86)</f>
        <v>3.86</v>
      </c>
      <c r="H752" s="17"/>
      <c r="K752" s="17"/>
      <c r="N752" s="17"/>
    </row>
    <row r="753">
      <c r="B753" s="11">
        <f>IFERROR(__xludf.DUMMYFUNCTION("""COMPUTED_VALUE"""),44972.0)</f>
        <v>44972</v>
      </c>
      <c r="C753" s="9">
        <f>IFERROR(__xludf.DUMMYFUNCTION("""COMPUTED_VALUE"""),3.81)</f>
        <v>3.81</v>
      </c>
      <c r="E753" s="40">
        <f>IFERROR(__xludf.DUMMYFUNCTION("""COMPUTED_VALUE"""),44972.0)</f>
        <v>44972</v>
      </c>
      <c r="F753" s="9">
        <f>IFERROR(__xludf.DUMMYFUNCTION("""COMPUTED_VALUE"""),3.81)</f>
        <v>3.81</v>
      </c>
      <c r="H753" s="17"/>
      <c r="K753" s="17"/>
      <c r="N753" s="17"/>
    </row>
    <row r="754">
      <c r="B754" s="11">
        <f>IFERROR(__xludf.DUMMYFUNCTION("""COMPUTED_VALUE"""),44971.0)</f>
        <v>44971</v>
      </c>
      <c r="C754" s="9">
        <f>IFERROR(__xludf.DUMMYFUNCTION("""COMPUTED_VALUE"""),3.77)</f>
        <v>3.77</v>
      </c>
      <c r="E754" s="40">
        <f>IFERROR(__xludf.DUMMYFUNCTION("""COMPUTED_VALUE"""),44971.0)</f>
        <v>44971</v>
      </c>
      <c r="F754" s="9">
        <f>IFERROR(__xludf.DUMMYFUNCTION("""COMPUTED_VALUE"""),3.77)</f>
        <v>3.77</v>
      </c>
      <c r="H754" s="17"/>
      <c r="K754" s="17"/>
      <c r="N754" s="17"/>
    </row>
    <row r="755">
      <c r="B755" s="11">
        <f>IFERROR(__xludf.DUMMYFUNCTION("""COMPUTED_VALUE"""),44970.0)</f>
        <v>44970</v>
      </c>
      <c r="C755" s="9">
        <f>IFERROR(__xludf.DUMMYFUNCTION("""COMPUTED_VALUE"""),3.72)</f>
        <v>3.72</v>
      </c>
      <c r="E755" s="40">
        <f>IFERROR(__xludf.DUMMYFUNCTION("""COMPUTED_VALUE"""),44970.0)</f>
        <v>44970</v>
      </c>
      <c r="F755" s="9">
        <f>IFERROR(__xludf.DUMMYFUNCTION("""COMPUTED_VALUE"""),3.72)</f>
        <v>3.72</v>
      </c>
      <c r="H755" s="17"/>
      <c r="K755" s="17"/>
      <c r="N755" s="17"/>
    </row>
    <row r="756">
      <c r="B756" s="11">
        <f>IFERROR(__xludf.DUMMYFUNCTION("""COMPUTED_VALUE"""),44967.0)</f>
        <v>44967</v>
      </c>
      <c r="C756" s="9">
        <f>IFERROR(__xludf.DUMMYFUNCTION("""COMPUTED_VALUE"""),3.74)</f>
        <v>3.74</v>
      </c>
      <c r="E756" s="40">
        <f>IFERROR(__xludf.DUMMYFUNCTION("""COMPUTED_VALUE"""),44967.0)</f>
        <v>44967</v>
      </c>
      <c r="F756" s="9">
        <f>IFERROR(__xludf.DUMMYFUNCTION("""COMPUTED_VALUE"""),3.74)</f>
        <v>3.74</v>
      </c>
      <c r="H756" s="17"/>
      <c r="K756" s="17"/>
      <c r="N756" s="17"/>
    </row>
    <row r="757">
      <c r="B757" s="11">
        <f>IFERROR(__xludf.DUMMYFUNCTION("""COMPUTED_VALUE"""),44966.0)</f>
        <v>44966</v>
      </c>
      <c r="C757" s="9">
        <f>IFERROR(__xludf.DUMMYFUNCTION("""COMPUTED_VALUE"""),3.67)</f>
        <v>3.67</v>
      </c>
      <c r="E757" s="40">
        <f>IFERROR(__xludf.DUMMYFUNCTION("""COMPUTED_VALUE"""),44966.0)</f>
        <v>44966</v>
      </c>
      <c r="F757" s="9">
        <f>IFERROR(__xludf.DUMMYFUNCTION("""COMPUTED_VALUE"""),3.67)</f>
        <v>3.67</v>
      </c>
      <c r="H757" s="17"/>
      <c r="K757" s="17"/>
      <c r="N757" s="17"/>
    </row>
    <row r="758">
      <c r="B758" s="11">
        <f>IFERROR(__xludf.DUMMYFUNCTION("""COMPUTED_VALUE"""),44965.0)</f>
        <v>44965</v>
      </c>
      <c r="C758" s="9">
        <f>IFERROR(__xludf.DUMMYFUNCTION("""COMPUTED_VALUE"""),3.63)</f>
        <v>3.63</v>
      </c>
      <c r="E758" s="40">
        <f>IFERROR(__xludf.DUMMYFUNCTION("""COMPUTED_VALUE"""),44965.0)</f>
        <v>44965</v>
      </c>
      <c r="F758" s="9">
        <f>IFERROR(__xludf.DUMMYFUNCTION("""COMPUTED_VALUE"""),3.63)</f>
        <v>3.63</v>
      </c>
      <c r="H758" s="17"/>
      <c r="K758" s="17"/>
      <c r="N758" s="17"/>
    </row>
    <row r="759">
      <c r="B759" s="11">
        <f>IFERROR(__xludf.DUMMYFUNCTION("""COMPUTED_VALUE"""),44964.0)</f>
        <v>44964</v>
      </c>
      <c r="C759" s="9">
        <f>IFERROR(__xludf.DUMMYFUNCTION("""COMPUTED_VALUE"""),3.67)</f>
        <v>3.67</v>
      </c>
      <c r="E759" s="40">
        <f>IFERROR(__xludf.DUMMYFUNCTION("""COMPUTED_VALUE"""),44964.0)</f>
        <v>44964</v>
      </c>
      <c r="F759" s="9">
        <f>IFERROR(__xludf.DUMMYFUNCTION("""COMPUTED_VALUE"""),3.67)</f>
        <v>3.67</v>
      </c>
      <c r="H759" s="17"/>
      <c r="K759" s="17"/>
      <c r="N759" s="17"/>
    </row>
    <row r="760">
      <c r="B760" s="11">
        <f>IFERROR(__xludf.DUMMYFUNCTION("""COMPUTED_VALUE"""),44963.0)</f>
        <v>44963</v>
      </c>
      <c r="C760" s="9">
        <f>IFERROR(__xludf.DUMMYFUNCTION("""COMPUTED_VALUE"""),3.63)</f>
        <v>3.63</v>
      </c>
      <c r="E760" s="40">
        <f>IFERROR(__xludf.DUMMYFUNCTION("""COMPUTED_VALUE"""),44963.0)</f>
        <v>44963</v>
      </c>
      <c r="F760" s="9">
        <f>IFERROR(__xludf.DUMMYFUNCTION("""COMPUTED_VALUE"""),3.63)</f>
        <v>3.63</v>
      </c>
      <c r="H760" s="17"/>
      <c r="K760" s="17"/>
      <c r="N760" s="17"/>
    </row>
    <row r="761">
      <c r="B761" s="11">
        <f>IFERROR(__xludf.DUMMYFUNCTION("""COMPUTED_VALUE"""),44960.0)</f>
        <v>44960</v>
      </c>
      <c r="C761" s="9">
        <f>IFERROR(__xludf.DUMMYFUNCTION("""COMPUTED_VALUE"""),3.53)</f>
        <v>3.53</v>
      </c>
      <c r="E761" s="40">
        <f>IFERROR(__xludf.DUMMYFUNCTION("""COMPUTED_VALUE"""),44960.0)</f>
        <v>44960</v>
      </c>
      <c r="F761" s="9">
        <f>IFERROR(__xludf.DUMMYFUNCTION("""COMPUTED_VALUE"""),3.53)</f>
        <v>3.53</v>
      </c>
      <c r="H761" s="17"/>
      <c r="K761" s="17"/>
      <c r="N761" s="17"/>
    </row>
    <row r="762">
      <c r="B762" s="11">
        <f>IFERROR(__xludf.DUMMYFUNCTION("""COMPUTED_VALUE"""),44959.0)</f>
        <v>44959</v>
      </c>
      <c r="C762" s="9">
        <f>IFERROR(__xludf.DUMMYFUNCTION("""COMPUTED_VALUE"""),3.4)</f>
        <v>3.4</v>
      </c>
      <c r="E762" s="40">
        <f>IFERROR(__xludf.DUMMYFUNCTION("""COMPUTED_VALUE"""),44959.0)</f>
        <v>44959</v>
      </c>
      <c r="F762" s="9">
        <f>IFERROR(__xludf.DUMMYFUNCTION("""COMPUTED_VALUE"""),3.4)</f>
        <v>3.4</v>
      </c>
      <c r="H762" s="17"/>
      <c r="K762" s="17"/>
      <c r="N762" s="17"/>
    </row>
    <row r="763">
      <c r="B763" s="11">
        <f>IFERROR(__xludf.DUMMYFUNCTION("""COMPUTED_VALUE"""),44958.0)</f>
        <v>44958</v>
      </c>
      <c r="C763" s="9">
        <f>IFERROR(__xludf.DUMMYFUNCTION("""COMPUTED_VALUE"""),3.39)</f>
        <v>3.39</v>
      </c>
      <c r="E763" s="40">
        <f>IFERROR(__xludf.DUMMYFUNCTION("""COMPUTED_VALUE"""),44958.0)</f>
        <v>44958</v>
      </c>
      <c r="F763" s="9">
        <f>IFERROR(__xludf.DUMMYFUNCTION("""COMPUTED_VALUE"""),3.39)</f>
        <v>3.39</v>
      </c>
      <c r="H763" s="17"/>
      <c r="K763" s="17"/>
      <c r="N763" s="17"/>
    </row>
    <row r="764">
      <c r="B764" s="11">
        <f>IFERROR(__xludf.DUMMYFUNCTION("""COMPUTED_VALUE"""),44957.0)</f>
        <v>44957</v>
      </c>
      <c r="C764" s="9">
        <f>IFERROR(__xludf.DUMMYFUNCTION("""COMPUTED_VALUE"""),3.52)</f>
        <v>3.52</v>
      </c>
      <c r="E764" s="40">
        <f>IFERROR(__xludf.DUMMYFUNCTION("""COMPUTED_VALUE"""),44957.0)</f>
        <v>44957</v>
      </c>
      <c r="F764" s="9">
        <f>IFERROR(__xludf.DUMMYFUNCTION("""COMPUTED_VALUE"""),3.52)</f>
        <v>3.52</v>
      </c>
      <c r="H764" s="17"/>
      <c r="K764" s="17"/>
      <c r="N764" s="17"/>
    </row>
    <row r="765">
      <c r="B765" s="11">
        <f>IFERROR(__xludf.DUMMYFUNCTION("""COMPUTED_VALUE"""),44956.0)</f>
        <v>44956</v>
      </c>
      <c r="C765" s="9">
        <f>IFERROR(__xludf.DUMMYFUNCTION("""COMPUTED_VALUE"""),3.55)</f>
        <v>3.55</v>
      </c>
      <c r="E765" s="40">
        <f>IFERROR(__xludf.DUMMYFUNCTION("""COMPUTED_VALUE"""),44956.0)</f>
        <v>44956</v>
      </c>
      <c r="F765" s="9">
        <f>IFERROR(__xludf.DUMMYFUNCTION("""COMPUTED_VALUE"""),3.55)</f>
        <v>3.55</v>
      </c>
      <c r="H765" s="17"/>
      <c r="K765" s="17"/>
      <c r="N765" s="17"/>
    </row>
    <row r="766">
      <c r="B766" s="11">
        <f>IFERROR(__xludf.DUMMYFUNCTION("""COMPUTED_VALUE"""),44953.0)</f>
        <v>44953</v>
      </c>
      <c r="C766" s="9">
        <f>IFERROR(__xludf.DUMMYFUNCTION("""COMPUTED_VALUE"""),3.52)</f>
        <v>3.52</v>
      </c>
      <c r="E766" s="40">
        <f>IFERROR(__xludf.DUMMYFUNCTION("""COMPUTED_VALUE"""),44953.0)</f>
        <v>44953</v>
      </c>
      <c r="F766" s="9">
        <f>IFERROR(__xludf.DUMMYFUNCTION("""COMPUTED_VALUE"""),3.52)</f>
        <v>3.52</v>
      </c>
      <c r="H766" s="17"/>
      <c r="K766" s="17"/>
      <c r="N766" s="17"/>
    </row>
    <row r="767">
      <c r="B767" s="11">
        <f>IFERROR(__xludf.DUMMYFUNCTION("""COMPUTED_VALUE"""),44952.0)</f>
        <v>44952</v>
      </c>
      <c r="C767" s="9">
        <f>IFERROR(__xludf.DUMMYFUNCTION("""COMPUTED_VALUE"""),3.49)</f>
        <v>3.49</v>
      </c>
      <c r="E767" s="40">
        <f>IFERROR(__xludf.DUMMYFUNCTION("""COMPUTED_VALUE"""),44952.0)</f>
        <v>44952</v>
      </c>
      <c r="F767" s="9">
        <f>IFERROR(__xludf.DUMMYFUNCTION("""COMPUTED_VALUE"""),3.49)</f>
        <v>3.49</v>
      </c>
      <c r="H767" s="17"/>
      <c r="K767" s="17"/>
      <c r="N767" s="17"/>
    </row>
    <row r="768">
      <c r="B768" s="11">
        <f>IFERROR(__xludf.DUMMYFUNCTION("""COMPUTED_VALUE"""),44951.0)</f>
        <v>44951</v>
      </c>
      <c r="C768" s="9">
        <f>IFERROR(__xludf.DUMMYFUNCTION("""COMPUTED_VALUE"""),3.46)</f>
        <v>3.46</v>
      </c>
      <c r="E768" s="40">
        <f>IFERROR(__xludf.DUMMYFUNCTION("""COMPUTED_VALUE"""),44951.0)</f>
        <v>44951</v>
      </c>
      <c r="F768" s="9">
        <f>IFERROR(__xludf.DUMMYFUNCTION("""COMPUTED_VALUE"""),3.46)</f>
        <v>3.46</v>
      </c>
      <c r="H768" s="17"/>
      <c r="K768" s="17"/>
      <c r="N768" s="17"/>
    </row>
    <row r="769">
      <c r="B769" s="11">
        <f>IFERROR(__xludf.DUMMYFUNCTION("""COMPUTED_VALUE"""),44950.0)</f>
        <v>44950</v>
      </c>
      <c r="C769" s="9">
        <f>IFERROR(__xludf.DUMMYFUNCTION("""COMPUTED_VALUE"""),3.46)</f>
        <v>3.46</v>
      </c>
      <c r="E769" s="40">
        <f>IFERROR(__xludf.DUMMYFUNCTION("""COMPUTED_VALUE"""),44950.0)</f>
        <v>44950</v>
      </c>
      <c r="F769" s="9">
        <f>IFERROR(__xludf.DUMMYFUNCTION("""COMPUTED_VALUE"""),3.46)</f>
        <v>3.46</v>
      </c>
      <c r="H769" s="17"/>
      <c r="K769" s="17"/>
      <c r="N769" s="17"/>
    </row>
    <row r="770">
      <c r="B770" s="11">
        <f>IFERROR(__xludf.DUMMYFUNCTION("""COMPUTED_VALUE"""),44949.0)</f>
        <v>44949</v>
      </c>
      <c r="C770" s="9">
        <f>IFERROR(__xludf.DUMMYFUNCTION("""COMPUTED_VALUE"""),3.52)</f>
        <v>3.52</v>
      </c>
      <c r="E770" s="40">
        <f>IFERROR(__xludf.DUMMYFUNCTION("""COMPUTED_VALUE"""),44949.0)</f>
        <v>44949</v>
      </c>
      <c r="F770" s="9">
        <f>IFERROR(__xludf.DUMMYFUNCTION("""COMPUTED_VALUE"""),3.52)</f>
        <v>3.52</v>
      </c>
      <c r="H770" s="17"/>
      <c r="K770" s="17"/>
      <c r="N770" s="17"/>
    </row>
    <row r="771">
      <c r="B771" s="11">
        <f>IFERROR(__xludf.DUMMYFUNCTION("""COMPUTED_VALUE"""),44946.0)</f>
        <v>44946</v>
      </c>
      <c r="C771" s="9">
        <f>IFERROR(__xludf.DUMMYFUNCTION("""COMPUTED_VALUE"""),3.48)</f>
        <v>3.48</v>
      </c>
      <c r="E771" s="40">
        <f>IFERROR(__xludf.DUMMYFUNCTION("""COMPUTED_VALUE"""),44946.0)</f>
        <v>44946</v>
      </c>
      <c r="F771" s="9">
        <f>IFERROR(__xludf.DUMMYFUNCTION("""COMPUTED_VALUE"""),3.48)</f>
        <v>3.48</v>
      </c>
      <c r="H771" s="17"/>
      <c r="K771" s="17"/>
      <c r="N771" s="17"/>
    </row>
    <row r="772">
      <c r="B772" s="11">
        <f>IFERROR(__xludf.DUMMYFUNCTION("""COMPUTED_VALUE"""),44945.0)</f>
        <v>44945</v>
      </c>
      <c r="C772" s="9">
        <f>IFERROR(__xludf.DUMMYFUNCTION("""COMPUTED_VALUE"""),3.39)</f>
        <v>3.39</v>
      </c>
      <c r="E772" s="40">
        <f>IFERROR(__xludf.DUMMYFUNCTION("""COMPUTED_VALUE"""),44945.0)</f>
        <v>44945</v>
      </c>
      <c r="F772" s="9">
        <f>IFERROR(__xludf.DUMMYFUNCTION("""COMPUTED_VALUE"""),3.39)</f>
        <v>3.39</v>
      </c>
      <c r="H772" s="17"/>
      <c r="K772" s="17"/>
      <c r="N772" s="17"/>
    </row>
    <row r="773">
      <c r="B773" s="11">
        <f>IFERROR(__xludf.DUMMYFUNCTION("""COMPUTED_VALUE"""),44944.0)</f>
        <v>44944</v>
      </c>
      <c r="C773" s="9">
        <f>IFERROR(__xludf.DUMMYFUNCTION("""COMPUTED_VALUE"""),3.37)</f>
        <v>3.37</v>
      </c>
      <c r="E773" s="40">
        <f>IFERROR(__xludf.DUMMYFUNCTION("""COMPUTED_VALUE"""),44944.0)</f>
        <v>44944</v>
      </c>
      <c r="F773" s="9">
        <f>IFERROR(__xludf.DUMMYFUNCTION("""COMPUTED_VALUE"""),3.37)</f>
        <v>3.37</v>
      </c>
      <c r="H773" s="17"/>
      <c r="K773" s="17"/>
      <c r="N773" s="17"/>
    </row>
    <row r="774">
      <c r="B774" s="11">
        <f>IFERROR(__xludf.DUMMYFUNCTION("""COMPUTED_VALUE"""),44943.0)</f>
        <v>44943</v>
      </c>
      <c r="C774" s="9">
        <f>IFERROR(__xludf.DUMMYFUNCTION("""COMPUTED_VALUE"""),3.53)</f>
        <v>3.53</v>
      </c>
      <c r="E774" s="40">
        <f>IFERROR(__xludf.DUMMYFUNCTION("""COMPUTED_VALUE"""),44943.0)</f>
        <v>44943</v>
      </c>
      <c r="F774" s="9">
        <f>IFERROR(__xludf.DUMMYFUNCTION("""COMPUTED_VALUE"""),3.53)</f>
        <v>3.53</v>
      </c>
      <c r="H774" s="17"/>
      <c r="K774" s="17"/>
      <c r="N774" s="17"/>
    </row>
    <row r="775">
      <c r="B775" s="11">
        <f>IFERROR(__xludf.DUMMYFUNCTION("""COMPUTED_VALUE"""),44942.0)</f>
        <v>44942</v>
      </c>
      <c r="C775" s="9"/>
      <c r="E775" s="40">
        <f>IFERROR(__xludf.DUMMYFUNCTION("""COMPUTED_VALUE"""),44942.0)</f>
        <v>44942</v>
      </c>
      <c r="F775" s="9"/>
      <c r="H775" s="17"/>
      <c r="K775" s="17"/>
      <c r="N775" s="17"/>
    </row>
    <row r="776">
      <c r="B776" s="11">
        <f>IFERROR(__xludf.DUMMYFUNCTION("""COMPUTED_VALUE"""),44939.0)</f>
        <v>44939</v>
      </c>
      <c r="C776" s="9">
        <f>IFERROR(__xludf.DUMMYFUNCTION("""COMPUTED_VALUE"""),3.49)</f>
        <v>3.49</v>
      </c>
      <c r="E776" s="40">
        <f>IFERROR(__xludf.DUMMYFUNCTION("""COMPUTED_VALUE"""),44939.0)</f>
        <v>44939</v>
      </c>
      <c r="F776" s="9">
        <f>IFERROR(__xludf.DUMMYFUNCTION("""COMPUTED_VALUE"""),3.49)</f>
        <v>3.49</v>
      </c>
      <c r="H776" s="17"/>
      <c r="K776" s="17"/>
      <c r="N776" s="17"/>
    </row>
    <row r="777">
      <c r="B777" s="11">
        <f>IFERROR(__xludf.DUMMYFUNCTION("""COMPUTED_VALUE"""),44938.0)</f>
        <v>44938</v>
      </c>
      <c r="C777" s="9">
        <f>IFERROR(__xludf.DUMMYFUNCTION("""COMPUTED_VALUE"""),3.43)</f>
        <v>3.43</v>
      </c>
      <c r="E777" s="40">
        <f>IFERROR(__xludf.DUMMYFUNCTION("""COMPUTED_VALUE"""),44938.0)</f>
        <v>44938</v>
      </c>
      <c r="F777" s="9">
        <f>IFERROR(__xludf.DUMMYFUNCTION("""COMPUTED_VALUE"""),3.43)</f>
        <v>3.43</v>
      </c>
      <c r="H777" s="17"/>
      <c r="K777" s="17"/>
      <c r="N777" s="17"/>
    </row>
    <row r="778">
      <c r="B778" s="11">
        <f>IFERROR(__xludf.DUMMYFUNCTION("""COMPUTED_VALUE"""),44937.0)</f>
        <v>44937</v>
      </c>
      <c r="C778" s="9">
        <f>IFERROR(__xludf.DUMMYFUNCTION("""COMPUTED_VALUE"""),3.54)</f>
        <v>3.54</v>
      </c>
      <c r="E778" s="40">
        <f>IFERROR(__xludf.DUMMYFUNCTION("""COMPUTED_VALUE"""),44937.0)</f>
        <v>44937</v>
      </c>
      <c r="F778" s="9">
        <f>IFERROR(__xludf.DUMMYFUNCTION("""COMPUTED_VALUE"""),3.54)</f>
        <v>3.54</v>
      </c>
      <c r="H778" s="17"/>
      <c r="K778" s="17"/>
      <c r="N778" s="17"/>
    </row>
    <row r="779">
      <c r="B779" s="11">
        <f>IFERROR(__xludf.DUMMYFUNCTION("""COMPUTED_VALUE"""),44936.0)</f>
        <v>44936</v>
      </c>
      <c r="C779" s="9">
        <f>IFERROR(__xludf.DUMMYFUNCTION("""COMPUTED_VALUE"""),3.61)</f>
        <v>3.61</v>
      </c>
      <c r="E779" s="40">
        <f>IFERROR(__xludf.DUMMYFUNCTION("""COMPUTED_VALUE"""),44936.0)</f>
        <v>44936</v>
      </c>
      <c r="F779" s="9">
        <f>IFERROR(__xludf.DUMMYFUNCTION("""COMPUTED_VALUE"""),3.61)</f>
        <v>3.61</v>
      </c>
      <c r="H779" s="17"/>
      <c r="K779" s="17"/>
      <c r="N779" s="17"/>
    </row>
    <row r="780">
      <c r="B780" s="11">
        <f>IFERROR(__xludf.DUMMYFUNCTION("""COMPUTED_VALUE"""),44935.0)</f>
        <v>44935</v>
      </c>
      <c r="C780" s="9">
        <f>IFERROR(__xludf.DUMMYFUNCTION("""COMPUTED_VALUE"""),3.53)</f>
        <v>3.53</v>
      </c>
      <c r="E780" s="40">
        <f>IFERROR(__xludf.DUMMYFUNCTION("""COMPUTED_VALUE"""),44935.0)</f>
        <v>44935</v>
      </c>
      <c r="F780" s="9">
        <f>IFERROR(__xludf.DUMMYFUNCTION("""COMPUTED_VALUE"""),3.53)</f>
        <v>3.53</v>
      </c>
      <c r="H780" s="17"/>
      <c r="K780" s="17"/>
      <c r="N780" s="17"/>
    </row>
    <row r="781">
      <c r="B781" s="11">
        <f>IFERROR(__xludf.DUMMYFUNCTION("""COMPUTED_VALUE"""),44932.0)</f>
        <v>44932</v>
      </c>
      <c r="C781" s="9">
        <f>IFERROR(__xludf.DUMMYFUNCTION("""COMPUTED_VALUE"""),3.55)</f>
        <v>3.55</v>
      </c>
      <c r="E781" s="40">
        <f>IFERROR(__xludf.DUMMYFUNCTION("""COMPUTED_VALUE"""),44932.0)</f>
        <v>44932</v>
      </c>
      <c r="F781" s="9">
        <f>IFERROR(__xludf.DUMMYFUNCTION("""COMPUTED_VALUE"""),3.55)</f>
        <v>3.55</v>
      </c>
      <c r="H781" s="17"/>
      <c r="K781" s="17"/>
      <c r="N781" s="17"/>
    </row>
    <row r="782">
      <c r="B782" s="11">
        <f>IFERROR(__xludf.DUMMYFUNCTION("""COMPUTED_VALUE"""),44931.0)</f>
        <v>44931</v>
      </c>
      <c r="C782" s="9">
        <f>IFERROR(__xludf.DUMMYFUNCTION("""COMPUTED_VALUE"""),3.71)</f>
        <v>3.71</v>
      </c>
      <c r="E782" s="40">
        <f>IFERROR(__xludf.DUMMYFUNCTION("""COMPUTED_VALUE"""),44931.0)</f>
        <v>44931</v>
      </c>
      <c r="F782" s="9">
        <f>IFERROR(__xludf.DUMMYFUNCTION("""COMPUTED_VALUE"""),3.71)</f>
        <v>3.71</v>
      </c>
      <c r="H782" s="17"/>
      <c r="K782" s="17"/>
      <c r="N782" s="17"/>
    </row>
    <row r="783">
      <c r="B783" s="11">
        <f>IFERROR(__xludf.DUMMYFUNCTION("""COMPUTED_VALUE"""),44930.0)</f>
        <v>44930</v>
      </c>
      <c r="C783" s="9">
        <f>IFERROR(__xludf.DUMMYFUNCTION("""COMPUTED_VALUE"""),3.69)</f>
        <v>3.69</v>
      </c>
      <c r="E783" s="40">
        <f>IFERROR(__xludf.DUMMYFUNCTION("""COMPUTED_VALUE"""),44930.0)</f>
        <v>44930</v>
      </c>
      <c r="F783" s="9">
        <f>IFERROR(__xludf.DUMMYFUNCTION("""COMPUTED_VALUE"""),3.69)</f>
        <v>3.69</v>
      </c>
      <c r="H783" s="17"/>
      <c r="K783" s="17"/>
      <c r="N783" s="17"/>
    </row>
    <row r="784">
      <c r="B784" s="11">
        <f>IFERROR(__xludf.DUMMYFUNCTION("""COMPUTED_VALUE"""),44929.0)</f>
        <v>44929</v>
      </c>
      <c r="C784" s="9">
        <f>IFERROR(__xludf.DUMMYFUNCTION("""COMPUTED_VALUE"""),3.79)</f>
        <v>3.79</v>
      </c>
      <c r="E784" s="40">
        <f>IFERROR(__xludf.DUMMYFUNCTION("""COMPUTED_VALUE"""),44929.0)</f>
        <v>44929</v>
      </c>
      <c r="F784" s="9">
        <f>IFERROR(__xludf.DUMMYFUNCTION("""COMPUTED_VALUE"""),3.79)</f>
        <v>3.79</v>
      </c>
      <c r="H784" s="17"/>
      <c r="K784" s="17"/>
      <c r="N784" s="17"/>
    </row>
    <row r="785">
      <c r="B785" s="11">
        <f>IFERROR(__xludf.DUMMYFUNCTION("""COMPUTED_VALUE"""),44928.0)</f>
        <v>44928</v>
      </c>
      <c r="C785" s="9"/>
      <c r="E785" s="40">
        <f>IFERROR(__xludf.DUMMYFUNCTION("""COMPUTED_VALUE"""),44928.0)</f>
        <v>44928</v>
      </c>
      <c r="F785" s="9"/>
      <c r="H785" s="17"/>
      <c r="K785" s="17"/>
      <c r="N785" s="17"/>
    </row>
    <row r="786">
      <c r="B786" s="11">
        <f>IFERROR(__xludf.DUMMYFUNCTION("""COMPUTED_VALUE"""),44925.0)</f>
        <v>44925</v>
      </c>
      <c r="C786" s="9">
        <f>IFERROR(__xludf.DUMMYFUNCTION("""COMPUTED_VALUE"""),3.88)</f>
        <v>3.88</v>
      </c>
      <c r="E786" s="40">
        <f>IFERROR(__xludf.DUMMYFUNCTION("""COMPUTED_VALUE"""),44925.0)</f>
        <v>44925</v>
      </c>
      <c r="F786" s="9">
        <f>IFERROR(__xludf.DUMMYFUNCTION("""COMPUTED_VALUE"""),3.88)</f>
        <v>3.88</v>
      </c>
      <c r="H786" s="17"/>
      <c r="K786" s="17"/>
      <c r="N786" s="17"/>
    </row>
    <row r="787">
      <c r="B787" s="11">
        <f>IFERROR(__xludf.DUMMYFUNCTION("""COMPUTED_VALUE"""),44924.0)</f>
        <v>44924</v>
      </c>
      <c r="C787" s="9">
        <f>IFERROR(__xludf.DUMMYFUNCTION("""COMPUTED_VALUE"""),3.83)</f>
        <v>3.83</v>
      </c>
      <c r="E787" s="40">
        <f>IFERROR(__xludf.DUMMYFUNCTION("""COMPUTED_VALUE"""),44924.0)</f>
        <v>44924</v>
      </c>
      <c r="F787" s="9">
        <f>IFERROR(__xludf.DUMMYFUNCTION("""COMPUTED_VALUE"""),3.83)</f>
        <v>3.83</v>
      </c>
      <c r="H787" s="17"/>
      <c r="K787" s="17"/>
      <c r="N787" s="17"/>
    </row>
    <row r="788">
      <c r="B788" s="11">
        <f>IFERROR(__xludf.DUMMYFUNCTION("""COMPUTED_VALUE"""),44923.0)</f>
        <v>44923</v>
      </c>
      <c r="C788" s="9">
        <f>IFERROR(__xludf.DUMMYFUNCTION("""COMPUTED_VALUE"""),3.88)</f>
        <v>3.88</v>
      </c>
      <c r="E788" s="40">
        <f>IFERROR(__xludf.DUMMYFUNCTION("""COMPUTED_VALUE"""),44923.0)</f>
        <v>44923</v>
      </c>
      <c r="F788" s="9">
        <f>IFERROR(__xludf.DUMMYFUNCTION("""COMPUTED_VALUE"""),3.88)</f>
        <v>3.88</v>
      </c>
      <c r="H788" s="17"/>
      <c r="K788" s="17"/>
      <c r="N788" s="17"/>
    </row>
    <row r="789">
      <c r="B789" s="11">
        <f>IFERROR(__xludf.DUMMYFUNCTION("""COMPUTED_VALUE"""),44922.0)</f>
        <v>44922</v>
      </c>
      <c r="C789" s="9">
        <f>IFERROR(__xludf.DUMMYFUNCTION("""COMPUTED_VALUE"""),3.84)</f>
        <v>3.84</v>
      </c>
      <c r="E789" s="40">
        <f>IFERROR(__xludf.DUMMYFUNCTION("""COMPUTED_VALUE"""),44922.0)</f>
        <v>44922</v>
      </c>
      <c r="F789" s="9">
        <f>IFERROR(__xludf.DUMMYFUNCTION("""COMPUTED_VALUE"""),3.84)</f>
        <v>3.84</v>
      </c>
      <c r="H789" s="17"/>
      <c r="K789" s="17"/>
      <c r="N789" s="17"/>
    </row>
    <row r="790">
      <c r="B790" s="11">
        <f>IFERROR(__xludf.DUMMYFUNCTION("""COMPUTED_VALUE"""),44921.0)</f>
        <v>44921</v>
      </c>
      <c r="C790" s="9"/>
      <c r="E790" s="40">
        <f>IFERROR(__xludf.DUMMYFUNCTION("""COMPUTED_VALUE"""),44921.0)</f>
        <v>44921</v>
      </c>
      <c r="F790" s="9"/>
      <c r="H790" s="17"/>
      <c r="K790" s="17"/>
      <c r="N790" s="17"/>
    </row>
    <row r="791">
      <c r="B791" s="11">
        <f>IFERROR(__xludf.DUMMYFUNCTION("""COMPUTED_VALUE"""),44918.0)</f>
        <v>44918</v>
      </c>
      <c r="C791" s="9">
        <f>IFERROR(__xludf.DUMMYFUNCTION("""COMPUTED_VALUE"""),3.75)</f>
        <v>3.75</v>
      </c>
      <c r="E791" s="40">
        <f>IFERROR(__xludf.DUMMYFUNCTION("""COMPUTED_VALUE"""),44918.0)</f>
        <v>44918</v>
      </c>
      <c r="F791" s="9">
        <f>IFERROR(__xludf.DUMMYFUNCTION("""COMPUTED_VALUE"""),3.75)</f>
        <v>3.75</v>
      </c>
      <c r="H791" s="17"/>
      <c r="K791" s="17"/>
      <c r="N791" s="17"/>
    </row>
    <row r="792">
      <c r="B792" s="11">
        <f>IFERROR(__xludf.DUMMYFUNCTION("""COMPUTED_VALUE"""),44917.0)</f>
        <v>44917</v>
      </c>
      <c r="C792" s="9">
        <f>IFERROR(__xludf.DUMMYFUNCTION("""COMPUTED_VALUE"""),3.67)</f>
        <v>3.67</v>
      </c>
      <c r="E792" s="40">
        <f>IFERROR(__xludf.DUMMYFUNCTION("""COMPUTED_VALUE"""),44917.0)</f>
        <v>44917</v>
      </c>
      <c r="F792" s="9">
        <f>IFERROR(__xludf.DUMMYFUNCTION("""COMPUTED_VALUE"""),3.67)</f>
        <v>3.67</v>
      </c>
      <c r="H792" s="17"/>
      <c r="K792" s="17"/>
      <c r="N792" s="17"/>
    </row>
    <row r="793">
      <c r="B793" s="11">
        <f>IFERROR(__xludf.DUMMYFUNCTION("""COMPUTED_VALUE"""),44916.0)</f>
        <v>44916</v>
      </c>
      <c r="C793" s="9">
        <f>IFERROR(__xludf.DUMMYFUNCTION("""COMPUTED_VALUE"""),3.68)</f>
        <v>3.68</v>
      </c>
      <c r="E793" s="40">
        <f>IFERROR(__xludf.DUMMYFUNCTION("""COMPUTED_VALUE"""),44916.0)</f>
        <v>44916</v>
      </c>
      <c r="F793" s="9">
        <f>IFERROR(__xludf.DUMMYFUNCTION("""COMPUTED_VALUE"""),3.68)</f>
        <v>3.68</v>
      </c>
      <c r="H793" s="17"/>
      <c r="K793" s="17"/>
      <c r="N793" s="17"/>
    </row>
    <row r="794">
      <c r="B794" s="11">
        <f>IFERROR(__xludf.DUMMYFUNCTION("""COMPUTED_VALUE"""),44915.0)</f>
        <v>44915</v>
      </c>
      <c r="C794" s="9">
        <f>IFERROR(__xludf.DUMMYFUNCTION("""COMPUTED_VALUE"""),3.69)</f>
        <v>3.69</v>
      </c>
      <c r="E794" s="40">
        <f>IFERROR(__xludf.DUMMYFUNCTION("""COMPUTED_VALUE"""),44915.0)</f>
        <v>44915</v>
      </c>
      <c r="F794" s="9">
        <f>IFERROR(__xludf.DUMMYFUNCTION("""COMPUTED_VALUE"""),3.69)</f>
        <v>3.69</v>
      </c>
      <c r="H794" s="17"/>
      <c r="K794" s="17"/>
      <c r="N794" s="17"/>
    </row>
    <row r="795">
      <c r="B795" s="11">
        <f>IFERROR(__xludf.DUMMYFUNCTION("""COMPUTED_VALUE"""),44914.0)</f>
        <v>44914</v>
      </c>
      <c r="C795" s="9">
        <f>IFERROR(__xludf.DUMMYFUNCTION("""COMPUTED_VALUE"""),3.57)</f>
        <v>3.57</v>
      </c>
      <c r="E795" s="40">
        <f>IFERROR(__xludf.DUMMYFUNCTION("""COMPUTED_VALUE"""),44914.0)</f>
        <v>44914</v>
      </c>
      <c r="F795" s="9">
        <f>IFERROR(__xludf.DUMMYFUNCTION("""COMPUTED_VALUE"""),3.57)</f>
        <v>3.57</v>
      </c>
      <c r="H795" s="17"/>
      <c r="K795" s="17"/>
      <c r="N795" s="17"/>
    </row>
    <row r="796">
      <c r="B796" s="11">
        <f>IFERROR(__xludf.DUMMYFUNCTION("""COMPUTED_VALUE"""),44911.0)</f>
        <v>44911</v>
      </c>
      <c r="C796" s="9">
        <f>IFERROR(__xludf.DUMMYFUNCTION("""COMPUTED_VALUE"""),3.48)</f>
        <v>3.48</v>
      </c>
      <c r="E796" s="40">
        <f>IFERROR(__xludf.DUMMYFUNCTION("""COMPUTED_VALUE"""),44911.0)</f>
        <v>44911</v>
      </c>
      <c r="F796" s="9">
        <f>IFERROR(__xludf.DUMMYFUNCTION("""COMPUTED_VALUE"""),3.48)</f>
        <v>3.48</v>
      </c>
      <c r="H796" s="17"/>
      <c r="K796" s="17"/>
      <c r="N796" s="17"/>
    </row>
    <row r="797">
      <c r="B797" s="11">
        <f>IFERROR(__xludf.DUMMYFUNCTION("""COMPUTED_VALUE"""),44910.0)</f>
        <v>44910</v>
      </c>
      <c r="C797" s="9">
        <f>IFERROR(__xludf.DUMMYFUNCTION("""COMPUTED_VALUE"""),3.44)</f>
        <v>3.44</v>
      </c>
      <c r="E797" s="40">
        <f>IFERROR(__xludf.DUMMYFUNCTION("""COMPUTED_VALUE"""),44910.0)</f>
        <v>44910</v>
      </c>
      <c r="F797" s="9">
        <f>IFERROR(__xludf.DUMMYFUNCTION("""COMPUTED_VALUE"""),3.44)</f>
        <v>3.44</v>
      </c>
      <c r="H797" s="17"/>
      <c r="K797" s="17"/>
      <c r="N797" s="17"/>
    </row>
    <row r="798">
      <c r="B798" s="11">
        <f>IFERROR(__xludf.DUMMYFUNCTION("""COMPUTED_VALUE"""),44909.0)</f>
        <v>44909</v>
      </c>
      <c r="C798" s="9">
        <f>IFERROR(__xludf.DUMMYFUNCTION("""COMPUTED_VALUE"""),3.49)</f>
        <v>3.49</v>
      </c>
      <c r="E798" s="40">
        <f>IFERROR(__xludf.DUMMYFUNCTION("""COMPUTED_VALUE"""),44909.0)</f>
        <v>44909</v>
      </c>
      <c r="F798" s="9">
        <f>IFERROR(__xludf.DUMMYFUNCTION("""COMPUTED_VALUE"""),3.49)</f>
        <v>3.49</v>
      </c>
      <c r="H798" s="17"/>
      <c r="K798" s="17"/>
      <c r="N798" s="17"/>
    </row>
    <row r="799">
      <c r="B799" s="11">
        <f>IFERROR(__xludf.DUMMYFUNCTION("""COMPUTED_VALUE"""),44908.0)</f>
        <v>44908</v>
      </c>
      <c r="C799" s="9">
        <f>IFERROR(__xludf.DUMMYFUNCTION("""COMPUTED_VALUE"""),3.51)</f>
        <v>3.51</v>
      </c>
      <c r="E799" s="40">
        <f>IFERROR(__xludf.DUMMYFUNCTION("""COMPUTED_VALUE"""),44908.0)</f>
        <v>44908</v>
      </c>
      <c r="F799" s="9">
        <f>IFERROR(__xludf.DUMMYFUNCTION("""COMPUTED_VALUE"""),3.51)</f>
        <v>3.51</v>
      </c>
      <c r="H799" s="17"/>
      <c r="K799" s="17"/>
      <c r="N799" s="17"/>
    </row>
    <row r="800">
      <c r="B800" s="11">
        <f>IFERROR(__xludf.DUMMYFUNCTION("""COMPUTED_VALUE"""),44907.0)</f>
        <v>44907</v>
      </c>
      <c r="C800" s="9">
        <f>IFERROR(__xludf.DUMMYFUNCTION("""COMPUTED_VALUE"""),3.61)</f>
        <v>3.61</v>
      </c>
      <c r="E800" s="40">
        <f>IFERROR(__xludf.DUMMYFUNCTION("""COMPUTED_VALUE"""),44907.0)</f>
        <v>44907</v>
      </c>
      <c r="F800" s="9">
        <f>IFERROR(__xludf.DUMMYFUNCTION("""COMPUTED_VALUE"""),3.61)</f>
        <v>3.61</v>
      </c>
      <c r="H800" s="17"/>
      <c r="K800" s="17"/>
      <c r="N800" s="17"/>
    </row>
    <row r="801">
      <c r="B801" s="11">
        <f>IFERROR(__xludf.DUMMYFUNCTION("""COMPUTED_VALUE"""),44904.0)</f>
        <v>44904</v>
      </c>
      <c r="C801" s="9">
        <f>IFERROR(__xludf.DUMMYFUNCTION("""COMPUTED_VALUE"""),3.57)</f>
        <v>3.57</v>
      </c>
      <c r="E801" s="40">
        <f>IFERROR(__xludf.DUMMYFUNCTION("""COMPUTED_VALUE"""),44904.0)</f>
        <v>44904</v>
      </c>
      <c r="F801" s="9">
        <f>IFERROR(__xludf.DUMMYFUNCTION("""COMPUTED_VALUE"""),3.57)</f>
        <v>3.57</v>
      </c>
      <c r="H801" s="17"/>
      <c r="K801" s="17"/>
      <c r="N801" s="17"/>
    </row>
    <row r="802">
      <c r="B802" s="11">
        <f>IFERROR(__xludf.DUMMYFUNCTION("""COMPUTED_VALUE"""),44903.0)</f>
        <v>44903</v>
      </c>
      <c r="C802" s="9">
        <f>IFERROR(__xludf.DUMMYFUNCTION("""COMPUTED_VALUE"""),3.48)</f>
        <v>3.48</v>
      </c>
      <c r="E802" s="40">
        <f>IFERROR(__xludf.DUMMYFUNCTION("""COMPUTED_VALUE"""),44903.0)</f>
        <v>44903</v>
      </c>
      <c r="F802" s="9">
        <f>IFERROR(__xludf.DUMMYFUNCTION("""COMPUTED_VALUE"""),3.48)</f>
        <v>3.48</v>
      </c>
      <c r="H802" s="17"/>
      <c r="K802" s="17"/>
      <c r="N802" s="17"/>
    </row>
    <row r="803">
      <c r="B803" s="11">
        <f>IFERROR(__xludf.DUMMYFUNCTION("""COMPUTED_VALUE"""),44902.0)</f>
        <v>44902</v>
      </c>
      <c r="C803" s="9">
        <f>IFERROR(__xludf.DUMMYFUNCTION("""COMPUTED_VALUE"""),3.42)</f>
        <v>3.42</v>
      </c>
      <c r="E803" s="40">
        <f>IFERROR(__xludf.DUMMYFUNCTION("""COMPUTED_VALUE"""),44902.0)</f>
        <v>44902</v>
      </c>
      <c r="F803" s="9">
        <f>IFERROR(__xludf.DUMMYFUNCTION("""COMPUTED_VALUE"""),3.42)</f>
        <v>3.42</v>
      </c>
      <c r="H803" s="17"/>
      <c r="K803" s="17"/>
      <c r="N803" s="17"/>
    </row>
    <row r="804">
      <c r="B804" s="11">
        <f>IFERROR(__xludf.DUMMYFUNCTION("""COMPUTED_VALUE"""),44901.0)</f>
        <v>44901</v>
      </c>
      <c r="C804" s="9">
        <f>IFERROR(__xludf.DUMMYFUNCTION("""COMPUTED_VALUE"""),3.51)</f>
        <v>3.51</v>
      </c>
      <c r="E804" s="40">
        <f>IFERROR(__xludf.DUMMYFUNCTION("""COMPUTED_VALUE"""),44901.0)</f>
        <v>44901</v>
      </c>
      <c r="F804" s="9">
        <f>IFERROR(__xludf.DUMMYFUNCTION("""COMPUTED_VALUE"""),3.51)</f>
        <v>3.51</v>
      </c>
      <c r="H804" s="17"/>
      <c r="K804" s="17"/>
      <c r="N804" s="17"/>
    </row>
    <row r="805">
      <c r="B805" s="11">
        <f>IFERROR(__xludf.DUMMYFUNCTION("""COMPUTED_VALUE"""),44900.0)</f>
        <v>44900</v>
      </c>
      <c r="C805" s="9">
        <f>IFERROR(__xludf.DUMMYFUNCTION("""COMPUTED_VALUE"""),3.6)</f>
        <v>3.6</v>
      </c>
      <c r="E805" s="40">
        <f>IFERROR(__xludf.DUMMYFUNCTION("""COMPUTED_VALUE"""),44900.0)</f>
        <v>44900</v>
      </c>
      <c r="F805" s="9">
        <f>IFERROR(__xludf.DUMMYFUNCTION("""COMPUTED_VALUE"""),3.6)</f>
        <v>3.6</v>
      </c>
      <c r="H805" s="17"/>
      <c r="K805" s="17"/>
      <c r="N805" s="17"/>
    </row>
    <row r="806">
      <c r="B806" s="11">
        <f>IFERROR(__xludf.DUMMYFUNCTION("""COMPUTED_VALUE"""),44897.0)</f>
        <v>44897</v>
      </c>
      <c r="C806" s="9">
        <f>IFERROR(__xludf.DUMMYFUNCTION("""COMPUTED_VALUE"""),3.51)</f>
        <v>3.51</v>
      </c>
      <c r="E806" s="40">
        <f>IFERROR(__xludf.DUMMYFUNCTION("""COMPUTED_VALUE"""),44897.0)</f>
        <v>44897</v>
      </c>
      <c r="F806" s="9">
        <f>IFERROR(__xludf.DUMMYFUNCTION("""COMPUTED_VALUE"""),3.51)</f>
        <v>3.51</v>
      </c>
      <c r="H806" s="17"/>
      <c r="K806" s="17"/>
      <c r="N806" s="17"/>
    </row>
    <row r="807">
      <c r="B807" s="11">
        <f>IFERROR(__xludf.DUMMYFUNCTION("""COMPUTED_VALUE"""),44896.0)</f>
        <v>44896</v>
      </c>
      <c r="C807" s="9">
        <f>IFERROR(__xludf.DUMMYFUNCTION("""COMPUTED_VALUE"""),3.53)</f>
        <v>3.53</v>
      </c>
      <c r="E807" s="40">
        <f>IFERROR(__xludf.DUMMYFUNCTION("""COMPUTED_VALUE"""),44896.0)</f>
        <v>44896</v>
      </c>
      <c r="F807" s="9">
        <f>IFERROR(__xludf.DUMMYFUNCTION("""COMPUTED_VALUE"""),3.53)</f>
        <v>3.53</v>
      </c>
      <c r="H807" s="17"/>
      <c r="K807" s="17"/>
      <c r="N807" s="17"/>
    </row>
    <row r="808">
      <c r="B808" s="11">
        <f>IFERROR(__xludf.DUMMYFUNCTION("""COMPUTED_VALUE"""),44895.0)</f>
        <v>44895</v>
      </c>
      <c r="C808" s="9">
        <f>IFERROR(__xludf.DUMMYFUNCTION("""COMPUTED_VALUE"""),3.68)</f>
        <v>3.68</v>
      </c>
      <c r="E808" s="40">
        <f>IFERROR(__xludf.DUMMYFUNCTION("""COMPUTED_VALUE"""),44895.0)</f>
        <v>44895</v>
      </c>
      <c r="F808" s="9">
        <f>IFERROR(__xludf.DUMMYFUNCTION("""COMPUTED_VALUE"""),3.68)</f>
        <v>3.68</v>
      </c>
      <c r="H808" s="17"/>
      <c r="K808" s="17"/>
      <c r="N808" s="17"/>
    </row>
    <row r="809">
      <c r="B809" s="11">
        <f>IFERROR(__xludf.DUMMYFUNCTION("""COMPUTED_VALUE"""),44894.0)</f>
        <v>44894</v>
      </c>
      <c r="C809" s="9">
        <f>IFERROR(__xludf.DUMMYFUNCTION("""COMPUTED_VALUE"""),3.75)</f>
        <v>3.75</v>
      </c>
      <c r="E809" s="40">
        <f>IFERROR(__xludf.DUMMYFUNCTION("""COMPUTED_VALUE"""),44894.0)</f>
        <v>44894</v>
      </c>
      <c r="F809" s="9">
        <f>IFERROR(__xludf.DUMMYFUNCTION("""COMPUTED_VALUE"""),3.75)</f>
        <v>3.75</v>
      </c>
      <c r="H809" s="17"/>
      <c r="K809" s="17"/>
      <c r="N809" s="17"/>
    </row>
    <row r="810">
      <c r="B810" s="11">
        <f>IFERROR(__xludf.DUMMYFUNCTION("""COMPUTED_VALUE"""),44893.0)</f>
        <v>44893</v>
      </c>
      <c r="C810" s="9">
        <f>IFERROR(__xludf.DUMMYFUNCTION("""COMPUTED_VALUE"""),3.69)</f>
        <v>3.69</v>
      </c>
      <c r="E810" s="40">
        <f>IFERROR(__xludf.DUMMYFUNCTION("""COMPUTED_VALUE"""),44893.0)</f>
        <v>44893</v>
      </c>
      <c r="F810" s="9">
        <f>IFERROR(__xludf.DUMMYFUNCTION("""COMPUTED_VALUE"""),3.69)</f>
        <v>3.69</v>
      </c>
      <c r="H810" s="17"/>
      <c r="K810" s="17"/>
      <c r="N810" s="17"/>
    </row>
    <row r="811">
      <c r="B811" s="11">
        <f>IFERROR(__xludf.DUMMYFUNCTION("""COMPUTED_VALUE"""),44890.0)</f>
        <v>44890</v>
      </c>
      <c r="C811" s="9">
        <f>IFERROR(__xludf.DUMMYFUNCTION("""COMPUTED_VALUE"""),3.68)</f>
        <v>3.68</v>
      </c>
      <c r="E811" s="40">
        <f>IFERROR(__xludf.DUMMYFUNCTION("""COMPUTED_VALUE"""),44890.0)</f>
        <v>44890</v>
      </c>
      <c r="F811" s="9">
        <f>IFERROR(__xludf.DUMMYFUNCTION("""COMPUTED_VALUE"""),3.68)</f>
        <v>3.68</v>
      </c>
      <c r="H811" s="17"/>
      <c r="K811" s="17"/>
      <c r="N811" s="17"/>
    </row>
    <row r="812">
      <c r="B812" s="11">
        <f>IFERROR(__xludf.DUMMYFUNCTION("""COMPUTED_VALUE"""),44889.0)</f>
        <v>44889</v>
      </c>
      <c r="C812" s="9"/>
      <c r="E812" s="40">
        <f>IFERROR(__xludf.DUMMYFUNCTION("""COMPUTED_VALUE"""),44889.0)</f>
        <v>44889</v>
      </c>
      <c r="F812" s="9"/>
      <c r="H812" s="17"/>
      <c r="K812" s="17"/>
      <c r="N812" s="17"/>
    </row>
    <row r="813">
      <c r="B813" s="11">
        <f>IFERROR(__xludf.DUMMYFUNCTION("""COMPUTED_VALUE"""),44888.0)</f>
        <v>44888</v>
      </c>
      <c r="C813" s="9">
        <f>IFERROR(__xludf.DUMMYFUNCTION("""COMPUTED_VALUE"""),3.71)</f>
        <v>3.71</v>
      </c>
      <c r="E813" s="40">
        <f>IFERROR(__xludf.DUMMYFUNCTION("""COMPUTED_VALUE"""),44888.0)</f>
        <v>44888</v>
      </c>
      <c r="F813" s="9">
        <f>IFERROR(__xludf.DUMMYFUNCTION("""COMPUTED_VALUE"""),3.71)</f>
        <v>3.71</v>
      </c>
      <c r="H813" s="17"/>
      <c r="K813" s="17"/>
      <c r="N813" s="17"/>
    </row>
    <row r="814">
      <c r="B814" s="11">
        <f>IFERROR(__xludf.DUMMYFUNCTION("""COMPUTED_VALUE"""),44887.0)</f>
        <v>44887</v>
      </c>
      <c r="C814" s="9">
        <f>IFERROR(__xludf.DUMMYFUNCTION("""COMPUTED_VALUE"""),3.76)</f>
        <v>3.76</v>
      </c>
      <c r="E814" s="40">
        <f>IFERROR(__xludf.DUMMYFUNCTION("""COMPUTED_VALUE"""),44887.0)</f>
        <v>44887</v>
      </c>
      <c r="F814" s="9">
        <f>IFERROR(__xludf.DUMMYFUNCTION("""COMPUTED_VALUE"""),3.76)</f>
        <v>3.76</v>
      </c>
      <c r="H814" s="17"/>
      <c r="K814" s="17"/>
      <c r="N814" s="17"/>
    </row>
    <row r="815">
      <c r="B815" s="11">
        <f>IFERROR(__xludf.DUMMYFUNCTION("""COMPUTED_VALUE"""),44886.0)</f>
        <v>44886</v>
      </c>
      <c r="C815" s="9">
        <f>IFERROR(__xludf.DUMMYFUNCTION("""COMPUTED_VALUE"""),3.83)</f>
        <v>3.83</v>
      </c>
      <c r="E815" s="40">
        <f>IFERROR(__xludf.DUMMYFUNCTION("""COMPUTED_VALUE"""),44886.0)</f>
        <v>44886</v>
      </c>
      <c r="F815" s="9">
        <f>IFERROR(__xludf.DUMMYFUNCTION("""COMPUTED_VALUE"""),3.83)</f>
        <v>3.83</v>
      </c>
      <c r="H815" s="17"/>
      <c r="K815" s="17"/>
      <c r="N815" s="17"/>
    </row>
    <row r="816">
      <c r="B816" s="11">
        <f>IFERROR(__xludf.DUMMYFUNCTION("""COMPUTED_VALUE"""),44883.0)</f>
        <v>44883</v>
      </c>
      <c r="C816" s="9">
        <f>IFERROR(__xludf.DUMMYFUNCTION("""COMPUTED_VALUE"""),3.82)</f>
        <v>3.82</v>
      </c>
      <c r="E816" s="40">
        <f>IFERROR(__xludf.DUMMYFUNCTION("""COMPUTED_VALUE"""),44883.0)</f>
        <v>44883</v>
      </c>
      <c r="F816" s="9">
        <f>IFERROR(__xludf.DUMMYFUNCTION("""COMPUTED_VALUE"""),3.82)</f>
        <v>3.82</v>
      </c>
      <c r="H816" s="17"/>
      <c r="K816" s="17"/>
      <c r="N816" s="17"/>
    </row>
    <row r="817">
      <c r="B817" s="11">
        <f>IFERROR(__xludf.DUMMYFUNCTION("""COMPUTED_VALUE"""),44882.0)</f>
        <v>44882</v>
      </c>
      <c r="C817" s="9">
        <f>IFERROR(__xludf.DUMMYFUNCTION("""COMPUTED_VALUE"""),3.77)</f>
        <v>3.77</v>
      </c>
      <c r="E817" s="40">
        <f>IFERROR(__xludf.DUMMYFUNCTION("""COMPUTED_VALUE"""),44882.0)</f>
        <v>44882</v>
      </c>
      <c r="F817" s="9">
        <f>IFERROR(__xludf.DUMMYFUNCTION("""COMPUTED_VALUE"""),3.77)</f>
        <v>3.77</v>
      </c>
      <c r="H817" s="17"/>
      <c r="K817" s="17"/>
      <c r="N817" s="17"/>
    </row>
    <row r="818">
      <c r="B818" s="11">
        <f>IFERROR(__xludf.DUMMYFUNCTION("""COMPUTED_VALUE"""),44881.0)</f>
        <v>44881</v>
      </c>
      <c r="C818" s="9">
        <f>IFERROR(__xludf.DUMMYFUNCTION("""COMPUTED_VALUE"""),3.67)</f>
        <v>3.67</v>
      </c>
      <c r="E818" s="40">
        <f>IFERROR(__xludf.DUMMYFUNCTION("""COMPUTED_VALUE"""),44881.0)</f>
        <v>44881</v>
      </c>
      <c r="F818" s="9">
        <f>IFERROR(__xludf.DUMMYFUNCTION("""COMPUTED_VALUE"""),3.67)</f>
        <v>3.67</v>
      </c>
      <c r="H818" s="17"/>
      <c r="K818" s="17"/>
      <c r="N818" s="17"/>
    </row>
    <row r="819">
      <c r="B819" s="11">
        <f>IFERROR(__xludf.DUMMYFUNCTION("""COMPUTED_VALUE"""),44880.0)</f>
        <v>44880</v>
      </c>
      <c r="C819" s="9">
        <f>IFERROR(__xludf.DUMMYFUNCTION("""COMPUTED_VALUE"""),3.8)</f>
        <v>3.8</v>
      </c>
      <c r="E819" s="40">
        <f>IFERROR(__xludf.DUMMYFUNCTION("""COMPUTED_VALUE"""),44880.0)</f>
        <v>44880</v>
      </c>
      <c r="F819" s="9">
        <f>IFERROR(__xludf.DUMMYFUNCTION("""COMPUTED_VALUE"""),3.8)</f>
        <v>3.8</v>
      </c>
      <c r="H819" s="17"/>
      <c r="K819" s="17"/>
      <c r="N819" s="17"/>
    </row>
    <row r="820">
      <c r="B820" s="11">
        <f>IFERROR(__xludf.DUMMYFUNCTION("""COMPUTED_VALUE"""),44879.0)</f>
        <v>44879</v>
      </c>
      <c r="C820" s="9">
        <f>IFERROR(__xludf.DUMMYFUNCTION("""COMPUTED_VALUE"""),3.88)</f>
        <v>3.88</v>
      </c>
      <c r="E820" s="40">
        <f>IFERROR(__xludf.DUMMYFUNCTION("""COMPUTED_VALUE"""),44879.0)</f>
        <v>44879</v>
      </c>
      <c r="F820" s="9">
        <f>IFERROR(__xludf.DUMMYFUNCTION("""COMPUTED_VALUE"""),3.88)</f>
        <v>3.88</v>
      </c>
      <c r="H820" s="17"/>
      <c r="K820" s="17"/>
      <c r="N820" s="17"/>
    </row>
    <row r="821">
      <c r="B821" s="11">
        <f>IFERROR(__xludf.DUMMYFUNCTION("""COMPUTED_VALUE"""),44876.0)</f>
        <v>44876</v>
      </c>
      <c r="C821" s="9"/>
      <c r="E821" s="40">
        <f>IFERROR(__xludf.DUMMYFUNCTION("""COMPUTED_VALUE"""),44876.0)</f>
        <v>44876</v>
      </c>
      <c r="F821" s="9"/>
      <c r="H821" s="17"/>
      <c r="K821" s="17"/>
      <c r="N821" s="17"/>
    </row>
    <row r="822">
      <c r="B822" s="11">
        <f>IFERROR(__xludf.DUMMYFUNCTION("""COMPUTED_VALUE"""),44875.0)</f>
        <v>44875</v>
      </c>
      <c r="C822" s="9">
        <f>IFERROR(__xludf.DUMMYFUNCTION("""COMPUTED_VALUE"""),3.82)</f>
        <v>3.82</v>
      </c>
      <c r="E822" s="40">
        <f>IFERROR(__xludf.DUMMYFUNCTION("""COMPUTED_VALUE"""),44875.0)</f>
        <v>44875</v>
      </c>
      <c r="F822" s="9">
        <f>IFERROR(__xludf.DUMMYFUNCTION("""COMPUTED_VALUE"""),3.82)</f>
        <v>3.82</v>
      </c>
      <c r="H822" s="17"/>
      <c r="K822" s="17"/>
      <c r="N822" s="17"/>
    </row>
    <row r="823">
      <c r="B823" s="11">
        <f>IFERROR(__xludf.DUMMYFUNCTION("""COMPUTED_VALUE"""),44874.0)</f>
        <v>44874</v>
      </c>
      <c r="C823" s="9">
        <f>IFERROR(__xludf.DUMMYFUNCTION("""COMPUTED_VALUE"""),4.12)</f>
        <v>4.12</v>
      </c>
      <c r="E823" s="40">
        <f>IFERROR(__xludf.DUMMYFUNCTION("""COMPUTED_VALUE"""),44874.0)</f>
        <v>44874</v>
      </c>
      <c r="F823" s="9">
        <f>IFERROR(__xludf.DUMMYFUNCTION("""COMPUTED_VALUE"""),4.12)</f>
        <v>4.12</v>
      </c>
      <c r="H823" s="17"/>
      <c r="K823" s="17"/>
      <c r="N823" s="17"/>
    </row>
    <row r="824">
      <c r="B824" s="11">
        <f>IFERROR(__xludf.DUMMYFUNCTION("""COMPUTED_VALUE"""),44873.0)</f>
        <v>44873</v>
      </c>
      <c r="C824" s="9">
        <f>IFERROR(__xludf.DUMMYFUNCTION("""COMPUTED_VALUE"""),4.14)</f>
        <v>4.14</v>
      </c>
      <c r="E824" s="40">
        <f>IFERROR(__xludf.DUMMYFUNCTION("""COMPUTED_VALUE"""),44873.0)</f>
        <v>44873</v>
      </c>
      <c r="F824" s="9">
        <f>IFERROR(__xludf.DUMMYFUNCTION("""COMPUTED_VALUE"""),4.14)</f>
        <v>4.14</v>
      </c>
      <c r="H824" s="17"/>
      <c r="K824" s="17"/>
      <c r="N824" s="17"/>
    </row>
    <row r="825">
      <c r="B825" s="11">
        <f>IFERROR(__xludf.DUMMYFUNCTION("""COMPUTED_VALUE"""),44872.0)</f>
        <v>44872</v>
      </c>
      <c r="C825" s="9">
        <f>IFERROR(__xludf.DUMMYFUNCTION("""COMPUTED_VALUE"""),4.22)</f>
        <v>4.22</v>
      </c>
      <c r="E825" s="40">
        <f>IFERROR(__xludf.DUMMYFUNCTION("""COMPUTED_VALUE"""),44872.0)</f>
        <v>44872</v>
      </c>
      <c r="F825" s="9">
        <f>IFERROR(__xludf.DUMMYFUNCTION("""COMPUTED_VALUE"""),4.22)</f>
        <v>4.22</v>
      </c>
      <c r="H825" s="17"/>
      <c r="K825" s="17"/>
      <c r="N825" s="17"/>
    </row>
    <row r="826">
      <c r="B826" s="11">
        <f>IFERROR(__xludf.DUMMYFUNCTION("""COMPUTED_VALUE"""),44869.0)</f>
        <v>44869</v>
      </c>
      <c r="C826" s="9">
        <f>IFERROR(__xludf.DUMMYFUNCTION("""COMPUTED_VALUE"""),4.17)</f>
        <v>4.17</v>
      </c>
      <c r="E826" s="40">
        <f>IFERROR(__xludf.DUMMYFUNCTION("""COMPUTED_VALUE"""),44869.0)</f>
        <v>44869</v>
      </c>
      <c r="F826" s="9">
        <f>IFERROR(__xludf.DUMMYFUNCTION("""COMPUTED_VALUE"""),4.17)</f>
        <v>4.17</v>
      </c>
      <c r="H826" s="17"/>
      <c r="K826" s="17"/>
      <c r="N826" s="17"/>
    </row>
    <row r="827">
      <c r="B827" s="11">
        <f>IFERROR(__xludf.DUMMYFUNCTION("""COMPUTED_VALUE"""),44868.0)</f>
        <v>44868</v>
      </c>
      <c r="C827" s="9">
        <f>IFERROR(__xludf.DUMMYFUNCTION("""COMPUTED_VALUE"""),4.14)</f>
        <v>4.14</v>
      </c>
      <c r="E827" s="40">
        <f>IFERROR(__xludf.DUMMYFUNCTION("""COMPUTED_VALUE"""),44868.0)</f>
        <v>44868</v>
      </c>
      <c r="F827" s="9">
        <f>IFERROR(__xludf.DUMMYFUNCTION("""COMPUTED_VALUE"""),4.14)</f>
        <v>4.14</v>
      </c>
      <c r="H827" s="17"/>
      <c r="K827" s="17"/>
      <c r="N827" s="17"/>
    </row>
    <row r="828">
      <c r="B828" s="11">
        <f>IFERROR(__xludf.DUMMYFUNCTION("""COMPUTED_VALUE"""),44867.0)</f>
        <v>44867</v>
      </c>
      <c r="C828" s="9">
        <f>IFERROR(__xludf.DUMMYFUNCTION("""COMPUTED_VALUE"""),4.1)</f>
        <v>4.1</v>
      </c>
      <c r="E828" s="40">
        <f>IFERROR(__xludf.DUMMYFUNCTION("""COMPUTED_VALUE"""),44867.0)</f>
        <v>44867</v>
      </c>
      <c r="F828" s="9">
        <f>IFERROR(__xludf.DUMMYFUNCTION("""COMPUTED_VALUE"""),4.1)</f>
        <v>4.1</v>
      </c>
      <c r="H828" s="17"/>
      <c r="K828" s="17"/>
      <c r="N828" s="17"/>
    </row>
    <row r="829">
      <c r="B829" s="11">
        <f>IFERROR(__xludf.DUMMYFUNCTION("""COMPUTED_VALUE"""),44866.0)</f>
        <v>44866</v>
      </c>
      <c r="C829" s="9">
        <f>IFERROR(__xludf.DUMMYFUNCTION("""COMPUTED_VALUE"""),4.07)</f>
        <v>4.07</v>
      </c>
      <c r="E829" s="40">
        <f>IFERROR(__xludf.DUMMYFUNCTION("""COMPUTED_VALUE"""),44866.0)</f>
        <v>44866</v>
      </c>
      <c r="F829" s="9">
        <f>IFERROR(__xludf.DUMMYFUNCTION("""COMPUTED_VALUE"""),4.07)</f>
        <v>4.07</v>
      </c>
      <c r="H829" s="17"/>
      <c r="K829" s="17"/>
      <c r="N829" s="17"/>
    </row>
    <row r="830">
      <c r="B830" s="11">
        <f>IFERROR(__xludf.DUMMYFUNCTION("""COMPUTED_VALUE"""),44865.0)</f>
        <v>44865</v>
      </c>
      <c r="C830" s="9">
        <f>IFERROR(__xludf.DUMMYFUNCTION("""COMPUTED_VALUE"""),4.1)</f>
        <v>4.1</v>
      </c>
      <c r="E830" s="40">
        <f>IFERROR(__xludf.DUMMYFUNCTION("""COMPUTED_VALUE"""),44865.0)</f>
        <v>44865</v>
      </c>
      <c r="F830" s="9">
        <f>IFERROR(__xludf.DUMMYFUNCTION("""COMPUTED_VALUE"""),4.1)</f>
        <v>4.1</v>
      </c>
      <c r="H830" s="17"/>
      <c r="K830" s="17"/>
      <c r="N830" s="17"/>
    </row>
    <row r="831">
      <c r="B831" s="11">
        <f>IFERROR(__xludf.DUMMYFUNCTION("""COMPUTED_VALUE"""),44862.0)</f>
        <v>44862</v>
      </c>
      <c r="C831" s="9">
        <f>IFERROR(__xludf.DUMMYFUNCTION("""COMPUTED_VALUE"""),4.02)</f>
        <v>4.02</v>
      </c>
      <c r="E831" s="40">
        <f>IFERROR(__xludf.DUMMYFUNCTION("""COMPUTED_VALUE"""),44862.0)</f>
        <v>44862</v>
      </c>
      <c r="F831" s="9">
        <f>IFERROR(__xludf.DUMMYFUNCTION("""COMPUTED_VALUE"""),4.02)</f>
        <v>4.02</v>
      </c>
      <c r="H831" s="17"/>
      <c r="K831" s="17"/>
      <c r="N831" s="17"/>
    </row>
    <row r="832">
      <c r="B832" s="11">
        <f>IFERROR(__xludf.DUMMYFUNCTION("""COMPUTED_VALUE"""),44861.0)</f>
        <v>44861</v>
      </c>
      <c r="C832" s="9">
        <f>IFERROR(__xludf.DUMMYFUNCTION("""COMPUTED_VALUE"""),3.96)</f>
        <v>3.96</v>
      </c>
      <c r="E832" s="40">
        <f>IFERROR(__xludf.DUMMYFUNCTION("""COMPUTED_VALUE"""),44861.0)</f>
        <v>44861</v>
      </c>
      <c r="F832" s="9">
        <f>IFERROR(__xludf.DUMMYFUNCTION("""COMPUTED_VALUE"""),3.96)</f>
        <v>3.96</v>
      </c>
      <c r="H832" s="17"/>
      <c r="K832" s="17"/>
      <c r="N832" s="17"/>
    </row>
    <row r="833">
      <c r="B833" s="11">
        <f>IFERROR(__xludf.DUMMYFUNCTION("""COMPUTED_VALUE"""),44860.0)</f>
        <v>44860</v>
      </c>
      <c r="C833" s="9">
        <f>IFERROR(__xludf.DUMMYFUNCTION("""COMPUTED_VALUE"""),4.04)</f>
        <v>4.04</v>
      </c>
      <c r="E833" s="40">
        <f>IFERROR(__xludf.DUMMYFUNCTION("""COMPUTED_VALUE"""),44860.0)</f>
        <v>44860</v>
      </c>
      <c r="F833" s="9">
        <f>IFERROR(__xludf.DUMMYFUNCTION("""COMPUTED_VALUE"""),4.04)</f>
        <v>4.04</v>
      </c>
      <c r="H833" s="17"/>
      <c r="K833" s="17"/>
      <c r="N833" s="17"/>
    </row>
    <row r="834">
      <c r="B834" s="11">
        <f>IFERROR(__xludf.DUMMYFUNCTION("""COMPUTED_VALUE"""),44859.0)</f>
        <v>44859</v>
      </c>
      <c r="C834" s="9">
        <f>IFERROR(__xludf.DUMMYFUNCTION("""COMPUTED_VALUE"""),4.1)</f>
        <v>4.1</v>
      </c>
      <c r="E834" s="40">
        <f>IFERROR(__xludf.DUMMYFUNCTION("""COMPUTED_VALUE"""),44859.0)</f>
        <v>44859</v>
      </c>
      <c r="F834" s="9">
        <f>IFERROR(__xludf.DUMMYFUNCTION("""COMPUTED_VALUE"""),4.1)</f>
        <v>4.1</v>
      </c>
      <c r="H834" s="17"/>
      <c r="K834" s="17"/>
      <c r="N834" s="17"/>
    </row>
    <row r="835">
      <c r="B835" s="11">
        <f>IFERROR(__xludf.DUMMYFUNCTION("""COMPUTED_VALUE"""),44858.0)</f>
        <v>44858</v>
      </c>
      <c r="C835" s="9">
        <f>IFERROR(__xludf.DUMMYFUNCTION("""COMPUTED_VALUE"""),4.25)</f>
        <v>4.25</v>
      </c>
      <c r="E835" s="40">
        <f>IFERROR(__xludf.DUMMYFUNCTION("""COMPUTED_VALUE"""),44858.0)</f>
        <v>44858</v>
      </c>
      <c r="F835" s="9">
        <f>IFERROR(__xludf.DUMMYFUNCTION("""COMPUTED_VALUE"""),4.25)</f>
        <v>4.25</v>
      </c>
      <c r="H835" s="17"/>
      <c r="K835" s="17"/>
      <c r="N835" s="17"/>
    </row>
    <row r="836">
      <c r="B836" s="11">
        <f>IFERROR(__xludf.DUMMYFUNCTION("""COMPUTED_VALUE"""),44855.0)</f>
        <v>44855</v>
      </c>
      <c r="C836" s="9">
        <f>IFERROR(__xludf.DUMMYFUNCTION("""COMPUTED_VALUE"""),4.21)</f>
        <v>4.21</v>
      </c>
      <c r="E836" s="40">
        <f>IFERROR(__xludf.DUMMYFUNCTION("""COMPUTED_VALUE"""),44855.0)</f>
        <v>44855</v>
      </c>
      <c r="F836" s="9">
        <f>IFERROR(__xludf.DUMMYFUNCTION("""COMPUTED_VALUE"""),4.21)</f>
        <v>4.21</v>
      </c>
      <c r="H836" s="17"/>
      <c r="K836" s="17"/>
      <c r="N836" s="17"/>
    </row>
    <row r="837">
      <c r="B837" s="11">
        <f>IFERROR(__xludf.DUMMYFUNCTION("""COMPUTED_VALUE"""),44854.0)</f>
        <v>44854</v>
      </c>
      <c r="C837" s="9">
        <f>IFERROR(__xludf.DUMMYFUNCTION("""COMPUTED_VALUE"""),4.24)</f>
        <v>4.24</v>
      </c>
      <c r="E837" s="40">
        <f>IFERROR(__xludf.DUMMYFUNCTION("""COMPUTED_VALUE"""),44854.0)</f>
        <v>44854</v>
      </c>
      <c r="F837" s="9">
        <f>IFERROR(__xludf.DUMMYFUNCTION("""COMPUTED_VALUE"""),4.24)</f>
        <v>4.24</v>
      </c>
      <c r="H837" s="17"/>
      <c r="K837" s="17"/>
      <c r="N837" s="17"/>
    </row>
    <row r="838">
      <c r="B838" s="11">
        <f>IFERROR(__xludf.DUMMYFUNCTION("""COMPUTED_VALUE"""),44853.0)</f>
        <v>44853</v>
      </c>
      <c r="C838" s="9">
        <f>IFERROR(__xludf.DUMMYFUNCTION("""COMPUTED_VALUE"""),4.14)</f>
        <v>4.14</v>
      </c>
      <c r="E838" s="40">
        <f>IFERROR(__xludf.DUMMYFUNCTION("""COMPUTED_VALUE"""),44853.0)</f>
        <v>44853</v>
      </c>
      <c r="F838" s="9">
        <f>IFERROR(__xludf.DUMMYFUNCTION("""COMPUTED_VALUE"""),4.14)</f>
        <v>4.14</v>
      </c>
      <c r="H838" s="17"/>
      <c r="K838" s="17"/>
      <c r="N838" s="17"/>
    </row>
    <row r="839">
      <c r="B839" s="11">
        <f>IFERROR(__xludf.DUMMYFUNCTION("""COMPUTED_VALUE"""),44852.0)</f>
        <v>44852</v>
      </c>
      <c r="C839" s="9">
        <f>IFERROR(__xludf.DUMMYFUNCTION("""COMPUTED_VALUE"""),4.01)</f>
        <v>4.01</v>
      </c>
      <c r="E839" s="40">
        <f>IFERROR(__xludf.DUMMYFUNCTION("""COMPUTED_VALUE"""),44852.0)</f>
        <v>44852</v>
      </c>
      <c r="F839" s="9">
        <f>IFERROR(__xludf.DUMMYFUNCTION("""COMPUTED_VALUE"""),4.01)</f>
        <v>4.01</v>
      </c>
      <c r="H839" s="17"/>
      <c r="K839" s="17"/>
      <c r="N839" s="17"/>
    </row>
    <row r="840">
      <c r="B840" s="11">
        <f>IFERROR(__xludf.DUMMYFUNCTION("""COMPUTED_VALUE"""),44851.0)</f>
        <v>44851</v>
      </c>
      <c r="C840" s="9">
        <f>IFERROR(__xludf.DUMMYFUNCTION("""COMPUTED_VALUE"""),4.02)</f>
        <v>4.02</v>
      </c>
      <c r="E840" s="40">
        <f>IFERROR(__xludf.DUMMYFUNCTION("""COMPUTED_VALUE"""),44851.0)</f>
        <v>44851</v>
      </c>
      <c r="F840" s="9">
        <f>IFERROR(__xludf.DUMMYFUNCTION("""COMPUTED_VALUE"""),4.02)</f>
        <v>4.02</v>
      </c>
      <c r="H840" s="17"/>
      <c r="K840" s="17"/>
      <c r="N840" s="17"/>
    </row>
    <row r="841">
      <c r="B841" s="11">
        <f>IFERROR(__xludf.DUMMYFUNCTION("""COMPUTED_VALUE"""),44848.0)</f>
        <v>44848</v>
      </c>
      <c r="C841" s="9">
        <f>IFERROR(__xludf.DUMMYFUNCTION("""COMPUTED_VALUE"""),4.0)</f>
        <v>4</v>
      </c>
      <c r="E841" s="40">
        <f>IFERROR(__xludf.DUMMYFUNCTION("""COMPUTED_VALUE"""),44848.0)</f>
        <v>44848</v>
      </c>
      <c r="F841" s="9">
        <f>IFERROR(__xludf.DUMMYFUNCTION("""COMPUTED_VALUE"""),4.0)</f>
        <v>4</v>
      </c>
      <c r="H841" s="17"/>
      <c r="K841" s="17"/>
      <c r="N841" s="17"/>
    </row>
    <row r="842">
      <c r="B842" s="11">
        <f>IFERROR(__xludf.DUMMYFUNCTION("""COMPUTED_VALUE"""),44847.0)</f>
        <v>44847</v>
      </c>
      <c r="C842" s="9">
        <f>IFERROR(__xludf.DUMMYFUNCTION("""COMPUTED_VALUE"""),3.97)</f>
        <v>3.97</v>
      </c>
      <c r="E842" s="40">
        <f>IFERROR(__xludf.DUMMYFUNCTION("""COMPUTED_VALUE"""),44847.0)</f>
        <v>44847</v>
      </c>
      <c r="F842" s="9">
        <f>IFERROR(__xludf.DUMMYFUNCTION("""COMPUTED_VALUE"""),3.97)</f>
        <v>3.97</v>
      </c>
      <c r="H842" s="17"/>
      <c r="K842" s="17"/>
      <c r="N842" s="17"/>
    </row>
    <row r="843">
      <c r="B843" s="11">
        <f>IFERROR(__xludf.DUMMYFUNCTION("""COMPUTED_VALUE"""),44846.0)</f>
        <v>44846</v>
      </c>
      <c r="C843" s="9">
        <f>IFERROR(__xludf.DUMMYFUNCTION("""COMPUTED_VALUE"""),3.91)</f>
        <v>3.91</v>
      </c>
      <c r="E843" s="40">
        <f>IFERROR(__xludf.DUMMYFUNCTION("""COMPUTED_VALUE"""),44846.0)</f>
        <v>44846</v>
      </c>
      <c r="F843" s="9">
        <f>IFERROR(__xludf.DUMMYFUNCTION("""COMPUTED_VALUE"""),3.91)</f>
        <v>3.91</v>
      </c>
      <c r="H843" s="17"/>
      <c r="K843" s="17"/>
      <c r="N843" s="17"/>
    </row>
    <row r="844">
      <c r="B844" s="11">
        <f>IFERROR(__xludf.DUMMYFUNCTION("""COMPUTED_VALUE"""),44845.0)</f>
        <v>44845</v>
      </c>
      <c r="C844" s="9">
        <f>IFERROR(__xludf.DUMMYFUNCTION("""COMPUTED_VALUE"""),3.93)</f>
        <v>3.93</v>
      </c>
      <c r="E844" s="40">
        <f>IFERROR(__xludf.DUMMYFUNCTION("""COMPUTED_VALUE"""),44845.0)</f>
        <v>44845</v>
      </c>
      <c r="F844" s="9">
        <f>IFERROR(__xludf.DUMMYFUNCTION("""COMPUTED_VALUE"""),3.93)</f>
        <v>3.93</v>
      </c>
      <c r="H844" s="17"/>
      <c r="K844" s="17"/>
      <c r="N844" s="17"/>
    </row>
    <row r="845">
      <c r="B845" s="11">
        <f>IFERROR(__xludf.DUMMYFUNCTION("""COMPUTED_VALUE"""),44844.0)</f>
        <v>44844</v>
      </c>
      <c r="C845" s="9"/>
      <c r="E845" s="40">
        <f>IFERROR(__xludf.DUMMYFUNCTION("""COMPUTED_VALUE"""),44844.0)</f>
        <v>44844</v>
      </c>
      <c r="F845" s="9"/>
      <c r="H845" s="17"/>
      <c r="K845" s="17"/>
      <c r="N845" s="17"/>
    </row>
    <row r="846">
      <c r="B846" s="11">
        <f>IFERROR(__xludf.DUMMYFUNCTION("""COMPUTED_VALUE"""),44841.0)</f>
        <v>44841</v>
      </c>
      <c r="C846" s="9">
        <f>IFERROR(__xludf.DUMMYFUNCTION("""COMPUTED_VALUE"""),3.89)</f>
        <v>3.89</v>
      </c>
      <c r="E846" s="40">
        <f>IFERROR(__xludf.DUMMYFUNCTION("""COMPUTED_VALUE"""),44841.0)</f>
        <v>44841</v>
      </c>
      <c r="F846" s="9">
        <f>IFERROR(__xludf.DUMMYFUNCTION("""COMPUTED_VALUE"""),3.89)</f>
        <v>3.89</v>
      </c>
      <c r="H846" s="17"/>
      <c r="K846" s="17"/>
      <c r="N846" s="17"/>
    </row>
    <row r="847">
      <c r="B847" s="11">
        <f>IFERROR(__xludf.DUMMYFUNCTION("""COMPUTED_VALUE"""),44840.0)</f>
        <v>44840</v>
      </c>
      <c r="C847" s="9">
        <f>IFERROR(__xludf.DUMMYFUNCTION("""COMPUTED_VALUE"""),3.83)</f>
        <v>3.83</v>
      </c>
      <c r="E847" s="40">
        <f>IFERROR(__xludf.DUMMYFUNCTION("""COMPUTED_VALUE"""),44840.0)</f>
        <v>44840</v>
      </c>
      <c r="F847" s="9">
        <f>IFERROR(__xludf.DUMMYFUNCTION("""COMPUTED_VALUE"""),3.83)</f>
        <v>3.83</v>
      </c>
      <c r="H847" s="17"/>
      <c r="K847" s="17"/>
      <c r="N847" s="17"/>
    </row>
    <row r="848">
      <c r="B848" s="11">
        <f>IFERROR(__xludf.DUMMYFUNCTION("""COMPUTED_VALUE"""),44839.0)</f>
        <v>44839</v>
      </c>
      <c r="C848" s="9">
        <f>IFERROR(__xludf.DUMMYFUNCTION("""COMPUTED_VALUE"""),3.76)</f>
        <v>3.76</v>
      </c>
      <c r="E848" s="40">
        <f>IFERROR(__xludf.DUMMYFUNCTION("""COMPUTED_VALUE"""),44839.0)</f>
        <v>44839</v>
      </c>
      <c r="F848" s="9">
        <f>IFERROR(__xludf.DUMMYFUNCTION("""COMPUTED_VALUE"""),3.76)</f>
        <v>3.76</v>
      </c>
      <c r="H848" s="17"/>
      <c r="K848" s="17"/>
      <c r="N848" s="17"/>
    </row>
    <row r="849">
      <c r="B849" s="11">
        <f>IFERROR(__xludf.DUMMYFUNCTION("""COMPUTED_VALUE"""),44838.0)</f>
        <v>44838</v>
      </c>
      <c r="C849" s="9">
        <f>IFERROR(__xludf.DUMMYFUNCTION("""COMPUTED_VALUE"""),3.62)</f>
        <v>3.62</v>
      </c>
      <c r="E849" s="40">
        <f>IFERROR(__xludf.DUMMYFUNCTION("""COMPUTED_VALUE"""),44838.0)</f>
        <v>44838</v>
      </c>
      <c r="F849" s="9">
        <f>IFERROR(__xludf.DUMMYFUNCTION("""COMPUTED_VALUE"""),3.62)</f>
        <v>3.62</v>
      </c>
      <c r="H849" s="17"/>
      <c r="K849" s="17"/>
      <c r="N849" s="17"/>
    </row>
    <row r="850">
      <c r="B850" s="11">
        <f>IFERROR(__xludf.DUMMYFUNCTION("""COMPUTED_VALUE"""),44837.0)</f>
        <v>44837</v>
      </c>
      <c r="C850" s="9">
        <f>IFERROR(__xludf.DUMMYFUNCTION("""COMPUTED_VALUE"""),3.67)</f>
        <v>3.67</v>
      </c>
      <c r="E850" s="40">
        <f>IFERROR(__xludf.DUMMYFUNCTION("""COMPUTED_VALUE"""),44837.0)</f>
        <v>44837</v>
      </c>
      <c r="F850" s="9">
        <f>IFERROR(__xludf.DUMMYFUNCTION("""COMPUTED_VALUE"""),3.67)</f>
        <v>3.67</v>
      </c>
      <c r="H850" s="17"/>
      <c r="K850" s="17"/>
      <c r="N850" s="17"/>
    </row>
    <row r="851">
      <c r="B851" s="11">
        <f>IFERROR(__xludf.DUMMYFUNCTION("""COMPUTED_VALUE"""),44834.0)</f>
        <v>44834</v>
      </c>
      <c r="C851" s="9">
        <f>IFERROR(__xludf.DUMMYFUNCTION("""COMPUTED_VALUE"""),3.83)</f>
        <v>3.83</v>
      </c>
      <c r="E851" s="40">
        <f>IFERROR(__xludf.DUMMYFUNCTION("""COMPUTED_VALUE"""),44834.0)</f>
        <v>44834</v>
      </c>
      <c r="F851" s="9">
        <f>IFERROR(__xludf.DUMMYFUNCTION("""COMPUTED_VALUE"""),3.83)</f>
        <v>3.83</v>
      </c>
      <c r="H851" s="17"/>
      <c r="K851" s="17"/>
      <c r="N851" s="17"/>
    </row>
    <row r="852">
      <c r="B852" s="11">
        <f>IFERROR(__xludf.DUMMYFUNCTION("""COMPUTED_VALUE"""),44833.0)</f>
        <v>44833</v>
      </c>
      <c r="C852" s="9">
        <f>IFERROR(__xludf.DUMMYFUNCTION("""COMPUTED_VALUE"""),3.76)</f>
        <v>3.76</v>
      </c>
      <c r="E852" s="40">
        <f>IFERROR(__xludf.DUMMYFUNCTION("""COMPUTED_VALUE"""),44833.0)</f>
        <v>44833</v>
      </c>
      <c r="F852" s="9">
        <f>IFERROR(__xludf.DUMMYFUNCTION("""COMPUTED_VALUE"""),3.76)</f>
        <v>3.76</v>
      </c>
      <c r="H852" s="17"/>
      <c r="K852" s="17"/>
      <c r="N852" s="17"/>
    </row>
    <row r="853">
      <c r="B853" s="11">
        <f>IFERROR(__xludf.DUMMYFUNCTION("""COMPUTED_VALUE"""),44832.0)</f>
        <v>44832</v>
      </c>
      <c r="C853" s="9">
        <f>IFERROR(__xludf.DUMMYFUNCTION("""COMPUTED_VALUE"""),3.72)</f>
        <v>3.72</v>
      </c>
      <c r="E853" s="40">
        <f>IFERROR(__xludf.DUMMYFUNCTION("""COMPUTED_VALUE"""),44832.0)</f>
        <v>44832</v>
      </c>
      <c r="F853" s="9">
        <f>IFERROR(__xludf.DUMMYFUNCTION("""COMPUTED_VALUE"""),3.72)</f>
        <v>3.72</v>
      </c>
      <c r="H853" s="17"/>
      <c r="K853" s="17"/>
      <c r="N853" s="17"/>
    </row>
    <row r="854">
      <c r="B854" s="11">
        <f>IFERROR(__xludf.DUMMYFUNCTION("""COMPUTED_VALUE"""),44831.0)</f>
        <v>44831</v>
      </c>
      <c r="C854" s="9">
        <f>IFERROR(__xludf.DUMMYFUNCTION("""COMPUTED_VALUE"""),3.97)</f>
        <v>3.97</v>
      </c>
      <c r="E854" s="40">
        <f>IFERROR(__xludf.DUMMYFUNCTION("""COMPUTED_VALUE"""),44831.0)</f>
        <v>44831</v>
      </c>
      <c r="F854" s="9">
        <f>IFERROR(__xludf.DUMMYFUNCTION("""COMPUTED_VALUE"""),3.97)</f>
        <v>3.97</v>
      </c>
      <c r="H854" s="17"/>
      <c r="K854" s="17"/>
      <c r="N854" s="17"/>
    </row>
    <row r="855">
      <c r="B855" s="11">
        <f>IFERROR(__xludf.DUMMYFUNCTION("""COMPUTED_VALUE"""),44830.0)</f>
        <v>44830</v>
      </c>
      <c r="C855" s="9">
        <f>IFERROR(__xludf.DUMMYFUNCTION("""COMPUTED_VALUE"""),3.88)</f>
        <v>3.88</v>
      </c>
      <c r="E855" s="40">
        <f>IFERROR(__xludf.DUMMYFUNCTION("""COMPUTED_VALUE"""),44830.0)</f>
        <v>44830</v>
      </c>
      <c r="F855" s="9">
        <f>IFERROR(__xludf.DUMMYFUNCTION("""COMPUTED_VALUE"""),3.88)</f>
        <v>3.88</v>
      </c>
      <c r="H855" s="17"/>
      <c r="K855" s="17"/>
      <c r="N855" s="17"/>
    </row>
    <row r="856">
      <c r="B856" s="11">
        <f>IFERROR(__xludf.DUMMYFUNCTION("""COMPUTED_VALUE"""),44827.0)</f>
        <v>44827</v>
      </c>
      <c r="C856" s="9">
        <f>IFERROR(__xludf.DUMMYFUNCTION("""COMPUTED_VALUE"""),3.69)</f>
        <v>3.69</v>
      </c>
      <c r="E856" s="40">
        <f>IFERROR(__xludf.DUMMYFUNCTION("""COMPUTED_VALUE"""),44827.0)</f>
        <v>44827</v>
      </c>
      <c r="F856" s="9">
        <f>IFERROR(__xludf.DUMMYFUNCTION("""COMPUTED_VALUE"""),3.69)</f>
        <v>3.69</v>
      </c>
      <c r="H856" s="17"/>
      <c r="K856" s="17"/>
      <c r="N856" s="17"/>
    </row>
    <row r="857">
      <c r="B857" s="11">
        <f>IFERROR(__xludf.DUMMYFUNCTION("""COMPUTED_VALUE"""),44826.0)</f>
        <v>44826</v>
      </c>
      <c r="C857" s="9">
        <f>IFERROR(__xludf.DUMMYFUNCTION("""COMPUTED_VALUE"""),3.7)</f>
        <v>3.7</v>
      </c>
      <c r="E857" s="40">
        <f>IFERROR(__xludf.DUMMYFUNCTION("""COMPUTED_VALUE"""),44826.0)</f>
        <v>44826</v>
      </c>
      <c r="F857" s="9">
        <f>IFERROR(__xludf.DUMMYFUNCTION("""COMPUTED_VALUE"""),3.7)</f>
        <v>3.7</v>
      </c>
      <c r="H857" s="17"/>
      <c r="K857" s="17"/>
      <c r="N857" s="17"/>
    </row>
    <row r="858">
      <c r="B858" s="11">
        <f>IFERROR(__xludf.DUMMYFUNCTION("""COMPUTED_VALUE"""),44825.0)</f>
        <v>44825</v>
      </c>
      <c r="C858" s="9">
        <f>IFERROR(__xludf.DUMMYFUNCTION("""COMPUTED_VALUE"""),3.51)</f>
        <v>3.51</v>
      </c>
      <c r="E858" s="40">
        <f>IFERROR(__xludf.DUMMYFUNCTION("""COMPUTED_VALUE"""),44825.0)</f>
        <v>44825</v>
      </c>
      <c r="F858" s="9">
        <f>IFERROR(__xludf.DUMMYFUNCTION("""COMPUTED_VALUE"""),3.51)</f>
        <v>3.51</v>
      </c>
      <c r="H858" s="17"/>
      <c r="K858" s="17"/>
      <c r="N858" s="17"/>
    </row>
    <row r="859">
      <c r="B859" s="11">
        <f>IFERROR(__xludf.DUMMYFUNCTION("""COMPUTED_VALUE"""),44824.0)</f>
        <v>44824</v>
      </c>
      <c r="C859" s="9">
        <f>IFERROR(__xludf.DUMMYFUNCTION("""COMPUTED_VALUE"""),3.57)</f>
        <v>3.57</v>
      </c>
      <c r="E859" s="40">
        <f>IFERROR(__xludf.DUMMYFUNCTION("""COMPUTED_VALUE"""),44824.0)</f>
        <v>44824</v>
      </c>
      <c r="F859" s="9">
        <f>IFERROR(__xludf.DUMMYFUNCTION("""COMPUTED_VALUE"""),3.57)</f>
        <v>3.57</v>
      </c>
      <c r="H859" s="17"/>
      <c r="K859" s="17"/>
      <c r="N859" s="17"/>
    </row>
    <row r="860">
      <c r="B860" s="11">
        <f>IFERROR(__xludf.DUMMYFUNCTION("""COMPUTED_VALUE"""),44823.0)</f>
        <v>44823</v>
      </c>
      <c r="C860" s="9">
        <f>IFERROR(__xludf.DUMMYFUNCTION("""COMPUTED_VALUE"""),3.49)</f>
        <v>3.49</v>
      </c>
      <c r="E860" s="40">
        <f>IFERROR(__xludf.DUMMYFUNCTION("""COMPUTED_VALUE"""),44823.0)</f>
        <v>44823</v>
      </c>
      <c r="F860" s="9">
        <f>IFERROR(__xludf.DUMMYFUNCTION("""COMPUTED_VALUE"""),3.49)</f>
        <v>3.49</v>
      </c>
      <c r="H860" s="17"/>
      <c r="K860" s="17"/>
      <c r="N860" s="17"/>
    </row>
    <row r="861">
      <c r="B861" s="11">
        <f>IFERROR(__xludf.DUMMYFUNCTION("""COMPUTED_VALUE"""),44820.0)</f>
        <v>44820</v>
      </c>
      <c r="C861" s="9">
        <f>IFERROR(__xludf.DUMMYFUNCTION("""COMPUTED_VALUE"""),3.45)</f>
        <v>3.45</v>
      </c>
      <c r="E861" s="40">
        <f>IFERROR(__xludf.DUMMYFUNCTION("""COMPUTED_VALUE"""),44820.0)</f>
        <v>44820</v>
      </c>
      <c r="F861" s="9">
        <f>IFERROR(__xludf.DUMMYFUNCTION("""COMPUTED_VALUE"""),3.45)</f>
        <v>3.45</v>
      </c>
      <c r="H861" s="17"/>
      <c r="K861" s="17"/>
      <c r="N861" s="17"/>
    </row>
    <row r="862">
      <c r="B862" s="11">
        <f>IFERROR(__xludf.DUMMYFUNCTION("""COMPUTED_VALUE"""),44819.0)</f>
        <v>44819</v>
      </c>
      <c r="C862" s="9">
        <f>IFERROR(__xludf.DUMMYFUNCTION("""COMPUTED_VALUE"""),3.45)</f>
        <v>3.45</v>
      </c>
      <c r="E862" s="40">
        <f>IFERROR(__xludf.DUMMYFUNCTION("""COMPUTED_VALUE"""),44819.0)</f>
        <v>44819</v>
      </c>
      <c r="F862" s="9">
        <f>IFERROR(__xludf.DUMMYFUNCTION("""COMPUTED_VALUE"""),3.45)</f>
        <v>3.45</v>
      </c>
      <c r="H862" s="17"/>
      <c r="K862" s="17"/>
      <c r="N862" s="17"/>
    </row>
    <row r="863">
      <c r="B863" s="11">
        <f>IFERROR(__xludf.DUMMYFUNCTION("""COMPUTED_VALUE"""),44818.0)</f>
        <v>44818</v>
      </c>
      <c r="C863" s="9">
        <f>IFERROR(__xludf.DUMMYFUNCTION("""COMPUTED_VALUE"""),3.41)</f>
        <v>3.41</v>
      </c>
      <c r="E863" s="40">
        <f>IFERROR(__xludf.DUMMYFUNCTION("""COMPUTED_VALUE"""),44818.0)</f>
        <v>44818</v>
      </c>
      <c r="F863" s="9">
        <f>IFERROR(__xludf.DUMMYFUNCTION("""COMPUTED_VALUE"""),3.41)</f>
        <v>3.41</v>
      </c>
      <c r="H863" s="17"/>
      <c r="K863" s="17"/>
      <c r="N863" s="17"/>
    </row>
    <row r="864">
      <c r="B864" s="11">
        <f>IFERROR(__xludf.DUMMYFUNCTION("""COMPUTED_VALUE"""),44817.0)</f>
        <v>44817</v>
      </c>
      <c r="C864" s="9">
        <f>IFERROR(__xludf.DUMMYFUNCTION("""COMPUTED_VALUE"""),3.42)</f>
        <v>3.42</v>
      </c>
      <c r="E864" s="40">
        <f>IFERROR(__xludf.DUMMYFUNCTION("""COMPUTED_VALUE"""),44817.0)</f>
        <v>44817</v>
      </c>
      <c r="F864" s="9">
        <f>IFERROR(__xludf.DUMMYFUNCTION("""COMPUTED_VALUE"""),3.42)</f>
        <v>3.42</v>
      </c>
      <c r="H864" s="17"/>
      <c r="K864" s="17"/>
      <c r="N864" s="17"/>
    </row>
    <row r="865">
      <c r="B865" s="11">
        <f>IFERROR(__xludf.DUMMYFUNCTION("""COMPUTED_VALUE"""),44816.0)</f>
        <v>44816</v>
      </c>
      <c r="C865" s="9">
        <f>IFERROR(__xludf.DUMMYFUNCTION("""COMPUTED_VALUE"""),3.37)</f>
        <v>3.37</v>
      </c>
      <c r="E865" s="40">
        <f>IFERROR(__xludf.DUMMYFUNCTION("""COMPUTED_VALUE"""),44816.0)</f>
        <v>44816</v>
      </c>
      <c r="F865" s="9">
        <f>IFERROR(__xludf.DUMMYFUNCTION("""COMPUTED_VALUE"""),3.37)</f>
        <v>3.37</v>
      </c>
      <c r="H865" s="17"/>
      <c r="K865" s="17"/>
      <c r="N865" s="17"/>
    </row>
    <row r="866">
      <c r="B866" s="11">
        <f>IFERROR(__xludf.DUMMYFUNCTION("""COMPUTED_VALUE"""),44813.0)</f>
        <v>44813</v>
      </c>
      <c r="C866" s="9">
        <f>IFERROR(__xludf.DUMMYFUNCTION("""COMPUTED_VALUE"""),3.33)</f>
        <v>3.33</v>
      </c>
      <c r="E866" s="40">
        <f>IFERROR(__xludf.DUMMYFUNCTION("""COMPUTED_VALUE"""),44813.0)</f>
        <v>44813</v>
      </c>
      <c r="F866" s="9">
        <f>IFERROR(__xludf.DUMMYFUNCTION("""COMPUTED_VALUE"""),3.33)</f>
        <v>3.33</v>
      </c>
      <c r="H866" s="17"/>
      <c r="K866" s="17"/>
      <c r="N866" s="17"/>
    </row>
    <row r="867">
      <c r="B867" s="11">
        <f>IFERROR(__xludf.DUMMYFUNCTION("""COMPUTED_VALUE"""),44812.0)</f>
        <v>44812</v>
      </c>
      <c r="C867" s="9">
        <f>IFERROR(__xludf.DUMMYFUNCTION("""COMPUTED_VALUE"""),3.29)</f>
        <v>3.29</v>
      </c>
      <c r="E867" s="40">
        <f>IFERROR(__xludf.DUMMYFUNCTION("""COMPUTED_VALUE"""),44812.0)</f>
        <v>44812</v>
      </c>
      <c r="F867" s="9">
        <f>IFERROR(__xludf.DUMMYFUNCTION("""COMPUTED_VALUE"""),3.29)</f>
        <v>3.29</v>
      </c>
      <c r="H867" s="17"/>
      <c r="K867" s="17"/>
      <c r="N867" s="17"/>
    </row>
    <row r="868">
      <c r="B868" s="11">
        <f>IFERROR(__xludf.DUMMYFUNCTION("""COMPUTED_VALUE"""),44811.0)</f>
        <v>44811</v>
      </c>
      <c r="C868" s="9">
        <f>IFERROR(__xludf.DUMMYFUNCTION("""COMPUTED_VALUE"""),3.27)</f>
        <v>3.27</v>
      </c>
      <c r="E868" s="40">
        <f>IFERROR(__xludf.DUMMYFUNCTION("""COMPUTED_VALUE"""),44811.0)</f>
        <v>44811</v>
      </c>
      <c r="F868" s="9">
        <f>IFERROR(__xludf.DUMMYFUNCTION("""COMPUTED_VALUE"""),3.27)</f>
        <v>3.27</v>
      </c>
      <c r="H868" s="17"/>
      <c r="K868" s="17"/>
      <c r="N868" s="17"/>
    </row>
    <row r="869">
      <c r="B869" s="11">
        <f>IFERROR(__xludf.DUMMYFUNCTION("""COMPUTED_VALUE"""),44810.0)</f>
        <v>44810</v>
      </c>
      <c r="C869" s="9">
        <f>IFERROR(__xludf.DUMMYFUNCTION("""COMPUTED_VALUE"""),3.33)</f>
        <v>3.33</v>
      </c>
      <c r="E869" s="40">
        <f>IFERROR(__xludf.DUMMYFUNCTION("""COMPUTED_VALUE"""),44810.0)</f>
        <v>44810</v>
      </c>
      <c r="F869" s="9">
        <f>IFERROR(__xludf.DUMMYFUNCTION("""COMPUTED_VALUE"""),3.33)</f>
        <v>3.33</v>
      </c>
      <c r="H869" s="17"/>
      <c r="K869" s="17"/>
      <c r="N869" s="17"/>
    </row>
    <row r="870">
      <c r="B870" s="11">
        <f>IFERROR(__xludf.DUMMYFUNCTION("""COMPUTED_VALUE"""),44809.0)</f>
        <v>44809</v>
      </c>
      <c r="C870" s="9"/>
      <c r="E870" s="40">
        <f>IFERROR(__xludf.DUMMYFUNCTION("""COMPUTED_VALUE"""),44809.0)</f>
        <v>44809</v>
      </c>
      <c r="F870" s="9"/>
      <c r="H870" s="17"/>
      <c r="K870" s="17"/>
      <c r="N870" s="17"/>
    </row>
    <row r="871">
      <c r="B871" s="11">
        <f>IFERROR(__xludf.DUMMYFUNCTION("""COMPUTED_VALUE"""),44806.0)</f>
        <v>44806</v>
      </c>
      <c r="C871" s="9">
        <f>IFERROR(__xludf.DUMMYFUNCTION("""COMPUTED_VALUE"""),3.2)</f>
        <v>3.2</v>
      </c>
      <c r="E871" s="40">
        <f>IFERROR(__xludf.DUMMYFUNCTION("""COMPUTED_VALUE"""),44806.0)</f>
        <v>44806</v>
      </c>
      <c r="F871" s="9">
        <f>IFERROR(__xludf.DUMMYFUNCTION("""COMPUTED_VALUE"""),3.2)</f>
        <v>3.2</v>
      </c>
      <c r="H871" s="17"/>
      <c r="K871" s="17"/>
      <c r="N871" s="17"/>
    </row>
    <row r="872">
      <c r="B872" s="11">
        <f>IFERROR(__xludf.DUMMYFUNCTION("""COMPUTED_VALUE"""),44805.0)</f>
        <v>44805</v>
      </c>
      <c r="C872" s="9">
        <f>IFERROR(__xludf.DUMMYFUNCTION("""COMPUTED_VALUE"""),3.26)</f>
        <v>3.26</v>
      </c>
      <c r="E872" s="40">
        <f>IFERROR(__xludf.DUMMYFUNCTION("""COMPUTED_VALUE"""),44805.0)</f>
        <v>44805</v>
      </c>
      <c r="F872" s="9">
        <f>IFERROR(__xludf.DUMMYFUNCTION("""COMPUTED_VALUE"""),3.26)</f>
        <v>3.26</v>
      </c>
      <c r="H872" s="17"/>
      <c r="K872" s="17"/>
      <c r="N872" s="17"/>
    </row>
    <row r="873">
      <c r="B873" s="11">
        <f>IFERROR(__xludf.DUMMYFUNCTION("""COMPUTED_VALUE"""),44804.0)</f>
        <v>44804</v>
      </c>
      <c r="C873" s="9">
        <f>IFERROR(__xludf.DUMMYFUNCTION("""COMPUTED_VALUE"""),3.15)</f>
        <v>3.15</v>
      </c>
      <c r="E873" s="40">
        <f>IFERROR(__xludf.DUMMYFUNCTION("""COMPUTED_VALUE"""),44804.0)</f>
        <v>44804</v>
      </c>
      <c r="F873" s="9">
        <f>IFERROR(__xludf.DUMMYFUNCTION("""COMPUTED_VALUE"""),3.15)</f>
        <v>3.15</v>
      </c>
      <c r="H873" s="17"/>
      <c r="K873" s="17"/>
      <c r="N873" s="17"/>
    </row>
    <row r="874">
      <c r="B874" s="11">
        <f>IFERROR(__xludf.DUMMYFUNCTION("""COMPUTED_VALUE"""),44803.0)</f>
        <v>44803</v>
      </c>
      <c r="C874" s="9">
        <f>IFERROR(__xludf.DUMMYFUNCTION("""COMPUTED_VALUE"""),3.11)</f>
        <v>3.11</v>
      </c>
      <c r="E874" s="40">
        <f>IFERROR(__xludf.DUMMYFUNCTION("""COMPUTED_VALUE"""),44803.0)</f>
        <v>44803</v>
      </c>
      <c r="F874" s="9">
        <f>IFERROR(__xludf.DUMMYFUNCTION("""COMPUTED_VALUE"""),3.11)</f>
        <v>3.11</v>
      </c>
      <c r="H874" s="17"/>
      <c r="K874" s="17"/>
      <c r="N874" s="17"/>
    </row>
    <row r="875">
      <c r="B875" s="11">
        <f>IFERROR(__xludf.DUMMYFUNCTION("""COMPUTED_VALUE"""),44802.0)</f>
        <v>44802</v>
      </c>
      <c r="C875" s="9">
        <f>IFERROR(__xludf.DUMMYFUNCTION("""COMPUTED_VALUE"""),3.12)</f>
        <v>3.12</v>
      </c>
      <c r="E875" s="40">
        <f>IFERROR(__xludf.DUMMYFUNCTION("""COMPUTED_VALUE"""),44802.0)</f>
        <v>44802</v>
      </c>
      <c r="F875" s="9">
        <f>IFERROR(__xludf.DUMMYFUNCTION("""COMPUTED_VALUE"""),3.12)</f>
        <v>3.12</v>
      </c>
      <c r="H875" s="17"/>
      <c r="K875" s="17"/>
      <c r="N875" s="17"/>
    </row>
    <row r="876">
      <c r="B876" s="11">
        <f>IFERROR(__xludf.DUMMYFUNCTION("""COMPUTED_VALUE"""),44799.0)</f>
        <v>44799</v>
      </c>
      <c r="C876" s="9">
        <f>IFERROR(__xludf.DUMMYFUNCTION("""COMPUTED_VALUE"""),3.04)</f>
        <v>3.04</v>
      </c>
      <c r="E876" s="40">
        <f>IFERROR(__xludf.DUMMYFUNCTION("""COMPUTED_VALUE"""),44799.0)</f>
        <v>44799</v>
      </c>
      <c r="F876" s="9">
        <f>IFERROR(__xludf.DUMMYFUNCTION("""COMPUTED_VALUE"""),3.04)</f>
        <v>3.04</v>
      </c>
      <c r="H876" s="17"/>
      <c r="K876" s="17"/>
      <c r="N876" s="17"/>
    </row>
    <row r="877">
      <c r="B877" s="11">
        <f>IFERROR(__xludf.DUMMYFUNCTION("""COMPUTED_VALUE"""),44798.0)</f>
        <v>44798</v>
      </c>
      <c r="C877" s="9">
        <f>IFERROR(__xludf.DUMMYFUNCTION("""COMPUTED_VALUE"""),3.03)</f>
        <v>3.03</v>
      </c>
      <c r="E877" s="40">
        <f>IFERROR(__xludf.DUMMYFUNCTION("""COMPUTED_VALUE"""),44798.0)</f>
        <v>44798</v>
      </c>
      <c r="F877" s="9">
        <f>IFERROR(__xludf.DUMMYFUNCTION("""COMPUTED_VALUE"""),3.03)</f>
        <v>3.03</v>
      </c>
      <c r="H877" s="17"/>
      <c r="K877" s="17"/>
      <c r="N877" s="17"/>
    </row>
    <row r="878">
      <c r="B878" s="11">
        <f>IFERROR(__xludf.DUMMYFUNCTION("""COMPUTED_VALUE"""),44797.0)</f>
        <v>44797</v>
      </c>
      <c r="C878" s="9">
        <f>IFERROR(__xludf.DUMMYFUNCTION("""COMPUTED_VALUE"""),3.11)</f>
        <v>3.11</v>
      </c>
      <c r="E878" s="40">
        <f>IFERROR(__xludf.DUMMYFUNCTION("""COMPUTED_VALUE"""),44797.0)</f>
        <v>44797</v>
      </c>
      <c r="F878" s="9">
        <f>IFERROR(__xludf.DUMMYFUNCTION("""COMPUTED_VALUE"""),3.11)</f>
        <v>3.11</v>
      </c>
      <c r="H878" s="17"/>
      <c r="K878" s="17"/>
      <c r="N878" s="17"/>
    </row>
    <row r="879">
      <c r="B879" s="11">
        <f>IFERROR(__xludf.DUMMYFUNCTION("""COMPUTED_VALUE"""),44796.0)</f>
        <v>44796</v>
      </c>
      <c r="C879" s="9">
        <f>IFERROR(__xludf.DUMMYFUNCTION("""COMPUTED_VALUE"""),3.05)</f>
        <v>3.05</v>
      </c>
      <c r="E879" s="40">
        <f>IFERROR(__xludf.DUMMYFUNCTION("""COMPUTED_VALUE"""),44796.0)</f>
        <v>44796</v>
      </c>
      <c r="F879" s="9">
        <f>IFERROR(__xludf.DUMMYFUNCTION("""COMPUTED_VALUE"""),3.05)</f>
        <v>3.05</v>
      </c>
      <c r="H879" s="17"/>
      <c r="K879" s="17"/>
      <c r="N879" s="17"/>
    </row>
    <row r="880">
      <c r="B880" s="11">
        <f>IFERROR(__xludf.DUMMYFUNCTION("""COMPUTED_VALUE"""),44795.0)</f>
        <v>44795</v>
      </c>
      <c r="C880" s="9">
        <f>IFERROR(__xludf.DUMMYFUNCTION("""COMPUTED_VALUE"""),3.03)</f>
        <v>3.03</v>
      </c>
      <c r="E880" s="40">
        <f>IFERROR(__xludf.DUMMYFUNCTION("""COMPUTED_VALUE"""),44795.0)</f>
        <v>44795</v>
      </c>
      <c r="F880" s="9">
        <f>IFERROR(__xludf.DUMMYFUNCTION("""COMPUTED_VALUE"""),3.03)</f>
        <v>3.03</v>
      </c>
      <c r="H880" s="17"/>
      <c r="K880" s="17"/>
      <c r="N880" s="17"/>
    </row>
    <row r="881">
      <c r="B881" s="11">
        <f>IFERROR(__xludf.DUMMYFUNCTION("""COMPUTED_VALUE"""),44792.0)</f>
        <v>44792</v>
      </c>
      <c r="C881" s="9">
        <f>IFERROR(__xludf.DUMMYFUNCTION("""COMPUTED_VALUE"""),2.98)</f>
        <v>2.98</v>
      </c>
      <c r="E881" s="40">
        <f>IFERROR(__xludf.DUMMYFUNCTION("""COMPUTED_VALUE"""),44792.0)</f>
        <v>44792</v>
      </c>
      <c r="F881" s="9">
        <f>IFERROR(__xludf.DUMMYFUNCTION("""COMPUTED_VALUE"""),2.98)</f>
        <v>2.98</v>
      </c>
      <c r="H881" s="17"/>
      <c r="K881" s="17"/>
      <c r="N881" s="17"/>
    </row>
    <row r="882">
      <c r="B882" s="11">
        <f>IFERROR(__xludf.DUMMYFUNCTION("""COMPUTED_VALUE"""),44791.0)</f>
        <v>44791</v>
      </c>
      <c r="C882" s="9">
        <f>IFERROR(__xludf.DUMMYFUNCTION("""COMPUTED_VALUE"""),2.88)</f>
        <v>2.88</v>
      </c>
      <c r="E882" s="40">
        <f>IFERROR(__xludf.DUMMYFUNCTION("""COMPUTED_VALUE"""),44791.0)</f>
        <v>44791</v>
      </c>
      <c r="F882" s="9">
        <f>IFERROR(__xludf.DUMMYFUNCTION("""COMPUTED_VALUE"""),2.88)</f>
        <v>2.88</v>
      </c>
      <c r="H882" s="17"/>
      <c r="K882" s="17"/>
      <c r="N882" s="17"/>
    </row>
    <row r="883">
      <c r="B883" s="11">
        <f>IFERROR(__xludf.DUMMYFUNCTION("""COMPUTED_VALUE"""),44790.0)</f>
        <v>44790</v>
      </c>
      <c r="C883" s="9">
        <f>IFERROR(__xludf.DUMMYFUNCTION("""COMPUTED_VALUE"""),2.89)</f>
        <v>2.89</v>
      </c>
      <c r="E883" s="40">
        <f>IFERROR(__xludf.DUMMYFUNCTION("""COMPUTED_VALUE"""),44790.0)</f>
        <v>44790</v>
      </c>
      <c r="F883" s="9">
        <f>IFERROR(__xludf.DUMMYFUNCTION("""COMPUTED_VALUE"""),2.89)</f>
        <v>2.89</v>
      </c>
      <c r="H883" s="17"/>
      <c r="K883" s="17"/>
      <c r="N883" s="17"/>
    </row>
    <row r="884">
      <c r="B884" s="11">
        <f>IFERROR(__xludf.DUMMYFUNCTION("""COMPUTED_VALUE"""),44789.0)</f>
        <v>44789</v>
      </c>
      <c r="C884" s="9">
        <f>IFERROR(__xludf.DUMMYFUNCTION("""COMPUTED_VALUE"""),2.82)</f>
        <v>2.82</v>
      </c>
      <c r="E884" s="40">
        <f>IFERROR(__xludf.DUMMYFUNCTION("""COMPUTED_VALUE"""),44789.0)</f>
        <v>44789</v>
      </c>
      <c r="F884" s="9">
        <f>IFERROR(__xludf.DUMMYFUNCTION("""COMPUTED_VALUE"""),2.82)</f>
        <v>2.82</v>
      </c>
      <c r="H884" s="17"/>
      <c r="K884" s="17"/>
      <c r="N884" s="17"/>
    </row>
    <row r="885">
      <c r="B885" s="11">
        <f>IFERROR(__xludf.DUMMYFUNCTION("""COMPUTED_VALUE"""),44788.0)</f>
        <v>44788</v>
      </c>
      <c r="C885" s="9">
        <f>IFERROR(__xludf.DUMMYFUNCTION("""COMPUTED_VALUE"""),2.79)</f>
        <v>2.79</v>
      </c>
      <c r="E885" s="40">
        <f>IFERROR(__xludf.DUMMYFUNCTION("""COMPUTED_VALUE"""),44788.0)</f>
        <v>44788</v>
      </c>
      <c r="F885" s="9">
        <f>IFERROR(__xludf.DUMMYFUNCTION("""COMPUTED_VALUE"""),2.79)</f>
        <v>2.79</v>
      </c>
      <c r="H885" s="17"/>
      <c r="K885" s="17"/>
      <c r="N885" s="17"/>
    </row>
    <row r="886">
      <c r="B886" s="11">
        <f>IFERROR(__xludf.DUMMYFUNCTION("""COMPUTED_VALUE"""),44785.0)</f>
        <v>44785</v>
      </c>
      <c r="C886" s="9">
        <f>IFERROR(__xludf.DUMMYFUNCTION("""COMPUTED_VALUE"""),2.84)</f>
        <v>2.84</v>
      </c>
      <c r="E886" s="40">
        <f>IFERROR(__xludf.DUMMYFUNCTION("""COMPUTED_VALUE"""),44785.0)</f>
        <v>44785</v>
      </c>
      <c r="F886" s="9">
        <f>IFERROR(__xludf.DUMMYFUNCTION("""COMPUTED_VALUE"""),2.84)</f>
        <v>2.84</v>
      </c>
      <c r="H886" s="17"/>
      <c r="K886" s="17"/>
      <c r="N886" s="17"/>
    </row>
    <row r="887">
      <c r="B887" s="11">
        <f>IFERROR(__xludf.DUMMYFUNCTION("""COMPUTED_VALUE"""),44784.0)</f>
        <v>44784</v>
      </c>
      <c r="C887" s="9">
        <f>IFERROR(__xludf.DUMMYFUNCTION("""COMPUTED_VALUE"""),2.87)</f>
        <v>2.87</v>
      </c>
      <c r="E887" s="40">
        <f>IFERROR(__xludf.DUMMYFUNCTION("""COMPUTED_VALUE"""),44784.0)</f>
        <v>44784</v>
      </c>
      <c r="F887" s="9">
        <f>IFERROR(__xludf.DUMMYFUNCTION("""COMPUTED_VALUE"""),2.87)</f>
        <v>2.87</v>
      </c>
      <c r="H887" s="17"/>
      <c r="K887" s="17"/>
      <c r="N887" s="17"/>
    </row>
    <row r="888">
      <c r="B888" s="11">
        <f>IFERROR(__xludf.DUMMYFUNCTION("""COMPUTED_VALUE"""),44783.0)</f>
        <v>44783</v>
      </c>
      <c r="C888" s="9">
        <f>IFERROR(__xludf.DUMMYFUNCTION("""COMPUTED_VALUE"""),2.78)</f>
        <v>2.78</v>
      </c>
      <c r="E888" s="40">
        <f>IFERROR(__xludf.DUMMYFUNCTION("""COMPUTED_VALUE"""),44783.0)</f>
        <v>44783</v>
      </c>
      <c r="F888" s="9">
        <f>IFERROR(__xludf.DUMMYFUNCTION("""COMPUTED_VALUE"""),2.78)</f>
        <v>2.78</v>
      </c>
      <c r="H888" s="17"/>
      <c r="K888" s="17"/>
      <c r="N888" s="17"/>
    </row>
    <row r="889">
      <c r="B889" s="11">
        <f>IFERROR(__xludf.DUMMYFUNCTION("""COMPUTED_VALUE"""),44782.0)</f>
        <v>44782</v>
      </c>
      <c r="C889" s="9">
        <f>IFERROR(__xludf.DUMMYFUNCTION("""COMPUTED_VALUE"""),2.8)</f>
        <v>2.8</v>
      </c>
      <c r="E889" s="40">
        <f>IFERROR(__xludf.DUMMYFUNCTION("""COMPUTED_VALUE"""),44782.0)</f>
        <v>44782</v>
      </c>
      <c r="F889" s="9">
        <f>IFERROR(__xludf.DUMMYFUNCTION("""COMPUTED_VALUE"""),2.8)</f>
        <v>2.8</v>
      </c>
      <c r="H889" s="17"/>
      <c r="K889" s="17"/>
      <c r="N889" s="17"/>
    </row>
    <row r="890">
      <c r="B890" s="11">
        <f>IFERROR(__xludf.DUMMYFUNCTION("""COMPUTED_VALUE"""),44781.0)</f>
        <v>44781</v>
      </c>
      <c r="C890" s="9">
        <f>IFERROR(__xludf.DUMMYFUNCTION("""COMPUTED_VALUE"""),2.77)</f>
        <v>2.77</v>
      </c>
      <c r="E890" s="40">
        <f>IFERROR(__xludf.DUMMYFUNCTION("""COMPUTED_VALUE"""),44781.0)</f>
        <v>44781</v>
      </c>
      <c r="F890" s="9">
        <f>IFERROR(__xludf.DUMMYFUNCTION("""COMPUTED_VALUE"""),2.77)</f>
        <v>2.77</v>
      </c>
      <c r="H890" s="17"/>
      <c r="K890" s="17"/>
      <c r="N890" s="17"/>
    </row>
    <row r="891">
      <c r="B891" s="11">
        <f>IFERROR(__xludf.DUMMYFUNCTION("""COMPUTED_VALUE"""),44778.0)</f>
        <v>44778</v>
      </c>
      <c r="C891" s="9">
        <f>IFERROR(__xludf.DUMMYFUNCTION("""COMPUTED_VALUE"""),2.83)</f>
        <v>2.83</v>
      </c>
      <c r="E891" s="40">
        <f>IFERROR(__xludf.DUMMYFUNCTION("""COMPUTED_VALUE"""),44778.0)</f>
        <v>44778</v>
      </c>
      <c r="F891" s="9">
        <f>IFERROR(__xludf.DUMMYFUNCTION("""COMPUTED_VALUE"""),2.83)</f>
        <v>2.83</v>
      </c>
      <c r="H891" s="17"/>
      <c r="K891" s="17"/>
      <c r="N891" s="17"/>
    </row>
    <row r="892">
      <c r="B892" s="11">
        <f>IFERROR(__xludf.DUMMYFUNCTION("""COMPUTED_VALUE"""),44777.0)</f>
        <v>44777</v>
      </c>
      <c r="C892" s="9">
        <f>IFERROR(__xludf.DUMMYFUNCTION("""COMPUTED_VALUE"""),2.68)</f>
        <v>2.68</v>
      </c>
      <c r="E892" s="40">
        <f>IFERROR(__xludf.DUMMYFUNCTION("""COMPUTED_VALUE"""),44777.0)</f>
        <v>44777</v>
      </c>
      <c r="F892" s="9">
        <f>IFERROR(__xludf.DUMMYFUNCTION("""COMPUTED_VALUE"""),2.68)</f>
        <v>2.68</v>
      </c>
      <c r="H892" s="17"/>
      <c r="K892" s="17"/>
      <c r="N892" s="17"/>
    </row>
    <row r="893">
      <c r="B893" s="11">
        <f>IFERROR(__xludf.DUMMYFUNCTION("""COMPUTED_VALUE"""),44776.0)</f>
        <v>44776</v>
      </c>
      <c r="C893" s="9">
        <f>IFERROR(__xludf.DUMMYFUNCTION("""COMPUTED_VALUE"""),2.73)</f>
        <v>2.73</v>
      </c>
      <c r="E893" s="40">
        <f>IFERROR(__xludf.DUMMYFUNCTION("""COMPUTED_VALUE"""),44776.0)</f>
        <v>44776</v>
      </c>
      <c r="F893" s="9">
        <f>IFERROR(__xludf.DUMMYFUNCTION("""COMPUTED_VALUE"""),2.73)</f>
        <v>2.73</v>
      </c>
      <c r="H893" s="17"/>
      <c r="K893" s="17"/>
      <c r="N893" s="17"/>
    </row>
    <row r="894">
      <c r="B894" s="11">
        <f>IFERROR(__xludf.DUMMYFUNCTION("""COMPUTED_VALUE"""),44775.0)</f>
        <v>44775</v>
      </c>
      <c r="C894" s="9">
        <f>IFERROR(__xludf.DUMMYFUNCTION("""COMPUTED_VALUE"""),2.75)</f>
        <v>2.75</v>
      </c>
      <c r="E894" s="40">
        <f>IFERROR(__xludf.DUMMYFUNCTION("""COMPUTED_VALUE"""),44775.0)</f>
        <v>44775</v>
      </c>
      <c r="F894" s="9">
        <f>IFERROR(__xludf.DUMMYFUNCTION("""COMPUTED_VALUE"""),2.75)</f>
        <v>2.75</v>
      </c>
      <c r="H894" s="17"/>
      <c r="K894" s="17"/>
      <c r="N894" s="17"/>
    </row>
    <row r="895">
      <c r="B895" s="11">
        <f>IFERROR(__xludf.DUMMYFUNCTION("""COMPUTED_VALUE"""),44774.0)</f>
        <v>44774</v>
      </c>
      <c r="C895" s="9">
        <f>IFERROR(__xludf.DUMMYFUNCTION("""COMPUTED_VALUE"""),2.6)</f>
        <v>2.6</v>
      </c>
      <c r="E895" s="40">
        <f>IFERROR(__xludf.DUMMYFUNCTION("""COMPUTED_VALUE"""),44774.0)</f>
        <v>44774</v>
      </c>
      <c r="F895" s="9">
        <f>IFERROR(__xludf.DUMMYFUNCTION("""COMPUTED_VALUE"""),2.6)</f>
        <v>2.6</v>
      </c>
      <c r="H895" s="17"/>
      <c r="K895" s="17"/>
      <c r="N895" s="17"/>
    </row>
    <row r="896">
      <c r="B896" s="11">
        <f>IFERROR(__xludf.DUMMYFUNCTION("""COMPUTED_VALUE"""),44771.0)</f>
        <v>44771</v>
      </c>
      <c r="C896" s="9">
        <f>IFERROR(__xludf.DUMMYFUNCTION("""COMPUTED_VALUE"""),2.67)</f>
        <v>2.67</v>
      </c>
      <c r="E896" s="40">
        <f>IFERROR(__xludf.DUMMYFUNCTION("""COMPUTED_VALUE"""),44771.0)</f>
        <v>44771</v>
      </c>
      <c r="F896" s="9">
        <f>IFERROR(__xludf.DUMMYFUNCTION("""COMPUTED_VALUE"""),2.67)</f>
        <v>2.67</v>
      </c>
      <c r="H896" s="17"/>
      <c r="K896" s="17"/>
      <c r="N896" s="17"/>
    </row>
    <row r="897">
      <c r="B897" s="11">
        <f>IFERROR(__xludf.DUMMYFUNCTION("""COMPUTED_VALUE"""),44770.0)</f>
        <v>44770</v>
      </c>
      <c r="C897" s="9">
        <f>IFERROR(__xludf.DUMMYFUNCTION("""COMPUTED_VALUE"""),2.68)</f>
        <v>2.68</v>
      </c>
      <c r="E897" s="40">
        <f>IFERROR(__xludf.DUMMYFUNCTION("""COMPUTED_VALUE"""),44770.0)</f>
        <v>44770</v>
      </c>
      <c r="F897" s="9">
        <f>IFERROR(__xludf.DUMMYFUNCTION("""COMPUTED_VALUE"""),2.68)</f>
        <v>2.68</v>
      </c>
      <c r="H897" s="17"/>
      <c r="K897" s="17"/>
      <c r="N897" s="17"/>
    </row>
    <row r="898">
      <c r="B898" s="11">
        <f>IFERROR(__xludf.DUMMYFUNCTION("""COMPUTED_VALUE"""),44769.0)</f>
        <v>44769</v>
      </c>
      <c r="C898" s="9">
        <f>IFERROR(__xludf.DUMMYFUNCTION("""COMPUTED_VALUE"""),2.78)</f>
        <v>2.78</v>
      </c>
      <c r="E898" s="40">
        <f>IFERROR(__xludf.DUMMYFUNCTION("""COMPUTED_VALUE"""),44769.0)</f>
        <v>44769</v>
      </c>
      <c r="F898" s="9">
        <f>IFERROR(__xludf.DUMMYFUNCTION("""COMPUTED_VALUE"""),2.78)</f>
        <v>2.78</v>
      </c>
      <c r="H898" s="17"/>
      <c r="K898" s="17"/>
      <c r="N898" s="17"/>
    </row>
    <row r="899">
      <c r="B899" s="11">
        <f>IFERROR(__xludf.DUMMYFUNCTION("""COMPUTED_VALUE"""),44768.0)</f>
        <v>44768</v>
      </c>
      <c r="C899" s="9">
        <f>IFERROR(__xludf.DUMMYFUNCTION("""COMPUTED_VALUE"""),2.81)</f>
        <v>2.81</v>
      </c>
      <c r="E899" s="40">
        <f>IFERROR(__xludf.DUMMYFUNCTION("""COMPUTED_VALUE"""),44768.0)</f>
        <v>44768</v>
      </c>
      <c r="F899" s="9">
        <f>IFERROR(__xludf.DUMMYFUNCTION("""COMPUTED_VALUE"""),2.81)</f>
        <v>2.81</v>
      </c>
      <c r="H899" s="17"/>
      <c r="K899" s="17"/>
      <c r="N899" s="17"/>
    </row>
    <row r="900">
      <c r="B900" s="11">
        <f>IFERROR(__xludf.DUMMYFUNCTION("""COMPUTED_VALUE"""),44767.0)</f>
        <v>44767</v>
      </c>
      <c r="C900" s="9">
        <f>IFERROR(__xludf.DUMMYFUNCTION("""COMPUTED_VALUE"""),2.81)</f>
        <v>2.81</v>
      </c>
      <c r="E900" s="40">
        <f>IFERROR(__xludf.DUMMYFUNCTION("""COMPUTED_VALUE"""),44767.0)</f>
        <v>44767</v>
      </c>
      <c r="F900" s="9">
        <f>IFERROR(__xludf.DUMMYFUNCTION("""COMPUTED_VALUE"""),2.81)</f>
        <v>2.81</v>
      </c>
      <c r="H900" s="17"/>
      <c r="K900" s="17"/>
      <c r="N900" s="17"/>
    </row>
    <row r="901">
      <c r="B901" s="11">
        <f>IFERROR(__xludf.DUMMYFUNCTION("""COMPUTED_VALUE"""),44764.0)</f>
        <v>44764</v>
      </c>
      <c r="C901" s="9">
        <f>IFERROR(__xludf.DUMMYFUNCTION("""COMPUTED_VALUE"""),2.77)</f>
        <v>2.77</v>
      </c>
      <c r="E901" s="40">
        <f>IFERROR(__xludf.DUMMYFUNCTION("""COMPUTED_VALUE"""),44764.0)</f>
        <v>44764</v>
      </c>
      <c r="F901" s="9">
        <f>IFERROR(__xludf.DUMMYFUNCTION("""COMPUTED_VALUE"""),2.77)</f>
        <v>2.77</v>
      </c>
      <c r="H901" s="17"/>
      <c r="K901" s="17"/>
      <c r="N901" s="17"/>
    </row>
    <row r="902">
      <c r="B902" s="11">
        <f>IFERROR(__xludf.DUMMYFUNCTION("""COMPUTED_VALUE"""),44763.0)</f>
        <v>44763</v>
      </c>
      <c r="C902" s="9">
        <f>IFERROR(__xludf.DUMMYFUNCTION("""COMPUTED_VALUE"""),2.91)</f>
        <v>2.91</v>
      </c>
      <c r="E902" s="40">
        <f>IFERROR(__xludf.DUMMYFUNCTION("""COMPUTED_VALUE"""),44763.0)</f>
        <v>44763</v>
      </c>
      <c r="F902" s="9">
        <f>IFERROR(__xludf.DUMMYFUNCTION("""COMPUTED_VALUE"""),2.91)</f>
        <v>2.91</v>
      </c>
      <c r="H902" s="17"/>
      <c r="K902" s="17"/>
      <c r="N902" s="17"/>
    </row>
    <row r="903">
      <c r="B903" s="11">
        <f>IFERROR(__xludf.DUMMYFUNCTION("""COMPUTED_VALUE"""),44762.0)</f>
        <v>44762</v>
      </c>
      <c r="C903" s="9">
        <f>IFERROR(__xludf.DUMMYFUNCTION("""COMPUTED_VALUE"""),3.04)</f>
        <v>3.04</v>
      </c>
      <c r="E903" s="40">
        <f>IFERROR(__xludf.DUMMYFUNCTION("""COMPUTED_VALUE"""),44762.0)</f>
        <v>44762</v>
      </c>
      <c r="F903" s="9">
        <f>IFERROR(__xludf.DUMMYFUNCTION("""COMPUTED_VALUE"""),3.04)</f>
        <v>3.04</v>
      </c>
      <c r="H903" s="17"/>
      <c r="K903" s="17"/>
      <c r="N903" s="17"/>
    </row>
    <row r="904">
      <c r="B904" s="11">
        <f>IFERROR(__xludf.DUMMYFUNCTION("""COMPUTED_VALUE"""),44761.0)</f>
        <v>44761</v>
      </c>
      <c r="C904" s="9">
        <f>IFERROR(__xludf.DUMMYFUNCTION("""COMPUTED_VALUE"""),3.01)</f>
        <v>3.01</v>
      </c>
      <c r="E904" s="40">
        <f>IFERROR(__xludf.DUMMYFUNCTION("""COMPUTED_VALUE"""),44761.0)</f>
        <v>44761</v>
      </c>
      <c r="F904" s="9">
        <f>IFERROR(__xludf.DUMMYFUNCTION("""COMPUTED_VALUE"""),3.01)</f>
        <v>3.01</v>
      </c>
      <c r="H904" s="17"/>
      <c r="K904" s="17"/>
      <c r="N904" s="17"/>
    </row>
    <row r="905">
      <c r="B905" s="11">
        <f>IFERROR(__xludf.DUMMYFUNCTION("""COMPUTED_VALUE"""),44760.0)</f>
        <v>44760</v>
      </c>
      <c r="C905" s="9">
        <f>IFERROR(__xludf.DUMMYFUNCTION("""COMPUTED_VALUE"""),2.96)</f>
        <v>2.96</v>
      </c>
      <c r="E905" s="40">
        <f>IFERROR(__xludf.DUMMYFUNCTION("""COMPUTED_VALUE"""),44760.0)</f>
        <v>44760</v>
      </c>
      <c r="F905" s="9">
        <f>IFERROR(__xludf.DUMMYFUNCTION("""COMPUTED_VALUE"""),2.96)</f>
        <v>2.96</v>
      </c>
      <c r="H905" s="17"/>
      <c r="K905" s="17"/>
      <c r="N905" s="17"/>
    </row>
    <row r="906">
      <c r="B906" s="11">
        <f>IFERROR(__xludf.DUMMYFUNCTION("""COMPUTED_VALUE"""),44757.0)</f>
        <v>44757</v>
      </c>
      <c r="C906" s="9">
        <f>IFERROR(__xludf.DUMMYFUNCTION("""COMPUTED_VALUE"""),2.93)</f>
        <v>2.93</v>
      </c>
      <c r="E906" s="40">
        <f>IFERROR(__xludf.DUMMYFUNCTION("""COMPUTED_VALUE"""),44757.0)</f>
        <v>44757</v>
      </c>
      <c r="F906" s="9">
        <f>IFERROR(__xludf.DUMMYFUNCTION("""COMPUTED_VALUE"""),2.93)</f>
        <v>2.93</v>
      </c>
      <c r="H906" s="17"/>
      <c r="K906" s="17"/>
      <c r="N906" s="17"/>
    </row>
    <row r="907">
      <c r="B907" s="11">
        <f>IFERROR(__xludf.DUMMYFUNCTION("""COMPUTED_VALUE"""),44756.0)</f>
        <v>44756</v>
      </c>
      <c r="C907" s="9">
        <f>IFERROR(__xludf.DUMMYFUNCTION("""COMPUTED_VALUE"""),2.96)</f>
        <v>2.96</v>
      </c>
      <c r="E907" s="40">
        <f>IFERROR(__xludf.DUMMYFUNCTION("""COMPUTED_VALUE"""),44756.0)</f>
        <v>44756</v>
      </c>
      <c r="F907" s="9">
        <f>IFERROR(__xludf.DUMMYFUNCTION("""COMPUTED_VALUE"""),2.96)</f>
        <v>2.96</v>
      </c>
      <c r="H907" s="17"/>
      <c r="K907" s="17"/>
      <c r="N907" s="17"/>
    </row>
    <row r="908">
      <c r="B908" s="11">
        <f>IFERROR(__xludf.DUMMYFUNCTION("""COMPUTED_VALUE"""),44755.0)</f>
        <v>44755</v>
      </c>
      <c r="C908" s="9">
        <f>IFERROR(__xludf.DUMMYFUNCTION("""COMPUTED_VALUE"""),2.91)</f>
        <v>2.91</v>
      </c>
      <c r="E908" s="40">
        <f>IFERROR(__xludf.DUMMYFUNCTION("""COMPUTED_VALUE"""),44755.0)</f>
        <v>44755</v>
      </c>
      <c r="F908" s="9">
        <f>IFERROR(__xludf.DUMMYFUNCTION("""COMPUTED_VALUE"""),2.91)</f>
        <v>2.91</v>
      </c>
      <c r="H908" s="17"/>
      <c r="K908" s="17"/>
      <c r="N908" s="17"/>
    </row>
    <row r="909">
      <c r="B909" s="11">
        <f>IFERROR(__xludf.DUMMYFUNCTION("""COMPUTED_VALUE"""),44754.0)</f>
        <v>44754</v>
      </c>
      <c r="C909" s="9">
        <f>IFERROR(__xludf.DUMMYFUNCTION("""COMPUTED_VALUE"""),2.96)</f>
        <v>2.96</v>
      </c>
      <c r="E909" s="40">
        <f>IFERROR(__xludf.DUMMYFUNCTION("""COMPUTED_VALUE"""),44754.0)</f>
        <v>44754</v>
      </c>
      <c r="F909" s="9">
        <f>IFERROR(__xludf.DUMMYFUNCTION("""COMPUTED_VALUE"""),2.96)</f>
        <v>2.96</v>
      </c>
      <c r="H909" s="17"/>
      <c r="K909" s="17"/>
      <c r="N909" s="17"/>
    </row>
    <row r="910">
      <c r="B910" s="11">
        <f>IFERROR(__xludf.DUMMYFUNCTION("""COMPUTED_VALUE"""),44753.0)</f>
        <v>44753</v>
      </c>
      <c r="C910" s="9">
        <f>IFERROR(__xludf.DUMMYFUNCTION("""COMPUTED_VALUE"""),2.99)</f>
        <v>2.99</v>
      </c>
      <c r="E910" s="40">
        <f>IFERROR(__xludf.DUMMYFUNCTION("""COMPUTED_VALUE"""),44753.0)</f>
        <v>44753</v>
      </c>
      <c r="F910" s="9">
        <f>IFERROR(__xludf.DUMMYFUNCTION("""COMPUTED_VALUE"""),2.99)</f>
        <v>2.99</v>
      </c>
      <c r="H910" s="17"/>
      <c r="K910" s="17"/>
      <c r="N910" s="17"/>
    </row>
    <row r="911">
      <c r="B911" s="11">
        <f>IFERROR(__xludf.DUMMYFUNCTION("""COMPUTED_VALUE"""),44750.0)</f>
        <v>44750</v>
      </c>
      <c r="C911" s="9">
        <f>IFERROR(__xludf.DUMMYFUNCTION("""COMPUTED_VALUE"""),3.09)</f>
        <v>3.09</v>
      </c>
      <c r="E911" s="40">
        <f>IFERROR(__xludf.DUMMYFUNCTION("""COMPUTED_VALUE"""),44750.0)</f>
        <v>44750</v>
      </c>
      <c r="F911" s="9">
        <f>IFERROR(__xludf.DUMMYFUNCTION("""COMPUTED_VALUE"""),3.09)</f>
        <v>3.09</v>
      </c>
      <c r="H911" s="17"/>
      <c r="K911" s="17"/>
      <c r="N911" s="17"/>
    </row>
    <row r="912">
      <c r="B912" s="11">
        <f>IFERROR(__xludf.DUMMYFUNCTION("""COMPUTED_VALUE"""),44749.0)</f>
        <v>44749</v>
      </c>
      <c r="C912" s="9">
        <f>IFERROR(__xludf.DUMMYFUNCTION("""COMPUTED_VALUE"""),3.01)</f>
        <v>3.01</v>
      </c>
      <c r="E912" s="40">
        <f>IFERROR(__xludf.DUMMYFUNCTION("""COMPUTED_VALUE"""),44749.0)</f>
        <v>44749</v>
      </c>
      <c r="F912" s="9">
        <f>IFERROR(__xludf.DUMMYFUNCTION("""COMPUTED_VALUE"""),3.01)</f>
        <v>3.01</v>
      </c>
      <c r="H912" s="17"/>
      <c r="K912" s="17"/>
      <c r="N912" s="17"/>
    </row>
    <row r="913">
      <c r="B913" s="11">
        <f>IFERROR(__xludf.DUMMYFUNCTION("""COMPUTED_VALUE"""),44748.0)</f>
        <v>44748</v>
      </c>
      <c r="C913" s="9">
        <f>IFERROR(__xludf.DUMMYFUNCTION("""COMPUTED_VALUE"""),2.93)</f>
        <v>2.93</v>
      </c>
      <c r="E913" s="40">
        <f>IFERROR(__xludf.DUMMYFUNCTION("""COMPUTED_VALUE"""),44748.0)</f>
        <v>44748</v>
      </c>
      <c r="F913" s="9">
        <f>IFERROR(__xludf.DUMMYFUNCTION("""COMPUTED_VALUE"""),2.93)</f>
        <v>2.93</v>
      </c>
      <c r="H913" s="17"/>
      <c r="K913" s="17"/>
      <c r="N913" s="17"/>
    </row>
    <row r="914">
      <c r="B914" s="11">
        <f>IFERROR(__xludf.DUMMYFUNCTION("""COMPUTED_VALUE"""),44747.0)</f>
        <v>44747</v>
      </c>
      <c r="C914" s="9">
        <f>IFERROR(__xludf.DUMMYFUNCTION("""COMPUTED_VALUE"""),2.82)</f>
        <v>2.82</v>
      </c>
      <c r="E914" s="40">
        <f>IFERROR(__xludf.DUMMYFUNCTION("""COMPUTED_VALUE"""),44747.0)</f>
        <v>44747</v>
      </c>
      <c r="F914" s="9">
        <f>IFERROR(__xludf.DUMMYFUNCTION("""COMPUTED_VALUE"""),2.82)</f>
        <v>2.82</v>
      </c>
      <c r="H914" s="17"/>
      <c r="K914" s="17"/>
      <c r="N914" s="17"/>
    </row>
    <row r="915">
      <c r="B915" s="11">
        <f>IFERROR(__xludf.DUMMYFUNCTION("""COMPUTED_VALUE"""),44746.0)</f>
        <v>44746</v>
      </c>
      <c r="C915" s="9"/>
      <c r="E915" s="40">
        <f>IFERROR(__xludf.DUMMYFUNCTION("""COMPUTED_VALUE"""),44746.0)</f>
        <v>44746</v>
      </c>
      <c r="F915" s="9"/>
      <c r="H915" s="17"/>
      <c r="K915" s="17"/>
      <c r="N915" s="17"/>
    </row>
    <row r="916">
      <c r="B916" s="11">
        <f>IFERROR(__xludf.DUMMYFUNCTION("""COMPUTED_VALUE"""),44743.0)</f>
        <v>44743</v>
      </c>
      <c r="C916" s="9">
        <f>IFERROR(__xludf.DUMMYFUNCTION("""COMPUTED_VALUE"""),2.88)</f>
        <v>2.88</v>
      </c>
      <c r="E916" s="40">
        <f>IFERROR(__xludf.DUMMYFUNCTION("""COMPUTED_VALUE"""),44743.0)</f>
        <v>44743</v>
      </c>
      <c r="F916" s="9">
        <f>IFERROR(__xludf.DUMMYFUNCTION("""COMPUTED_VALUE"""),2.88)</f>
        <v>2.88</v>
      </c>
      <c r="H916" s="17"/>
      <c r="K916" s="17"/>
      <c r="N916" s="17"/>
    </row>
    <row r="917">
      <c r="B917" s="11">
        <f>IFERROR(__xludf.DUMMYFUNCTION("""COMPUTED_VALUE"""),44742.0)</f>
        <v>44742</v>
      </c>
      <c r="C917" s="9">
        <f>IFERROR(__xludf.DUMMYFUNCTION("""COMPUTED_VALUE"""),2.98)</f>
        <v>2.98</v>
      </c>
      <c r="E917" s="40">
        <f>IFERROR(__xludf.DUMMYFUNCTION("""COMPUTED_VALUE"""),44742.0)</f>
        <v>44742</v>
      </c>
      <c r="F917" s="9">
        <f>IFERROR(__xludf.DUMMYFUNCTION("""COMPUTED_VALUE"""),2.98)</f>
        <v>2.98</v>
      </c>
      <c r="H917" s="17"/>
      <c r="K917" s="17"/>
      <c r="N917" s="17"/>
    </row>
    <row r="918">
      <c r="B918" s="11">
        <f>IFERROR(__xludf.DUMMYFUNCTION("""COMPUTED_VALUE"""),44741.0)</f>
        <v>44741</v>
      </c>
      <c r="C918" s="9">
        <f>IFERROR(__xludf.DUMMYFUNCTION("""COMPUTED_VALUE"""),3.1)</f>
        <v>3.1</v>
      </c>
      <c r="E918" s="40">
        <f>IFERROR(__xludf.DUMMYFUNCTION("""COMPUTED_VALUE"""),44741.0)</f>
        <v>44741</v>
      </c>
      <c r="F918" s="9">
        <f>IFERROR(__xludf.DUMMYFUNCTION("""COMPUTED_VALUE"""),3.1)</f>
        <v>3.1</v>
      </c>
      <c r="H918" s="17"/>
      <c r="K918" s="17"/>
      <c r="N918" s="17"/>
    </row>
    <row r="919">
      <c r="B919" s="11">
        <f>IFERROR(__xludf.DUMMYFUNCTION("""COMPUTED_VALUE"""),44740.0)</f>
        <v>44740</v>
      </c>
      <c r="C919" s="9">
        <f>IFERROR(__xludf.DUMMYFUNCTION("""COMPUTED_VALUE"""),3.2)</f>
        <v>3.2</v>
      </c>
      <c r="E919" s="40">
        <f>IFERROR(__xludf.DUMMYFUNCTION("""COMPUTED_VALUE"""),44740.0)</f>
        <v>44740</v>
      </c>
      <c r="F919" s="9">
        <f>IFERROR(__xludf.DUMMYFUNCTION("""COMPUTED_VALUE"""),3.2)</f>
        <v>3.2</v>
      </c>
      <c r="H919" s="17"/>
      <c r="K919" s="17"/>
      <c r="N919" s="17"/>
    </row>
    <row r="920">
      <c r="B920" s="11">
        <f>IFERROR(__xludf.DUMMYFUNCTION("""COMPUTED_VALUE"""),44739.0)</f>
        <v>44739</v>
      </c>
      <c r="C920" s="9">
        <f>IFERROR(__xludf.DUMMYFUNCTION("""COMPUTED_VALUE"""),3.2)</f>
        <v>3.2</v>
      </c>
      <c r="E920" s="40">
        <f>IFERROR(__xludf.DUMMYFUNCTION("""COMPUTED_VALUE"""),44739.0)</f>
        <v>44739</v>
      </c>
      <c r="F920" s="9">
        <f>IFERROR(__xludf.DUMMYFUNCTION("""COMPUTED_VALUE"""),3.2)</f>
        <v>3.2</v>
      </c>
      <c r="H920" s="17"/>
      <c r="K920" s="17"/>
      <c r="N920" s="17"/>
    </row>
    <row r="921">
      <c r="B921" s="11">
        <f>IFERROR(__xludf.DUMMYFUNCTION("""COMPUTED_VALUE"""),44736.0)</f>
        <v>44736</v>
      </c>
      <c r="C921" s="9">
        <f>IFERROR(__xludf.DUMMYFUNCTION("""COMPUTED_VALUE"""),3.13)</f>
        <v>3.13</v>
      </c>
      <c r="E921" s="40">
        <f>IFERROR(__xludf.DUMMYFUNCTION("""COMPUTED_VALUE"""),44736.0)</f>
        <v>44736</v>
      </c>
      <c r="F921" s="9">
        <f>IFERROR(__xludf.DUMMYFUNCTION("""COMPUTED_VALUE"""),3.13)</f>
        <v>3.13</v>
      </c>
      <c r="H921" s="17"/>
      <c r="K921" s="17"/>
      <c r="N921" s="17"/>
    </row>
    <row r="922">
      <c r="B922" s="11">
        <f>IFERROR(__xludf.DUMMYFUNCTION("""COMPUTED_VALUE"""),44735.0)</f>
        <v>44735</v>
      </c>
      <c r="C922" s="9">
        <f>IFERROR(__xludf.DUMMYFUNCTION("""COMPUTED_VALUE"""),3.09)</f>
        <v>3.09</v>
      </c>
      <c r="E922" s="40">
        <f>IFERROR(__xludf.DUMMYFUNCTION("""COMPUTED_VALUE"""),44735.0)</f>
        <v>44735</v>
      </c>
      <c r="F922" s="9">
        <f>IFERROR(__xludf.DUMMYFUNCTION("""COMPUTED_VALUE"""),3.09)</f>
        <v>3.09</v>
      </c>
      <c r="H922" s="17"/>
      <c r="K922" s="17"/>
      <c r="N922" s="17"/>
    </row>
    <row r="923">
      <c r="B923" s="11">
        <f>IFERROR(__xludf.DUMMYFUNCTION("""COMPUTED_VALUE"""),44734.0)</f>
        <v>44734</v>
      </c>
      <c r="C923" s="9">
        <f>IFERROR(__xludf.DUMMYFUNCTION("""COMPUTED_VALUE"""),3.16)</f>
        <v>3.16</v>
      </c>
      <c r="E923" s="40">
        <f>IFERROR(__xludf.DUMMYFUNCTION("""COMPUTED_VALUE"""),44734.0)</f>
        <v>44734</v>
      </c>
      <c r="F923" s="9">
        <f>IFERROR(__xludf.DUMMYFUNCTION("""COMPUTED_VALUE"""),3.16)</f>
        <v>3.16</v>
      </c>
      <c r="H923" s="17"/>
      <c r="K923" s="17"/>
      <c r="N923" s="17"/>
    </row>
    <row r="924">
      <c r="B924" s="11">
        <f>IFERROR(__xludf.DUMMYFUNCTION("""COMPUTED_VALUE"""),44733.0)</f>
        <v>44733</v>
      </c>
      <c r="C924" s="9">
        <f>IFERROR(__xludf.DUMMYFUNCTION("""COMPUTED_VALUE"""),3.31)</f>
        <v>3.31</v>
      </c>
      <c r="E924" s="40">
        <f>IFERROR(__xludf.DUMMYFUNCTION("""COMPUTED_VALUE"""),44733.0)</f>
        <v>44733</v>
      </c>
      <c r="F924" s="9">
        <f>IFERROR(__xludf.DUMMYFUNCTION("""COMPUTED_VALUE"""),3.31)</f>
        <v>3.31</v>
      </c>
      <c r="H924" s="17"/>
      <c r="K924" s="17"/>
      <c r="N924" s="17"/>
    </row>
    <row r="925">
      <c r="B925" s="11">
        <f>IFERROR(__xludf.DUMMYFUNCTION("""COMPUTED_VALUE"""),44732.0)</f>
        <v>44732</v>
      </c>
      <c r="C925" s="9"/>
      <c r="E925" s="40">
        <f>IFERROR(__xludf.DUMMYFUNCTION("""COMPUTED_VALUE"""),44732.0)</f>
        <v>44732</v>
      </c>
      <c r="F925" s="9"/>
      <c r="H925" s="17"/>
      <c r="K925" s="17"/>
      <c r="N925" s="17"/>
    </row>
    <row r="926">
      <c r="B926" s="11">
        <f>IFERROR(__xludf.DUMMYFUNCTION("""COMPUTED_VALUE"""),44729.0)</f>
        <v>44729</v>
      </c>
      <c r="C926" s="9">
        <f>IFERROR(__xludf.DUMMYFUNCTION("""COMPUTED_VALUE"""),3.25)</f>
        <v>3.25</v>
      </c>
      <c r="E926" s="40">
        <f>IFERROR(__xludf.DUMMYFUNCTION("""COMPUTED_VALUE"""),44729.0)</f>
        <v>44729</v>
      </c>
      <c r="F926" s="9">
        <f>IFERROR(__xludf.DUMMYFUNCTION("""COMPUTED_VALUE"""),3.25)</f>
        <v>3.25</v>
      </c>
      <c r="H926" s="17"/>
      <c r="K926" s="17"/>
      <c r="N926" s="17"/>
    </row>
    <row r="927">
      <c r="B927" s="11">
        <f>IFERROR(__xludf.DUMMYFUNCTION("""COMPUTED_VALUE"""),44728.0)</f>
        <v>44728</v>
      </c>
      <c r="C927" s="9">
        <f>IFERROR(__xludf.DUMMYFUNCTION("""COMPUTED_VALUE"""),3.28)</f>
        <v>3.28</v>
      </c>
      <c r="E927" s="40">
        <f>IFERROR(__xludf.DUMMYFUNCTION("""COMPUTED_VALUE"""),44728.0)</f>
        <v>44728</v>
      </c>
      <c r="F927" s="9">
        <f>IFERROR(__xludf.DUMMYFUNCTION("""COMPUTED_VALUE"""),3.28)</f>
        <v>3.28</v>
      </c>
      <c r="H927" s="17"/>
      <c r="K927" s="17"/>
      <c r="N927" s="17"/>
    </row>
    <row r="928">
      <c r="B928" s="11">
        <f>IFERROR(__xludf.DUMMYFUNCTION("""COMPUTED_VALUE"""),44727.0)</f>
        <v>44727</v>
      </c>
      <c r="C928" s="9">
        <f>IFERROR(__xludf.DUMMYFUNCTION("""COMPUTED_VALUE"""),3.33)</f>
        <v>3.33</v>
      </c>
      <c r="E928" s="40">
        <f>IFERROR(__xludf.DUMMYFUNCTION("""COMPUTED_VALUE"""),44727.0)</f>
        <v>44727</v>
      </c>
      <c r="F928" s="9">
        <f>IFERROR(__xludf.DUMMYFUNCTION("""COMPUTED_VALUE"""),3.33)</f>
        <v>3.33</v>
      </c>
      <c r="H928" s="17"/>
      <c r="K928" s="17"/>
      <c r="N928" s="17"/>
    </row>
    <row r="929">
      <c r="B929" s="11">
        <f>IFERROR(__xludf.DUMMYFUNCTION("""COMPUTED_VALUE"""),44726.0)</f>
        <v>44726</v>
      </c>
      <c r="C929" s="9">
        <f>IFERROR(__xludf.DUMMYFUNCTION("""COMPUTED_VALUE"""),3.49)</f>
        <v>3.49</v>
      </c>
      <c r="E929" s="40">
        <f>IFERROR(__xludf.DUMMYFUNCTION("""COMPUTED_VALUE"""),44726.0)</f>
        <v>44726</v>
      </c>
      <c r="F929" s="9">
        <f>IFERROR(__xludf.DUMMYFUNCTION("""COMPUTED_VALUE"""),3.49)</f>
        <v>3.49</v>
      </c>
      <c r="H929" s="17"/>
      <c r="K929" s="17"/>
      <c r="N929" s="17"/>
    </row>
    <row r="930">
      <c r="B930" s="11">
        <f>IFERROR(__xludf.DUMMYFUNCTION("""COMPUTED_VALUE"""),44725.0)</f>
        <v>44725</v>
      </c>
      <c r="C930" s="9">
        <f>IFERROR(__xludf.DUMMYFUNCTION("""COMPUTED_VALUE"""),3.43)</f>
        <v>3.43</v>
      </c>
      <c r="E930" s="40">
        <f>IFERROR(__xludf.DUMMYFUNCTION("""COMPUTED_VALUE"""),44725.0)</f>
        <v>44725</v>
      </c>
      <c r="F930" s="9">
        <f>IFERROR(__xludf.DUMMYFUNCTION("""COMPUTED_VALUE"""),3.43)</f>
        <v>3.43</v>
      </c>
      <c r="H930" s="17"/>
      <c r="K930" s="17"/>
      <c r="N930" s="17"/>
    </row>
    <row r="931">
      <c r="B931" s="11">
        <f>IFERROR(__xludf.DUMMYFUNCTION("""COMPUTED_VALUE"""),44722.0)</f>
        <v>44722</v>
      </c>
      <c r="C931" s="9">
        <f>IFERROR(__xludf.DUMMYFUNCTION("""COMPUTED_VALUE"""),3.15)</f>
        <v>3.15</v>
      </c>
      <c r="E931" s="40">
        <f>IFERROR(__xludf.DUMMYFUNCTION("""COMPUTED_VALUE"""),44722.0)</f>
        <v>44722</v>
      </c>
      <c r="F931" s="9">
        <f>IFERROR(__xludf.DUMMYFUNCTION("""COMPUTED_VALUE"""),3.15)</f>
        <v>3.15</v>
      </c>
      <c r="H931" s="17"/>
      <c r="K931" s="17"/>
      <c r="N931" s="17"/>
    </row>
    <row r="932">
      <c r="B932" s="11">
        <f>IFERROR(__xludf.DUMMYFUNCTION("""COMPUTED_VALUE"""),44721.0)</f>
        <v>44721</v>
      </c>
      <c r="C932" s="9">
        <f>IFERROR(__xludf.DUMMYFUNCTION("""COMPUTED_VALUE"""),3.04)</f>
        <v>3.04</v>
      </c>
      <c r="E932" s="40">
        <f>IFERROR(__xludf.DUMMYFUNCTION("""COMPUTED_VALUE"""),44721.0)</f>
        <v>44721</v>
      </c>
      <c r="F932" s="9">
        <f>IFERROR(__xludf.DUMMYFUNCTION("""COMPUTED_VALUE"""),3.04)</f>
        <v>3.04</v>
      </c>
      <c r="H932" s="17"/>
      <c r="K932" s="17"/>
      <c r="N932" s="17"/>
    </row>
    <row r="933">
      <c r="B933" s="11">
        <f>IFERROR(__xludf.DUMMYFUNCTION("""COMPUTED_VALUE"""),44720.0)</f>
        <v>44720</v>
      </c>
      <c r="C933" s="9">
        <f>IFERROR(__xludf.DUMMYFUNCTION("""COMPUTED_VALUE"""),3.03)</f>
        <v>3.03</v>
      </c>
      <c r="E933" s="40">
        <f>IFERROR(__xludf.DUMMYFUNCTION("""COMPUTED_VALUE"""),44720.0)</f>
        <v>44720</v>
      </c>
      <c r="F933" s="9">
        <f>IFERROR(__xludf.DUMMYFUNCTION("""COMPUTED_VALUE"""),3.03)</f>
        <v>3.03</v>
      </c>
      <c r="H933" s="17"/>
      <c r="K933" s="17"/>
      <c r="N933" s="17"/>
    </row>
    <row r="934">
      <c r="B934" s="11">
        <f>IFERROR(__xludf.DUMMYFUNCTION("""COMPUTED_VALUE"""),44719.0)</f>
        <v>44719</v>
      </c>
      <c r="C934" s="9">
        <f>IFERROR(__xludf.DUMMYFUNCTION("""COMPUTED_VALUE"""),2.98)</f>
        <v>2.98</v>
      </c>
      <c r="E934" s="40">
        <f>IFERROR(__xludf.DUMMYFUNCTION("""COMPUTED_VALUE"""),44719.0)</f>
        <v>44719</v>
      </c>
      <c r="F934" s="9">
        <f>IFERROR(__xludf.DUMMYFUNCTION("""COMPUTED_VALUE"""),2.98)</f>
        <v>2.98</v>
      </c>
      <c r="H934" s="17"/>
      <c r="K934" s="17"/>
      <c r="N934" s="17"/>
    </row>
    <row r="935">
      <c r="B935" s="11">
        <f>IFERROR(__xludf.DUMMYFUNCTION("""COMPUTED_VALUE"""),44718.0)</f>
        <v>44718</v>
      </c>
      <c r="C935" s="9">
        <f>IFERROR(__xludf.DUMMYFUNCTION("""COMPUTED_VALUE"""),3.04)</f>
        <v>3.04</v>
      </c>
      <c r="E935" s="40">
        <f>IFERROR(__xludf.DUMMYFUNCTION("""COMPUTED_VALUE"""),44718.0)</f>
        <v>44718</v>
      </c>
      <c r="F935" s="9">
        <f>IFERROR(__xludf.DUMMYFUNCTION("""COMPUTED_VALUE"""),3.04)</f>
        <v>3.04</v>
      </c>
      <c r="H935" s="17"/>
      <c r="K935" s="17"/>
      <c r="N935" s="17"/>
    </row>
    <row r="936">
      <c r="B936" s="11">
        <f>IFERROR(__xludf.DUMMYFUNCTION("""COMPUTED_VALUE"""),44715.0)</f>
        <v>44715</v>
      </c>
      <c r="C936" s="9">
        <f>IFERROR(__xludf.DUMMYFUNCTION("""COMPUTED_VALUE"""),2.96)</f>
        <v>2.96</v>
      </c>
      <c r="E936" s="40">
        <f>IFERROR(__xludf.DUMMYFUNCTION("""COMPUTED_VALUE"""),44715.0)</f>
        <v>44715</v>
      </c>
      <c r="F936" s="9">
        <f>IFERROR(__xludf.DUMMYFUNCTION("""COMPUTED_VALUE"""),2.96)</f>
        <v>2.96</v>
      </c>
      <c r="H936" s="17"/>
      <c r="K936" s="17"/>
      <c r="N936" s="17"/>
    </row>
    <row r="937">
      <c r="B937" s="11">
        <f>IFERROR(__xludf.DUMMYFUNCTION("""COMPUTED_VALUE"""),44714.0)</f>
        <v>44714</v>
      </c>
      <c r="C937" s="9">
        <f>IFERROR(__xludf.DUMMYFUNCTION("""COMPUTED_VALUE"""),2.92)</f>
        <v>2.92</v>
      </c>
      <c r="E937" s="40">
        <f>IFERROR(__xludf.DUMMYFUNCTION("""COMPUTED_VALUE"""),44714.0)</f>
        <v>44714</v>
      </c>
      <c r="F937" s="9">
        <f>IFERROR(__xludf.DUMMYFUNCTION("""COMPUTED_VALUE"""),2.92)</f>
        <v>2.92</v>
      </c>
      <c r="H937" s="17"/>
      <c r="K937" s="17"/>
      <c r="N937" s="17"/>
    </row>
    <row r="938">
      <c r="B938" s="11">
        <f>IFERROR(__xludf.DUMMYFUNCTION("""COMPUTED_VALUE"""),44713.0)</f>
        <v>44713</v>
      </c>
      <c r="C938" s="9">
        <f>IFERROR(__xludf.DUMMYFUNCTION("""COMPUTED_VALUE"""),2.94)</f>
        <v>2.94</v>
      </c>
      <c r="E938" s="40">
        <f>IFERROR(__xludf.DUMMYFUNCTION("""COMPUTED_VALUE"""),44713.0)</f>
        <v>44713</v>
      </c>
      <c r="F938" s="9">
        <f>IFERROR(__xludf.DUMMYFUNCTION("""COMPUTED_VALUE"""),2.94)</f>
        <v>2.94</v>
      </c>
      <c r="H938" s="17"/>
      <c r="K938" s="17"/>
      <c r="N938" s="17"/>
    </row>
    <row r="939">
      <c r="B939" s="11">
        <f>IFERROR(__xludf.DUMMYFUNCTION("""COMPUTED_VALUE"""),44712.0)</f>
        <v>44712</v>
      </c>
      <c r="C939" s="9">
        <f>IFERROR(__xludf.DUMMYFUNCTION("""COMPUTED_VALUE"""),2.85)</f>
        <v>2.85</v>
      </c>
      <c r="E939" s="40">
        <f>IFERROR(__xludf.DUMMYFUNCTION("""COMPUTED_VALUE"""),44712.0)</f>
        <v>44712</v>
      </c>
      <c r="F939" s="9">
        <f>IFERROR(__xludf.DUMMYFUNCTION("""COMPUTED_VALUE"""),2.85)</f>
        <v>2.85</v>
      </c>
      <c r="H939" s="17"/>
      <c r="K939" s="17"/>
      <c r="N939" s="17"/>
    </row>
    <row r="940">
      <c r="B940" s="11">
        <f>IFERROR(__xludf.DUMMYFUNCTION("""COMPUTED_VALUE"""),44711.0)</f>
        <v>44711</v>
      </c>
      <c r="C940" s="9"/>
      <c r="E940" s="40">
        <f>IFERROR(__xludf.DUMMYFUNCTION("""COMPUTED_VALUE"""),44711.0)</f>
        <v>44711</v>
      </c>
      <c r="F940" s="9"/>
      <c r="H940" s="17"/>
      <c r="K940" s="17"/>
      <c r="N940" s="17"/>
    </row>
    <row r="941">
      <c r="B941" s="11">
        <f>IFERROR(__xludf.DUMMYFUNCTION("""COMPUTED_VALUE"""),44708.0)</f>
        <v>44708</v>
      </c>
      <c r="C941" s="9">
        <f>IFERROR(__xludf.DUMMYFUNCTION("""COMPUTED_VALUE"""),2.74)</f>
        <v>2.74</v>
      </c>
      <c r="E941" s="40">
        <f>IFERROR(__xludf.DUMMYFUNCTION("""COMPUTED_VALUE"""),44708.0)</f>
        <v>44708</v>
      </c>
      <c r="F941" s="9">
        <f>IFERROR(__xludf.DUMMYFUNCTION("""COMPUTED_VALUE"""),2.74)</f>
        <v>2.74</v>
      </c>
      <c r="H941" s="17"/>
      <c r="K941" s="17"/>
      <c r="N941" s="17"/>
    </row>
    <row r="942">
      <c r="B942" s="11">
        <f>IFERROR(__xludf.DUMMYFUNCTION("""COMPUTED_VALUE"""),44707.0)</f>
        <v>44707</v>
      </c>
      <c r="C942" s="9">
        <f>IFERROR(__xludf.DUMMYFUNCTION("""COMPUTED_VALUE"""),2.75)</f>
        <v>2.75</v>
      </c>
      <c r="E942" s="40">
        <f>IFERROR(__xludf.DUMMYFUNCTION("""COMPUTED_VALUE"""),44707.0)</f>
        <v>44707</v>
      </c>
      <c r="F942" s="9">
        <f>IFERROR(__xludf.DUMMYFUNCTION("""COMPUTED_VALUE"""),2.75)</f>
        <v>2.75</v>
      </c>
      <c r="H942" s="17"/>
      <c r="K942" s="17"/>
      <c r="N942" s="17"/>
    </row>
    <row r="943">
      <c r="B943" s="11">
        <f>IFERROR(__xludf.DUMMYFUNCTION("""COMPUTED_VALUE"""),44706.0)</f>
        <v>44706</v>
      </c>
      <c r="C943" s="9">
        <f>IFERROR(__xludf.DUMMYFUNCTION("""COMPUTED_VALUE"""),2.75)</f>
        <v>2.75</v>
      </c>
      <c r="E943" s="40">
        <f>IFERROR(__xludf.DUMMYFUNCTION("""COMPUTED_VALUE"""),44706.0)</f>
        <v>44706</v>
      </c>
      <c r="F943" s="9">
        <f>IFERROR(__xludf.DUMMYFUNCTION("""COMPUTED_VALUE"""),2.75)</f>
        <v>2.75</v>
      </c>
      <c r="H943" s="17"/>
      <c r="K943" s="17"/>
      <c r="N943" s="17"/>
    </row>
    <row r="944">
      <c r="B944" s="11">
        <f>IFERROR(__xludf.DUMMYFUNCTION("""COMPUTED_VALUE"""),44705.0)</f>
        <v>44705</v>
      </c>
      <c r="C944" s="9">
        <f>IFERROR(__xludf.DUMMYFUNCTION("""COMPUTED_VALUE"""),2.76)</f>
        <v>2.76</v>
      </c>
      <c r="E944" s="40">
        <f>IFERROR(__xludf.DUMMYFUNCTION("""COMPUTED_VALUE"""),44705.0)</f>
        <v>44705</v>
      </c>
      <c r="F944" s="9">
        <f>IFERROR(__xludf.DUMMYFUNCTION("""COMPUTED_VALUE"""),2.76)</f>
        <v>2.76</v>
      </c>
      <c r="H944" s="17"/>
      <c r="K944" s="17"/>
      <c r="N944" s="17"/>
    </row>
    <row r="945">
      <c r="B945" s="11">
        <f>IFERROR(__xludf.DUMMYFUNCTION("""COMPUTED_VALUE"""),44704.0)</f>
        <v>44704</v>
      </c>
      <c r="C945" s="9">
        <f>IFERROR(__xludf.DUMMYFUNCTION("""COMPUTED_VALUE"""),2.86)</f>
        <v>2.86</v>
      </c>
      <c r="E945" s="40">
        <f>IFERROR(__xludf.DUMMYFUNCTION("""COMPUTED_VALUE"""),44704.0)</f>
        <v>44704</v>
      </c>
      <c r="F945" s="9">
        <f>IFERROR(__xludf.DUMMYFUNCTION("""COMPUTED_VALUE"""),2.86)</f>
        <v>2.86</v>
      </c>
      <c r="H945" s="17"/>
      <c r="K945" s="17"/>
      <c r="N945" s="17"/>
    </row>
    <row r="946">
      <c r="B946" s="11">
        <f>IFERROR(__xludf.DUMMYFUNCTION("""COMPUTED_VALUE"""),44701.0)</f>
        <v>44701</v>
      </c>
      <c r="C946" s="9">
        <f>IFERROR(__xludf.DUMMYFUNCTION("""COMPUTED_VALUE"""),2.78)</f>
        <v>2.78</v>
      </c>
      <c r="E946" s="40">
        <f>IFERROR(__xludf.DUMMYFUNCTION("""COMPUTED_VALUE"""),44701.0)</f>
        <v>44701</v>
      </c>
      <c r="F946" s="9">
        <f>IFERROR(__xludf.DUMMYFUNCTION("""COMPUTED_VALUE"""),2.78)</f>
        <v>2.78</v>
      </c>
      <c r="H946" s="17"/>
      <c r="K946" s="17"/>
      <c r="N946" s="17"/>
    </row>
    <row r="947">
      <c r="B947" s="11">
        <f>IFERROR(__xludf.DUMMYFUNCTION("""COMPUTED_VALUE"""),44700.0)</f>
        <v>44700</v>
      </c>
      <c r="C947" s="9">
        <f>IFERROR(__xludf.DUMMYFUNCTION("""COMPUTED_VALUE"""),2.84)</f>
        <v>2.84</v>
      </c>
      <c r="E947" s="40">
        <f>IFERROR(__xludf.DUMMYFUNCTION("""COMPUTED_VALUE"""),44700.0)</f>
        <v>44700</v>
      </c>
      <c r="F947" s="9">
        <f>IFERROR(__xludf.DUMMYFUNCTION("""COMPUTED_VALUE"""),2.84)</f>
        <v>2.84</v>
      </c>
      <c r="H947" s="17"/>
      <c r="K947" s="17"/>
      <c r="N947" s="17"/>
    </row>
    <row r="948">
      <c r="B948" s="11">
        <f>IFERROR(__xludf.DUMMYFUNCTION("""COMPUTED_VALUE"""),44699.0)</f>
        <v>44699</v>
      </c>
      <c r="C948" s="9">
        <f>IFERROR(__xludf.DUMMYFUNCTION("""COMPUTED_VALUE"""),2.89)</f>
        <v>2.89</v>
      </c>
      <c r="E948" s="40">
        <f>IFERROR(__xludf.DUMMYFUNCTION("""COMPUTED_VALUE"""),44699.0)</f>
        <v>44699</v>
      </c>
      <c r="F948" s="9">
        <f>IFERROR(__xludf.DUMMYFUNCTION("""COMPUTED_VALUE"""),2.89)</f>
        <v>2.89</v>
      </c>
      <c r="H948" s="17"/>
      <c r="K948" s="17"/>
      <c r="N948" s="17"/>
    </row>
    <row r="949">
      <c r="B949" s="11">
        <f>IFERROR(__xludf.DUMMYFUNCTION("""COMPUTED_VALUE"""),44698.0)</f>
        <v>44698</v>
      </c>
      <c r="C949" s="9">
        <f>IFERROR(__xludf.DUMMYFUNCTION("""COMPUTED_VALUE"""),2.98)</f>
        <v>2.98</v>
      </c>
      <c r="E949" s="40">
        <f>IFERROR(__xludf.DUMMYFUNCTION("""COMPUTED_VALUE"""),44698.0)</f>
        <v>44698</v>
      </c>
      <c r="F949" s="9">
        <f>IFERROR(__xludf.DUMMYFUNCTION("""COMPUTED_VALUE"""),2.98)</f>
        <v>2.98</v>
      </c>
      <c r="H949" s="17"/>
      <c r="K949" s="17"/>
      <c r="N949" s="17"/>
    </row>
    <row r="950">
      <c r="B950" s="11">
        <f>IFERROR(__xludf.DUMMYFUNCTION("""COMPUTED_VALUE"""),44697.0)</f>
        <v>44697</v>
      </c>
      <c r="C950" s="9">
        <f>IFERROR(__xludf.DUMMYFUNCTION("""COMPUTED_VALUE"""),2.88)</f>
        <v>2.88</v>
      </c>
      <c r="E950" s="40">
        <f>IFERROR(__xludf.DUMMYFUNCTION("""COMPUTED_VALUE"""),44697.0)</f>
        <v>44697</v>
      </c>
      <c r="F950" s="9">
        <f>IFERROR(__xludf.DUMMYFUNCTION("""COMPUTED_VALUE"""),2.88)</f>
        <v>2.88</v>
      </c>
      <c r="H950" s="17"/>
      <c r="K950" s="17"/>
      <c r="N950" s="17"/>
    </row>
    <row r="951">
      <c r="B951" s="11">
        <f>IFERROR(__xludf.DUMMYFUNCTION("""COMPUTED_VALUE"""),44694.0)</f>
        <v>44694</v>
      </c>
      <c r="C951" s="9">
        <f>IFERROR(__xludf.DUMMYFUNCTION("""COMPUTED_VALUE"""),2.93)</f>
        <v>2.93</v>
      </c>
      <c r="E951" s="40">
        <f>IFERROR(__xludf.DUMMYFUNCTION("""COMPUTED_VALUE"""),44694.0)</f>
        <v>44694</v>
      </c>
      <c r="F951" s="9">
        <f>IFERROR(__xludf.DUMMYFUNCTION("""COMPUTED_VALUE"""),2.93)</f>
        <v>2.93</v>
      </c>
      <c r="H951" s="17"/>
      <c r="K951" s="17"/>
      <c r="N951" s="17"/>
    </row>
    <row r="952">
      <c r="B952" s="11">
        <f>IFERROR(__xludf.DUMMYFUNCTION("""COMPUTED_VALUE"""),44693.0)</f>
        <v>44693</v>
      </c>
      <c r="C952" s="9">
        <f>IFERROR(__xludf.DUMMYFUNCTION("""COMPUTED_VALUE"""),2.84)</f>
        <v>2.84</v>
      </c>
      <c r="E952" s="40">
        <f>IFERROR(__xludf.DUMMYFUNCTION("""COMPUTED_VALUE"""),44693.0)</f>
        <v>44693</v>
      </c>
      <c r="F952" s="9">
        <f>IFERROR(__xludf.DUMMYFUNCTION("""COMPUTED_VALUE"""),2.84)</f>
        <v>2.84</v>
      </c>
      <c r="H952" s="17"/>
      <c r="K952" s="17"/>
      <c r="N952" s="17"/>
    </row>
    <row r="953">
      <c r="B953" s="11">
        <f>IFERROR(__xludf.DUMMYFUNCTION("""COMPUTED_VALUE"""),44692.0)</f>
        <v>44692</v>
      </c>
      <c r="C953" s="9">
        <f>IFERROR(__xludf.DUMMYFUNCTION("""COMPUTED_VALUE"""),2.91)</f>
        <v>2.91</v>
      </c>
      <c r="E953" s="40">
        <f>IFERROR(__xludf.DUMMYFUNCTION("""COMPUTED_VALUE"""),44692.0)</f>
        <v>44692</v>
      </c>
      <c r="F953" s="9">
        <f>IFERROR(__xludf.DUMMYFUNCTION("""COMPUTED_VALUE"""),2.91)</f>
        <v>2.91</v>
      </c>
      <c r="H953" s="17"/>
      <c r="K953" s="17"/>
      <c r="N953" s="17"/>
    </row>
    <row r="954">
      <c r="B954" s="11">
        <f>IFERROR(__xludf.DUMMYFUNCTION("""COMPUTED_VALUE"""),44691.0)</f>
        <v>44691</v>
      </c>
      <c r="C954" s="9">
        <f>IFERROR(__xludf.DUMMYFUNCTION("""COMPUTED_VALUE"""),2.99)</f>
        <v>2.99</v>
      </c>
      <c r="E954" s="40">
        <f>IFERROR(__xludf.DUMMYFUNCTION("""COMPUTED_VALUE"""),44691.0)</f>
        <v>44691</v>
      </c>
      <c r="F954" s="9">
        <f>IFERROR(__xludf.DUMMYFUNCTION("""COMPUTED_VALUE"""),2.99)</f>
        <v>2.99</v>
      </c>
      <c r="H954" s="17"/>
      <c r="K954" s="17"/>
      <c r="N954" s="17"/>
    </row>
    <row r="955">
      <c r="B955" s="11">
        <f>IFERROR(__xludf.DUMMYFUNCTION("""COMPUTED_VALUE"""),44690.0)</f>
        <v>44690</v>
      </c>
      <c r="C955" s="9">
        <f>IFERROR(__xludf.DUMMYFUNCTION("""COMPUTED_VALUE"""),3.05)</f>
        <v>3.05</v>
      </c>
      <c r="E955" s="40">
        <f>IFERROR(__xludf.DUMMYFUNCTION("""COMPUTED_VALUE"""),44690.0)</f>
        <v>44690</v>
      </c>
      <c r="F955" s="9">
        <f>IFERROR(__xludf.DUMMYFUNCTION("""COMPUTED_VALUE"""),3.05)</f>
        <v>3.05</v>
      </c>
      <c r="H955" s="17"/>
      <c r="K955" s="17"/>
      <c r="N955" s="17"/>
    </row>
    <row r="956">
      <c r="B956" s="11">
        <f>IFERROR(__xludf.DUMMYFUNCTION("""COMPUTED_VALUE"""),44687.0)</f>
        <v>44687</v>
      </c>
      <c r="C956" s="9">
        <f>IFERROR(__xludf.DUMMYFUNCTION("""COMPUTED_VALUE"""),3.12)</f>
        <v>3.12</v>
      </c>
      <c r="E956" s="40">
        <f>IFERROR(__xludf.DUMMYFUNCTION("""COMPUTED_VALUE"""),44687.0)</f>
        <v>44687</v>
      </c>
      <c r="F956" s="9">
        <f>IFERROR(__xludf.DUMMYFUNCTION("""COMPUTED_VALUE"""),3.12)</f>
        <v>3.12</v>
      </c>
      <c r="H956" s="17"/>
      <c r="K956" s="17"/>
      <c r="N956" s="17"/>
    </row>
    <row r="957">
      <c r="B957" s="11">
        <f>IFERROR(__xludf.DUMMYFUNCTION("""COMPUTED_VALUE"""),44686.0)</f>
        <v>44686</v>
      </c>
      <c r="C957" s="9">
        <f>IFERROR(__xludf.DUMMYFUNCTION("""COMPUTED_VALUE"""),3.05)</f>
        <v>3.05</v>
      </c>
      <c r="E957" s="40">
        <f>IFERROR(__xludf.DUMMYFUNCTION("""COMPUTED_VALUE"""),44686.0)</f>
        <v>44686</v>
      </c>
      <c r="F957" s="9">
        <f>IFERROR(__xludf.DUMMYFUNCTION("""COMPUTED_VALUE"""),3.05)</f>
        <v>3.05</v>
      </c>
      <c r="H957" s="17"/>
      <c r="K957" s="17"/>
      <c r="N957" s="17"/>
    </row>
    <row r="958">
      <c r="B958" s="11">
        <f>IFERROR(__xludf.DUMMYFUNCTION("""COMPUTED_VALUE"""),44685.0)</f>
        <v>44685</v>
      </c>
      <c r="C958" s="9">
        <f>IFERROR(__xludf.DUMMYFUNCTION("""COMPUTED_VALUE"""),2.93)</f>
        <v>2.93</v>
      </c>
      <c r="E958" s="40">
        <f>IFERROR(__xludf.DUMMYFUNCTION("""COMPUTED_VALUE"""),44685.0)</f>
        <v>44685</v>
      </c>
      <c r="F958" s="9">
        <f>IFERROR(__xludf.DUMMYFUNCTION("""COMPUTED_VALUE"""),2.93)</f>
        <v>2.93</v>
      </c>
      <c r="H958" s="17"/>
      <c r="K958" s="17"/>
      <c r="N958" s="17"/>
    </row>
    <row r="959">
      <c r="B959" s="11">
        <f>IFERROR(__xludf.DUMMYFUNCTION("""COMPUTED_VALUE"""),44684.0)</f>
        <v>44684</v>
      </c>
      <c r="C959" s="9">
        <f>IFERROR(__xludf.DUMMYFUNCTION("""COMPUTED_VALUE"""),2.97)</f>
        <v>2.97</v>
      </c>
      <c r="E959" s="40">
        <f>IFERROR(__xludf.DUMMYFUNCTION("""COMPUTED_VALUE"""),44684.0)</f>
        <v>44684</v>
      </c>
      <c r="F959" s="9">
        <f>IFERROR(__xludf.DUMMYFUNCTION("""COMPUTED_VALUE"""),2.97)</f>
        <v>2.97</v>
      </c>
      <c r="H959" s="17"/>
      <c r="K959" s="17"/>
      <c r="N959" s="17"/>
    </row>
    <row r="960">
      <c r="B960" s="11">
        <f>IFERROR(__xludf.DUMMYFUNCTION("""COMPUTED_VALUE"""),44683.0)</f>
        <v>44683</v>
      </c>
      <c r="C960" s="9">
        <f>IFERROR(__xludf.DUMMYFUNCTION("""COMPUTED_VALUE"""),2.99)</f>
        <v>2.99</v>
      </c>
      <c r="E960" s="40">
        <f>IFERROR(__xludf.DUMMYFUNCTION("""COMPUTED_VALUE"""),44683.0)</f>
        <v>44683</v>
      </c>
      <c r="F960" s="9">
        <f>IFERROR(__xludf.DUMMYFUNCTION("""COMPUTED_VALUE"""),2.99)</f>
        <v>2.99</v>
      </c>
      <c r="H960" s="17"/>
      <c r="K960" s="17"/>
      <c r="N960" s="17"/>
    </row>
    <row r="961">
      <c r="B961" s="11">
        <f>IFERROR(__xludf.DUMMYFUNCTION("""COMPUTED_VALUE"""),44680.0)</f>
        <v>44680</v>
      </c>
      <c r="C961" s="9">
        <f>IFERROR(__xludf.DUMMYFUNCTION("""COMPUTED_VALUE"""),2.89)</f>
        <v>2.89</v>
      </c>
      <c r="E961" s="40">
        <f>IFERROR(__xludf.DUMMYFUNCTION("""COMPUTED_VALUE"""),44680.0)</f>
        <v>44680</v>
      </c>
      <c r="F961" s="9">
        <f>IFERROR(__xludf.DUMMYFUNCTION("""COMPUTED_VALUE"""),2.89)</f>
        <v>2.89</v>
      </c>
      <c r="H961" s="17"/>
      <c r="K961" s="17"/>
      <c r="N961" s="17"/>
    </row>
    <row r="962">
      <c r="B962" s="11">
        <f>IFERROR(__xludf.DUMMYFUNCTION("""COMPUTED_VALUE"""),44679.0)</f>
        <v>44679</v>
      </c>
      <c r="C962" s="9">
        <f>IFERROR(__xludf.DUMMYFUNCTION("""COMPUTED_VALUE"""),2.85)</f>
        <v>2.85</v>
      </c>
      <c r="E962" s="40">
        <f>IFERROR(__xludf.DUMMYFUNCTION("""COMPUTED_VALUE"""),44679.0)</f>
        <v>44679</v>
      </c>
      <c r="F962" s="9">
        <f>IFERROR(__xludf.DUMMYFUNCTION("""COMPUTED_VALUE"""),2.85)</f>
        <v>2.85</v>
      </c>
      <c r="H962" s="17"/>
      <c r="K962" s="17"/>
      <c r="N962" s="17"/>
    </row>
    <row r="963">
      <c r="B963" s="11">
        <f>IFERROR(__xludf.DUMMYFUNCTION("""COMPUTED_VALUE"""),44678.0)</f>
        <v>44678</v>
      </c>
      <c r="C963" s="9">
        <f>IFERROR(__xludf.DUMMYFUNCTION("""COMPUTED_VALUE"""),2.82)</f>
        <v>2.82</v>
      </c>
      <c r="E963" s="40">
        <f>IFERROR(__xludf.DUMMYFUNCTION("""COMPUTED_VALUE"""),44678.0)</f>
        <v>44678</v>
      </c>
      <c r="F963" s="9">
        <f>IFERROR(__xludf.DUMMYFUNCTION("""COMPUTED_VALUE"""),2.82)</f>
        <v>2.82</v>
      </c>
      <c r="H963" s="17"/>
      <c r="K963" s="17"/>
      <c r="N963" s="17"/>
    </row>
    <row r="964">
      <c r="B964" s="11">
        <f>IFERROR(__xludf.DUMMYFUNCTION("""COMPUTED_VALUE"""),44677.0)</f>
        <v>44677</v>
      </c>
      <c r="C964" s="9">
        <f>IFERROR(__xludf.DUMMYFUNCTION("""COMPUTED_VALUE"""),2.77)</f>
        <v>2.77</v>
      </c>
      <c r="E964" s="40">
        <f>IFERROR(__xludf.DUMMYFUNCTION("""COMPUTED_VALUE"""),44677.0)</f>
        <v>44677</v>
      </c>
      <c r="F964" s="9">
        <f>IFERROR(__xludf.DUMMYFUNCTION("""COMPUTED_VALUE"""),2.77)</f>
        <v>2.77</v>
      </c>
      <c r="H964" s="17"/>
      <c r="K964" s="17"/>
      <c r="N964" s="17"/>
    </row>
    <row r="965">
      <c r="B965" s="11">
        <f>IFERROR(__xludf.DUMMYFUNCTION("""COMPUTED_VALUE"""),44676.0)</f>
        <v>44676</v>
      </c>
      <c r="C965" s="9">
        <f>IFERROR(__xludf.DUMMYFUNCTION("""COMPUTED_VALUE"""),2.81)</f>
        <v>2.81</v>
      </c>
      <c r="E965" s="40">
        <f>IFERROR(__xludf.DUMMYFUNCTION("""COMPUTED_VALUE"""),44676.0)</f>
        <v>44676</v>
      </c>
      <c r="F965" s="9">
        <f>IFERROR(__xludf.DUMMYFUNCTION("""COMPUTED_VALUE"""),2.81)</f>
        <v>2.81</v>
      </c>
      <c r="H965" s="17"/>
      <c r="K965" s="17"/>
      <c r="N965" s="17"/>
    </row>
    <row r="966">
      <c r="B966" s="11">
        <f>IFERROR(__xludf.DUMMYFUNCTION("""COMPUTED_VALUE"""),44673.0)</f>
        <v>44673</v>
      </c>
      <c r="C966" s="9">
        <f>IFERROR(__xludf.DUMMYFUNCTION("""COMPUTED_VALUE"""),2.9)</f>
        <v>2.9</v>
      </c>
      <c r="E966" s="40">
        <f>IFERROR(__xludf.DUMMYFUNCTION("""COMPUTED_VALUE"""),44673.0)</f>
        <v>44673</v>
      </c>
      <c r="F966" s="9">
        <f>IFERROR(__xludf.DUMMYFUNCTION("""COMPUTED_VALUE"""),2.9)</f>
        <v>2.9</v>
      </c>
      <c r="H966" s="17"/>
      <c r="K966" s="17"/>
      <c r="N966" s="17"/>
    </row>
    <row r="967">
      <c r="B967" s="11">
        <f>IFERROR(__xludf.DUMMYFUNCTION("""COMPUTED_VALUE"""),44672.0)</f>
        <v>44672</v>
      </c>
      <c r="C967" s="9">
        <f>IFERROR(__xludf.DUMMYFUNCTION("""COMPUTED_VALUE"""),2.9)</f>
        <v>2.9</v>
      </c>
      <c r="E967" s="40">
        <f>IFERROR(__xludf.DUMMYFUNCTION("""COMPUTED_VALUE"""),44672.0)</f>
        <v>44672</v>
      </c>
      <c r="F967" s="9">
        <f>IFERROR(__xludf.DUMMYFUNCTION("""COMPUTED_VALUE"""),2.9)</f>
        <v>2.9</v>
      </c>
      <c r="H967" s="17"/>
      <c r="K967" s="17"/>
      <c r="N967" s="17"/>
    </row>
    <row r="968">
      <c r="B968" s="11">
        <f>IFERROR(__xludf.DUMMYFUNCTION("""COMPUTED_VALUE"""),44671.0)</f>
        <v>44671</v>
      </c>
      <c r="C968" s="9">
        <f>IFERROR(__xludf.DUMMYFUNCTION("""COMPUTED_VALUE"""),2.85)</f>
        <v>2.85</v>
      </c>
      <c r="E968" s="40">
        <f>IFERROR(__xludf.DUMMYFUNCTION("""COMPUTED_VALUE"""),44671.0)</f>
        <v>44671</v>
      </c>
      <c r="F968" s="9">
        <f>IFERROR(__xludf.DUMMYFUNCTION("""COMPUTED_VALUE"""),2.85)</f>
        <v>2.85</v>
      </c>
      <c r="H968" s="17"/>
      <c r="K968" s="17"/>
      <c r="N968" s="17"/>
    </row>
    <row r="969">
      <c r="B969" s="11">
        <f>IFERROR(__xludf.DUMMYFUNCTION("""COMPUTED_VALUE"""),44670.0)</f>
        <v>44670</v>
      </c>
      <c r="C969" s="9">
        <f>IFERROR(__xludf.DUMMYFUNCTION("""COMPUTED_VALUE"""),2.93)</f>
        <v>2.93</v>
      </c>
      <c r="E969" s="40">
        <f>IFERROR(__xludf.DUMMYFUNCTION("""COMPUTED_VALUE"""),44670.0)</f>
        <v>44670</v>
      </c>
      <c r="F969" s="9">
        <f>IFERROR(__xludf.DUMMYFUNCTION("""COMPUTED_VALUE"""),2.93)</f>
        <v>2.93</v>
      </c>
      <c r="H969" s="17"/>
      <c r="K969" s="17"/>
      <c r="N969" s="17"/>
    </row>
    <row r="970">
      <c r="B970" s="11">
        <f>IFERROR(__xludf.DUMMYFUNCTION("""COMPUTED_VALUE"""),44669.0)</f>
        <v>44669</v>
      </c>
      <c r="C970" s="9">
        <f>IFERROR(__xludf.DUMMYFUNCTION("""COMPUTED_VALUE"""),2.85)</f>
        <v>2.85</v>
      </c>
      <c r="E970" s="40">
        <f>IFERROR(__xludf.DUMMYFUNCTION("""COMPUTED_VALUE"""),44669.0)</f>
        <v>44669</v>
      </c>
      <c r="F970" s="9">
        <f>IFERROR(__xludf.DUMMYFUNCTION("""COMPUTED_VALUE"""),2.85)</f>
        <v>2.85</v>
      </c>
      <c r="H970" s="17"/>
      <c r="K970" s="17"/>
      <c r="N970" s="17"/>
    </row>
    <row r="971">
      <c r="B971" s="11">
        <f>IFERROR(__xludf.DUMMYFUNCTION("""COMPUTED_VALUE"""),44666.0)</f>
        <v>44666</v>
      </c>
      <c r="C971" s="9"/>
      <c r="E971" s="40">
        <f>IFERROR(__xludf.DUMMYFUNCTION("""COMPUTED_VALUE"""),44666.0)</f>
        <v>44666</v>
      </c>
      <c r="F971" s="9"/>
      <c r="H971" s="17"/>
      <c r="K971" s="17"/>
      <c r="N971" s="17"/>
    </row>
    <row r="972">
      <c r="B972" s="11">
        <f>IFERROR(__xludf.DUMMYFUNCTION("""COMPUTED_VALUE"""),44665.0)</f>
        <v>44665</v>
      </c>
      <c r="C972" s="9">
        <f>IFERROR(__xludf.DUMMYFUNCTION("""COMPUTED_VALUE"""),2.83)</f>
        <v>2.83</v>
      </c>
      <c r="E972" s="40">
        <f>IFERROR(__xludf.DUMMYFUNCTION("""COMPUTED_VALUE"""),44665.0)</f>
        <v>44665</v>
      </c>
      <c r="F972" s="9">
        <f>IFERROR(__xludf.DUMMYFUNCTION("""COMPUTED_VALUE"""),2.83)</f>
        <v>2.83</v>
      </c>
      <c r="H972" s="17"/>
      <c r="K972" s="17"/>
      <c r="N972" s="17"/>
    </row>
    <row r="973">
      <c r="B973" s="11">
        <f>IFERROR(__xludf.DUMMYFUNCTION("""COMPUTED_VALUE"""),44664.0)</f>
        <v>44664</v>
      </c>
      <c r="C973" s="9">
        <f>IFERROR(__xludf.DUMMYFUNCTION("""COMPUTED_VALUE"""),2.7)</f>
        <v>2.7</v>
      </c>
      <c r="E973" s="40">
        <f>IFERROR(__xludf.DUMMYFUNCTION("""COMPUTED_VALUE"""),44664.0)</f>
        <v>44664</v>
      </c>
      <c r="F973" s="9">
        <f>IFERROR(__xludf.DUMMYFUNCTION("""COMPUTED_VALUE"""),2.7)</f>
        <v>2.7</v>
      </c>
      <c r="H973" s="17"/>
      <c r="K973" s="17"/>
      <c r="N973" s="17"/>
    </row>
    <row r="974">
      <c r="B974" s="11">
        <f>IFERROR(__xludf.DUMMYFUNCTION("""COMPUTED_VALUE"""),44663.0)</f>
        <v>44663</v>
      </c>
      <c r="C974" s="9">
        <f>IFERROR(__xludf.DUMMYFUNCTION("""COMPUTED_VALUE"""),2.72)</f>
        <v>2.72</v>
      </c>
      <c r="E974" s="40">
        <f>IFERROR(__xludf.DUMMYFUNCTION("""COMPUTED_VALUE"""),44663.0)</f>
        <v>44663</v>
      </c>
      <c r="F974" s="9">
        <f>IFERROR(__xludf.DUMMYFUNCTION("""COMPUTED_VALUE"""),2.72)</f>
        <v>2.72</v>
      </c>
      <c r="H974" s="17"/>
      <c r="K974" s="17"/>
      <c r="N974" s="17"/>
    </row>
    <row r="975">
      <c r="B975" s="11">
        <f>IFERROR(__xludf.DUMMYFUNCTION("""COMPUTED_VALUE"""),44662.0)</f>
        <v>44662</v>
      </c>
      <c r="C975" s="9">
        <f>IFERROR(__xludf.DUMMYFUNCTION("""COMPUTED_VALUE"""),2.79)</f>
        <v>2.79</v>
      </c>
      <c r="E975" s="40">
        <f>IFERROR(__xludf.DUMMYFUNCTION("""COMPUTED_VALUE"""),44662.0)</f>
        <v>44662</v>
      </c>
      <c r="F975" s="9">
        <f>IFERROR(__xludf.DUMMYFUNCTION("""COMPUTED_VALUE"""),2.79)</f>
        <v>2.79</v>
      </c>
      <c r="H975" s="17"/>
      <c r="K975" s="17"/>
      <c r="N975" s="17"/>
    </row>
    <row r="976">
      <c r="B976" s="11">
        <f>IFERROR(__xludf.DUMMYFUNCTION("""COMPUTED_VALUE"""),44659.0)</f>
        <v>44659</v>
      </c>
      <c r="C976" s="9">
        <f>IFERROR(__xludf.DUMMYFUNCTION("""COMPUTED_VALUE"""),2.72)</f>
        <v>2.72</v>
      </c>
      <c r="E976" s="40">
        <f>IFERROR(__xludf.DUMMYFUNCTION("""COMPUTED_VALUE"""),44659.0)</f>
        <v>44659</v>
      </c>
      <c r="F976" s="9">
        <f>IFERROR(__xludf.DUMMYFUNCTION("""COMPUTED_VALUE"""),2.72)</f>
        <v>2.72</v>
      </c>
      <c r="H976" s="17"/>
      <c r="K976" s="17"/>
      <c r="N976" s="17"/>
    </row>
    <row r="977">
      <c r="B977" s="11">
        <f>IFERROR(__xludf.DUMMYFUNCTION("""COMPUTED_VALUE"""),44658.0)</f>
        <v>44658</v>
      </c>
      <c r="C977" s="9">
        <f>IFERROR(__xludf.DUMMYFUNCTION("""COMPUTED_VALUE"""),2.66)</f>
        <v>2.66</v>
      </c>
      <c r="E977" s="40">
        <f>IFERROR(__xludf.DUMMYFUNCTION("""COMPUTED_VALUE"""),44658.0)</f>
        <v>44658</v>
      </c>
      <c r="F977" s="9">
        <f>IFERROR(__xludf.DUMMYFUNCTION("""COMPUTED_VALUE"""),2.66)</f>
        <v>2.66</v>
      </c>
      <c r="H977" s="17"/>
      <c r="K977" s="17"/>
      <c r="N977" s="17"/>
    </row>
    <row r="978">
      <c r="B978" s="11">
        <f>IFERROR(__xludf.DUMMYFUNCTION("""COMPUTED_VALUE"""),44657.0)</f>
        <v>44657</v>
      </c>
      <c r="C978" s="9">
        <f>IFERROR(__xludf.DUMMYFUNCTION("""COMPUTED_VALUE"""),2.61)</f>
        <v>2.61</v>
      </c>
      <c r="E978" s="40">
        <f>IFERROR(__xludf.DUMMYFUNCTION("""COMPUTED_VALUE"""),44657.0)</f>
        <v>44657</v>
      </c>
      <c r="F978" s="9">
        <f>IFERROR(__xludf.DUMMYFUNCTION("""COMPUTED_VALUE"""),2.61)</f>
        <v>2.61</v>
      </c>
      <c r="H978" s="17"/>
      <c r="K978" s="17"/>
      <c r="N978" s="17"/>
    </row>
    <row r="979">
      <c r="B979" s="11">
        <f>IFERROR(__xludf.DUMMYFUNCTION("""COMPUTED_VALUE"""),44656.0)</f>
        <v>44656</v>
      </c>
      <c r="C979" s="9">
        <f>IFERROR(__xludf.DUMMYFUNCTION("""COMPUTED_VALUE"""),2.54)</f>
        <v>2.54</v>
      </c>
      <c r="E979" s="40">
        <f>IFERROR(__xludf.DUMMYFUNCTION("""COMPUTED_VALUE"""),44656.0)</f>
        <v>44656</v>
      </c>
      <c r="F979" s="9">
        <f>IFERROR(__xludf.DUMMYFUNCTION("""COMPUTED_VALUE"""),2.54)</f>
        <v>2.54</v>
      </c>
      <c r="H979" s="17"/>
      <c r="K979" s="17"/>
      <c r="N979" s="17"/>
    </row>
    <row r="980">
      <c r="B980" s="11">
        <f>IFERROR(__xludf.DUMMYFUNCTION("""COMPUTED_VALUE"""),44655.0)</f>
        <v>44655</v>
      </c>
      <c r="C980" s="9">
        <f>IFERROR(__xludf.DUMMYFUNCTION("""COMPUTED_VALUE"""),2.42)</f>
        <v>2.42</v>
      </c>
      <c r="E980" s="40">
        <f>IFERROR(__xludf.DUMMYFUNCTION("""COMPUTED_VALUE"""),44655.0)</f>
        <v>44655</v>
      </c>
      <c r="F980" s="9">
        <f>IFERROR(__xludf.DUMMYFUNCTION("""COMPUTED_VALUE"""),2.42)</f>
        <v>2.42</v>
      </c>
      <c r="H980" s="17"/>
      <c r="K980" s="17"/>
      <c r="N980" s="17"/>
    </row>
    <row r="981">
      <c r="B981" s="11">
        <f>IFERROR(__xludf.DUMMYFUNCTION("""COMPUTED_VALUE"""),44652.0)</f>
        <v>44652</v>
      </c>
      <c r="C981" s="9">
        <f>IFERROR(__xludf.DUMMYFUNCTION("""COMPUTED_VALUE"""),2.39)</f>
        <v>2.39</v>
      </c>
      <c r="E981" s="40">
        <f>IFERROR(__xludf.DUMMYFUNCTION("""COMPUTED_VALUE"""),44652.0)</f>
        <v>44652</v>
      </c>
      <c r="F981" s="9">
        <f>IFERROR(__xludf.DUMMYFUNCTION("""COMPUTED_VALUE"""),2.39)</f>
        <v>2.39</v>
      </c>
      <c r="H981" s="17"/>
      <c r="K981" s="17"/>
      <c r="N981" s="17"/>
    </row>
    <row r="982">
      <c r="B982" s="11">
        <f>IFERROR(__xludf.DUMMYFUNCTION("""COMPUTED_VALUE"""),44651.0)</f>
        <v>44651</v>
      </c>
      <c r="C982" s="9">
        <f>IFERROR(__xludf.DUMMYFUNCTION("""COMPUTED_VALUE"""),2.32)</f>
        <v>2.32</v>
      </c>
      <c r="E982" s="40">
        <f>IFERROR(__xludf.DUMMYFUNCTION("""COMPUTED_VALUE"""),44651.0)</f>
        <v>44651</v>
      </c>
      <c r="F982" s="9">
        <f>IFERROR(__xludf.DUMMYFUNCTION("""COMPUTED_VALUE"""),2.32)</f>
        <v>2.32</v>
      </c>
      <c r="H982" s="17"/>
      <c r="K982" s="17"/>
      <c r="N982" s="17"/>
    </row>
    <row r="983">
      <c r="B983" s="11">
        <f>IFERROR(__xludf.DUMMYFUNCTION("""COMPUTED_VALUE"""),44650.0)</f>
        <v>44650</v>
      </c>
      <c r="C983" s="9">
        <f>IFERROR(__xludf.DUMMYFUNCTION("""COMPUTED_VALUE"""),2.35)</f>
        <v>2.35</v>
      </c>
      <c r="E983" s="40">
        <f>IFERROR(__xludf.DUMMYFUNCTION("""COMPUTED_VALUE"""),44650.0)</f>
        <v>44650</v>
      </c>
      <c r="F983" s="9">
        <f>IFERROR(__xludf.DUMMYFUNCTION("""COMPUTED_VALUE"""),2.35)</f>
        <v>2.35</v>
      </c>
      <c r="H983" s="17"/>
      <c r="K983" s="17"/>
      <c r="N983" s="17"/>
    </row>
    <row r="984">
      <c r="B984" s="11">
        <f>IFERROR(__xludf.DUMMYFUNCTION("""COMPUTED_VALUE"""),44649.0)</f>
        <v>44649</v>
      </c>
      <c r="C984" s="9">
        <f>IFERROR(__xludf.DUMMYFUNCTION("""COMPUTED_VALUE"""),2.41)</f>
        <v>2.41</v>
      </c>
      <c r="E984" s="40">
        <f>IFERROR(__xludf.DUMMYFUNCTION("""COMPUTED_VALUE"""),44649.0)</f>
        <v>44649</v>
      </c>
      <c r="F984" s="9">
        <f>IFERROR(__xludf.DUMMYFUNCTION("""COMPUTED_VALUE"""),2.41)</f>
        <v>2.41</v>
      </c>
      <c r="H984" s="17"/>
      <c r="K984" s="17"/>
      <c r="N984" s="17"/>
    </row>
    <row r="985">
      <c r="B985" s="11">
        <f>IFERROR(__xludf.DUMMYFUNCTION("""COMPUTED_VALUE"""),44648.0)</f>
        <v>44648</v>
      </c>
      <c r="C985" s="9">
        <f>IFERROR(__xludf.DUMMYFUNCTION("""COMPUTED_VALUE"""),2.46)</f>
        <v>2.46</v>
      </c>
      <c r="E985" s="40">
        <f>IFERROR(__xludf.DUMMYFUNCTION("""COMPUTED_VALUE"""),44648.0)</f>
        <v>44648</v>
      </c>
      <c r="F985" s="9">
        <f>IFERROR(__xludf.DUMMYFUNCTION("""COMPUTED_VALUE"""),2.46)</f>
        <v>2.46</v>
      </c>
      <c r="H985" s="17"/>
      <c r="K985" s="17"/>
      <c r="N985" s="17"/>
    </row>
    <row r="986">
      <c r="B986" s="11">
        <f>IFERROR(__xludf.DUMMYFUNCTION("""COMPUTED_VALUE"""),44645.0)</f>
        <v>44645</v>
      </c>
      <c r="C986" s="9">
        <f>IFERROR(__xludf.DUMMYFUNCTION("""COMPUTED_VALUE"""),2.48)</f>
        <v>2.48</v>
      </c>
      <c r="E986" s="40">
        <f>IFERROR(__xludf.DUMMYFUNCTION("""COMPUTED_VALUE"""),44645.0)</f>
        <v>44645</v>
      </c>
      <c r="F986" s="9">
        <f>IFERROR(__xludf.DUMMYFUNCTION("""COMPUTED_VALUE"""),2.48)</f>
        <v>2.48</v>
      </c>
      <c r="H986" s="17"/>
      <c r="K986" s="17"/>
      <c r="N986" s="17"/>
    </row>
    <row r="987">
      <c r="B987" s="11">
        <f>IFERROR(__xludf.DUMMYFUNCTION("""COMPUTED_VALUE"""),44644.0)</f>
        <v>44644</v>
      </c>
      <c r="C987" s="9">
        <f>IFERROR(__xludf.DUMMYFUNCTION("""COMPUTED_VALUE"""),2.34)</f>
        <v>2.34</v>
      </c>
      <c r="E987" s="40">
        <f>IFERROR(__xludf.DUMMYFUNCTION("""COMPUTED_VALUE"""),44644.0)</f>
        <v>44644</v>
      </c>
      <c r="F987" s="9">
        <f>IFERROR(__xludf.DUMMYFUNCTION("""COMPUTED_VALUE"""),2.34)</f>
        <v>2.34</v>
      </c>
      <c r="H987" s="17"/>
      <c r="K987" s="17"/>
      <c r="N987" s="17"/>
    </row>
    <row r="988">
      <c r="B988" s="11">
        <f>IFERROR(__xludf.DUMMYFUNCTION("""COMPUTED_VALUE"""),44643.0)</f>
        <v>44643</v>
      </c>
      <c r="C988" s="9">
        <f>IFERROR(__xludf.DUMMYFUNCTION("""COMPUTED_VALUE"""),2.32)</f>
        <v>2.32</v>
      </c>
      <c r="E988" s="40">
        <f>IFERROR(__xludf.DUMMYFUNCTION("""COMPUTED_VALUE"""),44643.0)</f>
        <v>44643</v>
      </c>
      <c r="F988" s="9">
        <f>IFERROR(__xludf.DUMMYFUNCTION("""COMPUTED_VALUE"""),2.32)</f>
        <v>2.32</v>
      </c>
      <c r="H988" s="17"/>
      <c r="K988" s="17"/>
      <c r="N988" s="17"/>
    </row>
    <row r="989">
      <c r="B989" s="11">
        <f>IFERROR(__xludf.DUMMYFUNCTION("""COMPUTED_VALUE"""),44642.0)</f>
        <v>44642</v>
      </c>
      <c r="C989" s="9">
        <f>IFERROR(__xludf.DUMMYFUNCTION("""COMPUTED_VALUE"""),2.38)</f>
        <v>2.38</v>
      </c>
      <c r="E989" s="40">
        <f>IFERROR(__xludf.DUMMYFUNCTION("""COMPUTED_VALUE"""),44642.0)</f>
        <v>44642</v>
      </c>
      <c r="F989" s="9">
        <f>IFERROR(__xludf.DUMMYFUNCTION("""COMPUTED_VALUE"""),2.38)</f>
        <v>2.38</v>
      </c>
      <c r="H989" s="17"/>
      <c r="K989" s="17"/>
      <c r="N989" s="17"/>
    </row>
    <row r="990">
      <c r="B990" s="11">
        <f>IFERROR(__xludf.DUMMYFUNCTION("""COMPUTED_VALUE"""),44641.0)</f>
        <v>44641</v>
      </c>
      <c r="C990" s="9">
        <f>IFERROR(__xludf.DUMMYFUNCTION("""COMPUTED_VALUE"""),2.32)</f>
        <v>2.32</v>
      </c>
      <c r="E990" s="40">
        <f>IFERROR(__xludf.DUMMYFUNCTION("""COMPUTED_VALUE"""),44641.0)</f>
        <v>44641</v>
      </c>
      <c r="F990" s="9">
        <f>IFERROR(__xludf.DUMMYFUNCTION("""COMPUTED_VALUE"""),2.32)</f>
        <v>2.32</v>
      </c>
      <c r="H990" s="17"/>
      <c r="K990" s="17"/>
      <c r="N990" s="17"/>
    </row>
    <row r="991">
      <c r="B991" s="11">
        <f>IFERROR(__xludf.DUMMYFUNCTION("""COMPUTED_VALUE"""),44638.0)</f>
        <v>44638</v>
      </c>
      <c r="C991" s="9">
        <f>IFERROR(__xludf.DUMMYFUNCTION("""COMPUTED_VALUE"""),2.14)</f>
        <v>2.14</v>
      </c>
      <c r="E991" s="40">
        <f>IFERROR(__xludf.DUMMYFUNCTION("""COMPUTED_VALUE"""),44638.0)</f>
        <v>44638</v>
      </c>
      <c r="F991" s="9">
        <f>IFERROR(__xludf.DUMMYFUNCTION("""COMPUTED_VALUE"""),2.14)</f>
        <v>2.14</v>
      </c>
      <c r="H991" s="17"/>
      <c r="K991" s="17"/>
      <c r="N991" s="17"/>
    </row>
    <row r="992">
      <c r="B992" s="11">
        <f>IFERROR(__xludf.DUMMYFUNCTION("""COMPUTED_VALUE"""),44637.0)</f>
        <v>44637</v>
      </c>
      <c r="C992" s="9">
        <f>IFERROR(__xludf.DUMMYFUNCTION("""COMPUTED_VALUE"""),2.2)</f>
        <v>2.2</v>
      </c>
      <c r="E992" s="40">
        <f>IFERROR(__xludf.DUMMYFUNCTION("""COMPUTED_VALUE"""),44637.0)</f>
        <v>44637</v>
      </c>
      <c r="F992" s="9">
        <f>IFERROR(__xludf.DUMMYFUNCTION("""COMPUTED_VALUE"""),2.2)</f>
        <v>2.2</v>
      </c>
      <c r="H992" s="17"/>
      <c r="K992" s="17"/>
      <c r="N992" s="17"/>
    </row>
    <row r="993">
      <c r="B993" s="11">
        <f>IFERROR(__xludf.DUMMYFUNCTION("""COMPUTED_VALUE"""),44636.0)</f>
        <v>44636</v>
      </c>
      <c r="C993" s="9">
        <f>IFERROR(__xludf.DUMMYFUNCTION("""COMPUTED_VALUE"""),2.19)</f>
        <v>2.19</v>
      </c>
      <c r="E993" s="40">
        <f>IFERROR(__xludf.DUMMYFUNCTION("""COMPUTED_VALUE"""),44636.0)</f>
        <v>44636</v>
      </c>
      <c r="F993" s="9">
        <f>IFERROR(__xludf.DUMMYFUNCTION("""COMPUTED_VALUE"""),2.19)</f>
        <v>2.19</v>
      </c>
      <c r="H993" s="17"/>
      <c r="K993" s="17"/>
      <c r="N993" s="17"/>
    </row>
    <row r="994">
      <c r="B994" s="11">
        <f>IFERROR(__xludf.DUMMYFUNCTION("""COMPUTED_VALUE"""),44635.0)</f>
        <v>44635</v>
      </c>
      <c r="C994" s="9">
        <f>IFERROR(__xludf.DUMMYFUNCTION("""COMPUTED_VALUE"""),2.15)</f>
        <v>2.15</v>
      </c>
      <c r="E994" s="40">
        <f>IFERROR(__xludf.DUMMYFUNCTION("""COMPUTED_VALUE"""),44635.0)</f>
        <v>44635</v>
      </c>
      <c r="F994" s="9">
        <f>IFERROR(__xludf.DUMMYFUNCTION("""COMPUTED_VALUE"""),2.15)</f>
        <v>2.15</v>
      </c>
      <c r="H994" s="17"/>
      <c r="K994" s="17"/>
      <c r="N994" s="17"/>
    </row>
    <row r="995">
      <c r="B995" s="11">
        <f>IFERROR(__xludf.DUMMYFUNCTION("""COMPUTED_VALUE"""),44634.0)</f>
        <v>44634</v>
      </c>
      <c r="C995" s="9">
        <f>IFERROR(__xludf.DUMMYFUNCTION("""COMPUTED_VALUE"""),2.14)</f>
        <v>2.14</v>
      </c>
      <c r="E995" s="40">
        <f>IFERROR(__xludf.DUMMYFUNCTION("""COMPUTED_VALUE"""),44634.0)</f>
        <v>44634</v>
      </c>
      <c r="F995" s="9">
        <f>IFERROR(__xludf.DUMMYFUNCTION("""COMPUTED_VALUE"""),2.14)</f>
        <v>2.14</v>
      </c>
      <c r="H995" s="17"/>
      <c r="K995" s="17"/>
      <c r="N995" s="17"/>
    </row>
    <row r="996">
      <c r="B996" s="11">
        <f>IFERROR(__xludf.DUMMYFUNCTION("""COMPUTED_VALUE"""),44631.0)</f>
        <v>44631</v>
      </c>
      <c r="C996" s="9">
        <f>IFERROR(__xludf.DUMMYFUNCTION("""COMPUTED_VALUE"""),2.0)</f>
        <v>2</v>
      </c>
      <c r="E996" s="40">
        <f>IFERROR(__xludf.DUMMYFUNCTION("""COMPUTED_VALUE"""),44631.0)</f>
        <v>44631</v>
      </c>
      <c r="F996" s="9">
        <f>IFERROR(__xludf.DUMMYFUNCTION("""COMPUTED_VALUE"""),2.0)</f>
        <v>2</v>
      </c>
      <c r="H996" s="17"/>
      <c r="K996" s="17"/>
      <c r="N996" s="17"/>
    </row>
    <row r="997">
      <c r="B997" s="11">
        <f>IFERROR(__xludf.DUMMYFUNCTION("""COMPUTED_VALUE"""),44630.0)</f>
        <v>44630</v>
      </c>
      <c r="C997" s="9">
        <f>IFERROR(__xludf.DUMMYFUNCTION("""COMPUTED_VALUE"""),1.98)</f>
        <v>1.98</v>
      </c>
      <c r="E997" s="40">
        <f>IFERROR(__xludf.DUMMYFUNCTION("""COMPUTED_VALUE"""),44630.0)</f>
        <v>44630</v>
      </c>
      <c r="F997" s="9">
        <f>IFERROR(__xludf.DUMMYFUNCTION("""COMPUTED_VALUE"""),1.98)</f>
        <v>1.98</v>
      </c>
      <c r="H997" s="17"/>
      <c r="K997" s="17"/>
      <c r="N997" s="17"/>
    </row>
    <row r="998">
      <c r="B998" s="11">
        <f>IFERROR(__xludf.DUMMYFUNCTION("""COMPUTED_VALUE"""),44629.0)</f>
        <v>44629</v>
      </c>
      <c r="C998" s="9">
        <f>IFERROR(__xludf.DUMMYFUNCTION("""COMPUTED_VALUE"""),1.94)</f>
        <v>1.94</v>
      </c>
      <c r="E998" s="40">
        <f>IFERROR(__xludf.DUMMYFUNCTION("""COMPUTED_VALUE"""),44629.0)</f>
        <v>44629</v>
      </c>
      <c r="F998" s="9">
        <f>IFERROR(__xludf.DUMMYFUNCTION("""COMPUTED_VALUE"""),1.94)</f>
        <v>1.94</v>
      </c>
      <c r="H998" s="17"/>
      <c r="K998" s="17"/>
      <c r="N998" s="17"/>
    </row>
    <row r="999">
      <c r="B999" s="11">
        <f>IFERROR(__xludf.DUMMYFUNCTION("""COMPUTED_VALUE"""),44628.0)</f>
        <v>44628</v>
      </c>
      <c r="C999" s="9">
        <f>IFERROR(__xludf.DUMMYFUNCTION("""COMPUTED_VALUE"""),1.86)</f>
        <v>1.86</v>
      </c>
      <c r="E999" s="40">
        <f>IFERROR(__xludf.DUMMYFUNCTION("""COMPUTED_VALUE"""),44628.0)</f>
        <v>44628</v>
      </c>
      <c r="F999" s="9">
        <f>IFERROR(__xludf.DUMMYFUNCTION("""COMPUTED_VALUE"""),1.86)</f>
        <v>1.86</v>
      </c>
      <c r="H999" s="17"/>
      <c r="K999" s="17"/>
      <c r="N999" s="17"/>
    </row>
    <row r="1000">
      <c r="B1000" s="11">
        <f>IFERROR(__xludf.DUMMYFUNCTION("""COMPUTED_VALUE"""),44627.0)</f>
        <v>44627</v>
      </c>
      <c r="C1000" s="9">
        <f>IFERROR(__xludf.DUMMYFUNCTION("""COMPUTED_VALUE"""),1.78)</f>
        <v>1.78</v>
      </c>
      <c r="E1000" s="40">
        <f>IFERROR(__xludf.DUMMYFUNCTION("""COMPUTED_VALUE"""),44627.0)</f>
        <v>44627</v>
      </c>
      <c r="F1000" s="9">
        <f>IFERROR(__xludf.DUMMYFUNCTION("""COMPUTED_VALUE"""),1.78)</f>
        <v>1.78</v>
      </c>
      <c r="H1000" s="17"/>
      <c r="K1000" s="17"/>
      <c r="N1000" s="17"/>
    </row>
    <row r="1001">
      <c r="B1001" s="11">
        <f>IFERROR(__xludf.DUMMYFUNCTION("""COMPUTED_VALUE"""),44624.0)</f>
        <v>44624</v>
      </c>
      <c r="C1001" s="9">
        <f>IFERROR(__xludf.DUMMYFUNCTION("""COMPUTED_VALUE"""),1.74)</f>
        <v>1.74</v>
      </c>
      <c r="E1001" s="40">
        <f>IFERROR(__xludf.DUMMYFUNCTION("""COMPUTED_VALUE"""),44624.0)</f>
        <v>44624</v>
      </c>
      <c r="F1001" s="9">
        <f>IFERROR(__xludf.DUMMYFUNCTION("""COMPUTED_VALUE"""),1.74)</f>
        <v>1.74</v>
      </c>
      <c r="H1001" s="17"/>
      <c r="K1001" s="17"/>
      <c r="N1001" s="17"/>
    </row>
    <row r="1002">
      <c r="B1002" s="11">
        <f>IFERROR(__xludf.DUMMYFUNCTION("""COMPUTED_VALUE"""),44623.0)</f>
        <v>44623</v>
      </c>
      <c r="C1002" s="9">
        <f>IFERROR(__xludf.DUMMYFUNCTION("""COMPUTED_VALUE"""),1.86)</f>
        <v>1.86</v>
      </c>
      <c r="E1002" s="40">
        <f>IFERROR(__xludf.DUMMYFUNCTION("""COMPUTED_VALUE"""),44623.0)</f>
        <v>44623</v>
      </c>
      <c r="F1002" s="9">
        <f>IFERROR(__xludf.DUMMYFUNCTION("""COMPUTED_VALUE"""),1.86)</f>
        <v>1.86</v>
      </c>
      <c r="H1002" s="17"/>
      <c r="K1002" s="17"/>
      <c r="N1002" s="17"/>
    </row>
    <row r="1003">
      <c r="B1003" s="11">
        <f>IFERROR(__xludf.DUMMYFUNCTION("""COMPUTED_VALUE"""),44622.0)</f>
        <v>44622</v>
      </c>
      <c r="C1003" s="9">
        <f>IFERROR(__xludf.DUMMYFUNCTION("""COMPUTED_VALUE"""),1.86)</f>
        <v>1.86</v>
      </c>
      <c r="E1003" s="40">
        <f>IFERROR(__xludf.DUMMYFUNCTION("""COMPUTED_VALUE"""),44622.0)</f>
        <v>44622</v>
      </c>
      <c r="F1003" s="9">
        <f>IFERROR(__xludf.DUMMYFUNCTION("""COMPUTED_VALUE"""),1.86)</f>
        <v>1.86</v>
      </c>
      <c r="H1003" s="17"/>
      <c r="K1003" s="17"/>
      <c r="N1003" s="17"/>
    </row>
    <row r="1004">
      <c r="B1004" s="11">
        <f>IFERROR(__xludf.DUMMYFUNCTION("""COMPUTED_VALUE"""),44621.0)</f>
        <v>44621</v>
      </c>
      <c r="C1004" s="9">
        <f>IFERROR(__xludf.DUMMYFUNCTION("""COMPUTED_VALUE"""),1.72)</f>
        <v>1.72</v>
      </c>
      <c r="E1004" s="40">
        <f>IFERROR(__xludf.DUMMYFUNCTION("""COMPUTED_VALUE"""),44621.0)</f>
        <v>44621</v>
      </c>
      <c r="F1004" s="9">
        <f>IFERROR(__xludf.DUMMYFUNCTION("""COMPUTED_VALUE"""),1.72)</f>
        <v>1.72</v>
      </c>
      <c r="H1004" s="17"/>
      <c r="K1004" s="17"/>
      <c r="N1004" s="17"/>
    </row>
    <row r="1005">
      <c r="B1005" s="11">
        <f>IFERROR(__xludf.DUMMYFUNCTION("""COMPUTED_VALUE"""),44620.0)</f>
        <v>44620</v>
      </c>
      <c r="C1005" s="9">
        <f>IFERROR(__xludf.DUMMYFUNCTION("""COMPUTED_VALUE"""),1.83)</f>
        <v>1.83</v>
      </c>
      <c r="E1005" s="40">
        <f>IFERROR(__xludf.DUMMYFUNCTION("""COMPUTED_VALUE"""),44620.0)</f>
        <v>44620</v>
      </c>
      <c r="F1005" s="9">
        <f>IFERROR(__xludf.DUMMYFUNCTION("""COMPUTED_VALUE"""),1.83)</f>
        <v>1.83</v>
      </c>
      <c r="H1005" s="17"/>
      <c r="K1005" s="17"/>
      <c r="N1005" s="17"/>
    </row>
    <row r="1006">
      <c r="B1006" s="11">
        <f>IFERROR(__xludf.DUMMYFUNCTION("""COMPUTED_VALUE"""),44617.0)</f>
        <v>44617</v>
      </c>
      <c r="C1006" s="9">
        <f>IFERROR(__xludf.DUMMYFUNCTION("""COMPUTED_VALUE"""),1.97)</f>
        <v>1.97</v>
      </c>
      <c r="E1006" s="40">
        <f>IFERROR(__xludf.DUMMYFUNCTION("""COMPUTED_VALUE"""),44617.0)</f>
        <v>44617</v>
      </c>
      <c r="F1006" s="9">
        <f>IFERROR(__xludf.DUMMYFUNCTION("""COMPUTED_VALUE"""),1.97)</f>
        <v>1.97</v>
      </c>
      <c r="H1006" s="17"/>
      <c r="K1006" s="17"/>
      <c r="N1006" s="17"/>
    </row>
    <row r="1007">
      <c r="B1007" s="11">
        <f>IFERROR(__xludf.DUMMYFUNCTION("""COMPUTED_VALUE"""),44616.0)</f>
        <v>44616</v>
      </c>
      <c r="C1007" s="9">
        <f>IFERROR(__xludf.DUMMYFUNCTION("""COMPUTED_VALUE"""),1.96)</f>
        <v>1.96</v>
      </c>
      <c r="E1007" s="40">
        <f>IFERROR(__xludf.DUMMYFUNCTION("""COMPUTED_VALUE"""),44616.0)</f>
        <v>44616</v>
      </c>
      <c r="F1007" s="9">
        <f>IFERROR(__xludf.DUMMYFUNCTION("""COMPUTED_VALUE"""),1.96)</f>
        <v>1.96</v>
      </c>
      <c r="H1007" s="17"/>
      <c r="K1007" s="17"/>
      <c r="N1007" s="17"/>
    </row>
    <row r="1008">
      <c r="B1008" s="11">
        <f>IFERROR(__xludf.DUMMYFUNCTION("""COMPUTED_VALUE"""),44615.0)</f>
        <v>44615</v>
      </c>
      <c r="C1008" s="9">
        <f>IFERROR(__xludf.DUMMYFUNCTION("""COMPUTED_VALUE"""),1.99)</f>
        <v>1.99</v>
      </c>
      <c r="E1008" s="40">
        <f>IFERROR(__xludf.DUMMYFUNCTION("""COMPUTED_VALUE"""),44615.0)</f>
        <v>44615</v>
      </c>
      <c r="F1008" s="9">
        <f>IFERROR(__xludf.DUMMYFUNCTION("""COMPUTED_VALUE"""),1.99)</f>
        <v>1.99</v>
      </c>
      <c r="H1008" s="17"/>
      <c r="K1008" s="17"/>
      <c r="N1008" s="17"/>
    </row>
    <row r="1009">
      <c r="B1009" s="11">
        <f>IFERROR(__xludf.DUMMYFUNCTION("""COMPUTED_VALUE"""),44614.0)</f>
        <v>44614</v>
      </c>
      <c r="C1009" s="9">
        <f>IFERROR(__xludf.DUMMYFUNCTION("""COMPUTED_VALUE"""),1.94)</f>
        <v>1.94</v>
      </c>
      <c r="E1009" s="40">
        <f>IFERROR(__xludf.DUMMYFUNCTION("""COMPUTED_VALUE"""),44614.0)</f>
        <v>44614</v>
      </c>
      <c r="F1009" s="9">
        <f>IFERROR(__xludf.DUMMYFUNCTION("""COMPUTED_VALUE"""),1.94)</f>
        <v>1.94</v>
      </c>
      <c r="H1009" s="17"/>
      <c r="K1009" s="17"/>
      <c r="N1009" s="17"/>
    </row>
    <row r="1010">
      <c r="B1010" s="11">
        <f>IFERROR(__xludf.DUMMYFUNCTION("""COMPUTED_VALUE"""),44613.0)</f>
        <v>44613</v>
      </c>
      <c r="C1010" s="9"/>
      <c r="E1010" s="40">
        <f>IFERROR(__xludf.DUMMYFUNCTION("""COMPUTED_VALUE"""),44613.0)</f>
        <v>44613</v>
      </c>
      <c r="F1010" s="9"/>
      <c r="H1010" s="17"/>
      <c r="K1010" s="17"/>
      <c r="N1010" s="17"/>
    </row>
    <row r="1011">
      <c r="B1011" s="11">
        <f>IFERROR(__xludf.DUMMYFUNCTION("""COMPUTED_VALUE"""),44610.0)</f>
        <v>44610</v>
      </c>
      <c r="C1011" s="9">
        <f>IFERROR(__xludf.DUMMYFUNCTION("""COMPUTED_VALUE"""),1.92)</f>
        <v>1.92</v>
      </c>
      <c r="E1011" s="40">
        <f>IFERROR(__xludf.DUMMYFUNCTION("""COMPUTED_VALUE"""),44610.0)</f>
        <v>44610</v>
      </c>
      <c r="F1011" s="9">
        <f>IFERROR(__xludf.DUMMYFUNCTION("""COMPUTED_VALUE"""),1.92)</f>
        <v>1.92</v>
      </c>
      <c r="H1011" s="17"/>
      <c r="K1011" s="17"/>
      <c r="N1011" s="17"/>
    </row>
    <row r="1012">
      <c r="B1012" s="11">
        <f>IFERROR(__xludf.DUMMYFUNCTION("""COMPUTED_VALUE"""),44609.0)</f>
        <v>44609</v>
      </c>
      <c r="C1012" s="9">
        <f>IFERROR(__xludf.DUMMYFUNCTION("""COMPUTED_VALUE"""),1.97)</f>
        <v>1.97</v>
      </c>
      <c r="E1012" s="40">
        <f>IFERROR(__xludf.DUMMYFUNCTION("""COMPUTED_VALUE"""),44609.0)</f>
        <v>44609</v>
      </c>
      <c r="F1012" s="9">
        <f>IFERROR(__xludf.DUMMYFUNCTION("""COMPUTED_VALUE"""),1.97)</f>
        <v>1.97</v>
      </c>
      <c r="H1012" s="17"/>
      <c r="K1012" s="17"/>
      <c r="N1012" s="17"/>
    </row>
    <row r="1013">
      <c r="B1013" s="11">
        <f>IFERROR(__xludf.DUMMYFUNCTION("""COMPUTED_VALUE"""),44608.0)</f>
        <v>44608</v>
      </c>
      <c r="C1013" s="9">
        <f>IFERROR(__xludf.DUMMYFUNCTION("""COMPUTED_VALUE"""),2.03)</f>
        <v>2.03</v>
      </c>
      <c r="E1013" s="40">
        <f>IFERROR(__xludf.DUMMYFUNCTION("""COMPUTED_VALUE"""),44608.0)</f>
        <v>44608</v>
      </c>
      <c r="F1013" s="9">
        <f>IFERROR(__xludf.DUMMYFUNCTION("""COMPUTED_VALUE"""),2.03)</f>
        <v>2.03</v>
      </c>
      <c r="H1013" s="17"/>
      <c r="K1013" s="17"/>
      <c r="N1013" s="17"/>
    </row>
    <row r="1014">
      <c r="B1014" s="11">
        <f>IFERROR(__xludf.DUMMYFUNCTION("""COMPUTED_VALUE"""),44607.0)</f>
        <v>44607</v>
      </c>
      <c r="C1014" s="9">
        <f>IFERROR(__xludf.DUMMYFUNCTION("""COMPUTED_VALUE"""),2.05)</f>
        <v>2.05</v>
      </c>
      <c r="E1014" s="40">
        <f>IFERROR(__xludf.DUMMYFUNCTION("""COMPUTED_VALUE"""),44607.0)</f>
        <v>44607</v>
      </c>
      <c r="F1014" s="9">
        <f>IFERROR(__xludf.DUMMYFUNCTION("""COMPUTED_VALUE"""),2.05)</f>
        <v>2.05</v>
      </c>
      <c r="H1014" s="17"/>
      <c r="K1014" s="17"/>
      <c r="N1014" s="17"/>
    </row>
    <row r="1015">
      <c r="B1015" s="11">
        <f>IFERROR(__xludf.DUMMYFUNCTION("""COMPUTED_VALUE"""),44606.0)</f>
        <v>44606</v>
      </c>
      <c r="C1015" s="9">
        <f>IFERROR(__xludf.DUMMYFUNCTION("""COMPUTED_VALUE"""),1.98)</f>
        <v>1.98</v>
      </c>
      <c r="E1015" s="40">
        <f>IFERROR(__xludf.DUMMYFUNCTION("""COMPUTED_VALUE"""),44606.0)</f>
        <v>44606</v>
      </c>
      <c r="F1015" s="9">
        <f>IFERROR(__xludf.DUMMYFUNCTION("""COMPUTED_VALUE"""),1.98)</f>
        <v>1.98</v>
      </c>
      <c r="H1015" s="17"/>
      <c r="K1015" s="17"/>
      <c r="N1015" s="17"/>
    </row>
    <row r="1016">
      <c r="B1016" s="11">
        <f>IFERROR(__xludf.DUMMYFUNCTION("""COMPUTED_VALUE"""),44603.0)</f>
        <v>44603</v>
      </c>
      <c r="C1016" s="9">
        <f>IFERROR(__xludf.DUMMYFUNCTION("""COMPUTED_VALUE"""),1.92)</f>
        <v>1.92</v>
      </c>
      <c r="E1016" s="40">
        <f>IFERROR(__xludf.DUMMYFUNCTION("""COMPUTED_VALUE"""),44603.0)</f>
        <v>44603</v>
      </c>
      <c r="F1016" s="9">
        <f>IFERROR(__xludf.DUMMYFUNCTION("""COMPUTED_VALUE"""),1.92)</f>
        <v>1.92</v>
      </c>
      <c r="H1016" s="17"/>
      <c r="K1016" s="17"/>
      <c r="N1016" s="17"/>
    </row>
    <row r="1017">
      <c r="B1017" s="11">
        <f>IFERROR(__xludf.DUMMYFUNCTION("""COMPUTED_VALUE"""),44602.0)</f>
        <v>44602</v>
      </c>
      <c r="C1017" s="9">
        <f>IFERROR(__xludf.DUMMYFUNCTION("""COMPUTED_VALUE"""),2.03)</f>
        <v>2.03</v>
      </c>
      <c r="E1017" s="40">
        <f>IFERROR(__xludf.DUMMYFUNCTION("""COMPUTED_VALUE"""),44602.0)</f>
        <v>44602</v>
      </c>
      <c r="F1017" s="9">
        <f>IFERROR(__xludf.DUMMYFUNCTION("""COMPUTED_VALUE"""),2.03)</f>
        <v>2.03</v>
      </c>
      <c r="H1017" s="17"/>
      <c r="K1017" s="17"/>
      <c r="N1017" s="17"/>
    </row>
    <row r="1018">
      <c r="B1018" s="11">
        <f>IFERROR(__xludf.DUMMYFUNCTION("""COMPUTED_VALUE"""),44601.0)</f>
        <v>44601</v>
      </c>
      <c r="C1018" s="9">
        <f>IFERROR(__xludf.DUMMYFUNCTION("""COMPUTED_VALUE"""),1.94)</f>
        <v>1.94</v>
      </c>
      <c r="E1018" s="40">
        <f>IFERROR(__xludf.DUMMYFUNCTION("""COMPUTED_VALUE"""),44601.0)</f>
        <v>44601</v>
      </c>
      <c r="F1018" s="9">
        <f>IFERROR(__xludf.DUMMYFUNCTION("""COMPUTED_VALUE"""),1.94)</f>
        <v>1.94</v>
      </c>
      <c r="H1018" s="17"/>
      <c r="K1018" s="17"/>
      <c r="N1018" s="17"/>
    </row>
    <row r="1019">
      <c r="B1019" s="11">
        <f>IFERROR(__xludf.DUMMYFUNCTION("""COMPUTED_VALUE"""),44600.0)</f>
        <v>44600</v>
      </c>
      <c r="C1019" s="9">
        <f>IFERROR(__xludf.DUMMYFUNCTION("""COMPUTED_VALUE"""),1.96)</f>
        <v>1.96</v>
      </c>
      <c r="E1019" s="40">
        <f>IFERROR(__xludf.DUMMYFUNCTION("""COMPUTED_VALUE"""),44600.0)</f>
        <v>44600</v>
      </c>
      <c r="F1019" s="9">
        <f>IFERROR(__xludf.DUMMYFUNCTION("""COMPUTED_VALUE"""),1.96)</f>
        <v>1.96</v>
      </c>
      <c r="H1019" s="17"/>
      <c r="K1019" s="17"/>
      <c r="N1019" s="17"/>
    </row>
    <row r="1020">
      <c r="B1020" s="11">
        <f>IFERROR(__xludf.DUMMYFUNCTION("""COMPUTED_VALUE"""),44599.0)</f>
        <v>44599</v>
      </c>
      <c r="C1020" s="9">
        <f>IFERROR(__xludf.DUMMYFUNCTION("""COMPUTED_VALUE"""),1.92)</f>
        <v>1.92</v>
      </c>
      <c r="E1020" s="40">
        <f>IFERROR(__xludf.DUMMYFUNCTION("""COMPUTED_VALUE"""),44599.0)</f>
        <v>44599</v>
      </c>
      <c r="F1020" s="9">
        <f>IFERROR(__xludf.DUMMYFUNCTION("""COMPUTED_VALUE"""),1.92)</f>
        <v>1.92</v>
      </c>
      <c r="H1020" s="17"/>
      <c r="K1020" s="17"/>
      <c r="N1020" s="17"/>
    </row>
    <row r="1021">
      <c r="B1021" s="11">
        <f>IFERROR(__xludf.DUMMYFUNCTION("""COMPUTED_VALUE"""),44596.0)</f>
        <v>44596</v>
      </c>
      <c r="C1021" s="9">
        <f>IFERROR(__xludf.DUMMYFUNCTION("""COMPUTED_VALUE"""),1.93)</f>
        <v>1.93</v>
      </c>
      <c r="E1021" s="40">
        <f>IFERROR(__xludf.DUMMYFUNCTION("""COMPUTED_VALUE"""),44596.0)</f>
        <v>44596</v>
      </c>
      <c r="F1021" s="9">
        <f>IFERROR(__xludf.DUMMYFUNCTION("""COMPUTED_VALUE"""),1.93)</f>
        <v>1.93</v>
      </c>
      <c r="H1021" s="17"/>
      <c r="K1021" s="17"/>
      <c r="N1021" s="17"/>
    </row>
    <row r="1022">
      <c r="B1022" s="11">
        <f>IFERROR(__xludf.DUMMYFUNCTION("""COMPUTED_VALUE"""),44595.0)</f>
        <v>44595</v>
      </c>
      <c r="C1022" s="9">
        <f>IFERROR(__xludf.DUMMYFUNCTION("""COMPUTED_VALUE"""),1.82)</f>
        <v>1.82</v>
      </c>
      <c r="E1022" s="40">
        <f>IFERROR(__xludf.DUMMYFUNCTION("""COMPUTED_VALUE"""),44595.0)</f>
        <v>44595</v>
      </c>
      <c r="F1022" s="9">
        <f>IFERROR(__xludf.DUMMYFUNCTION("""COMPUTED_VALUE"""),1.82)</f>
        <v>1.82</v>
      </c>
      <c r="H1022" s="17"/>
      <c r="K1022" s="17"/>
      <c r="N1022" s="17"/>
    </row>
    <row r="1023">
      <c r="B1023" s="11">
        <f>IFERROR(__xludf.DUMMYFUNCTION("""COMPUTED_VALUE"""),44594.0)</f>
        <v>44594</v>
      </c>
      <c r="C1023" s="9">
        <f>IFERROR(__xludf.DUMMYFUNCTION("""COMPUTED_VALUE"""),1.78)</f>
        <v>1.78</v>
      </c>
      <c r="E1023" s="40">
        <f>IFERROR(__xludf.DUMMYFUNCTION("""COMPUTED_VALUE"""),44594.0)</f>
        <v>44594</v>
      </c>
      <c r="F1023" s="9">
        <f>IFERROR(__xludf.DUMMYFUNCTION("""COMPUTED_VALUE"""),1.78)</f>
        <v>1.78</v>
      </c>
      <c r="H1023" s="17"/>
      <c r="K1023" s="17"/>
      <c r="N1023" s="17"/>
    </row>
    <row r="1024">
      <c r="B1024" s="11">
        <f>IFERROR(__xludf.DUMMYFUNCTION("""COMPUTED_VALUE"""),44593.0)</f>
        <v>44593</v>
      </c>
      <c r="C1024" s="9">
        <f>IFERROR(__xludf.DUMMYFUNCTION("""COMPUTED_VALUE"""),1.81)</f>
        <v>1.81</v>
      </c>
      <c r="E1024" s="40">
        <f>IFERROR(__xludf.DUMMYFUNCTION("""COMPUTED_VALUE"""),44593.0)</f>
        <v>44593</v>
      </c>
      <c r="F1024" s="9">
        <f>IFERROR(__xludf.DUMMYFUNCTION("""COMPUTED_VALUE"""),1.81)</f>
        <v>1.81</v>
      </c>
      <c r="H1024" s="17"/>
      <c r="K1024" s="17"/>
      <c r="N1024" s="17"/>
    </row>
    <row r="1025">
      <c r="B1025" s="11">
        <f>IFERROR(__xludf.DUMMYFUNCTION("""COMPUTED_VALUE"""),44592.0)</f>
        <v>44592</v>
      </c>
      <c r="C1025" s="9">
        <f>IFERROR(__xludf.DUMMYFUNCTION("""COMPUTED_VALUE"""),1.79)</f>
        <v>1.79</v>
      </c>
      <c r="E1025" s="40">
        <f>IFERROR(__xludf.DUMMYFUNCTION("""COMPUTED_VALUE"""),44592.0)</f>
        <v>44592</v>
      </c>
      <c r="F1025" s="9">
        <f>IFERROR(__xludf.DUMMYFUNCTION("""COMPUTED_VALUE"""),1.79)</f>
        <v>1.79</v>
      </c>
      <c r="H1025" s="17"/>
      <c r="K1025" s="17"/>
      <c r="N1025" s="17"/>
    </row>
    <row r="1026">
      <c r="B1026" s="11">
        <f>IFERROR(__xludf.DUMMYFUNCTION("""COMPUTED_VALUE"""),44589.0)</f>
        <v>44589</v>
      </c>
      <c r="C1026" s="9">
        <f>IFERROR(__xludf.DUMMYFUNCTION("""COMPUTED_VALUE"""),1.78)</f>
        <v>1.78</v>
      </c>
      <c r="E1026" s="40">
        <f>IFERROR(__xludf.DUMMYFUNCTION("""COMPUTED_VALUE"""),44589.0)</f>
        <v>44589</v>
      </c>
      <c r="F1026" s="9">
        <f>IFERROR(__xludf.DUMMYFUNCTION("""COMPUTED_VALUE"""),1.78)</f>
        <v>1.78</v>
      </c>
      <c r="H1026" s="17"/>
      <c r="K1026" s="17"/>
      <c r="N1026" s="17"/>
    </row>
    <row r="1027">
      <c r="B1027" s="11">
        <f>IFERROR(__xludf.DUMMYFUNCTION("""COMPUTED_VALUE"""),44588.0)</f>
        <v>44588</v>
      </c>
      <c r="C1027" s="9">
        <f>IFERROR(__xludf.DUMMYFUNCTION("""COMPUTED_VALUE"""),1.81)</f>
        <v>1.81</v>
      </c>
      <c r="E1027" s="40">
        <f>IFERROR(__xludf.DUMMYFUNCTION("""COMPUTED_VALUE"""),44588.0)</f>
        <v>44588</v>
      </c>
      <c r="F1027" s="9">
        <f>IFERROR(__xludf.DUMMYFUNCTION("""COMPUTED_VALUE"""),1.81)</f>
        <v>1.81</v>
      </c>
      <c r="H1027" s="17"/>
      <c r="K1027" s="17"/>
      <c r="N1027" s="17"/>
    </row>
    <row r="1028">
      <c r="B1028" s="11">
        <f>IFERROR(__xludf.DUMMYFUNCTION("""COMPUTED_VALUE"""),44587.0)</f>
        <v>44587</v>
      </c>
      <c r="C1028" s="9">
        <f>IFERROR(__xludf.DUMMYFUNCTION("""COMPUTED_VALUE"""),1.85)</f>
        <v>1.85</v>
      </c>
      <c r="E1028" s="40">
        <f>IFERROR(__xludf.DUMMYFUNCTION("""COMPUTED_VALUE"""),44587.0)</f>
        <v>44587</v>
      </c>
      <c r="F1028" s="9">
        <f>IFERROR(__xludf.DUMMYFUNCTION("""COMPUTED_VALUE"""),1.85)</f>
        <v>1.85</v>
      </c>
      <c r="H1028" s="17"/>
      <c r="K1028" s="17"/>
      <c r="N1028" s="17"/>
    </row>
    <row r="1029">
      <c r="B1029" s="11">
        <f>IFERROR(__xludf.DUMMYFUNCTION("""COMPUTED_VALUE"""),44586.0)</f>
        <v>44586</v>
      </c>
      <c r="C1029" s="9">
        <f>IFERROR(__xludf.DUMMYFUNCTION("""COMPUTED_VALUE"""),1.78)</f>
        <v>1.78</v>
      </c>
      <c r="E1029" s="40">
        <f>IFERROR(__xludf.DUMMYFUNCTION("""COMPUTED_VALUE"""),44586.0)</f>
        <v>44586</v>
      </c>
      <c r="F1029" s="9">
        <f>IFERROR(__xludf.DUMMYFUNCTION("""COMPUTED_VALUE"""),1.78)</f>
        <v>1.78</v>
      </c>
      <c r="H1029" s="17"/>
      <c r="K1029" s="17"/>
      <c r="N1029" s="17"/>
    </row>
    <row r="1030">
      <c r="B1030" s="11">
        <f>IFERROR(__xludf.DUMMYFUNCTION("""COMPUTED_VALUE"""),44585.0)</f>
        <v>44585</v>
      </c>
      <c r="C1030" s="9">
        <f>IFERROR(__xludf.DUMMYFUNCTION("""COMPUTED_VALUE"""),1.75)</f>
        <v>1.75</v>
      </c>
      <c r="E1030" s="40">
        <f>IFERROR(__xludf.DUMMYFUNCTION("""COMPUTED_VALUE"""),44585.0)</f>
        <v>44585</v>
      </c>
      <c r="F1030" s="9">
        <f>IFERROR(__xludf.DUMMYFUNCTION("""COMPUTED_VALUE"""),1.75)</f>
        <v>1.75</v>
      </c>
      <c r="H1030" s="17"/>
      <c r="K1030" s="17"/>
      <c r="N1030" s="17"/>
    </row>
    <row r="1031">
      <c r="B1031" s="11">
        <f>IFERROR(__xludf.DUMMYFUNCTION("""COMPUTED_VALUE"""),44582.0)</f>
        <v>44582</v>
      </c>
      <c r="C1031" s="9">
        <f>IFERROR(__xludf.DUMMYFUNCTION("""COMPUTED_VALUE"""),1.75)</f>
        <v>1.75</v>
      </c>
      <c r="E1031" s="40">
        <f>IFERROR(__xludf.DUMMYFUNCTION("""COMPUTED_VALUE"""),44582.0)</f>
        <v>44582</v>
      </c>
      <c r="F1031" s="9">
        <f>IFERROR(__xludf.DUMMYFUNCTION("""COMPUTED_VALUE"""),1.75)</f>
        <v>1.75</v>
      </c>
      <c r="H1031" s="17"/>
      <c r="K1031" s="17"/>
      <c r="N1031" s="17"/>
    </row>
    <row r="1032">
      <c r="B1032" s="11">
        <f>IFERROR(__xludf.DUMMYFUNCTION("""COMPUTED_VALUE"""),44581.0)</f>
        <v>44581</v>
      </c>
      <c r="C1032" s="9">
        <f>IFERROR(__xludf.DUMMYFUNCTION("""COMPUTED_VALUE"""),1.83)</f>
        <v>1.83</v>
      </c>
      <c r="E1032" s="40">
        <f>IFERROR(__xludf.DUMMYFUNCTION("""COMPUTED_VALUE"""),44581.0)</f>
        <v>44581</v>
      </c>
      <c r="F1032" s="9">
        <f>IFERROR(__xludf.DUMMYFUNCTION("""COMPUTED_VALUE"""),1.83)</f>
        <v>1.83</v>
      </c>
      <c r="H1032" s="17"/>
      <c r="K1032" s="17"/>
      <c r="N1032" s="17"/>
    </row>
    <row r="1033">
      <c r="B1033" s="11">
        <f>IFERROR(__xludf.DUMMYFUNCTION("""COMPUTED_VALUE"""),44580.0)</f>
        <v>44580</v>
      </c>
      <c r="C1033" s="9">
        <f>IFERROR(__xludf.DUMMYFUNCTION("""COMPUTED_VALUE"""),1.83)</f>
        <v>1.83</v>
      </c>
      <c r="E1033" s="40">
        <f>IFERROR(__xludf.DUMMYFUNCTION("""COMPUTED_VALUE"""),44580.0)</f>
        <v>44580</v>
      </c>
      <c r="F1033" s="9">
        <f>IFERROR(__xludf.DUMMYFUNCTION("""COMPUTED_VALUE"""),1.83)</f>
        <v>1.83</v>
      </c>
      <c r="H1033" s="17"/>
      <c r="K1033" s="17"/>
      <c r="N1033" s="17"/>
    </row>
    <row r="1034">
      <c r="B1034" s="11">
        <f>IFERROR(__xludf.DUMMYFUNCTION("""COMPUTED_VALUE"""),44579.0)</f>
        <v>44579</v>
      </c>
      <c r="C1034" s="9">
        <f>IFERROR(__xludf.DUMMYFUNCTION("""COMPUTED_VALUE"""),1.87)</f>
        <v>1.87</v>
      </c>
      <c r="E1034" s="40">
        <f>IFERROR(__xludf.DUMMYFUNCTION("""COMPUTED_VALUE"""),44579.0)</f>
        <v>44579</v>
      </c>
      <c r="F1034" s="9">
        <f>IFERROR(__xludf.DUMMYFUNCTION("""COMPUTED_VALUE"""),1.87)</f>
        <v>1.87</v>
      </c>
      <c r="H1034" s="17"/>
      <c r="K1034" s="17"/>
      <c r="N1034" s="17"/>
    </row>
    <row r="1035">
      <c r="B1035" s="11">
        <f>IFERROR(__xludf.DUMMYFUNCTION("""COMPUTED_VALUE"""),44578.0)</f>
        <v>44578</v>
      </c>
      <c r="C1035" s="9"/>
      <c r="E1035" s="40">
        <f>IFERROR(__xludf.DUMMYFUNCTION("""COMPUTED_VALUE"""),44578.0)</f>
        <v>44578</v>
      </c>
      <c r="F1035" s="9"/>
      <c r="H1035" s="17"/>
      <c r="K1035" s="17"/>
      <c r="N1035" s="17"/>
    </row>
    <row r="1036">
      <c r="B1036" s="11">
        <f>IFERROR(__xludf.DUMMYFUNCTION("""COMPUTED_VALUE"""),44575.0)</f>
        <v>44575</v>
      </c>
      <c r="C1036" s="9">
        <f>IFERROR(__xludf.DUMMYFUNCTION("""COMPUTED_VALUE"""),1.78)</f>
        <v>1.78</v>
      </c>
      <c r="E1036" s="40">
        <f>IFERROR(__xludf.DUMMYFUNCTION("""COMPUTED_VALUE"""),44575.0)</f>
        <v>44575</v>
      </c>
      <c r="F1036" s="9">
        <f>IFERROR(__xludf.DUMMYFUNCTION("""COMPUTED_VALUE"""),1.78)</f>
        <v>1.78</v>
      </c>
      <c r="H1036" s="17"/>
      <c r="K1036" s="17"/>
      <c r="N1036" s="17"/>
    </row>
    <row r="1037">
      <c r="B1037" s="11">
        <f>IFERROR(__xludf.DUMMYFUNCTION("""COMPUTED_VALUE"""),44574.0)</f>
        <v>44574</v>
      </c>
      <c r="C1037" s="9">
        <f>IFERROR(__xludf.DUMMYFUNCTION("""COMPUTED_VALUE"""),1.7)</f>
        <v>1.7</v>
      </c>
      <c r="E1037" s="40">
        <f>IFERROR(__xludf.DUMMYFUNCTION("""COMPUTED_VALUE"""),44574.0)</f>
        <v>44574</v>
      </c>
      <c r="F1037" s="9">
        <f>IFERROR(__xludf.DUMMYFUNCTION("""COMPUTED_VALUE"""),1.7)</f>
        <v>1.7</v>
      </c>
      <c r="H1037" s="17"/>
      <c r="K1037" s="17"/>
      <c r="N1037" s="17"/>
    </row>
    <row r="1038">
      <c r="B1038" s="11">
        <f>IFERROR(__xludf.DUMMYFUNCTION("""COMPUTED_VALUE"""),44573.0)</f>
        <v>44573</v>
      </c>
      <c r="C1038" s="9">
        <f>IFERROR(__xludf.DUMMYFUNCTION("""COMPUTED_VALUE"""),1.74)</f>
        <v>1.74</v>
      </c>
      <c r="E1038" s="40">
        <f>IFERROR(__xludf.DUMMYFUNCTION("""COMPUTED_VALUE"""),44573.0)</f>
        <v>44573</v>
      </c>
      <c r="F1038" s="9">
        <f>IFERROR(__xludf.DUMMYFUNCTION("""COMPUTED_VALUE"""),1.74)</f>
        <v>1.74</v>
      </c>
      <c r="H1038" s="17"/>
      <c r="K1038" s="17"/>
      <c r="N1038" s="17"/>
    </row>
    <row r="1039">
      <c r="B1039" s="11">
        <f>IFERROR(__xludf.DUMMYFUNCTION("""COMPUTED_VALUE"""),44572.0)</f>
        <v>44572</v>
      </c>
      <c r="C1039" s="9">
        <f>IFERROR(__xludf.DUMMYFUNCTION("""COMPUTED_VALUE"""),1.75)</f>
        <v>1.75</v>
      </c>
      <c r="E1039" s="40">
        <f>IFERROR(__xludf.DUMMYFUNCTION("""COMPUTED_VALUE"""),44572.0)</f>
        <v>44572</v>
      </c>
      <c r="F1039" s="9">
        <f>IFERROR(__xludf.DUMMYFUNCTION("""COMPUTED_VALUE"""),1.75)</f>
        <v>1.75</v>
      </c>
      <c r="H1039" s="17"/>
      <c r="K1039" s="17"/>
      <c r="N1039" s="17"/>
    </row>
    <row r="1040">
      <c r="B1040" s="11">
        <f>IFERROR(__xludf.DUMMYFUNCTION("""COMPUTED_VALUE"""),44571.0)</f>
        <v>44571</v>
      </c>
      <c r="C1040" s="9">
        <f>IFERROR(__xludf.DUMMYFUNCTION("""COMPUTED_VALUE"""),1.78)</f>
        <v>1.78</v>
      </c>
      <c r="E1040" s="40">
        <f>IFERROR(__xludf.DUMMYFUNCTION("""COMPUTED_VALUE"""),44571.0)</f>
        <v>44571</v>
      </c>
      <c r="F1040" s="9">
        <f>IFERROR(__xludf.DUMMYFUNCTION("""COMPUTED_VALUE"""),1.78)</f>
        <v>1.78</v>
      </c>
      <c r="H1040" s="17"/>
      <c r="K1040" s="17"/>
      <c r="N1040" s="17"/>
    </row>
    <row r="1041">
      <c r="B1041" s="11">
        <f>IFERROR(__xludf.DUMMYFUNCTION("""COMPUTED_VALUE"""),44568.0)</f>
        <v>44568</v>
      </c>
      <c r="C1041" s="9">
        <f>IFERROR(__xludf.DUMMYFUNCTION("""COMPUTED_VALUE"""),1.76)</f>
        <v>1.76</v>
      </c>
      <c r="E1041" s="40">
        <f>IFERROR(__xludf.DUMMYFUNCTION("""COMPUTED_VALUE"""),44568.0)</f>
        <v>44568</v>
      </c>
      <c r="F1041" s="9">
        <f>IFERROR(__xludf.DUMMYFUNCTION("""COMPUTED_VALUE"""),1.76)</f>
        <v>1.76</v>
      </c>
      <c r="H1041" s="17"/>
      <c r="K1041" s="17"/>
      <c r="N1041" s="17"/>
    </row>
    <row r="1042">
      <c r="B1042" s="11">
        <f>IFERROR(__xludf.DUMMYFUNCTION("""COMPUTED_VALUE"""),44567.0)</f>
        <v>44567</v>
      </c>
      <c r="C1042" s="9">
        <f>IFERROR(__xludf.DUMMYFUNCTION("""COMPUTED_VALUE"""),1.73)</f>
        <v>1.73</v>
      </c>
      <c r="E1042" s="40">
        <f>IFERROR(__xludf.DUMMYFUNCTION("""COMPUTED_VALUE"""),44567.0)</f>
        <v>44567</v>
      </c>
      <c r="F1042" s="9">
        <f>IFERROR(__xludf.DUMMYFUNCTION("""COMPUTED_VALUE"""),1.73)</f>
        <v>1.73</v>
      </c>
      <c r="H1042" s="17"/>
      <c r="K1042" s="17"/>
      <c r="N1042" s="17"/>
    </row>
    <row r="1043">
      <c r="B1043" s="11">
        <f>IFERROR(__xludf.DUMMYFUNCTION("""COMPUTED_VALUE"""),44566.0)</f>
        <v>44566</v>
      </c>
      <c r="C1043" s="9">
        <f>IFERROR(__xludf.DUMMYFUNCTION("""COMPUTED_VALUE"""),1.71)</f>
        <v>1.71</v>
      </c>
      <c r="E1043" s="40">
        <f>IFERROR(__xludf.DUMMYFUNCTION("""COMPUTED_VALUE"""),44566.0)</f>
        <v>44566</v>
      </c>
      <c r="F1043" s="9">
        <f>IFERROR(__xludf.DUMMYFUNCTION("""COMPUTED_VALUE"""),1.71)</f>
        <v>1.71</v>
      </c>
      <c r="H1043" s="17"/>
      <c r="K1043" s="17"/>
      <c r="N1043" s="17"/>
    </row>
    <row r="1044">
      <c r="B1044" s="11">
        <f>IFERROR(__xludf.DUMMYFUNCTION("""COMPUTED_VALUE"""),44565.0)</f>
        <v>44565</v>
      </c>
      <c r="C1044" s="9">
        <f>IFERROR(__xludf.DUMMYFUNCTION("""COMPUTED_VALUE"""),1.66)</f>
        <v>1.66</v>
      </c>
      <c r="E1044" s="40">
        <f>IFERROR(__xludf.DUMMYFUNCTION("""COMPUTED_VALUE"""),44565.0)</f>
        <v>44565</v>
      </c>
      <c r="F1044" s="9">
        <f>IFERROR(__xludf.DUMMYFUNCTION("""COMPUTED_VALUE"""),1.66)</f>
        <v>1.66</v>
      </c>
      <c r="H1044" s="17"/>
      <c r="K1044" s="17"/>
      <c r="N1044" s="17"/>
    </row>
    <row r="1045">
      <c r="B1045" s="11">
        <f>IFERROR(__xludf.DUMMYFUNCTION("""COMPUTED_VALUE"""),44564.0)</f>
        <v>44564</v>
      </c>
      <c r="C1045" s="9">
        <f>IFERROR(__xludf.DUMMYFUNCTION("""COMPUTED_VALUE"""),1.63)</f>
        <v>1.63</v>
      </c>
      <c r="E1045" s="40">
        <f>IFERROR(__xludf.DUMMYFUNCTION("""COMPUTED_VALUE"""),44564.0)</f>
        <v>44564</v>
      </c>
      <c r="F1045" s="9">
        <f>IFERROR(__xludf.DUMMYFUNCTION("""COMPUTED_VALUE"""),1.63)</f>
        <v>1.63</v>
      </c>
      <c r="H1045" s="17"/>
      <c r="K1045" s="17"/>
      <c r="N1045" s="17"/>
    </row>
    <row r="1046">
      <c r="B1046" s="11">
        <f>IFERROR(__xludf.DUMMYFUNCTION("""COMPUTED_VALUE"""),44561.0)</f>
        <v>44561</v>
      </c>
      <c r="C1046" s="9">
        <f>IFERROR(__xludf.DUMMYFUNCTION("""COMPUTED_VALUE"""),1.52)</f>
        <v>1.52</v>
      </c>
      <c r="E1046" s="40">
        <f>IFERROR(__xludf.DUMMYFUNCTION("""COMPUTED_VALUE"""),44561.0)</f>
        <v>44561</v>
      </c>
      <c r="F1046" s="9">
        <f>IFERROR(__xludf.DUMMYFUNCTION("""COMPUTED_VALUE"""),1.52)</f>
        <v>1.52</v>
      </c>
      <c r="H1046" s="17"/>
      <c r="K1046" s="17"/>
      <c r="N1046" s="17"/>
    </row>
    <row r="1047">
      <c r="B1047" s="11">
        <f>IFERROR(__xludf.DUMMYFUNCTION("""COMPUTED_VALUE"""),44560.0)</f>
        <v>44560</v>
      </c>
      <c r="C1047" s="9">
        <f>IFERROR(__xludf.DUMMYFUNCTION("""COMPUTED_VALUE"""),1.52)</f>
        <v>1.52</v>
      </c>
      <c r="E1047" s="40">
        <f>IFERROR(__xludf.DUMMYFUNCTION("""COMPUTED_VALUE"""),44560.0)</f>
        <v>44560</v>
      </c>
      <c r="F1047" s="9">
        <f>IFERROR(__xludf.DUMMYFUNCTION("""COMPUTED_VALUE"""),1.52)</f>
        <v>1.52</v>
      </c>
      <c r="H1047" s="17"/>
      <c r="K1047" s="17"/>
      <c r="N1047" s="17"/>
    </row>
    <row r="1048">
      <c r="B1048" s="11">
        <f>IFERROR(__xludf.DUMMYFUNCTION("""COMPUTED_VALUE"""),44559.0)</f>
        <v>44559</v>
      </c>
      <c r="C1048" s="9">
        <f>IFERROR(__xludf.DUMMYFUNCTION("""COMPUTED_VALUE"""),1.55)</f>
        <v>1.55</v>
      </c>
      <c r="E1048" s="40">
        <f>IFERROR(__xludf.DUMMYFUNCTION("""COMPUTED_VALUE"""),44559.0)</f>
        <v>44559</v>
      </c>
      <c r="F1048" s="9">
        <f>IFERROR(__xludf.DUMMYFUNCTION("""COMPUTED_VALUE"""),1.55)</f>
        <v>1.55</v>
      </c>
      <c r="H1048" s="17"/>
      <c r="K1048" s="17"/>
      <c r="N1048" s="17"/>
    </row>
    <row r="1049">
      <c r="B1049" s="11">
        <f>IFERROR(__xludf.DUMMYFUNCTION("""COMPUTED_VALUE"""),44558.0)</f>
        <v>44558</v>
      </c>
      <c r="C1049" s="9">
        <f>IFERROR(__xludf.DUMMYFUNCTION("""COMPUTED_VALUE"""),1.49)</f>
        <v>1.49</v>
      </c>
      <c r="E1049" s="40">
        <f>IFERROR(__xludf.DUMMYFUNCTION("""COMPUTED_VALUE"""),44558.0)</f>
        <v>44558</v>
      </c>
      <c r="F1049" s="9">
        <f>IFERROR(__xludf.DUMMYFUNCTION("""COMPUTED_VALUE"""),1.49)</f>
        <v>1.49</v>
      </c>
      <c r="H1049" s="17"/>
      <c r="K1049" s="17"/>
      <c r="N1049" s="17"/>
    </row>
    <row r="1050">
      <c r="B1050" s="11">
        <f>IFERROR(__xludf.DUMMYFUNCTION("""COMPUTED_VALUE"""),44557.0)</f>
        <v>44557</v>
      </c>
      <c r="C1050" s="9">
        <f>IFERROR(__xludf.DUMMYFUNCTION("""COMPUTED_VALUE"""),1.48)</f>
        <v>1.48</v>
      </c>
      <c r="E1050" s="40">
        <f>IFERROR(__xludf.DUMMYFUNCTION("""COMPUTED_VALUE"""),44557.0)</f>
        <v>44557</v>
      </c>
      <c r="F1050" s="9">
        <f>IFERROR(__xludf.DUMMYFUNCTION("""COMPUTED_VALUE"""),1.48)</f>
        <v>1.48</v>
      </c>
      <c r="H1050" s="17"/>
      <c r="K1050" s="17"/>
      <c r="N1050" s="17"/>
    </row>
    <row r="1051">
      <c r="B1051" s="11">
        <f>IFERROR(__xludf.DUMMYFUNCTION("""COMPUTED_VALUE"""),44554.0)</f>
        <v>44554</v>
      </c>
      <c r="C1051" s="9"/>
      <c r="E1051" s="40">
        <f>IFERROR(__xludf.DUMMYFUNCTION("""COMPUTED_VALUE"""),44554.0)</f>
        <v>44554</v>
      </c>
      <c r="F1051" s="9"/>
      <c r="H1051" s="17"/>
      <c r="K1051" s="17"/>
      <c r="N1051" s="17"/>
    </row>
    <row r="1052">
      <c r="B1052" s="11">
        <f>IFERROR(__xludf.DUMMYFUNCTION("""COMPUTED_VALUE"""),44553.0)</f>
        <v>44553</v>
      </c>
      <c r="C1052" s="9">
        <f>IFERROR(__xludf.DUMMYFUNCTION("""COMPUTED_VALUE"""),1.5)</f>
        <v>1.5</v>
      </c>
      <c r="E1052" s="40">
        <f>IFERROR(__xludf.DUMMYFUNCTION("""COMPUTED_VALUE"""),44553.0)</f>
        <v>44553</v>
      </c>
      <c r="F1052" s="9">
        <f>IFERROR(__xludf.DUMMYFUNCTION("""COMPUTED_VALUE"""),1.5)</f>
        <v>1.5</v>
      </c>
      <c r="H1052" s="17"/>
      <c r="K1052" s="17"/>
      <c r="N1052" s="17"/>
    </row>
    <row r="1053">
      <c r="B1053" s="11">
        <f>IFERROR(__xludf.DUMMYFUNCTION("""COMPUTED_VALUE"""),44552.0)</f>
        <v>44552</v>
      </c>
      <c r="C1053" s="9">
        <f>IFERROR(__xludf.DUMMYFUNCTION("""COMPUTED_VALUE"""),1.46)</f>
        <v>1.46</v>
      </c>
      <c r="E1053" s="40">
        <f>IFERROR(__xludf.DUMMYFUNCTION("""COMPUTED_VALUE"""),44552.0)</f>
        <v>44552</v>
      </c>
      <c r="F1053" s="9">
        <f>IFERROR(__xludf.DUMMYFUNCTION("""COMPUTED_VALUE"""),1.46)</f>
        <v>1.46</v>
      </c>
      <c r="H1053" s="17"/>
      <c r="K1053" s="17"/>
      <c r="N1053" s="17"/>
    </row>
    <row r="1054">
      <c r="B1054" s="11">
        <f>IFERROR(__xludf.DUMMYFUNCTION("""COMPUTED_VALUE"""),44551.0)</f>
        <v>44551</v>
      </c>
      <c r="C1054" s="9">
        <f>IFERROR(__xludf.DUMMYFUNCTION("""COMPUTED_VALUE"""),1.48)</f>
        <v>1.48</v>
      </c>
      <c r="E1054" s="40">
        <f>IFERROR(__xludf.DUMMYFUNCTION("""COMPUTED_VALUE"""),44551.0)</f>
        <v>44551</v>
      </c>
      <c r="F1054" s="9">
        <f>IFERROR(__xludf.DUMMYFUNCTION("""COMPUTED_VALUE"""),1.48)</f>
        <v>1.48</v>
      </c>
      <c r="H1054" s="17"/>
      <c r="K1054" s="17"/>
      <c r="N1054" s="17"/>
    </row>
    <row r="1055">
      <c r="B1055" s="11">
        <f>IFERROR(__xludf.DUMMYFUNCTION("""COMPUTED_VALUE"""),44550.0)</f>
        <v>44550</v>
      </c>
      <c r="C1055" s="9">
        <f>IFERROR(__xludf.DUMMYFUNCTION("""COMPUTED_VALUE"""),1.43)</f>
        <v>1.43</v>
      </c>
      <c r="E1055" s="40">
        <f>IFERROR(__xludf.DUMMYFUNCTION("""COMPUTED_VALUE"""),44550.0)</f>
        <v>44550</v>
      </c>
      <c r="F1055" s="9">
        <f>IFERROR(__xludf.DUMMYFUNCTION("""COMPUTED_VALUE"""),1.43)</f>
        <v>1.43</v>
      </c>
      <c r="H1055" s="17"/>
      <c r="K1055" s="17"/>
      <c r="N1055" s="17"/>
    </row>
    <row r="1056">
      <c r="B1056" s="11">
        <f>IFERROR(__xludf.DUMMYFUNCTION("""COMPUTED_VALUE"""),44547.0)</f>
        <v>44547</v>
      </c>
      <c r="C1056" s="9">
        <f>IFERROR(__xludf.DUMMYFUNCTION("""COMPUTED_VALUE"""),1.41)</f>
        <v>1.41</v>
      </c>
      <c r="E1056" s="40">
        <f>IFERROR(__xludf.DUMMYFUNCTION("""COMPUTED_VALUE"""),44547.0)</f>
        <v>44547</v>
      </c>
      <c r="F1056" s="9">
        <f>IFERROR(__xludf.DUMMYFUNCTION("""COMPUTED_VALUE"""),1.41)</f>
        <v>1.41</v>
      </c>
      <c r="H1056" s="17"/>
      <c r="K1056" s="17"/>
      <c r="N1056" s="17"/>
    </row>
    <row r="1057">
      <c r="B1057" s="11">
        <f>IFERROR(__xludf.DUMMYFUNCTION("""COMPUTED_VALUE"""),44546.0)</f>
        <v>44546</v>
      </c>
      <c r="C1057" s="9">
        <f>IFERROR(__xludf.DUMMYFUNCTION("""COMPUTED_VALUE"""),1.44)</f>
        <v>1.44</v>
      </c>
      <c r="E1057" s="40">
        <f>IFERROR(__xludf.DUMMYFUNCTION("""COMPUTED_VALUE"""),44546.0)</f>
        <v>44546</v>
      </c>
      <c r="F1057" s="9">
        <f>IFERROR(__xludf.DUMMYFUNCTION("""COMPUTED_VALUE"""),1.44)</f>
        <v>1.44</v>
      </c>
      <c r="H1057" s="17"/>
      <c r="K1057" s="17"/>
      <c r="N1057" s="17"/>
    </row>
    <row r="1058">
      <c r="B1058" s="11">
        <f>IFERROR(__xludf.DUMMYFUNCTION("""COMPUTED_VALUE"""),44545.0)</f>
        <v>44545</v>
      </c>
      <c r="C1058" s="9">
        <f>IFERROR(__xludf.DUMMYFUNCTION("""COMPUTED_VALUE"""),1.47)</f>
        <v>1.47</v>
      </c>
      <c r="E1058" s="40">
        <f>IFERROR(__xludf.DUMMYFUNCTION("""COMPUTED_VALUE"""),44545.0)</f>
        <v>44545</v>
      </c>
      <c r="F1058" s="9">
        <f>IFERROR(__xludf.DUMMYFUNCTION("""COMPUTED_VALUE"""),1.47)</f>
        <v>1.47</v>
      </c>
      <c r="H1058" s="17"/>
      <c r="K1058" s="17"/>
      <c r="N1058" s="17"/>
    </row>
    <row r="1059">
      <c r="B1059" s="11">
        <f>IFERROR(__xludf.DUMMYFUNCTION("""COMPUTED_VALUE"""),44544.0)</f>
        <v>44544</v>
      </c>
      <c r="C1059" s="9">
        <f>IFERROR(__xludf.DUMMYFUNCTION("""COMPUTED_VALUE"""),1.44)</f>
        <v>1.44</v>
      </c>
      <c r="E1059" s="40">
        <f>IFERROR(__xludf.DUMMYFUNCTION("""COMPUTED_VALUE"""),44544.0)</f>
        <v>44544</v>
      </c>
      <c r="F1059" s="9">
        <f>IFERROR(__xludf.DUMMYFUNCTION("""COMPUTED_VALUE"""),1.44)</f>
        <v>1.44</v>
      </c>
      <c r="H1059" s="17"/>
      <c r="K1059" s="17"/>
      <c r="N1059" s="17"/>
    </row>
    <row r="1060">
      <c r="B1060" s="11">
        <f>IFERROR(__xludf.DUMMYFUNCTION("""COMPUTED_VALUE"""),44543.0)</f>
        <v>44543</v>
      </c>
      <c r="C1060" s="9">
        <f>IFERROR(__xludf.DUMMYFUNCTION("""COMPUTED_VALUE"""),1.42)</f>
        <v>1.42</v>
      </c>
      <c r="E1060" s="40">
        <f>IFERROR(__xludf.DUMMYFUNCTION("""COMPUTED_VALUE"""),44543.0)</f>
        <v>44543</v>
      </c>
      <c r="F1060" s="9">
        <f>IFERROR(__xludf.DUMMYFUNCTION("""COMPUTED_VALUE"""),1.42)</f>
        <v>1.42</v>
      </c>
      <c r="H1060" s="17"/>
      <c r="K1060" s="17"/>
      <c r="N1060" s="17"/>
    </row>
    <row r="1061">
      <c r="B1061" s="11">
        <f>IFERROR(__xludf.DUMMYFUNCTION("""COMPUTED_VALUE"""),44540.0)</f>
        <v>44540</v>
      </c>
      <c r="C1061" s="9">
        <f>IFERROR(__xludf.DUMMYFUNCTION("""COMPUTED_VALUE"""),1.48)</f>
        <v>1.48</v>
      </c>
      <c r="E1061" s="40">
        <f>IFERROR(__xludf.DUMMYFUNCTION("""COMPUTED_VALUE"""),44540.0)</f>
        <v>44540</v>
      </c>
      <c r="F1061" s="9">
        <f>IFERROR(__xludf.DUMMYFUNCTION("""COMPUTED_VALUE"""),1.48)</f>
        <v>1.48</v>
      </c>
      <c r="H1061" s="17"/>
      <c r="K1061" s="17"/>
      <c r="N1061" s="17"/>
    </row>
    <row r="1062">
      <c r="B1062" s="11">
        <f>IFERROR(__xludf.DUMMYFUNCTION("""COMPUTED_VALUE"""),44539.0)</f>
        <v>44539</v>
      </c>
      <c r="C1062" s="9">
        <f>IFERROR(__xludf.DUMMYFUNCTION("""COMPUTED_VALUE"""),1.49)</f>
        <v>1.49</v>
      </c>
      <c r="E1062" s="40">
        <f>IFERROR(__xludf.DUMMYFUNCTION("""COMPUTED_VALUE"""),44539.0)</f>
        <v>44539</v>
      </c>
      <c r="F1062" s="9">
        <f>IFERROR(__xludf.DUMMYFUNCTION("""COMPUTED_VALUE"""),1.49)</f>
        <v>1.49</v>
      </c>
      <c r="H1062" s="17"/>
      <c r="K1062" s="17"/>
      <c r="N1062" s="17"/>
    </row>
    <row r="1063">
      <c r="B1063" s="11">
        <f>IFERROR(__xludf.DUMMYFUNCTION("""COMPUTED_VALUE"""),44538.0)</f>
        <v>44538</v>
      </c>
      <c r="C1063" s="9">
        <f>IFERROR(__xludf.DUMMYFUNCTION("""COMPUTED_VALUE"""),1.52)</f>
        <v>1.52</v>
      </c>
      <c r="E1063" s="40">
        <f>IFERROR(__xludf.DUMMYFUNCTION("""COMPUTED_VALUE"""),44538.0)</f>
        <v>44538</v>
      </c>
      <c r="F1063" s="9">
        <f>IFERROR(__xludf.DUMMYFUNCTION("""COMPUTED_VALUE"""),1.52)</f>
        <v>1.52</v>
      </c>
      <c r="H1063" s="17"/>
      <c r="K1063" s="17"/>
      <c r="N1063" s="17"/>
    </row>
    <row r="1064">
      <c r="B1064" s="11">
        <f>IFERROR(__xludf.DUMMYFUNCTION("""COMPUTED_VALUE"""),44537.0)</f>
        <v>44537</v>
      </c>
      <c r="C1064" s="9">
        <f>IFERROR(__xludf.DUMMYFUNCTION("""COMPUTED_VALUE"""),1.48)</f>
        <v>1.48</v>
      </c>
      <c r="E1064" s="40">
        <f>IFERROR(__xludf.DUMMYFUNCTION("""COMPUTED_VALUE"""),44537.0)</f>
        <v>44537</v>
      </c>
      <c r="F1064" s="9">
        <f>IFERROR(__xludf.DUMMYFUNCTION("""COMPUTED_VALUE"""),1.48)</f>
        <v>1.48</v>
      </c>
      <c r="H1064" s="17"/>
      <c r="K1064" s="17"/>
      <c r="N1064" s="17"/>
    </row>
    <row r="1065">
      <c r="B1065" s="11">
        <f>IFERROR(__xludf.DUMMYFUNCTION("""COMPUTED_VALUE"""),44536.0)</f>
        <v>44536</v>
      </c>
      <c r="C1065" s="9">
        <f>IFERROR(__xludf.DUMMYFUNCTION("""COMPUTED_VALUE"""),1.43)</f>
        <v>1.43</v>
      </c>
      <c r="E1065" s="40">
        <f>IFERROR(__xludf.DUMMYFUNCTION("""COMPUTED_VALUE"""),44536.0)</f>
        <v>44536</v>
      </c>
      <c r="F1065" s="9">
        <f>IFERROR(__xludf.DUMMYFUNCTION("""COMPUTED_VALUE"""),1.43)</f>
        <v>1.43</v>
      </c>
      <c r="H1065" s="17"/>
      <c r="K1065" s="17"/>
      <c r="N1065" s="17"/>
    </row>
    <row r="1066">
      <c r="B1066" s="11">
        <f>IFERROR(__xludf.DUMMYFUNCTION("""COMPUTED_VALUE"""),44533.0)</f>
        <v>44533</v>
      </c>
      <c r="C1066" s="9">
        <f>IFERROR(__xludf.DUMMYFUNCTION("""COMPUTED_VALUE"""),1.35)</f>
        <v>1.35</v>
      </c>
      <c r="E1066" s="40">
        <f>IFERROR(__xludf.DUMMYFUNCTION("""COMPUTED_VALUE"""),44533.0)</f>
        <v>44533</v>
      </c>
      <c r="F1066" s="9">
        <f>IFERROR(__xludf.DUMMYFUNCTION("""COMPUTED_VALUE"""),1.35)</f>
        <v>1.35</v>
      </c>
      <c r="H1066" s="17"/>
      <c r="K1066" s="17"/>
      <c r="N1066" s="17"/>
    </row>
    <row r="1067">
      <c r="B1067" s="11">
        <f>IFERROR(__xludf.DUMMYFUNCTION("""COMPUTED_VALUE"""),44532.0)</f>
        <v>44532</v>
      </c>
      <c r="C1067" s="9">
        <f>IFERROR(__xludf.DUMMYFUNCTION("""COMPUTED_VALUE"""),1.44)</f>
        <v>1.44</v>
      </c>
      <c r="E1067" s="40">
        <f>IFERROR(__xludf.DUMMYFUNCTION("""COMPUTED_VALUE"""),44532.0)</f>
        <v>44532</v>
      </c>
      <c r="F1067" s="9">
        <f>IFERROR(__xludf.DUMMYFUNCTION("""COMPUTED_VALUE"""),1.44)</f>
        <v>1.44</v>
      </c>
      <c r="H1067" s="17"/>
      <c r="K1067" s="17"/>
      <c r="N1067" s="17"/>
    </row>
    <row r="1068">
      <c r="B1068" s="11">
        <f>IFERROR(__xludf.DUMMYFUNCTION("""COMPUTED_VALUE"""),44531.0)</f>
        <v>44531</v>
      </c>
      <c r="C1068" s="9">
        <f>IFERROR(__xludf.DUMMYFUNCTION("""COMPUTED_VALUE"""),1.43)</f>
        <v>1.43</v>
      </c>
      <c r="E1068" s="40">
        <f>IFERROR(__xludf.DUMMYFUNCTION("""COMPUTED_VALUE"""),44531.0)</f>
        <v>44531</v>
      </c>
      <c r="F1068" s="9">
        <f>IFERROR(__xludf.DUMMYFUNCTION("""COMPUTED_VALUE"""),1.43)</f>
        <v>1.43</v>
      </c>
      <c r="H1068" s="17"/>
      <c r="K1068" s="17"/>
      <c r="N1068" s="17"/>
    </row>
    <row r="1069">
      <c r="B1069" s="11">
        <f>IFERROR(__xludf.DUMMYFUNCTION("""COMPUTED_VALUE"""),44530.0)</f>
        <v>44530</v>
      </c>
      <c r="C1069" s="9">
        <f>IFERROR(__xludf.DUMMYFUNCTION("""COMPUTED_VALUE"""),1.43)</f>
        <v>1.43</v>
      </c>
      <c r="E1069" s="40">
        <f>IFERROR(__xludf.DUMMYFUNCTION("""COMPUTED_VALUE"""),44530.0)</f>
        <v>44530</v>
      </c>
      <c r="F1069" s="9">
        <f>IFERROR(__xludf.DUMMYFUNCTION("""COMPUTED_VALUE"""),1.43)</f>
        <v>1.43</v>
      </c>
      <c r="H1069" s="17"/>
      <c r="K1069" s="17"/>
      <c r="N1069" s="17"/>
    </row>
    <row r="1070">
      <c r="B1070" s="11">
        <f>IFERROR(__xludf.DUMMYFUNCTION("""COMPUTED_VALUE"""),44529.0)</f>
        <v>44529</v>
      </c>
      <c r="C1070" s="9">
        <f>IFERROR(__xludf.DUMMYFUNCTION("""COMPUTED_VALUE"""),1.52)</f>
        <v>1.52</v>
      </c>
      <c r="E1070" s="40">
        <f>IFERROR(__xludf.DUMMYFUNCTION("""COMPUTED_VALUE"""),44529.0)</f>
        <v>44529</v>
      </c>
      <c r="F1070" s="9">
        <f>IFERROR(__xludf.DUMMYFUNCTION("""COMPUTED_VALUE"""),1.52)</f>
        <v>1.52</v>
      </c>
      <c r="H1070" s="17"/>
      <c r="K1070" s="17"/>
      <c r="N1070" s="17"/>
    </row>
    <row r="1071">
      <c r="B1071" s="11">
        <f>IFERROR(__xludf.DUMMYFUNCTION("""COMPUTED_VALUE"""),44526.0)</f>
        <v>44526</v>
      </c>
      <c r="C1071" s="9">
        <f>IFERROR(__xludf.DUMMYFUNCTION("""COMPUTED_VALUE"""),1.48)</f>
        <v>1.48</v>
      </c>
      <c r="E1071" s="40">
        <f>IFERROR(__xludf.DUMMYFUNCTION("""COMPUTED_VALUE"""),44526.0)</f>
        <v>44526</v>
      </c>
      <c r="F1071" s="9">
        <f>IFERROR(__xludf.DUMMYFUNCTION("""COMPUTED_VALUE"""),1.48)</f>
        <v>1.48</v>
      </c>
      <c r="H1071" s="17"/>
      <c r="K1071" s="17"/>
      <c r="N1071" s="17"/>
    </row>
    <row r="1072">
      <c r="B1072" s="11">
        <f>IFERROR(__xludf.DUMMYFUNCTION("""COMPUTED_VALUE"""),44525.0)</f>
        <v>44525</v>
      </c>
      <c r="C1072" s="9"/>
      <c r="E1072" s="40">
        <f>IFERROR(__xludf.DUMMYFUNCTION("""COMPUTED_VALUE"""),44525.0)</f>
        <v>44525</v>
      </c>
      <c r="F1072" s="9"/>
      <c r="H1072" s="17"/>
      <c r="K1072" s="17"/>
      <c r="N1072" s="17"/>
    </row>
    <row r="1073">
      <c r="B1073" s="11">
        <f>IFERROR(__xludf.DUMMYFUNCTION("""COMPUTED_VALUE"""),44524.0)</f>
        <v>44524</v>
      </c>
      <c r="C1073" s="9">
        <f>IFERROR(__xludf.DUMMYFUNCTION("""COMPUTED_VALUE"""),1.64)</f>
        <v>1.64</v>
      </c>
      <c r="E1073" s="40">
        <f>IFERROR(__xludf.DUMMYFUNCTION("""COMPUTED_VALUE"""),44524.0)</f>
        <v>44524</v>
      </c>
      <c r="F1073" s="9">
        <f>IFERROR(__xludf.DUMMYFUNCTION("""COMPUTED_VALUE"""),1.64)</f>
        <v>1.64</v>
      </c>
      <c r="H1073" s="17"/>
      <c r="K1073" s="17"/>
      <c r="N1073" s="17"/>
    </row>
    <row r="1074">
      <c r="B1074" s="11">
        <f>IFERROR(__xludf.DUMMYFUNCTION("""COMPUTED_VALUE"""),44523.0)</f>
        <v>44523</v>
      </c>
      <c r="C1074" s="9">
        <f>IFERROR(__xludf.DUMMYFUNCTION("""COMPUTED_VALUE"""),1.67)</f>
        <v>1.67</v>
      </c>
      <c r="E1074" s="40">
        <f>IFERROR(__xludf.DUMMYFUNCTION("""COMPUTED_VALUE"""),44523.0)</f>
        <v>44523</v>
      </c>
      <c r="F1074" s="9">
        <f>IFERROR(__xludf.DUMMYFUNCTION("""COMPUTED_VALUE"""),1.67)</f>
        <v>1.67</v>
      </c>
      <c r="H1074" s="17"/>
      <c r="K1074" s="17"/>
      <c r="N1074" s="17"/>
    </row>
    <row r="1075">
      <c r="B1075" s="11">
        <f>IFERROR(__xludf.DUMMYFUNCTION("""COMPUTED_VALUE"""),44522.0)</f>
        <v>44522</v>
      </c>
      <c r="C1075" s="9">
        <f>IFERROR(__xludf.DUMMYFUNCTION("""COMPUTED_VALUE"""),1.63)</f>
        <v>1.63</v>
      </c>
      <c r="E1075" s="40">
        <f>IFERROR(__xludf.DUMMYFUNCTION("""COMPUTED_VALUE"""),44522.0)</f>
        <v>44522</v>
      </c>
      <c r="F1075" s="9">
        <f>IFERROR(__xludf.DUMMYFUNCTION("""COMPUTED_VALUE"""),1.63)</f>
        <v>1.63</v>
      </c>
      <c r="H1075" s="17"/>
      <c r="K1075" s="17"/>
      <c r="N1075" s="17"/>
    </row>
    <row r="1076">
      <c r="B1076" s="11">
        <f>IFERROR(__xludf.DUMMYFUNCTION("""COMPUTED_VALUE"""),44519.0)</f>
        <v>44519</v>
      </c>
      <c r="C1076" s="9">
        <f>IFERROR(__xludf.DUMMYFUNCTION("""COMPUTED_VALUE"""),1.54)</f>
        <v>1.54</v>
      </c>
      <c r="E1076" s="40">
        <f>IFERROR(__xludf.DUMMYFUNCTION("""COMPUTED_VALUE"""),44519.0)</f>
        <v>44519</v>
      </c>
      <c r="F1076" s="9">
        <f>IFERROR(__xludf.DUMMYFUNCTION("""COMPUTED_VALUE"""),1.54)</f>
        <v>1.54</v>
      </c>
      <c r="H1076" s="17"/>
      <c r="K1076" s="17"/>
      <c r="N1076" s="17"/>
    </row>
    <row r="1077">
      <c r="B1077" s="11">
        <f>IFERROR(__xludf.DUMMYFUNCTION("""COMPUTED_VALUE"""),44518.0)</f>
        <v>44518</v>
      </c>
      <c r="C1077" s="9">
        <f>IFERROR(__xludf.DUMMYFUNCTION("""COMPUTED_VALUE"""),1.59)</f>
        <v>1.59</v>
      </c>
      <c r="E1077" s="40">
        <f>IFERROR(__xludf.DUMMYFUNCTION("""COMPUTED_VALUE"""),44518.0)</f>
        <v>44518</v>
      </c>
      <c r="F1077" s="9">
        <f>IFERROR(__xludf.DUMMYFUNCTION("""COMPUTED_VALUE"""),1.59)</f>
        <v>1.59</v>
      </c>
      <c r="H1077" s="17"/>
      <c r="K1077" s="17"/>
      <c r="N1077" s="17"/>
    </row>
    <row r="1078">
      <c r="B1078" s="11">
        <f>IFERROR(__xludf.DUMMYFUNCTION("""COMPUTED_VALUE"""),44517.0)</f>
        <v>44517</v>
      </c>
      <c r="C1078" s="9">
        <f>IFERROR(__xludf.DUMMYFUNCTION("""COMPUTED_VALUE"""),1.6)</f>
        <v>1.6</v>
      </c>
      <c r="E1078" s="40">
        <f>IFERROR(__xludf.DUMMYFUNCTION("""COMPUTED_VALUE"""),44517.0)</f>
        <v>44517</v>
      </c>
      <c r="F1078" s="9">
        <f>IFERROR(__xludf.DUMMYFUNCTION("""COMPUTED_VALUE"""),1.6)</f>
        <v>1.6</v>
      </c>
      <c r="H1078" s="17"/>
      <c r="K1078" s="17"/>
      <c r="N1078" s="17"/>
    </row>
    <row r="1079">
      <c r="B1079" s="11">
        <f>IFERROR(__xludf.DUMMYFUNCTION("""COMPUTED_VALUE"""),44516.0)</f>
        <v>44516</v>
      </c>
      <c r="C1079" s="9">
        <f>IFERROR(__xludf.DUMMYFUNCTION("""COMPUTED_VALUE"""),1.63)</f>
        <v>1.63</v>
      </c>
      <c r="E1079" s="40">
        <f>IFERROR(__xludf.DUMMYFUNCTION("""COMPUTED_VALUE"""),44516.0)</f>
        <v>44516</v>
      </c>
      <c r="F1079" s="9">
        <f>IFERROR(__xludf.DUMMYFUNCTION("""COMPUTED_VALUE"""),1.63)</f>
        <v>1.63</v>
      </c>
      <c r="H1079" s="17"/>
      <c r="K1079" s="17"/>
      <c r="N1079" s="17"/>
    </row>
    <row r="1080">
      <c r="B1080" s="11">
        <f>IFERROR(__xludf.DUMMYFUNCTION("""COMPUTED_VALUE"""),44515.0)</f>
        <v>44515</v>
      </c>
      <c r="C1080" s="9">
        <f>IFERROR(__xludf.DUMMYFUNCTION("""COMPUTED_VALUE"""),1.63)</f>
        <v>1.63</v>
      </c>
      <c r="E1080" s="40">
        <f>IFERROR(__xludf.DUMMYFUNCTION("""COMPUTED_VALUE"""),44515.0)</f>
        <v>44515</v>
      </c>
      <c r="F1080" s="9">
        <f>IFERROR(__xludf.DUMMYFUNCTION("""COMPUTED_VALUE"""),1.63)</f>
        <v>1.63</v>
      </c>
      <c r="H1080" s="17"/>
      <c r="K1080" s="17"/>
      <c r="N1080" s="17"/>
    </row>
    <row r="1081">
      <c r="B1081" s="11">
        <f>IFERROR(__xludf.DUMMYFUNCTION("""COMPUTED_VALUE"""),44512.0)</f>
        <v>44512</v>
      </c>
      <c r="C1081" s="9">
        <f>IFERROR(__xludf.DUMMYFUNCTION("""COMPUTED_VALUE"""),1.58)</f>
        <v>1.58</v>
      </c>
      <c r="E1081" s="40">
        <f>IFERROR(__xludf.DUMMYFUNCTION("""COMPUTED_VALUE"""),44512.0)</f>
        <v>44512</v>
      </c>
      <c r="F1081" s="9">
        <f>IFERROR(__xludf.DUMMYFUNCTION("""COMPUTED_VALUE"""),1.58)</f>
        <v>1.58</v>
      </c>
      <c r="H1081" s="17"/>
      <c r="K1081" s="17"/>
      <c r="N1081" s="17"/>
    </row>
    <row r="1082">
      <c r="B1082" s="11">
        <f>IFERROR(__xludf.DUMMYFUNCTION("""COMPUTED_VALUE"""),44511.0)</f>
        <v>44511</v>
      </c>
      <c r="C1082" s="9"/>
      <c r="E1082" s="40">
        <f>IFERROR(__xludf.DUMMYFUNCTION("""COMPUTED_VALUE"""),44511.0)</f>
        <v>44511</v>
      </c>
      <c r="F1082" s="9"/>
      <c r="H1082" s="17"/>
      <c r="K1082" s="17"/>
      <c r="N1082" s="17"/>
    </row>
    <row r="1083">
      <c r="B1083" s="11">
        <f>IFERROR(__xludf.DUMMYFUNCTION("""COMPUTED_VALUE"""),44510.0)</f>
        <v>44510</v>
      </c>
      <c r="C1083" s="9">
        <f>IFERROR(__xludf.DUMMYFUNCTION("""COMPUTED_VALUE"""),1.56)</f>
        <v>1.56</v>
      </c>
      <c r="E1083" s="40">
        <f>IFERROR(__xludf.DUMMYFUNCTION("""COMPUTED_VALUE"""),44510.0)</f>
        <v>44510</v>
      </c>
      <c r="F1083" s="9">
        <f>IFERROR(__xludf.DUMMYFUNCTION("""COMPUTED_VALUE"""),1.56)</f>
        <v>1.56</v>
      </c>
      <c r="H1083" s="17"/>
      <c r="K1083" s="17"/>
      <c r="N1083" s="17"/>
    </row>
    <row r="1084">
      <c r="B1084" s="11">
        <f>IFERROR(__xludf.DUMMYFUNCTION("""COMPUTED_VALUE"""),44509.0)</f>
        <v>44509</v>
      </c>
      <c r="C1084" s="9">
        <f>IFERROR(__xludf.DUMMYFUNCTION("""COMPUTED_VALUE"""),1.46)</f>
        <v>1.46</v>
      </c>
      <c r="E1084" s="40">
        <f>IFERROR(__xludf.DUMMYFUNCTION("""COMPUTED_VALUE"""),44509.0)</f>
        <v>44509</v>
      </c>
      <c r="F1084" s="9">
        <f>IFERROR(__xludf.DUMMYFUNCTION("""COMPUTED_VALUE"""),1.46)</f>
        <v>1.46</v>
      </c>
      <c r="H1084" s="17"/>
      <c r="K1084" s="17"/>
      <c r="N1084" s="17"/>
    </row>
    <row r="1085">
      <c r="B1085" s="11">
        <f>IFERROR(__xludf.DUMMYFUNCTION("""COMPUTED_VALUE"""),44508.0)</f>
        <v>44508</v>
      </c>
      <c r="C1085" s="9">
        <f>IFERROR(__xludf.DUMMYFUNCTION("""COMPUTED_VALUE"""),1.51)</f>
        <v>1.51</v>
      </c>
      <c r="E1085" s="40">
        <f>IFERROR(__xludf.DUMMYFUNCTION("""COMPUTED_VALUE"""),44508.0)</f>
        <v>44508</v>
      </c>
      <c r="F1085" s="9">
        <f>IFERROR(__xludf.DUMMYFUNCTION("""COMPUTED_VALUE"""),1.51)</f>
        <v>1.51</v>
      </c>
      <c r="H1085" s="17"/>
      <c r="K1085" s="17"/>
      <c r="N1085" s="17"/>
    </row>
    <row r="1086">
      <c r="B1086" s="11">
        <f>IFERROR(__xludf.DUMMYFUNCTION("""COMPUTED_VALUE"""),44505.0)</f>
        <v>44505</v>
      </c>
      <c r="C1086" s="9">
        <f>IFERROR(__xludf.DUMMYFUNCTION("""COMPUTED_VALUE"""),1.45)</f>
        <v>1.45</v>
      </c>
      <c r="E1086" s="40">
        <f>IFERROR(__xludf.DUMMYFUNCTION("""COMPUTED_VALUE"""),44505.0)</f>
        <v>44505</v>
      </c>
      <c r="F1086" s="9">
        <f>IFERROR(__xludf.DUMMYFUNCTION("""COMPUTED_VALUE"""),1.45)</f>
        <v>1.45</v>
      </c>
      <c r="H1086" s="17"/>
      <c r="K1086" s="17"/>
      <c r="N1086" s="17"/>
    </row>
    <row r="1087">
      <c r="B1087" s="11">
        <f>IFERROR(__xludf.DUMMYFUNCTION("""COMPUTED_VALUE"""),44504.0)</f>
        <v>44504</v>
      </c>
      <c r="C1087" s="9">
        <f>IFERROR(__xludf.DUMMYFUNCTION("""COMPUTED_VALUE"""),1.53)</f>
        <v>1.53</v>
      </c>
      <c r="E1087" s="40">
        <f>IFERROR(__xludf.DUMMYFUNCTION("""COMPUTED_VALUE"""),44504.0)</f>
        <v>44504</v>
      </c>
      <c r="F1087" s="9">
        <f>IFERROR(__xludf.DUMMYFUNCTION("""COMPUTED_VALUE"""),1.53)</f>
        <v>1.53</v>
      </c>
      <c r="H1087" s="17"/>
      <c r="K1087" s="17"/>
      <c r="N1087" s="17"/>
    </row>
    <row r="1088">
      <c r="B1088" s="11">
        <f>IFERROR(__xludf.DUMMYFUNCTION("""COMPUTED_VALUE"""),44503.0)</f>
        <v>44503</v>
      </c>
      <c r="C1088" s="9">
        <f>IFERROR(__xludf.DUMMYFUNCTION("""COMPUTED_VALUE"""),1.6)</f>
        <v>1.6</v>
      </c>
      <c r="E1088" s="40">
        <f>IFERROR(__xludf.DUMMYFUNCTION("""COMPUTED_VALUE"""),44503.0)</f>
        <v>44503</v>
      </c>
      <c r="F1088" s="9">
        <f>IFERROR(__xludf.DUMMYFUNCTION("""COMPUTED_VALUE"""),1.6)</f>
        <v>1.6</v>
      </c>
      <c r="H1088" s="17"/>
      <c r="K1088" s="17"/>
      <c r="N1088" s="17"/>
    </row>
    <row r="1089">
      <c r="B1089" s="11">
        <f>IFERROR(__xludf.DUMMYFUNCTION("""COMPUTED_VALUE"""),44502.0)</f>
        <v>44502</v>
      </c>
      <c r="C1089" s="9">
        <f>IFERROR(__xludf.DUMMYFUNCTION("""COMPUTED_VALUE"""),1.56)</f>
        <v>1.56</v>
      </c>
      <c r="E1089" s="40">
        <f>IFERROR(__xludf.DUMMYFUNCTION("""COMPUTED_VALUE"""),44502.0)</f>
        <v>44502</v>
      </c>
      <c r="F1089" s="9">
        <f>IFERROR(__xludf.DUMMYFUNCTION("""COMPUTED_VALUE"""),1.56)</f>
        <v>1.56</v>
      </c>
      <c r="H1089" s="17"/>
      <c r="K1089" s="17"/>
      <c r="N1089" s="17"/>
    </row>
    <row r="1090">
      <c r="B1090" s="11">
        <f>IFERROR(__xludf.DUMMYFUNCTION("""COMPUTED_VALUE"""),44501.0)</f>
        <v>44501</v>
      </c>
      <c r="C1090" s="9">
        <f>IFERROR(__xludf.DUMMYFUNCTION("""COMPUTED_VALUE"""),1.58)</f>
        <v>1.58</v>
      </c>
      <c r="E1090" s="40">
        <f>IFERROR(__xludf.DUMMYFUNCTION("""COMPUTED_VALUE"""),44501.0)</f>
        <v>44501</v>
      </c>
      <c r="F1090" s="9">
        <f>IFERROR(__xludf.DUMMYFUNCTION("""COMPUTED_VALUE"""),1.58)</f>
        <v>1.58</v>
      </c>
      <c r="H1090" s="17"/>
      <c r="K1090" s="17"/>
      <c r="N1090" s="17"/>
    </row>
    <row r="1091">
      <c r="B1091" s="11">
        <f>IFERROR(__xludf.DUMMYFUNCTION("""COMPUTED_VALUE"""),44498.0)</f>
        <v>44498</v>
      </c>
      <c r="C1091" s="9">
        <f>IFERROR(__xludf.DUMMYFUNCTION("""COMPUTED_VALUE"""),1.55)</f>
        <v>1.55</v>
      </c>
      <c r="E1091" s="40">
        <f>IFERROR(__xludf.DUMMYFUNCTION("""COMPUTED_VALUE"""),44498.0)</f>
        <v>44498</v>
      </c>
      <c r="F1091" s="9">
        <f>IFERROR(__xludf.DUMMYFUNCTION("""COMPUTED_VALUE"""),1.55)</f>
        <v>1.55</v>
      </c>
      <c r="H1091" s="17"/>
      <c r="K1091" s="17"/>
      <c r="N1091" s="17"/>
    </row>
    <row r="1092">
      <c r="B1092" s="11">
        <f>IFERROR(__xludf.DUMMYFUNCTION("""COMPUTED_VALUE"""),44497.0)</f>
        <v>44497</v>
      </c>
      <c r="C1092" s="9">
        <f>IFERROR(__xludf.DUMMYFUNCTION("""COMPUTED_VALUE"""),1.57)</f>
        <v>1.57</v>
      </c>
      <c r="E1092" s="40">
        <f>IFERROR(__xludf.DUMMYFUNCTION("""COMPUTED_VALUE"""),44497.0)</f>
        <v>44497</v>
      </c>
      <c r="F1092" s="9">
        <f>IFERROR(__xludf.DUMMYFUNCTION("""COMPUTED_VALUE"""),1.57)</f>
        <v>1.57</v>
      </c>
      <c r="H1092" s="17"/>
      <c r="K1092" s="17"/>
      <c r="N1092" s="17"/>
    </row>
    <row r="1093">
      <c r="B1093" s="11">
        <f>IFERROR(__xludf.DUMMYFUNCTION("""COMPUTED_VALUE"""),44496.0)</f>
        <v>44496</v>
      </c>
      <c r="C1093" s="9">
        <f>IFERROR(__xludf.DUMMYFUNCTION("""COMPUTED_VALUE"""),1.54)</f>
        <v>1.54</v>
      </c>
      <c r="E1093" s="40">
        <f>IFERROR(__xludf.DUMMYFUNCTION("""COMPUTED_VALUE"""),44496.0)</f>
        <v>44496</v>
      </c>
      <c r="F1093" s="9">
        <f>IFERROR(__xludf.DUMMYFUNCTION("""COMPUTED_VALUE"""),1.54)</f>
        <v>1.54</v>
      </c>
      <c r="H1093" s="17"/>
      <c r="K1093" s="17"/>
      <c r="N1093" s="17"/>
    </row>
    <row r="1094">
      <c r="B1094" s="11">
        <f>IFERROR(__xludf.DUMMYFUNCTION("""COMPUTED_VALUE"""),44495.0)</f>
        <v>44495</v>
      </c>
      <c r="C1094" s="9">
        <f>IFERROR(__xludf.DUMMYFUNCTION("""COMPUTED_VALUE"""),1.63)</f>
        <v>1.63</v>
      </c>
      <c r="E1094" s="40">
        <f>IFERROR(__xludf.DUMMYFUNCTION("""COMPUTED_VALUE"""),44495.0)</f>
        <v>44495</v>
      </c>
      <c r="F1094" s="9">
        <f>IFERROR(__xludf.DUMMYFUNCTION("""COMPUTED_VALUE"""),1.63)</f>
        <v>1.63</v>
      </c>
      <c r="H1094" s="17"/>
      <c r="K1094" s="17"/>
      <c r="N1094" s="17"/>
    </row>
    <row r="1095">
      <c r="B1095" s="11">
        <f>IFERROR(__xludf.DUMMYFUNCTION("""COMPUTED_VALUE"""),44494.0)</f>
        <v>44494</v>
      </c>
      <c r="C1095" s="9">
        <f>IFERROR(__xludf.DUMMYFUNCTION("""COMPUTED_VALUE"""),1.64)</f>
        <v>1.64</v>
      </c>
      <c r="E1095" s="40">
        <f>IFERROR(__xludf.DUMMYFUNCTION("""COMPUTED_VALUE"""),44494.0)</f>
        <v>44494</v>
      </c>
      <c r="F1095" s="9">
        <f>IFERROR(__xludf.DUMMYFUNCTION("""COMPUTED_VALUE"""),1.64)</f>
        <v>1.64</v>
      </c>
      <c r="H1095" s="17"/>
      <c r="K1095" s="17"/>
      <c r="N1095" s="17"/>
    </row>
    <row r="1096">
      <c r="B1096" s="11">
        <f>IFERROR(__xludf.DUMMYFUNCTION("""COMPUTED_VALUE"""),44491.0)</f>
        <v>44491</v>
      </c>
      <c r="C1096" s="9">
        <f>IFERROR(__xludf.DUMMYFUNCTION("""COMPUTED_VALUE"""),1.66)</f>
        <v>1.66</v>
      </c>
      <c r="E1096" s="40">
        <f>IFERROR(__xludf.DUMMYFUNCTION("""COMPUTED_VALUE"""),44491.0)</f>
        <v>44491</v>
      </c>
      <c r="F1096" s="9">
        <f>IFERROR(__xludf.DUMMYFUNCTION("""COMPUTED_VALUE"""),1.66)</f>
        <v>1.66</v>
      </c>
      <c r="H1096" s="17"/>
      <c r="K1096" s="17"/>
      <c r="N1096" s="17"/>
    </row>
    <row r="1097">
      <c r="B1097" s="11">
        <f>IFERROR(__xludf.DUMMYFUNCTION("""COMPUTED_VALUE"""),44490.0)</f>
        <v>44490</v>
      </c>
      <c r="C1097" s="9">
        <f>IFERROR(__xludf.DUMMYFUNCTION("""COMPUTED_VALUE"""),1.68)</f>
        <v>1.68</v>
      </c>
      <c r="E1097" s="40">
        <f>IFERROR(__xludf.DUMMYFUNCTION("""COMPUTED_VALUE"""),44490.0)</f>
        <v>44490</v>
      </c>
      <c r="F1097" s="9">
        <f>IFERROR(__xludf.DUMMYFUNCTION("""COMPUTED_VALUE"""),1.68)</f>
        <v>1.68</v>
      </c>
      <c r="H1097" s="17"/>
      <c r="K1097" s="17"/>
      <c r="N1097" s="17"/>
    </row>
    <row r="1098">
      <c r="B1098" s="11">
        <f>IFERROR(__xludf.DUMMYFUNCTION("""COMPUTED_VALUE"""),44489.0)</f>
        <v>44489</v>
      </c>
      <c r="C1098" s="9">
        <f>IFERROR(__xludf.DUMMYFUNCTION("""COMPUTED_VALUE"""),1.65)</f>
        <v>1.65</v>
      </c>
      <c r="E1098" s="40">
        <f>IFERROR(__xludf.DUMMYFUNCTION("""COMPUTED_VALUE"""),44489.0)</f>
        <v>44489</v>
      </c>
      <c r="F1098" s="9">
        <f>IFERROR(__xludf.DUMMYFUNCTION("""COMPUTED_VALUE"""),1.65)</f>
        <v>1.65</v>
      </c>
      <c r="H1098" s="17"/>
      <c r="K1098" s="17"/>
      <c r="N1098" s="17"/>
    </row>
    <row r="1099">
      <c r="B1099" s="11">
        <f>IFERROR(__xludf.DUMMYFUNCTION("""COMPUTED_VALUE"""),44488.0)</f>
        <v>44488</v>
      </c>
      <c r="C1099" s="9">
        <f>IFERROR(__xludf.DUMMYFUNCTION("""COMPUTED_VALUE"""),1.65)</f>
        <v>1.65</v>
      </c>
      <c r="E1099" s="40">
        <f>IFERROR(__xludf.DUMMYFUNCTION("""COMPUTED_VALUE"""),44488.0)</f>
        <v>44488</v>
      </c>
      <c r="F1099" s="9">
        <f>IFERROR(__xludf.DUMMYFUNCTION("""COMPUTED_VALUE"""),1.65)</f>
        <v>1.65</v>
      </c>
      <c r="H1099" s="17"/>
      <c r="K1099" s="17"/>
      <c r="N1099" s="17"/>
    </row>
    <row r="1100">
      <c r="B1100" s="11">
        <f>IFERROR(__xludf.DUMMYFUNCTION("""COMPUTED_VALUE"""),44487.0)</f>
        <v>44487</v>
      </c>
      <c r="C1100" s="9">
        <f>IFERROR(__xludf.DUMMYFUNCTION("""COMPUTED_VALUE"""),1.59)</f>
        <v>1.59</v>
      </c>
      <c r="E1100" s="40">
        <f>IFERROR(__xludf.DUMMYFUNCTION("""COMPUTED_VALUE"""),44487.0)</f>
        <v>44487</v>
      </c>
      <c r="F1100" s="9">
        <f>IFERROR(__xludf.DUMMYFUNCTION("""COMPUTED_VALUE"""),1.59)</f>
        <v>1.59</v>
      </c>
      <c r="H1100" s="17"/>
      <c r="K1100" s="17"/>
      <c r="N1100" s="17"/>
    </row>
    <row r="1101">
      <c r="B1101" s="11">
        <f>IFERROR(__xludf.DUMMYFUNCTION("""COMPUTED_VALUE"""),44484.0)</f>
        <v>44484</v>
      </c>
      <c r="C1101" s="9">
        <f>IFERROR(__xludf.DUMMYFUNCTION("""COMPUTED_VALUE"""),1.59)</f>
        <v>1.59</v>
      </c>
      <c r="E1101" s="40">
        <f>IFERROR(__xludf.DUMMYFUNCTION("""COMPUTED_VALUE"""),44484.0)</f>
        <v>44484</v>
      </c>
      <c r="F1101" s="9">
        <f>IFERROR(__xludf.DUMMYFUNCTION("""COMPUTED_VALUE"""),1.59)</f>
        <v>1.59</v>
      </c>
      <c r="H1101" s="17"/>
      <c r="K1101" s="17"/>
      <c r="N1101" s="17"/>
    </row>
    <row r="1102">
      <c r="B1102" s="11">
        <f>IFERROR(__xludf.DUMMYFUNCTION("""COMPUTED_VALUE"""),44483.0)</f>
        <v>44483</v>
      </c>
      <c r="C1102" s="9">
        <f>IFERROR(__xludf.DUMMYFUNCTION("""COMPUTED_VALUE"""),1.52)</f>
        <v>1.52</v>
      </c>
      <c r="E1102" s="40">
        <f>IFERROR(__xludf.DUMMYFUNCTION("""COMPUTED_VALUE"""),44483.0)</f>
        <v>44483</v>
      </c>
      <c r="F1102" s="9">
        <f>IFERROR(__xludf.DUMMYFUNCTION("""COMPUTED_VALUE"""),1.52)</f>
        <v>1.52</v>
      </c>
      <c r="H1102" s="17"/>
      <c r="K1102" s="17"/>
      <c r="N1102" s="17"/>
    </row>
    <row r="1103">
      <c r="B1103" s="11">
        <f>IFERROR(__xludf.DUMMYFUNCTION("""COMPUTED_VALUE"""),44482.0)</f>
        <v>44482</v>
      </c>
      <c r="C1103" s="9">
        <f>IFERROR(__xludf.DUMMYFUNCTION("""COMPUTED_VALUE"""),1.56)</f>
        <v>1.56</v>
      </c>
      <c r="E1103" s="40">
        <f>IFERROR(__xludf.DUMMYFUNCTION("""COMPUTED_VALUE"""),44482.0)</f>
        <v>44482</v>
      </c>
      <c r="F1103" s="9">
        <f>IFERROR(__xludf.DUMMYFUNCTION("""COMPUTED_VALUE"""),1.56)</f>
        <v>1.56</v>
      </c>
      <c r="H1103" s="17"/>
      <c r="K1103" s="17"/>
      <c r="N1103" s="17"/>
    </row>
    <row r="1104">
      <c r="B1104" s="11">
        <f>IFERROR(__xludf.DUMMYFUNCTION("""COMPUTED_VALUE"""),44481.0)</f>
        <v>44481</v>
      </c>
      <c r="C1104" s="9">
        <f>IFERROR(__xludf.DUMMYFUNCTION("""COMPUTED_VALUE"""),1.59)</f>
        <v>1.59</v>
      </c>
      <c r="E1104" s="40">
        <f>IFERROR(__xludf.DUMMYFUNCTION("""COMPUTED_VALUE"""),44481.0)</f>
        <v>44481</v>
      </c>
      <c r="F1104" s="9">
        <f>IFERROR(__xludf.DUMMYFUNCTION("""COMPUTED_VALUE"""),1.59)</f>
        <v>1.59</v>
      </c>
      <c r="H1104" s="17"/>
      <c r="K1104" s="17"/>
      <c r="N1104" s="17"/>
    </row>
    <row r="1105">
      <c r="B1105" s="11">
        <f>IFERROR(__xludf.DUMMYFUNCTION("""COMPUTED_VALUE"""),44480.0)</f>
        <v>44480</v>
      </c>
      <c r="C1105" s="9"/>
      <c r="E1105" s="40">
        <f>IFERROR(__xludf.DUMMYFUNCTION("""COMPUTED_VALUE"""),44480.0)</f>
        <v>44480</v>
      </c>
      <c r="F1105" s="9"/>
      <c r="H1105" s="17"/>
      <c r="K1105" s="17"/>
      <c r="N1105" s="17"/>
    </row>
    <row r="1106">
      <c r="B1106" s="11">
        <f>IFERROR(__xludf.DUMMYFUNCTION("""COMPUTED_VALUE"""),44477.0)</f>
        <v>44477</v>
      </c>
      <c r="C1106" s="9">
        <f>IFERROR(__xludf.DUMMYFUNCTION("""COMPUTED_VALUE"""),1.61)</f>
        <v>1.61</v>
      </c>
      <c r="E1106" s="40">
        <f>IFERROR(__xludf.DUMMYFUNCTION("""COMPUTED_VALUE"""),44477.0)</f>
        <v>44477</v>
      </c>
      <c r="F1106" s="9">
        <f>IFERROR(__xludf.DUMMYFUNCTION("""COMPUTED_VALUE"""),1.61)</f>
        <v>1.61</v>
      </c>
      <c r="H1106" s="17"/>
      <c r="K1106" s="17"/>
      <c r="N1106" s="17"/>
    </row>
    <row r="1107">
      <c r="B1107" s="11">
        <f>IFERROR(__xludf.DUMMYFUNCTION("""COMPUTED_VALUE"""),44476.0)</f>
        <v>44476</v>
      </c>
      <c r="C1107" s="9">
        <f>IFERROR(__xludf.DUMMYFUNCTION("""COMPUTED_VALUE"""),1.58)</f>
        <v>1.58</v>
      </c>
      <c r="E1107" s="40">
        <f>IFERROR(__xludf.DUMMYFUNCTION("""COMPUTED_VALUE"""),44476.0)</f>
        <v>44476</v>
      </c>
      <c r="F1107" s="9">
        <f>IFERROR(__xludf.DUMMYFUNCTION("""COMPUTED_VALUE"""),1.58)</f>
        <v>1.58</v>
      </c>
      <c r="H1107" s="17"/>
      <c r="K1107" s="17"/>
      <c r="N1107" s="17"/>
    </row>
    <row r="1108">
      <c r="B1108" s="11">
        <f>IFERROR(__xludf.DUMMYFUNCTION("""COMPUTED_VALUE"""),44475.0)</f>
        <v>44475</v>
      </c>
      <c r="C1108" s="9">
        <f>IFERROR(__xludf.DUMMYFUNCTION("""COMPUTED_VALUE"""),1.53)</f>
        <v>1.53</v>
      </c>
      <c r="E1108" s="40">
        <f>IFERROR(__xludf.DUMMYFUNCTION("""COMPUTED_VALUE"""),44475.0)</f>
        <v>44475</v>
      </c>
      <c r="F1108" s="9">
        <f>IFERROR(__xludf.DUMMYFUNCTION("""COMPUTED_VALUE"""),1.53)</f>
        <v>1.53</v>
      </c>
      <c r="H1108" s="17"/>
      <c r="K1108" s="17"/>
      <c r="N1108" s="17"/>
    </row>
    <row r="1109">
      <c r="B1109" s="11">
        <f>IFERROR(__xludf.DUMMYFUNCTION("""COMPUTED_VALUE"""),44474.0)</f>
        <v>44474</v>
      </c>
      <c r="C1109" s="9">
        <f>IFERROR(__xludf.DUMMYFUNCTION("""COMPUTED_VALUE"""),1.54)</f>
        <v>1.54</v>
      </c>
      <c r="E1109" s="40">
        <f>IFERROR(__xludf.DUMMYFUNCTION("""COMPUTED_VALUE"""),44474.0)</f>
        <v>44474</v>
      </c>
      <c r="F1109" s="9">
        <f>IFERROR(__xludf.DUMMYFUNCTION("""COMPUTED_VALUE"""),1.54)</f>
        <v>1.54</v>
      </c>
      <c r="H1109" s="17"/>
      <c r="K1109" s="17"/>
      <c r="N1109" s="17"/>
    </row>
    <row r="1110">
      <c r="B1110" s="11">
        <f>IFERROR(__xludf.DUMMYFUNCTION("""COMPUTED_VALUE"""),44473.0)</f>
        <v>44473</v>
      </c>
      <c r="C1110" s="9">
        <f>IFERROR(__xludf.DUMMYFUNCTION("""COMPUTED_VALUE"""),1.49)</f>
        <v>1.49</v>
      </c>
      <c r="E1110" s="40">
        <f>IFERROR(__xludf.DUMMYFUNCTION("""COMPUTED_VALUE"""),44473.0)</f>
        <v>44473</v>
      </c>
      <c r="F1110" s="9">
        <f>IFERROR(__xludf.DUMMYFUNCTION("""COMPUTED_VALUE"""),1.49)</f>
        <v>1.49</v>
      </c>
      <c r="H1110" s="17"/>
      <c r="K1110" s="17"/>
      <c r="N1110" s="17"/>
    </row>
    <row r="1111">
      <c r="B1111" s="11">
        <f>IFERROR(__xludf.DUMMYFUNCTION("""COMPUTED_VALUE"""),44470.0)</f>
        <v>44470</v>
      </c>
      <c r="C1111" s="9">
        <f>IFERROR(__xludf.DUMMYFUNCTION("""COMPUTED_VALUE"""),1.48)</f>
        <v>1.48</v>
      </c>
      <c r="E1111" s="40">
        <f>IFERROR(__xludf.DUMMYFUNCTION("""COMPUTED_VALUE"""),44470.0)</f>
        <v>44470</v>
      </c>
      <c r="F1111" s="9">
        <f>IFERROR(__xludf.DUMMYFUNCTION("""COMPUTED_VALUE"""),1.48)</f>
        <v>1.48</v>
      </c>
      <c r="H1111" s="17"/>
      <c r="K1111" s="17"/>
      <c r="N1111" s="17"/>
    </row>
    <row r="1112">
      <c r="B1112" s="11">
        <f>IFERROR(__xludf.DUMMYFUNCTION("""COMPUTED_VALUE"""),44469.0)</f>
        <v>44469</v>
      </c>
      <c r="C1112" s="9">
        <f>IFERROR(__xludf.DUMMYFUNCTION("""COMPUTED_VALUE"""),1.52)</f>
        <v>1.52</v>
      </c>
      <c r="E1112" s="40">
        <f>IFERROR(__xludf.DUMMYFUNCTION("""COMPUTED_VALUE"""),44469.0)</f>
        <v>44469</v>
      </c>
      <c r="F1112" s="9">
        <f>IFERROR(__xludf.DUMMYFUNCTION("""COMPUTED_VALUE"""),1.52)</f>
        <v>1.52</v>
      </c>
      <c r="H1112" s="17"/>
      <c r="K1112" s="17"/>
      <c r="N1112" s="17"/>
    </row>
    <row r="1113">
      <c r="B1113" s="11">
        <f>IFERROR(__xludf.DUMMYFUNCTION("""COMPUTED_VALUE"""),44468.0)</f>
        <v>44468</v>
      </c>
      <c r="C1113" s="9">
        <f>IFERROR(__xludf.DUMMYFUNCTION("""COMPUTED_VALUE"""),1.55)</f>
        <v>1.55</v>
      </c>
      <c r="E1113" s="40">
        <f>IFERROR(__xludf.DUMMYFUNCTION("""COMPUTED_VALUE"""),44468.0)</f>
        <v>44468</v>
      </c>
      <c r="F1113" s="9">
        <f>IFERROR(__xludf.DUMMYFUNCTION("""COMPUTED_VALUE"""),1.55)</f>
        <v>1.55</v>
      </c>
      <c r="H1113" s="17"/>
      <c r="K1113" s="17"/>
      <c r="N1113" s="17"/>
    </row>
    <row r="1114">
      <c r="B1114" s="11">
        <f>IFERROR(__xludf.DUMMYFUNCTION("""COMPUTED_VALUE"""),44467.0)</f>
        <v>44467</v>
      </c>
      <c r="C1114" s="9">
        <f>IFERROR(__xludf.DUMMYFUNCTION("""COMPUTED_VALUE"""),1.54)</f>
        <v>1.54</v>
      </c>
      <c r="E1114" s="40">
        <f>IFERROR(__xludf.DUMMYFUNCTION("""COMPUTED_VALUE"""),44467.0)</f>
        <v>44467</v>
      </c>
      <c r="F1114" s="9">
        <f>IFERROR(__xludf.DUMMYFUNCTION("""COMPUTED_VALUE"""),1.54)</f>
        <v>1.54</v>
      </c>
      <c r="H1114" s="17"/>
      <c r="K1114" s="17"/>
      <c r="N1114" s="17"/>
    </row>
    <row r="1115">
      <c r="B1115" s="11">
        <f>IFERROR(__xludf.DUMMYFUNCTION("""COMPUTED_VALUE"""),44466.0)</f>
        <v>44466</v>
      </c>
      <c r="C1115" s="9">
        <f>IFERROR(__xludf.DUMMYFUNCTION("""COMPUTED_VALUE"""),1.48)</f>
        <v>1.48</v>
      </c>
      <c r="E1115" s="40">
        <f>IFERROR(__xludf.DUMMYFUNCTION("""COMPUTED_VALUE"""),44466.0)</f>
        <v>44466</v>
      </c>
      <c r="F1115" s="9">
        <f>IFERROR(__xludf.DUMMYFUNCTION("""COMPUTED_VALUE"""),1.48)</f>
        <v>1.48</v>
      </c>
      <c r="H1115" s="17"/>
      <c r="K1115" s="17"/>
      <c r="N1115" s="17"/>
    </row>
    <row r="1116">
      <c r="B1116" s="11">
        <f>IFERROR(__xludf.DUMMYFUNCTION("""COMPUTED_VALUE"""),44463.0)</f>
        <v>44463</v>
      </c>
      <c r="C1116" s="9">
        <f>IFERROR(__xludf.DUMMYFUNCTION("""COMPUTED_VALUE"""),1.47)</f>
        <v>1.47</v>
      </c>
      <c r="E1116" s="40">
        <f>IFERROR(__xludf.DUMMYFUNCTION("""COMPUTED_VALUE"""),44463.0)</f>
        <v>44463</v>
      </c>
      <c r="F1116" s="9">
        <f>IFERROR(__xludf.DUMMYFUNCTION("""COMPUTED_VALUE"""),1.47)</f>
        <v>1.47</v>
      </c>
      <c r="H1116" s="17"/>
      <c r="K1116" s="17"/>
      <c r="N1116" s="17"/>
    </row>
    <row r="1117">
      <c r="B1117" s="11">
        <f>IFERROR(__xludf.DUMMYFUNCTION("""COMPUTED_VALUE"""),44462.0)</f>
        <v>44462</v>
      </c>
      <c r="C1117" s="9">
        <f>IFERROR(__xludf.DUMMYFUNCTION("""COMPUTED_VALUE"""),1.41)</f>
        <v>1.41</v>
      </c>
      <c r="E1117" s="40">
        <f>IFERROR(__xludf.DUMMYFUNCTION("""COMPUTED_VALUE"""),44462.0)</f>
        <v>44462</v>
      </c>
      <c r="F1117" s="9">
        <f>IFERROR(__xludf.DUMMYFUNCTION("""COMPUTED_VALUE"""),1.41)</f>
        <v>1.41</v>
      </c>
      <c r="H1117" s="17"/>
      <c r="K1117" s="17"/>
      <c r="N1117" s="17"/>
    </row>
    <row r="1118">
      <c r="B1118" s="11">
        <f>IFERROR(__xludf.DUMMYFUNCTION("""COMPUTED_VALUE"""),44461.0)</f>
        <v>44461</v>
      </c>
      <c r="C1118" s="9">
        <f>IFERROR(__xludf.DUMMYFUNCTION("""COMPUTED_VALUE"""),1.32)</f>
        <v>1.32</v>
      </c>
      <c r="E1118" s="40">
        <f>IFERROR(__xludf.DUMMYFUNCTION("""COMPUTED_VALUE"""),44461.0)</f>
        <v>44461</v>
      </c>
      <c r="F1118" s="9">
        <f>IFERROR(__xludf.DUMMYFUNCTION("""COMPUTED_VALUE"""),1.32)</f>
        <v>1.32</v>
      </c>
      <c r="H1118" s="17"/>
      <c r="K1118" s="17"/>
      <c r="N1118" s="17"/>
    </row>
    <row r="1119">
      <c r="B1119" s="11">
        <f>IFERROR(__xludf.DUMMYFUNCTION("""COMPUTED_VALUE"""),44460.0)</f>
        <v>44460</v>
      </c>
      <c r="C1119" s="9">
        <f>IFERROR(__xludf.DUMMYFUNCTION("""COMPUTED_VALUE"""),1.33)</f>
        <v>1.33</v>
      </c>
      <c r="E1119" s="40">
        <f>IFERROR(__xludf.DUMMYFUNCTION("""COMPUTED_VALUE"""),44460.0)</f>
        <v>44460</v>
      </c>
      <c r="F1119" s="9">
        <f>IFERROR(__xludf.DUMMYFUNCTION("""COMPUTED_VALUE"""),1.33)</f>
        <v>1.33</v>
      </c>
      <c r="H1119" s="17"/>
      <c r="K1119" s="17"/>
      <c r="N1119" s="17"/>
    </row>
    <row r="1120">
      <c r="B1120" s="11">
        <f>IFERROR(__xludf.DUMMYFUNCTION("""COMPUTED_VALUE"""),44459.0)</f>
        <v>44459</v>
      </c>
      <c r="C1120" s="9">
        <f>IFERROR(__xludf.DUMMYFUNCTION("""COMPUTED_VALUE"""),1.31)</f>
        <v>1.31</v>
      </c>
      <c r="E1120" s="40">
        <f>IFERROR(__xludf.DUMMYFUNCTION("""COMPUTED_VALUE"""),44459.0)</f>
        <v>44459</v>
      </c>
      <c r="F1120" s="9">
        <f>IFERROR(__xludf.DUMMYFUNCTION("""COMPUTED_VALUE"""),1.31)</f>
        <v>1.31</v>
      </c>
      <c r="H1120" s="17"/>
      <c r="K1120" s="17"/>
      <c r="N1120" s="17"/>
    </row>
    <row r="1121">
      <c r="B1121" s="11">
        <f>IFERROR(__xludf.DUMMYFUNCTION("""COMPUTED_VALUE"""),44456.0)</f>
        <v>44456</v>
      </c>
      <c r="C1121" s="9">
        <f>IFERROR(__xludf.DUMMYFUNCTION("""COMPUTED_VALUE"""),1.37)</f>
        <v>1.37</v>
      </c>
      <c r="E1121" s="40">
        <f>IFERROR(__xludf.DUMMYFUNCTION("""COMPUTED_VALUE"""),44456.0)</f>
        <v>44456</v>
      </c>
      <c r="F1121" s="9">
        <f>IFERROR(__xludf.DUMMYFUNCTION("""COMPUTED_VALUE"""),1.37)</f>
        <v>1.37</v>
      </c>
      <c r="H1121" s="17"/>
      <c r="K1121" s="17"/>
      <c r="N1121" s="17"/>
    </row>
    <row r="1122">
      <c r="B1122" s="11">
        <f>IFERROR(__xludf.DUMMYFUNCTION("""COMPUTED_VALUE"""),44455.0)</f>
        <v>44455</v>
      </c>
      <c r="C1122" s="9">
        <f>IFERROR(__xludf.DUMMYFUNCTION("""COMPUTED_VALUE"""),1.34)</f>
        <v>1.34</v>
      </c>
      <c r="E1122" s="40">
        <f>IFERROR(__xludf.DUMMYFUNCTION("""COMPUTED_VALUE"""),44455.0)</f>
        <v>44455</v>
      </c>
      <c r="F1122" s="9">
        <f>IFERROR(__xludf.DUMMYFUNCTION("""COMPUTED_VALUE"""),1.34)</f>
        <v>1.34</v>
      </c>
      <c r="H1122" s="17"/>
      <c r="K1122" s="17"/>
      <c r="N1122" s="17"/>
    </row>
    <row r="1123">
      <c r="B1123" s="11">
        <f>IFERROR(__xludf.DUMMYFUNCTION("""COMPUTED_VALUE"""),44454.0)</f>
        <v>44454</v>
      </c>
      <c r="C1123" s="9">
        <f>IFERROR(__xludf.DUMMYFUNCTION("""COMPUTED_VALUE"""),1.31)</f>
        <v>1.31</v>
      </c>
      <c r="E1123" s="40">
        <f>IFERROR(__xludf.DUMMYFUNCTION("""COMPUTED_VALUE"""),44454.0)</f>
        <v>44454</v>
      </c>
      <c r="F1123" s="9">
        <f>IFERROR(__xludf.DUMMYFUNCTION("""COMPUTED_VALUE"""),1.31)</f>
        <v>1.31</v>
      </c>
      <c r="H1123" s="17"/>
      <c r="K1123" s="17"/>
      <c r="N1123" s="17"/>
    </row>
    <row r="1124">
      <c r="B1124" s="11">
        <f>IFERROR(__xludf.DUMMYFUNCTION("""COMPUTED_VALUE"""),44453.0)</f>
        <v>44453</v>
      </c>
      <c r="C1124" s="9">
        <f>IFERROR(__xludf.DUMMYFUNCTION("""COMPUTED_VALUE"""),1.28)</f>
        <v>1.28</v>
      </c>
      <c r="E1124" s="40">
        <f>IFERROR(__xludf.DUMMYFUNCTION("""COMPUTED_VALUE"""),44453.0)</f>
        <v>44453</v>
      </c>
      <c r="F1124" s="9">
        <f>IFERROR(__xludf.DUMMYFUNCTION("""COMPUTED_VALUE"""),1.28)</f>
        <v>1.28</v>
      </c>
      <c r="H1124" s="17"/>
      <c r="K1124" s="17"/>
      <c r="N1124" s="17"/>
    </row>
    <row r="1125">
      <c r="B1125" s="11">
        <f>IFERROR(__xludf.DUMMYFUNCTION("""COMPUTED_VALUE"""),44452.0)</f>
        <v>44452</v>
      </c>
      <c r="C1125" s="9">
        <f>IFERROR(__xludf.DUMMYFUNCTION("""COMPUTED_VALUE"""),1.33)</f>
        <v>1.33</v>
      </c>
      <c r="E1125" s="40">
        <f>IFERROR(__xludf.DUMMYFUNCTION("""COMPUTED_VALUE"""),44452.0)</f>
        <v>44452</v>
      </c>
      <c r="F1125" s="9">
        <f>IFERROR(__xludf.DUMMYFUNCTION("""COMPUTED_VALUE"""),1.33)</f>
        <v>1.33</v>
      </c>
      <c r="H1125" s="17"/>
      <c r="K1125" s="17"/>
      <c r="N1125" s="17"/>
    </row>
    <row r="1126">
      <c r="B1126" s="11">
        <f>IFERROR(__xludf.DUMMYFUNCTION("""COMPUTED_VALUE"""),44449.0)</f>
        <v>44449</v>
      </c>
      <c r="C1126" s="9">
        <f>IFERROR(__xludf.DUMMYFUNCTION("""COMPUTED_VALUE"""),1.35)</f>
        <v>1.35</v>
      </c>
      <c r="E1126" s="40">
        <f>IFERROR(__xludf.DUMMYFUNCTION("""COMPUTED_VALUE"""),44449.0)</f>
        <v>44449</v>
      </c>
      <c r="F1126" s="9">
        <f>IFERROR(__xludf.DUMMYFUNCTION("""COMPUTED_VALUE"""),1.35)</f>
        <v>1.35</v>
      </c>
      <c r="H1126" s="17"/>
      <c r="K1126" s="17"/>
      <c r="N1126" s="17"/>
    </row>
    <row r="1127">
      <c r="B1127" s="11">
        <f>IFERROR(__xludf.DUMMYFUNCTION("""COMPUTED_VALUE"""),44448.0)</f>
        <v>44448</v>
      </c>
      <c r="C1127" s="9">
        <f>IFERROR(__xludf.DUMMYFUNCTION("""COMPUTED_VALUE"""),1.3)</f>
        <v>1.3</v>
      </c>
      <c r="E1127" s="40">
        <f>IFERROR(__xludf.DUMMYFUNCTION("""COMPUTED_VALUE"""),44448.0)</f>
        <v>44448</v>
      </c>
      <c r="F1127" s="9">
        <f>IFERROR(__xludf.DUMMYFUNCTION("""COMPUTED_VALUE"""),1.3)</f>
        <v>1.3</v>
      </c>
      <c r="H1127" s="17"/>
      <c r="K1127" s="17"/>
      <c r="N1127" s="17"/>
    </row>
    <row r="1128">
      <c r="B1128" s="11">
        <f>IFERROR(__xludf.DUMMYFUNCTION("""COMPUTED_VALUE"""),44447.0)</f>
        <v>44447</v>
      </c>
      <c r="C1128" s="9">
        <f>IFERROR(__xludf.DUMMYFUNCTION("""COMPUTED_VALUE"""),1.35)</f>
        <v>1.35</v>
      </c>
      <c r="E1128" s="40">
        <f>IFERROR(__xludf.DUMMYFUNCTION("""COMPUTED_VALUE"""),44447.0)</f>
        <v>44447</v>
      </c>
      <c r="F1128" s="9">
        <f>IFERROR(__xludf.DUMMYFUNCTION("""COMPUTED_VALUE"""),1.35)</f>
        <v>1.35</v>
      </c>
      <c r="H1128" s="17"/>
      <c r="K1128" s="17"/>
      <c r="N1128" s="17"/>
    </row>
    <row r="1129">
      <c r="B1129" s="11">
        <f>IFERROR(__xludf.DUMMYFUNCTION("""COMPUTED_VALUE"""),44446.0)</f>
        <v>44446</v>
      </c>
      <c r="C1129" s="9">
        <f>IFERROR(__xludf.DUMMYFUNCTION("""COMPUTED_VALUE"""),1.38)</f>
        <v>1.38</v>
      </c>
      <c r="E1129" s="40">
        <f>IFERROR(__xludf.DUMMYFUNCTION("""COMPUTED_VALUE"""),44446.0)</f>
        <v>44446</v>
      </c>
      <c r="F1129" s="9">
        <f>IFERROR(__xludf.DUMMYFUNCTION("""COMPUTED_VALUE"""),1.38)</f>
        <v>1.38</v>
      </c>
      <c r="H1129" s="17"/>
      <c r="K1129" s="17"/>
      <c r="N1129" s="17"/>
    </row>
    <row r="1130">
      <c r="B1130" s="11">
        <f>IFERROR(__xludf.DUMMYFUNCTION("""COMPUTED_VALUE"""),44445.0)</f>
        <v>44445</v>
      </c>
      <c r="C1130" s="9"/>
      <c r="E1130" s="40">
        <f>IFERROR(__xludf.DUMMYFUNCTION("""COMPUTED_VALUE"""),44445.0)</f>
        <v>44445</v>
      </c>
      <c r="F1130" s="9"/>
      <c r="H1130" s="17"/>
      <c r="K1130" s="17"/>
      <c r="N1130" s="17"/>
    </row>
    <row r="1131">
      <c r="B1131" s="11">
        <f>IFERROR(__xludf.DUMMYFUNCTION("""COMPUTED_VALUE"""),44442.0)</f>
        <v>44442</v>
      </c>
      <c r="C1131" s="9">
        <f>IFERROR(__xludf.DUMMYFUNCTION("""COMPUTED_VALUE"""),1.33)</f>
        <v>1.33</v>
      </c>
      <c r="E1131" s="40">
        <f>IFERROR(__xludf.DUMMYFUNCTION("""COMPUTED_VALUE"""),44442.0)</f>
        <v>44442</v>
      </c>
      <c r="F1131" s="9">
        <f>IFERROR(__xludf.DUMMYFUNCTION("""COMPUTED_VALUE"""),1.33)</f>
        <v>1.33</v>
      </c>
      <c r="H1131" s="17"/>
      <c r="K1131" s="17"/>
      <c r="N1131" s="17"/>
    </row>
    <row r="1132">
      <c r="B1132" s="11">
        <f>IFERROR(__xludf.DUMMYFUNCTION("""COMPUTED_VALUE"""),44441.0)</f>
        <v>44441</v>
      </c>
      <c r="C1132" s="9">
        <f>IFERROR(__xludf.DUMMYFUNCTION("""COMPUTED_VALUE"""),1.29)</f>
        <v>1.29</v>
      </c>
      <c r="E1132" s="40">
        <f>IFERROR(__xludf.DUMMYFUNCTION("""COMPUTED_VALUE"""),44441.0)</f>
        <v>44441</v>
      </c>
      <c r="F1132" s="9">
        <f>IFERROR(__xludf.DUMMYFUNCTION("""COMPUTED_VALUE"""),1.29)</f>
        <v>1.29</v>
      </c>
      <c r="H1132" s="17"/>
      <c r="K1132" s="17"/>
      <c r="N1132" s="17"/>
    </row>
    <row r="1133">
      <c r="B1133" s="11">
        <f>IFERROR(__xludf.DUMMYFUNCTION("""COMPUTED_VALUE"""),44440.0)</f>
        <v>44440</v>
      </c>
      <c r="C1133" s="9">
        <f>IFERROR(__xludf.DUMMYFUNCTION("""COMPUTED_VALUE"""),1.31)</f>
        <v>1.31</v>
      </c>
      <c r="E1133" s="40">
        <f>IFERROR(__xludf.DUMMYFUNCTION("""COMPUTED_VALUE"""),44440.0)</f>
        <v>44440</v>
      </c>
      <c r="F1133" s="9">
        <f>IFERROR(__xludf.DUMMYFUNCTION("""COMPUTED_VALUE"""),1.31)</f>
        <v>1.31</v>
      </c>
      <c r="H1133" s="17"/>
      <c r="K1133" s="17"/>
      <c r="N1133" s="17"/>
    </row>
    <row r="1134">
      <c r="B1134" s="11">
        <f>IFERROR(__xludf.DUMMYFUNCTION("""COMPUTED_VALUE"""),44439.0)</f>
        <v>44439</v>
      </c>
      <c r="C1134" s="9">
        <f>IFERROR(__xludf.DUMMYFUNCTION("""COMPUTED_VALUE"""),1.3)</f>
        <v>1.3</v>
      </c>
      <c r="E1134" s="40">
        <f>IFERROR(__xludf.DUMMYFUNCTION("""COMPUTED_VALUE"""),44439.0)</f>
        <v>44439</v>
      </c>
      <c r="F1134" s="9">
        <f>IFERROR(__xludf.DUMMYFUNCTION("""COMPUTED_VALUE"""),1.3)</f>
        <v>1.3</v>
      </c>
      <c r="H1134" s="17"/>
      <c r="K1134" s="17"/>
      <c r="N1134" s="17"/>
    </row>
    <row r="1135">
      <c r="B1135" s="11">
        <f>IFERROR(__xludf.DUMMYFUNCTION("""COMPUTED_VALUE"""),44438.0)</f>
        <v>44438</v>
      </c>
      <c r="C1135" s="9">
        <f>IFERROR(__xludf.DUMMYFUNCTION("""COMPUTED_VALUE"""),1.29)</f>
        <v>1.29</v>
      </c>
      <c r="E1135" s="40">
        <f>IFERROR(__xludf.DUMMYFUNCTION("""COMPUTED_VALUE"""),44438.0)</f>
        <v>44438</v>
      </c>
      <c r="F1135" s="9">
        <f>IFERROR(__xludf.DUMMYFUNCTION("""COMPUTED_VALUE"""),1.29)</f>
        <v>1.29</v>
      </c>
      <c r="H1135" s="17"/>
      <c r="K1135" s="17"/>
      <c r="N1135" s="17"/>
    </row>
    <row r="1136">
      <c r="B1136" s="11">
        <f>IFERROR(__xludf.DUMMYFUNCTION("""COMPUTED_VALUE"""),44435.0)</f>
        <v>44435</v>
      </c>
      <c r="C1136" s="9">
        <f>IFERROR(__xludf.DUMMYFUNCTION("""COMPUTED_VALUE"""),1.31)</f>
        <v>1.31</v>
      </c>
      <c r="E1136" s="40">
        <f>IFERROR(__xludf.DUMMYFUNCTION("""COMPUTED_VALUE"""),44435.0)</f>
        <v>44435</v>
      </c>
      <c r="F1136" s="9">
        <f>IFERROR(__xludf.DUMMYFUNCTION("""COMPUTED_VALUE"""),1.31)</f>
        <v>1.31</v>
      </c>
      <c r="H1136" s="17"/>
      <c r="K1136" s="17"/>
      <c r="N1136" s="17"/>
    </row>
    <row r="1137">
      <c r="B1137" s="11">
        <f>IFERROR(__xludf.DUMMYFUNCTION("""COMPUTED_VALUE"""),44434.0)</f>
        <v>44434</v>
      </c>
      <c r="C1137" s="9">
        <f>IFERROR(__xludf.DUMMYFUNCTION("""COMPUTED_VALUE"""),1.34)</f>
        <v>1.34</v>
      </c>
      <c r="E1137" s="40">
        <f>IFERROR(__xludf.DUMMYFUNCTION("""COMPUTED_VALUE"""),44434.0)</f>
        <v>44434</v>
      </c>
      <c r="F1137" s="9">
        <f>IFERROR(__xludf.DUMMYFUNCTION("""COMPUTED_VALUE"""),1.34)</f>
        <v>1.34</v>
      </c>
      <c r="H1137" s="17"/>
      <c r="K1137" s="17"/>
      <c r="N1137" s="17"/>
    </row>
    <row r="1138">
      <c r="B1138" s="11">
        <f>IFERROR(__xludf.DUMMYFUNCTION("""COMPUTED_VALUE"""),44433.0)</f>
        <v>44433</v>
      </c>
      <c r="C1138" s="9">
        <f>IFERROR(__xludf.DUMMYFUNCTION("""COMPUTED_VALUE"""),1.35)</f>
        <v>1.35</v>
      </c>
      <c r="E1138" s="40">
        <f>IFERROR(__xludf.DUMMYFUNCTION("""COMPUTED_VALUE"""),44433.0)</f>
        <v>44433</v>
      </c>
      <c r="F1138" s="9">
        <f>IFERROR(__xludf.DUMMYFUNCTION("""COMPUTED_VALUE"""),1.35)</f>
        <v>1.35</v>
      </c>
      <c r="H1138" s="17"/>
      <c r="K1138" s="17"/>
      <c r="N1138" s="17"/>
    </row>
    <row r="1139">
      <c r="B1139" s="11">
        <f>IFERROR(__xludf.DUMMYFUNCTION("""COMPUTED_VALUE"""),44432.0)</f>
        <v>44432</v>
      </c>
      <c r="C1139" s="9">
        <f>IFERROR(__xludf.DUMMYFUNCTION("""COMPUTED_VALUE"""),1.29)</f>
        <v>1.29</v>
      </c>
      <c r="E1139" s="40">
        <f>IFERROR(__xludf.DUMMYFUNCTION("""COMPUTED_VALUE"""),44432.0)</f>
        <v>44432</v>
      </c>
      <c r="F1139" s="9">
        <f>IFERROR(__xludf.DUMMYFUNCTION("""COMPUTED_VALUE"""),1.29)</f>
        <v>1.29</v>
      </c>
      <c r="H1139" s="17"/>
      <c r="K1139" s="17"/>
      <c r="N1139" s="17"/>
    </row>
    <row r="1140">
      <c r="B1140" s="11">
        <f>IFERROR(__xludf.DUMMYFUNCTION("""COMPUTED_VALUE"""),44431.0)</f>
        <v>44431</v>
      </c>
      <c r="C1140" s="9">
        <f>IFERROR(__xludf.DUMMYFUNCTION("""COMPUTED_VALUE"""),1.25)</f>
        <v>1.25</v>
      </c>
      <c r="E1140" s="40">
        <f>IFERROR(__xludf.DUMMYFUNCTION("""COMPUTED_VALUE"""),44431.0)</f>
        <v>44431</v>
      </c>
      <c r="F1140" s="9">
        <f>IFERROR(__xludf.DUMMYFUNCTION("""COMPUTED_VALUE"""),1.25)</f>
        <v>1.25</v>
      </c>
      <c r="H1140" s="17"/>
      <c r="K1140" s="17"/>
      <c r="N1140" s="17"/>
    </row>
    <row r="1141">
      <c r="B1141" s="11">
        <f>IFERROR(__xludf.DUMMYFUNCTION("""COMPUTED_VALUE"""),44428.0)</f>
        <v>44428</v>
      </c>
      <c r="C1141" s="9">
        <f>IFERROR(__xludf.DUMMYFUNCTION("""COMPUTED_VALUE"""),1.26)</f>
        <v>1.26</v>
      </c>
      <c r="E1141" s="40">
        <f>IFERROR(__xludf.DUMMYFUNCTION("""COMPUTED_VALUE"""),44428.0)</f>
        <v>44428</v>
      </c>
      <c r="F1141" s="9">
        <f>IFERROR(__xludf.DUMMYFUNCTION("""COMPUTED_VALUE"""),1.26)</f>
        <v>1.26</v>
      </c>
      <c r="H1141" s="17"/>
      <c r="K1141" s="17"/>
      <c r="N1141" s="17"/>
    </row>
    <row r="1142">
      <c r="B1142" s="11">
        <f>IFERROR(__xludf.DUMMYFUNCTION("""COMPUTED_VALUE"""),44427.0)</f>
        <v>44427</v>
      </c>
      <c r="C1142" s="9">
        <f>IFERROR(__xludf.DUMMYFUNCTION("""COMPUTED_VALUE"""),1.24)</f>
        <v>1.24</v>
      </c>
      <c r="E1142" s="40">
        <f>IFERROR(__xludf.DUMMYFUNCTION("""COMPUTED_VALUE"""),44427.0)</f>
        <v>44427</v>
      </c>
      <c r="F1142" s="9">
        <f>IFERROR(__xludf.DUMMYFUNCTION("""COMPUTED_VALUE"""),1.24)</f>
        <v>1.24</v>
      </c>
      <c r="H1142" s="17"/>
      <c r="K1142" s="17"/>
      <c r="N1142" s="17"/>
    </row>
    <row r="1143">
      <c r="B1143" s="11">
        <f>IFERROR(__xludf.DUMMYFUNCTION("""COMPUTED_VALUE"""),44426.0)</f>
        <v>44426</v>
      </c>
      <c r="C1143" s="9">
        <f>IFERROR(__xludf.DUMMYFUNCTION("""COMPUTED_VALUE"""),1.27)</f>
        <v>1.27</v>
      </c>
      <c r="E1143" s="40">
        <f>IFERROR(__xludf.DUMMYFUNCTION("""COMPUTED_VALUE"""),44426.0)</f>
        <v>44426</v>
      </c>
      <c r="F1143" s="9">
        <f>IFERROR(__xludf.DUMMYFUNCTION("""COMPUTED_VALUE"""),1.27)</f>
        <v>1.27</v>
      </c>
      <c r="H1143" s="17"/>
      <c r="K1143" s="17"/>
      <c r="N1143" s="17"/>
    </row>
    <row r="1144">
      <c r="B1144" s="11">
        <f>IFERROR(__xludf.DUMMYFUNCTION("""COMPUTED_VALUE"""),44425.0)</f>
        <v>44425</v>
      </c>
      <c r="C1144" s="9">
        <f>IFERROR(__xludf.DUMMYFUNCTION("""COMPUTED_VALUE"""),1.26)</f>
        <v>1.26</v>
      </c>
      <c r="E1144" s="40">
        <f>IFERROR(__xludf.DUMMYFUNCTION("""COMPUTED_VALUE"""),44425.0)</f>
        <v>44425</v>
      </c>
      <c r="F1144" s="9">
        <f>IFERROR(__xludf.DUMMYFUNCTION("""COMPUTED_VALUE"""),1.26)</f>
        <v>1.26</v>
      </c>
      <c r="H1144" s="17"/>
      <c r="K1144" s="17"/>
      <c r="N1144" s="17"/>
    </row>
    <row r="1145">
      <c r="B1145" s="11">
        <f>IFERROR(__xludf.DUMMYFUNCTION("""COMPUTED_VALUE"""),44424.0)</f>
        <v>44424</v>
      </c>
      <c r="C1145" s="9">
        <f>IFERROR(__xludf.DUMMYFUNCTION("""COMPUTED_VALUE"""),1.26)</f>
        <v>1.26</v>
      </c>
      <c r="E1145" s="40">
        <f>IFERROR(__xludf.DUMMYFUNCTION("""COMPUTED_VALUE"""),44424.0)</f>
        <v>44424</v>
      </c>
      <c r="F1145" s="9">
        <f>IFERROR(__xludf.DUMMYFUNCTION("""COMPUTED_VALUE"""),1.26)</f>
        <v>1.26</v>
      </c>
      <c r="H1145" s="17"/>
      <c r="K1145" s="17"/>
      <c r="N1145" s="17"/>
    </row>
    <row r="1146">
      <c r="B1146" s="11">
        <f>IFERROR(__xludf.DUMMYFUNCTION("""COMPUTED_VALUE"""),44421.0)</f>
        <v>44421</v>
      </c>
      <c r="C1146" s="9">
        <f>IFERROR(__xludf.DUMMYFUNCTION("""COMPUTED_VALUE"""),1.29)</f>
        <v>1.29</v>
      </c>
      <c r="E1146" s="40">
        <f>IFERROR(__xludf.DUMMYFUNCTION("""COMPUTED_VALUE"""),44421.0)</f>
        <v>44421</v>
      </c>
      <c r="F1146" s="9">
        <f>IFERROR(__xludf.DUMMYFUNCTION("""COMPUTED_VALUE"""),1.29)</f>
        <v>1.29</v>
      </c>
      <c r="H1146" s="17"/>
      <c r="K1146" s="17"/>
      <c r="N1146" s="17"/>
    </row>
    <row r="1147">
      <c r="B1147" s="11">
        <f>IFERROR(__xludf.DUMMYFUNCTION("""COMPUTED_VALUE"""),44420.0)</f>
        <v>44420</v>
      </c>
      <c r="C1147" s="9">
        <f>IFERROR(__xludf.DUMMYFUNCTION("""COMPUTED_VALUE"""),1.36)</f>
        <v>1.36</v>
      </c>
      <c r="E1147" s="40">
        <f>IFERROR(__xludf.DUMMYFUNCTION("""COMPUTED_VALUE"""),44420.0)</f>
        <v>44420</v>
      </c>
      <c r="F1147" s="9">
        <f>IFERROR(__xludf.DUMMYFUNCTION("""COMPUTED_VALUE"""),1.36)</f>
        <v>1.36</v>
      </c>
      <c r="H1147" s="17"/>
      <c r="K1147" s="17"/>
      <c r="N1147" s="17"/>
    </row>
    <row r="1148">
      <c r="B1148" s="11">
        <f>IFERROR(__xludf.DUMMYFUNCTION("""COMPUTED_VALUE"""),44419.0)</f>
        <v>44419</v>
      </c>
      <c r="C1148" s="9">
        <f>IFERROR(__xludf.DUMMYFUNCTION("""COMPUTED_VALUE"""),1.35)</f>
        <v>1.35</v>
      </c>
      <c r="E1148" s="40">
        <f>IFERROR(__xludf.DUMMYFUNCTION("""COMPUTED_VALUE"""),44419.0)</f>
        <v>44419</v>
      </c>
      <c r="F1148" s="9">
        <f>IFERROR(__xludf.DUMMYFUNCTION("""COMPUTED_VALUE"""),1.35)</f>
        <v>1.35</v>
      </c>
      <c r="H1148" s="17"/>
      <c r="K1148" s="17"/>
      <c r="N1148" s="17"/>
    </row>
    <row r="1149">
      <c r="B1149" s="11">
        <f>IFERROR(__xludf.DUMMYFUNCTION("""COMPUTED_VALUE"""),44418.0)</f>
        <v>44418</v>
      </c>
      <c r="C1149" s="9">
        <f>IFERROR(__xludf.DUMMYFUNCTION("""COMPUTED_VALUE"""),1.36)</f>
        <v>1.36</v>
      </c>
      <c r="E1149" s="40">
        <f>IFERROR(__xludf.DUMMYFUNCTION("""COMPUTED_VALUE"""),44418.0)</f>
        <v>44418</v>
      </c>
      <c r="F1149" s="9">
        <f>IFERROR(__xludf.DUMMYFUNCTION("""COMPUTED_VALUE"""),1.36)</f>
        <v>1.36</v>
      </c>
      <c r="H1149" s="17"/>
      <c r="K1149" s="17"/>
      <c r="N1149" s="17"/>
    </row>
    <row r="1150">
      <c r="B1150" s="11">
        <f>IFERROR(__xludf.DUMMYFUNCTION("""COMPUTED_VALUE"""),44417.0)</f>
        <v>44417</v>
      </c>
      <c r="C1150" s="9">
        <f>IFERROR(__xludf.DUMMYFUNCTION("""COMPUTED_VALUE"""),1.33)</f>
        <v>1.33</v>
      </c>
      <c r="E1150" s="40">
        <f>IFERROR(__xludf.DUMMYFUNCTION("""COMPUTED_VALUE"""),44417.0)</f>
        <v>44417</v>
      </c>
      <c r="F1150" s="9">
        <f>IFERROR(__xludf.DUMMYFUNCTION("""COMPUTED_VALUE"""),1.33)</f>
        <v>1.33</v>
      </c>
      <c r="H1150" s="17"/>
      <c r="K1150" s="17"/>
      <c r="N1150" s="17"/>
    </row>
    <row r="1151">
      <c r="B1151" s="11">
        <f>IFERROR(__xludf.DUMMYFUNCTION("""COMPUTED_VALUE"""),44414.0)</f>
        <v>44414</v>
      </c>
      <c r="C1151" s="9">
        <f>IFERROR(__xludf.DUMMYFUNCTION("""COMPUTED_VALUE"""),1.31)</f>
        <v>1.31</v>
      </c>
      <c r="E1151" s="40">
        <f>IFERROR(__xludf.DUMMYFUNCTION("""COMPUTED_VALUE"""),44414.0)</f>
        <v>44414</v>
      </c>
      <c r="F1151" s="9">
        <f>IFERROR(__xludf.DUMMYFUNCTION("""COMPUTED_VALUE"""),1.31)</f>
        <v>1.31</v>
      </c>
      <c r="H1151" s="17"/>
      <c r="K1151" s="17"/>
      <c r="N1151" s="17"/>
    </row>
    <row r="1152">
      <c r="B1152" s="11">
        <f>IFERROR(__xludf.DUMMYFUNCTION("""COMPUTED_VALUE"""),44413.0)</f>
        <v>44413</v>
      </c>
      <c r="C1152" s="9">
        <f>IFERROR(__xludf.DUMMYFUNCTION("""COMPUTED_VALUE"""),1.23)</f>
        <v>1.23</v>
      </c>
      <c r="E1152" s="40">
        <f>IFERROR(__xludf.DUMMYFUNCTION("""COMPUTED_VALUE"""),44413.0)</f>
        <v>44413</v>
      </c>
      <c r="F1152" s="9">
        <f>IFERROR(__xludf.DUMMYFUNCTION("""COMPUTED_VALUE"""),1.23)</f>
        <v>1.23</v>
      </c>
      <c r="H1152" s="17"/>
      <c r="K1152" s="17"/>
      <c r="N1152" s="17"/>
    </row>
    <row r="1153">
      <c r="B1153" s="11">
        <f>IFERROR(__xludf.DUMMYFUNCTION("""COMPUTED_VALUE"""),44412.0)</f>
        <v>44412</v>
      </c>
      <c r="C1153" s="9">
        <f>IFERROR(__xludf.DUMMYFUNCTION("""COMPUTED_VALUE"""),1.19)</f>
        <v>1.19</v>
      </c>
      <c r="E1153" s="40">
        <f>IFERROR(__xludf.DUMMYFUNCTION("""COMPUTED_VALUE"""),44412.0)</f>
        <v>44412</v>
      </c>
      <c r="F1153" s="9">
        <f>IFERROR(__xludf.DUMMYFUNCTION("""COMPUTED_VALUE"""),1.19)</f>
        <v>1.19</v>
      </c>
      <c r="H1153" s="17"/>
      <c r="K1153" s="17"/>
      <c r="N1153" s="17"/>
    </row>
    <row r="1154">
      <c r="B1154" s="11">
        <f>IFERROR(__xludf.DUMMYFUNCTION("""COMPUTED_VALUE"""),44411.0)</f>
        <v>44411</v>
      </c>
      <c r="C1154" s="9">
        <f>IFERROR(__xludf.DUMMYFUNCTION("""COMPUTED_VALUE"""),1.19)</f>
        <v>1.19</v>
      </c>
      <c r="E1154" s="40">
        <f>IFERROR(__xludf.DUMMYFUNCTION("""COMPUTED_VALUE"""),44411.0)</f>
        <v>44411</v>
      </c>
      <c r="F1154" s="9">
        <f>IFERROR(__xludf.DUMMYFUNCTION("""COMPUTED_VALUE"""),1.19)</f>
        <v>1.19</v>
      </c>
      <c r="H1154" s="17"/>
      <c r="K1154" s="17"/>
      <c r="N1154" s="17"/>
    </row>
    <row r="1155">
      <c r="B1155" s="11">
        <f>IFERROR(__xludf.DUMMYFUNCTION("""COMPUTED_VALUE"""),44410.0)</f>
        <v>44410</v>
      </c>
      <c r="C1155" s="9">
        <f>IFERROR(__xludf.DUMMYFUNCTION("""COMPUTED_VALUE"""),1.2)</f>
        <v>1.2</v>
      </c>
      <c r="E1155" s="40">
        <f>IFERROR(__xludf.DUMMYFUNCTION("""COMPUTED_VALUE"""),44410.0)</f>
        <v>44410</v>
      </c>
      <c r="F1155" s="9">
        <f>IFERROR(__xludf.DUMMYFUNCTION("""COMPUTED_VALUE"""),1.2)</f>
        <v>1.2</v>
      </c>
      <c r="H1155" s="17"/>
      <c r="K1155" s="17"/>
      <c r="N1155" s="17"/>
    </row>
    <row r="1156">
      <c r="B1156" s="11">
        <f>IFERROR(__xludf.DUMMYFUNCTION("""COMPUTED_VALUE"""),44407.0)</f>
        <v>44407</v>
      </c>
      <c r="C1156" s="9">
        <f>IFERROR(__xludf.DUMMYFUNCTION("""COMPUTED_VALUE"""),1.24)</f>
        <v>1.24</v>
      </c>
      <c r="E1156" s="40">
        <f>IFERROR(__xludf.DUMMYFUNCTION("""COMPUTED_VALUE"""),44407.0)</f>
        <v>44407</v>
      </c>
      <c r="F1156" s="9">
        <f>IFERROR(__xludf.DUMMYFUNCTION("""COMPUTED_VALUE"""),1.24)</f>
        <v>1.24</v>
      </c>
      <c r="H1156" s="17"/>
      <c r="K1156" s="17"/>
      <c r="N1156" s="17"/>
    </row>
    <row r="1157">
      <c r="B1157" s="11">
        <f>IFERROR(__xludf.DUMMYFUNCTION("""COMPUTED_VALUE"""),44406.0)</f>
        <v>44406</v>
      </c>
      <c r="C1157" s="9">
        <f>IFERROR(__xludf.DUMMYFUNCTION("""COMPUTED_VALUE"""),1.28)</f>
        <v>1.28</v>
      </c>
      <c r="E1157" s="40">
        <f>IFERROR(__xludf.DUMMYFUNCTION("""COMPUTED_VALUE"""),44406.0)</f>
        <v>44406</v>
      </c>
      <c r="F1157" s="9">
        <f>IFERROR(__xludf.DUMMYFUNCTION("""COMPUTED_VALUE"""),1.28)</f>
        <v>1.28</v>
      </c>
      <c r="H1157" s="17"/>
      <c r="K1157" s="17"/>
      <c r="N1157" s="17"/>
    </row>
    <row r="1158">
      <c r="B1158" s="11">
        <f>IFERROR(__xludf.DUMMYFUNCTION("""COMPUTED_VALUE"""),44405.0)</f>
        <v>44405</v>
      </c>
      <c r="C1158" s="9">
        <f>IFERROR(__xludf.DUMMYFUNCTION("""COMPUTED_VALUE"""),1.26)</f>
        <v>1.26</v>
      </c>
      <c r="E1158" s="40">
        <f>IFERROR(__xludf.DUMMYFUNCTION("""COMPUTED_VALUE"""),44405.0)</f>
        <v>44405</v>
      </c>
      <c r="F1158" s="9">
        <f>IFERROR(__xludf.DUMMYFUNCTION("""COMPUTED_VALUE"""),1.26)</f>
        <v>1.26</v>
      </c>
      <c r="H1158" s="17"/>
      <c r="K1158" s="17"/>
      <c r="N1158" s="17"/>
    </row>
    <row r="1159">
      <c r="B1159" s="11">
        <f>IFERROR(__xludf.DUMMYFUNCTION("""COMPUTED_VALUE"""),44404.0)</f>
        <v>44404</v>
      </c>
      <c r="C1159" s="9">
        <f>IFERROR(__xludf.DUMMYFUNCTION("""COMPUTED_VALUE"""),1.25)</f>
        <v>1.25</v>
      </c>
      <c r="E1159" s="40">
        <f>IFERROR(__xludf.DUMMYFUNCTION("""COMPUTED_VALUE"""),44404.0)</f>
        <v>44404</v>
      </c>
      <c r="F1159" s="9">
        <f>IFERROR(__xludf.DUMMYFUNCTION("""COMPUTED_VALUE"""),1.25)</f>
        <v>1.25</v>
      </c>
      <c r="H1159" s="17"/>
      <c r="K1159" s="17"/>
      <c r="N1159" s="17"/>
    </row>
    <row r="1160">
      <c r="B1160" s="11">
        <f>IFERROR(__xludf.DUMMYFUNCTION("""COMPUTED_VALUE"""),44403.0)</f>
        <v>44403</v>
      </c>
      <c r="C1160" s="9">
        <f>IFERROR(__xludf.DUMMYFUNCTION("""COMPUTED_VALUE"""),1.29)</f>
        <v>1.29</v>
      </c>
      <c r="E1160" s="40">
        <f>IFERROR(__xludf.DUMMYFUNCTION("""COMPUTED_VALUE"""),44403.0)</f>
        <v>44403</v>
      </c>
      <c r="F1160" s="9">
        <f>IFERROR(__xludf.DUMMYFUNCTION("""COMPUTED_VALUE"""),1.29)</f>
        <v>1.29</v>
      </c>
      <c r="H1160" s="17"/>
      <c r="K1160" s="17"/>
      <c r="N1160" s="17"/>
    </row>
    <row r="1161">
      <c r="B1161" s="11">
        <f>IFERROR(__xludf.DUMMYFUNCTION("""COMPUTED_VALUE"""),44400.0)</f>
        <v>44400</v>
      </c>
      <c r="C1161" s="9">
        <f>IFERROR(__xludf.DUMMYFUNCTION("""COMPUTED_VALUE"""),1.3)</f>
        <v>1.3</v>
      </c>
      <c r="E1161" s="40">
        <f>IFERROR(__xludf.DUMMYFUNCTION("""COMPUTED_VALUE"""),44400.0)</f>
        <v>44400</v>
      </c>
      <c r="F1161" s="9">
        <f>IFERROR(__xludf.DUMMYFUNCTION("""COMPUTED_VALUE"""),1.3)</f>
        <v>1.3</v>
      </c>
      <c r="H1161" s="17"/>
      <c r="K1161" s="17"/>
      <c r="N1161" s="17"/>
    </row>
    <row r="1162">
      <c r="B1162" s="11">
        <f>IFERROR(__xludf.DUMMYFUNCTION("""COMPUTED_VALUE"""),44399.0)</f>
        <v>44399</v>
      </c>
      <c r="C1162" s="9">
        <f>IFERROR(__xludf.DUMMYFUNCTION("""COMPUTED_VALUE"""),1.27)</f>
        <v>1.27</v>
      </c>
      <c r="E1162" s="40">
        <f>IFERROR(__xludf.DUMMYFUNCTION("""COMPUTED_VALUE"""),44399.0)</f>
        <v>44399</v>
      </c>
      <c r="F1162" s="9">
        <f>IFERROR(__xludf.DUMMYFUNCTION("""COMPUTED_VALUE"""),1.27)</f>
        <v>1.27</v>
      </c>
      <c r="H1162" s="17"/>
      <c r="K1162" s="17"/>
      <c r="N1162" s="17"/>
    </row>
    <row r="1163">
      <c r="B1163" s="11">
        <f>IFERROR(__xludf.DUMMYFUNCTION("""COMPUTED_VALUE"""),44398.0)</f>
        <v>44398</v>
      </c>
      <c r="C1163" s="9">
        <f>IFERROR(__xludf.DUMMYFUNCTION("""COMPUTED_VALUE"""),1.3)</f>
        <v>1.3</v>
      </c>
      <c r="E1163" s="40">
        <f>IFERROR(__xludf.DUMMYFUNCTION("""COMPUTED_VALUE"""),44398.0)</f>
        <v>44398</v>
      </c>
      <c r="F1163" s="9">
        <f>IFERROR(__xludf.DUMMYFUNCTION("""COMPUTED_VALUE"""),1.3)</f>
        <v>1.3</v>
      </c>
      <c r="H1163" s="17"/>
      <c r="K1163" s="17"/>
      <c r="N1163" s="17"/>
    </row>
    <row r="1164">
      <c r="B1164" s="11">
        <f>IFERROR(__xludf.DUMMYFUNCTION("""COMPUTED_VALUE"""),44397.0)</f>
        <v>44397</v>
      </c>
      <c r="C1164" s="9">
        <f>IFERROR(__xludf.DUMMYFUNCTION("""COMPUTED_VALUE"""),1.23)</f>
        <v>1.23</v>
      </c>
      <c r="E1164" s="40">
        <f>IFERROR(__xludf.DUMMYFUNCTION("""COMPUTED_VALUE"""),44397.0)</f>
        <v>44397</v>
      </c>
      <c r="F1164" s="9">
        <f>IFERROR(__xludf.DUMMYFUNCTION("""COMPUTED_VALUE"""),1.23)</f>
        <v>1.23</v>
      </c>
      <c r="H1164" s="17"/>
      <c r="K1164" s="17"/>
      <c r="N1164" s="17"/>
    </row>
    <row r="1165">
      <c r="B1165" s="11">
        <f>IFERROR(__xludf.DUMMYFUNCTION("""COMPUTED_VALUE"""),44396.0)</f>
        <v>44396</v>
      </c>
      <c r="C1165" s="9">
        <f>IFERROR(__xludf.DUMMYFUNCTION("""COMPUTED_VALUE"""),1.19)</f>
        <v>1.19</v>
      </c>
      <c r="E1165" s="40">
        <f>IFERROR(__xludf.DUMMYFUNCTION("""COMPUTED_VALUE"""),44396.0)</f>
        <v>44396</v>
      </c>
      <c r="F1165" s="9">
        <f>IFERROR(__xludf.DUMMYFUNCTION("""COMPUTED_VALUE"""),1.19)</f>
        <v>1.19</v>
      </c>
      <c r="H1165" s="17"/>
      <c r="K1165" s="17"/>
      <c r="N1165" s="17"/>
    </row>
    <row r="1166">
      <c r="B1166" s="11">
        <f>IFERROR(__xludf.DUMMYFUNCTION("""COMPUTED_VALUE"""),44393.0)</f>
        <v>44393</v>
      </c>
      <c r="C1166" s="9">
        <f>IFERROR(__xludf.DUMMYFUNCTION("""COMPUTED_VALUE"""),1.31)</f>
        <v>1.31</v>
      </c>
      <c r="E1166" s="40">
        <f>IFERROR(__xludf.DUMMYFUNCTION("""COMPUTED_VALUE"""),44393.0)</f>
        <v>44393</v>
      </c>
      <c r="F1166" s="9">
        <f>IFERROR(__xludf.DUMMYFUNCTION("""COMPUTED_VALUE"""),1.31)</f>
        <v>1.31</v>
      </c>
      <c r="H1166" s="17"/>
      <c r="K1166" s="17"/>
      <c r="N1166" s="17"/>
    </row>
    <row r="1167">
      <c r="B1167" s="11">
        <f>IFERROR(__xludf.DUMMYFUNCTION("""COMPUTED_VALUE"""),44392.0)</f>
        <v>44392</v>
      </c>
      <c r="C1167" s="9">
        <f>IFERROR(__xludf.DUMMYFUNCTION("""COMPUTED_VALUE"""),1.31)</f>
        <v>1.31</v>
      </c>
      <c r="E1167" s="40">
        <f>IFERROR(__xludf.DUMMYFUNCTION("""COMPUTED_VALUE"""),44392.0)</f>
        <v>44392</v>
      </c>
      <c r="F1167" s="9">
        <f>IFERROR(__xludf.DUMMYFUNCTION("""COMPUTED_VALUE"""),1.31)</f>
        <v>1.31</v>
      </c>
      <c r="H1167" s="17"/>
      <c r="K1167" s="17"/>
      <c r="N1167" s="17"/>
    </row>
    <row r="1168">
      <c r="B1168" s="11">
        <f>IFERROR(__xludf.DUMMYFUNCTION("""COMPUTED_VALUE"""),44391.0)</f>
        <v>44391</v>
      </c>
      <c r="C1168" s="9">
        <f>IFERROR(__xludf.DUMMYFUNCTION("""COMPUTED_VALUE"""),1.37)</f>
        <v>1.37</v>
      </c>
      <c r="E1168" s="40">
        <f>IFERROR(__xludf.DUMMYFUNCTION("""COMPUTED_VALUE"""),44391.0)</f>
        <v>44391</v>
      </c>
      <c r="F1168" s="9">
        <f>IFERROR(__xludf.DUMMYFUNCTION("""COMPUTED_VALUE"""),1.37)</f>
        <v>1.37</v>
      </c>
      <c r="H1168" s="17"/>
      <c r="K1168" s="17"/>
      <c r="N1168" s="17"/>
    </row>
    <row r="1169">
      <c r="B1169" s="11">
        <f>IFERROR(__xludf.DUMMYFUNCTION("""COMPUTED_VALUE"""),44390.0)</f>
        <v>44390</v>
      </c>
      <c r="C1169" s="9">
        <f>IFERROR(__xludf.DUMMYFUNCTION("""COMPUTED_VALUE"""),1.42)</f>
        <v>1.42</v>
      </c>
      <c r="E1169" s="40">
        <f>IFERROR(__xludf.DUMMYFUNCTION("""COMPUTED_VALUE"""),44390.0)</f>
        <v>44390</v>
      </c>
      <c r="F1169" s="9">
        <f>IFERROR(__xludf.DUMMYFUNCTION("""COMPUTED_VALUE"""),1.42)</f>
        <v>1.42</v>
      </c>
      <c r="H1169" s="17"/>
      <c r="K1169" s="17"/>
      <c r="N1169" s="17"/>
    </row>
    <row r="1170">
      <c r="B1170" s="11">
        <f>IFERROR(__xludf.DUMMYFUNCTION("""COMPUTED_VALUE"""),44389.0)</f>
        <v>44389</v>
      </c>
      <c r="C1170" s="9">
        <f>IFERROR(__xludf.DUMMYFUNCTION("""COMPUTED_VALUE"""),1.38)</f>
        <v>1.38</v>
      </c>
      <c r="E1170" s="40">
        <f>IFERROR(__xludf.DUMMYFUNCTION("""COMPUTED_VALUE"""),44389.0)</f>
        <v>44389</v>
      </c>
      <c r="F1170" s="9">
        <f>IFERROR(__xludf.DUMMYFUNCTION("""COMPUTED_VALUE"""),1.38)</f>
        <v>1.38</v>
      </c>
      <c r="H1170" s="17"/>
      <c r="K1170" s="17"/>
      <c r="N1170" s="17"/>
    </row>
    <row r="1171">
      <c r="B1171" s="11">
        <f>IFERROR(__xludf.DUMMYFUNCTION("""COMPUTED_VALUE"""),44386.0)</f>
        <v>44386</v>
      </c>
      <c r="C1171" s="9">
        <f>IFERROR(__xludf.DUMMYFUNCTION("""COMPUTED_VALUE"""),1.37)</f>
        <v>1.37</v>
      </c>
      <c r="E1171" s="40">
        <f>IFERROR(__xludf.DUMMYFUNCTION("""COMPUTED_VALUE"""),44386.0)</f>
        <v>44386</v>
      </c>
      <c r="F1171" s="9">
        <f>IFERROR(__xludf.DUMMYFUNCTION("""COMPUTED_VALUE"""),1.37)</f>
        <v>1.37</v>
      </c>
      <c r="H1171" s="17"/>
      <c r="K1171" s="17"/>
      <c r="N1171" s="17"/>
    </row>
    <row r="1172">
      <c r="B1172" s="11">
        <f>IFERROR(__xludf.DUMMYFUNCTION("""COMPUTED_VALUE"""),44385.0)</f>
        <v>44385</v>
      </c>
      <c r="C1172" s="9">
        <f>IFERROR(__xludf.DUMMYFUNCTION("""COMPUTED_VALUE"""),1.3)</f>
        <v>1.3</v>
      </c>
      <c r="E1172" s="40">
        <f>IFERROR(__xludf.DUMMYFUNCTION("""COMPUTED_VALUE"""),44385.0)</f>
        <v>44385</v>
      </c>
      <c r="F1172" s="9">
        <f>IFERROR(__xludf.DUMMYFUNCTION("""COMPUTED_VALUE"""),1.3)</f>
        <v>1.3</v>
      </c>
      <c r="H1172" s="17"/>
      <c r="K1172" s="17"/>
      <c r="N1172" s="17"/>
    </row>
    <row r="1173">
      <c r="B1173" s="11">
        <f>IFERROR(__xludf.DUMMYFUNCTION("""COMPUTED_VALUE"""),44384.0)</f>
        <v>44384</v>
      </c>
      <c r="C1173" s="9">
        <f>IFERROR(__xludf.DUMMYFUNCTION("""COMPUTED_VALUE"""),1.33)</f>
        <v>1.33</v>
      </c>
      <c r="E1173" s="40">
        <f>IFERROR(__xludf.DUMMYFUNCTION("""COMPUTED_VALUE"""),44384.0)</f>
        <v>44384</v>
      </c>
      <c r="F1173" s="9">
        <f>IFERROR(__xludf.DUMMYFUNCTION("""COMPUTED_VALUE"""),1.33)</f>
        <v>1.33</v>
      </c>
      <c r="H1173" s="17"/>
      <c r="K1173" s="17"/>
      <c r="N1173" s="17"/>
    </row>
    <row r="1174">
      <c r="B1174" s="11">
        <f>IFERROR(__xludf.DUMMYFUNCTION("""COMPUTED_VALUE"""),44383.0)</f>
        <v>44383</v>
      </c>
      <c r="C1174" s="9">
        <f>IFERROR(__xludf.DUMMYFUNCTION("""COMPUTED_VALUE"""),1.37)</f>
        <v>1.37</v>
      </c>
      <c r="E1174" s="40">
        <f>IFERROR(__xludf.DUMMYFUNCTION("""COMPUTED_VALUE"""),44383.0)</f>
        <v>44383</v>
      </c>
      <c r="F1174" s="9">
        <f>IFERROR(__xludf.DUMMYFUNCTION("""COMPUTED_VALUE"""),1.37)</f>
        <v>1.37</v>
      </c>
      <c r="H1174" s="17"/>
      <c r="K1174" s="17"/>
      <c r="N1174" s="17"/>
    </row>
    <row r="1175">
      <c r="B1175" s="11">
        <f>IFERROR(__xludf.DUMMYFUNCTION("""COMPUTED_VALUE"""),44382.0)</f>
        <v>44382</v>
      </c>
      <c r="C1175" s="9"/>
      <c r="E1175" s="40">
        <f>IFERROR(__xludf.DUMMYFUNCTION("""COMPUTED_VALUE"""),44382.0)</f>
        <v>44382</v>
      </c>
      <c r="F1175" s="9"/>
      <c r="H1175" s="17"/>
      <c r="K1175" s="17"/>
      <c r="N1175" s="17"/>
    </row>
    <row r="1176">
      <c r="B1176" s="11">
        <f>IFERROR(__xludf.DUMMYFUNCTION("""COMPUTED_VALUE"""),44379.0)</f>
        <v>44379</v>
      </c>
      <c r="C1176" s="9">
        <f>IFERROR(__xludf.DUMMYFUNCTION("""COMPUTED_VALUE"""),1.44)</f>
        <v>1.44</v>
      </c>
      <c r="E1176" s="40">
        <f>IFERROR(__xludf.DUMMYFUNCTION("""COMPUTED_VALUE"""),44379.0)</f>
        <v>44379</v>
      </c>
      <c r="F1176" s="9">
        <f>IFERROR(__xludf.DUMMYFUNCTION("""COMPUTED_VALUE"""),1.44)</f>
        <v>1.44</v>
      </c>
      <c r="H1176" s="17"/>
      <c r="K1176" s="17"/>
      <c r="N1176" s="17"/>
    </row>
    <row r="1177">
      <c r="B1177" s="11">
        <f>IFERROR(__xludf.DUMMYFUNCTION("""COMPUTED_VALUE"""),44378.0)</f>
        <v>44378</v>
      </c>
      <c r="C1177" s="9">
        <f>IFERROR(__xludf.DUMMYFUNCTION("""COMPUTED_VALUE"""),1.48)</f>
        <v>1.48</v>
      </c>
      <c r="E1177" s="40">
        <f>IFERROR(__xludf.DUMMYFUNCTION("""COMPUTED_VALUE"""),44378.0)</f>
        <v>44378</v>
      </c>
      <c r="F1177" s="9">
        <f>IFERROR(__xludf.DUMMYFUNCTION("""COMPUTED_VALUE"""),1.48)</f>
        <v>1.48</v>
      </c>
      <c r="H1177" s="17"/>
      <c r="K1177" s="17"/>
      <c r="N1177" s="17"/>
    </row>
    <row r="1178">
      <c r="B1178" s="11">
        <f>IFERROR(__xludf.DUMMYFUNCTION("""COMPUTED_VALUE"""),44377.0)</f>
        <v>44377</v>
      </c>
      <c r="C1178" s="9">
        <f>IFERROR(__xludf.DUMMYFUNCTION("""COMPUTED_VALUE"""),1.45)</f>
        <v>1.45</v>
      </c>
      <c r="E1178" s="40">
        <f>IFERROR(__xludf.DUMMYFUNCTION("""COMPUTED_VALUE"""),44377.0)</f>
        <v>44377</v>
      </c>
      <c r="F1178" s="9">
        <f>IFERROR(__xludf.DUMMYFUNCTION("""COMPUTED_VALUE"""),1.45)</f>
        <v>1.45</v>
      </c>
      <c r="H1178" s="17"/>
      <c r="K1178" s="17"/>
      <c r="N1178" s="17"/>
    </row>
    <row r="1179">
      <c r="B1179" s="11">
        <f>IFERROR(__xludf.DUMMYFUNCTION("""COMPUTED_VALUE"""),44376.0)</f>
        <v>44376</v>
      </c>
      <c r="C1179" s="9">
        <f>IFERROR(__xludf.DUMMYFUNCTION("""COMPUTED_VALUE"""),1.49)</f>
        <v>1.49</v>
      </c>
      <c r="E1179" s="40">
        <f>IFERROR(__xludf.DUMMYFUNCTION("""COMPUTED_VALUE"""),44376.0)</f>
        <v>44376</v>
      </c>
      <c r="F1179" s="9">
        <f>IFERROR(__xludf.DUMMYFUNCTION("""COMPUTED_VALUE"""),1.49)</f>
        <v>1.49</v>
      </c>
      <c r="H1179" s="17"/>
      <c r="K1179" s="17"/>
      <c r="N1179" s="17"/>
    </row>
    <row r="1180">
      <c r="B1180" s="11">
        <f>IFERROR(__xludf.DUMMYFUNCTION("""COMPUTED_VALUE"""),44375.0)</f>
        <v>44375</v>
      </c>
      <c r="C1180" s="9">
        <f>IFERROR(__xludf.DUMMYFUNCTION("""COMPUTED_VALUE"""),1.49)</f>
        <v>1.49</v>
      </c>
      <c r="E1180" s="40">
        <f>IFERROR(__xludf.DUMMYFUNCTION("""COMPUTED_VALUE"""),44375.0)</f>
        <v>44375</v>
      </c>
      <c r="F1180" s="9">
        <f>IFERROR(__xludf.DUMMYFUNCTION("""COMPUTED_VALUE"""),1.49)</f>
        <v>1.49</v>
      </c>
      <c r="H1180" s="17"/>
      <c r="K1180" s="17"/>
      <c r="N1180" s="17"/>
    </row>
    <row r="1181">
      <c r="B1181" s="11">
        <f>IFERROR(__xludf.DUMMYFUNCTION("""COMPUTED_VALUE"""),44372.0)</f>
        <v>44372</v>
      </c>
      <c r="C1181" s="9">
        <f>IFERROR(__xludf.DUMMYFUNCTION("""COMPUTED_VALUE"""),1.54)</f>
        <v>1.54</v>
      </c>
      <c r="E1181" s="40">
        <f>IFERROR(__xludf.DUMMYFUNCTION("""COMPUTED_VALUE"""),44372.0)</f>
        <v>44372</v>
      </c>
      <c r="F1181" s="9">
        <f>IFERROR(__xludf.DUMMYFUNCTION("""COMPUTED_VALUE"""),1.54)</f>
        <v>1.54</v>
      </c>
      <c r="H1181" s="17"/>
      <c r="K1181" s="17"/>
      <c r="N1181" s="17"/>
    </row>
    <row r="1182">
      <c r="B1182" s="11">
        <f>IFERROR(__xludf.DUMMYFUNCTION("""COMPUTED_VALUE"""),44371.0)</f>
        <v>44371</v>
      </c>
      <c r="C1182" s="9">
        <f>IFERROR(__xludf.DUMMYFUNCTION("""COMPUTED_VALUE"""),1.49)</f>
        <v>1.49</v>
      </c>
      <c r="E1182" s="40">
        <f>IFERROR(__xludf.DUMMYFUNCTION("""COMPUTED_VALUE"""),44371.0)</f>
        <v>44371</v>
      </c>
      <c r="F1182" s="9">
        <f>IFERROR(__xludf.DUMMYFUNCTION("""COMPUTED_VALUE"""),1.49)</f>
        <v>1.49</v>
      </c>
      <c r="H1182" s="17"/>
      <c r="K1182" s="17"/>
      <c r="N1182" s="17"/>
    </row>
    <row r="1183">
      <c r="B1183" s="11">
        <f>IFERROR(__xludf.DUMMYFUNCTION("""COMPUTED_VALUE"""),44370.0)</f>
        <v>44370</v>
      </c>
      <c r="C1183" s="9">
        <f>IFERROR(__xludf.DUMMYFUNCTION("""COMPUTED_VALUE"""),1.5)</f>
        <v>1.5</v>
      </c>
      <c r="E1183" s="40">
        <f>IFERROR(__xludf.DUMMYFUNCTION("""COMPUTED_VALUE"""),44370.0)</f>
        <v>44370</v>
      </c>
      <c r="F1183" s="9">
        <f>IFERROR(__xludf.DUMMYFUNCTION("""COMPUTED_VALUE"""),1.5)</f>
        <v>1.5</v>
      </c>
      <c r="H1183" s="17"/>
      <c r="K1183" s="17"/>
      <c r="N1183" s="17"/>
    </row>
    <row r="1184">
      <c r="B1184" s="11">
        <f>IFERROR(__xludf.DUMMYFUNCTION("""COMPUTED_VALUE"""),44369.0)</f>
        <v>44369</v>
      </c>
      <c r="C1184" s="9">
        <f>IFERROR(__xludf.DUMMYFUNCTION("""COMPUTED_VALUE"""),1.48)</f>
        <v>1.48</v>
      </c>
      <c r="E1184" s="40">
        <f>IFERROR(__xludf.DUMMYFUNCTION("""COMPUTED_VALUE"""),44369.0)</f>
        <v>44369</v>
      </c>
      <c r="F1184" s="9">
        <f>IFERROR(__xludf.DUMMYFUNCTION("""COMPUTED_VALUE"""),1.48)</f>
        <v>1.48</v>
      </c>
      <c r="H1184" s="17"/>
      <c r="K1184" s="17"/>
      <c r="N1184" s="17"/>
    </row>
    <row r="1185">
      <c r="B1185" s="11">
        <f>IFERROR(__xludf.DUMMYFUNCTION("""COMPUTED_VALUE"""),44368.0)</f>
        <v>44368</v>
      </c>
      <c r="C1185" s="9">
        <f>IFERROR(__xludf.DUMMYFUNCTION("""COMPUTED_VALUE"""),1.5)</f>
        <v>1.5</v>
      </c>
      <c r="E1185" s="40">
        <f>IFERROR(__xludf.DUMMYFUNCTION("""COMPUTED_VALUE"""),44368.0)</f>
        <v>44368</v>
      </c>
      <c r="F1185" s="9">
        <f>IFERROR(__xludf.DUMMYFUNCTION("""COMPUTED_VALUE"""),1.5)</f>
        <v>1.5</v>
      </c>
      <c r="H1185" s="17"/>
      <c r="K1185" s="17"/>
      <c r="N1185" s="17"/>
    </row>
    <row r="1186">
      <c r="B1186" s="11">
        <f>IFERROR(__xludf.DUMMYFUNCTION("""COMPUTED_VALUE"""),44365.0)</f>
        <v>44365</v>
      </c>
      <c r="C1186" s="9">
        <f>IFERROR(__xludf.DUMMYFUNCTION("""COMPUTED_VALUE"""),1.45)</f>
        <v>1.45</v>
      </c>
      <c r="E1186" s="40">
        <f>IFERROR(__xludf.DUMMYFUNCTION("""COMPUTED_VALUE"""),44365.0)</f>
        <v>44365</v>
      </c>
      <c r="F1186" s="9">
        <f>IFERROR(__xludf.DUMMYFUNCTION("""COMPUTED_VALUE"""),1.45)</f>
        <v>1.45</v>
      </c>
      <c r="H1186" s="17"/>
      <c r="K1186" s="17"/>
      <c r="N1186" s="17"/>
    </row>
    <row r="1187">
      <c r="B1187" s="11">
        <f>IFERROR(__xludf.DUMMYFUNCTION("""COMPUTED_VALUE"""),44364.0)</f>
        <v>44364</v>
      </c>
      <c r="C1187" s="9">
        <f>IFERROR(__xludf.DUMMYFUNCTION("""COMPUTED_VALUE"""),1.52)</f>
        <v>1.52</v>
      </c>
      <c r="E1187" s="40">
        <f>IFERROR(__xludf.DUMMYFUNCTION("""COMPUTED_VALUE"""),44364.0)</f>
        <v>44364</v>
      </c>
      <c r="F1187" s="9">
        <f>IFERROR(__xludf.DUMMYFUNCTION("""COMPUTED_VALUE"""),1.52)</f>
        <v>1.52</v>
      </c>
      <c r="H1187" s="17"/>
      <c r="K1187" s="17"/>
      <c r="N1187" s="17"/>
    </row>
    <row r="1188">
      <c r="B1188" s="11">
        <f>IFERROR(__xludf.DUMMYFUNCTION("""COMPUTED_VALUE"""),44363.0)</f>
        <v>44363</v>
      </c>
      <c r="C1188" s="9">
        <f>IFERROR(__xludf.DUMMYFUNCTION("""COMPUTED_VALUE"""),1.57)</f>
        <v>1.57</v>
      </c>
      <c r="E1188" s="40">
        <f>IFERROR(__xludf.DUMMYFUNCTION("""COMPUTED_VALUE"""),44363.0)</f>
        <v>44363</v>
      </c>
      <c r="F1188" s="9">
        <f>IFERROR(__xludf.DUMMYFUNCTION("""COMPUTED_VALUE"""),1.57)</f>
        <v>1.57</v>
      </c>
      <c r="H1188" s="17"/>
      <c r="K1188" s="17"/>
      <c r="N1188" s="17"/>
    </row>
    <row r="1189">
      <c r="B1189" s="11">
        <f>IFERROR(__xludf.DUMMYFUNCTION("""COMPUTED_VALUE"""),44362.0)</f>
        <v>44362</v>
      </c>
      <c r="C1189" s="9">
        <f>IFERROR(__xludf.DUMMYFUNCTION("""COMPUTED_VALUE"""),1.51)</f>
        <v>1.51</v>
      </c>
      <c r="E1189" s="40">
        <f>IFERROR(__xludf.DUMMYFUNCTION("""COMPUTED_VALUE"""),44362.0)</f>
        <v>44362</v>
      </c>
      <c r="F1189" s="9">
        <f>IFERROR(__xludf.DUMMYFUNCTION("""COMPUTED_VALUE"""),1.51)</f>
        <v>1.51</v>
      </c>
      <c r="H1189" s="17"/>
      <c r="K1189" s="17"/>
      <c r="N1189" s="17"/>
    </row>
    <row r="1190">
      <c r="B1190" s="11">
        <f>IFERROR(__xludf.DUMMYFUNCTION("""COMPUTED_VALUE"""),44361.0)</f>
        <v>44361</v>
      </c>
      <c r="C1190" s="9">
        <f>IFERROR(__xludf.DUMMYFUNCTION("""COMPUTED_VALUE"""),1.51)</f>
        <v>1.51</v>
      </c>
      <c r="E1190" s="40">
        <f>IFERROR(__xludf.DUMMYFUNCTION("""COMPUTED_VALUE"""),44361.0)</f>
        <v>44361</v>
      </c>
      <c r="F1190" s="9">
        <f>IFERROR(__xludf.DUMMYFUNCTION("""COMPUTED_VALUE"""),1.51)</f>
        <v>1.51</v>
      </c>
      <c r="H1190" s="17"/>
      <c r="K1190" s="17"/>
      <c r="N1190" s="17"/>
    </row>
    <row r="1191">
      <c r="B1191" s="11">
        <f>IFERROR(__xludf.DUMMYFUNCTION("""COMPUTED_VALUE"""),44358.0)</f>
        <v>44358</v>
      </c>
      <c r="C1191" s="9">
        <f>IFERROR(__xludf.DUMMYFUNCTION("""COMPUTED_VALUE"""),1.47)</f>
        <v>1.47</v>
      </c>
      <c r="E1191" s="40">
        <f>IFERROR(__xludf.DUMMYFUNCTION("""COMPUTED_VALUE"""),44358.0)</f>
        <v>44358</v>
      </c>
      <c r="F1191" s="9">
        <f>IFERROR(__xludf.DUMMYFUNCTION("""COMPUTED_VALUE"""),1.47)</f>
        <v>1.47</v>
      </c>
      <c r="H1191" s="17"/>
      <c r="K1191" s="17"/>
      <c r="N1191" s="17"/>
    </row>
    <row r="1192">
      <c r="B1192" s="11">
        <f>IFERROR(__xludf.DUMMYFUNCTION("""COMPUTED_VALUE"""),44357.0)</f>
        <v>44357</v>
      </c>
      <c r="C1192" s="9">
        <f>IFERROR(__xludf.DUMMYFUNCTION("""COMPUTED_VALUE"""),1.45)</f>
        <v>1.45</v>
      </c>
      <c r="E1192" s="40">
        <f>IFERROR(__xludf.DUMMYFUNCTION("""COMPUTED_VALUE"""),44357.0)</f>
        <v>44357</v>
      </c>
      <c r="F1192" s="9">
        <f>IFERROR(__xludf.DUMMYFUNCTION("""COMPUTED_VALUE"""),1.45)</f>
        <v>1.45</v>
      </c>
      <c r="H1192" s="17"/>
      <c r="K1192" s="17"/>
      <c r="N1192" s="17"/>
    </row>
    <row r="1193">
      <c r="B1193" s="11">
        <f>IFERROR(__xludf.DUMMYFUNCTION("""COMPUTED_VALUE"""),44356.0)</f>
        <v>44356</v>
      </c>
      <c r="C1193" s="9">
        <f>IFERROR(__xludf.DUMMYFUNCTION("""COMPUTED_VALUE"""),1.5)</f>
        <v>1.5</v>
      </c>
      <c r="E1193" s="40">
        <f>IFERROR(__xludf.DUMMYFUNCTION("""COMPUTED_VALUE"""),44356.0)</f>
        <v>44356</v>
      </c>
      <c r="F1193" s="9">
        <f>IFERROR(__xludf.DUMMYFUNCTION("""COMPUTED_VALUE"""),1.5)</f>
        <v>1.5</v>
      </c>
      <c r="H1193" s="17"/>
      <c r="K1193" s="17"/>
      <c r="N1193" s="17"/>
    </row>
    <row r="1194">
      <c r="B1194" s="11">
        <f>IFERROR(__xludf.DUMMYFUNCTION("""COMPUTED_VALUE"""),44355.0)</f>
        <v>44355</v>
      </c>
      <c r="C1194" s="9">
        <f>IFERROR(__xludf.DUMMYFUNCTION("""COMPUTED_VALUE"""),1.53)</f>
        <v>1.53</v>
      </c>
      <c r="E1194" s="40">
        <f>IFERROR(__xludf.DUMMYFUNCTION("""COMPUTED_VALUE"""),44355.0)</f>
        <v>44355</v>
      </c>
      <c r="F1194" s="9">
        <f>IFERROR(__xludf.DUMMYFUNCTION("""COMPUTED_VALUE"""),1.53)</f>
        <v>1.53</v>
      </c>
      <c r="H1194" s="17"/>
      <c r="K1194" s="17"/>
      <c r="N1194" s="17"/>
    </row>
    <row r="1195">
      <c r="B1195" s="11">
        <f>IFERROR(__xludf.DUMMYFUNCTION("""COMPUTED_VALUE"""),44354.0)</f>
        <v>44354</v>
      </c>
      <c r="C1195" s="9">
        <f>IFERROR(__xludf.DUMMYFUNCTION("""COMPUTED_VALUE"""),1.57)</f>
        <v>1.57</v>
      </c>
      <c r="E1195" s="40">
        <f>IFERROR(__xludf.DUMMYFUNCTION("""COMPUTED_VALUE"""),44354.0)</f>
        <v>44354</v>
      </c>
      <c r="F1195" s="9">
        <f>IFERROR(__xludf.DUMMYFUNCTION("""COMPUTED_VALUE"""),1.57)</f>
        <v>1.57</v>
      </c>
      <c r="H1195" s="17"/>
      <c r="K1195" s="17"/>
      <c r="N1195" s="17"/>
    </row>
    <row r="1196">
      <c r="B1196" s="11">
        <f>IFERROR(__xludf.DUMMYFUNCTION("""COMPUTED_VALUE"""),44351.0)</f>
        <v>44351</v>
      </c>
      <c r="C1196" s="9">
        <f>IFERROR(__xludf.DUMMYFUNCTION("""COMPUTED_VALUE"""),1.56)</f>
        <v>1.56</v>
      </c>
      <c r="E1196" s="40">
        <f>IFERROR(__xludf.DUMMYFUNCTION("""COMPUTED_VALUE"""),44351.0)</f>
        <v>44351</v>
      </c>
      <c r="F1196" s="9">
        <f>IFERROR(__xludf.DUMMYFUNCTION("""COMPUTED_VALUE"""),1.56)</f>
        <v>1.56</v>
      </c>
      <c r="H1196" s="17"/>
      <c r="K1196" s="17"/>
      <c r="N1196" s="17"/>
    </row>
    <row r="1197">
      <c r="B1197" s="11">
        <f>IFERROR(__xludf.DUMMYFUNCTION("""COMPUTED_VALUE"""),44350.0)</f>
        <v>44350</v>
      </c>
      <c r="C1197" s="9">
        <f>IFERROR(__xludf.DUMMYFUNCTION("""COMPUTED_VALUE"""),1.63)</f>
        <v>1.63</v>
      </c>
      <c r="E1197" s="40">
        <f>IFERROR(__xludf.DUMMYFUNCTION("""COMPUTED_VALUE"""),44350.0)</f>
        <v>44350</v>
      </c>
      <c r="F1197" s="9">
        <f>IFERROR(__xludf.DUMMYFUNCTION("""COMPUTED_VALUE"""),1.63)</f>
        <v>1.63</v>
      </c>
      <c r="H1197" s="17"/>
      <c r="K1197" s="17"/>
      <c r="N1197" s="17"/>
    </row>
    <row r="1198">
      <c r="B1198" s="11">
        <f>IFERROR(__xludf.DUMMYFUNCTION("""COMPUTED_VALUE"""),44349.0)</f>
        <v>44349</v>
      </c>
      <c r="C1198" s="9">
        <f>IFERROR(__xludf.DUMMYFUNCTION("""COMPUTED_VALUE"""),1.59)</f>
        <v>1.59</v>
      </c>
      <c r="E1198" s="40">
        <f>IFERROR(__xludf.DUMMYFUNCTION("""COMPUTED_VALUE"""),44349.0)</f>
        <v>44349</v>
      </c>
      <c r="F1198" s="9">
        <f>IFERROR(__xludf.DUMMYFUNCTION("""COMPUTED_VALUE"""),1.59)</f>
        <v>1.59</v>
      </c>
      <c r="H1198" s="17"/>
      <c r="K1198" s="17"/>
      <c r="N1198" s="17"/>
    </row>
    <row r="1199">
      <c r="B1199" s="11">
        <f>IFERROR(__xludf.DUMMYFUNCTION("""COMPUTED_VALUE"""),44348.0)</f>
        <v>44348</v>
      </c>
      <c r="C1199" s="9">
        <f>IFERROR(__xludf.DUMMYFUNCTION("""COMPUTED_VALUE"""),1.62)</f>
        <v>1.62</v>
      </c>
      <c r="E1199" s="40">
        <f>IFERROR(__xludf.DUMMYFUNCTION("""COMPUTED_VALUE"""),44348.0)</f>
        <v>44348</v>
      </c>
      <c r="F1199" s="9">
        <f>IFERROR(__xludf.DUMMYFUNCTION("""COMPUTED_VALUE"""),1.62)</f>
        <v>1.62</v>
      </c>
      <c r="H1199" s="17"/>
      <c r="K1199" s="17"/>
      <c r="N1199" s="17"/>
    </row>
    <row r="1200">
      <c r="B1200" s="11">
        <f>IFERROR(__xludf.DUMMYFUNCTION("""COMPUTED_VALUE"""),44347.0)</f>
        <v>44347</v>
      </c>
      <c r="C1200" s="9"/>
      <c r="E1200" s="40">
        <f>IFERROR(__xludf.DUMMYFUNCTION("""COMPUTED_VALUE"""),44347.0)</f>
        <v>44347</v>
      </c>
      <c r="F1200" s="9"/>
      <c r="H1200" s="17"/>
      <c r="K1200" s="17"/>
      <c r="N1200" s="17"/>
    </row>
    <row r="1201">
      <c r="B1201" s="11">
        <f>IFERROR(__xludf.DUMMYFUNCTION("""COMPUTED_VALUE"""),44344.0)</f>
        <v>44344</v>
      </c>
      <c r="C1201" s="9">
        <f>IFERROR(__xludf.DUMMYFUNCTION("""COMPUTED_VALUE"""),1.58)</f>
        <v>1.58</v>
      </c>
      <c r="E1201" s="40">
        <f>IFERROR(__xludf.DUMMYFUNCTION("""COMPUTED_VALUE"""),44344.0)</f>
        <v>44344</v>
      </c>
      <c r="F1201" s="9">
        <f>IFERROR(__xludf.DUMMYFUNCTION("""COMPUTED_VALUE"""),1.58)</f>
        <v>1.58</v>
      </c>
      <c r="H1201" s="17"/>
      <c r="K1201" s="17"/>
      <c r="N1201" s="17"/>
    </row>
    <row r="1202">
      <c r="B1202" s="11">
        <f>IFERROR(__xludf.DUMMYFUNCTION("""COMPUTED_VALUE"""),44343.0)</f>
        <v>44343</v>
      </c>
      <c r="C1202" s="9">
        <f>IFERROR(__xludf.DUMMYFUNCTION("""COMPUTED_VALUE"""),1.61)</f>
        <v>1.61</v>
      </c>
      <c r="E1202" s="40">
        <f>IFERROR(__xludf.DUMMYFUNCTION("""COMPUTED_VALUE"""),44343.0)</f>
        <v>44343</v>
      </c>
      <c r="F1202" s="9">
        <f>IFERROR(__xludf.DUMMYFUNCTION("""COMPUTED_VALUE"""),1.61)</f>
        <v>1.61</v>
      </c>
      <c r="H1202" s="17"/>
      <c r="K1202" s="17"/>
      <c r="N1202" s="17"/>
    </row>
    <row r="1203">
      <c r="B1203" s="11">
        <f>IFERROR(__xludf.DUMMYFUNCTION("""COMPUTED_VALUE"""),44342.0)</f>
        <v>44342</v>
      </c>
      <c r="C1203" s="9">
        <f>IFERROR(__xludf.DUMMYFUNCTION("""COMPUTED_VALUE"""),1.58)</f>
        <v>1.58</v>
      </c>
      <c r="E1203" s="40">
        <f>IFERROR(__xludf.DUMMYFUNCTION("""COMPUTED_VALUE"""),44342.0)</f>
        <v>44342</v>
      </c>
      <c r="F1203" s="9">
        <f>IFERROR(__xludf.DUMMYFUNCTION("""COMPUTED_VALUE"""),1.58)</f>
        <v>1.58</v>
      </c>
      <c r="H1203" s="17"/>
      <c r="K1203" s="17"/>
      <c r="N1203" s="17"/>
    </row>
    <row r="1204">
      <c r="B1204" s="11">
        <f>IFERROR(__xludf.DUMMYFUNCTION("""COMPUTED_VALUE"""),44341.0)</f>
        <v>44341</v>
      </c>
      <c r="C1204" s="9">
        <f>IFERROR(__xludf.DUMMYFUNCTION("""COMPUTED_VALUE"""),1.56)</f>
        <v>1.56</v>
      </c>
      <c r="E1204" s="40">
        <f>IFERROR(__xludf.DUMMYFUNCTION("""COMPUTED_VALUE"""),44341.0)</f>
        <v>44341</v>
      </c>
      <c r="F1204" s="9">
        <f>IFERROR(__xludf.DUMMYFUNCTION("""COMPUTED_VALUE"""),1.56)</f>
        <v>1.56</v>
      </c>
      <c r="H1204" s="17"/>
      <c r="K1204" s="17"/>
      <c r="N1204" s="17"/>
    </row>
    <row r="1205">
      <c r="B1205" s="11">
        <f>IFERROR(__xludf.DUMMYFUNCTION("""COMPUTED_VALUE"""),44340.0)</f>
        <v>44340</v>
      </c>
      <c r="C1205" s="9">
        <f>IFERROR(__xludf.DUMMYFUNCTION("""COMPUTED_VALUE"""),1.61)</f>
        <v>1.61</v>
      </c>
      <c r="E1205" s="40">
        <f>IFERROR(__xludf.DUMMYFUNCTION("""COMPUTED_VALUE"""),44340.0)</f>
        <v>44340</v>
      </c>
      <c r="F1205" s="9">
        <f>IFERROR(__xludf.DUMMYFUNCTION("""COMPUTED_VALUE"""),1.61)</f>
        <v>1.61</v>
      </c>
      <c r="H1205" s="17"/>
      <c r="K1205" s="17"/>
      <c r="N1205" s="17"/>
    </row>
    <row r="1206">
      <c r="B1206" s="11">
        <f>IFERROR(__xludf.DUMMYFUNCTION("""COMPUTED_VALUE"""),44337.0)</f>
        <v>44337</v>
      </c>
      <c r="C1206" s="9">
        <f>IFERROR(__xludf.DUMMYFUNCTION("""COMPUTED_VALUE"""),1.63)</f>
        <v>1.63</v>
      </c>
      <c r="E1206" s="40">
        <f>IFERROR(__xludf.DUMMYFUNCTION("""COMPUTED_VALUE"""),44337.0)</f>
        <v>44337</v>
      </c>
      <c r="F1206" s="9">
        <f>IFERROR(__xludf.DUMMYFUNCTION("""COMPUTED_VALUE"""),1.63)</f>
        <v>1.63</v>
      </c>
      <c r="H1206" s="17"/>
      <c r="K1206" s="17"/>
      <c r="N1206" s="17"/>
    </row>
    <row r="1207">
      <c r="B1207" s="11">
        <f>IFERROR(__xludf.DUMMYFUNCTION("""COMPUTED_VALUE"""),44336.0)</f>
        <v>44336</v>
      </c>
      <c r="C1207" s="9">
        <f>IFERROR(__xludf.DUMMYFUNCTION("""COMPUTED_VALUE"""),1.63)</f>
        <v>1.63</v>
      </c>
      <c r="E1207" s="40">
        <f>IFERROR(__xludf.DUMMYFUNCTION("""COMPUTED_VALUE"""),44336.0)</f>
        <v>44336</v>
      </c>
      <c r="F1207" s="9">
        <f>IFERROR(__xludf.DUMMYFUNCTION("""COMPUTED_VALUE"""),1.63)</f>
        <v>1.63</v>
      </c>
      <c r="H1207" s="17"/>
      <c r="K1207" s="17"/>
      <c r="N1207" s="17"/>
    </row>
    <row r="1208">
      <c r="B1208" s="11">
        <f>IFERROR(__xludf.DUMMYFUNCTION("""COMPUTED_VALUE"""),44335.0)</f>
        <v>44335</v>
      </c>
      <c r="C1208" s="9">
        <f>IFERROR(__xludf.DUMMYFUNCTION("""COMPUTED_VALUE"""),1.68)</f>
        <v>1.68</v>
      </c>
      <c r="E1208" s="40">
        <f>IFERROR(__xludf.DUMMYFUNCTION("""COMPUTED_VALUE"""),44335.0)</f>
        <v>44335</v>
      </c>
      <c r="F1208" s="9">
        <f>IFERROR(__xludf.DUMMYFUNCTION("""COMPUTED_VALUE"""),1.68)</f>
        <v>1.68</v>
      </c>
      <c r="H1208" s="17"/>
      <c r="K1208" s="17"/>
      <c r="N1208" s="17"/>
    </row>
    <row r="1209">
      <c r="B1209" s="11">
        <f>IFERROR(__xludf.DUMMYFUNCTION("""COMPUTED_VALUE"""),44334.0)</f>
        <v>44334</v>
      </c>
      <c r="C1209" s="9">
        <f>IFERROR(__xludf.DUMMYFUNCTION("""COMPUTED_VALUE"""),1.64)</f>
        <v>1.64</v>
      </c>
      <c r="E1209" s="40">
        <f>IFERROR(__xludf.DUMMYFUNCTION("""COMPUTED_VALUE"""),44334.0)</f>
        <v>44334</v>
      </c>
      <c r="F1209" s="9">
        <f>IFERROR(__xludf.DUMMYFUNCTION("""COMPUTED_VALUE"""),1.64)</f>
        <v>1.64</v>
      </c>
      <c r="H1209" s="17"/>
      <c r="K1209" s="17"/>
      <c r="N1209" s="17"/>
    </row>
    <row r="1210">
      <c r="B1210" s="11">
        <f>IFERROR(__xludf.DUMMYFUNCTION("""COMPUTED_VALUE"""),44333.0)</f>
        <v>44333</v>
      </c>
      <c r="C1210" s="9">
        <f>IFERROR(__xludf.DUMMYFUNCTION("""COMPUTED_VALUE"""),1.64)</f>
        <v>1.64</v>
      </c>
      <c r="E1210" s="40">
        <f>IFERROR(__xludf.DUMMYFUNCTION("""COMPUTED_VALUE"""),44333.0)</f>
        <v>44333</v>
      </c>
      <c r="F1210" s="9">
        <f>IFERROR(__xludf.DUMMYFUNCTION("""COMPUTED_VALUE"""),1.64)</f>
        <v>1.64</v>
      </c>
      <c r="H1210" s="17"/>
      <c r="K1210" s="17"/>
      <c r="N1210" s="17"/>
    </row>
    <row r="1211">
      <c r="B1211" s="11">
        <f>IFERROR(__xludf.DUMMYFUNCTION("""COMPUTED_VALUE"""),44330.0)</f>
        <v>44330</v>
      </c>
      <c r="C1211" s="9">
        <f>IFERROR(__xludf.DUMMYFUNCTION("""COMPUTED_VALUE"""),1.63)</f>
        <v>1.63</v>
      </c>
      <c r="E1211" s="40">
        <f>IFERROR(__xludf.DUMMYFUNCTION("""COMPUTED_VALUE"""),44330.0)</f>
        <v>44330</v>
      </c>
      <c r="F1211" s="9">
        <f>IFERROR(__xludf.DUMMYFUNCTION("""COMPUTED_VALUE"""),1.63)</f>
        <v>1.63</v>
      </c>
      <c r="H1211" s="17"/>
      <c r="K1211" s="17"/>
      <c r="N1211" s="17"/>
    </row>
    <row r="1212">
      <c r="B1212" s="11">
        <f>IFERROR(__xludf.DUMMYFUNCTION("""COMPUTED_VALUE"""),44329.0)</f>
        <v>44329</v>
      </c>
      <c r="C1212" s="9">
        <f>IFERROR(__xludf.DUMMYFUNCTION("""COMPUTED_VALUE"""),1.66)</f>
        <v>1.66</v>
      </c>
      <c r="E1212" s="40">
        <f>IFERROR(__xludf.DUMMYFUNCTION("""COMPUTED_VALUE"""),44329.0)</f>
        <v>44329</v>
      </c>
      <c r="F1212" s="9">
        <f>IFERROR(__xludf.DUMMYFUNCTION("""COMPUTED_VALUE"""),1.66)</f>
        <v>1.66</v>
      </c>
      <c r="H1212" s="17"/>
      <c r="K1212" s="17"/>
      <c r="N1212" s="17"/>
    </row>
    <row r="1213">
      <c r="B1213" s="11">
        <f>IFERROR(__xludf.DUMMYFUNCTION("""COMPUTED_VALUE"""),44328.0)</f>
        <v>44328</v>
      </c>
      <c r="C1213" s="9">
        <f>IFERROR(__xludf.DUMMYFUNCTION("""COMPUTED_VALUE"""),1.69)</f>
        <v>1.69</v>
      </c>
      <c r="E1213" s="40">
        <f>IFERROR(__xludf.DUMMYFUNCTION("""COMPUTED_VALUE"""),44328.0)</f>
        <v>44328</v>
      </c>
      <c r="F1213" s="9">
        <f>IFERROR(__xludf.DUMMYFUNCTION("""COMPUTED_VALUE"""),1.69)</f>
        <v>1.69</v>
      </c>
      <c r="H1213" s="17"/>
      <c r="K1213" s="17"/>
      <c r="N1213" s="17"/>
    </row>
    <row r="1214">
      <c r="B1214" s="11">
        <f>IFERROR(__xludf.DUMMYFUNCTION("""COMPUTED_VALUE"""),44327.0)</f>
        <v>44327</v>
      </c>
      <c r="C1214" s="9">
        <f>IFERROR(__xludf.DUMMYFUNCTION("""COMPUTED_VALUE"""),1.64)</f>
        <v>1.64</v>
      </c>
      <c r="E1214" s="40">
        <f>IFERROR(__xludf.DUMMYFUNCTION("""COMPUTED_VALUE"""),44327.0)</f>
        <v>44327</v>
      </c>
      <c r="F1214" s="9">
        <f>IFERROR(__xludf.DUMMYFUNCTION("""COMPUTED_VALUE"""),1.64)</f>
        <v>1.64</v>
      </c>
      <c r="H1214" s="17"/>
      <c r="K1214" s="17"/>
      <c r="N1214" s="17"/>
    </row>
    <row r="1215">
      <c r="B1215" s="11">
        <f>IFERROR(__xludf.DUMMYFUNCTION("""COMPUTED_VALUE"""),44326.0)</f>
        <v>44326</v>
      </c>
      <c r="C1215" s="9">
        <f>IFERROR(__xludf.DUMMYFUNCTION("""COMPUTED_VALUE"""),1.63)</f>
        <v>1.63</v>
      </c>
      <c r="E1215" s="40">
        <f>IFERROR(__xludf.DUMMYFUNCTION("""COMPUTED_VALUE"""),44326.0)</f>
        <v>44326</v>
      </c>
      <c r="F1215" s="9">
        <f>IFERROR(__xludf.DUMMYFUNCTION("""COMPUTED_VALUE"""),1.63)</f>
        <v>1.63</v>
      </c>
      <c r="H1215" s="17"/>
      <c r="K1215" s="17"/>
      <c r="N1215" s="17"/>
    </row>
    <row r="1216">
      <c r="B1216" s="11">
        <f>IFERROR(__xludf.DUMMYFUNCTION("""COMPUTED_VALUE"""),44323.0)</f>
        <v>44323</v>
      </c>
      <c r="C1216" s="9">
        <f>IFERROR(__xludf.DUMMYFUNCTION("""COMPUTED_VALUE"""),1.6)</f>
        <v>1.6</v>
      </c>
      <c r="E1216" s="40">
        <f>IFERROR(__xludf.DUMMYFUNCTION("""COMPUTED_VALUE"""),44323.0)</f>
        <v>44323</v>
      </c>
      <c r="F1216" s="9">
        <f>IFERROR(__xludf.DUMMYFUNCTION("""COMPUTED_VALUE"""),1.6)</f>
        <v>1.6</v>
      </c>
      <c r="H1216" s="17"/>
      <c r="K1216" s="17"/>
      <c r="N1216" s="17"/>
    </row>
    <row r="1217">
      <c r="B1217" s="11">
        <f>IFERROR(__xludf.DUMMYFUNCTION("""COMPUTED_VALUE"""),44322.0)</f>
        <v>44322</v>
      </c>
      <c r="C1217" s="9">
        <f>IFERROR(__xludf.DUMMYFUNCTION("""COMPUTED_VALUE"""),1.58)</f>
        <v>1.58</v>
      </c>
      <c r="E1217" s="40">
        <f>IFERROR(__xludf.DUMMYFUNCTION("""COMPUTED_VALUE"""),44322.0)</f>
        <v>44322</v>
      </c>
      <c r="F1217" s="9">
        <f>IFERROR(__xludf.DUMMYFUNCTION("""COMPUTED_VALUE"""),1.58)</f>
        <v>1.58</v>
      </c>
      <c r="H1217" s="17"/>
      <c r="K1217" s="17"/>
      <c r="N1217" s="17"/>
    </row>
    <row r="1218">
      <c r="B1218" s="11">
        <f>IFERROR(__xludf.DUMMYFUNCTION("""COMPUTED_VALUE"""),44321.0)</f>
        <v>44321</v>
      </c>
      <c r="C1218" s="9">
        <f>IFERROR(__xludf.DUMMYFUNCTION("""COMPUTED_VALUE"""),1.59)</f>
        <v>1.59</v>
      </c>
      <c r="E1218" s="40">
        <f>IFERROR(__xludf.DUMMYFUNCTION("""COMPUTED_VALUE"""),44321.0)</f>
        <v>44321</v>
      </c>
      <c r="F1218" s="9">
        <f>IFERROR(__xludf.DUMMYFUNCTION("""COMPUTED_VALUE"""),1.59)</f>
        <v>1.59</v>
      </c>
      <c r="H1218" s="17"/>
      <c r="K1218" s="17"/>
      <c r="N1218" s="17"/>
    </row>
    <row r="1219">
      <c r="B1219" s="11">
        <f>IFERROR(__xludf.DUMMYFUNCTION("""COMPUTED_VALUE"""),44320.0)</f>
        <v>44320</v>
      </c>
      <c r="C1219" s="9">
        <f>IFERROR(__xludf.DUMMYFUNCTION("""COMPUTED_VALUE"""),1.61)</f>
        <v>1.61</v>
      </c>
      <c r="E1219" s="40">
        <f>IFERROR(__xludf.DUMMYFUNCTION("""COMPUTED_VALUE"""),44320.0)</f>
        <v>44320</v>
      </c>
      <c r="F1219" s="9">
        <f>IFERROR(__xludf.DUMMYFUNCTION("""COMPUTED_VALUE"""),1.61)</f>
        <v>1.61</v>
      </c>
      <c r="H1219" s="17"/>
      <c r="K1219" s="17"/>
      <c r="N1219" s="17"/>
    </row>
    <row r="1220">
      <c r="B1220" s="11">
        <f>IFERROR(__xludf.DUMMYFUNCTION("""COMPUTED_VALUE"""),44319.0)</f>
        <v>44319</v>
      </c>
      <c r="C1220" s="9">
        <f>IFERROR(__xludf.DUMMYFUNCTION("""COMPUTED_VALUE"""),1.63)</f>
        <v>1.63</v>
      </c>
      <c r="E1220" s="40">
        <f>IFERROR(__xludf.DUMMYFUNCTION("""COMPUTED_VALUE"""),44319.0)</f>
        <v>44319</v>
      </c>
      <c r="F1220" s="9">
        <f>IFERROR(__xludf.DUMMYFUNCTION("""COMPUTED_VALUE"""),1.63)</f>
        <v>1.63</v>
      </c>
      <c r="H1220" s="17"/>
      <c r="K1220" s="17"/>
      <c r="N1220" s="17"/>
    </row>
    <row r="1221">
      <c r="B1221" s="11">
        <f>IFERROR(__xludf.DUMMYFUNCTION("""COMPUTED_VALUE"""),44316.0)</f>
        <v>44316</v>
      </c>
      <c r="C1221" s="9">
        <f>IFERROR(__xludf.DUMMYFUNCTION("""COMPUTED_VALUE"""),1.65)</f>
        <v>1.65</v>
      </c>
      <c r="E1221" s="40">
        <f>IFERROR(__xludf.DUMMYFUNCTION("""COMPUTED_VALUE"""),44316.0)</f>
        <v>44316</v>
      </c>
      <c r="F1221" s="9">
        <f>IFERROR(__xludf.DUMMYFUNCTION("""COMPUTED_VALUE"""),1.65)</f>
        <v>1.65</v>
      </c>
      <c r="H1221" s="17"/>
      <c r="K1221" s="17"/>
      <c r="N1221" s="17"/>
    </row>
    <row r="1222">
      <c r="B1222" s="11">
        <f>IFERROR(__xludf.DUMMYFUNCTION("""COMPUTED_VALUE"""),44315.0)</f>
        <v>44315</v>
      </c>
      <c r="C1222" s="9">
        <f>IFERROR(__xludf.DUMMYFUNCTION("""COMPUTED_VALUE"""),1.65)</f>
        <v>1.65</v>
      </c>
      <c r="E1222" s="40">
        <f>IFERROR(__xludf.DUMMYFUNCTION("""COMPUTED_VALUE"""),44315.0)</f>
        <v>44315</v>
      </c>
      <c r="F1222" s="9">
        <f>IFERROR(__xludf.DUMMYFUNCTION("""COMPUTED_VALUE"""),1.65)</f>
        <v>1.65</v>
      </c>
      <c r="H1222" s="17"/>
      <c r="K1222" s="17"/>
      <c r="N1222" s="17"/>
    </row>
    <row r="1223">
      <c r="B1223" s="11">
        <f>IFERROR(__xludf.DUMMYFUNCTION("""COMPUTED_VALUE"""),44314.0)</f>
        <v>44314</v>
      </c>
      <c r="C1223" s="9">
        <f>IFERROR(__xludf.DUMMYFUNCTION("""COMPUTED_VALUE"""),1.63)</f>
        <v>1.63</v>
      </c>
      <c r="E1223" s="40">
        <f>IFERROR(__xludf.DUMMYFUNCTION("""COMPUTED_VALUE"""),44314.0)</f>
        <v>44314</v>
      </c>
      <c r="F1223" s="9">
        <f>IFERROR(__xludf.DUMMYFUNCTION("""COMPUTED_VALUE"""),1.63)</f>
        <v>1.63</v>
      </c>
      <c r="H1223" s="17"/>
      <c r="K1223" s="17"/>
      <c r="N1223" s="17"/>
    </row>
    <row r="1224">
      <c r="B1224" s="11">
        <f>IFERROR(__xludf.DUMMYFUNCTION("""COMPUTED_VALUE"""),44313.0)</f>
        <v>44313</v>
      </c>
      <c r="C1224" s="9">
        <f>IFERROR(__xludf.DUMMYFUNCTION("""COMPUTED_VALUE"""),1.63)</f>
        <v>1.63</v>
      </c>
      <c r="E1224" s="40">
        <f>IFERROR(__xludf.DUMMYFUNCTION("""COMPUTED_VALUE"""),44313.0)</f>
        <v>44313</v>
      </c>
      <c r="F1224" s="9">
        <f>IFERROR(__xludf.DUMMYFUNCTION("""COMPUTED_VALUE"""),1.63)</f>
        <v>1.63</v>
      </c>
      <c r="H1224" s="17"/>
      <c r="K1224" s="17"/>
      <c r="N1224" s="17"/>
    </row>
    <row r="1225">
      <c r="B1225" s="11">
        <f>IFERROR(__xludf.DUMMYFUNCTION("""COMPUTED_VALUE"""),44312.0)</f>
        <v>44312</v>
      </c>
      <c r="C1225" s="9">
        <f>IFERROR(__xludf.DUMMYFUNCTION("""COMPUTED_VALUE"""),1.58)</f>
        <v>1.58</v>
      </c>
      <c r="E1225" s="40">
        <f>IFERROR(__xludf.DUMMYFUNCTION("""COMPUTED_VALUE"""),44312.0)</f>
        <v>44312</v>
      </c>
      <c r="F1225" s="9">
        <f>IFERROR(__xludf.DUMMYFUNCTION("""COMPUTED_VALUE"""),1.58)</f>
        <v>1.58</v>
      </c>
      <c r="H1225" s="17"/>
      <c r="K1225" s="17"/>
      <c r="N1225" s="17"/>
    </row>
    <row r="1226">
      <c r="B1226" s="11">
        <f>IFERROR(__xludf.DUMMYFUNCTION("""COMPUTED_VALUE"""),44309.0)</f>
        <v>44309</v>
      </c>
      <c r="C1226" s="9">
        <f>IFERROR(__xludf.DUMMYFUNCTION("""COMPUTED_VALUE"""),1.58)</f>
        <v>1.58</v>
      </c>
      <c r="E1226" s="40">
        <f>IFERROR(__xludf.DUMMYFUNCTION("""COMPUTED_VALUE"""),44309.0)</f>
        <v>44309</v>
      </c>
      <c r="F1226" s="9">
        <f>IFERROR(__xludf.DUMMYFUNCTION("""COMPUTED_VALUE"""),1.58)</f>
        <v>1.58</v>
      </c>
      <c r="H1226" s="17"/>
      <c r="K1226" s="17"/>
      <c r="N1226" s="17"/>
    </row>
    <row r="1227">
      <c r="B1227" s="11">
        <f>IFERROR(__xludf.DUMMYFUNCTION("""COMPUTED_VALUE"""),44308.0)</f>
        <v>44308</v>
      </c>
      <c r="C1227" s="9">
        <f>IFERROR(__xludf.DUMMYFUNCTION("""COMPUTED_VALUE"""),1.57)</f>
        <v>1.57</v>
      </c>
      <c r="E1227" s="40">
        <f>IFERROR(__xludf.DUMMYFUNCTION("""COMPUTED_VALUE"""),44308.0)</f>
        <v>44308</v>
      </c>
      <c r="F1227" s="9">
        <f>IFERROR(__xludf.DUMMYFUNCTION("""COMPUTED_VALUE"""),1.57)</f>
        <v>1.57</v>
      </c>
      <c r="H1227" s="17"/>
      <c r="K1227" s="17"/>
      <c r="N1227" s="17"/>
    </row>
    <row r="1228">
      <c r="B1228" s="11">
        <f>IFERROR(__xludf.DUMMYFUNCTION("""COMPUTED_VALUE"""),44307.0)</f>
        <v>44307</v>
      </c>
      <c r="C1228" s="9">
        <f>IFERROR(__xludf.DUMMYFUNCTION("""COMPUTED_VALUE"""),1.57)</f>
        <v>1.57</v>
      </c>
      <c r="E1228" s="40">
        <f>IFERROR(__xludf.DUMMYFUNCTION("""COMPUTED_VALUE"""),44307.0)</f>
        <v>44307</v>
      </c>
      <c r="F1228" s="9">
        <f>IFERROR(__xludf.DUMMYFUNCTION("""COMPUTED_VALUE"""),1.57)</f>
        <v>1.57</v>
      </c>
      <c r="H1228" s="17"/>
      <c r="K1228" s="17"/>
      <c r="N1228" s="17"/>
    </row>
    <row r="1229">
      <c r="B1229" s="11">
        <f>IFERROR(__xludf.DUMMYFUNCTION("""COMPUTED_VALUE"""),44306.0)</f>
        <v>44306</v>
      </c>
      <c r="C1229" s="9">
        <f>IFERROR(__xludf.DUMMYFUNCTION("""COMPUTED_VALUE"""),1.58)</f>
        <v>1.58</v>
      </c>
      <c r="E1229" s="40">
        <f>IFERROR(__xludf.DUMMYFUNCTION("""COMPUTED_VALUE"""),44306.0)</f>
        <v>44306</v>
      </c>
      <c r="F1229" s="9">
        <f>IFERROR(__xludf.DUMMYFUNCTION("""COMPUTED_VALUE"""),1.58)</f>
        <v>1.58</v>
      </c>
      <c r="H1229" s="17"/>
      <c r="K1229" s="17"/>
      <c r="N1229" s="17"/>
    </row>
    <row r="1230">
      <c r="B1230" s="11">
        <f>IFERROR(__xludf.DUMMYFUNCTION("""COMPUTED_VALUE"""),44305.0)</f>
        <v>44305</v>
      </c>
      <c r="C1230" s="9">
        <f>IFERROR(__xludf.DUMMYFUNCTION("""COMPUTED_VALUE"""),1.61)</f>
        <v>1.61</v>
      </c>
      <c r="E1230" s="40">
        <f>IFERROR(__xludf.DUMMYFUNCTION("""COMPUTED_VALUE"""),44305.0)</f>
        <v>44305</v>
      </c>
      <c r="F1230" s="9">
        <f>IFERROR(__xludf.DUMMYFUNCTION("""COMPUTED_VALUE"""),1.61)</f>
        <v>1.61</v>
      </c>
      <c r="H1230" s="17"/>
      <c r="K1230" s="17"/>
      <c r="N1230" s="17"/>
    </row>
    <row r="1231">
      <c r="B1231" s="11">
        <f>IFERROR(__xludf.DUMMYFUNCTION("""COMPUTED_VALUE"""),44302.0)</f>
        <v>44302</v>
      </c>
      <c r="C1231" s="9">
        <f>IFERROR(__xludf.DUMMYFUNCTION("""COMPUTED_VALUE"""),1.59)</f>
        <v>1.59</v>
      </c>
      <c r="E1231" s="40">
        <f>IFERROR(__xludf.DUMMYFUNCTION("""COMPUTED_VALUE"""),44302.0)</f>
        <v>44302</v>
      </c>
      <c r="F1231" s="9">
        <f>IFERROR(__xludf.DUMMYFUNCTION("""COMPUTED_VALUE"""),1.59)</f>
        <v>1.59</v>
      </c>
      <c r="H1231" s="17"/>
      <c r="K1231" s="17"/>
      <c r="N1231" s="17"/>
    </row>
    <row r="1232">
      <c r="B1232" s="11">
        <f>IFERROR(__xludf.DUMMYFUNCTION("""COMPUTED_VALUE"""),44301.0)</f>
        <v>44301</v>
      </c>
      <c r="C1232" s="9">
        <f>IFERROR(__xludf.DUMMYFUNCTION("""COMPUTED_VALUE"""),1.56)</f>
        <v>1.56</v>
      </c>
      <c r="E1232" s="40">
        <f>IFERROR(__xludf.DUMMYFUNCTION("""COMPUTED_VALUE"""),44301.0)</f>
        <v>44301</v>
      </c>
      <c r="F1232" s="9">
        <f>IFERROR(__xludf.DUMMYFUNCTION("""COMPUTED_VALUE"""),1.56)</f>
        <v>1.56</v>
      </c>
      <c r="H1232" s="17"/>
      <c r="K1232" s="17"/>
      <c r="N1232" s="17"/>
    </row>
    <row r="1233">
      <c r="B1233" s="11">
        <f>IFERROR(__xludf.DUMMYFUNCTION("""COMPUTED_VALUE"""),44300.0)</f>
        <v>44300</v>
      </c>
      <c r="C1233" s="9">
        <f>IFERROR(__xludf.DUMMYFUNCTION("""COMPUTED_VALUE"""),1.64)</f>
        <v>1.64</v>
      </c>
      <c r="E1233" s="40">
        <f>IFERROR(__xludf.DUMMYFUNCTION("""COMPUTED_VALUE"""),44300.0)</f>
        <v>44300</v>
      </c>
      <c r="F1233" s="9">
        <f>IFERROR(__xludf.DUMMYFUNCTION("""COMPUTED_VALUE"""),1.64)</f>
        <v>1.64</v>
      </c>
      <c r="H1233" s="17"/>
      <c r="K1233" s="17"/>
      <c r="N1233" s="17"/>
    </row>
    <row r="1234">
      <c r="B1234" s="11">
        <f>IFERROR(__xludf.DUMMYFUNCTION("""COMPUTED_VALUE"""),44299.0)</f>
        <v>44299</v>
      </c>
      <c r="C1234" s="9">
        <f>IFERROR(__xludf.DUMMYFUNCTION("""COMPUTED_VALUE"""),1.64)</f>
        <v>1.64</v>
      </c>
      <c r="E1234" s="40">
        <f>IFERROR(__xludf.DUMMYFUNCTION("""COMPUTED_VALUE"""),44299.0)</f>
        <v>44299</v>
      </c>
      <c r="F1234" s="9">
        <f>IFERROR(__xludf.DUMMYFUNCTION("""COMPUTED_VALUE"""),1.64)</f>
        <v>1.64</v>
      </c>
      <c r="H1234" s="17"/>
      <c r="K1234" s="17"/>
      <c r="N1234" s="17"/>
    </row>
    <row r="1235">
      <c r="B1235" s="11">
        <f>IFERROR(__xludf.DUMMYFUNCTION("""COMPUTED_VALUE"""),44298.0)</f>
        <v>44298</v>
      </c>
      <c r="C1235" s="9">
        <f>IFERROR(__xludf.DUMMYFUNCTION("""COMPUTED_VALUE"""),1.69)</f>
        <v>1.69</v>
      </c>
      <c r="E1235" s="40">
        <f>IFERROR(__xludf.DUMMYFUNCTION("""COMPUTED_VALUE"""),44298.0)</f>
        <v>44298</v>
      </c>
      <c r="F1235" s="9">
        <f>IFERROR(__xludf.DUMMYFUNCTION("""COMPUTED_VALUE"""),1.69)</f>
        <v>1.69</v>
      </c>
      <c r="H1235" s="17"/>
      <c r="K1235" s="17"/>
      <c r="N1235" s="17"/>
    </row>
    <row r="1236">
      <c r="B1236" s="11">
        <f>IFERROR(__xludf.DUMMYFUNCTION("""COMPUTED_VALUE"""),44295.0)</f>
        <v>44295</v>
      </c>
      <c r="C1236" s="9">
        <f>IFERROR(__xludf.DUMMYFUNCTION("""COMPUTED_VALUE"""),1.67)</f>
        <v>1.67</v>
      </c>
      <c r="E1236" s="40">
        <f>IFERROR(__xludf.DUMMYFUNCTION("""COMPUTED_VALUE"""),44295.0)</f>
        <v>44295</v>
      </c>
      <c r="F1236" s="9">
        <f>IFERROR(__xludf.DUMMYFUNCTION("""COMPUTED_VALUE"""),1.67)</f>
        <v>1.67</v>
      </c>
      <c r="H1236" s="17"/>
      <c r="K1236" s="17"/>
      <c r="N1236" s="17"/>
    </row>
    <row r="1237">
      <c r="B1237" s="11">
        <f>IFERROR(__xludf.DUMMYFUNCTION("""COMPUTED_VALUE"""),44294.0)</f>
        <v>44294</v>
      </c>
      <c r="C1237" s="9">
        <f>IFERROR(__xludf.DUMMYFUNCTION("""COMPUTED_VALUE"""),1.64)</f>
        <v>1.64</v>
      </c>
      <c r="E1237" s="40">
        <f>IFERROR(__xludf.DUMMYFUNCTION("""COMPUTED_VALUE"""),44294.0)</f>
        <v>44294</v>
      </c>
      <c r="F1237" s="9">
        <f>IFERROR(__xludf.DUMMYFUNCTION("""COMPUTED_VALUE"""),1.64)</f>
        <v>1.64</v>
      </c>
      <c r="H1237" s="17"/>
      <c r="K1237" s="17"/>
      <c r="N1237" s="17"/>
    </row>
    <row r="1238">
      <c r="B1238" s="11">
        <f>IFERROR(__xludf.DUMMYFUNCTION("""COMPUTED_VALUE"""),44293.0)</f>
        <v>44293</v>
      </c>
      <c r="C1238" s="9">
        <f>IFERROR(__xludf.DUMMYFUNCTION("""COMPUTED_VALUE"""),1.68)</f>
        <v>1.68</v>
      </c>
      <c r="E1238" s="40">
        <f>IFERROR(__xludf.DUMMYFUNCTION("""COMPUTED_VALUE"""),44293.0)</f>
        <v>44293</v>
      </c>
      <c r="F1238" s="9">
        <f>IFERROR(__xludf.DUMMYFUNCTION("""COMPUTED_VALUE"""),1.68)</f>
        <v>1.68</v>
      </c>
      <c r="H1238" s="17"/>
      <c r="K1238" s="17"/>
      <c r="N1238" s="17"/>
    </row>
    <row r="1239">
      <c r="B1239" s="11">
        <f>IFERROR(__xludf.DUMMYFUNCTION("""COMPUTED_VALUE"""),44292.0)</f>
        <v>44292</v>
      </c>
      <c r="C1239" s="9">
        <f>IFERROR(__xludf.DUMMYFUNCTION("""COMPUTED_VALUE"""),1.67)</f>
        <v>1.67</v>
      </c>
      <c r="E1239" s="40">
        <f>IFERROR(__xludf.DUMMYFUNCTION("""COMPUTED_VALUE"""),44292.0)</f>
        <v>44292</v>
      </c>
      <c r="F1239" s="9">
        <f>IFERROR(__xludf.DUMMYFUNCTION("""COMPUTED_VALUE"""),1.67)</f>
        <v>1.67</v>
      </c>
      <c r="H1239" s="17"/>
      <c r="K1239" s="17"/>
      <c r="N1239" s="17"/>
    </row>
    <row r="1240">
      <c r="B1240" s="11">
        <f>IFERROR(__xludf.DUMMYFUNCTION("""COMPUTED_VALUE"""),44291.0)</f>
        <v>44291</v>
      </c>
      <c r="C1240" s="9">
        <f>IFERROR(__xludf.DUMMYFUNCTION("""COMPUTED_VALUE"""),1.73)</f>
        <v>1.73</v>
      </c>
      <c r="E1240" s="40">
        <f>IFERROR(__xludf.DUMMYFUNCTION("""COMPUTED_VALUE"""),44291.0)</f>
        <v>44291</v>
      </c>
      <c r="F1240" s="9">
        <f>IFERROR(__xludf.DUMMYFUNCTION("""COMPUTED_VALUE"""),1.73)</f>
        <v>1.73</v>
      </c>
      <c r="H1240" s="17"/>
      <c r="K1240" s="17"/>
      <c r="N1240" s="17"/>
    </row>
    <row r="1241">
      <c r="B1241" s="11">
        <f>IFERROR(__xludf.DUMMYFUNCTION("""COMPUTED_VALUE"""),44288.0)</f>
        <v>44288</v>
      </c>
      <c r="C1241" s="9">
        <f>IFERROR(__xludf.DUMMYFUNCTION("""COMPUTED_VALUE"""),1.72)</f>
        <v>1.72</v>
      </c>
      <c r="E1241" s="40">
        <f>IFERROR(__xludf.DUMMYFUNCTION("""COMPUTED_VALUE"""),44288.0)</f>
        <v>44288</v>
      </c>
      <c r="F1241" s="9">
        <f>IFERROR(__xludf.DUMMYFUNCTION("""COMPUTED_VALUE"""),1.72)</f>
        <v>1.72</v>
      </c>
      <c r="H1241" s="17"/>
      <c r="K1241" s="17"/>
      <c r="N1241" s="17"/>
    </row>
    <row r="1242">
      <c r="B1242" s="11">
        <f>IFERROR(__xludf.DUMMYFUNCTION("""COMPUTED_VALUE"""),44287.0)</f>
        <v>44287</v>
      </c>
      <c r="C1242" s="9">
        <f>IFERROR(__xludf.DUMMYFUNCTION("""COMPUTED_VALUE"""),1.69)</f>
        <v>1.69</v>
      </c>
      <c r="E1242" s="40">
        <f>IFERROR(__xludf.DUMMYFUNCTION("""COMPUTED_VALUE"""),44287.0)</f>
        <v>44287</v>
      </c>
      <c r="F1242" s="9">
        <f>IFERROR(__xludf.DUMMYFUNCTION("""COMPUTED_VALUE"""),1.69)</f>
        <v>1.69</v>
      </c>
      <c r="H1242" s="17"/>
      <c r="K1242" s="17"/>
      <c r="N1242" s="17"/>
    </row>
    <row r="1243">
      <c r="B1243" s="11">
        <f>IFERROR(__xludf.DUMMYFUNCTION("""COMPUTED_VALUE"""),44286.0)</f>
        <v>44286</v>
      </c>
      <c r="C1243" s="9">
        <f>IFERROR(__xludf.DUMMYFUNCTION("""COMPUTED_VALUE"""),1.74)</f>
        <v>1.74</v>
      </c>
      <c r="E1243" s="40">
        <f>IFERROR(__xludf.DUMMYFUNCTION("""COMPUTED_VALUE"""),44286.0)</f>
        <v>44286</v>
      </c>
      <c r="F1243" s="9">
        <f>IFERROR(__xludf.DUMMYFUNCTION("""COMPUTED_VALUE"""),1.74)</f>
        <v>1.74</v>
      </c>
      <c r="H1243" s="17"/>
      <c r="K1243" s="17"/>
      <c r="N1243" s="17"/>
    </row>
    <row r="1244">
      <c r="B1244" s="11">
        <f>IFERROR(__xludf.DUMMYFUNCTION("""COMPUTED_VALUE"""),44285.0)</f>
        <v>44285</v>
      </c>
      <c r="C1244" s="9">
        <f>IFERROR(__xludf.DUMMYFUNCTION("""COMPUTED_VALUE"""),1.73)</f>
        <v>1.73</v>
      </c>
      <c r="E1244" s="40">
        <f>IFERROR(__xludf.DUMMYFUNCTION("""COMPUTED_VALUE"""),44285.0)</f>
        <v>44285</v>
      </c>
      <c r="F1244" s="9">
        <f>IFERROR(__xludf.DUMMYFUNCTION("""COMPUTED_VALUE"""),1.73)</f>
        <v>1.73</v>
      </c>
      <c r="H1244" s="17"/>
      <c r="K1244" s="17"/>
      <c r="N1244" s="17"/>
    </row>
    <row r="1245">
      <c r="B1245" s="11">
        <f>IFERROR(__xludf.DUMMYFUNCTION("""COMPUTED_VALUE"""),44284.0)</f>
        <v>44284</v>
      </c>
      <c r="C1245" s="9">
        <f>IFERROR(__xludf.DUMMYFUNCTION("""COMPUTED_VALUE"""),1.73)</f>
        <v>1.73</v>
      </c>
      <c r="E1245" s="40">
        <f>IFERROR(__xludf.DUMMYFUNCTION("""COMPUTED_VALUE"""),44284.0)</f>
        <v>44284</v>
      </c>
      <c r="F1245" s="9">
        <f>IFERROR(__xludf.DUMMYFUNCTION("""COMPUTED_VALUE"""),1.73)</f>
        <v>1.73</v>
      </c>
      <c r="H1245" s="17"/>
      <c r="K1245" s="17"/>
      <c r="N1245" s="17"/>
    </row>
    <row r="1246">
      <c r="B1246" s="11">
        <f>IFERROR(__xludf.DUMMYFUNCTION("""COMPUTED_VALUE"""),44281.0)</f>
        <v>44281</v>
      </c>
      <c r="C1246" s="9">
        <f>IFERROR(__xludf.DUMMYFUNCTION("""COMPUTED_VALUE"""),1.67)</f>
        <v>1.67</v>
      </c>
      <c r="E1246" s="40">
        <f>IFERROR(__xludf.DUMMYFUNCTION("""COMPUTED_VALUE"""),44281.0)</f>
        <v>44281</v>
      </c>
      <c r="F1246" s="9">
        <f>IFERROR(__xludf.DUMMYFUNCTION("""COMPUTED_VALUE"""),1.67)</f>
        <v>1.67</v>
      </c>
      <c r="H1246" s="17"/>
      <c r="K1246" s="17"/>
      <c r="N1246" s="17"/>
    </row>
    <row r="1247">
      <c r="B1247" s="11">
        <f>IFERROR(__xludf.DUMMYFUNCTION("""COMPUTED_VALUE"""),44280.0)</f>
        <v>44280</v>
      </c>
      <c r="C1247" s="9">
        <f>IFERROR(__xludf.DUMMYFUNCTION("""COMPUTED_VALUE"""),1.63)</f>
        <v>1.63</v>
      </c>
      <c r="E1247" s="40">
        <f>IFERROR(__xludf.DUMMYFUNCTION("""COMPUTED_VALUE"""),44280.0)</f>
        <v>44280</v>
      </c>
      <c r="F1247" s="9">
        <f>IFERROR(__xludf.DUMMYFUNCTION("""COMPUTED_VALUE"""),1.63)</f>
        <v>1.63</v>
      </c>
      <c r="H1247" s="17"/>
      <c r="K1247" s="17"/>
      <c r="N1247" s="17"/>
    </row>
    <row r="1248">
      <c r="B1248" s="11">
        <f>IFERROR(__xludf.DUMMYFUNCTION("""COMPUTED_VALUE"""),44279.0)</f>
        <v>44279</v>
      </c>
      <c r="C1248" s="9">
        <f>IFERROR(__xludf.DUMMYFUNCTION("""COMPUTED_VALUE"""),1.62)</f>
        <v>1.62</v>
      </c>
      <c r="E1248" s="40">
        <f>IFERROR(__xludf.DUMMYFUNCTION("""COMPUTED_VALUE"""),44279.0)</f>
        <v>44279</v>
      </c>
      <c r="F1248" s="9">
        <f>IFERROR(__xludf.DUMMYFUNCTION("""COMPUTED_VALUE"""),1.62)</f>
        <v>1.62</v>
      </c>
      <c r="H1248" s="17"/>
      <c r="K1248" s="17"/>
      <c r="N1248" s="17"/>
    </row>
    <row r="1249">
      <c r="B1249" s="11">
        <f>IFERROR(__xludf.DUMMYFUNCTION("""COMPUTED_VALUE"""),44278.0)</f>
        <v>44278</v>
      </c>
      <c r="C1249" s="9">
        <f>IFERROR(__xludf.DUMMYFUNCTION("""COMPUTED_VALUE"""),1.63)</f>
        <v>1.63</v>
      </c>
      <c r="E1249" s="40">
        <f>IFERROR(__xludf.DUMMYFUNCTION("""COMPUTED_VALUE"""),44278.0)</f>
        <v>44278</v>
      </c>
      <c r="F1249" s="9">
        <f>IFERROR(__xludf.DUMMYFUNCTION("""COMPUTED_VALUE"""),1.63)</f>
        <v>1.63</v>
      </c>
      <c r="H1249" s="17"/>
      <c r="K1249" s="17"/>
      <c r="N1249" s="17"/>
    </row>
    <row r="1250">
      <c r="B1250" s="11">
        <f>IFERROR(__xludf.DUMMYFUNCTION("""COMPUTED_VALUE"""),44277.0)</f>
        <v>44277</v>
      </c>
      <c r="C1250" s="9">
        <f>IFERROR(__xludf.DUMMYFUNCTION("""COMPUTED_VALUE"""),1.69)</f>
        <v>1.69</v>
      </c>
      <c r="E1250" s="40">
        <f>IFERROR(__xludf.DUMMYFUNCTION("""COMPUTED_VALUE"""),44277.0)</f>
        <v>44277</v>
      </c>
      <c r="F1250" s="9">
        <f>IFERROR(__xludf.DUMMYFUNCTION("""COMPUTED_VALUE"""),1.69)</f>
        <v>1.69</v>
      </c>
      <c r="H1250" s="17"/>
      <c r="K1250" s="17"/>
      <c r="N1250" s="17"/>
    </row>
    <row r="1251">
      <c r="B1251" s="11">
        <f>IFERROR(__xludf.DUMMYFUNCTION("""COMPUTED_VALUE"""),44274.0)</f>
        <v>44274</v>
      </c>
      <c r="C1251" s="9">
        <f>IFERROR(__xludf.DUMMYFUNCTION("""COMPUTED_VALUE"""),1.74)</f>
        <v>1.74</v>
      </c>
      <c r="E1251" s="40">
        <f>IFERROR(__xludf.DUMMYFUNCTION("""COMPUTED_VALUE"""),44274.0)</f>
        <v>44274</v>
      </c>
      <c r="F1251" s="9">
        <f>IFERROR(__xludf.DUMMYFUNCTION("""COMPUTED_VALUE"""),1.74)</f>
        <v>1.74</v>
      </c>
      <c r="H1251" s="17"/>
      <c r="K1251" s="17"/>
      <c r="N1251" s="17"/>
    </row>
    <row r="1252">
      <c r="B1252" s="11">
        <f>IFERROR(__xludf.DUMMYFUNCTION("""COMPUTED_VALUE"""),44273.0)</f>
        <v>44273</v>
      </c>
      <c r="C1252" s="9">
        <f>IFERROR(__xludf.DUMMYFUNCTION("""COMPUTED_VALUE"""),1.71)</f>
        <v>1.71</v>
      </c>
      <c r="E1252" s="40">
        <f>IFERROR(__xludf.DUMMYFUNCTION("""COMPUTED_VALUE"""),44273.0)</f>
        <v>44273</v>
      </c>
      <c r="F1252" s="9">
        <f>IFERROR(__xludf.DUMMYFUNCTION("""COMPUTED_VALUE"""),1.71)</f>
        <v>1.71</v>
      </c>
      <c r="H1252" s="17"/>
      <c r="K1252" s="17"/>
      <c r="N1252" s="17"/>
    </row>
    <row r="1253">
      <c r="B1253" s="11">
        <f>IFERROR(__xludf.DUMMYFUNCTION("""COMPUTED_VALUE"""),44272.0)</f>
        <v>44272</v>
      </c>
      <c r="C1253" s="9">
        <f>IFERROR(__xludf.DUMMYFUNCTION("""COMPUTED_VALUE"""),1.63)</f>
        <v>1.63</v>
      </c>
      <c r="E1253" s="40">
        <f>IFERROR(__xludf.DUMMYFUNCTION("""COMPUTED_VALUE"""),44272.0)</f>
        <v>44272</v>
      </c>
      <c r="F1253" s="9">
        <f>IFERROR(__xludf.DUMMYFUNCTION("""COMPUTED_VALUE"""),1.63)</f>
        <v>1.63</v>
      </c>
      <c r="H1253" s="17"/>
      <c r="K1253" s="17"/>
      <c r="N1253" s="17"/>
    </row>
    <row r="1254">
      <c r="B1254" s="11">
        <f>IFERROR(__xludf.DUMMYFUNCTION("""COMPUTED_VALUE"""),44271.0)</f>
        <v>44271</v>
      </c>
      <c r="C1254" s="9">
        <f>IFERROR(__xludf.DUMMYFUNCTION("""COMPUTED_VALUE"""),1.62)</f>
        <v>1.62</v>
      </c>
      <c r="E1254" s="40">
        <f>IFERROR(__xludf.DUMMYFUNCTION("""COMPUTED_VALUE"""),44271.0)</f>
        <v>44271</v>
      </c>
      <c r="F1254" s="9">
        <f>IFERROR(__xludf.DUMMYFUNCTION("""COMPUTED_VALUE"""),1.62)</f>
        <v>1.62</v>
      </c>
      <c r="H1254" s="17"/>
      <c r="K1254" s="17"/>
      <c r="N1254" s="17"/>
    </row>
    <row r="1255">
      <c r="B1255" s="11">
        <f>IFERROR(__xludf.DUMMYFUNCTION("""COMPUTED_VALUE"""),44270.0)</f>
        <v>44270</v>
      </c>
      <c r="C1255" s="9">
        <f>IFERROR(__xludf.DUMMYFUNCTION("""COMPUTED_VALUE"""),1.62)</f>
        <v>1.62</v>
      </c>
      <c r="E1255" s="40">
        <f>IFERROR(__xludf.DUMMYFUNCTION("""COMPUTED_VALUE"""),44270.0)</f>
        <v>44270</v>
      </c>
      <c r="F1255" s="9">
        <f>IFERROR(__xludf.DUMMYFUNCTION("""COMPUTED_VALUE"""),1.62)</f>
        <v>1.62</v>
      </c>
      <c r="H1255" s="17"/>
      <c r="K1255" s="17"/>
      <c r="N1255" s="17"/>
    </row>
    <row r="1256">
      <c r="B1256" s="11">
        <f>IFERROR(__xludf.DUMMYFUNCTION("""COMPUTED_VALUE"""),44267.0)</f>
        <v>44267</v>
      </c>
      <c r="C1256" s="9">
        <f>IFERROR(__xludf.DUMMYFUNCTION("""COMPUTED_VALUE"""),1.64)</f>
        <v>1.64</v>
      </c>
      <c r="E1256" s="40">
        <f>IFERROR(__xludf.DUMMYFUNCTION("""COMPUTED_VALUE"""),44267.0)</f>
        <v>44267</v>
      </c>
      <c r="F1256" s="9">
        <f>IFERROR(__xludf.DUMMYFUNCTION("""COMPUTED_VALUE"""),1.64)</f>
        <v>1.64</v>
      </c>
      <c r="H1256" s="17"/>
      <c r="K1256" s="17"/>
      <c r="N1256" s="17"/>
    </row>
    <row r="1257">
      <c r="B1257" s="11">
        <f>IFERROR(__xludf.DUMMYFUNCTION("""COMPUTED_VALUE"""),44266.0)</f>
        <v>44266</v>
      </c>
      <c r="C1257" s="9">
        <f>IFERROR(__xludf.DUMMYFUNCTION("""COMPUTED_VALUE"""),1.54)</f>
        <v>1.54</v>
      </c>
      <c r="E1257" s="40">
        <f>IFERROR(__xludf.DUMMYFUNCTION("""COMPUTED_VALUE"""),44266.0)</f>
        <v>44266</v>
      </c>
      <c r="F1257" s="9">
        <f>IFERROR(__xludf.DUMMYFUNCTION("""COMPUTED_VALUE"""),1.54)</f>
        <v>1.54</v>
      </c>
      <c r="H1257" s="17"/>
      <c r="K1257" s="17"/>
      <c r="N1257" s="17"/>
    </row>
    <row r="1258">
      <c r="B1258" s="11">
        <f>IFERROR(__xludf.DUMMYFUNCTION("""COMPUTED_VALUE"""),44265.0)</f>
        <v>44265</v>
      </c>
      <c r="C1258" s="9">
        <f>IFERROR(__xludf.DUMMYFUNCTION("""COMPUTED_VALUE"""),1.53)</f>
        <v>1.53</v>
      </c>
      <c r="E1258" s="40">
        <f>IFERROR(__xludf.DUMMYFUNCTION("""COMPUTED_VALUE"""),44265.0)</f>
        <v>44265</v>
      </c>
      <c r="F1258" s="9">
        <f>IFERROR(__xludf.DUMMYFUNCTION("""COMPUTED_VALUE"""),1.53)</f>
        <v>1.53</v>
      </c>
      <c r="H1258" s="17"/>
      <c r="K1258" s="17"/>
      <c r="N1258" s="17"/>
    </row>
    <row r="1259">
      <c r="B1259" s="11">
        <f>IFERROR(__xludf.DUMMYFUNCTION("""COMPUTED_VALUE"""),44264.0)</f>
        <v>44264</v>
      </c>
      <c r="C1259" s="9">
        <f>IFERROR(__xludf.DUMMYFUNCTION("""COMPUTED_VALUE"""),1.55)</f>
        <v>1.55</v>
      </c>
      <c r="E1259" s="40">
        <f>IFERROR(__xludf.DUMMYFUNCTION("""COMPUTED_VALUE"""),44264.0)</f>
        <v>44264</v>
      </c>
      <c r="F1259" s="9">
        <f>IFERROR(__xludf.DUMMYFUNCTION("""COMPUTED_VALUE"""),1.55)</f>
        <v>1.55</v>
      </c>
      <c r="H1259" s="17"/>
      <c r="K1259" s="17"/>
      <c r="N1259" s="17"/>
    </row>
    <row r="1260">
      <c r="B1260" s="11">
        <f>IFERROR(__xludf.DUMMYFUNCTION("""COMPUTED_VALUE"""),44263.0)</f>
        <v>44263</v>
      </c>
      <c r="C1260" s="9">
        <f>IFERROR(__xludf.DUMMYFUNCTION("""COMPUTED_VALUE"""),1.59)</f>
        <v>1.59</v>
      </c>
      <c r="E1260" s="40">
        <f>IFERROR(__xludf.DUMMYFUNCTION("""COMPUTED_VALUE"""),44263.0)</f>
        <v>44263</v>
      </c>
      <c r="F1260" s="9">
        <f>IFERROR(__xludf.DUMMYFUNCTION("""COMPUTED_VALUE"""),1.59)</f>
        <v>1.59</v>
      </c>
      <c r="H1260" s="17"/>
      <c r="K1260" s="17"/>
      <c r="N1260" s="17"/>
    </row>
    <row r="1261">
      <c r="B1261" s="11">
        <f>IFERROR(__xludf.DUMMYFUNCTION("""COMPUTED_VALUE"""),44260.0)</f>
        <v>44260</v>
      </c>
      <c r="C1261" s="9">
        <f>IFERROR(__xludf.DUMMYFUNCTION("""COMPUTED_VALUE"""),1.56)</f>
        <v>1.56</v>
      </c>
      <c r="E1261" s="40">
        <f>IFERROR(__xludf.DUMMYFUNCTION("""COMPUTED_VALUE"""),44260.0)</f>
        <v>44260</v>
      </c>
      <c r="F1261" s="9">
        <f>IFERROR(__xludf.DUMMYFUNCTION("""COMPUTED_VALUE"""),1.56)</f>
        <v>1.56</v>
      </c>
      <c r="H1261" s="17"/>
      <c r="K1261" s="17"/>
      <c r="N1261" s="17"/>
    </row>
    <row r="1262">
      <c r="B1262" s="11">
        <f>IFERROR(__xludf.DUMMYFUNCTION("""COMPUTED_VALUE"""),44259.0)</f>
        <v>44259</v>
      </c>
      <c r="C1262" s="9">
        <f>IFERROR(__xludf.DUMMYFUNCTION("""COMPUTED_VALUE"""),1.54)</f>
        <v>1.54</v>
      </c>
      <c r="E1262" s="40">
        <f>IFERROR(__xludf.DUMMYFUNCTION("""COMPUTED_VALUE"""),44259.0)</f>
        <v>44259</v>
      </c>
      <c r="F1262" s="9">
        <f>IFERROR(__xludf.DUMMYFUNCTION("""COMPUTED_VALUE"""),1.54)</f>
        <v>1.54</v>
      </c>
      <c r="H1262" s="17"/>
      <c r="K1262" s="17"/>
      <c r="N1262" s="17"/>
    </row>
    <row r="1263">
      <c r="B1263" s="11">
        <f>IFERROR(__xludf.DUMMYFUNCTION("""COMPUTED_VALUE"""),44258.0)</f>
        <v>44258</v>
      </c>
      <c r="C1263" s="9">
        <f>IFERROR(__xludf.DUMMYFUNCTION("""COMPUTED_VALUE"""),1.47)</f>
        <v>1.47</v>
      </c>
      <c r="E1263" s="40">
        <f>IFERROR(__xludf.DUMMYFUNCTION("""COMPUTED_VALUE"""),44258.0)</f>
        <v>44258</v>
      </c>
      <c r="F1263" s="9">
        <f>IFERROR(__xludf.DUMMYFUNCTION("""COMPUTED_VALUE"""),1.47)</f>
        <v>1.47</v>
      </c>
      <c r="H1263" s="17"/>
      <c r="K1263" s="17"/>
      <c r="N1263" s="17"/>
    </row>
    <row r="1264">
      <c r="B1264" s="11">
        <f>IFERROR(__xludf.DUMMYFUNCTION("""COMPUTED_VALUE"""),44257.0)</f>
        <v>44257</v>
      </c>
      <c r="C1264" s="9">
        <f>IFERROR(__xludf.DUMMYFUNCTION("""COMPUTED_VALUE"""),1.42)</f>
        <v>1.42</v>
      </c>
      <c r="E1264" s="40">
        <f>IFERROR(__xludf.DUMMYFUNCTION("""COMPUTED_VALUE"""),44257.0)</f>
        <v>44257</v>
      </c>
      <c r="F1264" s="9">
        <f>IFERROR(__xludf.DUMMYFUNCTION("""COMPUTED_VALUE"""),1.42)</f>
        <v>1.42</v>
      </c>
      <c r="H1264" s="17"/>
      <c r="K1264" s="17"/>
      <c r="N1264" s="17"/>
    </row>
    <row r="1265">
      <c r="B1265" s="11">
        <f>IFERROR(__xludf.DUMMYFUNCTION("""COMPUTED_VALUE"""),44256.0)</f>
        <v>44256</v>
      </c>
      <c r="C1265" s="9">
        <f>IFERROR(__xludf.DUMMYFUNCTION("""COMPUTED_VALUE"""),1.45)</f>
        <v>1.45</v>
      </c>
      <c r="E1265" s="40">
        <f>IFERROR(__xludf.DUMMYFUNCTION("""COMPUTED_VALUE"""),44256.0)</f>
        <v>44256</v>
      </c>
      <c r="F1265" s="9">
        <f>IFERROR(__xludf.DUMMYFUNCTION("""COMPUTED_VALUE"""),1.45)</f>
        <v>1.45</v>
      </c>
      <c r="H1265" s="17"/>
      <c r="K1265" s="17"/>
      <c r="N1265" s="17"/>
    </row>
    <row r="1266">
      <c r="B1266" s="11">
        <f>IFERROR(__xludf.DUMMYFUNCTION("""COMPUTED_VALUE"""),44253.0)</f>
        <v>44253</v>
      </c>
      <c r="C1266" s="9">
        <f>IFERROR(__xludf.DUMMYFUNCTION("""COMPUTED_VALUE"""),1.44)</f>
        <v>1.44</v>
      </c>
      <c r="E1266" s="40">
        <f>IFERROR(__xludf.DUMMYFUNCTION("""COMPUTED_VALUE"""),44253.0)</f>
        <v>44253</v>
      </c>
      <c r="F1266" s="9">
        <f>IFERROR(__xludf.DUMMYFUNCTION("""COMPUTED_VALUE"""),1.44)</f>
        <v>1.44</v>
      </c>
      <c r="H1266" s="17"/>
      <c r="K1266" s="17"/>
      <c r="N1266" s="17"/>
    </row>
    <row r="1267">
      <c r="B1267" s="11">
        <f>IFERROR(__xludf.DUMMYFUNCTION("""COMPUTED_VALUE"""),44252.0)</f>
        <v>44252</v>
      </c>
      <c r="C1267" s="9">
        <f>IFERROR(__xludf.DUMMYFUNCTION("""COMPUTED_VALUE"""),1.54)</f>
        <v>1.54</v>
      </c>
      <c r="E1267" s="40">
        <f>IFERROR(__xludf.DUMMYFUNCTION("""COMPUTED_VALUE"""),44252.0)</f>
        <v>44252</v>
      </c>
      <c r="F1267" s="9">
        <f>IFERROR(__xludf.DUMMYFUNCTION("""COMPUTED_VALUE"""),1.54)</f>
        <v>1.54</v>
      </c>
      <c r="H1267" s="17"/>
      <c r="K1267" s="17"/>
      <c r="N1267" s="17"/>
    </row>
    <row r="1268">
      <c r="B1268" s="11">
        <f>IFERROR(__xludf.DUMMYFUNCTION("""COMPUTED_VALUE"""),44251.0)</f>
        <v>44251</v>
      </c>
      <c r="C1268" s="9">
        <f>IFERROR(__xludf.DUMMYFUNCTION("""COMPUTED_VALUE"""),1.38)</f>
        <v>1.38</v>
      </c>
      <c r="E1268" s="40">
        <f>IFERROR(__xludf.DUMMYFUNCTION("""COMPUTED_VALUE"""),44251.0)</f>
        <v>44251</v>
      </c>
      <c r="F1268" s="9">
        <f>IFERROR(__xludf.DUMMYFUNCTION("""COMPUTED_VALUE"""),1.38)</f>
        <v>1.38</v>
      </c>
      <c r="H1268" s="17"/>
      <c r="K1268" s="17"/>
      <c r="N1268" s="17"/>
    </row>
    <row r="1269">
      <c r="B1269" s="11">
        <f>IFERROR(__xludf.DUMMYFUNCTION("""COMPUTED_VALUE"""),44250.0)</f>
        <v>44250</v>
      </c>
      <c r="C1269" s="9">
        <f>IFERROR(__xludf.DUMMYFUNCTION("""COMPUTED_VALUE"""),1.37)</f>
        <v>1.37</v>
      </c>
      <c r="E1269" s="40">
        <f>IFERROR(__xludf.DUMMYFUNCTION("""COMPUTED_VALUE"""),44250.0)</f>
        <v>44250</v>
      </c>
      <c r="F1269" s="9">
        <f>IFERROR(__xludf.DUMMYFUNCTION("""COMPUTED_VALUE"""),1.37)</f>
        <v>1.37</v>
      </c>
      <c r="H1269" s="17"/>
      <c r="K1269" s="17"/>
      <c r="N1269" s="17"/>
    </row>
    <row r="1270">
      <c r="B1270" s="11">
        <f>IFERROR(__xludf.DUMMYFUNCTION("""COMPUTED_VALUE"""),44249.0)</f>
        <v>44249</v>
      </c>
      <c r="C1270" s="9">
        <f>IFERROR(__xludf.DUMMYFUNCTION("""COMPUTED_VALUE"""),1.37)</f>
        <v>1.37</v>
      </c>
      <c r="E1270" s="40">
        <f>IFERROR(__xludf.DUMMYFUNCTION("""COMPUTED_VALUE"""),44249.0)</f>
        <v>44249</v>
      </c>
      <c r="F1270" s="9">
        <f>IFERROR(__xludf.DUMMYFUNCTION("""COMPUTED_VALUE"""),1.37)</f>
        <v>1.37</v>
      </c>
      <c r="H1270" s="17"/>
      <c r="K1270" s="17"/>
      <c r="N1270" s="17"/>
    </row>
    <row r="1271">
      <c r="B1271" s="11">
        <f>IFERROR(__xludf.DUMMYFUNCTION("""COMPUTED_VALUE"""),44246.0)</f>
        <v>44246</v>
      </c>
      <c r="C1271" s="9">
        <f>IFERROR(__xludf.DUMMYFUNCTION("""COMPUTED_VALUE"""),1.34)</f>
        <v>1.34</v>
      </c>
      <c r="E1271" s="40">
        <f>IFERROR(__xludf.DUMMYFUNCTION("""COMPUTED_VALUE"""),44246.0)</f>
        <v>44246</v>
      </c>
      <c r="F1271" s="9">
        <f>IFERROR(__xludf.DUMMYFUNCTION("""COMPUTED_VALUE"""),1.34)</f>
        <v>1.34</v>
      </c>
      <c r="H1271" s="17"/>
      <c r="K1271" s="17"/>
      <c r="N1271" s="17"/>
    </row>
    <row r="1272">
      <c r="B1272" s="11">
        <f>IFERROR(__xludf.DUMMYFUNCTION("""COMPUTED_VALUE"""),44245.0)</f>
        <v>44245</v>
      </c>
      <c r="C1272" s="9">
        <f>IFERROR(__xludf.DUMMYFUNCTION("""COMPUTED_VALUE"""),1.29)</f>
        <v>1.29</v>
      </c>
      <c r="E1272" s="40">
        <f>IFERROR(__xludf.DUMMYFUNCTION("""COMPUTED_VALUE"""),44245.0)</f>
        <v>44245</v>
      </c>
      <c r="F1272" s="9">
        <f>IFERROR(__xludf.DUMMYFUNCTION("""COMPUTED_VALUE"""),1.29)</f>
        <v>1.29</v>
      </c>
      <c r="H1272" s="17"/>
      <c r="K1272" s="17"/>
      <c r="N1272" s="17"/>
    </row>
    <row r="1273">
      <c r="B1273" s="11">
        <f>IFERROR(__xludf.DUMMYFUNCTION("""COMPUTED_VALUE"""),44244.0)</f>
        <v>44244</v>
      </c>
      <c r="C1273" s="9">
        <f>IFERROR(__xludf.DUMMYFUNCTION("""COMPUTED_VALUE"""),1.29)</f>
        <v>1.29</v>
      </c>
      <c r="E1273" s="40">
        <f>IFERROR(__xludf.DUMMYFUNCTION("""COMPUTED_VALUE"""),44244.0)</f>
        <v>44244</v>
      </c>
      <c r="F1273" s="9">
        <f>IFERROR(__xludf.DUMMYFUNCTION("""COMPUTED_VALUE"""),1.29)</f>
        <v>1.29</v>
      </c>
      <c r="H1273" s="17"/>
      <c r="K1273" s="17"/>
      <c r="N1273" s="17"/>
    </row>
    <row r="1274">
      <c r="B1274" s="11">
        <f>IFERROR(__xludf.DUMMYFUNCTION("""COMPUTED_VALUE"""),44243.0)</f>
        <v>44243</v>
      </c>
      <c r="C1274" s="9">
        <f>IFERROR(__xludf.DUMMYFUNCTION("""COMPUTED_VALUE"""),1.3)</f>
        <v>1.3</v>
      </c>
      <c r="E1274" s="40">
        <f>IFERROR(__xludf.DUMMYFUNCTION("""COMPUTED_VALUE"""),44243.0)</f>
        <v>44243</v>
      </c>
      <c r="F1274" s="9">
        <f>IFERROR(__xludf.DUMMYFUNCTION("""COMPUTED_VALUE"""),1.3)</f>
        <v>1.3</v>
      </c>
      <c r="H1274" s="17"/>
      <c r="K1274" s="17"/>
      <c r="N1274" s="17"/>
    </row>
    <row r="1275">
      <c r="B1275" s="11">
        <f>IFERROR(__xludf.DUMMYFUNCTION("""COMPUTED_VALUE"""),44242.0)</f>
        <v>44242</v>
      </c>
      <c r="C1275" s="9"/>
      <c r="E1275" s="40">
        <f>IFERROR(__xludf.DUMMYFUNCTION("""COMPUTED_VALUE"""),44242.0)</f>
        <v>44242</v>
      </c>
      <c r="F1275" s="9"/>
      <c r="H1275" s="17"/>
      <c r="K1275" s="17"/>
      <c r="N1275" s="17"/>
    </row>
    <row r="1276">
      <c r="B1276" s="11">
        <f>IFERROR(__xludf.DUMMYFUNCTION("""COMPUTED_VALUE"""),44239.0)</f>
        <v>44239</v>
      </c>
      <c r="C1276" s="9">
        <f>IFERROR(__xludf.DUMMYFUNCTION("""COMPUTED_VALUE"""),1.2)</f>
        <v>1.2</v>
      </c>
      <c r="E1276" s="40">
        <f>IFERROR(__xludf.DUMMYFUNCTION("""COMPUTED_VALUE"""),44239.0)</f>
        <v>44239</v>
      </c>
      <c r="F1276" s="9">
        <f>IFERROR(__xludf.DUMMYFUNCTION("""COMPUTED_VALUE"""),1.2)</f>
        <v>1.2</v>
      </c>
      <c r="H1276" s="17"/>
      <c r="K1276" s="17"/>
      <c r="N1276" s="17"/>
    </row>
    <row r="1277">
      <c r="B1277" s="11">
        <f>IFERROR(__xludf.DUMMYFUNCTION("""COMPUTED_VALUE"""),44238.0)</f>
        <v>44238</v>
      </c>
      <c r="C1277" s="9">
        <f>IFERROR(__xludf.DUMMYFUNCTION("""COMPUTED_VALUE"""),1.16)</f>
        <v>1.16</v>
      </c>
      <c r="E1277" s="40">
        <f>IFERROR(__xludf.DUMMYFUNCTION("""COMPUTED_VALUE"""),44238.0)</f>
        <v>44238</v>
      </c>
      <c r="F1277" s="9">
        <f>IFERROR(__xludf.DUMMYFUNCTION("""COMPUTED_VALUE"""),1.16)</f>
        <v>1.16</v>
      </c>
      <c r="H1277" s="17"/>
      <c r="K1277" s="17"/>
      <c r="N1277" s="17"/>
    </row>
    <row r="1278">
      <c r="B1278" s="11">
        <f>IFERROR(__xludf.DUMMYFUNCTION("""COMPUTED_VALUE"""),44237.0)</f>
        <v>44237</v>
      </c>
      <c r="C1278" s="9">
        <f>IFERROR(__xludf.DUMMYFUNCTION("""COMPUTED_VALUE"""),1.15)</f>
        <v>1.15</v>
      </c>
      <c r="E1278" s="40">
        <f>IFERROR(__xludf.DUMMYFUNCTION("""COMPUTED_VALUE"""),44237.0)</f>
        <v>44237</v>
      </c>
      <c r="F1278" s="9">
        <f>IFERROR(__xludf.DUMMYFUNCTION("""COMPUTED_VALUE"""),1.15)</f>
        <v>1.15</v>
      </c>
      <c r="H1278" s="17"/>
      <c r="K1278" s="17"/>
      <c r="N1278" s="17"/>
    </row>
    <row r="1279">
      <c r="B1279" s="11">
        <f>IFERROR(__xludf.DUMMYFUNCTION("""COMPUTED_VALUE"""),44236.0)</f>
        <v>44236</v>
      </c>
      <c r="C1279" s="9">
        <f>IFERROR(__xludf.DUMMYFUNCTION("""COMPUTED_VALUE"""),1.18)</f>
        <v>1.18</v>
      </c>
      <c r="E1279" s="40">
        <f>IFERROR(__xludf.DUMMYFUNCTION("""COMPUTED_VALUE"""),44236.0)</f>
        <v>44236</v>
      </c>
      <c r="F1279" s="9">
        <f>IFERROR(__xludf.DUMMYFUNCTION("""COMPUTED_VALUE"""),1.18)</f>
        <v>1.18</v>
      </c>
      <c r="H1279" s="17"/>
      <c r="K1279" s="17"/>
      <c r="N1279" s="17"/>
    </row>
    <row r="1280">
      <c r="B1280" s="11">
        <f>IFERROR(__xludf.DUMMYFUNCTION("""COMPUTED_VALUE"""),44235.0)</f>
        <v>44235</v>
      </c>
      <c r="C1280" s="9">
        <f>IFERROR(__xludf.DUMMYFUNCTION("""COMPUTED_VALUE"""),1.19)</f>
        <v>1.19</v>
      </c>
      <c r="E1280" s="40">
        <f>IFERROR(__xludf.DUMMYFUNCTION("""COMPUTED_VALUE"""),44235.0)</f>
        <v>44235</v>
      </c>
      <c r="F1280" s="9">
        <f>IFERROR(__xludf.DUMMYFUNCTION("""COMPUTED_VALUE"""),1.19)</f>
        <v>1.19</v>
      </c>
      <c r="H1280" s="17"/>
      <c r="K1280" s="17"/>
      <c r="N1280" s="17"/>
    </row>
    <row r="1281">
      <c r="B1281" s="11">
        <f>IFERROR(__xludf.DUMMYFUNCTION("""COMPUTED_VALUE"""),44232.0)</f>
        <v>44232</v>
      </c>
      <c r="C1281" s="9">
        <f>IFERROR(__xludf.DUMMYFUNCTION("""COMPUTED_VALUE"""),1.19)</f>
        <v>1.19</v>
      </c>
      <c r="E1281" s="40">
        <f>IFERROR(__xludf.DUMMYFUNCTION("""COMPUTED_VALUE"""),44232.0)</f>
        <v>44232</v>
      </c>
      <c r="F1281" s="9">
        <f>IFERROR(__xludf.DUMMYFUNCTION("""COMPUTED_VALUE"""),1.19)</f>
        <v>1.19</v>
      </c>
      <c r="H1281" s="17"/>
      <c r="K1281" s="17"/>
      <c r="N1281" s="17"/>
    </row>
    <row r="1282">
      <c r="B1282" s="11">
        <f>IFERROR(__xludf.DUMMYFUNCTION("""COMPUTED_VALUE"""),44231.0)</f>
        <v>44231</v>
      </c>
      <c r="C1282" s="9">
        <f>IFERROR(__xludf.DUMMYFUNCTION("""COMPUTED_VALUE"""),1.15)</f>
        <v>1.15</v>
      </c>
      <c r="E1282" s="40">
        <f>IFERROR(__xludf.DUMMYFUNCTION("""COMPUTED_VALUE"""),44231.0)</f>
        <v>44231</v>
      </c>
      <c r="F1282" s="9">
        <f>IFERROR(__xludf.DUMMYFUNCTION("""COMPUTED_VALUE"""),1.15)</f>
        <v>1.15</v>
      </c>
      <c r="H1282" s="17"/>
      <c r="K1282" s="17"/>
      <c r="N1282" s="17"/>
    </row>
    <row r="1283">
      <c r="B1283" s="11">
        <f>IFERROR(__xludf.DUMMYFUNCTION("""COMPUTED_VALUE"""),44230.0)</f>
        <v>44230</v>
      </c>
      <c r="C1283" s="9">
        <f>IFERROR(__xludf.DUMMYFUNCTION("""COMPUTED_VALUE"""),1.15)</f>
        <v>1.15</v>
      </c>
      <c r="E1283" s="40">
        <f>IFERROR(__xludf.DUMMYFUNCTION("""COMPUTED_VALUE"""),44230.0)</f>
        <v>44230</v>
      </c>
      <c r="F1283" s="9">
        <f>IFERROR(__xludf.DUMMYFUNCTION("""COMPUTED_VALUE"""),1.15)</f>
        <v>1.15</v>
      </c>
      <c r="H1283" s="17"/>
      <c r="K1283" s="17"/>
      <c r="N1283" s="17"/>
    </row>
    <row r="1284">
      <c r="B1284" s="11">
        <f>IFERROR(__xludf.DUMMYFUNCTION("""COMPUTED_VALUE"""),44229.0)</f>
        <v>44229</v>
      </c>
      <c r="C1284" s="9">
        <f>IFERROR(__xludf.DUMMYFUNCTION("""COMPUTED_VALUE"""),1.12)</f>
        <v>1.12</v>
      </c>
      <c r="E1284" s="40">
        <f>IFERROR(__xludf.DUMMYFUNCTION("""COMPUTED_VALUE"""),44229.0)</f>
        <v>44229</v>
      </c>
      <c r="F1284" s="9">
        <f>IFERROR(__xludf.DUMMYFUNCTION("""COMPUTED_VALUE"""),1.12)</f>
        <v>1.12</v>
      </c>
      <c r="H1284" s="17"/>
      <c r="K1284" s="17"/>
      <c r="N1284" s="17"/>
    </row>
    <row r="1285">
      <c r="B1285" s="11">
        <f>IFERROR(__xludf.DUMMYFUNCTION("""COMPUTED_VALUE"""),44228.0)</f>
        <v>44228</v>
      </c>
      <c r="C1285" s="9">
        <f>IFERROR(__xludf.DUMMYFUNCTION("""COMPUTED_VALUE"""),1.09)</f>
        <v>1.09</v>
      </c>
      <c r="E1285" s="40">
        <f>IFERROR(__xludf.DUMMYFUNCTION("""COMPUTED_VALUE"""),44228.0)</f>
        <v>44228</v>
      </c>
      <c r="F1285" s="9">
        <f>IFERROR(__xludf.DUMMYFUNCTION("""COMPUTED_VALUE"""),1.09)</f>
        <v>1.09</v>
      </c>
      <c r="H1285" s="17"/>
      <c r="K1285" s="17"/>
      <c r="N1285" s="17"/>
    </row>
    <row r="1286">
      <c r="B1286" s="11">
        <f>IFERROR(__xludf.DUMMYFUNCTION("""COMPUTED_VALUE"""),44225.0)</f>
        <v>44225</v>
      </c>
      <c r="C1286" s="9">
        <f>IFERROR(__xludf.DUMMYFUNCTION("""COMPUTED_VALUE"""),1.11)</f>
        <v>1.11</v>
      </c>
      <c r="E1286" s="40">
        <f>IFERROR(__xludf.DUMMYFUNCTION("""COMPUTED_VALUE"""),44225.0)</f>
        <v>44225</v>
      </c>
      <c r="F1286" s="9">
        <f>IFERROR(__xludf.DUMMYFUNCTION("""COMPUTED_VALUE"""),1.11)</f>
        <v>1.11</v>
      </c>
      <c r="H1286" s="17"/>
      <c r="K1286" s="17"/>
      <c r="N1286" s="17"/>
    </row>
    <row r="1287">
      <c r="B1287" s="11">
        <f>IFERROR(__xludf.DUMMYFUNCTION("""COMPUTED_VALUE"""),44224.0)</f>
        <v>44224</v>
      </c>
      <c r="C1287" s="9">
        <f>IFERROR(__xludf.DUMMYFUNCTION("""COMPUTED_VALUE"""),1.07)</f>
        <v>1.07</v>
      </c>
      <c r="E1287" s="40">
        <f>IFERROR(__xludf.DUMMYFUNCTION("""COMPUTED_VALUE"""),44224.0)</f>
        <v>44224</v>
      </c>
      <c r="F1287" s="9">
        <f>IFERROR(__xludf.DUMMYFUNCTION("""COMPUTED_VALUE"""),1.07)</f>
        <v>1.07</v>
      </c>
      <c r="H1287" s="17"/>
      <c r="K1287" s="17"/>
      <c r="N1287" s="17"/>
    </row>
    <row r="1288">
      <c r="B1288" s="11">
        <f>IFERROR(__xludf.DUMMYFUNCTION("""COMPUTED_VALUE"""),44223.0)</f>
        <v>44223</v>
      </c>
      <c r="C1288" s="9">
        <f>IFERROR(__xludf.DUMMYFUNCTION("""COMPUTED_VALUE"""),1.04)</f>
        <v>1.04</v>
      </c>
      <c r="E1288" s="40">
        <f>IFERROR(__xludf.DUMMYFUNCTION("""COMPUTED_VALUE"""),44223.0)</f>
        <v>44223</v>
      </c>
      <c r="F1288" s="9">
        <f>IFERROR(__xludf.DUMMYFUNCTION("""COMPUTED_VALUE"""),1.04)</f>
        <v>1.04</v>
      </c>
      <c r="H1288" s="17"/>
      <c r="K1288" s="17"/>
      <c r="N1288" s="17"/>
    </row>
    <row r="1289">
      <c r="B1289" s="11">
        <f>IFERROR(__xludf.DUMMYFUNCTION("""COMPUTED_VALUE"""),44222.0)</f>
        <v>44222</v>
      </c>
      <c r="C1289" s="9">
        <f>IFERROR(__xludf.DUMMYFUNCTION("""COMPUTED_VALUE"""),1.05)</f>
        <v>1.05</v>
      </c>
      <c r="E1289" s="40">
        <f>IFERROR(__xludf.DUMMYFUNCTION("""COMPUTED_VALUE"""),44222.0)</f>
        <v>44222</v>
      </c>
      <c r="F1289" s="9">
        <f>IFERROR(__xludf.DUMMYFUNCTION("""COMPUTED_VALUE"""),1.05)</f>
        <v>1.05</v>
      </c>
      <c r="H1289" s="17"/>
      <c r="K1289" s="17"/>
      <c r="N1289" s="17"/>
    </row>
    <row r="1290">
      <c r="B1290" s="11">
        <f>IFERROR(__xludf.DUMMYFUNCTION("""COMPUTED_VALUE"""),44221.0)</f>
        <v>44221</v>
      </c>
      <c r="C1290" s="9">
        <f>IFERROR(__xludf.DUMMYFUNCTION("""COMPUTED_VALUE"""),1.05)</f>
        <v>1.05</v>
      </c>
      <c r="E1290" s="40">
        <f>IFERROR(__xludf.DUMMYFUNCTION("""COMPUTED_VALUE"""),44221.0)</f>
        <v>44221</v>
      </c>
      <c r="F1290" s="9">
        <f>IFERROR(__xludf.DUMMYFUNCTION("""COMPUTED_VALUE"""),1.05)</f>
        <v>1.05</v>
      </c>
      <c r="H1290" s="17"/>
      <c r="K1290" s="17"/>
      <c r="N1290" s="17"/>
    </row>
    <row r="1291">
      <c r="B1291" s="11">
        <f>IFERROR(__xludf.DUMMYFUNCTION("""COMPUTED_VALUE"""),44218.0)</f>
        <v>44218</v>
      </c>
      <c r="C1291" s="9">
        <f>IFERROR(__xludf.DUMMYFUNCTION("""COMPUTED_VALUE"""),1.1)</f>
        <v>1.1</v>
      </c>
      <c r="E1291" s="40">
        <f>IFERROR(__xludf.DUMMYFUNCTION("""COMPUTED_VALUE"""),44218.0)</f>
        <v>44218</v>
      </c>
      <c r="F1291" s="9">
        <f>IFERROR(__xludf.DUMMYFUNCTION("""COMPUTED_VALUE"""),1.1)</f>
        <v>1.1</v>
      </c>
      <c r="H1291" s="17"/>
      <c r="K1291" s="17"/>
      <c r="N1291" s="17"/>
    </row>
    <row r="1292">
      <c r="B1292" s="11">
        <f>IFERROR(__xludf.DUMMYFUNCTION("""COMPUTED_VALUE"""),44217.0)</f>
        <v>44217</v>
      </c>
      <c r="C1292" s="9">
        <f>IFERROR(__xludf.DUMMYFUNCTION("""COMPUTED_VALUE"""),1.12)</f>
        <v>1.12</v>
      </c>
      <c r="E1292" s="40">
        <f>IFERROR(__xludf.DUMMYFUNCTION("""COMPUTED_VALUE"""),44217.0)</f>
        <v>44217</v>
      </c>
      <c r="F1292" s="9">
        <f>IFERROR(__xludf.DUMMYFUNCTION("""COMPUTED_VALUE"""),1.12)</f>
        <v>1.12</v>
      </c>
      <c r="H1292" s="17"/>
      <c r="K1292" s="17"/>
      <c r="N1292" s="17"/>
    </row>
    <row r="1293">
      <c r="B1293" s="11">
        <f>IFERROR(__xludf.DUMMYFUNCTION("""COMPUTED_VALUE"""),44216.0)</f>
        <v>44216</v>
      </c>
      <c r="C1293" s="9">
        <f>IFERROR(__xludf.DUMMYFUNCTION("""COMPUTED_VALUE"""),1.1)</f>
        <v>1.1</v>
      </c>
      <c r="E1293" s="40">
        <f>IFERROR(__xludf.DUMMYFUNCTION("""COMPUTED_VALUE"""),44216.0)</f>
        <v>44216</v>
      </c>
      <c r="F1293" s="9">
        <f>IFERROR(__xludf.DUMMYFUNCTION("""COMPUTED_VALUE"""),1.1)</f>
        <v>1.1</v>
      </c>
      <c r="H1293" s="17"/>
      <c r="K1293" s="17"/>
      <c r="N1293" s="17"/>
    </row>
    <row r="1294">
      <c r="B1294" s="11">
        <f>IFERROR(__xludf.DUMMYFUNCTION("""COMPUTED_VALUE"""),44215.0)</f>
        <v>44215</v>
      </c>
      <c r="C1294" s="9">
        <f>IFERROR(__xludf.DUMMYFUNCTION("""COMPUTED_VALUE"""),1.1)</f>
        <v>1.1</v>
      </c>
      <c r="E1294" s="40">
        <f>IFERROR(__xludf.DUMMYFUNCTION("""COMPUTED_VALUE"""),44215.0)</f>
        <v>44215</v>
      </c>
      <c r="F1294" s="9">
        <f>IFERROR(__xludf.DUMMYFUNCTION("""COMPUTED_VALUE"""),1.1)</f>
        <v>1.1</v>
      </c>
      <c r="H1294" s="17"/>
      <c r="K1294" s="17"/>
      <c r="N1294" s="17"/>
    </row>
    <row r="1295">
      <c r="B1295" s="11">
        <f>IFERROR(__xludf.DUMMYFUNCTION("""COMPUTED_VALUE"""),44214.0)</f>
        <v>44214</v>
      </c>
      <c r="C1295" s="9"/>
      <c r="E1295" s="40">
        <f>IFERROR(__xludf.DUMMYFUNCTION("""COMPUTED_VALUE"""),44214.0)</f>
        <v>44214</v>
      </c>
      <c r="F1295" s="9"/>
      <c r="H1295" s="17"/>
      <c r="K1295" s="17"/>
      <c r="N1295" s="17"/>
    </row>
    <row r="1296">
      <c r="B1296" s="11">
        <f>IFERROR(__xludf.DUMMYFUNCTION("""COMPUTED_VALUE"""),44211.0)</f>
        <v>44211</v>
      </c>
      <c r="C1296" s="9">
        <f>IFERROR(__xludf.DUMMYFUNCTION("""COMPUTED_VALUE"""),1.11)</f>
        <v>1.11</v>
      </c>
      <c r="E1296" s="40">
        <f>IFERROR(__xludf.DUMMYFUNCTION("""COMPUTED_VALUE"""),44211.0)</f>
        <v>44211</v>
      </c>
      <c r="F1296" s="9">
        <f>IFERROR(__xludf.DUMMYFUNCTION("""COMPUTED_VALUE"""),1.11)</f>
        <v>1.11</v>
      </c>
      <c r="H1296" s="17"/>
      <c r="K1296" s="17"/>
      <c r="N1296" s="17"/>
    </row>
    <row r="1297">
      <c r="B1297" s="11">
        <f>IFERROR(__xludf.DUMMYFUNCTION("""COMPUTED_VALUE"""),44210.0)</f>
        <v>44210</v>
      </c>
      <c r="C1297" s="9">
        <f>IFERROR(__xludf.DUMMYFUNCTION("""COMPUTED_VALUE"""),1.15)</f>
        <v>1.15</v>
      </c>
      <c r="E1297" s="40">
        <f>IFERROR(__xludf.DUMMYFUNCTION("""COMPUTED_VALUE"""),44210.0)</f>
        <v>44210</v>
      </c>
      <c r="F1297" s="9">
        <f>IFERROR(__xludf.DUMMYFUNCTION("""COMPUTED_VALUE"""),1.15)</f>
        <v>1.15</v>
      </c>
      <c r="H1297" s="17"/>
      <c r="K1297" s="17"/>
      <c r="N1297" s="17"/>
    </row>
    <row r="1298">
      <c r="B1298" s="11">
        <f>IFERROR(__xludf.DUMMYFUNCTION("""COMPUTED_VALUE"""),44209.0)</f>
        <v>44209</v>
      </c>
      <c r="C1298" s="9">
        <f>IFERROR(__xludf.DUMMYFUNCTION("""COMPUTED_VALUE"""),1.1)</f>
        <v>1.1</v>
      </c>
      <c r="E1298" s="40">
        <f>IFERROR(__xludf.DUMMYFUNCTION("""COMPUTED_VALUE"""),44209.0)</f>
        <v>44209</v>
      </c>
      <c r="F1298" s="9">
        <f>IFERROR(__xludf.DUMMYFUNCTION("""COMPUTED_VALUE"""),1.1)</f>
        <v>1.1</v>
      </c>
      <c r="H1298" s="17"/>
      <c r="K1298" s="17"/>
      <c r="N1298" s="17"/>
    </row>
    <row r="1299">
      <c r="B1299" s="11">
        <f>IFERROR(__xludf.DUMMYFUNCTION("""COMPUTED_VALUE"""),44208.0)</f>
        <v>44208</v>
      </c>
      <c r="C1299" s="9">
        <f>IFERROR(__xludf.DUMMYFUNCTION("""COMPUTED_VALUE"""),1.15)</f>
        <v>1.15</v>
      </c>
      <c r="E1299" s="40">
        <f>IFERROR(__xludf.DUMMYFUNCTION("""COMPUTED_VALUE"""),44208.0)</f>
        <v>44208</v>
      </c>
      <c r="F1299" s="9">
        <f>IFERROR(__xludf.DUMMYFUNCTION("""COMPUTED_VALUE"""),1.15)</f>
        <v>1.15</v>
      </c>
      <c r="H1299" s="17"/>
      <c r="K1299" s="17"/>
      <c r="N1299" s="17"/>
    </row>
    <row r="1300">
      <c r="B1300" s="11">
        <f>IFERROR(__xludf.DUMMYFUNCTION("""COMPUTED_VALUE"""),44207.0)</f>
        <v>44207</v>
      </c>
      <c r="C1300" s="9">
        <f>IFERROR(__xludf.DUMMYFUNCTION("""COMPUTED_VALUE"""),1.15)</f>
        <v>1.15</v>
      </c>
      <c r="E1300" s="40">
        <f>IFERROR(__xludf.DUMMYFUNCTION("""COMPUTED_VALUE"""),44207.0)</f>
        <v>44207</v>
      </c>
      <c r="F1300" s="9">
        <f>IFERROR(__xludf.DUMMYFUNCTION("""COMPUTED_VALUE"""),1.15)</f>
        <v>1.15</v>
      </c>
      <c r="H1300" s="17"/>
      <c r="K1300" s="17"/>
      <c r="N1300" s="17"/>
    </row>
    <row r="1301">
      <c r="B1301" s="11">
        <f>IFERROR(__xludf.DUMMYFUNCTION("""COMPUTED_VALUE"""),44204.0)</f>
        <v>44204</v>
      </c>
      <c r="C1301" s="9">
        <f>IFERROR(__xludf.DUMMYFUNCTION("""COMPUTED_VALUE"""),1.13)</f>
        <v>1.13</v>
      </c>
      <c r="E1301" s="40">
        <f>IFERROR(__xludf.DUMMYFUNCTION("""COMPUTED_VALUE"""),44204.0)</f>
        <v>44204</v>
      </c>
      <c r="F1301" s="9">
        <f>IFERROR(__xludf.DUMMYFUNCTION("""COMPUTED_VALUE"""),1.13)</f>
        <v>1.13</v>
      </c>
      <c r="H1301" s="17"/>
      <c r="K1301" s="17"/>
      <c r="N1301" s="17"/>
    </row>
    <row r="1302">
      <c r="B1302" s="11">
        <f>IFERROR(__xludf.DUMMYFUNCTION("""COMPUTED_VALUE"""),44203.0)</f>
        <v>44203</v>
      </c>
      <c r="C1302" s="9">
        <f>IFERROR(__xludf.DUMMYFUNCTION("""COMPUTED_VALUE"""),1.08)</f>
        <v>1.08</v>
      </c>
      <c r="E1302" s="40">
        <f>IFERROR(__xludf.DUMMYFUNCTION("""COMPUTED_VALUE"""),44203.0)</f>
        <v>44203</v>
      </c>
      <c r="F1302" s="9">
        <f>IFERROR(__xludf.DUMMYFUNCTION("""COMPUTED_VALUE"""),1.08)</f>
        <v>1.08</v>
      </c>
      <c r="H1302" s="17"/>
      <c r="K1302" s="17"/>
      <c r="N1302" s="17"/>
    </row>
    <row r="1303">
      <c r="B1303" s="11">
        <f>IFERROR(__xludf.DUMMYFUNCTION("""COMPUTED_VALUE"""),44202.0)</f>
        <v>44202</v>
      </c>
      <c r="C1303" s="9">
        <f>IFERROR(__xludf.DUMMYFUNCTION("""COMPUTED_VALUE"""),1.04)</f>
        <v>1.04</v>
      </c>
      <c r="E1303" s="40">
        <f>IFERROR(__xludf.DUMMYFUNCTION("""COMPUTED_VALUE"""),44202.0)</f>
        <v>44202</v>
      </c>
      <c r="F1303" s="9">
        <f>IFERROR(__xludf.DUMMYFUNCTION("""COMPUTED_VALUE"""),1.04)</f>
        <v>1.04</v>
      </c>
      <c r="H1303" s="17"/>
      <c r="K1303" s="17"/>
      <c r="N1303" s="17"/>
    </row>
    <row r="1304">
      <c r="B1304" s="11">
        <f>IFERROR(__xludf.DUMMYFUNCTION("""COMPUTED_VALUE"""),44201.0)</f>
        <v>44201</v>
      </c>
      <c r="C1304" s="9">
        <f>IFERROR(__xludf.DUMMYFUNCTION("""COMPUTED_VALUE"""),0.96)</f>
        <v>0.96</v>
      </c>
      <c r="E1304" s="40">
        <f>IFERROR(__xludf.DUMMYFUNCTION("""COMPUTED_VALUE"""),44201.0)</f>
        <v>44201</v>
      </c>
      <c r="F1304" s="9">
        <f>IFERROR(__xludf.DUMMYFUNCTION("""COMPUTED_VALUE"""),0.96)</f>
        <v>0.96</v>
      </c>
      <c r="H1304" s="17"/>
      <c r="K1304" s="17"/>
      <c r="N1304" s="17"/>
    </row>
    <row r="1305">
      <c r="B1305" s="11">
        <f>IFERROR(__xludf.DUMMYFUNCTION("""COMPUTED_VALUE"""),44200.0)</f>
        <v>44200</v>
      </c>
      <c r="C1305" s="9">
        <f>IFERROR(__xludf.DUMMYFUNCTION("""COMPUTED_VALUE"""),0.93)</f>
        <v>0.93</v>
      </c>
      <c r="E1305" s="40">
        <f>IFERROR(__xludf.DUMMYFUNCTION("""COMPUTED_VALUE"""),44200.0)</f>
        <v>44200</v>
      </c>
      <c r="F1305" s="9">
        <f>IFERROR(__xludf.DUMMYFUNCTION("""COMPUTED_VALUE"""),0.93)</f>
        <v>0.93</v>
      </c>
      <c r="H1305" s="17"/>
      <c r="K1305" s="17"/>
      <c r="N1305" s="17"/>
    </row>
    <row r="1306">
      <c r="B1306" s="11">
        <f>IFERROR(__xludf.DUMMYFUNCTION("""COMPUTED_VALUE"""),44197.0)</f>
        <v>44197</v>
      </c>
      <c r="C1306" s="9"/>
      <c r="H1306" s="17"/>
      <c r="K1306" s="17"/>
      <c r="N1306" s="17"/>
    </row>
    <row r="1307">
      <c r="B1307" s="11">
        <f>IFERROR(__xludf.DUMMYFUNCTION("""COMPUTED_VALUE"""),44196.0)</f>
        <v>44196</v>
      </c>
      <c r="C1307" s="9">
        <f>IFERROR(__xludf.DUMMYFUNCTION("""COMPUTED_VALUE"""),0.93)</f>
        <v>0.93</v>
      </c>
      <c r="H1307" s="17"/>
      <c r="K1307" s="17"/>
      <c r="N1307" s="17"/>
    </row>
    <row r="1308">
      <c r="B1308" s="11">
        <f>IFERROR(__xludf.DUMMYFUNCTION("""COMPUTED_VALUE"""),44195.0)</f>
        <v>44195</v>
      </c>
      <c r="C1308" s="9">
        <f>IFERROR(__xludf.DUMMYFUNCTION("""COMPUTED_VALUE"""),0.93)</f>
        <v>0.93</v>
      </c>
      <c r="H1308" s="17"/>
      <c r="K1308" s="17"/>
      <c r="N1308" s="17"/>
    </row>
    <row r="1309">
      <c r="B1309" s="11">
        <f>IFERROR(__xludf.DUMMYFUNCTION("""COMPUTED_VALUE"""),44194.0)</f>
        <v>44194</v>
      </c>
      <c r="C1309" s="9">
        <f>IFERROR(__xludf.DUMMYFUNCTION("""COMPUTED_VALUE"""),0.94)</f>
        <v>0.94</v>
      </c>
      <c r="H1309" s="17"/>
      <c r="K1309" s="17"/>
      <c r="N1309" s="17"/>
    </row>
    <row r="1310">
      <c r="B1310" s="11">
        <f>IFERROR(__xludf.DUMMYFUNCTION("""COMPUTED_VALUE"""),44193.0)</f>
        <v>44193</v>
      </c>
      <c r="C1310" s="9">
        <f>IFERROR(__xludf.DUMMYFUNCTION("""COMPUTED_VALUE"""),0.94)</f>
        <v>0.94</v>
      </c>
      <c r="H1310" s="17"/>
      <c r="K1310" s="17"/>
      <c r="N1310" s="17"/>
    </row>
    <row r="1311">
      <c r="B1311" s="11">
        <f>IFERROR(__xludf.DUMMYFUNCTION("""COMPUTED_VALUE"""),44190.0)</f>
        <v>44190</v>
      </c>
      <c r="C1311" s="9"/>
      <c r="H1311" s="17"/>
      <c r="K1311" s="17"/>
      <c r="N1311" s="17"/>
    </row>
    <row r="1312">
      <c r="B1312" s="11">
        <f>IFERROR(__xludf.DUMMYFUNCTION("""COMPUTED_VALUE"""),44189.0)</f>
        <v>44189</v>
      </c>
      <c r="C1312" s="9">
        <f>IFERROR(__xludf.DUMMYFUNCTION("""COMPUTED_VALUE"""),0.94)</f>
        <v>0.94</v>
      </c>
      <c r="H1312" s="17"/>
      <c r="K1312" s="17"/>
      <c r="N1312" s="17"/>
    </row>
    <row r="1313">
      <c r="B1313" s="11">
        <f>IFERROR(__xludf.DUMMYFUNCTION("""COMPUTED_VALUE"""),44188.0)</f>
        <v>44188</v>
      </c>
      <c r="C1313" s="9">
        <f>IFERROR(__xludf.DUMMYFUNCTION("""COMPUTED_VALUE"""),0.96)</f>
        <v>0.96</v>
      </c>
      <c r="H1313" s="17"/>
      <c r="K1313" s="17"/>
      <c r="N1313" s="17"/>
    </row>
    <row r="1314">
      <c r="B1314" s="11">
        <f>IFERROR(__xludf.DUMMYFUNCTION("""COMPUTED_VALUE"""),44187.0)</f>
        <v>44187</v>
      </c>
      <c r="C1314" s="9">
        <f>IFERROR(__xludf.DUMMYFUNCTION("""COMPUTED_VALUE"""),0.93)</f>
        <v>0.93</v>
      </c>
      <c r="H1314" s="17"/>
      <c r="K1314" s="17"/>
      <c r="N1314" s="17"/>
    </row>
    <row r="1315">
      <c r="B1315" s="11">
        <f>IFERROR(__xludf.DUMMYFUNCTION("""COMPUTED_VALUE"""),44186.0)</f>
        <v>44186</v>
      </c>
      <c r="C1315" s="9">
        <f>IFERROR(__xludf.DUMMYFUNCTION("""COMPUTED_VALUE"""),0.95)</f>
        <v>0.95</v>
      </c>
      <c r="H1315" s="17"/>
      <c r="K1315" s="17"/>
      <c r="N1315" s="17"/>
    </row>
    <row r="1316">
      <c r="B1316" s="11">
        <f>IFERROR(__xludf.DUMMYFUNCTION("""COMPUTED_VALUE"""),44183.0)</f>
        <v>44183</v>
      </c>
      <c r="C1316" s="9">
        <f>IFERROR(__xludf.DUMMYFUNCTION("""COMPUTED_VALUE"""),0.95)</f>
        <v>0.95</v>
      </c>
      <c r="H1316" s="17"/>
      <c r="K1316" s="17"/>
      <c r="N1316" s="17"/>
    </row>
    <row r="1317">
      <c r="B1317" s="11">
        <f>IFERROR(__xludf.DUMMYFUNCTION("""COMPUTED_VALUE"""),44182.0)</f>
        <v>44182</v>
      </c>
      <c r="C1317" s="9">
        <f>IFERROR(__xludf.DUMMYFUNCTION("""COMPUTED_VALUE"""),0.94)</f>
        <v>0.94</v>
      </c>
      <c r="H1317" s="17"/>
      <c r="K1317" s="17"/>
      <c r="N1317" s="17"/>
    </row>
    <row r="1318">
      <c r="B1318" s="11">
        <f>IFERROR(__xludf.DUMMYFUNCTION("""COMPUTED_VALUE"""),44181.0)</f>
        <v>44181</v>
      </c>
      <c r="C1318" s="9">
        <f>IFERROR(__xludf.DUMMYFUNCTION("""COMPUTED_VALUE"""),0.92)</f>
        <v>0.92</v>
      </c>
      <c r="H1318" s="17"/>
      <c r="K1318" s="17"/>
      <c r="N1318" s="17"/>
    </row>
    <row r="1319">
      <c r="B1319" s="11">
        <f>IFERROR(__xludf.DUMMYFUNCTION("""COMPUTED_VALUE"""),44180.0)</f>
        <v>44180</v>
      </c>
      <c r="C1319" s="9">
        <f>IFERROR(__xludf.DUMMYFUNCTION("""COMPUTED_VALUE"""),0.92)</f>
        <v>0.92</v>
      </c>
      <c r="H1319" s="17"/>
      <c r="K1319" s="17"/>
      <c r="N1319" s="17"/>
    </row>
    <row r="1320">
      <c r="B1320" s="11">
        <f>IFERROR(__xludf.DUMMYFUNCTION("""COMPUTED_VALUE"""),44179.0)</f>
        <v>44179</v>
      </c>
      <c r="C1320" s="9">
        <f>IFERROR(__xludf.DUMMYFUNCTION("""COMPUTED_VALUE"""),0.9)</f>
        <v>0.9</v>
      </c>
      <c r="H1320" s="17"/>
      <c r="K1320" s="17"/>
      <c r="N1320" s="17"/>
    </row>
    <row r="1321">
      <c r="B1321" s="11">
        <f>IFERROR(__xludf.DUMMYFUNCTION("""COMPUTED_VALUE"""),44176.0)</f>
        <v>44176</v>
      </c>
      <c r="C1321" s="9">
        <f>IFERROR(__xludf.DUMMYFUNCTION("""COMPUTED_VALUE"""),0.9)</f>
        <v>0.9</v>
      </c>
      <c r="H1321" s="17"/>
      <c r="K1321" s="17"/>
      <c r="N1321" s="17"/>
    </row>
    <row r="1322">
      <c r="B1322" s="11">
        <f>IFERROR(__xludf.DUMMYFUNCTION("""COMPUTED_VALUE"""),44175.0)</f>
        <v>44175</v>
      </c>
      <c r="C1322" s="9">
        <f>IFERROR(__xludf.DUMMYFUNCTION("""COMPUTED_VALUE"""),0.92)</f>
        <v>0.92</v>
      </c>
      <c r="H1322" s="17"/>
      <c r="K1322" s="17"/>
      <c r="N1322" s="17"/>
    </row>
    <row r="1323">
      <c r="B1323" s="11">
        <f>IFERROR(__xludf.DUMMYFUNCTION("""COMPUTED_VALUE"""),44174.0)</f>
        <v>44174</v>
      </c>
      <c r="C1323" s="9">
        <f>IFERROR(__xludf.DUMMYFUNCTION("""COMPUTED_VALUE"""),0.95)</f>
        <v>0.95</v>
      </c>
      <c r="H1323" s="17"/>
      <c r="K1323" s="17"/>
      <c r="N1323" s="17"/>
    </row>
    <row r="1324">
      <c r="B1324" s="11">
        <f>IFERROR(__xludf.DUMMYFUNCTION("""COMPUTED_VALUE"""),44173.0)</f>
        <v>44173</v>
      </c>
      <c r="C1324" s="9">
        <f>IFERROR(__xludf.DUMMYFUNCTION("""COMPUTED_VALUE"""),0.92)</f>
        <v>0.92</v>
      </c>
      <c r="H1324" s="17"/>
      <c r="K1324" s="17"/>
      <c r="N1324" s="17"/>
    </row>
    <row r="1325">
      <c r="B1325" s="11">
        <f>IFERROR(__xludf.DUMMYFUNCTION("""COMPUTED_VALUE"""),44172.0)</f>
        <v>44172</v>
      </c>
      <c r="C1325" s="9">
        <f>IFERROR(__xludf.DUMMYFUNCTION("""COMPUTED_VALUE"""),0.94)</f>
        <v>0.94</v>
      </c>
      <c r="H1325" s="17"/>
      <c r="K1325" s="17"/>
      <c r="N1325" s="17"/>
    </row>
    <row r="1326">
      <c r="B1326" s="11">
        <f>IFERROR(__xludf.DUMMYFUNCTION("""COMPUTED_VALUE"""),44169.0)</f>
        <v>44169</v>
      </c>
      <c r="C1326" s="9">
        <f>IFERROR(__xludf.DUMMYFUNCTION("""COMPUTED_VALUE"""),0.97)</f>
        <v>0.97</v>
      </c>
      <c r="H1326" s="17"/>
      <c r="K1326" s="17"/>
      <c r="N1326" s="17"/>
    </row>
    <row r="1327">
      <c r="B1327" s="11">
        <f>IFERROR(__xludf.DUMMYFUNCTION("""COMPUTED_VALUE"""),44168.0)</f>
        <v>44168</v>
      </c>
      <c r="C1327" s="9">
        <f>IFERROR(__xludf.DUMMYFUNCTION("""COMPUTED_VALUE"""),0.92)</f>
        <v>0.92</v>
      </c>
      <c r="H1327" s="17"/>
      <c r="K1327" s="17"/>
      <c r="N1327" s="17"/>
    </row>
    <row r="1328">
      <c r="B1328" s="11">
        <f>IFERROR(__xludf.DUMMYFUNCTION("""COMPUTED_VALUE"""),44167.0)</f>
        <v>44167</v>
      </c>
      <c r="C1328" s="9">
        <f>IFERROR(__xludf.DUMMYFUNCTION("""COMPUTED_VALUE"""),0.95)</f>
        <v>0.95</v>
      </c>
      <c r="H1328" s="17"/>
      <c r="K1328" s="17"/>
      <c r="N1328" s="17"/>
    </row>
    <row r="1329">
      <c r="B1329" s="11">
        <f>IFERROR(__xludf.DUMMYFUNCTION("""COMPUTED_VALUE"""),44166.0)</f>
        <v>44166</v>
      </c>
      <c r="C1329" s="9">
        <f>IFERROR(__xludf.DUMMYFUNCTION("""COMPUTED_VALUE"""),0.92)</f>
        <v>0.92</v>
      </c>
      <c r="H1329" s="17"/>
      <c r="K1329" s="17"/>
      <c r="N1329" s="17"/>
    </row>
    <row r="1330">
      <c r="B1330" s="11">
        <f>IFERROR(__xludf.DUMMYFUNCTION("""COMPUTED_VALUE"""),44165.0)</f>
        <v>44165</v>
      </c>
      <c r="C1330" s="9">
        <f>IFERROR(__xludf.DUMMYFUNCTION("""COMPUTED_VALUE"""),0.84)</f>
        <v>0.84</v>
      </c>
      <c r="H1330" s="17"/>
      <c r="K1330" s="17"/>
      <c r="N1330" s="17"/>
    </row>
    <row r="1331">
      <c r="B1331" s="11">
        <f>IFERROR(__xludf.DUMMYFUNCTION("""COMPUTED_VALUE"""),44162.0)</f>
        <v>44162</v>
      </c>
      <c r="C1331" s="9">
        <f>IFERROR(__xludf.DUMMYFUNCTION("""COMPUTED_VALUE"""),0.84)</f>
        <v>0.84</v>
      </c>
      <c r="H1331" s="17"/>
      <c r="K1331" s="17"/>
      <c r="N1331" s="17"/>
    </row>
    <row r="1332">
      <c r="B1332" s="11">
        <f>IFERROR(__xludf.DUMMYFUNCTION("""COMPUTED_VALUE"""),44161.0)</f>
        <v>44161</v>
      </c>
      <c r="C1332" s="9"/>
      <c r="H1332" s="17"/>
      <c r="K1332" s="17"/>
      <c r="N1332" s="17"/>
    </row>
    <row r="1333">
      <c r="B1333" s="11">
        <f>IFERROR(__xludf.DUMMYFUNCTION("""COMPUTED_VALUE"""),44160.0)</f>
        <v>44160</v>
      </c>
      <c r="C1333" s="9">
        <f>IFERROR(__xludf.DUMMYFUNCTION("""COMPUTED_VALUE"""),0.88)</f>
        <v>0.88</v>
      </c>
      <c r="H1333" s="17"/>
      <c r="K1333" s="17"/>
      <c r="N1333" s="17"/>
    </row>
    <row r="1334">
      <c r="B1334" s="11">
        <f>IFERROR(__xludf.DUMMYFUNCTION("""COMPUTED_VALUE"""),44159.0)</f>
        <v>44159</v>
      </c>
      <c r="C1334" s="9">
        <f>IFERROR(__xludf.DUMMYFUNCTION("""COMPUTED_VALUE"""),0.88)</f>
        <v>0.88</v>
      </c>
      <c r="H1334" s="17"/>
      <c r="K1334" s="17"/>
      <c r="N1334" s="17"/>
    </row>
    <row r="1335">
      <c r="B1335" s="11">
        <f>IFERROR(__xludf.DUMMYFUNCTION("""COMPUTED_VALUE"""),44158.0)</f>
        <v>44158</v>
      </c>
      <c r="C1335" s="9">
        <f>IFERROR(__xludf.DUMMYFUNCTION("""COMPUTED_VALUE"""),0.86)</f>
        <v>0.86</v>
      </c>
      <c r="H1335" s="17"/>
      <c r="K1335" s="17"/>
      <c r="N1335" s="17"/>
    </row>
    <row r="1336">
      <c r="B1336" s="11">
        <f>IFERROR(__xludf.DUMMYFUNCTION("""COMPUTED_VALUE"""),44155.0)</f>
        <v>44155</v>
      </c>
      <c r="C1336" s="9">
        <f>IFERROR(__xludf.DUMMYFUNCTION("""COMPUTED_VALUE"""),0.83)</f>
        <v>0.83</v>
      </c>
      <c r="H1336" s="17"/>
      <c r="K1336" s="17"/>
      <c r="N1336" s="17"/>
    </row>
    <row r="1337">
      <c r="B1337" s="11">
        <f>IFERROR(__xludf.DUMMYFUNCTION("""COMPUTED_VALUE"""),44154.0)</f>
        <v>44154</v>
      </c>
      <c r="C1337" s="9">
        <f>IFERROR(__xludf.DUMMYFUNCTION("""COMPUTED_VALUE"""),0.86)</f>
        <v>0.86</v>
      </c>
      <c r="H1337" s="17"/>
      <c r="K1337" s="17"/>
      <c r="N1337" s="17"/>
    </row>
    <row r="1338">
      <c r="B1338" s="11">
        <f>IFERROR(__xludf.DUMMYFUNCTION("""COMPUTED_VALUE"""),44153.0)</f>
        <v>44153</v>
      </c>
      <c r="C1338" s="9">
        <f>IFERROR(__xludf.DUMMYFUNCTION("""COMPUTED_VALUE"""),0.88)</f>
        <v>0.88</v>
      </c>
      <c r="H1338" s="17"/>
      <c r="K1338" s="17"/>
      <c r="N1338" s="17"/>
    </row>
    <row r="1339">
      <c r="B1339" s="11">
        <f>IFERROR(__xludf.DUMMYFUNCTION("""COMPUTED_VALUE"""),44152.0)</f>
        <v>44152</v>
      </c>
      <c r="C1339" s="9">
        <f>IFERROR(__xludf.DUMMYFUNCTION("""COMPUTED_VALUE"""),0.87)</f>
        <v>0.87</v>
      </c>
      <c r="H1339" s="17"/>
      <c r="K1339" s="17"/>
      <c r="N1339" s="17"/>
    </row>
    <row r="1340">
      <c r="B1340" s="11">
        <f>IFERROR(__xludf.DUMMYFUNCTION("""COMPUTED_VALUE"""),44151.0)</f>
        <v>44151</v>
      </c>
      <c r="C1340" s="9">
        <f>IFERROR(__xludf.DUMMYFUNCTION("""COMPUTED_VALUE"""),0.91)</f>
        <v>0.91</v>
      </c>
      <c r="H1340" s="17"/>
      <c r="K1340" s="17"/>
      <c r="N1340" s="17"/>
    </row>
    <row r="1341">
      <c r="B1341" s="11">
        <f>IFERROR(__xludf.DUMMYFUNCTION("""COMPUTED_VALUE"""),44148.0)</f>
        <v>44148</v>
      </c>
      <c r="C1341" s="9">
        <f>IFERROR(__xludf.DUMMYFUNCTION("""COMPUTED_VALUE"""),0.89)</f>
        <v>0.89</v>
      </c>
      <c r="H1341" s="17"/>
      <c r="K1341" s="17"/>
      <c r="N1341" s="17"/>
    </row>
    <row r="1342">
      <c r="B1342" s="11">
        <f>IFERROR(__xludf.DUMMYFUNCTION("""COMPUTED_VALUE"""),44147.0)</f>
        <v>44147</v>
      </c>
      <c r="C1342" s="9">
        <f>IFERROR(__xludf.DUMMYFUNCTION("""COMPUTED_VALUE"""),0.88)</f>
        <v>0.88</v>
      </c>
      <c r="H1342" s="17"/>
      <c r="K1342" s="17"/>
      <c r="N1342" s="17"/>
    </row>
    <row r="1343">
      <c r="B1343" s="11">
        <f>IFERROR(__xludf.DUMMYFUNCTION("""COMPUTED_VALUE"""),44146.0)</f>
        <v>44146</v>
      </c>
      <c r="C1343" s="9"/>
      <c r="H1343" s="17"/>
      <c r="K1343" s="17"/>
      <c r="N1343" s="17"/>
    </row>
    <row r="1344">
      <c r="B1344" s="11">
        <f>IFERROR(__xludf.DUMMYFUNCTION("""COMPUTED_VALUE"""),44145.0)</f>
        <v>44145</v>
      </c>
      <c r="C1344" s="9">
        <f>IFERROR(__xludf.DUMMYFUNCTION("""COMPUTED_VALUE"""),0.98)</f>
        <v>0.98</v>
      </c>
      <c r="H1344" s="17"/>
      <c r="K1344" s="17"/>
      <c r="N1344" s="17"/>
    </row>
    <row r="1345">
      <c r="B1345" s="11">
        <f>IFERROR(__xludf.DUMMYFUNCTION("""COMPUTED_VALUE"""),44144.0)</f>
        <v>44144</v>
      </c>
      <c r="C1345" s="9">
        <f>IFERROR(__xludf.DUMMYFUNCTION("""COMPUTED_VALUE"""),0.96)</f>
        <v>0.96</v>
      </c>
      <c r="H1345" s="17"/>
      <c r="K1345" s="17"/>
      <c r="N1345" s="17"/>
    </row>
    <row r="1346">
      <c r="B1346" s="11">
        <f>IFERROR(__xludf.DUMMYFUNCTION("""COMPUTED_VALUE"""),44141.0)</f>
        <v>44141</v>
      </c>
      <c r="C1346" s="9">
        <f>IFERROR(__xludf.DUMMYFUNCTION("""COMPUTED_VALUE"""),0.83)</f>
        <v>0.83</v>
      </c>
      <c r="H1346" s="17"/>
      <c r="K1346" s="17"/>
      <c r="N1346" s="17"/>
    </row>
    <row r="1347">
      <c r="B1347" s="11">
        <f>IFERROR(__xludf.DUMMYFUNCTION("""COMPUTED_VALUE"""),44140.0)</f>
        <v>44140</v>
      </c>
      <c r="C1347" s="9">
        <f>IFERROR(__xludf.DUMMYFUNCTION("""COMPUTED_VALUE"""),0.79)</f>
        <v>0.79</v>
      </c>
      <c r="H1347" s="17"/>
      <c r="K1347" s="17"/>
      <c r="N1347" s="17"/>
    </row>
    <row r="1348">
      <c r="B1348" s="11">
        <f>IFERROR(__xludf.DUMMYFUNCTION("""COMPUTED_VALUE"""),44139.0)</f>
        <v>44139</v>
      </c>
      <c r="C1348" s="9">
        <f>IFERROR(__xludf.DUMMYFUNCTION("""COMPUTED_VALUE"""),0.78)</f>
        <v>0.78</v>
      </c>
      <c r="H1348" s="17"/>
      <c r="K1348" s="17"/>
      <c r="N1348" s="17"/>
    </row>
    <row r="1349">
      <c r="B1349" s="11">
        <f>IFERROR(__xludf.DUMMYFUNCTION("""COMPUTED_VALUE"""),44138.0)</f>
        <v>44138</v>
      </c>
      <c r="C1349" s="9">
        <f>IFERROR(__xludf.DUMMYFUNCTION("""COMPUTED_VALUE"""),0.9)</f>
        <v>0.9</v>
      </c>
      <c r="H1349" s="17"/>
      <c r="K1349" s="17"/>
      <c r="N1349" s="17"/>
    </row>
    <row r="1350">
      <c r="B1350" s="11">
        <f>IFERROR(__xludf.DUMMYFUNCTION("""COMPUTED_VALUE"""),44137.0)</f>
        <v>44137</v>
      </c>
      <c r="C1350" s="9">
        <f>IFERROR(__xludf.DUMMYFUNCTION("""COMPUTED_VALUE"""),0.87)</f>
        <v>0.87</v>
      </c>
      <c r="H1350" s="17"/>
      <c r="K1350" s="17"/>
      <c r="N1350" s="17"/>
    </row>
    <row r="1351">
      <c r="B1351" s="11">
        <f>IFERROR(__xludf.DUMMYFUNCTION("""COMPUTED_VALUE"""),44134.0)</f>
        <v>44134</v>
      </c>
      <c r="C1351" s="9">
        <f>IFERROR(__xludf.DUMMYFUNCTION("""COMPUTED_VALUE"""),0.88)</f>
        <v>0.88</v>
      </c>
      <c r="H1351" s="17"/>
      <c r="K1351" s="17"/>
      <c r="N1351" s="17"/>
    </row>
    <row r="1352">
      <c r="B1352" s="11">
        <f>IFERROR(__xludf.DUMMYFUNCTION("""COMPUTED_VALUE"""),44133.0)</f>
        <v>44133</v>
      </c>
      <c r="C1352" s="9">
        <f>IFERROR(__xludf.DUMMYFUNCTION("""COMPUTED_VALUE"""),0.85)</f>
        <v>0.85</v>
      </c>
      <c r="H1352" s="17"/>
      <c r="K1352" s="17"/>
      <c r="N1352" s="17"/>
    </row>
    <row r="1353">
      <c r="B1353" s="11">
        <f>IFERROR(__xludf.DUMMYFUNCTION("""COMPUTED_VALUE"""),44132.0)</f>
        <v>44132</v>
      </c>
      <c r="C1353" s="9">
        <f>IFERROR(__xludf.DUMMYFUNCTION("""COMPUTED_VALUE"""),0.79)</f>
        <v>0.79</v>
      </c>
      <c r="H1353" s="17"/>
      <c r="K1353" s="17"/>
      <c r="N1353" s="17"/>
    </row>
    <row r="1354">
      <c r="B1354" s="11">
        <f>IFERROR(__xludf.DUMMYFUNCTION("""COMPUTED_VALUE"""),44131.0)</f>
        <v>44131</v>
      </c>
      <c r="C1354" s="9">
        <f>IFERROR(__xludf.DUMMYFUNCTION("""COMPUTED_VALUE"""),0.79)</f>
        <v>0.79</v>
      </c>
      <c r="H1354" s="17"/>
      <c r="K1354" s="17"/>
      <c r="N1354" s="17"/>
    </row>
    <row r="1355">
      <c r="B1355" s="11">
        <f>IFERROR(__xludf.DUMMYFUNCTION("""COMPUTED_VALUE"""),44130.0)</f>
        <v>44130</v>
      </c>
      <c r="C1355" s="9">
        <f>IFERROR(__xludf.DUMMYFUNCTION("""COMPUTED_VALUE"""),0.81)</f>
        <v>0.81</v>
      </c>
      <c r="H1355" s="17"/>
      <c r="K1355" s="17"/>
      <c r="N1355" s="17"/>
    </row>
    <row r="1356">
      <c r="B1356" s="11">
        <f>IFERROR(__xludf.DUMMYFUNCTION("""COMPUTED_VALUE"""),44127.0)</f>
        <v>44127</v>
      </c>
      <c r="C1356" s="9">
        <f>IFERROR(__xludf.DUMMYFUNCTION("""COMPUTED_VALUE"""),0.85)</f>
        <v>0.85</v>
      </c>
      <c r="H1356" s="17"/>
      <c r="K1356" s="17"/>
      <c r="N1356" s="17"/>
    </row>
    <row r="1357">
      <c r="B1357" s="11">
        <f>IFERROR(__xludf.DUMMYFUNCTION("""COMPUTED_VALUE"""),44126.0)</f>
        <v>44126</v>
      </c>
      <c r="C1357" s="9">
        <f>IFERROR(__xludf.DUMMYFUNCTION("""COMPUTED_VALUE"""),0.87)</f>
        <v>0.87</v>
      </c>
      <c r="H1357" s="17"/>
      <c r="K1357" s="17"/>
      <c r="N1357" s="17"/>
    </row>
    <row r="1358">
      <c r="B1358" s="11">
        <f>IFERROR(__xludf.DUMMYFUNCTION("""COMPUTED_VALUE"""),44125.0)</f>
        <v>44125</v>
      </c>
      <c r="C1358" s="9">
        <f>IFERROR(__xludf.DUMMYFUNCTION("""COMPUTED_VALUE"""),0.83)</f>
        <v>0.83</v>
      </c>
      <c r="H1358" s="17"/>
      <c r="K1358" s="17"/>
      <c r="N1358" s="17"/>
    </row>
    <row r="1359">
      <c r="B1359" s="11">
        <f>IFERROR(__xludf.DUMMYFUNCTION("""COMPUTED_VALUE"""),44124.0)</f>
        <v>44124</v>
      </c>
      <c r="C1359" s="9">
        <f>IFERROR(__xludf.DUMMYFUNCTION("""COMPUTED_VALUE"""),0.81)</f>
        <v>0.81</v>
      </c>
      <c r="H1359" s="17"/>
      <c r="K1359" s="17"/>
      <c r="N1359" s="17"/>
    </row>
    <row r="1360">
      <c r="B1360" s="11">
        <f>IFERROR(__xludf.DUMMYFUNCTION("""COMPUTED_VALUE"""),44123.0)</f>
        <v>44123</v>
      </c>
      <c r="C1360" s="9">
        <f>IFERROR(__xludf.DUMMYFUNCTION("""COMPUTED_VALUE"""),0.78)</f>
        <v>0.78</v>
      </c>
      <c r="H1360" s="17"/>
      <c r="K1360" s="17"/>
      <c r="N1360" s="17"/>
    </row>
    <row r="1361">
      <c r="B1361" s="11">
        <f>IFERROR(__xludf.DUMMYFUNCTION("""COMPUTED_VALUE"""),44120.0)</f>
        <v>44120</v>
      </c>
      <c r="C1361" s="9">
        <f>IFERROR(__xludf.DUMMYFUNCTION("""COMPUTED_VALUE"""),0.76)</f>
        <v>0.76</v>
      </c>
      <c r="H1361" s="17"/>
      <c r="K1361" s="17"/>
      <c r="N1361" s="17"/>
    </row>
    <row r="1362">
      <c r="B1362" s="11">
        <f>IFERROR(__xludf.DUMMYFUNCTION("""COMPUTED_VALUE"""),44119.0)</f>
        <v>44119</v>
      </c>
      <c r="C1362" s="9">
        <f>IFERROR(__xludf.DUMMYFUNCTION("""COMPUTED_VALUE"""),0.74)</f>
        <v>0.74</v>
      </c>
      <c r="H1362" s="17"/>
      <c r="K1362" s="17"/>
      <c r="N1362" s="17"/>
    </row>
    <row r="1363">
      <c r="B1363" s="11">
        <f>IFERROR(__xludf.DUMMYFUNCTION("""COMPUTED_VALUE"""),44118.0)</f>
        <v>44118</v>
      </c>
      <c r="C1363" s="9">
        <f>IFERROR(__xludf.DUMMYFUNCTION("""COMPUTED_VALUE"""),0.73)</f>
        <v>0.73</v>
      </c>
      <c r="H1363" s="17"/>
      <c r="K1363" s="17"/>
      <c r="N1363" s="17"/>
    </row>
    <row r="1364">
      <c r="B1364" s="11">
        <f>IFERROR(__xludf.DUMMYFUNCTION("""COMPUTED_VALUE"""),44117.0)</f>
        <v>44117</v>
      </c>
      <c r="C1364" s="9">
        <f>IFERROR(__xludf.DUMMYFUNCTION("""COMPUTED_VALUE"""),0.74)</f>
        <v>0.74</v>
      </c>
      <c r="H1364" s="17"/>
      <c r="K1364" s="17"/>
      <c r="N1364" s="17"/>
    </row>
    <row r="1365">
      <c r="B1365" s="11">
        <f>IFERROR(__xludf.DUMMYFUNCTION("""COMPUTED_VALUE"""),44116.0)</f>
        <v>44116</v>
      </c>
      <c r="C1365" s="9"/>
      <c r="H1365" s="17"/>
      <c r="K1365" s="17"/>
      <c r="N1365" s="17"/>
    </row>
    <row r="1366">
      <c r="B1366" s="11">
        <f>IFERROR(__xludf.DUMMYFUNCTION("""COMPUTED_VALUE"""),44113.0)</f>
        <v>44113</v>
      </c>
      <c r="C1366" s="9">
        <f>IFERROR(__xludf.DUMMYFUNCTION("""COMPUTED_VALUE"""),0.79)</f>
        <v>0.79</v>
      </c>
      <c r="H1366" s="17"/>
      <c r="K1366" s="17"/>
      <c r="N1366" s="17"/>
    </row>
    <row r="1367">
      <c r="B1367" s="11">
        <f>IFERROR(__xludf.DUMMYFUNCTION("""COMPUTED_VALUE"""),44112.0)</f>
        <v>44112</v>
      </c>
      <c r="C1367" s="9">
        <f>IFERROR(__xludf.DUMMYFUNCTION("""COMPUTED_VALUE"""),0.78)</f>
        <v>0.78</v>
      </c>
      <c r="H1367" s="17"/>
      <c r="K1367" s="17"/>
      <c r="N1367" s="17"/>
    </row>
    <row r="1368">
      <c r="B1368" s="11">
        <f>IFERROR(__xludf.DUMMYFUNCTION("""COMPUTED_VALUE"""),44111.0)</f>
        <v>44111</v>
      </c>
      <c r="C1368" s="9">
        <f>IFERROR(__xludf.DUMMYFUNCTION("""COMPUTED_VALUE"""),0.81)</f>
        <v>0.81</v>
      </c>
      <c r="H1368" s="17"/>
      <c r="K1368" s="17"/>
      <c r="N1368" s="17"/>
    </row>
    <row r="1369">
      <c r="B1369" s="11">
        <f>IFERROR(__xludf.DUMMYFUNCTION("""COMPUTED_VALUE"""),44110.0)</f>
        <v>44110</v>
      </c>
      <c r="C1369" s="9">
        <f>IFERROR(__xludf.DUMMYFUNCTION("""COMPUTED_VALUE"""),0.76)</f>
        <v>0.76</v>
      </c>
      <c r="H1369" s="17"/>
      <c r="K1369" s="17"/>
      <c r="N1369" s="17"/>
    </row>
    <row r="1370">
      <c r="B1370" s="11">
        <f>IFERROR(__xludf.DUMMYFUNCTION("""COMPUTED_VALUE"""),44109.0)</f>
        <v>44109</v>
      </c>
      <c r="C1370" s="9">
        <f>IFERROR(__xludf.DUMMYFUNCTION("""COMPUTED_VALUE"""),0.78)</f>
        <v>0.78</v>
      </c>
      <c r="H1370" s="17"/>
      <c r="K1370" s="17"/>
      <c r="N1370" s="17"/>
    </row>
    <row r="1371">
      <c r="B1371" s="11">
        <f>IFERROR(__xludf.DUMMYFUNCTION("""COMPUTED_VALUE"""),44106.0)</f>
        <v>44106</v>
      </c>
      <c r="C1371" s="9">
        <f>IFERROR(__xludf.DUMMYFUNCTION("""COMPUTED_VALUE"""),0.7)</f>
        <v>0.7</v>
      </c>
      <c r="H1371" s="17"/>
      <c r="K1371" s="17"/>
      <c r="N1371" s="17"/>
    </row>
    <row r="1372">
      <c r="B1372" s="11">
        <f>IFERROR(__xludf.DUMMYFUNCTION("""COMPUTED_VALUE"""),44105.0)</f>
        <v>44105</v>
      </c>
      <c r="C1372" s="9">
        <f>IFERROR(__xludf.DUMMYFUNCTION("""COMPUTED_VALUE"""),0.68)</f>
        <v>0.68</v>
      </c>
      <c r="H1372" s="17"/>
      <c r="K1372" s="17"/>
      <c r="N1372" s="17"/>
    </row>
    <row r="1373">
      <c r="B1373" s="11">
        <f>IFERROR(__xludf.DUMMYFUNCTION("""COMPUTED_VALUE"""),44104.0)</f>
        <v>44104</v>
      </c>
      <c r="C1373" s="9">
        <f>IFERROR(__xludf.DUMMYFUNCTION("""COMPUTED_VALUE"""),0.69)</f>
        <v>0.69</v>
      </c>
      <c r="H1373" s="17"/>
      <c r="K1373" s="17"/>
      <c r="N1373" s="17"/>
    </row>
    <row r="1374">
      <c r="B1374" s="11">
        <f>IFERROR(__xludf.DUMMYFUNCTION("""COMPUTED_VALUE"""),44103.0)</f>
        <v>44103</v>
      </c>
      <c r="C1374" s="9">
        <f>IFERROR(__xludf.DUMMYFUNCTION("""COMPUTED_VALUE"""),0.66)</f>
        <v>0.66</v>
      </c>
      <c r="H1374" s="17"/>
      <c r="K1374" s="17"/>
      <c r="N1374" s="17"/>
    </row>
    <row r="1375">
      <c r="B1375" s="11">
        <f>IFERROR(__xludf.DUMMYFUNCTION("""COMPUTED_VALUE"""),44102.0)</f>
        <v>44102</v>
      </c>
      <c r="C1375" s="9">
        <f>IFERROR(__xludf.DUMMYFUNCTION("""COMPUTED_VALUE"""),0.67)</f>
        <v>0.67</v>
      </c>
      <c r="H1375" s="17"/>
      <c r="K1375" s="17"/>
      <c r="N1375" s="17"/>
    </row>
    <row r="1376">
      <c r="B1376" s="11">
        <f>IFERROR(__xludf.DUMMYFUNCTION("""COMPUTED_VALUE"""),44099.0)</f>
        <v>44099</v>
      </c>
      <c r="C1376" s="9">
        <f>IFERROR(__xludf.DUMMYFUNCTION("""COMPUTED_VALUE"""),0.66)</f>
        <v>0.66</v>
      </c>
      <c r="H1376" s="17"/>
      <c r="K1376" s="17"/>
      <c r="N1376" s="17"/>
    </row>
    <row r="1377">
      <c r="B1377" s="11">
        <f>IFERROR(__xludf.DUMMYFUNCTION("""COMPUTED_VALUE"""),44098.0)</f>
        <v>44098</v>
      </c>
      <c r="C1377" s="9">
        <f>IFERROR(__xludf.DUMMYFUNCTION("""COMPUTED_VALUE"""),0.67)</f>
        <v>0.67</v>
      </c>
      <c r="H1377" s="17"/>
      <c r="K1377" s="17"/>
      <c r="N1377" s="17"/>
    </row>
    <row r="1378">
      <c r="B1378" s="11">
        <f>IFERROR(__xludf.DUMMYFUNCTION("""COMPUTED_VALUE"""),44097.0)</f>
        <v>44097</v>
      </c>
      <c r="C1378" s="9">
        <f>IFERROR(__xludf.DUMMYFUNCTION("""COMPUTED_VALUE"""),0.68)</f>
        <v>0.68</v>
      </c>
      <c r="H1378" s="17"/>
      <c r="K1378" s="17"/>
      <c r="N1378" s="17"/>
    </row>
    <row r="1379">
      <c r="B1379" s="11">
        <f>IFERROR(__xludf.DUMMYFUNCTION("""COMPUTED_VALUE"""),44096.0)</f>
        <v>44096</v>
      </c>
      <c r="C1379" s="9">
        <f>IFERROR(__xludf.DUMMYFUNCTION("""COMPUTED_VALUE"""),0.68)</f>
        <v>0.68</v>
      </c>
      <c r="H1379" s="17"/>
      <c r="K1379" s="17"/>
      <c r="N1379" s="17"/>
    </row>
    <row r="1380">
      <c r="B1380" s="11">
        <f>IFERROR(__xludf.DUMMYFUNCTION("""COMPUTED_VALUE"""),44095.0)</f>
        <v>44095</v>
      </c>
      <c r="C1380" s="9">
        <f>IFERROR(__xludf.DUMMYFUNCTION("""COMPUTED_VALUE"""),0.68)</f>
        <v>0.68</v>
      </c>
      <c r="H1380" s="17"/>
      <c r="K1380" s="17"/>
      <c r="N1380" s="17"/>
    </row>
    <row r="1381">
      <c r="B1381" s="11">
        <f>IFERROR(__xludf.DUMMYFUNCTION("""COMPUTED_VALUE"""),44092.0)</f>
        <v>44092</v>
      </c>
      <c r="C1381" s="9">
        <f>IFERROR(__xludf.DUMMYFUNCTION("""COMPUTED_VALUE"""),0.7)</f>
        <v>0.7</v>
      </c>
      <c r="H1381" s="17"/>
      <c r="K1381" s="17"/>
      <c r="N1381" s="17"/>
    </row>
    <row r="1382">
      <c r="B1382" s="11">
        <f>IFERROR(__xludf.DUMMYFUNCTION("""COMPUTED_VALUE"""),44091.0)</f>
        <v>44091</v>
      </c>
      <c r="C1382" s="9">
        <f>IFERROR(__xludf.DUMMYFUNCTION("""COMPUTED_VALUE"""),0.69)</f>
        <v>0.69</v>
      </c>
      <c r="H1382" s="17"/>
      <c r="K1382" s="17"/>
      <c r="N1382" s="17"/>
    </row>
    <row r="1383">
      <c r="B1383" s="11">
        <f>IFERROR(__xludf.DUMMYFUNCTION("""COMPUTED_VALUE"""),44090.0)</f>
        <v>44090</v>
      </c>
      <c r="C1383" s="9">
        <f>IFERROR(__xludf.DUMMYFUNCTION("""COMPUTED_VALUE"""),0.69)</f>
        <v>0.69</v>
      </c>
      <c r="H1383" s="17"/>
      <c r="K1383" s="17"/>
      <c r="N1383" s="17"/>
    </row>
    <row r="1384">
      <c r="B1384" s="11">
        <f>IFERROR(__xludf.DUMMYFUNCTION("""COMPUTED_VALUE"""),44089.0)</f>
        <v>44089</v>
      </c>
      <c r="C1384" s="9">
        <f>IFERROR(__xludf.DUMMYFUNCTION("""COMPUTED_VALUE"""),0.68)</f>
        <v>0.68</v>
      </c>
      <c r="H1384" s="17"/>
      <c r="K1384" s="17"/>
      <c r="N1384" s="17"/>
    </row>
    <row r="1385">
      <c r="B1385" s="11">
        <f>IFERROR(__xludf.DUMMYFUNCTION("""COMPUTED_VALUE"""),44088.0)</f>
        <v>44088</v>
      </c>
      <c r="C1385" s="9">
        <f>IFERROR(__xludf.DUMMYFUNCTION("""COMPUTED_VALUE"""),0.68)</f>
        <v>0.68</v>
      </c>
      <c r="H1385" s="17"/>
      <c r="K1385" s="17"/>
      <c r="N1385" s="17"/>
    </row>
    <row r="1386">
      <c r="B1386" s="11">
        <f>IFERROR(__xludf.DUMMYFUNCTION("""COMPUTED_VALUE"""),44085.0)</f>
        <v>44085</v>
      </c>
      <c r="C1386" s="9">
        <f>IFERROR(__xludf.DUMMYFUNCTION("""COMPUTED_VALUE"""),0.67)</f>
        <v>0.67</v>
      </c>
      <c r="H1386" s="17"/>
      <c r="K1386" s="17"/>
      <c r="N1386" s="17"/>
    </row>
    <row r="1387">
      <c r="B1387" s="11">
        <f>IFERROR(__xludf.DUMMYFUNCTION("""COMPUTED_VALUE"""),44084.0)</f>
        <v>44084</v>
      </c>
      <c r="C1387" s="9">
        <f>IFERROR(__xludf.DUMMYFUNCTION("""COMPUTED_VALUE"""),0.68)</f>
        <v>0.68</v>
      </c>
      <c r="H1387" s="17"/>
      <c r="K1387" s="17"/>
      <c r="N1387" s="17"/>
    </row>
    <row r="1388">
      <c r="B1388" s="11">
        <f>IFERROR(__xludf.DUMMYFUNCTION("""COMPUTED_VALUE"""),44083.0)</f>
        <v>44083</v>
      </c>
      <c r="C1388" s="9">
        <f>IFERROR(__xludf.DUMMYFUNCTION("""COMPUTED_VALUE"""),0.71)</f>
        <v>0.71</v>
      </c>
      <c r="H1388" s="17"/>
      <c r="K1388" s="17"/>
      <c r="N1388" s="17"/>
    </row>
    <row r="1389">
      <c r="B1389" s="11">
        <f>IFERROR(__xludf.DUMMYFUNCTION("""COMPUTED_VALUE"""),44082.0)</f>
        <v>44082</v>
      </c>
      <c r="C1389" s="9">
        <f>IFERROR(__xludf.DUMMYFUNCTION("""COMPUTED_VALUE"""),0.69)</f>
        <v>0.69</v>
      </c>
      <c r="H1389" s="17"/>
      <c r="K1389" s="17"/>
      <c r="N1389" s="17"/>
    </row>
    <row r="1390">
      <c r="B1390" s="11">
        <f>IFERROR(__xludf.DUMMYFUNCTION("""COMPUTED_VALUE"""),44081.0)</f>
        <v>44081</v>
      </c>
      <c r="C1390" s="9"/>
      <c r="H1390" s="17"/>
      <c r="K1390" s="17"/>
      <c r="N1390" s="17"/>
    </row>
    <row r="1391">
      <c r="B1391" s="11">
        <f>IFERROR(__xludf.DUMMYFUNCTION("""COMPUTED_VALUE"""),44078.0)</f>
        <v>44078</v>
      </c>
      <c r="C1391" s="9">
        <f>IFERROR(__xludf.DUMMYFUNCTION("""COMPUTED_VALUE"""),0.72)</f>
        <v>0.72</v>
      </c>
      <c r="H1391" s="17"/>
      <c r="K1391" s="17"/>
      <c r="N1391" s="17"/>
    </row>
    <row r="1392">
      <c r="B1392" s="11">
        <f>IFERROR(__xludf.DUMMYFUNCTION("""COMPUTED_VALUE"""),44077.0)</f>
        <v>44077</v>
      </c>
      <c r="C1392" s="9">
        <f>IFERROR(__xludf.DUMMYFUNCTION("""COMPUTED_VALUE"""),0.63)</f>
        <v>0.63</v>
      </c>
      <c r="H1392" s="17"/>
      <c r="K1392" s="17"/>
      <c r="N1392" s="17"/>
    </row>
    <row r="1393">
      <c r="B1393" s="11">
        <f>IFERROR(__xludf.DUMMYFUNCTION("""COMPUTED_VALUE"""),44076.0)</f>
        <v>44076</v>
      </c>
      <c r="C1393" s="9">
        <f>IFERROR(__xludf.DUMMYFUNCTION("""COMPUTED_VALUE"""),0.66)</f>
        <v>0.66</v>
      </c>
      <c r="H1393" s="17"/>
      <c r="K1393" s="17"/>
      <c r="N1393" s="17"/>
    </row>
    <row r="1394">
      <c r="B1394" s="11">
        <f>IFERROR(__xludf.DUMMYFUNCTION("""COMPUTED_VALUE"""),44075.0)</f>
        <v>44075</v>
      </c>
      <c r="C1394" s="9">
        <f>IFERROR(__xludf.DUMMYFUNCTION("""COMPUTED_VALUE"""),0.68)</f>
        <v>0.68</v>
      </c>
      <c r="H1394" s="17"/>
      <c r="K1394" s="17"/>
      <c r="N1394" s="17"/>
    </row>
    <row r="1395">
      <c r="B1395" s="11">
        <f>IFERROR(__xludf.DUMMYFUNCTION("""COMPUTED_VALUE"""),44074.0)</f>
        <v>44074</v>
      </c>
      <c r="C1395" s="9">
        <f>IFERROR(__xludf.DUMMYFUNCTION("""COMPUTED_VALUE"""),0.72)</f>
        <v>0.72</v>
      </c>
      <c r="H1395" s="17"/>
      <c r="K1395" s="17"/>
      <c r="N1395" s="17"/>
    </row>
    <row r="1396">
      <c r="B1396" s="11">
        <f>IFERROR(__xludf.DUMMYFUNCTION("""COMPUTED_VALUE"""),44071.0)</f>
        <v>44071</v>
      </c>
      <c r="C1396" s="9">
        <f>IFERROR(__xludf.DUMMYFUNCTION("""COMPUTED_VALUE"""),0.74)</f>
        <v>0.74</v>
      </c>
      <c r="H1396" s="17"/>
      <c r="K1396" s="17"/>
      <c r="N1396" s="17"/>
    </row>
    <row r="1397">
      <c r="B1397" s="11">
        <f>IFERROR(__xludf.DUMMYFUNCTION("""COMPUTED_VALUE"""),44070.0)</f>
        <v>44070</v>
      </c>
      <c r="C1397" s="9">
        <f>IFERROR(__xludf.DUMMYFUNCTION("""COMPUTED_VALUE"""),0.74)</f>
        <v>0.74</v>
      </c>
      <c r="H1397" s="17"/>
      <c r="K1397" s="17"/>
      <c r="N1397" s="17"/>
    </row>
    <row r="1398">
      <c r="B1398" s="11">
        <f>IFERROR(__xludf.DUMMYFUNCTION("""COMPUTED_VALUE"""),44069.0)</f>
        <v>44069</v>
      </c>
      <c r="C1398" s="9">
        <f>IFERROR(__xludf.DUMMYFUNCTION("""COMPUTED_VALUE"""),0.69)</f>
        <v>0.69</v>
      </c>
      <c r="H1398" s="17"/>
      <c r="K1398" s="17"/>
      <c r="N1398" s="17"/>
    </row>
    <row r="1399">
      <c r="B1399" s="11">
        <f>IFERROR(__xludf.DUMMYFUNCTION("""COMPUTED_VALUE"""),44068.0)</f>
        <v>44068</v>
      </c>
      <c r="C1399" s="9">
        <f>IFERROR(__xludf.DUMMYFUNCTION("""COMPUTED_VALUE"""),0.69)</f>
        <v>0.69</v>
      </c>
      <c r="H1399" s="17"/>
      <c r="K1399" s="17"/>
      <c r="N1399" s="17"/>
    </row>
    <row r="1400">
      <c r="B1400" s="11">
        <f>IFERROR(__xludf.DUMMYFUNCTION("""COMPUTED_VALUE"""),44067.0)</f>
        <v>44067</v>
      </c>
      <c r="C1400" s="9">
        <f>IFERROR(__xludf.DUMMYFUNCTION("""COMPUTED_VALUE"""),0.65)</f>
        <v>0.65</v>
      </c>
      <c r="H1400" s="17"/>
      <c r="K1400" s="17"/>
      <c r="N1400" s="17"/>
    </row>
    <row r="1401">
      <c r="B1401" s="11">
        <f>IFERROR(__xludf.DUMMYFUNCTION("""COMPUTED_VALUE"""),44064.0)</f>
        <v>44064</v>
      </c>
      <c r="C1401" s="9">
        <f>IFERROR(__xludf.DUMMYFUNCTION("""COMPUTED_VALUE"""),0.64)</f>
        <v>0.64</v>
      </c>
      <c r="H1401" s="17"/>
      <c r="K1401" s="17"/>
      <c r="N1401" s="17"/>
    </row>
    <row r="1402">
      <c r="B1402" s="11">
        <f>IFERROR(__xludf.DUMMYFUNCTION("""COMPUTED_VALUE"""),44063.0)</f>
        <v>44063</v>
      </c>
      <c r="C1402" s="9">
        <f>IFERROR(__xludf.DUMMYFUNCTION("""COMPUTED_VALUE"""),0.65)</f>
        <v>0.65</v>
      </c>
      <c r="H1402" s="17"/>
      <c r="K1402" s="17"/>
      <c r="N1402" s="17"/>
    </row>
    <row r="1403">
      <c r="B1403" s="11">
        <f>IFERROR(__xludf.DUMMYFUNCTION("""COMPUTED_VALUE"""),44062.0)</f>
        <v>44062</v>
      </c>
      <c r="C1403" s="9">
        <f>IFERROR(__xludf.DUMMYFUNCTION("""COMPUTED_VALUE"""),0.68)</f>
        <v>0.68</v>
      </c>
      <c r="H1403" s="17"/>
      <c r="K1403" s="17"/>
      <c r="N1403" s="17"/>
    </row>
    <row r="1404">
      <c r="B1404" s="11">
        <f>IFERROR(__xludf.DUMMYFUNCTION("""COMPUTED_VALUE"""),44061.0)</f>
        <v>44061</v>
      </c>
      <c r="C1404" s="9">
        <f>IFERROR(__xludf.DUMMYFUNCTION("""COMPUTED_VALUE"""),0.67)</f>
        <v>0.67</v>
      </c>
      <c r="H1404" s="17"/>
      <c r="K1404" s="17"/>
      <c r="N1404" s="17"/>
    </row>
    <row r="1405">
      <c r="B1405" s="11">
        <f>IFERROR(__xludf.DUMMYFUNCTION("""COMPUTED_VALUE"""),44060.0)</f>
        <v>44060</v>
      </c>
      <c r="C1405" s="9">
        <f>IFERROR(__xludf.DUMMYFUNCTION("""COMPUTED_VALUE"""),0.69)</f>
        <v>0.69</v>
      </c>
      <c r="H1405" s="17"/>
      <c r="K1405" s="17"/>
      <c r="N1405" s="17"/>
    </row>
    <row r="1406">
      <c r="B1406" s="11">
        <f>IFERROR(__xludf.DUMMYFUNCTION("""COMPUTED_VALUE"""),44057.0)</f>
        <v>44057</v>
      </c>
      <c r="C1406" s="9">
        <f>IFERROR(__xludf.DUMMYFUNCTION("""COMPUTED_VALUE"""),0.71)</f>
        <v>0.71</v>
      </c>
      <c r="H1406" s="17"/>
      <c r="K1406" s="17"/>
      <c r="N1406" s="17"/>
    </row>
    <row r="1407">
      <c r="B1407" s="11">
        <f>IFERROR(__xludf.DUMMYFUNCTION("""COMPUTED_VALUE"""),44056.0)</f>
        <v>44056</v>
      </c>
      <c r="C1407" s="9">
        <f>IFERROR(__xludf.DUMMYFUNCTION("""COMPUTED_VALUE"""),0.71)</f>
        <v>0.71</v>
      </c>
      <c r="H1407" s="17"/>
      <c r="K1407" s="17"/>
      <c r="N1407" s="17"/>
    </row>
    <row r="1408">
      <c r="B1408" s="11">
        <f>IFERROR(__xludf.DUMMYFUNCTION("""COMPUTED_VALUE"""),44055.0)</f>
        <v>44055</v>
      </c>
      <c r="C1408" s="9">
        <f>IFERROR(__xludf.DUMMYFUNCTION("""COMPUTED_VALUE"""),0.69)</f>
        <v>0.69</v>
      </c>
      <c r="H1408" s="17"/>
      <c r="K1408" s="17"/>
      <c r="N1408" s="17"/>
    </row>
    <row r="1409">
      <c r="B1409" s="11">
        <f>IFERROR(__xludf.DUMMYFUNCTION("""COMPUTED_VALUE"""),44054.0)</f>
        <v>44054</v>
      </c>
      <c r="C1409" s="9">
        <f>IFERROR(__xludf.DUMMYFUNCTION("""COMPUTED_VALUE"""),0.64)</f>
        <v>0.64</v>
      </c>
      <c r="H1409" s="17"/>
      <c r="K1409" s="17"/>
      <c r="N1409" s="17"/>
    </row>
    <row r="1410">
      <c r="B1410" s="11">
        <f>IFERROR(__xludf.DUMMYFUNCTION("""COMPUTED_VALUE"""),44053.0)</f>
        <v>44053</v>
      </c>
      <c r="C1410" s="9">
        <f>IFERROR(__xludf.DUMMYFUNCTION("""COMPUTED_VALUE"""),0.59)</f>
        <v>0.59</v>
      </c>
      <c r="H1410" s="17"/>
      <c r="K1410" s="17"/>
      <c r="N1410" s="17"/>
    </row>
    <row r="1411">
      <c r="B1411" s="11">
        <f>IFERROR(__xludf.DUMMYFUNCTION("""COMPUTED_VALUE"""),44050.0)</f>
        <v>44050</v>
      </c>
      <c r="C1411" s="9">
        <f>IFERROR(__xludf.DUMMYFUNCTION("""COMPUTED_VALUE"""),0.57)</f>
        <v>0.57</v>
      </c>
      <c r="H1411" s="17"/>
      <c r="K1411" s="17"/>
      <c r="N1411" s="17"/>
    </row>
    <row r="1412">
      <c r="B1412" s="11">
        <f>IFERROR(__xludf.DUMMYFUNCTION("""COMPUTED_VALUE"""),44049.0)</f>
        <v>44049</v>
      </c>
      <c r="C1412" s="9">
        <f>IFERROR(__xludf.DUMMYFUNCTION("""COMPUTED_VALUE"""),0.55)</f>
        <v>0.55</v>
      </c>
      <c r="H1412" s="17"/>
      <c r="K1412" s="17"/>
      <c r="N1412" s="17"/>
    </row>
    <row r="1413">
      <c r="B1413" s="11">
        <f>IFERROR(__xludf.DUMMYFUNCTION("""COMPUTED_VALUE"""),44048.0)</f>
        <v>44048</v>
      </c>
      <c r="C1413" s="9">
        <f>IFERROR(__xludf.DUMMYFUNCTION("""COMPUTED_VALUE"""),0.55)</f>
        <v>0.55</v>
      </c>
      <c r="H1413" s="17"/>
      <c r="K1413" s="17"/>
      <c r="N1413" s="17"/>
    </row>
    <row r="1414">
      <c r="B1414" s="11">
        <f>IFERROR(__xludf.DUMMYFUNCTION("""COMPUTED_VALUE"""),44047.0)</f>
        <v>44047</v>
      </c>
      <c r="C1414" s="9">
        <f>IFERROR(__xludf.DUMMYFUNCTION("""COMPUTED_VALUE"""),0.52)</f>
        <v>0.52</v>
      </c>
      <c r="H1414" s="17"/>
      <c r="K1414" s="17"/>
      <c r="N1414" s="17"/>
    </row>
    <row r="1415">
      <c r="B1415" s="11">
        <f>IFERROR(__xludf.DUMMYFUNCTION("""COMPUTED_VALUE"""),44046.0)</f>
        <v>44046</v>
      </c>
      <c r="C1415" s="9">
        <f>IFERROR(__xludf.DUMMYFUNCTION("""COMPUTED_VALUE"""),0.56)</f>
        <v>0.56</v>
      </c>
      <c r="H1415" s="17"/>
      <c r="K1415" s="17"/>
      <c r="N1415" s="17"/>
    </row>
    <row r="1416">
      <c r="B1416" s="11">
        <f>IFERROR(__xludf.DUMMYFUNCTION("""COMPUTED_VALUE"""),44043.0)</f>
        <v>44043</v>
      </c>
      <c r="C1416" s="9">
        <f>IFERROR(__xludf.DUMMYFUNCTION("""COMPUTED_VALUE"""),0.55)</f>
        <v>0.55</v>
      </c>
      <c r="H1416" s="17"/>
      <c r="K1416" s="17"/>
      <c r="N1416" s="17"/>
    </row>
    <row r="1417">
      <c r="B1417" s="11">
        <f>IFERROR(__xludf.DUMMYFUNCTION("""COMPUTED_VALUE"""),44042.0)</f>
        <v>44042</v>
      </c>
      <c r="C1417" s="9">
        <f>IFERROR(__xludf.DUMMYFUNCTION("""COMPUTED_VALUE"""),0.55)</f>
        <v>0.55</v>
      </c>
      <c r="H1417" s="17"/>
      <c r="K1417" s="17"/>
      <c r="N1417" s="17"/>
    </row>
    <row r="1418">
      <c r="B1418" s="11">
        <f>IFERROR(__xludf.DUMMYFUNCTION("""COMPUTED_VALUE"""),44041.0)</f>
        <v>44041</v>
      </c>
      <c r="C1418" s="9">
        <f>IFERROR(__xludf.DUMMYFUNCTION("""COMPUTED_VALUE"""),0.58)</f>
        <v>0.58</v>
      </c>
      <c r="H1418" s="17"/>
      <c r="K1418" s="17"/>
      <c r="N1418" s="17"/>
    </row>
    <row r="1419">
      <c r="B1419" s="11">
        <f>IFERROR(__xludf.DUMMYFUNCTION("""COMPUTED_VALUE"""),44040.0)</f>
        <v>44040</v>
      </c>
      <c r="C1419" s="9">
        <f>IFERROR(__xludf.DUMMYFUNCTION("""COMPUTED_VALUE"""),0.59)</f>
        <v>0.59</v>
      </c>
      <c r="H1419" s="17"/>
      <c r="K1419" s="17"/>
      <c r="N1419" s="17"/>
    </row>
    <row r="1420">
      <c r="B1420" s="11">
        <f>IFERROR(__xludf.DUMMYFUNCTION("""COMPUTED_VALUE"""),44039.0)</f>
        <v>44039</v>
      </c>
      <c r="C1420" s="9">
        <f>IFERROR(__xludf.DUMMYFUNCTION("""COMPUTED_VALUE"""),0.62)</f>
        <v>0.62</v>
      </c>
      <c r="H1420" s="17"/>
      <c r="K1420" s="17"/>
      <c r="N1420" s="17"/>
    </row>
    <row r="1421">
      <c r="B1421" s="11">
        <f>IFERROR(__xludf.DUMMYFUNCTION("""COMPUTED_VALUE"""),44036.0)</f>
        <v>44036</v>
      </c>
      <c r="C1421" s="9">
        <f>IFERROR(__xludf.DUMMYFUNCTION("""COMPUTED_VALUE"""),0.59)</f>
        <v>0.59</v>
      </c>
      <c r="H1421" s="17"/>
      <c r="K1421" s="17"/>
      <c r="N1421" s="17"/>
    </row>
    <row r="1422">
      <c r="B1422" s="11">
        <f>IFERROR(__xludf.DUMMYFUNCTION("""COMPUTED_VALUE"""),44035.0)</f>
        <v>44035</v>
      </c>
      <c r="C1422" s="9">
        <f>IFERROR(__xludf.DUMMYFUNCTION("""COMPUTED_VALUE"""),0.59)</f>
        <v>0.59</v>
      </c>
      <c r="H1422" s="17"/>
      <c r="K1422" s="17"/>
      <c r="N1422" s="17"/>
    </row>
    <row r="1423">
      <c r="B1423" s="11">
        <f>IFERROR(__xludf.DUMMYFUNCTION("""COMPUTED_VALUE"""),44034.0)</f>
        <v>44034</v>
      </c>
      <c r="C1423" s="9">
        <f>IFERROR(__xludf.DUMMYFUNCTION("""COMPUTED_VALUE"""),0.6)</f>
        <v>0.6</v>
      </c>
      <c r="H1423" s="17"/>
      <c r="K1423" s="17"/>
      <c r="N1423" s="17"/>
    </row>
    <row r="1424">
      <c r="B1424" s="11">
        <f>IFERROR(__xludf.DUMMYFUNCTION("""COMPUTED_VALUE"""),44033.0)</f>
        <v>44033</v>
      </c>
      <c r="C1424" s="9">
        <f>IFERROR(__xludf.DUMMYFUNCTION("""COMPUTED_VALUE"""),0.61)</f>
        <v>0.61</v>
      </c>
      <c r="H1424" s="17"/>
      <c r="K1424" s="17"/>
      <c r="N1424" s="17"/>
    </row>
    <row r="1425">
      <c r="B1425" s="11">
        <f>IFERROR(__xludf.DUMMYFUNCTION("""COMPUTED_VALUE"""),44032.0)</f>
        <v>44032</v>
      </c>
      <c r="C1425" s="9">
        <f>IFERROR(__xludf.DUMMYFUNCTION("""COMPUTED_VALUE"""),0.62)</f>
        <v>0.62</v>
      </c>
      <c r="H1425" s="17"/>
      <c r="K1425" s="17"/>
      <c r="N1425" s="17"/>
    </row>
    <row r="1426">
      <c r="B1426" s="11">
        <f>IFERROR(__xludf.DUMMYFUNCTION("""COMPUTED_VALUE"""),44029.0)</f>
        <v>44029</v>
      </c>
      <c r="C1426" s="9">
        <f>IFERROR(__xludf.DUMMYFUNCTION("""COMPUTED_VALUE"""),0.64)</f>
        <v>0.64</v>
      </c>
      <c r="H1426" s="17"/>
      <c r="K1426" s="17"/>
      <c r="N1426" s="17"/>
    </row>
    <row r="1427">
      <c r="B1427" s="11">
        <f>IFERROR(__xludf.DUMMYFUNCTION("""COMPUTED_VALUE"""),44028.0)</f>
        <v>44028</v>
      </c>
      <c r="C1427" s="9">
        <f>IFERROR(__xludf.DUMMYFUNCTION("""COMPUTED_VALUE"""),0.62)</f>
        <v>0.62</v>
      </c>
      <c r="H1427" s="17"/>
      <c r="K1427" s="17"/>
      <c r="N1427" s="17"/>
    </row>
    <row r="1428">
      <c r="B1428" s="11">
        <f>IFERROR(__xludf.DUMMYFUNCTION("""COMPUTED_VALUE"""),44027.0)</f>
        <v>44027</v>
      </c>
      <c r="C1428" s="9">
        <f>IFERROR(__xludf.DUMMYFUNCTION("""COMPUTED_VALUE"""),0.64)</f>
        <v>0.64</v>
      </c>
      <c r="H1428" s="17"/>
      <c r="K1428" s="17"/>
      <c r="N1428" s="17"/>
    </row>
    <row r="1429">
      <c r="B1429" s="11">
        <f>IFERROR(__xludf.DUMMYFUNCTION("""COMPUTED_VALUE"""),44026.0)</f>
        <v>44026</v>
      </c>
      <c r="C1429" s="9">
        <f>IFERROR(__xludf.DUMMYFUNCTION("""COMPUTED_VALUE"""),0.63)</f>
        <v>0.63</v>
      </c>
      <c r="H1429" s="17"/>
      <c r="K1429" s="17"/>
      <c r="N1429" s="17"/>
    </row>
    <row r="1430">
      <c r="B1430" s="11">
        <f>IFERROR(__xludf.DUMMYFUNCTION("""COMPUTED_VALUE"""),44025.0)</f>
        <v>44025</v>
      </c>
      <c r="C1430" s="9">
        <f>IFERROR(__xludf.DUMMYFUNCTION("""COMPUTED_VALUE"""),0.64)</f>
        <v>0.64</v>
      </c>
      <c r="H1430" s="17"/>
      <c r="K1430" s="17"/>
      <c r="N1430" s="17"/>
    </row>
    <row r="1431">
      <c r="B1431" s="11">
        <f>IFERROR(__xludf.DUMMYFUNCTION("""COMPUTED_VALUE"""),44022.0)</f>
        <v>44022</v>
      </c>
      <c r="C1431" s="9">
        <f>IFERROR(__xludf.DUMMYFUNCTION("""COMPUTED_VALUE"""),0.65)</f>
        <v>0.65</v>
      </c>
      <c r="H1431" s="17"/>
      <c r="K1431" s="17"/>
      <c r="N1431" s="17"/>
    </row>
    <row r="1432">
      <c r="B1432" s="11">
        <f>IFERROR(__xludf.DUMMYFUNCTION("""COMPUTED_VALUE"""),44021.0)</f>
        <v>44021</v>
      </c>
      <c r="C1432" s="9">
        <f>IFERROR(__xludf.DUMMYFUNCTION("""COMPUTED_VALUE"""),0.62)</f>
        <v>0.62</v>
      </c>
      <c r="H1432" s="17"/>
      <c r="K1432" s="17"/>
      <c r="N1432" s="17"/>
    </row>
    <row r="1433">
      <c r="B1433" s="11">
        <f>IFERROR(__xludf.DUMMYFUNCTION("""COMPUTED_VALUE"""),44020.0)</f>
        <v>44020</v>
      </c>
      <c r="C1433" s="9">
        <f>IFERROR(__xludf.DUMMYFUNCTION("""COMPUTED_VALUE"""),0.67)</f>
        <v>0.67</v>
      </c>
      <c r="H1433" s="17"/>
      <c r="K1433" s="17"/>
      <c r="N1433" s="17"/>
    </row>
    <row r="1434">
      <c r="B1434" s="11">
        <f>IFERROR(__xludf.DUMMYFUNCTION("""COMPUTED_VALUE"""),44019.0)</f>
        <v>44019</v>
      </c>
      <c r="C1434" s="9">
        <f>IFERROR(__xludf.DUMMYFUNCTION("""COMPUTED_VALUE"""),0.65)</f>
        <v>0.65</v>
      </c>
      <c r="H1434" s="17"/>
      <c r="K1434" s="17"/>
      <c r="N1434" s="17"/>
    </row>
    <row r="1435">
      <c r="B1435" s="11">
        <f>IFERROR(__xludf.DUMMYFUNCTION("""COMPUTED_VALUE"""),44018.0)</f>
        <v>44018</v>
      </c>
      <c r="C1435" s="9">
        <f>IFERROR(__xludf.DUMMYFUNCTION("""COMPUTED_VALUE"""),0.69)</f>
        <v>0.69</v>
      </c>
      <c r="H1435" s="17"/>
      <c r="K1435" s="17"/>
      <c r="N1435" s="17"/>
    </row>
    <row r="1436">
      <c r="B1436" s="11">
        <f>IFERROR(__xludf.DUMMYFUNCTION("""COMPUTED_VALUE"""),44015.0)</f>
        <v>44015</v>
      </c>
      <c r="C1436" s="9"/>
      <c r="H1436" s="17"/>
      <c r="K1436" s="17"/>
      <c r="N1436" s="17"/>
    </row>
    <row r="1437">
      <c r="B1437" s="11">
        <f>IFERROR(__xludf.DUMMYFUNCTION("""COMPUTED_VALUE"""),44014.0)</f>
        <v>44014</v>
      </c>
      <c r="C1437" s="9">
        <f>IFERROR(__xludf.DUMMYFUNCTION("""COMPUTED_VALUE"""),0.68)</f>
        <v>0.68</v>
      </c>
      <c r="H1437" s="17"/>
      <c r="K1437" s="17"/>
      <c r="N1437" s="17"/>
    </row>
    <row r="1438">
      <c r="B1438" s="11">
        <f>IFERROR(__xludf.DUMMYFUNCTION("""COMPUTED_VALUE"""),44013.0)</f>
        <v>44013</v>
      </c>
      <c r="C1438" s="9">
        <f>IFERROR(__xludf.DUMMYFUNCTION("""COMPUTED_VALUE"""),0.69)</f>
        <v>0.69</v>
      </c>
      <c r="H1438" s="17"/>
      <c r="K1438" s="17"/>
      <c r="N1438" s="17"/>
    </row>
    <row r="1439">
      <c r="B1439" s="11">
        <f>IFERROR(__xludf.DUMMYFUNCTION("""COMPUTED_VALUE"""),44012.0)</f>
        <v>44012</v>
      </c>
      <c r="C1439" s="9">
        <f>IFERROR(__xludf.DUMMYFUNCTION("""COMPUTED_VALUE"""),0.66)</f>
        <v>0.66</v>
      </c>
      <c r="H1439" s="17"/>
      <c r="K1439" s="17"/>
      <c r="N1439" s="17"/>
    </row>
    <row r="1440">
      <c r="B1440" s="11">
        <f>IFERROR(__xludf.DUMMYFUNCTION("""COMPUTED_VALUE"""),44011.0)</f>
        <v>44011</v>
      </c>
      <c r="C1440" s="9">
        <f>IFERROR(__xludf.DUMMYFUNCTION("""COMPUTED_VALUE"""),0.64)</f>
        <v>0.64</v>
      </c>
      <c r="H1440" s="17"/>
      <c r="K1440" s="17"/>
      <c r="N1440" s="17"/>
    </row>
    <row r="1441">
      <c r="B1441" s="11">
        <f>IFERROR(__xludf.DUMMYFUNCTION("""COMPUTED_VALUE"""),44008.0)</f>
        <v>44008</v>
      </c>
      <c r="C1441" s="9">
        <f>IFERROR(__xludf.DUMMYFUNCTION("""COMPUTED_VALUE"""),0.64)</f>
        <v>0.64</v>
      </c>
      <c r="H1441" s="17"/>
      <c r="K1441" s="17"/>
      <c r="N1441" s="17"/>
    </row>
    <row r="1442">
      <c r="B1442" s="11">
        <f>IFERROR(__xludf.DUMMYFUNCTION("""COMPUTED_VALUE"""),44007.0)</f>
        <v>44007</v>
      </c>
      <c r="C1442" s="9">
        <f>IFERROR(__xludf.DUMMYFUNCTION("""COMPUTED_VALUE"""),0.68)</f>
        <v>0.68</v>
      </c>
      <c r="H1442" s="17"/>
      <c r="K1442" s="17"/>
      <c r="N1442" s="17"/>
    </row>
    <row r="1443">
      <c r="B1443" s="11">
        <f>IFERROR(__xludf.DUMMYFUNCTION("""COMPUTED_VALUE"""),44006.0)</f>
        <v>44006</v>
      </c>
      <c r="C1443" s="9">
        <f>IFERROR(__xludf.DUMMYFUNCTION("""COMPUTED_VALUE"""),0.69)</f>
        <v>0.69</v>
      </c>
      <c r="H1443" s="17"/>
      <c r="K1443" s="17"/>
      <c r="N1443" s="17"/>
    </row>
    <row r="1444">
      <c r="B1444" s="11">
        <f>IFERROR(__xludf.DUMMYFUNCTION("""COMPUTED_VALUE"""),44005.0)</f>
        <v>44005</v>
      </c>
      <c r="C1444" s="9">
        <f>IFERROR(__xludf.DUMMYFUNCTION("""COMPUTED_VALUE"""),0.72)</f>
        <v>0.72</v>
      </c>
      <c r="H1444" s="17"/>
      <c r="K1444" s="17"/>
      <c r="N1444" s="17"/>
    </row>
    <row r="1445">
      <c r="B1445" s="11">
        <f>IFERROR(__xludf.DUMMYFUNCTION("""COMPUTED_VALUE"""),44004.0)</f>
        <v>44004</v>
      </c>
      <c r="C1445" s="9">
        <f>IFERROR(__xludf.DUMMYFUNCTION("""COMPUTED_VALUE"""),0.71)</f>
        <v>0.71</v>
      </c>
      <c r="H1445" s="17"/>
      <c r="K1445" s="17"/>
      <c r="N1445" s="17"/>
    </row>
    <row r="1446">
      <c r="B1446" s="11">
        <f>IFERROR(__xludf.DUMMYFUNCTION("""COMPUTED_VALUE"""),44001.0)</f>
        <v>44001</v>
      </c>
      <c r="C1446" s="9">
        <f>IFERROR(__xludf.DUMMYFUNCTION("""COMPUTED_VALUE"""),0.7)</f>
        <v>0.7</v>
      </c>
      <c r="H1446" s="17"/>
      <c r="K1446" s="17"/>
      <c r="N1446" s="17"/>
    </row>
    <row r="1447">
      <c r="B1447" s="11">
        <f>IFERROR(__xludf.DUMMYFUNCTION("""COMPUTED_VALUE"""),44000.0)</f>
        <v>44000</v>
      </c>
      <c r="C1447" s="9">
        <f>IFERROR(__xludf.DUMMYFUNCTION("""COMPUTED_VALUE"""),0.71)</f>
        <v>0.71</v>
      </c>
      <c r="H1447" s="17"/>
      <c r="K1447" s="17"/>
      <c r="N1447" s="17"/>
    </row>
    <row r="1448">
      <c r="B1448" s="11">
        <f>IFERROR(__xludf.DUMMYFUNCTION("""COMPUTED_VALUE"""),43999.0)</f>
        <v>43999</v>
      </c>
      <c r="C1448" s="9">
        <f>IFERROR(__xludf.DUMMYFUNCTION("""COMPUTED_VALUE"""),0.74)</f>
        <v>0.74</v>
      </c>
      <c r="H1448" s="17"/>
      <c r="K1448" s="17"/>
      <c r="N1448" s="17"/>
    </row>
    <row r="1449">
      <c r="B1449" s="11">
        <f>IFERROR(__xludf.DUMMYFUNCTION("""COMPUTED_VALUE"""),43998.0)</f>
        <v>43998</v>
      </c>
      <c r="C1449" s="9">
        <f>IFERROR(__xludf.DUMMYFUNCTION("""COMPUTED_VALUE"""),0.75)</f>
        <v>0.75</v>
      </c>
      <c r="H1449" s="17"/>
      <c r="K1449" s="17"/>
      <c r="N1449" s="17"/>
    </row>
    <row r="1450">
      <c r="B1450" s="11">
        <f>IFERROR(__xludf.DUMMYFUNCTION("""COMPUTED_VALUE"""),43997.0)</f>
        <v>43997</v>
      </c>
      <c r="C1450" s="9">
        <f>IFERROR(__xludf.DUMMYFUNCTION("""COMPUTED_VALUE"""),0.71)</f>
        <v>0.71</v>
      </c>
      <c r="H1450" s="17"/>
      <c r="K1450" s="17"/>
      <c r="N1450" s="17"/>
    </row>
    <row r="1451">
      <c r="B1451" s="11">
        <f>IFERROR(__xludf.DUMMYFUNCTION("""COMPUTED_VALUE"""),43994.0)</f>
        <v>43994</v>
      </c>
      <c r="C1451" s="9">
        <f>IFERROR(__xludf.DUMMYFUNCTION("""COMPUTED_VALUE"""),0.71)</f>
        <v>0.71</v>
      </c>
      <c r="H1451" s="17"/>
      <c r="K1451" s="17"/>
      <c r="N1451" s="17"/>
    </row>
    <row r="1452">
      <c r="B1452" s="11">
        <f>IFERROR(__xludf.DUMMYFUNCTION("""COMPUTED_VALUE"""),43993.0)</f>
        <v>43993</v>
      </c>
      <c r="C1452" s="9">
        <f>IFERROR(__xludf.DUMMYFUNCTION("""COMPUTED_VALUE"""),0.66)</f>
        <v>0.66</v>
      </c>
      <c r="H1452" s="17"/>
      <c r="K1452" s="17"/>
      <c r="N1452" s="17"/>
    </row>
    <row r="1453">
      <c r="B1453" s="11">
        <f>IFERROR(__xludf.DUMMYFUNCTION("""COMPUTED_VALUE"""),43992.0)</f>
        <v>43992</v>
      </c>
      <c r="C1453" s="9">
        <f>IFERROR(__xludf.DUMMYFUNCTION("""COMPUTED_VALUE"""),0.75)</f>
        <v>0.75</v>
      </c>
      <c r="H1453" s="17"/>
      <c r="K1453" s="17"/>
      <c r="N1453" s="17"/>
    </row>
    <row r="1454">
      <c r="B1454" s="11">
        <f>IFERROR(__xludf.DUMMYFUNCTION("""COMPUTED_VALUE"""),43991.0)</f>
        <v>43991</v>
      </c>
      <c r="C1454" s="9">
        <f>IFERROR(__xludf.DUMMYFUNCTION("""COMPUTED_VALUE"""),0.84)</f>
        <v>0.84</v>
      </c>
      <c r="H1454" s="17"/>
      <c r="K1454" s="17"/>
      <c r="N1454" s="17"/>
    </row>
    <row r="1455">
      <c r="B1455" s="11">
        <f>IFERROR(__xludf.DUMMYFUNCTION("""COMPUTED_VALUE"""),43990.0)</f>
        <v>43990</v>
      </c>
      <c r="C1455" s="9">
        <f>IFERROR(__xludf.DUMMYFUNCTION("""COMPUTED_VALUE"""),0.88)</f>
        <v>0.88</v>
      </c>
      <c r="H1455" s="17"/>
      <c r="K1455" s="17"/>
      <c r="N1455" s="17"/>
    </row>
    <row r="1456">
      <c r="B1456" s="11">
        <f>IFERROR(__xludf.DUMMYFUNCTION("""COMPUTED_VALUE"""),43987.0)</f>
        <v>43987</v>
      </c>
      <c r="C1456" s="9">
        <f>IFERROR(__xludf.DUMMYFUNCTION("""COMPUTED_VALUE"""),0.91)</f>
        <v>0.91</v>
      </c>
      <c r="H1456" s="17"/>
      <c r="K1456" s="17"/>
      <c r="N1456" s="17"/>
    </row>
    <row r="1457">
      <c r="B1457" s="11">
        <f>IFERROR(__xludf.DUMMYFUNCTION("""COMPUTED_VALUE"""),43986.0)</f>
        <v>43986</v>
      </c>
      <c r="C1457" s="9">
        <f>IFERROR(__xludf.DUMMYFUNCTION("""COMPUTED_VALUE"""),0.82)</f>
        <v>0.82</v>
      </c>
      <c r="H1457" s="17"/>
      <c r="K1457" s="17"/>
      <c r="N1457" s="17"/>
    </row>
    <row r="1458">
      <c r="B1458" s="11">
        <f>IFERROR(__xludf.DUMMYFUNCTION("""COMPUTED_VALUE"""),43985.0)</f>
        <v>43985</v>
      </c>
      <c r="C1458" s="9">
        <f>IFERROR(__xludf.DUMMYFUNCTION("""COMPUTED_VALUE"""),0.77)</f>
        <v>0.77</v>
      </c>
      <c r="H1458" s="17"/>
      <c r="K1458" s="17"/>
      <c r="N1458" s="17"/>
    </row>
    <row r="1459">
      <c r="B1459" s="11">
        <f>IFERROR(__xludf.DUMMYFUNCTION("""COMPUTED_VALUE"""),43984.0)</f>
        <v>43984</v>
      </c>
      <c r="C1459" s="9">
        <f>IFERROR(__xludf.DUMMYFUNCTION("""COMPUTED_VALUE"""),0.68)</f>
        <v>0.68</v>
      </c>
      <c r="H1459" s="17"/>
      <c r="K1459" s="17"/>
      <c r="N1459" s="17"/>
    </row>
    <row r="1460">
      <c r="B1460" s="11">
        <f>IFERROR(__xludf.DUMMYFUNCTION("""COMPUTED_VALUE"""),43983.0)</f>
        <v>43983</v>
      </c>
      <c r="C1460" s="9">
        <f>IFERROR(__xludf.DUMMYFUNCTION("""COMPUTED_VALUE"""),0.66)</f>
        <v>0.66</v>
      </c>
      <c r="H1460" s="17"/>
      <c r="K1460" s="17"/>
      <c r="N1460" s="17"/>
    </row>
    <row r="1461">
      <c r="B1461" s="11">
        <f>IFERROR(__xludf.DUMMYFUNCTION("""COMPUTED_VALUE"""),43980.0)</f>
        <v>43980</v>
      </c>
      <c r="C1461" s="9">
        <f>IFERROR(__xludf.DUMMYFUNCTION("""COMPUTED_VALUE"""),0.65)</f>
        <v>0.65</v>
      </c>
      <c r="H1461" s="17"/>
      <c r="K1461" s="17"/>
      <c r="N1461" s="17"/>
    </row>
    <row r="1462">
      <c r="B1462" s="11">
        <f>IFERROR(__xludf.DUMMYFUNCTION("""COMPUTED_VALUE"""),43979.0)</f>
        <v>43979</v>
      </c>
      <c r="C1462" s="9">
        <f>IFERROR(__xludf.DUMMYFUNCTION("""COMPUTED_VALUE"""),0.7)</f>
        <v>0.7</v>
      </c>
      <c r="H1462" s="17"/>
      <c r="K1462" s="17"/>
      <c r="N1462" s="17"/>
    </row>
    <row r="1463">
      <c r="B1463" s="11">
        <f>IFERROR(__xludf.DUMMYFUNCTION("""COMPUTED_VALUE"""),43978.0)</f>
        <v>43978</v>
      </c>
      <c r="C1463" s="9">
        <f>IFERROR(__xludf.DUMMYFUNCTION("""COMPUTED_VALUE"""),0.68)</f>
        <v>0.68</v>
      </c>
      <c r="H1463" s="17"/>
      <c r="K1463" s="17"/>
      <c r="N1463" s="17"/>
    </row>
    <row r="1464">
      <c r="B1464" s="11">
        <f>IFERROR(__xludf.DUMMYFUNCTION("""COMPUTED_VALUE"""),43977.0)</f>
        <v>43977</v>
      </c>
      <c r="C1464" s="9">
        <f>IFERROR(__xludf.DUMMYFUNCTION("""COMPUTED_VALUE"""),0.69)</f>
        <v>0.69</v>
      </c>
      <c r="H1464" s="17"/>
      <c r="K1464" s="17"/>
      <c r="N1464" s="17"/>
    </row>
    <row r="1465">
      <c r="B1465" s="11">
        <f>IFERROR(__xludf.DUMMYFUNCTION("""COMPUTED_VALUE"""),43976.0)</f>
        <v>43976</v>
      </c>
      <c r="C1465" s="9"/>
      <c r="H1465" s="17"/>
      <c r="K1465" s="17"/>
      <c r="N1465" s="17"/>
    </row>
    <row r="1466">
      <c r="B1466" s="11">
        <f>IFERROR(__xludf.DUMMYFUNCTION("""COMPUTED_VALUE"""),43973.0)</f>
        <v>43973</v>
      </c>
      <c r="C1466" s="9">
        <f>IFERROR(__xludf.DUMMYFUNCTION("""COMPUTED_VALUE"""),0.66)</f>
        <v>0.66</v>
      </c>
      <c r="H1466" s="17"/>
      <c r="K1466" s="17"/>
      <c r="N1466" s="17"/>
    </row>
    <row r="1467">
      <c r="B1467" s="11">
        <f>IFERROR(__xludf.DUMMYFUNCTION("""COMPUTED_VALUE"""),43972.0)</f>
        <v>43972</v>
      </c>
      <c r="C1467" s="9">
        <f>IFERROR(__xludf.DUMMYFUNCTION("""COMPUTED_VALUE"""),0.68)</f>
        <v>0.68</v>
      </c>
      <c r="H1467" s="17"/>
      <c r="K1467" s="17"/>
      <c r="N1467" s="17"/>
    </row>
    <row r="1468">
      <c r="B1468" s="11">
        <f>IFERROR(__xludf.DUMMYFUNCTION("""COMPUTED_VALUE"""),43971.0)</f>
        <v>43971</v>
      </c>
      <c r="C1468" s="9">
        <f>IFERROR(__xludf.DUMMYFUNCTION("""COMPUTED_VALUE"""),0.68)</f>
        <v>0.68</v>
      </c>
      <c r="H1468" s="17"/>
      <c r="K1468" s="17"/>
      <c r="N1468" s="17"/>
    </row>
    <row r="1469">
      <c r="B1469" s="11">
        <f>IFERROR(__xludf.DUMMYFUNCTION("""COMPUTED_VALUE"""),43970.0)</f>
        <v>43970</v>
      </c>
      <c r="C1469" s="9">
        <f>IFERROR(__xludf.DUMMYFUNCTION("""COMPUTED_VALUE"""),0.7)</f>
        <v>0.7</v>
      </c>
      <c r="H1469" s="17"/>
      <c r="K1469" s="17"/>
      <c r="N1469" s="17"/>
    </row>
    <row r="1470">
      <c r="B1470" s="11">
        <f>IFERROR(__xludf.DUMMYFUNCTION("""COMPUTED_VALUE"""),43969.0)</f>
        <v>43969</v>
      </c>
      <c r="C1470" s="9">
        <f>IFERROR(__xludf.DUMMYFUNCTION("""COMPUTED_VALUE"""),0.73)</f>
        <v>0.73</v>
      </c>
      <c r="H1470" s="17"/>
      <c r="K1470" s="17"/>
      <c r="N1470" s="17"/>
    </row>
    <row r="1471">
      <c r="B1471" s="11">
        <f>IFERROR(__xludf.DUMMYFUNCTION("""COMPUTED_VALUE"""),43966.0)</f>
        <v>43966</v>
      </c>
      <c r="C1471" s="9">
        <f>IFERROR(__xludf.DUMMYFUNCTION("""COMPUTED_VALUE"""),0.64)</f>
        <v>0.64</v>
      </c>
      <c r="H1471" s="17"/>
      <c r="K1471" s="17"/>
      <c r="N1471" s="17"/>
    </row>
    <row r="1472">
      <c r="B1472" s="11">
        <f>IFERROR(__xludf.DUMMYFUNCTION("""COMPUTED_VALUE"""),43965.0)</f>
        <v>43965</v>
      </c>
      <c r="C1472" s="9">
        <f>IFERROR(__xludf.DUMMYFUNCTION("""COMPUTED_VALUE"""),0.63)</f>
        <v>0.63</v>
      </c>
      <c r="H1472" s="17"/>
      <c r="K1472" s="17"/>
      <c r="N1472" s="17"/>
    </row>
    <row r="1473">
      <c r="B1473" s="11">
        <f>IFERROR(__xludf.DUMMYFUNCTION("""COMPUTED_VALUE"""),43964.0)</f>
        <v>43964</v>
      </c>
      <c r="C1473" s="9">
        <f>IFERROR(__xludf.DUMMYFUNCTION("""COMPUTED_VALUE"""),0.64)</f>
        <v>0.64</v>
      </c>
      <c r="H1473" s="17"/>
      <c r="K1473" s="17"/>
      <c r="N1473" s="17"/>
    </row>
    <row r="1474">
      <c r="B1474" s="11">
        <f>IFERROR(__xludf.DUMMYFUNCTION("""COMPUTED_VALUE"""),43963.0)</f>
        <v>43963</v>
      </c>
      <c r="C1474" s="9">
        <f>IFERROR(__xludf.DUMMYFUNCTION("""COMPUTED_VALUE"""),0.69)</f>
        <v>0.69</v>
      </c>
      <c r="H1474" s="17"/>
      <c r="K1474" s="17"/>
      <c r="N1474" s="17"/>
    </row>
    <row r="1475">
      <c r="B1475" s="11">
        <f>IFERROR(__xludf.DUMMYFUNCTION("""COMPUTED_VALUE"""),43962.0)</f>
        <v>43962</v>
      </c>
      <c r="C1475" s="9">
        <f>IFERROR(__xludf.DUMMYFUNCTION("""COMPUTED_VALUE"""),0.73)</f>
        <v>0.73</v>
      </c>
      <c r="H1475" s="17"/>
      <c r="K1475" s="17"/>
      <c r="N1475" s="17"/>
    </row>
    <row r="1476">
      <c r="B1476" s="11">
        <f>IFERROR(__xludf.DUMMYFUNCTION("""COMPUTED_VALUE"""),43959.0)</f>
        <v>43959</v>
      </c>
      <c r="C1476" s="9">
        <f>IFERROR(__xludf.DUMMYFUNCTION("""COMPUTED_VALUE"""),0.69)</f>
        <v>0.69</v>
      </c>
      <c r="H1476" s="17"/>
      <c r="K1476" s="17"/>
      <c r="N1476" s="17"/>
    </row>
    <row r="1477">
      <c r="B1477" s="11">
        <f>IFERROR(__xludf.DUMMYFUNCTION("""COMPUTED_VALUE"""),43958.0)</f>
        <v>43958</v>
      </c>
      <c r="C1477" s="9">
        <f>IFERROR(__xludf.DUMMYFUNCTION("""COMPUTED_VALUE"""),0.63)</f>
        <v>0.63</v>
      </c>
      <c r="H1477" s="17"/>
      <c r="K1477" s="17"/>
      <c r="N1477" s="17"/>
    </row>
    <row r="1478">
      <c r="B1478" s="11">
        <f>IFERROR(__xludf.DUMMYFUNCTION("""COMPUTED_VALUE"""),43957.0)</f>
        <v>43957</v>
      </c>
      <c r="C1478" s="9">
        <f>IFERROR(__xludf.DUMMYFUNCTION("""COMPUTED_VALUE"""),0.72)</f>
        <v>0.72</v>
      </c>
      <c r="H1478" s="17"/>
      <c r="K1478" s="17"/>
      <c r="N1478" s="17"/>
    </row>
    <row r="1479">
      <c r="B1479" s="11">
        <f>IFERROR(__xludf.DUMMYFUNCTION("""COMPUTED_VALUE"""),43956.0)</f>
        <v>43956</v>
      </c>
      <c r="C1479" s="9">
        <f>IFERROR(__xludf.DUMMYFUNCTION("""COMPUTED_VALUE"""),0.66)</f>
        <v>0.66</v>
      </c>
      <c r="H1479" s="17"/>
      <c r="K1479" s="17"/>
      <c r="N1479" s="17"/>
    </row>
    <row r="1480">
      <c r="B1480" s="11">
        <f>IFERROR(__xludf.DUMMYFUNCTION("""COMPUTED_VALUE"""),43955.0)</f>
        <v>43955</v>
      </c>
      <c r="C1480" s="9">
        <f>IFERROR(__xludf.DUMMYFUNCTION("""COMPUTED_VALUE"""),0.64)</f>
        <v>0.64</v>
      </c>
      <c r="H1480" s="17"/>
      <c r="K1480" s="17"/>
      <c r="N1480" s="17"/>
    </row>
    <row r="1481">
      <c r="B1481" s="11">
        <f>IFERROR(__xludf.DUMMYFUNCTION("""COMPUTED_VALUE"""),43952.0)</f>
        <v>43952</v>
      </c>
      <c r="C1481" s="9">
        <f>IFERROR(__xludf.DUMMYFUNCTION("""COMPUTED_VALUE"""),0.64)</f>
        <v>0.64</v>
      </c>
      <c r="H1481" s="17"/>
      <c r="K1481" s="17"/>
      <c r="N1481" s="17"/>
    </row>
    <row r="1482">
      <c r="B1482" s="11">
        <f>IFERROR(__xludf.DUMMYFUNCTION("""COMPUTED_VALUE"""),43951.0)</f>
        <v>43951</v>
      </c>
      <c r="C1482" s="9">
        <f>IFERROR(__xludf.DUMMYFUNCTION("""COMPUTED_VALUE"""),0.64)</f>
        <v>0.64</v>
      </c>
      <c r="H1482" s="17"/>
      <c r="K1482" s="17"/>
      <c r="N1482" s="17"/>
    </row>
    <row r="1483">
      <c r="B1483" s="11">
        <f>IFERROR(__xludf.DUMMYFUNCTION("""COMPUTED_VALUE"""),43950.0)</f>
        <v>43950</v>
      </c>
      <c r="C1483" s="9">
        <f>IFERROR(__xludf.DUMMYFUNCTION("""COMPUTED_VALUE"""),0.63)</f>
        <v>0.63</v>
      </c>
      <c r="H1483" s="17"/>
      <c r="K1483" s="17"/>
      <c r="N1483" s="17"/>
    </row>
    <row r="1484">
      <c r="B1484" s="11">
        <f>IFERROR(__xludf.DUMMYFUNCTION("""COMPUTED_VALUE"""),43949.0)</f>
        <v>43949</v>
      </c>
      <c r="C1484" s="9">
        <f>IFERROR(__xludf.DUMMYFUNCTION("""COMPUTED_VALUE"""),0.62)</f>
        <v>0.62</v>
      </c>
      <c r="H1484" s="17"/>
      <c r="K1484" s="17"/>
      <c r="N1484" s="17"/>
    </row>
    <row r="1485">
      <c r="B1485" s="11">
        <f>IFERROR(__xludf.DUMMYFUNCTION("""COMPUTED_VALUE"""),43948.0)</f>
        <v>43948</v>
      </c>
      <c r="C1485" s="9">
        <f>IFERROR(__xludf.DUMMYFUNCTION("""COMPUTED_VALUE"""),0.67)</f>
        <v>0.67</v>
      </c>
      <c r="H1485" s="17"/>
      <c r="K1485" s="17"/>
      <c r="N1485" s="17"/>
    </row>
    <row r="1486">
      <c r="B1486" s="11">
        <f>IFERROR(__xludf.DUMMYFUNCTION("""COMPUTED_VALUE"""),43945.0)</f>
        <v>43945</v>
      </c>
      <c r="C1486" s="9">
        <f>IFERROR(__xludf.DUMMYFUNCTION("""COMPUTED_VALUE"""),0.6)</f>
        <v>0.6</v>
      </c>
      <c r="H1486" s="17"/>
      <c r="K1486" s="17"/>
      <c r="N1486" s="17"/>
    </row>
    <row r="1487">
      <c r="B1487" s="11">
        <f>IFERROR(__xludf.DUMMYFUNCTION("""COMPUTED_VALUE"""),43944.0)</f>
        <v>43944</v>
      </c>
      <c r="C1487" s="9">
        <f>IFERROR(__xludf.DUMMYFUNCTION("""COMPUTED_VALUE"""),0.61)</f>
        <v>0.61</v>
      </c>
      <c r="H1487" s="17"/>
      <c r="K1487" s="17"/>
      <c r="N1487" s="17"/>
    </row>
    <row r="1488">
      <c r="B1488" s="11">
        <f>IFERROR(__xludf.DUMMYFUNCTION("""COMPUTED_VALUE"""),43943.0)</f>
        <v>43943</v>
      </c>
      <c r="C1488" s="9">
        <f>IFERROR(__xludf.DUMMYFUNCTION("""COMPUTED_VALUE"""),0.63)</f>
        <v>0.63</v>
      </c>
      <c r="H1488" s="17"/>
      <c r="K1488" s="17"/>
      <c r="N1488" s="17"/>
    </row>
    <row r="1489">
      <c r="B1489" s="11">
        <f>IFERROR(__xludf.DUMMYFUNCTION("""COMPUTED_VALUE"""),43942.0)</f>
        <v>43942</v>
      </c>
      <c r="C1489" s="9">
        <f>IFERROR(__xludf.DUMMYFUNCTION("""COMPUTED_VALUE"""),0.58)</f>
        <v>0.58</v>
      </c>
      <c r="H1489" s="17"/>
      <c r="K1489" s="17"/>
      <c r="N1489" s="17"/>
    </row>
    <row r="1490">
      <c r="B1490" s="11">
        <f>IFERROR(__xludf.DUMMYFUNCTION("""COMPUTED_VALUE"""),43941.0)</f>
        <v>43941</v>
      </c>
      <c r="C1490" s="9">
        <f>IFERROR(__xludf.DUMMYFUNCTION("""COMPUTED_VALUE"""),0.63)</f>
        <v>0.63</v>
      </c>
      <c r="H1490" s="17"/>
      <c r="K1490" s="17"/>
      <c r="N1490" s="17"/>
    </row>
    <row r="1491">
      <c r="B1491" s="11">
        <f>IFERROR(__xludf.DUMMYFUNCTION("""COMPUTED_VALUE"""),43938.0)</f>
        <v>43938</v>
      </c>
      <c r="C1491" s="9">
        <f>IFERROR(__xludf.DUMMYFUNCTION("""COMPUTED_VALUE"""),0.65)</f>
        <v>0.65</v>
      </c>
      <c r="H1491" s="17"/>
      <c r="K1491" s="17"/>
      <c r="N1491" s="17"/>
    </row>
    <row r="1492">
      <c r="B1492" s="11">
        <f>IFERROR(__xludf.DUMMYFUNCTION("""COMPUTED_VALUE"""),43937.0)</f>
        <v>43937</v>
      </c>
      <c r="C1492" s="9">
        <f>IFERROR(__xludf.DUMMYFUNCTION("""COMPUTED_VALUE"""),0.61)</f>
        <v>0.61</v>
      </c>
      <c r="H1492" s="17"/>
      <c r="K1492" s="17"/>
      <c r="N1492" s="17"/>
    </row>
    <row r="1493">
      <c r="B1493" s="11">
        <f>IFERROR(__xludf.DUMMYFUNCTION("""COMPUTED_VALUE"""),43936.0)</f>
        <v>43936</v>
      </c>
      <c r="C1493" s="9">
        <f>IFERROR(__xludf.DUMMYFUNCTION("""COMPUTED_VALUE"""),0.63)</f>
        <v>0.63</v>
      </c>
      <c r="H1493" s="17"/>
      <c r="K1493" s="17"/>
      <c r="N1493" s="17"/>
    </row>
    <row r="1494">
      <c r="B1494" s="11">
        <f>IFERROR(__xludf.DUMMYFUNCTION("""COMPUTED_VALUE"""),43935.0)</f>
        <v>43935</v>
      </c>
      <c r="C1494" s="9">
        <f>IFERROR(__xludf.DUMMYFUNCTION("""COMPUTED_VALUE"""),0.76)</f>
        <v>0.76</v>
      </c>
      <c r="H1494" s="17"/>
      <c r="K1494" s="17"/>
      <c r="N1494" s="17"/>
    </row>
    <row r="1495">
      <c r="B1495" s="11">
        <f>IFERROR(__xludf.DUMMYFUNCTION("""COMPUTED_VALUE"""),43934.0)</f>
        <v>43934</v>
      </c>
      <c r="C1495" s="9">
        <f>IFERROR(__xludf.DUMMYFUNCTION("""COMPUTED_VALUE"""),0.76)</f>
        <v>0.76</v>
      </c>
      <c r="H1495" s="17"/>
      <c r="K1495" s="17"/>
      <c r="N1495" s="17"/>
    </row>
    <row r="1496">
      <c r="B1496" s="11">
        <f>IFERROR(__xludf.DUMMYFUNCTION("""COMPUTED_VALUE"""),43931.0)</f>
        <v>43931</v>
      </c>
      <c r="C1496" s="9"/>
      <c r="H1496" s="17"/>
      <c r="K1496" s="17"/>
      <c r="N1496" s="17"/>
    </row>
    <row r="1497">
      <c r="B1497" s="11">
        <f>IFERROR(__xludf.DUMMYFUNCTION("""COMPUTED_VALUE"""),43930.0)</f>
        <v>43930</v>
      </c>
      <c r="C1497" s="9">
        <f>IFERROR(__xludf.DUMMYFUNCTION("""COMPUTED_VALUE"""),0.73)</f>
        <v>0.73</v>
      </c>
      <c r="H1497" s="17"/>
      <c r="K1497" s="17"/>
      <c r="N1497" s="17"/>
    </row>
    <row r="1498">
      <c r="B1498" s="11">
        <f>IFERROR(__xludf.DUMMYFUNCTION("""COMPUTED_VALUE"""),43929.0)</f>
        <v>43929</v>
      </c>
      <c r="C1498" s="9">
        <f>IFERROR(__xludf.DUMMYFUNCTION("""COMPUTED_VALUE"""),0.77)</f>
        <v>0.77</v>
      </c>
      <c r="H1498" s="17"/>
      <c r="K1498" s="17"/>
      <c r="N1498" s="17"/>
    </row>
    <row r="1499">
      <c r="B1499" s="11">
        <f>IFERROR(__xludf.DUMMYFUNCTION("""COMPUTED_VALUE"""),43928.0)</f>
        <v>43928</v>
      </c>
      <c r="C1499" s="9">
        <f>IFERROR(__xludf.DUMMYFUNCTION("""COMPUTED_VALUE"""),0.75)</f>
        <v>0.75</v>
      </c>
      <c r="H1499" s="17"/>
      <c r="K1499" s="17"/>
      <c r="N1499" s="17"/>
    </row>
    <row r="1500">
      <c r="B1500" s="11">
        <f>IFERROR(__xludf.DUMMYFUNCTION("""COMPUTED_VALUE"""),43927.0)</f>
        <v>43927</v>
      </c>
      <c r="C1500" s="9">
        <f>IFERROR(__xludf.DUMMYFUNCTION("""COMPUTED_VALUE"""),0.67)</f>
        <v>0.67</v>
      </c>
      <c r="H1500" s="17"/>
      <c r="K1500" s="17"/>
      <c r="N1500" s="17"/>
    </row>
    <row r="1501">
      <c r="B1501" s="11">
        <f>IFERROR(__xludf.DUMMYFUNCTION("""COMPUTED_VALUE"""),43924.0)</f>
        <v>43924</v>
      </c>
      <c r="C1501" s="9">
        <f>IFERROR(__xludf.DUMMYFUNCTION("""COMPUTED_VALUE"""),0.62)</f>
        <v>0.62</v>
      </c>
      <c r="H1501" s="17"/>
      <c r="K1501" s="17"/>
      <c r="N1501" s="17"/>
    </row>
    <row r="1502">
      <c r="B1502" s="11">
        <f>IFERROR(__xludf.DUMMYFUNCTION("""COMPUTED_VALUE"""),43923.0)</f>
        <v>43923</v>
      </c>
      <c r="C1502" s="9">
        <f>IFERROR(__xludf.DUMMYFUNCTION("""COMPUTED_VALUE"""),0.63)</f>
        <v>0.63</v>
      </c>
      <c r="H1502" s="17"/>
      <c r="K1502" s="17"/>
      <c r="N1502" s="17"/>
    </row>
    <row r="1503">
      <c r="B1503" s="11">
        <f>IFERROR(__xludf.DUMMYFUNCTION("""COMPUTED_VALUE"""),43922.0)</f>
        <v>43922</v>
      </c>
      <c r="C1503" s="9">
        <f>IFERROR(__xludf.DUMMYFUNCTION("""COMPUTED_VALUE"""),0.62)</f>
        <v>0.62</v>
      </c>
      <c r="H1503" s="17"/>
      <c r="K1503" s="17"/>
      <c r="N1503" s="17"/>
    </row>
    <row r="1504">
      <c r="B1504" s="11">
        <f>IFERROR(__xludf.DUMMYFUNCTION("""COMPUTED_VALUE"""),43921.0)</f>
        <v>43921</v>
      </c>
      <c r="C1504" s="9">
        <f>IFERROR(__xludf.DUMMYFUNCTION("""COMPUTED_VALUE"""),0.7)</f>
        <v>0.7</v>
      </c>
      <c r="H1504" s="17"/>
      <c r="K1504" s="17"/>
      <c r="N1504" s="17"/>
    </row>
    <row r="1505">
      <c r="B1505" s="11">
        <f>IFERROR(__xludf.DUMMYFUNCTION("""COMPUTED_VALUE"""),43920.0)</f>
        <v>43920</v>
      </c>
      <c r="C1505" s="9">
        <f>IFERROR(__xludf.DUMMYFUNCTION("""COMPUTED_VALUE"""),0.7)</f>
        <v>0.7</v>
      </c>
      <c r="H1505" s="17"/>
      <c r="K1505" s="17"/>
      <c r="N1505" s="17"/>
    </row>
    <row r="1506">
      <c r="B1506" s="11">
        <f>IFERROR(__xludf.DUMMYFUNCTION("""COMPUTED_VALUE"""),43917.0)</f>
        <v>43917</v>
      </c>
      <c r="C1506" s="9">
        <f>IFERROR(__xludf.DUMMYFUNCTION("""COMPUTED_VALUE"""),0.72)</f>
        <v>0.72</v>
      </c>
      <c r="H1506" s="17"/>
      <c r="K1506" s="17"/>
      <c r="N1506" s="17"/>
    </row>
    <row r="1507">
      <c r="B1507" s="11">
        <f>IFERROR(__xludf.DUMMYFUNCTION("""COMPUTED_VALUE"""),43916.0)</f>
        <v>43916</v>
      </c>
      <c r="C1507" s="9">
        <f>IFERROR(__xludf.DUMMYFUNCTION("""COMPUTED_VALUE"""),0.83)</f>
        <v>0.83</v>
      </c>
      <c r="H1507" s="17"/>
      <c r="K1507" s="17"/>
      <c r="N1507" s="17"/>
    </row>
    <row r="1508">
      <c r="B1508" s="11">
        <f>IFERROR(__xludf.DUMMYFUNCTION("""COMPUTED_VALUE"""),43915.0)</f>
        <v>43915</v>
      </c>
      <c r="C1508" s="9">
        <f>IFERROR(__xludf.DUMMYFUNCTION("""COMPUTED_VALUE"""),0.88)</f>
        <v>0.88</v>
      </c>
      <c r="H1508" s="17"/>
      <c r="K1508" s="17"/>
      <c r="N1508" s="17"/>
    </row>
    <row r="1509">
      <c r="B1509" s="11">
        <f>IFERROR(__xludf.DUMMYFUNCTION("""COMPUTED_VALUE"""),43914.0)</f>
        <v>43914</v>
      </c>
      <c r="C1509" s="9">
        <f>IFERROR(__xludf.DUMMYFUNCTION("""COMPUTED_VALUE"""),0.84)</f>
        <v>0.84</v>
      </c>
      <c r="H1509" s="17"/>
      <c r="K1509" s="17"/>
      <c r="N1509" s="17"/>
    </row>
    <row r="1510">
      <c r="B1510" s="11">
        <f>IFERROR(__xludf.DUMMYFUNCTION("""COMPUTED_VALUE"""),43913.0)</f>
        <v>43913</v>
      </c>
      <c r="C1510" s="9">
        <f>IFERROR(__xludf.DUMMYFUNCTION("""COMPUTED_VALUE"""),0.76)</f>
        <v>0.76</v>
      </c>
      <c r="H1510" s="17"/>
      <c r="K1510" s="17"/>
      <c r="N1510" s="17"/>
    </row>
    <row r="1511">
      <c r="B1511" s="11">
        <f>IFERROR(__xludf.DUMMYFUNCTION("""COMPUTED_VALUE"""),43910.0)</f>
        <v>43910</v>
      </c>
      <c r="C1511" s="9">
        <f>IFERROR(__xludf.DUMMYFUNCTION("""COMPUTED_VALUE"""),0.92)</f>
        <v>0.92</v>
      </c>
      <c r="H1511" s="17"/>
      <c r="K1511" s="17"/>
      <c r="N1511" s="17"/>
    </row>
    <row r="1512">
      <c r="B1512" s="11">
        <f>IFERROR(__xludf.DUMMYFUNCTION("""COMPUTED_VALUE"""),43909.0)</f>
        <v>43909</v>
      </c>
      <c r="C1512" s="9">
        <f>IFERROR(__xludf.DUMMYFUNCTION("""COMPUTED_VALUE"""),1.12)</f>
        <v>1.12</v>
      </c>
      <c r="H1512" s="17"/>
      <c r="K1512" s="17"/>
      <c r="N1512" s="17"/>
    </row>
    <row r="1513">
      <c r="B1513" s="11">
        <f>IFERROR(__xludf.DUMMYFUNCTION("""COMPUTED_VALUE"""),43908.0)</f>
        <v>43908</v>
      </c>
      <c r="C1513" s="9">
        <f>IFERROR(__xludf.DUMMYFUNCTION("""COMPUTED_VALUE"""),1.18)</f>
        <v>1.18</v>
      </c>
      <c r="H1513" s="17"/>
      <c r="K1513" s="17"/>
      <c r="N1513" s="17"/>
    </row>
    <row r="1514">
      <c r="B1514" s="11">
        <f>IFERROR(__xludf.DUMMYFUNCTION("""COMPUTED_VALUE"""),43907.0)</f>
        <v>43907</v>
      </c>
      <c r="C1514" s="9">
        <f>IFERROR(__xludf.DUMMYFUNCTION("""COMPUTED_VALUE"""),1.02)</f>
        <v>1.02</v>
      </c>
      <c r="H1514" s="17"/>
      <c r="K1514" s="17"/>
      <c r="N1514" s="17"/>
    </row>
    <row r="1515">
      <c r="B1515" s="11">
        <f>IFERROR(__xludf.DUMMYFUNCTION("""COMPUTED_VALUE"""),43906.0)</f>
        <v>43906</v>
      </c>
      <c r="C1515" s="9">
        <f>IFERROR(__xludf.DUMMYFUNCTION("""COMPUTED_VALUE"""),0.73)</f>
        <v>0.73</v>
      </c>
      <c r="H1515" s="17"/>
      <c r="K1515" s="17"/>
      <c r="N1515" s="17"/>
    </row>
    <row r="1516">
      <c r="B1516" s="11">
        <f>IFERROR(__xludf.DUMMYFUNCTION("""COMPUTED_VALUE"""),43903.0)</f>
        <v>43903</v>
      </c>
      <c r="C1516" s="9">
        <f>IFERROR(__xludf.DUMMYFUNCTION("""COMPUTED_VALUE"""),0.94)</f>
        <v>0.94</v>
      </c>
      <c r="H1516" s="17"/>
      <c r="K1516" s="17"/>
      <c r="N1516" s="17"/>
    </row>
    <row r="1517">
      <c r="B1517" s="11">
        <f>IFERROR(__xludf.DUMMYFUNCTION("""COMPUTED_VALUE"""),43902.0)</f>
        <v>43902</v>
      </c>
      <c r="C1517" s="9">
        <f>IFERROR(__xludf.DUMMYFUNCTION("""COMPUTED_VALUE"""),0.88)</f>
        <v>0.88</v>
      </c>
      <c r="H1517" s="17"/>
      <c r="K1517" s="17"/>
      <c r="N1517" s="17"/>
    </row>
    <row r="1518">
      <c r="B1518" s="11">
        <f>IFERROR(__xludf.DUMMYFUNCTION("""COMPUTED_VALUE"""),43901.0)</f>
        <v>43901</v>
      </c>
      <c r="C1518" s="9">
        <f>IFERROR(__xludf.DUMMYFUNCTION("""COMPUTED_VALUE"""),0.82)</f>
        <v>0.82</v>
      </c>
      <c r="H1518" s="17"/>
      <c r="K1518" s="17"/>
      <c r="N1518" s="17"/>
    </row>
    <row r="1519">
      <c r="B1519" s="11">
        <f>IFERROR(__xludf.DUMMYFUNCTION("""COMPUTED_VALUE"""),43900.0)</f>
        <v>43900</v>
      </c>
      <c r="C1519" s="9">
        <f>IFERROR(__xludf.DUMMYFUNCTION("""COMPUTED_VALUE"""),0.76)</f>
        <v>0.76</v>
      </c>
      <c r="H1519" s="17"/>
      <c r="K1519" s="17"/>
      <c r="N1519" s="17"/>
    </row>
    <row r="1520">
      <c r="B1520" s="11">
        <f>IFERROR(__xludf.DUMMYFUNCTION("""COMPUTED_VALUE"""),43899.0)</f>
        <v>43899</v>
      </c>
      <c r="C1520" s="9">
        <f>IFERROR(__xludf.DUMMYFUNCTION("""COMPUTED_VALUE"""),0.54)</f>
        <v>0.54</v>
      </c>
      <c r="H1520" s="17"/>
      <c r="K1520" s="17"/>
      <c r="N1520" s="17"/>
    </row>
    <row r="1521">
      <c r="B1521" s="11">
        <f>IFERROR(__xludf.DUMMYFUNCTION("""COMPUTED_VALUE"""),43896.0)</f>
        <v>43896</v>
      </c>
      <c r="C1521" s="9">
        <f>IFERROR(__xludf.DUMMYFUNCTION("""COMPUTED_VALUE"""),0.74)</f>
        <v>0.74</v>
      </c>
      <c r="H1521" s="17"/>
      <c r="K1521" s="17"/>
      <c r="N1521" s="17"/>
    </row>
    <row r="1522">
      <c r="B1522" s="11">
        <f>IFERROR(__xludf.DUMMYFUNCTION("""COMPUTED_VALUE"""),43895.0)</f>
        <v>43895</v>
      </c>
      <c r="C1522" s="9">
        <f>IFERROR(__xludf.DUMMYFUNCTION("""COMPUTED_VALUE"""),0.92)</f>
        <v>0.92</v>
      </c>
      <c r="H1522" s="17"/>
      <c r="K1522" s="17"/>
      <c r="N1522" s="17"/>
    </row>
    <row r="1523">
      <c r="B1523" s="11">
        <f>IFERROR(__xludf.DUMMYFUNCTION("""COMPUTED_VALUE"""),43894.0)</f>
        <v>43894</v>
      </c>
      <c r="C1523" s="9">
        <f>IFERROR(__xludf.DUMMYFUNCTION("""COMPUTED_VALUE"""),1.02)</f>
        <v>1.02</v>
      </c>
      <c r="H1523" s="17"/>
      <c r="K1523" s="17"/>
      <c r="N1523" s="17"/>
    </row>
    <row r="1524">
      <c r="B1524" s="11">
        <f>IFERROR(__xludf.DUMMYFUNCTION("""COMPUTED_VALUE"""),43893.0)</f>
        <v>43893</v>
      </c>
      <c r="C1524" s="9">
        <f>IFERROR(__xludf.DUMMYFUNCTION("""COMPUTED_VALUE"""),1.02)</f>
        <v>1.02</v>
      </c>
      <c r="H1524" s="17"/>
      <c r="K1524" s="17"/>
      <c r="N1524" s="17"/>
    </row>
    <row r="1525">
      <c r="B1525" s="11">
        <f>IFERROR(__xludf.DUMMYFUNCTION("""COMPUTED_VALUE"""),43892.0)</f>
        <v>43892</v>
      </c>
      <c r="C1525" s="9">
        <f>IFERROR(__xludf.DUMMYFUNCTION("""COMPUTED_VALUE"""),1.1)</f>
        <v>1.1</v>
      </c>
      <c r="H1525" s="17"/>
      <c r="K1525" s="17"/>
      <c r="N1525" s="17"/>
    </row>
    <row r="1526">
      <c r="B1526" s="11">
        <f>IFERROR(__xludf.DUMMYFUNCTION("""COMPUTED_VALUE"""),43889.0)</f>
        <v>43889</v>
      </c>
      <c r="C1526" s="9">
        <f>IFERROR(__xludf.DUMMYFUNCTION("""COMPUTED_VALUE"""),1.13)</f>
        <v>1.13</v>
      </c>
      <c r="H1526" s="17"/>
      <c r="K1526" s="17"/>
      <c r="N1526" s="17"/>
    </row>
    <row r="1527">
      <c r="B1527" s="11">
        <f>IFERROR(__xludf.DUMMYFUNCTION("""COMPUTED_VALUE"""),43888.0)</f>
        <v>43888</v>
      </c>
      <c r="C1527" s="9">
        <f>IFERROR(__xludf.DUMMYFUNCTION("""COMPUTED_VALUE"""),1.3)</f>
        <v>1.3</v>
      </c>
      <c r="H1527" s="17"/>
      <c r="K1527" s="17"/>
      <c r="N1527" s="17"/>
    </row>
    <row r="1528">
      <c r="B1528" s="11">
        <f>IFERROR(__xludf.DUMMYFUNCTION("""COMPUTED_VALUE"""),43887.0)</f>
        <v>43887</v>
      </c>
      <c r="C1528" s="9">
        <f>IFERROR(__xludf.DUMMYFUNCTION("""COMPUTED_VALUE"""),1.33)</f>
        <v>1.33</v>
      </c>
      <c r="H1528" s="17"/>
      <c r="K1528" s="17"/>
      <c r="N1528" s="17"/>
    </row>
    <row r="1529">
      <c r="B1529" s="11">
        <f>IFERROR(__xludf.DUMMYFUNCTION("""COMPUTED_VALUE"""),43886.0)</f>
        <v>43886</v>
      </c>
      <c r="C1529" s="9">
        <f>IFERROR(__xludf.DUMMYFUNCTION("""COMPUTED_VALUE"""),1.33)</f>
        <v>1.33</v>
      </c>
      <c r="H1529" s="17"/>
      <c r="K1529" s="17"/>
      <c r="N1529" s="17"/>
    </row>
    <row r="1530">
      <c r="B1530" s="11">
        <f>IFERROR(__xludf.DUMMYFUNCTION("""COMPUTED_VALUE"""),43885.0)</f>
        <v>43885</v>
      </c>
      <c r="C1530" s="9">
        <f>IFERROR(__xludf.DUMMYFUNCTION("""COMPUTED_VALUE"""),1.38)</f>
        <v>1.38</v>
      </c>
      <c r="H1530" s="17"/>
      <c r="K1530" s="17"/>
      <c r="N1530" s="17"/>
    </row>
    <row r="1531">
      <c r="B1531" s="11">
        <f>IFERROR(__xludf.DUMMYFUNCTION("""COMPUTED_VALUE"""),43882.0)</f>
        <v>43882</v>
      </c>
      <c r="C1531" s="9">
        <f>IFERROR(__xludf.DUMMYFUNCTION("""COMPUTED_VALUE"""),1.46)</f>
        <v>1.46</v>
      </c>
      <c r="H1531" s="17"/>
      <c r="K1531" s="17"/>
      <c r="N1531" s="17"/>
    </row>
    <row r="1532">
      <c r="B1532" s="11">
        <f>IFERROR(__xludf.DUMMYFUNCTION("""COMPUTED_VALUE"""),43881.0)</f>
        <v>43881</v>
      </c>
      <c r="C1532" s="9">
        <f>IFERROR(__xludf.DUMMYFUNCTION("""COMPUTED_VALUE"""),1.52)</f>
        <v>1.52</v>
      </c>
      <c r="H1532" s="17"/>
      <c r="K1532" s="17"/>
      <c r="N1532" s="17"/>
    </row>
    <row r="1533">
      <c r="B1533" s="11">
        <f>IFERROR(__xludf.DUMMYFUNCTION("""COMPUTED_VALUE"""),43880.0)</f>
        <v>43880</v>
      </c>
      <c r="C1533" s="9">
        <f>IFERROR(__xludf.DUMMYFUNCTION("""COMPUTED_VALUE"""),1.56)</f>
        <v>1.56</v>
      </c>
      <c r="H1533" s="17"/>
      <c r="K1533" s="17"/>
      <c r="N1533" s="17"/>
    </row>
    <row r="1534">
      <c r="B1534" s="11">
        <f>IFERROR(__xludf.DUMMYFUNCTION("""COMPUTED_VALUE"""),43879.0)</f>
        <v>43879</v>
      </c>
      <c r="C1534" s="9">
        <f>IFERROR(__xludf.DUMMYFUNCTION("""COMPUTED_VALUE"""),1.55)</f>
        <v>1.55</v>
      </c>
      <c r="H1534" s="17"/>
      <c r="K1534" s="17"/>
      <c r="N1534" s="17"/>
    </row>
    <row r="1535">
      <c r="B1535" s="11">
        <f>IFERROR(__xludf.DUMMYFUNCTION("""COMPUTED_VALUE"""),43878.0)</f>
        <v>43878</v>
      </c>
      <c r="C1535" s="9"/>
      <c r="H1535" s="17"/>
      <c r="K1535" s="17"/>
      <c r="N1535" s="17"/>
    </row>
    <row r="1536">
      <c r="B1536" s="11">
        <f>IFERROR(__xludf.DUMMYFUNCTION("""COMPUTED_VALUE"""),43875.0)</f>
        <v>43875</v>
      </c>
      <c r="C1536" s="9">
        <f>IFERROR(__xludf.DUMMYFUNCTION("""COMPUTED_VALUE"""),1.59)</f>
        <v>1.59</v>
      </c>
      <c r="H1536" s="17"/>
      <c r="K1536" s="17"/>
      <c r="N1536" s="17"/>
    </row>
    <row r="1537">
      <c r="B1537" s="11">
        <f>IFERROR(__xludf.DUMMYFUNCTION("""COMPUTED_VALUE"""),43874.0)</f>
        <v>43874</v>
      </c>
      <c r="C1537" s="9">
        <f>IFERROR(__xludf.DUMMYFUNCTION("""COMPUTED_VALUE"""),1.61)</f>
        <v>1.61</v>
      </c>
      <c r="H1537" s="17"/>
      <c r="K1537" s="17"/>
      <c r="N1537" s="17"/>
    </row>
    <row r="1538">
      <c r="B1538" s="11">
        <f>IFERROR(__xludf.DUMMYFUNCTION("""COMPUTED_VALUE"""),43873.0)</f>
        <v>43873</v>
      </c>
      <c r="C1538" s="9">
        <f>IFERROR(__xludf.DUMMYFUNCTION("""COMPUTED_VALUE"""),1.62)</f>
        <v>1.62</v>
      </c>
      <c r="H1538" s="17"/>
      <c r="K1538" s="17"/>
      <c r="N1538" s="17"/>
    </row>
    <row r="1539">
      <c r="B1539" s="11">
        <f>IFERROR(__xludf.DUMMYFUNCTION("""COMPUTED_VALUE"""),43872.0)</f>
        <v>43872</v>
      </c>
      <c r="C1539" s="9">
        <f>IFERROR(__xludf.DUMMYFUNCTION("""COMPUTED_VALUE"""),1.59)</f>
        <v>1.59</v>
      </c>
      <c r="H1539" s="17"/>
      <c r="K1539" s="17"/>
      <c r="N1539" s="17"/>
    </row>
    <row r="1540">
      <c r="B1540" s="11">
        <f>IFERROR(__xludf.DUMMYFUNCTION("""COMPUTED_VALUE"""),43871.0)</f>
        <v>43871</v>
      </c>
      <c r="C1540" s="9">
        <f>IFERROR(__xludf.DUMMYFUNCTION("""COMPUTED_VALUE"""),1.56)</f>
        <v>1.56</v>
      </c>
      <c r="H1540" s="17"/>
      <c r="K1540" s="17"/>
      <c r="N1540" s="17"/>
    </row>
    <row r="1541">
      <c r="B1541" s="11">
        <f>IFERROR(__xludf.DUMMYFUNCTION("""COMPUTED_VALUE"""),43868.0)</f>
        <v>43868</v>
      </c>
      <c r="C1541" s="9">
        <f>IFERROR(__xludf.DUMMYFUNCTION("""COMPUTED_VALUE"""),1.59)</f>
        <v>1.59</v>
      </c>
      <c r="H1541" s="17"/>
      <c r="K1541" s="17"/>
      <c r="N1541" s="17"/>
    </row>
    <row r="1542">
      <c r="B1542" s="11">
        <f>IFERROR(__xludf.DUMMYFUNCTION("""COMPUTED_VALUE"""),43867.0)</f>
        <v>43867</v>
      </c>
      <c r="C1542" s="9">
        <f>IFERROR(__xludf.DUMMYFUNCTION("""COMPUTED_VALUE"""),1.65)</f>
        <v>1.65</v>
      </c>
      <c r="H1542" s="17"/>
      <c r="K1542" s="17"/>
      <c r="N1542" s="17"/>
    </row>
    <row r="1543">
      <c r="B1543" s="11">
        <f>IFERROR(__xludf.DUMMYFUNCTION("""COMPUTED_VALUE"""),43866.0)</f>
        <v>43866</v>
      </c>
      <c r="C1543" s="9">
        <f>IFERROR(__xludf.DUMMYFUNCTION("""COMPUTED_VALUE"""),1.66)</f>
        <v>1.66</v>
      </c>
      <c r="H1543" s="17"/>
      <c r="K1543" s="17"/>
      <c r="N1543" s="17"/>
    </row>
    <row r="1544">
      <c r="B1544" s="11">
        <f>IFERROR(__xludf.DUMMYFUNCTION("""COMPUTED_VALUE"""),43865.0)</f>
        <v>43865</v>
      </c>
      <c r="C1544" s="9">
        <f>IFERROR(__xludf.DUMMYFUNCTION("""COMPUTED_VALUE"""),1.61)</f>
        <v>1.61</v>
      </c>
      <c r="H1544" s="17"/>
      <c r="K1544" s="17"/>
      <c r="N1544" s="17"/>
    </row>
    <row r="1545">
      <c r="B1545" s="11">
        <f>IFERROR(__xludf.DUMMYFUNCTION("""COMPUTED_VALUE"""),43864.0)</f>
        <v>43864</v>
      </c>
      <c r="C1545" s="9">
        <f>IFERROR(__xludf.DUMMYFUNCTION("""COMPUTED_VALUE"""),1.54)</f>
        <v>1.54</v>
      </c>
      <c r="H1545" s="17"/>
      <c r="K1545" s="17"/>
      <c r="N1545" s="17"/>
    </row>
    <row r="1546">
      <c r="B1546" s="11">
        <f>IFERROR(__xludf.DUMMYFUNCTION("""COMPUTED_VALUE"""),43861.0)</f>
        <v>43861</v>
      </c>
      <c r="C1546" s="9">
        <f>IFERROR(__xludf.DUMMYFUNCTION("""COMPUTED_VALUE"""),1.51)</f>
        <v>1.51</v>
      </c>
      <c r="H1546" s="17"/>
      <c r="K1546" s="17"/>
      <c r="N1546" s="17"/>
    </row>
    <row r="1547">
      <c r="B1547" s="11">
        <f>IFERROR(__xludf.DUMMYFUNCTION("""COMPUTED_VALUE"""),43860.0)</f>
        <v>43860</v>
      </c>
      <c r="C1547" s="9">
        <f>IFERROR(__xludf.DUMMYFUNCTION("""COMPUTED_VALUE"""),1.57)</f>
        <v>1.57</v>
      </c>
      <c r="H1547" s="17"/>
      <c r="K1547" s="17"/>
      <c r="N1547" s="17"/>
    </row>
    <row r="1548">
      <c r="B1548" s="11">
        <f>IFERROR(__xludf.DUMMYFUNCTION("""COMPUTED_VALUE"""),43859.0)</f>
        <v>43859</v>
      </c>
      <c r="C1548" s="9">
        <f>IFERROR(__xludf.DUMMYFUNCTION("""COMPUTED_VALUE"""),1.6)</f>
        <v>1.6</v>
      </c>
      <c r="H1548" s="17"/>
      <c r="K1548" s="17"/>
      <c r="N1548" s="17"/>
    </row>
    <row r="1549">
      <c r="B1549" s="11">
        <f>IFERROR(__xludf.DUMMYFUNCTION("""COMPUTED_VALUE"""),43858.0)</f>
        <v>43858</v>
      </c>
      <c r="C1549" s="9">
        <f>IFERROR(__xludf.DUMMYFUNCTION("""COMPUTED_VALUE"""),1.65)</f>
        <v>1.65</v>
      </c>
      <c r="H1549" s="17"/>
      <c r="K1549" s="17"/>
      <c r="N1549" s="17"/>
    </row>
    <row r="1550">
      <c r="B1550" s="11">
        <f>IFERROR(__xludf.DUMMYFUNCTION("""COMPUTED_VALUE"""),43857.0)</f>
        <v>43857</v>
      </c>
      <c r="C1550" s="9">
        <f>IFERROR(__xludf.DUMMYFUNCTION("""COMPUTED_VALUE"""),1.61)</f>
        <v>1.61</v>
      </c>
      <c r="H1550" s="17"/>
      <c r="K1550" s="17"/>
      <c r="N1550" s="17"/>
    </row>
    <row r="1551">
      <c r="B1551" s="11">
        <f>IFERROR(__xludf.DUMMYFUNCTION("""COMPUTED_VALUE"""),43854.0)</f>
        <v>43854</v>
      </c>
      <c r="C1551" s="9">
        <f>IFERROR(__xludf.DUMMYFUNCTION("""COMPUTED_VALUE"""),1.7)</f>
        <v>1.7</v>
      </c>
      <c r="H1551" s="17"/>
      <c r="K1551" s="17"/>
      <c r="N1551" s="17"/>
    </row>
    <row r="1552">
      <c r="B1552" s="11">
        <f>IFERROR(__xludf.DUMMYFUNCTION("""COMPUTED_VALUE"""),43853.0)</f>
        <v>43853</v>
      </c>
      <c r="C1552" s="9">
        <f>IFERROR(__xludf.DUMMYFUNCTION("""COMPUTED_VALUE"""),1.74)</f>
        <v>1.74</v>
      </c>
      <c r="H1552" s="17"/>
      <c r="K1552" s="17"/>
      <c r="N1552" s="17"/>
    </row>
    <row r="1553">
      <c r="B1553" s="11">
        <f>IFERROR(__xludf.DUMMYFUNCTION("""COMPUTED_VALUE"""),43852.0)</f>
        <v>43852</v>
      </c>
      <c r="C1553" s="9">
        <f>IFERROR(__xludf.DUMMYFUNCTION("""COMPUTED_VALUE"""),1.77)</f>
        <v>1.77</v>
      </c>
      <c r="H1553" s="17"/>
      <c r="K1553" s="17"/>
      <c r="N1553" s="17"/>
    </row>
    <row r="1554">
      <c r="B1554" s="11">
        <f>IFERROR(__xludf.DUMMYFUNCTION("""COMPUTED_VALUE"""),43851.0)</f>
        <v>43851</v>
      </c>
      <c r="C1554" s="9">
        <f>IFERROR(__xludf.DUMMYFUNCTION("""COMPUTED_VALUE"""),1.78)</f>
        <v>1.78</v>
      </c>
      <c r="H1554" s="17"/>
      <c r="K1554" s="17"/>
      <c r="N1554" s="17"/>
    </row>
    <row r="1555">
      <c r="B1555" s="11">
        <f>IFERROR(__xludf.DUMMYFUNCTION("""COMPUTED_VALUE"""),43850.0)</f>
        <v>43850</v>
      </c>
      <c r="C1555" s="9"/>
      <c r="H1555" s="17"/>
      <c r="K1555" s="17"/>
      <c r="N1555" s="17"/>
    </row>
    <row r="1556">
      <c r="B1556" s="11">
        <f>IFERROR(__xludf.DUMMYFUNCTION("""COMPUTED_VALUE"""),43847.0)</f>
        <v>43847</v>
      </c>
      <c r="C1556" s="9">
        <f>IFERROR(__xludf.DUMMYFUNCTION("""COMPUTED_VALUE"""),1.84)</f>
        <v>1.84</v>
      </c>
      <c r="H1556" s="17"/>
      <c r="K1556" s="17"/>
      <c r="N1556" s="17"/>
    </row>
    <row r="1557">
      <c r="B1557" s="11">
        <f>IFERROR(__xludf.DUMMYFUNCTION("""COMPUTED_VALUE"""),43846.0)</f>
        <v>43846</v>
      </c>
      <c r="C1557" s="9">
        <f>IFERROR(__xludf.DUMMYFUNCTION("""COMPUTED_VALUE"""),1.81)</f>
        <v>1.81</v>
      </c>
      <c r="H1557" s="17"/>
      <c r="K1557" s="17"/>
      <c r="N1557" s="17"/>
    </row>
    <row r="1558">
      <c r="B1558" s="11">
        <f>IFERROR(__xludf.DUMMYFUNCTION("""COMPUTED_VALUE"""),43845.0)</f>
        <v>43845</v>
      </c>
      <c r="C1558" s="9">
        <f>IFERROR(__xludf.DUMMYFUNCTION("""COMPUTED_VALUE"""),1.79)</f>
        <v>1.79</v>
      </c>
      <c r="H1558" s="17"/>
      <c r="K1558" s="17"/>
      <c r="N1558" s="17"/>
    </row>
    <row r="1559">
      <c r="B1559" s="11">
        <f>IFERROR(__xludf.DUMMYFUNCTION("""COMPUTED_VALUE"""),43844.0)</f>
        <v>43844</v>
      </c>
      <c r="C1559" s="9">
        <f>IFERROR(__xludf.DUMMYFUNCTION("""COMPUTED_VALUE"""),1.82)</f>
        <v>1.82</v>
      </c>
      <c r="H1559" s="17"/>
      <c r="K1559" s="17"/>
      <c r="N1559" s="17"/>
    </row>
    <row r="1560">
      <c r="B1560" s="11">
        <f>IFERROR(__xludf.DUMMYFUNCTION("""COMPUTED_VALUE"""),43843.0)</f>
        <v>43843</v>
      </c>
      <c r="C1560" s="9">
        <f>IFERROR(__xludf.DUMMYFUNCTION("""COMPUTED_VALUE"""),1.85)</f>
        <v>1.85</v>
      </c>
      <c r="H1560" s="17"/>
      <c r="K1560" s="17"/>
      <c r="N1560" s="17"/>
    </row>
    <row r="1561">
      <c r="B1561" s="11">
        <f>IFERROR(__xludf.DUMMYFUNCTION("""COMPUTED_VALUE"""),43840.0)</f>
        <v>43840</v>
      </c>
      <c r="C1561" s="9">
        <f>IFERROR(__xludf.DUMMYFUNCTION("""COMPUTED_VALUE"""),1.83)</f>
        <v>1.83</v>
      </c>
      <c r="H1561" s="17"/>
      <c r="K1561" s="17"/>
      <c r="N1561" s="17"/>
    </row>
    <row r="1562">
      <c r="B1562" s="11">
        <f>IFERROR(__xludf.DUMMYFUNCTION("""COMPUTED_VALUE"""),43839.0)</f>
        <v>43839</v>
      </c>
      <c r="C1562" s="9">
        <f>IFERROR(__xludf.DUMMYFUNCTION("""COMPUTED_VALUE"""),1.85)</f>
        <v>1.85</v>
      </c>
      <c r="H1562" s="17"/>
      <c r="K1562" s="17"/>
      <c r="N1562" s="17"/>
    </row>
    <row r="1563">
      <c r="B1563" s="11">
        <f>IFERROR(__xludf.DUMMYFUNCTION("""COMPUTED_VALUE"""),43838.0)</f>
        <v>43838</v>
      </c>
      <c r="C1563" s="9">
        <f>IFERROR(__xludf.DUMMYFUNCTION("""COMPUTED_VALUE"""),1.87)</f>
        <v>1.87</v>
      </c>
      <c r="H1563" s="17"/>
      <c r="K1563" s="17"/>
      <c r="N1563" s="17"/>
    </row>
    <row r="1564">
      <c r="B1564" s="11">
        <f>IFERROR(__xludf.DUMMYFUNCTION("""COMPUTED_VALUE"""),43837.0)</f>
        <v>43837</v>
      </c>
      <c r="C1564" s="9">
        <f>IFERROR(__xludf.DUMMYFUNCTION("""COMPUTED_VALUE"""),1.83)</f>
        <v>1.83</v>
      </c>
      <c r="H1564" s="17"/>
      <c r="K1564" s="17"/>
      <c r="N1564" s="17"/>
    </row>
    <row r="1565">
      <c r="B1565" s="11">
        <f>IFERROR(__xludf.DUMMYFUNCTION("""COMPUTED_VALUE"""),43836.0)</f>
        <v>43836</v>
      </c>
      <c r="C1565" s="9">
        <f>IFERROR(__xludf.DUMMYFUNCTION("""COMPUTED_VALUE"""),1.81)</f>
        <v>1.81</v>
      </c>
      <c r="H1565" s="17"/>
      <c r="K1565" s="17"/>
      <c r="N1565" s="17"/>
    </row>
    <row r="1566">
      <c r="B1566" s="11">
        <f>IFERROR(__xludf.DUMMYFUNCTION("""COMPUTED_VALUE"""),43833.0)</f>
        <v>43833</v>
      </c>
      <c r="C1566" s="9">
        <f>IFERROR(__xludf.DUMMYFUNCTION("""COMPUTED_VALUE"""),1.8)</f>
        <v>1.8</v>
      </c>
      <c r="H1566" s="17"/>
      <c r="K1566" s="17"/>
      <c r="N1566" s="17"/>
    </row>
    <row r="1567">
      <c r="B1567" s="11">
        <f>IFERROR(__xludf.DUMMYFUNCTION("""COMPUTED_VALUE"""),43832.0)</f>
        <v>43832</v>
      </c>
      <c r="C1567" s="9">
        <f>IFERROR(__xludf.DUMMYFUNCTION("""COMPUTED_VALUE"""),1.88)</f>
        <v>1.88</v>
      </c>
      <c r="H1567" s="17"/>
      <c r="K1567" s="17"/>
      <c r="N1567" s="17"/>
    </row>
    <row r="1568">
      <c r="B1568" s="11">
        <f>IFERROR(__xludf.DUMMYFUNCTION("""COMPUTED_VALUE"""),43831.0)</f>
        <v>43831</v>
      </c>
      <c r="C1568" s="9"/>
      <c r="H1568" s="17"/>
      <c r="K1568" s="17"/>
      <c r="N1568" s="17"/>
    </row>
    <row r="1569">
      <c r="B1569" s="11">
        <f>IFERROR(__xludf.DUMMYFUNCTION("""COMPUTED_VALUE"""),43830.0)</f>
        <v>43830</v>
      </c>
      <c r="C1569" s="9">
        <f>IFERROR(__xludf.DUMMYFUNCTION("""COMPUTED_VALUE"""),1.92)</f>
        <v>1.92</v>
      </c>
      <c r="H1569" s="17"/>
      <c r="K1569" s="17"/>
      <c r="N1569" s="17"/>
    </row>
    <row r="1570">
      <c r="B1570" s="11">
        <f>IFERROR(__xludf.DUMMYFUNCTION("""COMPUTED_VALUE"""),43829.0)</f>
        <v>43829</v>
      </c>
      <c r="C1570" s="9">
        <f>IFERROR(__xludf.DUMMYFUNCTION("""COMPUTED_VALUE"""),1.9)</f>
        <v>1.9</v>
      </c>
      <c r="H1570" s="17"/>
      <c r="K1570" s="17"/>
      <c r="N1570" s="17"/>
    </row>
    <row r="1571">
      <c r="B1571" s="11">
        <f>IFERROR(__xludf.DUMMYFUNCTION("""COMPUTED_VALUE"""),43826.0)</f>
        <v>43826</v>
      </c>
      <c r="C1571" s="9">
        <f>IFERROR(__xludf.DUMMYFUNCTION("""COMPUTED_VALUE"""),1.88)</f>
        <v>1.88</v>
      </c>
      <c r="H1571" s="17"/>
      <c r="K1571" s="17"/>
      <c r="N1571" s="17"/>
    </row>
    <row r="1572">
      <c r="B1572" s="11">
        <f>IFERROR(__xludf.DUMMYFUNCTION("""COMPUTED_VALUE"""),43825.0)</f>
        <v>43825</v>
      </c>
      <c r="C1572" s="9">
        <f>IFERROR(__xludf.DUMMYFUNCTION("""COMPUTED_VALUE"""),1.9)</f>
        <v>1.9</v>
      </c>
      <c r="H1572" s="17"/>
      <c r="K1572" s="17"/>
      <c r="N1572" s="17"/>
    </row>
    <row r="1573">
      <c r="B1573" s="11">
        <f>IFERROR(__xludf.DUMMYFUNCTION("""COMPUTED_VALUE"""),43824.0)</f>
        <v>43824</v>
      </c>
      <c r="C1573" s="9"/>
      <c r="H1573" s="17"/>
      <c r="K1573" s="17"/>
      <c r="N1573" s="17"/>
    </row>
    <row r="1574">
      <c r="B1574" s="11">
        <f>IFERROR(__xludf.DUMMYFUNCTION("""COMPUTED_VALUE"""),43823.0)</f>
        <v>43823</v>
      </c>
      <c r="C1574" s="9">
        <f>IFERROR(__xludf.DUMMYFUNCTION("""COMPUTED_VALUE"""),1.9)</f>
        <v>1.9</v>
      </c>
      <c r="H1574" s="17"/>
      <c r="K1574" s="17"/>
      <c r="N1574" s="17"/>
    </row>
    <row r="1575">
      <c r="B1575" s="11">
        <f>IFERROR(__xludf.DUMMYFUNCTION("""COMPUTED_VALUE"""),43822.0)</f>
        <v>43822</v>
      </c>
      <c r="C1575" s="9">
        <f>IFERROR(__xludf.DUMMYFUNCTION("""COMPUTED_VALUE"""),1.93)</f>
        <v>1.93</v>
      </c>
      <c r="H1575" s="17"/>
      <c r="K1575" s="17"/>
      <c r="N1575" s="17"/>
    </row>
    <row r="1576">
      <c r="B1576" s="11">
        <f>IFERROR(__xludf.DUMMYFUNCTION("""COMPUTED_VALUE"""),43819.0)</f>
        <v>43819</v>
      </c>
      <c r="C1576" s="9">
        <f>IFERROR(__xludf.DUMMYFUNCTION("""COMPUTED_VALUE"""),1.92)</f>
        <v>1.92</v>
      </c>
      <c r="H1576" s="17"/>
      <c r="K1576" s="17"/>
      <c r="N1576" s="17"/>
    </row>
    <row r="1577">
      <c r="B1577" s="11">
        <f>IFERROR(__xludf.DUMMYFUNCTION("""COMPUTED_VALUE"""),43818.0)</f>
        <v>43818</v>
      </c>
      <c r="C1577" s="9">
        <f>IFERROR(__xludf.DUMMYFUNCTION("""COMPUTED_VALUE"""),1.92)</f>
        <v>1.92</v>
      </c>
      <c r="H1577" s="17"/>
      <c r="K1577" s="17"/>
      <c r="N1577" s="17"/>
    </row>
    <row r="1578">
      <c r="B1578" s="11">
        <f>IFERROR(__xludf.DUMMYFUNCTION("""COMPUTED_VALUE"""),43817.0)</f>
        <v>43817</v>
      </c>
      <c r="C1578" s="9">
        <f>IFERROR(__xludf.DUMMYFUNCTION("""COMPUTED_VALUE"""),1.92)</f>
        <v>1.92</v>
      </c>
      <c r="H1578" s="17"/>
      <c r="K1578" s="17"/>
      <c r="N1578" s="17"/>
    </row>
    <row r="1579">
      <c r="B1579" s="11">
        <f>IFERROR(__xludf.DUMMYFUNCTION("""COMPUTED_VALUE"""),43816.0)</f>
        <v>43816</v>
      </c>
      <c r="C1579" s="9">
        <f>IFERROR(__xludf.DUMMYFUNCTION("""COMPUTED_VALUE"""),1.89)</f>
        <v>1.89</v>
      </c>
      <c r="H1579" s="17"/>
      <c r="K1579" s="17"/>
      <c r="N1579" s="17"/>
    </row>
    <row r="1580">
      <c r="B1580" s="11">
        <f>IFERROR(__xludf.DUMMYFUNCTION("""COMPUTED_VALUE"""),43815.0)</f>
        <v>43815</v>
      </c>
      <c r="C1580" s="9">
        <f>IFERROR(__xludf.DUMMYFUNCTION("""COMPUTED_VALUE"""),1.89)</f>
        <v>1.89</v>
      </c>
      <c r="H1580" s="17"/>
      <c r="K1580" s="17"/>
      <c r="N1580" s="17"/>
    </row>
    <row r="1581">
      <c r="B1581" s="11">
        <f>IFERROR(__xludf.DUMMYFUNCTION("""COMPUTED_VALUE"""),43812.0)</f>
        <v>43812</v>
      </c>
      <c r="C1581" s="9">
        <f>IFERROR(__xludf.DUMMYFUNCTION("""COMPUTED_VALUE"""),1.82)</f>
        <v>1.82</v>
      </c>
      <c r="H1581" s="17"/>
      <c r="K1581" s="17"/>
      <c r="N1581" s="17"/>
    </row>
    <row r="1582">
      <c r="B1582" s="11">
        <f>IFERROR(__xludf.DUMMYFUNCTION("""COMPUTED_VALUE"""),43811.0)</f>
        <v>43811</v>
      </c>
      <c r="C1582" s="9">
        <f>IFERROR(__xludf.DUMMYFUNCTION("""COMPUTED_VALUE"""),1.9)</f>
        <v>1.9</v>
      </c>
      <c r="H1582" s="17"/>
      <c r="K1582" s="17"/>
      <c r="N1582" s="17"/>
    </row>
    <row r="1583">
      <c r="B1583" s="11">
        <f>IFERROR(__xludf.DUMMYFUNCTION("""COMPUTED_VALUE"""),43810.0)</f>
        <v>43810</v>
      </c>
      <c r="C1583" s="9">
        <f>IFERROR(__xludf.DUMMYFUNCTION("""COMPUTED_VALUE"""),1.79)</f>
        <v>1.79</v>
      </c>
      <c r="H1583" s="17"/>
      <c r="K1583" s="17"/>
      <c r="N1583" s="17"/>
    </row>
    <row r="1584">
      <c r="B1584" s="11">
        <f>IFERROR(__xludf.DUMMYFUNCTION("""COMPUTED_VALUE"""),43809.0)</f>
        <v>43809</v>
      </c>
      <c r="C1584" s="9">
        <f>IFERROR(__xludf.DUMMYFUNCTION("""COMPUTED_VALUE"""),1.85)</f>
        <v>1.85</v>
      </c>
      <c r="H1584" s="17"/>
      <c r="K1584" s="17"/>
      <c r="N1584" s="17"/>
    </row>
    <row r="1585">
      <c r="B1585" s="11">
        <f>IFERROR(__xludf.DUMMYFUNCTION("""COMPUTED_VALUE"""),43808.0)</f>
        <v>43808</v>
      </c>
      <c r="C1585" s="9">
        <f>IFERROR(__xludf.DUMMYFUNCTION("""COMPUTED_VALUE"""),1.83)</f>
        <v>1.83</v>
      </c>
      <c r="H1585" s="17"/>
      <c r="K1585" s="17"/>
      <c r="N1585" s="17"/>
    </row>
    <row r="1586">
      <c r="B1586" s="11">
        <f>IFERROR(__xludf.DUMMYFUNCTION("""COMPUTED_VALUE"""),43805.0)</f>
        <v>43805</v>
      </c>
      <c r="C1586" s="9">
        <f>IFERROR(__xludf.DUMMYFUNCTION("""COMPUTED_VALUE"""),1.84)</f>
        <v>1.84</v>
      </c>
      <c r="H1586" s="17"/>
      <c r="K1586" s="17"/>
      <c r="N1586" s="17"/>
    </row>
    <row r="1587">
      <c r="B1587" s="11">
        <f>IFERROR(__xludf.DUMMYFUNCTION("""COMPUTED_VALUE"""),43804.0)</f>
        <v>43804</v>
      </c>
      <c r="C1587" s="9">
        <f>IFERROR(__xludf.DUMMYFUNCTION("""COMPUTED_VALUE"""),1.8)</f>
        <v>1.8</v>
      </c>
      <c r="H1587" s="17"/>
      <c r="K1587" s="17"/>
      <c r="N1587" s="17"/>
    </row>
    <row r="1588">
      <c r="B1588" s="11">
        <f>IFERROR(__xludf.DUMMYFUNCTION("""COMPUTED_VALUE"""),43803.0)</f>
        <v>43803</v>
      </c>
      <c r="C1588" s="9">
        <f>IFERROR(__xludf.DUMMYFUNCTION("""COMPUTED_VALUE"""),1.77)</f>
        <v>1.77</v>
      </c>
      <c r="H1588" s="17"/>
      <c r="K1588" s="17"/>
      <c r="N1588" s="17"/>
    </row>
    <row r="1589">
      <c r="B1589" s="11">
        <f>IFERROR(__xludf.DUMMYFUNCTION("""COMPUTED_VALUE"""),43802.0)</f>
        <v>43802</v>
      </c>
      <c r="C1589" s="9">
        <f>IFERROR(__xludf.DUMMYFUNCTION("""COMPUTED_VALUE"""),1.72)</f>
        <v>1.72</v>
      </c>
      <c r="H1589" s="17"/>
      <c r="K1589" s="17"/>
      <c r="N1589" s="17"/>
    </row>
    <row r="1590">
      <c r="B1590" s="11">
        <f>IFERROR(__xludf.DUMMYFUNCTION("""COMPUTED_VALUE"""),43801.0)</f>
        <v>43801</v>
      </c>
      <c r="C1590" s="9">
        <f>IFERROR(__xludf.DUMMYFUNCTION("""COMPUTED_VALUE"""),1.83)</f>
        <v>1.83</v>
      </c>
      <c r="H1590" s="17"/>
      <c r="K1590" s="17"/>
      <c r="N1590" s="17"/>
    </row>
    <row r="1591">
      <c r="B1591" s="11">
        <f>IFERROR(__xludf.DUMMYFUNCTION("""COMPUTED_VALUE"""),43798.0)</f>
        <v>43798</v>
      </c>
      <c r="C1591" s="9">
        <f>IFERROR(__xludf.DUMMYFUNCTION("""COMPUTED_VALUE"""),1.78)</f>
        <v>1.78</v>
      </c>
      <c r="H1591" s="17"/>
      <c r="K1591" s="17"/>
      <c r="N1591" s="17"/>
    </row>
    <row r="1592">
      <c r="B1592" s="11">
        <f>IFERROR(__xludf.DUMMYFUNCTION("""COMPUTED_VALUE"""),43797.0)</f>
        <v>43797</v>
      </c>
      <c r="C1592" s="9"/>
      <c r="H1592" s="17"/>
      <c r="K1592" s="17"/>
      <c r="N1592" s="17"/>
    </row>
    <row r="1593">
      <c r="B1593" s="11">
        <f>IFERROR(__xludf.DUMMYFUNCTION("""COMPUTED_VALUE"""),43796.0)</f>
        <v>43796</v>
      </c>
      <c r="C1593" s="9">
        <f>IFERROR(__xludf.DUMMYFUNCTION("""COMPUTED_VALUE"""),1.77)</f>
        <v>1.77</v>
      </c>
      <c r="H1593" s="17"/>
      <c r="K1593" s="17"/>
      <c r="N1593" s="17"/>
    </row>
    <row r="1594">
      <c r="B1594" s="11">
        <f>IFERROR(__xludf.DUMMYFUNCTION("""COMPUTED_VALUE"""),43795.0)</f>
        <v>43795</v>
      </c>
      <c r="C1594" s="9">
        <f>IFERROR(__xludf.DUMMYFUNCTION("""COMPUTED_VALUE"""),1.74)</f>
        <v>1.74</v>
      </c>
      <c r="H1594" s="17"/>
      <c r="K1594" s="17"/>
      <c r="N1594" s="17"/>
    </row>
    <row r="1595">
      <c r="B1595" s="11">
        <f>IFERROR(__xludf.DUMMYFUNCTION("""COMPUTED_VALUE"""),43794.0)</f>
        <v>43794</v>
      </c>
      <c r="C1595" s="9">
        <f>IFERROR(__xludf.DUMMYFUNCTION("""COMPUTED_VALUE"""),1.76)</f>
        <v>1.76</v>
      </c>
      <c r="H1595" s="17"/>
      <c r="K1595" s="17"/>
      <c r="N1595" s="17"/>
    </row>
    <row r="1596">
      <c r="B1596" s="11">
        <f>IFERROR(__xludf.DUMMYFUNCTION("""COMPUTED_VALUE"""),43791.0)</f>
        <v>43791</v>
      </c>
      <c r="C1596" s="9">
        <f>IFERROR(__xludf.DUMMYFUNCTION("""COMPUTED_VALUE"""),1.77)</f>
        <v>1.77</v>
      </c>
      <c r="H1596" s="17"/>
      <c r="K1596" s="17"/>
      <c r="N1596" s="17"/>
    </row>
    <row r="1597">
      <c r="B1597" s="11">
        <f>IFERROR(__xludf.DUMMYFUNCTION("""COMPUTED_VALUE"""),43790.0)</f>
        <v>43790</v>
      </c>
      <c r="C1597" s="9">
        <f>IFERROR(__xludf.DUMMYFUNCTION("""COMPUTED_VALUE"""),1.77)</f>
        <v>1.77</v>
      </c>
      <c r="H1597" s="17"/>
      <c r="K1597" s="17"/>
      <c r="N1597" s="17"/>
    </row>
    <row r="1598">
      <c r="B1598" s="11">
        <f>IFERROR(__xludf.DUMMYFUNCTION("""COMPUTED_VALUE"""),43789.0)</f>
        <v>43789</v>
      </c>
      <c r="C1598" s="9">
        <f>IFERROR(__xludf.DUMMYFUNCTION("""COMPUTED_VALUE"""),1.73)</f>
        <v>1.73</v>
      </c>
      <c r="H1598" s="17"/>
      <c r="K1598" s="17"/>
      <c r="N1598" s="17"/>
    </row>
    <row r="1599">
      <c r="B1599" s="11">
        <f>IFERROR(__xludf.DUMMYFUNCTION("""COMPUTED_VALUE"""),43788.0)</f>
        <v>43788</v>
      </c>
      <c r="C1599" s="9">
        <f>IFERROR(__xludf.DUMMYFUNCTION("""COMPUTED_VALUE"""),1.79)</f>
        <v>1.79</v>
      </c>
      <c r="H1599" s="17"/>
      <c r="K1599" s="17"/>
      <c r="N1599" s="17"/>
    </row>
    <row r="1600">
      <c r="B1600" s="11">
        <f>IFERROR(__xludf.DUMMYFUNCTION("""COMPUTED_VALUE"""),43787.0)</f>
        <v>43787</v>
      </c>
      <c r="C1600" s="9">
        <f>IFERROR(__xludf.DUMMYFUNCTION("""COMPUTED_VALUE"""),1.81)</f>
        <v>1.81</v>
      </c>
      <c r="H1600" s="17"/>
      <c r="K1600" s="17"/>
      <c r="N1600" s="17"/>
    </row>
    <row r="1601">
      <c r="B1601" s="11">
        <f>IFERROR(__xludf.DUMMYFUNCTION("""COMPUTED_VALUE"""),43784.0)</f>
        <v>43784</v>
      </c>
      <c r="C1601" s="9">
        <f>IFERROR(__xludf.DUMMYFUNCTION("""COMPUTED_VALUE"""),1.84)</f>
        <v>1.84</v>
      </c>
      <c r="H1601" s="17"/>
      <c r="K1601" s="17"/>
      <c r="N1601" s="17"/>
    </row>
    <row r="1602">
      <c r="B1602" s="11">
        <f>IFERROR(__xludf.DUMMYFUNCTION("""COMPUTED_VALUE"""),43783.0)</f>
        <v>43783</v>
      </c>
      <c r="C1602" s="9">
        <f>IFERROR(__xludf.DUMMYFUNCTION("""COMPUTED_VALUE"""),1.82)</f>
        <v>1.82</v>
      </c>
      <c r="H1602" s="17"/>
      <c r="K1602" s="17"/>
      <c r="N1602" s="17"/>
    </row>
    <row r="1603">
      <c r="B1603" s="11">
        <f>IFERROR(__xludf.DUMMYFUNCTION("""COMPUTED_VALUE"""),43782.0)</f>
        <v>43782</v>
      </c>
      <c r="C1603" s="9">
        <f>IFERROR(__xludf.DUMMYFUNCTION("""COMPUTED_VALUE"""),1.88)</f>
        <v>1.88</v>
      </c>
      <c r="H1603" s="17"/>
      <c r="K1603" s="17"/>
      <c r="N1603" s="17"/>
    </row>
    <row r="1604">
      <c r="B1604" s="11">
        <f>IFERROR(__xludf.DUMMYFUNCTION("""COMPUTED_VALUE"""),43781.0)</f>
        <v>43781</v>
      </c>
      <c r="C1604" s="9">
        <f>IFERROR(__xludf.DUMMYFUNCTION("""COMPUTED_VALUE"""),1.92)</f>
        <v>1.92</v>
      </c>
      <c r="H1604" s="17"/>
      <c r="K1604" s="17"/>
      <c r="N1604" s="17"/>
    </row>
    <row r="1605">
      <c r="B1605" s="11">
        <f>IFERROR(__xludf.DUMMYFUNCTION("""COMPUTED_VALUE"""),43780.0)</f>
        <v>43780</v>
      </c>
      <c r="C1605" s="9"/>
      <c r="H1605" s="17"/>
      <c r="K1605" s="17"/>
      <c r="N1605" s="17"/>
    </row>
    <row r="1606">
      <c r="B1606" s="11">
        <f>IFERROR(__xludf.DUMMYFUNCTION("""COMPUTED_VALUE"""),43777.0)</f>
        <v>43777</v>
      </c>
      <c r="C1606" s="9">
        <f>IFERROR(__xludf.DUMMYFUNCTION("""COMPUTED_VALUE"""),1.94)</f>
        <v>1.94</v>
      </c>
      <c r="H1606" s="17"/>
      <c r="K1606" s="17"/>
      <c r="N1606" s="17"/>
    </row>
    <row r="1607">
      <c r="B1607" s="11">
        <f>IFERROR(__xludf.DUMMYFUNCTION("""COMPUTED_VALUE"""),43776.0)</f>
        <v>43776</v>
      </c>
      <c r="C1607" s="9">
        <f>IFERROR(__xludf.DUMMYFUNCTION("""COMPUTED_VALUE"""),1.92)</f>
        <v>1.92</v>
      </c>
      <c r="H1607" s="17"/>
      <c r="K1607" s="17"/>
      <c r="N1607" s="17"/>
    </row>
    <row r="1608">
      <c r="B1608" s="11">
        <f>IFERROR(__xludf.DUMMYFUNCTION("""COMPUTED_VALUE"""),43775.0)</f>
        <v>43775</v>
      </c>
      <c r="C1608" s="9">
        <f>IFERROR(__xludf.DUMMYFUNCTION("""COMPUTED_VALUE"""),1.81)</f>
        <v>1.81</v>
      </c>
      <c r="H1608" s="17"/>
      <c r="K1608" s="17"/>
      <c r="N1608" s="17"/>
    </row>
    <row r="1609">
      <c r="B1609" s="11">
        <f>IFERROR(__xludf.DUMMYFUNCTION("""COMPUTED_VALUE"""),43774.0)</f>
        <v>43774</v>
      </c>
      <c r="C1609" s="9">
        <f>IFERROR(__xludf.DUMMYFUNCTION("""COMPUTED_VALUE"""),1.86)</f>
        <v>1.86</v>
      </c>
      <c r="H1609" s="17"/>
      <c r="K1609" s="17"/>
      <c r="N1609" s="17"/>
    </row>
    <row r="1610">
      <c r="B1610" s="11">
        <f>IFERROR(__xludf.DUMMYFUNCTION("""COMPUTED_VALUE"""),43773.0)</f>
        <v>43773</v>
      </c>
      <c r="C1610" s="9">
        <f>IFERROR(__xludf.DUMMYFUNCTION("""COMPUTED_VALUE"""),1.79)</f>
        <v>1.79</v>
      </c>
      <c r="H1610" s="17"/>
      <c r="K1610" s="17"/>
      <c r="N1610" s="17"/>
    </row>
    <row r="1611">
      <c r="B1611" s="11">
        <f>IFERROR(__xludf.DUMMYFUNCTION("""COMPUTED_VALUE"""),43770.0)</f>
        <v>43770</v>
      </c>
      <c r="C1611" s="9">
        <f>IFERROR(__xludf.DUMMYFUNCTION("""COMPUTED_VALUE"""),1.73)</f>
        <v>1.73</v>
      </c>
      <c r="H1611" s="17"/>
      <c r="K1611" s="17"/>
      <c r="N1611" s="17"/>
    </row>
    <row r="1612">
      <c r="B1612" s="11">
        <f>IFERROR(__xludf.DUMMYFUNCTION("""COMPUTED_VALUE"""),43769.0)</f>
        <v>43769</v>
      </c>
      <c r="C1612" s="9">
        <f>IFERROR(__xludf.DUMMYFUNCTION("""COMPUTED_VALUE"""),1.69)</f>
        <v>1.69</v>
      </c>
      <c r="H1612" s="17"/>
      <c r="K1612" s="17"/>
      <c r="N1612" s="17"/>
    </row>
    <row r="1613">
      <c r="B1613" s="11">
        <f>IFERROR(__xludf.DUMMYFUNCTION("""COMPUTED_VALUE"""),43768.0)</f>
        <v>43768</v>
      </c>
      <c r="C1613" s="9">
        <f>IFERROR(__xludf.DUMMYFUNCTION("""COMPUTED_VALUE"""),1.78)</f>
        <v>1.78</v>
      </c>
      <c r="H1613" s="17"/>
      <c r="K1613" s="17"/>
      <c r="N1613" s="17"/>
    </row>
    <row r="1614">
      <c r="B1614" s="11">
        <f>IFERROR(__xludf.DUMMYFUNCTION("""COMPUTED_VALUE"""),43767.0)</f>
        <v>43767</v>
      </c>
      <c r="C1614" s="9">
        <f>IFERROR(__xludf.DUMMYFUNCTION("""COMPUTED_VALUE"""),1.84)</f>
        <v>1.84</v>
      </c>
      <c r="H1614" s="17"/>
      <c r="K1614" s="17"/>
      <c r="N1614" s="17"/>
    </row>
    <row r="1615">
      <c r="B1615" s="11">
        <f>IFERROR(__xludf.DUMMYFUNCTION("""COMPUTED_VALUE"""),43766.0)</f>
        <v>43766</v>
      </c>
      <c r="C1615" s="9">
        <f>IFERROR(__xludf.DUMMYFUNCTION("""COMPUTED_VALUE"""),1.85)</f>
        <v>1.85</v>
      </c>
      <c r="H1615" s="17"/>
      <c r="K1615" s="17"/>
      <c r="N1615" s="17"/>
    </row>
    <row r="1616">
      <c r="B1616" s="11">
        <f>IFERROR(__xludf.DUMMYFUNCTION("""COMPUTED_VALUE"""),43763.0)</f>
        <v>43763</v>
      </c>
      <c r="C1616" s="9">
        <f>IFERROR(__xludf.DUMMYFUNCTION("""COMPUTED_VALUE"""),1.8)</f>
        <v>1.8</v>
      </c>
      <c r="H1616" s="17"/>
      <c r="K1616" s="17"/>
      <c r="N1616" s="17"/>
    </row>
    <row r="1617">
      <c r="B1617" s="11">
        <f>IFERROR(__xludf.DUMMYFUNCTION("""COMPUTED_VALUE"""),43762.0)</f>
        <v>43762</v>
      </c>
      <c r="C1617" s="9">
        <f>IFERROR(__xludf.DUMMYFUNCTION("""COMPUTED_VALUE"""),1.77)</f>
        <v>1.77</v>
      </c>
      <c r="H1617" s="17"/>
      <c r="K1617" s="17"/>
      <c r="N1617" s="17"/>
    </row>
    <row r="1618">
      <c r="B1618" s="11">
        <f>IFERROR(__xludf.DUMMYFUNCTION("""COMPUTED_VALUE"""),43761.0)</f>
        <v>43761</v>
      </c>
      <c r="C1618" s="9">
        <f>IFERROR(__xludf.DUMMYFUNCTION("""COMPUTED_VALUE"""),1.77)</f>
        <v>1.77</v>
      </c>
      <c r="H1618" s="17"/>
      <c r="K1618" s="17"/>
      <c r="N1618" s="17"/>
    </row>
    <row r="1619">
      <c r="B1619" s="11">
        <f>IFERROR(__xludf.DUMMYFUNCTION("""COMPUTED_VALUE"""),43760.0)</f>
        <v>43760</v>
      </c>
      <c r="C1619" s="9">
        <f>IFERROR(__xludf.DUMMYFUNCTION("""COMPUTED_VALUE"""),1.78)</f>
        <v>1.78</v>
      </c>
      <c r="H1619" s="17"/>
      <c r="K1619" s="17"/>
      <c r="N1619" s="17"/>
    </row>
    <row r="1620">
      <c r="B1620" s="11">
        <f>IFERROR(__xludf.DUMMYFUNCTION("""COMPUTED_VALUE"""),43759.0)</f>
        <v>43759</v>
      </c>
      <c r="C1620" s="9">
        <f>IFERROR(__xludf.DUMMYFUNCTION("""COMPUTED_VALUE"""),1.8)</f>
        <v>1.8</v>
      </c>
      <c r="H1620" s="17"/>
      <c r="K1620" s="17"/>
      <c r="N1620" s="17"/>
    </row>
    <row r="1621">
      <c r="B1621" s="11">
        <f>IFERROR(__xludf.DUMMYFUNCTION("""COMPUTED_VALUE"""),43756.0)</f>
        <v>43756</v>
      </c>
      <c r="C1621" s="9">
        <f>IFERROR(__xludf.DUMMYFUNCTION("""COMPUTED_VALUE"""),1.76)</f>
        <v>1.76</v>
      </c>
      <c r="H1621" s="17"/>
      <c r="K1621" s="17"/>
      <c r="N1621" s="17"/>
    </row>
    <row r="1622">
      <c r="B1622" s="11">
        <f>IFERROR(__xludf.DUMMYFUNCTION("""COMPUTED_VALUE"""),43755.0)</f>
        <v>43755</v>
      </c>
      <c r="C1622" s="9">
        <f>IFERROR(__xludf.DUMMYFUNCTION("""COMPUTED_VALUE"""),1.76)</f>
        <v>1.76</v>
      </c>
      <c r="H1622" s="17"/>
      <c r="K1622" s="17"/>
      <c r="N1622" s="17"/>
    </row>
    <row r="1623">
      <c r="B1623" s="11">
        <f>IFERROR(__xludf.DUMMYFUNCTION("""COMPUTED_VALUE"""),43754.0)</f>
        <v>43754</v>
      </c>
      <c r="C1623" s="9">
        <f>IFERROR(__xludf.DUMMYFUNCTION("""COMPUTED_VALUE"""),1.75)</f>
        <v>1.75</v>
      </c>
      <c r="H1623" s="17"/>
      <c r="K1623" s="17"/>
      <c r="N1623" s="17"/>
    </row>
    <row r="1624">
      <c r="B1624" s="11">
        <f>IFERROR(__xludf.DUMMYFUNCTION("""COMPUTED_VALUE"""),43753.0)</f>
        <v>43753</v>
      </c>
      <c r="C1624" s="9">
        <f>IFERROR(__xludf.DUMMYFUNCTION("""COMPUTED_VALUE"""),1.77)</f>
        <v>1.77</v>
      </c>
      <c r="H1624" s="17"/>
      <c r="K1624" s="17"/>
      <c r="N1624" s="17"/>
    </row>
    <row r="1625">
      <c r="B1625" s="11">
        <f>IFERROR(__xludf.DUMMYFUNCTION("""COMPUTED_VALUE"""),43752.0)</f>
        <v>43752</v>
      </c>
      <c r="C1625" s="9"/>
      <c r="H1625" s="17"/>
      <c r="K1625" s="17"/>
      <c r="N1625" s="17"/>
    </row>
    <row r="1626">
      <c r="B1626" s="11">
        <f>IFERROR(__xludf.DUMMYFUNCTION("""COMPUTED_VALUE"""),43749.0)</f>
        <v>43749</v>
      </c>
      <c r="C1626" s="9">
        <f>IFERROR(__xludf.DUMMYFUNCTION("""COMPUTED_VALUE"""),1.76)</f>
        <v>1.76</v>
      </c>
      <c r="H1626" s="17"/>
      <c r="K1626" s="17"/>
      <c r="N1626" s="17"/>
    </row>
    <row r="1627">
      <c r="B1627" s="11">
        <f>IFERROR(__xludf.DUMMYFUNCTION("""COMPUTED_VALUE"""),43748.0)</f>
        <v>43748</v>
      </c>
      <c r="C1627" s="9">
        <f>IFERROR(__xludf.DUMMYFUNCTION("""COMPUTED_VALUE"""),1.67)</f>
        <v>1.67</v>
      </c>
      <c r="H1627" s="17"/>
      <c r="K1627" s="17"/>
      <c r="N1627" s="17"/>
    </row>
    <row r="1628">
      <c r="B1628" s="11">
        <f>IFERROR(__xludf.DUMMYFUNCTION("""COMPUTED_VALUE"""),43747.0)</f>
        <v>43747</v>
      </c>
      <c r="C1628" s="9">
        <f>IFERROR(__xludf.DUMMYFUNCTION("""COMPUTED_VALUE"""),1.59)</f>
        <v>1.59</v>
      </c>
      <c r="H1628" s="17"/>
      <c r="K1628" s="17"/>
      <c r="N1628" s="17"/>
    </row>
    <row r="1629">
      <c r="B1629" s="11">
        <f>IFERROR(__xludf.DUMMYFUNCTION("""COMPUTED_VALUE"""),43746.0)</f>
        <v>43746</v>
      </c>
      <c r="C1629" s="9">
        <f>IFERROR(__xludf.DUMMYFUNCTION("""COMPUTED_VALUE"""),1.54)</f>
        <v>1.54</v>
      </c>
      <c r="H1629" s="17"/>
      <c r="K1629" s="17"/>
      <c r="N1629" s="17"/>
    </row>
    <row r="1630">
      <c r="B1630" s="11">
        <f>IFERROR(__xludf.DUMMYFUNCTION("""COMPUTED_VALUE"""),43745.0)</f>
        <v>43745</v>
      </c>
      <c r="C1630" s="9">
        <f>IFERROR(__xludf.DUMMYFUNCTION("""COMPUTED_VALUE"""),1.56)</f>
        <v>1.56</v>
      </c>
      <c r="H1630" s="17"/>
      <c r="K1630" s="17"/>
      <c r="N1630" s="17"/>
    </row>
    <row r="1631">
      <c r="B1631" s="11">
        <f>IFERROR(__xludf.DUMMYFUNCTION("""COMPUTED_VALUE"""),43742.0)</f>
        <v>43742</v>
      </c>
      <c r="C1631" s="9">
        <f>IFERROR(__xludf.DUMMYFUNCTION("""COMPUTED_VALUE"""),1.52)</f>
        <v>1.52</v>
      </c>
      <c r="H1631" s="17"/>
      <c r="K1631" s="17"/>
      <c r="N1631" s="17"/>
    </row>
    <row r="1632">
      <c r="B1632" s="11">
        <f>IFERROR(__xludf.DUMMYFUNCTION("""COMPUTED_VALUE"""),43741.0)</f>
        <v>43741</v>
      </c>
      <c r="C1632" s="9">
        <f>IFERROR(__xludf.DUMMYFUNCTION("""COMPUTED_VALUE"""),1.54)</f>
        <v>1.54</v>
      </c>
      <c r="H1632" s="17"/>
      <c r="K1632" s="17"/>
      <c r="N1632" s="17"/>
    </row>
    <row r="1633">
      <c r="B1633" s="11">
        <f>IFERROR(__xludf.DUMMYFUNCTION("""COMPUTED_VALUE"""),43740.0)</f>
        <v>43740</v>
      </c>
      <c r="C1633" s="9">
        <f>IFERROR(__xludf.DUMMYFUNCTION("""COMPUTED_VALUE"""),1.6)</f>
        <v>1.6</v>
      </c>
      <c r="H1633" s="17"/>
      <c r="K1633" s="17"/>
      <c r="N1633" s="17"/>
    </row>
    <row r="1634">
      <c r="B1634" s="11">
        <f>IFERROR(__xludf.DUMMYFUNCTION("""COMPUTED_VALUE"""),43739.0)</f>
        <v>43739</v>
      </c>
      <c r="C1634" s="9">
        <f>IFERROR(__xludf.DUMMYFUNCTION("""COMPUTED_VALUE"""),1.65)</f>
        <v>1.65</v>
      </c>
      <c r="H1634" s="17"/>
      <c r="K1634" s="17"/>
      <c r="N1634" s="17"/>
    </row>
    <row r="1635">
      <c r="B1635" s="11">
        <f>IFERROR(__xludf.DUMMYFUNCTION("""COMPUTED_VALUE"""),43738.0)</f>
        <v>43738</v>
      </c>
      <c r="C1635" s="9">
        <f>IFERROR(__xludf.DUMMYFUNCTION("""COMPUTED_VALUE"""),1.68)</f>
        <v>1.68</v>
      </c>
      <c r="H1635" s="17"/>
      <c r="K1635" s="17"/>
      <c r="N1635" s="17"/>
    </row>
    <row r="1636">
      <c r="B1636" s="11">
        <f>IFERROR(__xludf.DUMMYFUNCTION("""COMPUTED_VALUE"""),43735.0)</f>
        <v>43735</v>
      </c>
      <c r="C1636" s="9">
        <f>IFERROR(__xludf.DUMMYFUNCTION("""COMPUTED_VALUE"""),1.69)</f>
        <v>1.69</v>
      </c>
      <c r="H1636" s="17"/>
      <c r="K1636" s="17"/>
      <c r="N1636" s="17"/>
    </row>
    <row r="1637">
      <c r="B1637" s="11">
        <f>IFERROR(__xludf.DUMMYFUNCTION("""COMPUTED_VALUE"""),43734.0)</f>
        <v>43734</v>
      </c>
      <c r="C1637" s="9">
        <f>IFERROR(__xludf.DUMMYFUNCTION("""COMPUTED_VALUE"""),1.7)</f>
        <v>1.7</v>
      </c>
      <c r="H1637" s="17"/>
      <c r="K1637" s="17"/>
      <c r="N1637" s="17"/>
    </row>
    <row r="1638">
      <c r="B1638" s="11">
        <f>IFERROR(__xludf.DUMMYFUNCTION("""COMPUTED_VALUE"""),43733.0)</f>
        <v>43733</v>
      </c>
      <c r="C1638" s="9">
        <f>IFERROR(__xludf.DUMMYFUNCTION("""COMPUTED_VALUE"""),1.73)</f>
        <v>1.73</v>
      </c>
      <c r="H1638" s="17"/>
      <c r="K1638" s="17"/>
      <c r="N1638" s="17"/>
    </row>
    <row r="1639">
      <c r="B1639" s="11">
        <f>IFERROR(__xludf.DUMMYFUNCTION("""COMPUTED_VALUE"""),43732.0)</f>
        <v>43732</v>
      </c>
      <c r="C1639" s="9">
        <f>IFERROR(__xludf.DUMMYFUNCTION("""COMPUTED_VALUE"""),1.64)</f>
        <v>1.64</v>
      </c>
      <c r="H1639" s="17"/>
      <c r="K1639" s="17"/>
      <c r="N1639" s="17"/>
    </row>
    <row r="1640">
      <c r="B1640" s="11">
        <f>IFERROR(__xludf.DUMMYFUNCTION("""COMPUTED_VALUE"""),43731.0)</f>
        <v>43731</v>
      </c>
      <c r="C1640" s="9">
        <f>IFERROR(__xludf.DUMMYFUNCTION("""COMPUTED_VALUE"""),1.72)</f>
        <v>1.72</v>
      </c>
      <c r="H1640" s="17"/>
      <c r="K1640" s="17"/>
      <c r="N1640" s="17"/>
    </row>
    <row r="1641">
      <c r="B1641" s="11">
        <f>IFERROR(__xludf.DUMMYFUNCTION("""COMPUTED_VALUE"""),43728.0)</f>
        <v>43728</v>
      </c>
      <c r="C1641" s="9">
        <f>IFERROR(__xludf.DUMMYFUNCTION("""COMPUTED_VALUE"""),1.74)</f>
        <v>1.74</v>
      </c>
      <c r="H1641" s="17"/>
      <c r="K1641" s="17"/>
      <c r="N1641" s="17"/>
    </row>
    <row r="1642">
      <c r="B1642" s="11">
        <f>IFERROR(__xludf.DUMMYFUNCTION("""COMPUTED_VALUE"""),43727.0)</f>
        <v>43727</v>
      </c>
      <c r="C1642" s="9">
        <f>IFERROR(__xludf.DUMMYFUNCTION("""COMPUTED_VALUE"""),1.79)</f>
        <v>1.79</v>
      </c>
      <c r="H1642" s="17"/>
      <c r="K1642" s="17"/>
      <c r="N1642" s="17"/>
    </row>
    <row r="1643">
      <c r="B1643" s="11">
        <f>IFERROR(__xludf.DUMMYFUNCTION("""COMPUTED_VALUE"""),43726.0)</f>
        <v>43726</v>
      </c>
      <c r="C1643" s="9">
        <f>IFERROR(__xludf.DUMMYFUNCTION("""COMPUTED_VALUE"""),1.8)</f>
        <v>1.8</v>
      </c>
      <c r="H1643" s="17"/>
      <c r="K1643" s="17"/>
      <c r="N1643" s="17"/>
    </row>
    <row r="1644">
      <c r="B1644" s="11">
        <f>IFERROR(__xludf.DUMMYFUNCTION("""COMPUTED_VALUE"""),43725.0)</f>
        <v>43725</v>
      </c>
      <c r="C1644" s="9">
        <f>IFERROR(__xludf.DUMMYFUNCTION("""COMPUTED_VALUE"""),1.81)</f>
        <v>1.81</v>
      </c>
      <c r="H1644" s="17"/>
      <c r="K1644" s="17"/>
      <c r="N1644" s="17"/>
    </row>
    <row r="1645">
      <c r="B1645" s="11">
        <f>IFERROR(__xludf.DUMMYFUNCTION("""COMPUTED_VALUE"""),43724.0)</f>
        <v>43724</v>
      </c>
      <c r="C1645" s="9">
        <f>IFERROR(__xludf.DUMMYFUNCTION("""COMPUTED_VALUE"""),1.84)</f>
        <v>1.84</v>
      </c>
      <c r="H1645" s="17"/>
      <c r="K1645" s="17"/>
      <c r="N1645" s="17"/>
    </row>
    <row r="1646">
      <c r="B1646" s="11">
        <f>IFERROR(__xludf.DUMMYFUNCTION("""COMPUTED_VALUE"""),43721.0)</f>
        <v>43721</v>
      </c>
      <c r="C1646" s="9">
        <f>IFERROR(__xludf.DUMMYFUNCTION("""COMPUTED_VALUE"""),1.9)</f>
        <v>1.9</v>
      </c>
      <c r="H1646" s="17"/>
      <c r="K1646" s="17"/>
      <c r="N1646" s="17"/>
    </row>
    <row r="1647">
      <c r="B1647" s="11">
        <f>IFERROR(__xludf.DUMMYFUNCTION("""COMPUTED_VALUE"""),43720.0)</f>
        <v>43720</v>
      </c>
      <c r="C1647" s="9">
        <f>IFERROR(__xludf.DUMMYFUNCTION("""COMPUTED_VALUE"""),1.79)</f>
        <v>1.79</v>
      </c>
      <c r="H1647" s="17"/>
      <c r="K1647" s="17"/>
      <c r="N1647" s="17"/>
    </row>
    <row r="1648">
      <c r="B1648" s="11">
        <f>IFERROR(__xludf.DUMMYFUNCTION("""COMPUTED_VALUE"""),43719.0)</f>
        <v>43719</v>
      </c>
      <c r="C1648" s="9">
        <f>IFERROR(__xludf.DUMMYFUNCTION("""COMPUTED_VALUE"""),1.75)</f>
        <v>1.75</v>
      </c>
      <c r="H1648" s="17"/>
      <c r="K1648" s="17"/>
      <c r="N1648" s="17"/>
    </row>
    <row r="1649">
      <c r="B1649" s="11">
        <f>IFERROR(__xludf.DUMMYFUNCTION("""COMPUTED_VALUE"""),43718.0)</f>
        <v>43718</v>
      </c>
      <c r="C1649" s="9">
        <f>IFERROR(__xludf.DUMMYFUNCTION("""COMPUTED_VALUE"""),1.72)</f>
        <v>1.72</v>
      </c>
      <c r="H1649" s="17"/>
      <c r="K1649" s="17"/>
      <c r="N1649" s="17"/>
    </row>
    <row r="1650">
      <c r="B1650" s="11">
        <f>IFERROR(__xludf.DUMMYFUNCTION("""COMPUTED_VALUE"""),43717.0)</f>
        <v>43717</v>
      </c>
      <c r="C1650" s="9">
        <f>IFERROR(__xludf.DUMMYFUNCTION("""COMPUTED_VALUE"""),1.63)</f>
        <v>1.63</v>
      </c>
      <c r="H1650" s="17"/>
      <c r="K1650" s="17"/>
      <c r="N1650" s="17"/>
    </row>
    <row r="1651">
      <c r="B1651" s="11">
        <f>IFERROR(__xludf.DUMMYFUNCTION("""COMPUTED_VALUE"""),43714.0)</f>
        <v>43714</v>
      </c>
      <c r="C1651" s="9">
        <f>IFERROR(__xludf.DUMMYFUNCTION("""COMPUTED_VALUE"""),1.55)</f>
        <v>1.55</v>
      </c>
      <c r="H1651" s="17"/>
      <c r="K1651" s="17"/>
      <c r="N1651" s="17"/>
    </row>
    <row r="1652">
      <c r="B1652" s="11">
        <f>IFERROR(__xludf.DUMMYFUNCTION("""COMPUTED_VALUE"""),43713.0)</f>
        <v>43713</v>
      </c>
      <c r="C1652" s="9">
        <f>IFERROR(__xludf.DUMMYFUNCTION("""COMPUTED_VALUE"""),1.57)</f>
        <v>1.57</v>
      </c>
      <c r="H1652" s="17"/>
      <c r="K1652" s="17"/>
      <c r="N1652" s="17"/>
    </row>
    <row r="1653">
      <c r="B1653" s="11">
        <f>IFERROR(__xludf.DUMMYFUNCTION("""COMPUTED_VALUE"""),43712.0)</f>
        <v>43712</v>
      </c>
      <c r="C1653" s="9">
        <f>IFERROR(__xludf.DUMMYFUNCTION("""COMPUTED_VALUE"""),1.47)</f>
        <v>1.47</v>
      </c>
      <c r="H1653" s="17"/>
      <c r="K1653" s="17"/>
      <c r="N1653" s="17"/>
    </row>
    <row r="1654">
      <c r="B1654" s="11">
        <f>IFERROR(__xludf.DUMMYFUNCTION("""COMPUTED_VALUE"""),43711.0)</f>
        <v>43711</v>
      </c>
      <c r="C1654" s="9">
        <f>IFERROR(__xludf.DUMMYFUNCTION("""COMPUTED_VALUE"""),1.47)</f>
        <v>1.47</v>
      </c>
      <c r="H1654" s="17"/>
      <c r="K1654" s="17"/>
      <c r="N1654" s="17"/>
    </row>
    <row r="1655">
      <c r="B1655" s="11">
        <f>IFERROR(__xludf.DUMMYFUNCTION("""COMPUTED_VALUE"""),43710.0)</f>
        <v>43710</v>
      </c>
      <c r="C1655" s="9"/>
      <c r="H1655" s="17"/>
      <c r="K1655" s="17"/>
      <c r="N1655" s="17"/>
    </row>
    <row r="1656">
      <c r="B1656" s="11">
        <f>IFERROR(__xludf.DUMMYFUNCTION("""COMPUTED_VALUE"""),43707.0)</f>
        <v>43707</v>
      </c>
      <c r="C1656" s="9">
        <f>IFERROR(__xludf.DUMMYFUNCTION("""COMPUTED_VALUE"""),1.5)</f>
        <v>1.5</v>
      </c>
      <c r="H1656" s="17"/>
      <c r="K1656" s="17"/>
      <c r="N1656" s="17"/>
    </row>
    <row r="1657">
      <c r="B1657" s="11">
        <f>IFERROR(__xludf.DUMMYFUNCTION("""COMPUTED_VALUE"""),43706.0)</f>
        <v>43706</v>
      </c>
      <c r="C1657" s="9">
        <f>IFERROR(__xludf.DUMMYFUNCTION("""COMPUTED_VALUE"""),1.5)</f>
        <v>1.5</v>
      </c>
      <c r="H1657" s="17"/>
      <c r="K1657" s="17"/>
      <c r="N1657" s="17"/>
    </row>
    <row r="1658">
      <c r="B1658" s="11">
        <f>IFERROR(__xludf.DUMMYFUNCTION("""COMPUTED_VALUE"""),43705.0)</f>
        <v>43705</v>
      </c>
      <c r="C1658" s="9">
        <f>IFERROR(__xludf.DUMMYFUNCTION("""COMPUTED_VALUE"""),1.47)</f>
        <v>1.47</v>
      </c>
      <c r="H1658" s="17"/>
      <c r="K1658" s="17"/>
      <c r="N1658" s="17"/>
    </row>
    <row r="1659">
      <c r="B1659" s="11">
        <f>IFERROR(__xludf.DUMMYFUNCTION("""COMPUTED_VALUE"""),43704.0)</f>
        <v>43704</v>
      </c>
      <c r="C1659" s="9">
        <f>IFERROR(__xludf.DUMMYFUNCTION("""COMPUTED_VALUE"""),1.49)</f>
        <v>1.49</v>
      </c>
      <c r="H1659" s="17"/>
      <c r="K1659" s="17"/>
      <c r="N1659" s="17"/>
    </row>
    <row r="1660">
      <c r="B1660" s="11">
        <f>IFERROR(__xludf.DUMMYFUNCTION("""COMPUTED_VALUE"""),43703.0)</f>
        <v>43703</v>
      </c>
      <c r="C1660" s="9">
        <f>IFERROR(__xludf.DUMMYFUNCTION("""COMPUTED_VALUE"""),1.54)</f>
        <v>1.54</v>
      </c>
      <c r="H1660" s="17"/>
      <c r="K1660" s="17"/>
      <c r="N1660" s="17"/>
    </row>
    <row r="1661">
      <c r="B1661" s="11">
        <f>IFERROR(__xludf.DUMMYFUNCTION("""COMPUTED_VALUE"""),43700.0)</f>
        <v>43700</v>
      </c>
      <c r="C1661" s="9">
        <f>IFERROR(__xludf.DUMMYFUNCTION("""COMPUTED_VALUE"""),1.52)</f>
        <v>1.52</v>
      </c>
      <c r="H1661" s="17"/>
      <c r="K1661" s="17"/>
      <c r="N1661" s="17"/>
    </row>
    <row r="1662">
      <c r="B1662" s="11">
        <f>IFERROR(__xludf.DUMMYFUNCTION("""COMPUTED_VALUE"""),43699.0)</f>
        <v>43699</v>
      </c>
      <c r="C1662" s="9">
        <f>IFERROR(__xludf.DUMMYFUNCTION("""COMPUTED_VALUE"""),1.62)</f>
        <v>1.62</v>
      </c>
      <c r="H1662" s="17"/>
      <c r="K1662" s="17"/>
      <c r="N1662" s="17"/>
    </row>
    <row r="1663">
      <c r="B1663" s="11">
        <f>IFERROR(__xludf.DUMMYFUNCTION("""COMPUTED_VALUE"""),43698.0)</f>
        <v>43698</v>
      </c>
      <c r="C1663" s="9">
        <f>IFERROR(__xludf.DUMMYFUNCTION("""COMPUTED_VALUE"""),1.59)</f>
        <v>1.59</v>
      </c>
      <c r="H1663" s="17"/>
      <c r="K1663" s="17"/>
      <c r="N1663" s="17"/>
    </row>
    <row r="1664">
      <c r="B1664" s="11">
        <f>IFERROR(__xludf.DUMMYFUNCTION("""COMPUTED_VALUE"""),43697.0)</f>
        <v>43697</v>
      </c>
      <c r="C1664" s="9">
        <f>IFERROR(__xludf.DUMMYFUNCTION("""COMPUTED_VALUE"""),1.55)</f>
        <v>1.55</v>
      </c>
      <c r="H1664" s="17"/>
      <c r="K1664" s="17"/>
      <c r="N1664" s="17"/>
    </row>
    <row r="1665">
      <c r="B1665" s="11">
        <f>IFERROR(__xludf.DUMMYFUNCTION("""COMPUTED_VALUE"""),43696.0)</f>
        <v>43696</v>
      </c>
      <c r="C1665" s="9">
        <f>IFERROR(__xludf.DUMMYFUNCTION("""COMPUTED_VALUE"""),1.6)</f>
        <v>1.6</v>
      </c>
      <c r="H1665" s="17"/>
      <c r="K1665" s="17"/>
      <c r="N1665" s="17"/>
    </row>
    <row r="1666">
      <c r="B1666" s="11">
        <f>IFERROR(__xludf.DUMMYFUNCTION("""COMPUTED_VALUE"""),43693.0)</f>
        <v>43693</v>
      </c>
      <c r="C1666" s="9">
        <f>IFERROR(__xludf.DUMMYFUNCTION("""COMPUTED_VALUE"""),1.55)</f>
        <v>1.55</v>
      </c>
      <c r="H1666" s="17"/>
      <c r="K1666" s="17"/>
      <c r="N1666" s="17"/>
    </row>
    <row r="1667">
      <c r="B1667" s="11">
        <f>IFERROR(__xludf.DUMMYFUNCTION("""COMPUTED_VALUE"""),43692.0)</f>
        <v>43692</v>
      </c>
      <c r="C1667" s="9">
        <f>IFERROR(__xludf.DUMMYFUNCTION("""COMPUTED_VALUE"""),1.52)</f>
        <v>1.52</v>
      </c>
      <c r="H1667" s="17"/>
      <c r="K1667" s="17"/>
      <c r="N1667" s="17"/>
    </row>
    <row r="1668">
      <c r="B1668" s="11">
        <f>IFERROR(__xludf.DUMMYFUNCTION("""COMPUTED_VALUE"""),43691.0)</f>
        <v>43691</v>
      </c>
      <c r="C1668" s="9">
        <f>IFERROR(__xludf.DUMMYFUNCTION("""COMPUTED_VALUE"""),1.59)</f>
        <v>1.59</v>
      </c>
      <c r="H1668" s="17"/>
      <c r="K1668" s="17"/>
      <c r="N1668" s="17"/>
    </row>
    <row r="1669">
      <c r="B1669" s="11">
        <f>IFERROR(__xludf.DUMMYFUNCTION("""COMPUTED_VALUE"""),43690.0)</f>
        <v>43690</v>
      </c>
      <c r="C1669" s="9">
        <f>IFERROR(__xludf.DUMMYFUNCTION("""COMPUTED_VALUE"""),1.68)</f>
        <v>1.68</v>
      </c>
      <c r="H1669" s="17"/>
      <c r="K1669" s="17"/>
      <c r="N1669" s="17"/>
    </row>
    <row r="1670">
      <c r="B1670" s="11">
        <f>IFERROR(__xludf.DUMMYFUNCTION("""COMPUTED_VALUE"""),43689.0)</f>
        <v>43689</v>
      </c>
      <c r="C1670" s="9">
        <f>IFERROR(__xludf.DUMMYFUNCTION("""COMPUTED_VALUE"""),1.65)</f>
        <v>1.65</v>
      </c>
      <c r="H1670" s="17"/>
      <c r="K1670" s="17"/>
      <c r="N1670" s="17"/>
    </row>
    <row r="1671">
      <c r="B1671" s="11">
        <f>IFERROR(__xludf.DUMMYFUNCTION("""COMPUTED_VALUE"""),43686.0)</f>
        <v>43686</v>
      </c>
      <c r="C1671" s="9">
        <f>IFERROR(__xludf.DUMMYFUNCTION("""COMPUTED_VALUE"""),1.74)</f>
        <v>1.74</v>
      </c>
      <c r="H1671" s="17"/>
      <c r="K1671" s="17"/>
      <c r="N1671" s="17"/>
    </row>
    <row r="1672">
      <c r="B1672" s="11">
        <f>IFERROR(__xludf.DUMMYFUNCTION("""COMPUTED_VALUE"""),43685.0)</f>
        <v>43685</v>
      </c>
      <c r="C1672" s="9">
        <f>IFERROR(__xludf.DUMMYFUNCTION("""COMPUTED_VALUE"""),1.72)</f>
        <v>1.72</v>
      </c>
      <c r="H1672" s="17"/>
      <c r="K1672" s="17"/>
      <c r="N1672" s="17"/>
    </row>
    <row r="1673">
      <c r="B1673" s="11">
        <f>IFERROR(__xludf.DUMMYFUNCTION("""COMPUTED_VALUE"""),43684.0)</f>
        <v>43684</v>
      </c>
      <c r="C1673" s="9">
        <f>IFERROR(__xludf.DUMMYFUNCTION("""COMPUTED_VALUE"""),1.71)</f>
        <v>1.71</v>
      </c>
      <c r="H1673" s="17"/>
      <c r="K1673" s="17"/>
      <c r="N1673" s="17"/>
    </row>
    <row r="1674">
      <c r="B1674" s="11">
        <f>IFERROR(__xludf.DUMMYFUNCTION("""COMPUTED_VALUE"""),43683.0)</f>
        <v>43683</v>
      </c>
      <c r="C1674" s="9">
        <f>IFERROR(__xludf.DUMMYFUNCTION("""COMPUTED_VALUE"""),1.73)</f>
        <v>1.73</v>
      </c>
      <c r="H1674" s="17"/>
      <c r="K1674" s="17"/>
      <c r="N1674" s="17"/>
    </row>
    <row r="1675">
      <c r="B1675" s="11">
        <f>IFERROR(__xludf.DUMMYFUNCTION("""COMPUTED_VALUE"""),43682.0)</f>
        <v>43682</v>
      </c>
      <c r="C1675" s="9">
        <f>IFERROR(__xludf.DUMMYFUNCTION("""COMPUTED_VALUE"""),1.75)</f>
        <v>1.75</v>
      </c>
      <c r="H1675" s="17"/>
      <c r="K1675" s="17"/>
      <c r="N1675" s="17"/>
    </row>
    <row r="1676">
      <c r="B1676" s="11">
        <f>IFERROR(__xludf.DUMMYFUNCTION("""COMPUTED_VALUE"""),43679.0)</f>
        <v>43679</v>
      </c>
      <c r="C1676" s="9">
        <f>IFERROR(__xludf.DUMMYFUNCTION("""COMPUTED_VALUE"""),1.86)</f>
        <v>1.86</v>
      </c>
      <c r="H1676" s="17"/>
      <c r="K1676" s="17"/>
      <c r="N1676" s="17"/>
    </row>
    <row r="1677">
      <c r="B1677" s="11">
        <f>IFERROR(__xludf.DUMMYFUNCTION("""COMPUTED_VALUE"""),43678.0)</f>
        <v>43678</v>
      </c>
      <c r="C1677" s="9">
        <f>IFERROR(__xludf.DUMMYFUNCTION("""COMPUTED_VALUE"""),1.9)</f>
        <v>1.9</v>
      </c>
      <c r="H1677" s="17"/>
      <c r="K1677" s="17"/>
      <c r="N1677" s="17"/>
    </row>
    <row r="1678">
      <c r="B1678" s="11">
        <f>IFERROR(__xludf.DUMMYFUNCTION("""COMPUTED_VALUE"""),43677.0)</f>
        <v>43677</v>
      </c>
      <c r="C1678" s="9">
        <f>IFERROR(__xludf.DUMMYFUNCTION("""COMPUTED_VALUE"""),2.02)</f>
        <v>2.02</v>
      </c>
      <c r="H1678" s="17"/>
      <c r="K1678" s="17"/>
      <c r="N1678" s="17"/>
    </row>
    <row r="1679">
      <c r="B1679" s="11">
        <f>IFERROR(__xludf.DUMMYFUNCTION("""COMPUTED_VALUE"""),43676.0)</f>
        <v>43676</v>
      </c>
      <c r="C1679" s="9">
        <f>IFERROR(__xludf.DUMMYFUNCTION("""COMPUTED_VALUE"""),2.06)</f>
        <v>2.06</v>
      </c>
      <c r="H1679" s="17"/>
      <c r="K1679" s="17"/>
      <c r="N1679" s="17"/>
    </row>
    <row r="1680">
      <c r="B1680" s="11">
        <f>IFERROR(__xludf.DUMMYFUNCTION("""COMPUTED_VALUE"""),43675.0)</f>
        <v>43675</v>
      </c>
      <c r="C1680" s="9">
        <f>IFERROR(__xludf.DUMMYFUNCTION("""COMPUTED_VALUE"""),2.06)</f>
        <v>2.06</v>
      </c>
      <c r="H1680" s="17"/>
      <c r="K1680" s="17"/>
      <c r="N1680" s="17"/>
    </row>
    <row r="1681">
      <c r="B1681" s="11">
        <f>IFERROR(__xludf.DUMMYFUNCTION("""COMPUTED_VALUE"""),43672.0)</f>
        <v>43672</v>
      </c>
      <c r="C1681" s="9">
        <f>IFERROR(__xludf.DUMMYFUNCTION("""COMPUTED_VALUE"""),2.08)</f>
        <v>2.08</v>
      </c>
      <c r="H1681" s="17"/>
      <c r="K1681" s="17"/>
      <c r="N1681" s="17"/>
    </row>
    <row r="1682">
      <c r="B1682" s="11">
        <f>IFERROR(__xludf.DUMMYFUNCTION("""COMPUTED_VALUE"""),43671.0)</f>
        <v>43671</v>
      </c>
      <c r="C1682" s="9">
        <f>IFERROR(__xludf.DUMMYFUNCTION("""COMPUTED_VALUE"""),2.08)</f>
        <v>2.08</v>
      </c>
      <c r="H1682" s="17"/>
      <c r="K1682" s="17"/>
      <c r="N1682" s="17"/>
    </row>
    <row r="1683">
      <c r="B1683" s="11">
        <f>IFERROR(__xludf.DUMMYFUNCTION("""COMPUTED_VALUE"""),43670.0)</f>
        <v>43670</v>
      </c>
      <c r="C1683" s="9">
        <f>IFERROR(__xludf.DUMMYFUNCTION("""COMPUTED_VALUE"""),2.05)</f>
        <v>2.05</v>
      </c>
      <c r="H1683" s="17"/>
      <c r="K1683" s="17"/>
      <c r="N1683" s="17"/>
    </row>
    <row r="1684">
      <c r="B1684" s="11">
        <f>IFERROR(__xludf.DUMMYFUNCTION("""COMPUTED_VALUE"""),43669.0)</f>
        <v>43669</v>
      </c>
      <c r="C1684" s="9">
        <f>IFERROR(__xludf.DUMMYFUNCTION("""COMPUTED_VALUE"""),2.08)</f>
        <v>2.08</v>
      </c>
      <c r="H1684" s="17"/>
      <c r="K1684" s="17"/>
      <c r="N1684" s="17"/>
    </row>
    <row r="1685">
      <c r="B1685" s="11">
        <f>IFERROR(__xludf.DUMMYFUNCTION("""COMPUTED_VALUE"""),43668.0)</f>
        <v>43668</v>
      </c>
      <c r="C1685" s="9">
        <f>IFERROR(__xludf.DUMMYFUNCTION("""COMPUTED_VALUE"""),2.05)</f>
        <v>2.05</v>
      </c>
      <c r="H1685" s="17"/>
      <c r="K1685" s="17"/>
      <c r="N1685" s="17"/>
    </row>
    <row r="1686">
      <c r="B1686" s="11">
        <f>IFERROR(__xludf.DUMMYFUNCTION("""COMPUTED_VALUE"""),43665.0)</f>
        <v>43665</v>
      </c>
      <c r="C1686" s="9">
        <f>IFERROR(__xludf.DUMMYFUNCTION("""COMPUTED_VALUE"""),2.05)</f>
        <v>2.05</v>
      </c>
      <c r="H1686" s="17"/>
      <c r="K1686" s="17"/>
      <c r="N1686" s="17"/>
    </row>
    <row r="1687">
      <c r="B1687" s="11">
        <f>IFERROR(__xludf.DUMMYFUNCTION("""COMPUTED_VALUE"""),43664.0)</f>
        <v>43664</v>
      </c>
      <c r="C1687" s="9">
        <f>IFERROR(__xludf.DUMMYFUNCTION("""COMPUTED_VALUE"""),2.04)</f>
        <v>2.04</v>
      </c>
      <c r="H1687" s="17"/>
      <c r="K1687" s="17"/>
      <c r="N1687" s="17"/>
    </row>
    <row r="1688">
      <c r="B1688" s="11">
        <f>IFERROR(__xludf.DUMMYFUNCTION("""COMPUTED_VALUE"""),43663.0)</f>
        <v>43663</v>
      </c>
      <c r="C1688" s="9">
        <f>IFERROR(__xludf.DUMMYFUNCTION("""COMPUTED_VALUE"""),2.06)</f>
        <v>2.06</v>
      </c>
      <c r="H1688" s="17"/>
      <c r="K1688" s="17"/>
      <c r="N1688" s="17"/>
    </row>
    <row r="1689">
      <c r="B1689" s="11">
        <f>IFERROR(__xludf.DUMMYFUNCTION("""COMPUTED_VALUE"""),43662.0)</f>
        <v>43662</v>
      </c>
      <c r="C1689" s="9">
        <f>IFERROR(__xludf.DUMMYFUNCTION("""COMPUTED_VALUE"""),2.13)</f>
        <v>2.13</v>
      </c>
      <c r="H1689" s="17"/>
      <c r="K1689" s="17"/>
      <c r="N1689" s="17"/>
    </row>
    <row r="1690">
      <c r="B1690" s="11">
        <f>IFERROR(__xludf.DUMMYFUNCTION("""COMPUTED_VALUE"""),43661.0)</f>
        <v>43661</v>
      </c>
      <c r="C1690" s="9">
        <f>IFERROR(__xludf.DUMMYFUNCTION("""COMPUTED_VALUE"""),2.09)</f>
        <v>2.09</v>
      </c>
      <c r="H1690" s="17"/>
      <c r="K1690" s="17"/>
      <c r="N1690" s="17"/>
    </row>
    <row r="1691">
      <c r="B1691" s="11">
        <f>IFERROR(__xludf.DUMMYFUNCTION("""COMPUTED_VALUE"""),43658.0)</f>
        <v>43658</v>
      </c>
      <c r="C1691" s="9">
        <f>IFERROR(__xludf.DUMMYFUNCTION("""COMPUTED_VALUE"""),2.12)</f>
        <v>2.12</v>
      </c>
      <c r="H1691" s="17"/>
      <c r="K1691" s="17"/>
      <c r="N1691" s="17"/>
    </row>
    <row r="1692">
      <c r="B1692" s="11">
        <f>IFERROR(__xludf.DUMMYFUNCTION("""COMPUTED_VALUE"""),43657.0)</f>
        <v>43657</v>
      </c>
      <c r="C1692" s="9">
        <f>IFERROR(__xludf.DUMMYFUNCTION("""COMPUTED_VALUE"""),2.13)</f>
        <v>2.13</v>
      </c>
      <c r="H1692" s="17"/>
      <c r="K1692" s="17"/>
      <c r="N1692" s="17"/>
    </row>
    <row r="1693">
      <c r="B1693" s="11">
        <f>IFERROR(__xludf.DUMMYFUNCTION("""COMPUTED_VALUE"""),43656.0)</f>
        <v>43656</v>
      </c>
      <c r="C1693" s="9">
        <f>IFERROR(__xludf.DUMMYFUNCTION("""COMPUTED_VALUE"""),2.07)</f>
        <v>2.07</v>
      </c>
      <c r="H1693" s="17"/>
      <c r="K1693" s="17"/>
      <c r="N1693" s="17"/>
    </row>
    <row r="1694">
      <c r="B1694" s="11">
        <f>IFERROR(__xludf.DUMMYFUNCTION("""COMPUTED_VALUE"""),43655.0)</f>
        <v>43655</v>
      </c>
      <c r="C1694" s="9">
        <f>IFERROR(__xludf.DUMMYFUNCTION("""COMPUTED_VALUE"""),2.07)</f>
        <v>2.07</v>
      </c>
      <c r="H1694" s="17"/>
      <c r="K1694" s="17"/>
      <c r="N1694" s="17"/>
    </row>
    <row r="1695">
      <c r="B1695" s="11">
        <f>IFERROR(__xludf.DUMMYFUNCTION("""COMPUTED_VALUE"""),43654.0)</f>
        <v>43654</v>
      </c>
      <c r="C1695" s="9">
        <f>IFERROR(__xludf.DUMMYFUNCTION("""COMPUTED_VALUE"""),2.05)</f>
        <v>2.05</v>
      </c>
      <c r="H1695" s="17"/>
      <c r="K1695" s="17"/>
      <c r="N1695" s="17"/>
    </row>
    <row r="1696">
      <c r="B1696" s="11">
        <f>IFERROR(__xludf.DUMMYFUNCTION("""COMPUTED_VALUE"""),43651.0)</f>
        <v>43651</v>
      </c>
      <c r="C1696" s="9">
        <f>IFERROR(__xludf.DUMMYFUNCTION("""COMPUTED_VALUE"""),2.04)</f>
        <v>2.04</v>
      </c>
      <c r="H1696" s="17"/>
      <c r="K1696" s="17"/>
      <c r="N1696" s="17"/>
    </row>
    <row r="1697">
      <c r="B1697" s="11">
        <f>IFERROR(__xludf.DUMMYFUNCTION("""COMPUTED_VALUE"""),43650.0)</f>
        <v>43650</v>
      </c>
      <c r="C1697" s="9"/>
      <c r="H1697" s="17"/>
      <c r="K1697" s="17"/>
      <c r="N1697" s="17"/>
    </row>
    <row r="1698">
      <c r="B1698" s="11">
        <f>IFERROR(__xludf.DUMMYFUNCTION("""COMPUTED_VALUE"""),43649.0)</f>
        <v>43649</v>
      </c>
      <c r="C1698" s="9">
        <f>IFERROR(__xludf.DUMMYFUNCTION("""COMPUTED_VALUE"""),1.96)</f>
        <v>1.96</v>
      </c>
      <c r="H1698" s="17"/>
      <c r="K1698" s="17"/>
      <c r="N1698" s="17"/>
    </row>
    <row r="1699">
      <c r="B1699" s="11">
        <f>IFERROR(__xludf.DUMMYFUNCTION("""COMPUTED_VALUE"""),43648.0)</f>
        <v>43648</v>
      </c>
      <c r="C1699" s="9">
        <f>IFERROR(__xludf.DUMMYFUNCTION("""COMPUTED_VALUE"""),1.98)</f>
        <v>1.98</v>
      </c>
      <c r="H1699" s="17"/>
      <c r="K1699" s="17"/>
      <c r="N1699" s="17"/>
    </row>
    <row r="1700">
      <c r="B1700" s="11">
        <f>IFERROR(__xludf.DUMMYFUNCTION("""COMPUTED_VALUE"""),43647.0)</f>
        <v>43647</v>
      </c>
      <c r="C1700" s="9">
        <f>IFERROR(__xludf.DUMMYFUNCTION("""COMPUTED_VALUE"""),2.03)</f>
        <v>2.03</v>
      </c>
      <c r="H1700" s="17"/>
      <c r="K1700" s="17"/>
      <c r="N1700" s="17"/>
    </row>
    <row r="1701">
      <c r="B1701" s="11">
        <f>IFERROR(__xludf.DUMMYFUNCTION("""COMPUTED_VALUE"""),43644.0)</f>
        <v>43644</v>
      </c>
      <c r="C1701" s="9">
        <f>IFERROR(__xludf.DUMMYFUNCTION("""COMPUTED_VALUE"""),2.0)</f>
        <v>2</v>
      </c>
      <c r="H1701" s="17"/>
      <c r="K1701" s="17"/>
      <c r="N1701" s="17"/>
    </row>
    <row r="1702">
      <c r="B1702" s="11">
        <f>IFERROR(__xludf.DUMMYFUNCTION("""COMPUTED_VALUE"""),43643.0)</f>
        <v>43643</v>
      </c>
      <c r="C1702" s="9">
        <f>IFERROR(__xludf.DUMMYFUNCTION("""COMPUTED_VALUE"""),2.01)</f>
        <v>2.01</v>
      </c>
      <c r="H1702" s="17"/>
      <c r="K1702" s="17"/>
      <c r="N1702" s="17"/>
    </row>
    <row r="1703">
      <c r="B1703" s="11">
        <f>IFERROR(__xludf.DUMMYFUNCTION("""COMPUTED_VALUE"""),43642.0)</f>
        <v>43642</v>
      </c>
      <c r="C1703" s="9">
        <f>IFERROR(__xludf.DUMMYFUNCTION("""COMPUTED_VALUE"""),2.05)</f>
        <v>2.05</v>
      </c>
      <c r="H1703" s="17"/>
      <c r="K1703" s="17"/>
      <c r="N1703" s="17"/>
    </row>
    <row r="1704">
      <c r="B1704" s="11">
        <f>IFERROR(__xludf.DUMMYFUNCTION("""COMPUTED_VALUE"""),43641.0)</f>
        <v>43641</v>
      </c>
      <c r="C1704" s="9">
        <f>IFERROR(__xludf.DUMMYFUNCTION("""COMPUTED_VALUE"""),2.0)</f>
        <v>2</v>
      </c>
      <c r="H1704" s="17"/>
      <c r="K1704" s="17"/>
      <c r="N1704" s="17"/>
    </row>
    <row r="1705">
      <c r="B1705" s="11">
        <f>IFERROR(__xludf.DUMMYFUNCTION("""COMPUTED_VALUE"""),43640.0)</f>
        <v>43640</v>
      </c>
      <c r="C1705" s="9">
        <f>IFERROR(__xludf.DUMMYFUNCTION("""COMPUTED_VALUE"""),2.02)</f>
        <v>2.02</v>
      </c>
      <c r="H1705" s="17"/>
      <c r="K1705" s="17"/>
      <c r="N1705" s="17"/>
    </row>
    <row r="1706">
      <c r="B1706" s="11">
        <f>IFERROR(__xludf.DUMMYFUNCTION("""COMPUTED_VALUE"""),43637.0)</f>
        <v>43637</v>
      </c>
      <c r="C1706" s="9">
        <f>IFERROR(__xludf.DUMMYFUNCTION("""COMPUTED_VALUE"""),2.07)</f>
        <v>2.07</v>
      </c>
      <c r="H1706" s="17"/>
      <c r="K1706" s="17"/>
      <c r="N1706" s="17"/>
    </row>
    <row r="1707">
      <c r="B1707" s="11">
        <f>IFERROR(__xludf.DUMMYFUNCTION("""COMPUTED_VALUE"""),43636.0)</f>
        <v>43636</v>
      </c>
      <c r="C1707" s="9">
        <f>IFERROR(__xludf.DUMMYFUNCTION("""COMPUTED_VALUE"""),2.01)</f>
        <v>2.01</v>
      </c>
      <c r="H1707" s="17"/>
      <c r="K1707" s="17"/>
      <c r="N1707" s="17"/>
    </row>
    <row r="1708">
      <c r="B1708" s="11">
        <f>IFERROR(__xludf.DUMMYFUNCTION("""COMPUTED_VALUE"""),43635.0)</f>
        <v>43635</v>
      </c>
      <c r="C1708" s="9">
        <f>IFERROR(__xludf.DUMMYFUNCTION("""COMPUTED_VALUE"""),2.03)</f>
        <v>2.03</v>
      </c>
      <c r="H1708" s="17"/>
      <c r="K1708" s="17"/>
      <c r="N1708" s="17"/>
    </row>
    <row r="1709">
      <c r="B1709" s="11">
        <f>IFERROR(__xludf.DUMMYFUNCTION("""COMPUTED_VALUE"""),43634.0)</f>
        <v>43634</v>
      </c>
      <c r="C1709" s="9">
        <f>IFERROR(__xludf.DUMMYFUNCTION("""COMPUTED_VALUE"""),2.06)</f>
        <v>2.06</v>
      </c>
      <c r="H1709" s="17"/>
      <c r="K1709" s="17"/>
      <c r="N1709" s="17"/>
    </row>
    <row r="1710">
      <c r="B1710" s="11">
        <f>IFERROR(__xludf.DUMMYFUNCTION("""COMPUTED_VALUE"""),43633.0)</f>
        <v>43633</v>
      </c>
      <c r="C1710" s="9">
        <f>IFERROR(__xludf.DUMMYFUNCTION("""COMPUTED_VALUE"""),2.09)</f>
        <v>2.09</v>
      </c>
      <c r="H1710" s="17"/>
      <c r="K1710" s="17"/>
      <c r="N1710" s="17"/>
    </row>
    <row r="1711">
      <c r="B1711" s="11">
        <f>IFERROR(__xludf.DUMMYFUNCTION("""COMPUTED_VALUE"""),43630.0)</f>
        <v>43630</v>
      </c>
      <c r="C1711" s="9">
        <f>IFERROR(__xludf.DUMMYFUNCTION("""COMPUTED_VALUE"""),2.09)</f>
        <v>2.09</v>
      </c>
      <c r="H1711" s="17"/>
      <c r="K1711" s="17"/>
      <c r="N1711" s="17"/>
    </row>
    <row r="1712">
      <c r="B1712" s="11">
        <f>IFERROR(__xludf.DUMMYFUNCTION("""COMPUTED_VALUE"""),43629.0)</f>
        <v>43629</v>
      </c>
      <c r="C1712" s="9">
        <f>IFERROR(__xludf.DUMMYFUNCTION("""COMPUTED_VALUE"""),2.1)</f>
        <v>2.1</v>
      </c>
      <c r="H1712" s="17"/>
      <c r="K1712" s="17"/>
      <c r="N1712" s="17"/>
    </row>
    <row r="1713">
      <c r="B1713" s="11">
        <f>IFERROR(__xludf.DUMMYFUNCTION("""COMPUTED_VALUE"""),43628.0)</f>
        <v>43628</v>
      </c>
      <c r="C1713" s="9">
        <f>IFERROR(__xludf.DUMMYFUNCTION("""COMPUTED_VALUE"""),2.13)</f>
        <v>2.13</v>
      </c>
      <c r="H1713" s="17"/>
      <c r="K1713" s="17"/>
      <c r="N1713" s="17"/>
    </row>
    <row r="1714">
      <c r="B1714" s="11">
        <f>IFERROR(__xludf.DUMMYFUNCTION("""COMPUTED_VALUE"""),43627.0)</f>
        <v>43627</v>
      </c>
      <c r="C1714" s="9">
        <f>IFERROR(__xludf.DUMMYFUNCTION("""COMPUTED_VALUE"""),2.15)</f>
        <v>2.15</v>
      </c>
      <c r="H1714" s="17"/>
      <c r="K1714" s="17"/>
      <c r="N1714" s="17"/>
    </row>
    <row r="1715">
      <c r="B1715" s="11">
        <f>IFERROR(__xludf.DUMMYFUNCTION("""COMPUTED_VALUE"""),43626.0)</f>
        <v>43626</v>
      </c>
      <c r="C1715" s="9">
        <f>IFERROR(__xludf.DUMMYFUNCTION("""COMPUTED_VALUE"""),2.15)</f>
        <v>2.15</v>
      </c>
      <c r="H1715" s="17"/>
      <c r="K1715" s="17"/>
      <c r="N1715" s="17"/>
    </row>
    <row r="1716">
      <c r="B1716" s="11">
        <f>IFERROR(__xludf.DUMMYFUNCTION("""COMPUTED_VALUE"""),43623.0)</f>
        <v>43623</v>
      </c>
      <c r="C1716" s="9">
        <f>IFERROR(__xludf.DUMMYFUNCTION("""COMPUTED_VALUE"""),2.09)</f>
        <v>2.09</v>
      </c>
      <c r="H1716" s="17"/>
      <c r="K1716" s="17"/>
      <c r="N1716" s="17"/>
    </row>
    <row r="1717">
      <c r="B1717" s="11">
        <f>IFERROR(__xludf.DUMMYFUNCTION("""COMPUTED_VALUE"""),43622.0)</f>
        <v>43622</v>
      </c>
      <c r="C1717" s="9">
        <f>IFERROR(__xludf.DUMMYFUNCTION("""COMPUTED_VALUE"""),2.12)</f>
        <v>2.12</v>
      </c>
      <c r="H1717" s="17"/>
      <c r="K1717" s="17"/>
      <c r="N1717" s="17"/>
    </row>
    <row r="1718">
      <c r="B1718" s="11">
        <f>IFERROR(__xludf.DUMMYFUNCTION("""COMPUTED_VALUE"""),43621.0)</f>
        <v>43621</v>
      </c>
      <c r="C1718" s="9">
        <f>IFERROR(__xludf.DUMMYFUNCTION("""COMPUTED_VALUE"""),2.12)</f>
        <v>2.12</v>
      </c>
      <c r="H1718" s="17"/>
      <c r="K1718" s="17"/>
      <c r="N1718" s="17"/>
    </row>
    <row r="1719">
      <c r="B1719" s="11">
        <f>IFERROR(__xludf.DUMMYFUNCTION("""COMPUTED_VALUE"""),43620.0)</f>
        <v>43620</v>
      </c>
      <c r="C1719" s="9">
        <f>IFERROR(__xludf.DUMMYFUNCTION("""COMPUTED_VALUE"""),2.12)</f>
        <v>2.12</v>
      </c>
      <c r="H1719" s="17"/>
      <c r="K1719" s="17"/>
      <c r="N1719" s="17"/>
    </row>
    <row r="1720">
      <c r="B1720" s="11">
        <f>IFERROR(__xludf.DUMMYFUNCTION("""COMPUTED_VALUE"""),43619.0)</f>
        <v>43619</v>
      </c>
      <c r="C1720" s="9">
        <f>IFERROR(__xludf.DUMMYFUNCTION("""COMPUTED_VALUE"""),2.07)</f>
        <v>2.07</v>
      </c>
      <c r="H1720" s="17"/>
      <c r="K1720" s="17"/>
      <c r="N1720" s="17"/>
    </row>
    <row r="1721">
      <c r="B1721" s="11">
        <f>IFERROR(__xludf.DUMMYFUNCTION("""COMPUTED_VALUE"""),43616.0)</f>
        <v>43616</v>
      </c>
      <c r="C1721" s="9">
        <f>IFERROR(__xludf.DUMMYFUNCTION("""COMPUTED_VALUE"""),2.14)</f>
        <v>2.14</v>
      </c>
      <c r="H1721" s="17"/>
      <c r="K1721" s="17"/>
      <c r="N1721" s="17"/>
    </row>
    <row r="1722">
      <c r="B1722" s="11">
        <f>IFERROR(__xludf.DUMMYFUNCTION("""COMPUTED_VALUE"""),43615.0)</f>
        <v>43615</v>
      </c>
      <c r="C1722" s="9">
        <f>IFERROR(__xludf.DUMMYFUNCTION("""COMPUTED_VALUE"""),2.22)</f>
        <v>2.22</v>
      </c>
      <c r="H1722" s="17"/>
      <c r="K1722" s="17"/>
      <c r="N1722" s="17"/>
    </row>
    <row r="1723">
      <c r="B1723" s="11">
        <f>IFERROR(__xludf.DUMMYFUNCTION("""COMPUTED_VALUE"""),43614.0)</f>
        <v>43614</v>
      </c>
      <c r="C1723" s="9">
        <f>IFERROR(__xludf.DUMMYFUNCTION("""COMPUTED_VALUE"""),2.25)</f>
        <v>2.25</v>
      </c>
      <c r="H1723" s="17"/>
      <c r="K1723" s="17"/>
      <c r="N1723" s="17"/>
    </row>
    <row r="1724">
      <c r="B1724" s="11">
        <f>IFERROR(__xludf.DUMMYFUNCTION("""COMPUTED_VALUE"""),43613.0)</f>
        <v>43613</v>
      </c>
      <c r="C1724" s="9">
        <f>IFERROR(__xludf.DUMMYFUNCTION("""COMPUTED_VALUE"""),2.26)</f>
        <v>2.26</v>
      </c>
      <c r="H1724" s="17"/>
      <c r="K1724" s="17"/>
      <c r="N1724" s="17"/>
    </row>
    <row r="1725">
      <c r="B1725" s="11">
        <f>IFERROR(__xludf.DUMMYFUNCTION("""COMPUTED_VALUE"""),43612.0)</f>
        <v>43612</v>
      </c>
      <c r="C1725" s="9"/>
      <c r="H1725" s="17"/>
      <c r="K1725" s="17"/>
      <c r="N1725" s="17"/>
    </row>
    <row r="1726">
      <c r="B1726" s="11">
        <f>IFERROR(__xludf.DUMMYFUNCTION("""COMPUTED_VALUE"""),43609.0)</f>
        <v>43609</v>
      </c>
      <c r="C1726" s="9">
        <f>IFERROR(__xludf.DUMMYFUNCTION("""COMPUTED_VALUE"""),2.32)</f>
        <v>2.32</v>
      </c>
      <c r="H1726" s="17"/>
      <c r="K1726" s="17"/>
      <c r="N1726" s="17"/>
    </row>
    <row r="1727">
      <c r="B1727" s="11">
        <f>IFERROR(__xludf.DUMMYFUNCTION("""COMPUTED_VALUE"""),43608.0)</f>
        <v>43608</v>
      </c>
      <c r="C1727" s="9">
        <f>IFERROR(__xludf.DUMMYFUNCTION("""COMPUTED_VALUE"""),2.31)</f>
        <v>2.31</v>
      </c>
      <c r="H1727" s="17"/>
      <c r="K1727" s="17"/>
      <c r="N1727" s="17"/>
    </row>
    <row r="1728">
      <c r="B1728" s="11">
        <f>IFERROR(__xludf.DUMMYFUNCTION("""COMPUTED_VALUE"""),43607.0)</f>
        <v>43607</v>
      </c>
      <c r="C1728" s="9">
        <f>IFERROR(__xludf.DUMMYFUNCTION("""COMPUTED_VALUE"""),2.39)</f>
        <v>2.39</v>
      </c>
      <c r="H1728" s="17"/>
      <c r="K1728" s="17"/>
      <c r="N1728" s="17"/>
    </row>
    <row r="1729">
      <c r="B1729" s="11">
        <f>IFERROR(__xludf.DUMMYFUNCTION("""COMPUTED_VALUE"""),43606.0)</f>
        <v>43606</v>
      </c>
      <c r="C1729" s="9">
        <f>IFERROR(__xludf.DUMMYFUNCTION("""COMPUTED_VALUE"""),2.43)</f>
        <v>2.43</v>
      </c>
      <c r="H1729" s="17"/>
      <c r="K1729" s="17"/>
      <c r="N1729" s="17"/>
    </row>
    <row r="1730">
      <c r="B1730" s="11">
        <f>IFERROR(__xludf.DUMMYFUNCTION("""COMPUTED_VALUE"""),43605.0)</f>
        <v>43605</v>
      </c>
      <c r="C1730" s="9">
        <f>IFERROR(__xludf.DUMMYFUNCTION("""COMPUTED_VALUE"""),2.41)</f>
        <v>2.41</v>
      </c>
      <c r="H1730" s="17"/>
      <c r="K1730" s="17"/>
      <c r="N1730" s="17"/>
    </row>
    <row r="1731">
      <c r="B1731" s="11">
        <f>IFERROR(__xludf.DUMMYFUNCTION("""COMPUTED_VALUE"""),43602.0)</f>
        <v>43602</v>
      </c>
      <c r="C1731" s="9">
        <f>IFERROR(__xludf.DUMMYFUNCTION("""COMPUTED_VALUE"""),2.39)</f>
        <v>2.39</v>
      </c>
      <c r="H1731" s="17"/>
      <c r="K1731" s="17"/>
      <c r="N1731" s="17"/>
    </row>
    <row r="1732">
      <c r="B1732" s="11">
        <f>IFERROR(__xludf.DUMMYFUNCTION("""COMPUTED_VALUE"""),43601.0)</f>
        <v>43601</v>
      </c>
      <c r="C1732" s="9">
        <f>IFERROR(__xludf.DUMMYFUNCTION("""COMPUTED_VALUE"""),2.4)</f>
        <v>2.4</v>
      </c>
      <c r="H1732" s="17"/>
      <c r="K1732" s="17"/>
      <c r="N1732" s="17"/>
    </row>
    <row r="1733">
      <c r="B1733" s="11">
        <f>IFERROR(__xludf.DUMMYFUNCTION("""COMPUTED_VALUE"""),43600.0)</f>
        <v>43600</v>
      </c>
      <c r="C1733" s="9">
        <f>IFERROR(__xludf.DUMMYFUNCTION("""COMPUTED_VALUE"""),2.37)</f>
        <v>2.37</v>
      </c>
      <c r="H1733" s="17"/>
      <c r="K1733" s="17"/>
      <c r="N1733" s="17"/>
    </row>
    <row r="1734">
      <c r="B1734" s="11">
        <f>IFERROR(__xludf.DUMMYFUNCTION("""COMPUTED_VALUE"""),43599.0)</f>
        <v>43599</v>
      </c>
      <c r="C1734" s="9">
        <f>IFERROR(__xludf.DUMMYFUNCTION("""COMPUTED_VALUE"""),2.42)</f>
        <v>2.42</v>
      </c>
      <c r="H1734" s="17"/>
      <c r="K1734" s="17"/>
      <c r="N1734" s="17"/>
    </row>
    <row r="1735">
      <c r="B1735" s="11">
        <f>IFERROR(__xludf.DUMMYFUNCTION("""COMPUTED_VALUE"""),43598.0)</f>
        <v>43598</v>
      </c>
      <c r="C1735" s="9">
        <f>IFERROR(__xludf.DUMMYFUNCTION("""COMPUTED_VALUE"""),2.4)</f>
        <v>2.4</v>
      </c>
      <c r="H1735" s="17"/>
      <c r="K1735" s="17"/>
      <c r="N1735" s="17"/>
    </row>
    <row r="1736">
      <c r="B1736" s="11">
        <f>IFERROR(__xludf.DUMMYFUNCTION("""COMPUTED_VALUE"""),43595.0)</f>
        <v>43595</v>
      </c>
      <c r="C1736" s="9">
        <f>IFERROR(__xludf.DUMMYFUNCTION("""COMPUTED_VALUE"""),2.47)</f>
        <v>2.47</v>
      </c>
      <c r="H1736" s="17"/>
      <c r="K1736" s="17"/>
      <c r="N1736" s="17"/>
    </row>
    <row r="1737">
      <c r="B1737" s="11">
        <f>IFERROR(__xludf.DUMMYFUNCTION("""COMPUTED_VALUE"""),43594.0)</f>
        <v>43594</v>
      </c>
      <c r="C1737" s="9">
        <f>IFERROR(__xludf.DUMMYFUNCTION("""COMPUTED_VALUE"""),2.45)</f>
        <v>2.45</v>
      </c>
      <c r="H1737" s="17"/>
      <c r="K1737" s="17"/>
      <c r="N1737" s="17"/>
    </row>
    <row r="1738">
      <c r="B1738" s="11">
        <f>IFERROR(__xludf.DUMMYFUNCTION("""COMPUTED_VALUE"""),43593.0)</f>
        <v>43593</v>
      </c>
      <c r="C1738" s="9">
        <f>IFERROR(__xludf.DUMMYFUNCTION("""COMPUTED_VALUE"""),2.49)</f>
        <v>2.49</v>
      </c>
      <c r="H1738" s="17"/>
      <c r="K1738" s="17"/>
      <c r="N1738" s="17"/>
    </row>
    <row r="1739">
      <c r="B1739" s="11">
        <f>IFERROR(__xludf.DUMMYFUNCTION("""COMPUTED_VALUE"""),43592.0)</f>
        <v>43592</v>
      </c>
      <c r="C1739" s="9">
        <f>IFERROR(__xludf.DUMMYFUNCTION("""COMPUTED_VALUE"""),2.45)</f>
        <v>2.45</v>
      </c>
      <c r="H1739" s="17"/>
      <c r="K1739" s="17"/>
      <c r="N1739" s="17"/>
    </row>
    <row r="1740">
      <c r="B1740" s="11">
        <f>IFERROR(__xludf.DUMMYFUNCTION("""COMPUTED_VALUE"""),43591.0)</f>
        <v>43591</v>
      </c>
      <c r="C1740" s="9">
        <f>IFERROR(__xludf.DUMMYFUNCTION("""COMPUTED_VALUE"""),2.51)</f>
        <v>2.51</v>
      </c>
      <c r="H1740" s="17"/>
      <c r="K1740" s="17"/>
      <c r="N1740" s="17"/>
    </row>
    <row r="1741">
      <c r="B1741" s="11">
        <f>IFERROR(__xludf.DUMMYFUNCTION("""COMPUTED_VALUE"""),43588.0)</f>
        <v>43588</v>
      </c>
      <c r="C1741" s="9">
        <f>IFERROR(__xludf.DUMMYFUNCTION("""COMPUTED_VALUE"""),2.54)</f>
        <v>2.54</v>
      </c>
      <c r="H1741" s="17"/>
      <c r="K1741" s="17"/>
      <c r="N1741" s="17"/>
    </row>
    <row r="1742">
      <c r="B1742" s="11">
        <f>IFERROR(__xludf.DUMMYFUNCTION("""COMPUTED_VALUE"""),43587.0)</f>
        <v>43587</v>
      </c>
      <c r="C1742" s="9">
        <f>IFERROR(__xludf.DUMMYFUNCTION("""COMPUTED_VALUE"""),2.55)</f>
        <v>2.55</v>
      </c>
      <c r="H1742" s="17"/>
      <c r="K1742" s="17"/>
      <c r="N1742" s="17"/>
    </row>
    <row r="1743">
      <c r="B1743" s="11">
        <f>IFERROR(__xludf.DUMMYFUNCTION("""COMPUTED_VALUE"""),43586.0)</f>
        <v>43586</v>
      </c>
      <c r="C1743" s="9">
        <f>IFERROR(__xludf.DUMMYFUNCTION("""COMPUTED_VALUE"""),2.52)</f>
        <v>2.52</v>
      </c>
      <c r="H1743" s="17"/>
      <c r="K1743" s="17"/>
      <c r="N1743" s="17"/>
    </row>
    <row r="1744">
      <c r="B1744" s="11">
        <f>IFERROR(__xludf.DUMMYFUNCTION("""COMPUTED_VALUE"""),43585.0)</f>
        <v>43585</v>
      </c>
      <c r="C1744" s="9">
        <f>IFERROR(__xludf.DUMMYFUNCTION("""COMPUTED_VALUE"""),2.51)</f>
        <v>2.51</v>
      </c>
      <c r="H1744" s="17"/>
      <c r="K1744" s="17"/>
      <c r="N1744" s="17"/>
    </row>
    <row r="1745">
      <c r="B1745" s="11">
        <f>IFERROR(__xludf.DUMMYFUNCTION("""COMPUTED_VALUE"""),43584.0)</f>
        <v>43584</v>
      </c>
      <c r="C1745" s="9">
        <f>IFERROR(__xludf.DUMMYFUNCTION("""COMPUTED_VALUE"""),2.54)</f>
        <v>2.54</v>
      </c>
      <c r="H1745" s="17"/>
      <c r="K1745" s="17"/>
      <c r="N1745" s="17"/>
    </row>
    <row r="1746">
      <c r="B1746" s="11">
        <f>IFERROR(__xludf.DUMMYFUNCTION("""COMPUTED_VALUE"""),43581.0)</f>
        <v>43581</v>
      </c>
      <c r="C1746" s="9">
        <f>IFERROR(__xludf.DUMMYFUNCTION("""COMPUTED_VALUE"""),2.51)</f>
        <v>2.51</v>
      </c>
      <c r="H1746" s="17"/>
      <c r="K1746" s="17"/>
      <c r="N1746" s="17"/>
    </row>
    <row r="1747">
      <c r="B1747" s="11">
        <f>IFERROR(__xludf.DUMMYFUNCTION("""COMPUTED_VALUE"""),43580.0)</f>
        <v>43580</v>
      </c>
      <c r="C1747" s="9">
        <f>IFERROR(__xludf.DUMMYFUNCTION("""COMPUTED_VALUE"""),2.54)</f>
        <v>2.54</v>
      </c>
      <c r="H1747" s="17"/>
      <c r="K1747" s="17"/>
      <c r="N1747" s="17"/>
    </row>
    <row r="1748">
      <c r="B1748" s="11">
        <f>IFERROR(__xludf.DUMMYFUNCTION("""COMPUTED_VALUE"""),43579.0)</f>
        <v>43579</v>
      </c>
      <c r="C1748" s="9">
        <f>IFERROR(__xludf.DUMMYFUNCTION("""COMPUTED_VALUE"""),2.53)</f>
        <v>2.53</v>
      </c>
      <c r="H1748" s="17"/>
      <c r="K1748" s="17"/>
      <c r="N1748" s="17"/>
    </row>
    <row r="1749">
      <c r="B1749" s="11">
        <f>IFERROR(__xludf.DUMMYFUNCTION("""COMPUTED_VALUE"""),43578.0)</f>
        <v>43578</v>
      </c>
      <c r="C1749" s="9">
        <f>IFERROR(__xludf.DUMMYFUNCTION("""COMPUTED_VALUE"""),2.57)</f>
        <v>2.57</v>
      </c>
      <c r="H1749" s="17"/>
      <c r="K1749" s="17"/>
      <c r="N1749" s="17"/>
    </row>
    <row r="1750">
      <c r="B1750" s="11">
        <f>IFERROR(__xludf.DUMMYFUNCTION("""COMPUTED_VALUE"""),43577.0)</f>
        <v>43577</v>
      </c>
      <c r="C1750" s="9">
        <f>IFERROR(__xludf.DUMMYFUNCTION("""COMPUTED_VALUE"""),2.59)</f>
        <v>2.59</v>
      </c>
      <c r="H1750" s="17"/>
      <c r="K1750" s="17"/>
      <c r="N1750" s="17"/>
    </row>
    <row r="1751">
      <c r="B1751" s="11">
        <f>IFERROR(__xludf.DUMMYFUNCTION("""COMPUTED_VALUE"""),43574.0)</f>
        <v>43574</v>
      </c>
      <c r="C1751" s="9"/>
      <c r="H1751" s="17"/>
      <c r="K1751" s="17"/>
      <c r="N1751" s="17"/>
    </row>
    <row r="1752">
      <c r="B1752" s="11">
        <f>IFERROR(__xludf.DUMMYFUNCTION("""COMPUTED_VALUE"""),43573.0)</f>
        <v>43573</v>
      </c>
      <c r="C1752" s="9">
        <f>IFERROR(__xludf.DUMMYFUNCTION("""COMPUTED_VALUE"""),2.57)</f>
        <v>2.57</v>
      </c>
      <c r="H1752" s="17"/>
      <c r="K1752" s="17"/>
      <c r="N1752" s="17"/>
    </row>
    <row r="1753">
      <c r="B1753" s="11">
        <f>IFERROR(__xludf.DUMMYFUNCTION("""COMPUTED_VALUE"""),43572.0)</f>
        <v>43572</v>
      </c>
      <c r="C1753" s="9">
        <f>IFERROR(__xludf.DUMMYFUNCTION("""COMPUTED_VALUE"""),2.59)</f>
        <v>2.59</v>
      </c>
      <c r="H1753" s="17"/>
      <c r="K1753" s="17"/>
      <c r="N1753" s="17"/>
    </row>
    <row r="1754">
      <c r="B1754" s="11">
        <f>IFERROR(__xludf.DUMMYFUNCTION("""COMPUTED_VALUE"""),43571.0)</f>
        <v>43571</v>
      </c>
      <c r="C1754" s="9">
        <f>IFERROR(__xludf.DUMMYFUNCTION("""COMPUTED_VALUE"""),2.6)</f>
        <v>2.6</v>
      </c>
      <c r="H1754" s="17"/>
      <c r="K1754" s="17"/>
      <c r="N1754" s="17"/>
    </row>
    <row r="1755">
      <c r="B1755" s="11">
        <f>IFERROR(__xludf.DUMMYFUNCTION("""COMPUTED_VALUE"""),43570.0)</f>
        <v>43570</v>
      </c>
      <c r="C1755" s="9">
        <f>IFERROR(__xludf.DUMMYFUNCTION("""COMPUTED_VALUE"""),2.55)</f>
        <v>2.55</v>
      </c>
      <c r="H1755" s="17"/>
      <c r="K1755" s="17"/>
      <c r="N1755" s="17"/>
    </row>
    <row r="1756">
      <c r="B1756" s="11">
        <f>IFERROR(__xludf.DUMMYFUNCTION("""COMPUTED_VALUE"""),43567.0)</f>
        <v>43567</v>
      </c>
      <c r="C1756" s="9">
        <f>IFERROR(__xludf.DUMMYFUNCTION("""COMPUTED_VALUE"""),2.56)</f>
        <v>2.56</v>
      </c>
      <c r="H1756" s="17"/>
      <c r="K1756" s="17"/>
      <c r="N1756" s="17"/>
    </row>
    <row r="1757">
      <c r="B1757" s="11">
        <f>IFERROR(__xludf.DUMMYFUNCTION("""COMPUTED_VALUE"""),43566.0)</f>
        <v>43566</v>
      </c>
      <c r="C1757" s="9">
        <f>IFERROR(__xludf.DUMMYFUNCTION("""COMPUTED_VALUE"""),2.51)</f>
        <v>2.51</v>
      </c>
      <c r="H1757" s="17"/>
      <c r="K1757" s="17"/>
      <c r="N1757" s="17"/>
    </row>
    <row r="1758">
      <c r="B1758" s="11">
        <f>IFERROR(__xludf.DUMMYFUNCTION("""COMPUTED_VALUE"""),43565.0)</f>
        <v>43565</v>
      </c>
      <c r="C1758" s="9">
        <f>IFERROR(__xludf.DUMMYFUNCTION("""COMPUTED_VALUE"""),2.48)</f>
        <v>2.48</v>
      </c>
      <c r="H1758" s="17"/>
      <c r="K1758" s="17"/>
      <c r="N1758" s="17"/>
    </row>
    <row r="1759">
      <c r="B1759" s="11">
        <f>IFERROR(__xludf.DUMMYFUNCTION("""COMPUTED_VALUE"""),43564.0)</f>
        <v>43564</v>
      </c>
      <c r="C1759" s="9">
        <f>IFERROR(__xludf.DUMMYFUNCTION("""COMPUTED_VALUE"""),2.51)</f>
        <v>2.51</v>
      </c>
      <c r="H1759" s="17"/>
      <c r="K1759" s="17"/>
      <c r="N1759" s="17"/>
    </row>
    <row r="1760">
      <c r="B1760" s="11">
        <f>IFERROR(__xludf.DUMMYFUNCTION("""COMPUTED_VALUE"""),43563.0)</f>
        <v>43563</v>
      </c>
      <c r="C1760" s="9">
        <f>IFERROR(__xludf.DUMMYFUNCTION("""COMPUTED_VALUE"""),2.52)</f>
        <v>2.52</v>
      </c>
      <c r="H1760" s="17"/>
      <c r="K1760" s="17"/>
      <c r="N1760" s="17"/>
    </row>
    <row r="1761">
      <c r="B1761" s="11">
        <f>IFERROR(__xludf.DUMMYFUNCTION("""COMPUTED_VALUE"""),43560.0)</f>
        <v>43560</v>
      </c>
      <c r="C1761" s="9">
        <f>IFERROR(__xludf.DUMMYFUNCTION("""COMPUTED_VALUE"""),2.5)</f>
        <v>2.5</v>
      </c>
      <c r="H1761" s="17"/>
      <c r="K1761" s="17"/>
      <c r="N1761" s="17"/>
    </row>
    <row r="1762">
      <c r="B1762" s="11">
        <f>IFERROR(__xludf.DUMMYFUNCTION("""COMPUTED_VALUE"""),43559.0)</f>
        <v>43559</v>
      </c>
      <c r="C1762" s="9">
        <f>IFERROR(__xludf.DUMMYFUNCTION("""COMPUTED_VALUE"""),2.51)</f>
        <v>2.51</v>
      </c>
      <c r="H1762" s="17"/>
      <c r="K1762" s="17"/>
      <c r="N1762" s="17"/>
    </row>
    <row r="1763">
      <c r="B1763" s="11">
        <f>IFERROR(__xludf.DUMMYFUNCTION("""COMPUTED_VALUE"""),43558.0)</f>
        <v>43558</v>
      </c>
      <c r="C1763" s="9">
        <f>IFERROR(__xludf.DUMMYFUNCTION("""COMPUTED_VALUE"""),2.52)</f>
        <v>2.52</v>
      </c>
      <c r="H1763" s="17"/>
      <c r="K1763" s="17"/>
      <c r="N1763" s="17"/>
    </row>
    <row r="1764">
      <c r="B1764" s="11">
        <f>IFERROR(__xludf.DUMMYFUNCTION("""COMPUTED_VALUE"""),43557.0)</f>
        <v>43557</v>
      </c>
      <c r="C1764" s="9">
        <f>IFERROR(__xludf.DUMMYFUNCTION("""COMPUTED_VALUE"""),2.48)</f>
        <v>2.48</v>
      </c>
      <c r="H1764" s="17"/>
      <c r="K1764" s="17"/>
      <c r="N1764" s="17"/>
    </row>
    <row r="1765">
      <c r="B1765" s="11">
        <f>IFERROR(__xludf.DUMMYFUNCTION("""COMPUTED_VALUE"""),43556.0)</f>
        <v>43556</v>
      </c>
      <c r="C1765" s="9">
        <f>IFERROR(__xludf.DUMMYFUNCTION("""COMPUTED_VALUE"""),2.49)</f>
        <v>2.49</v>
      </c>
      <c r="H1765" s="17"/>
      <c r="K1765" s="17"/>
      <c r="N1765" s="17"/>
    </row>
    <row r="1766">
      <c r="B1766" s="11">
        <f>IFERROR(__xludf.DUMMYFUNCTION("""COMPUTED_VALUE"""),43553.0)</f>
        <v>43553</v>
      </c>
      <c r="C1766" s="9">
        <f>IFERROR(__xludf.DUMMYFUNCTION("""COMPUTED_VALUE"""),2.41)</f>
        <v>2.41</v>
      </c>
      <c r="H1766" s="17"/>
      <c r="K1766" s="17"/>
      <c r="N1766" s="17"/>
    </row>
    <row r="1767">
      <c r="B1767" s="11">
        <f>IFERROR(__xludf.DUMMYFUNCTION("""COMPUTED_VALUE"""),43552.0)</f>
        <v>43552</v>
      </c>
      <c r="C1767" s="9">
        <f>IFERROR(__xludf.DUMMYFUNCTION("""COMPUTED_VALUE"""),2.39)</f>
        <v>2.39</v>
      </c>
      <c r="H1767" s="17"/>
      <c r="K1767" s="17"/>
      <c r="N1767" s="17"/>
    </row>
    <row r="1768">
      <c r="B1768" s="11">
        <f>IFERROR(__xludf.DUMMYFUNCTION("""COMPUTED_VALUE"""),43551.0)</f>
        <v>43551</v>
      </c>
      <c r="C1768" s="9">
        <f>IFERROR(__xludf.DUMMYFUNCTION("""COMPUTED_VALUE"""),2.39)</f>
        <v>2.39</v>
      </c>
      <c r="H1768" s="17"/>
      <c r="K1768" s="17"/>
      <c r="N1768" s="17"/>
    </row>
    <row r="1769">
      <c r="B1769" s="11">
        <f>IFERROR(__xludf.DUMMYFUNCTION("""COMPUTED_VALUE"""),43550.0)</f>
        <v>43550</v>
      </c>
      <c r="C1769" s="9">
        <f>IFERROR(__xludf.DUMMYFUNCTION("""COMPUTED_VALUE"""),2.41)</f>
        <v>2.41</v>
      </c>
      <c r="H1769" s="17"/>
      <c r="K1769" s="17"/>
      <c r="N1769" s="17"/>
    </row>
    <row r="1770">
      <c r="B1770" s="11">
        <f>IFERROR(__xludf.DUMMYFUNCTION("""COMPUTED_VALUE"""),43549.0)</f>
        <v>43549</v>
      </c>
      <c r="C1770" s="9">
        <f>IFERROR(__xludf.DUMMYFUNCTION("""COMPUTED_VALUE"""),2.43)</f>
        <v>2.43</v>
      </c>
      <c r="H1770" s="17"/>
      <c r="K1770" s="17"/>
      <c r="N1770" s="17"/>
    </row>
    <row r="1771">
      <c r="B1771" s="11">
        <f>IFERROR(__xludf.DUMMYFUNCTION("""COMPUTED_VALUE"""),43546.0)</f>
        <v>43546</v>
      </c>
      <c r="C1771" s="9">
        <f>IFERROR(__xludf.DUMMYFUNCTION("""COMPUTED_VALUE"""),2.44)</f>
        <v>2.44</v>
      </c>
      <c r="H1771" s="17"/>
      <c r="K1771" s="17"/>
      <c r="N1771" s="17"/>
    </row>
    <row r="1772">
      <c r="B1772" s="11">
        <f>IFERROR(__xludf.DUMMYFUNCTION("""COMPUTED_VALUE"""),43545.0)</f>
        <v>43545</v>
      </c>
      <c r="C1772" s="9">
        <f>IFERROR(__xludf.DUMMYFUNCTION("""COMPUTED_VALUE"""),2.54)</f>
        <v>2.54</v>
      </c>
      <c r="H1772" s="17"/>
      <c r="K1772" s="17"/>
      <c r="N1772" s="17"/>
    </row>
    <row r="1773">
      <c r="B1773" s="11">
        <f>IFERROR(__xludf.DUMMYFUNCTION("""COMPUTED_VALUE"""),43544.0)</f>
        <v>43544</v>
      </c>
      <c r="C1773" s="9">
        <f>IFERROR(__xludf.DUMMYFUNCTION("""COMPUTED_VALUE"""),2.54)</f>
        <v>2.54</v>
      </c>
      <c r="H1773" s="17"/>
      <c r="K1773" s="17"/>
      <c r="N1773" s="17"/>
    </row>
    <row r="1774">
      <c r="B1774" s="11">
        <f>IFERROR(__xludf.DUMMYFUNCTION("""COMPUTED_VALUE"""),43543.0)</f>
        <v>43543</v>
      </c>
      <c r="C1774" s="9">
        <f>IFERROR(__xludf.DUMMYFUNCTION("""COMPUTED_VALUE"""),2.61)</f>
        <v>2.61</v>
      </c>
      <c r="H1774" s="17"/>
      <c r="K1774" s="17"/>
      <c r="N1774" s="17"/>
    </row>
    <row r="1775">
      <c r="B1775" s="11">
        <f>IFERROR(__xludf.DUMMYFUNCTION("""COMPUTED_VALUE"""),43542.0)</f>
        <v>43542</v>
      </c>
      <c r="C1775" s="9">
        <f>IFERROR(__xludf.DUMMYFUNCTION("""COMPUTED_VALUE"""),2.6)</f>
        <v>2.6</v>
      </c>
      <c r="H1775" s="17"/>
      <c r="K1775" s="17"/>
      <c r="N1775" s="17"/>
    </row>
    <row r="1776">
      <c r="B1776" s="11">
        <f>IFERROR(__xludf.DUMMYFUNCTION("""COMPUTED_VALUE"""),43539.0)</f>
        <v>43539</v>
      </c>
      <c r="C1776" s="9">
        <f>IFERROR(__xludf.DUMMYFUNCTION("""COMPUTED_VALUE"""),2.59)</f>
        <v>2.59</v>
      </c>
      <c r="H1776" s="17"/>
      <c r="K1776" s="17"/>
      <c r="N1776" s="17"/>
    </row>
    <row r="1777">
      <c r="B1777" s="11">
        <f>IFERROR(__xludf.DUMMYFUNCTION("""COMPUTED_VALUE"""),43538.0)</f>
        <v>43538</v>
      </c>
      <c r="C1777" s="9">
        <f>IFERROR(__xludf.DUMMYFUNCTION("""COMPUTED_VALUE"""),2.63)</f>
        <v>2.63</v>
      </c>
      <c r="H1777" s="17"/>
      <c r="K1777" s="17"/>
      <c r="N1777" s="17"/>
    </row>
    <row r="1778">
      <c r="B1778" s="11">
        <f>IFERROR(__xludf.DUMMYFUNCTION("""COMPUTED_VALUE"""),43537.0)</f>
        <v>43537</v>
      </c>
      <c r="C1778" s="9">
        <f>IFERROR(__xludf.DUMMYFUNCTION("""COMPUTED_VALUE"""),2.61)</f>
        <v>2.61</v>
      </c>
      <c r="H1778" s="17"/>
      <c r="K1778" s="17"/>
      <c r="N1778" s="17"/>
    </row>
    <row r="1779">
      <c r="B1779" s="11">
        <f>IFERROR(__xludf.DUMMYFUNCTION("""COMPUTED_VALUE"""),43536.0)</f>
        <v>43536</v>
      </c>
      <c r="C1779" s="9">
        <f>IFERROR(__xludf.DUMMYFUNCTION("""COMPUTED_VALUE"""),2.61)</f>
        <v>2.61</v>
      </c>
      <c r="H1779" s="17"/>
      <c r="K1779" s="17"/>
      <c r="N1779" s="17"/>
    </row>
    <row r="1780">
      <c r="B1780" s="11">
        <f>IFERROR(__xludf.DUMMYFUNCTION("""COMPUTED_VALUE"""),43535.0)</f>
        <v>43535</v>
      </c>
      <c r="C1780" s="9">
        <f>IFERROR(__xludf.DUMMYFUNCTION("""COMPUTED_VALUE"""),2.64)</f>
        <v>2.64</v>
      </c>
      <c r="H1780" s="17"/>
      <c r="K1780" s="17"/>
      <c r="N1780" s="17"/>
    </row>
    <row r="1781">
      <c r="B1781" s="11">
        <f>IFERROR(__xludf.DUMMYFUNCTION("""COMPUTED_VALUE"""),43532.0)</f>
        <v>43532</v>
      </c>
      <c r="C1781" s="9">
        <f>IFERROR(__xludf.DUMMYFUNCTION("""COMPUTED_VALUE"""),2.62)</f>
        <v>2.62</v>
      </c>
      <c r="H1781" s="17"/>
      <c r="K1781" s="17"/>
      <c r="N1781" s="17"/>
    </row>
    <row r="1782">
      <c r="B1782" s="11">
        <f>IFERROR(__xludf.DUMMYFUNCTION("""COMPUTED_VALUE"""),43531.0)</f>
        <v>43531</v>
      </c>
      <c r="C1782" s="9">
        <f>IFERROR(__xludf.DUMMYFUNCTION("""COMPUTED_VALUE"""),2.64)</f>
        <v>2.64</v>
      </c>
      <c r="H1782" s="17"/>
      <c r="K1782" s="17"/>
      <c r="N1782" s="17"/>
    </row>
    <row r="1783">
      <c r="B1783" s="11">
        <f>IFERROR(__xludf.DUMMYFUNCTION("""COMPUTED_VALUE"""),43530.0)</f>
        <v>43530</v>
      </c>
      <c r="C1783" s="9">
        <f>IFERROR(__xludf.DUMMYFUNCTION("""COMPUTED_VALUE"""),2.69)</f>
        <v>2.69</v>
      </c>
      <c r="H1783" s="17"/>
      <c r="K1783" s="17"/>
      <c r="N1783" s="17"/>
    </row>
    <row r="1784">
      <c r="B1784" s="11">
        <f>IFERROR(__xludf.DUMMYFUNCTION("""COMPUTED_VALUE"""),43529.0)</f>
        <v>43529</v>
      </c>
      <c r="C1784" s="9">
        <f>IFERROR(__xludf.DUMMYFUNCTION("""COMPUTED_VALUE"""),2.72)</f>
        <v>2.72</v>
      </c>
      <c r="H1784" s="17"/>
      <c r="K1784" s="17"/>
      <c r="N1784" s="17"/>
    </row>
    <row r="1785">
      <c r="B1785" s="11">
        <f>IFERROR(__xludf.DUMMYFUNCTION("""COMPUTED_VALUE"""),43528.0)</f>
        <v>43528</v>
      </c>
      <c r="C1785" s="9">
        <f>IFERROR(__xludf.DUMMYFUNCTION("""COMPUTED_VALUE"""),2.72)</f>
        <v>2.72</v>
      </c>
      <c r="H1785" s="17"/>
      <c r="K1785" s="17"/>
      <c r="N1785" s="17"/>
    </row>
    <row r="1786">
      <c r="B1786" s="11">
        <f>IFERROR(__xludf.DUMMYFUNCTION("""COMPUTED_VALUE"""),43525.0)</f>
        <v>43525</v>
      </c>
      <c r="C1786" s="9">
        <f>IFERROR(__xludf.DUMMYFUNCTION("""COMPUTED_VALUE"""),2.76)</f>
        <v>2.76</v>
      </c>
      <c r="H1786" s="17"/>
      <c r="K1786" s="17"/>
      <c r="N1786" s="17"/>
    </row>
    <row r="1787">
      <c r="B1787" s="11">
        <f>IFERROR(__xludf.DUMMYFUNCTION("""COMPUTED_VALUE"""),43524.0)</f>
        <v>43524</v>
      </c>
      <c r="C1787" s="9">
        <f>IFERROR(__xludf.DUMMYFUNCTION("""COMPUTED_VALUE"""),2.73)</f>
        <v>2.73</v>
      </c>
      <c r="H1787" s="17"/>
      <c r="K1787" s="17"/>
      <c r="N1787" s="17"/>
    </row>
    <row r="1788">
      <c r="B1788" s="11">
        <f>IFERROR(__xludf.DUMMYFUNCTION("""COMPUTED_VALUE"""),43523.0)</f>
        <v>43523</v>
      </c>
      <c r="C1788" s="9">
        <f>IFERROR(__xludf.DUMMYFUNCTION("""COMPUTED_VALUE"""),2.69)</f>
        <v>2.69</v>
      </c>
      <c r="H1788" s="17"/>
      <c r="K1788" s="17"/>
      <c r="N1788" s="17"/>
    </row>
    <row r="1789">
      <c r="B1789" s="11">
        <f>IFERROR(__xludf.DUMMYFUNCTION("""COMPUTED_VALUE"""),43522.0)</f>
        <v>43522</v>
      </c>
      <c r="C1789" s="9">
        <f>IFERROR(__xludf.DUMMYFUNCTION("""COMPUTED_VALUE"""),2.64)</f>
        <v>2.64</v>
      </c>
      <c r="H1789" s="17"/>
      <c r="K1789" s="17"/>
      <c r="N1789" s="17"/>
    </row>
    <row r="1790">
      <c r="B1790" s="11">
        <f>IFERROR(__xludf.DUMMYFUNCTION("""COMPUTED_VALUE"""),43521.0)</f>
        <v>43521</v>
      </c>
      <c r="C1790" s="9">
        <f>IFERROR(__xludf.DUMMYFUNCTION("""COMPUTED_VALUE"""),2.67)</f>
        <v>2.67</v>
      </c>
      <c r="H1790" s="17"/>
      <c r="K1790" s="17"/>
      <c r="N1790" s="17"/>
    </row>
    <row r="1791">
      <c r="B1791" s="11">
        <f>IFERROR(__xludf.DUMMYFUNCTION("""COMPUTED_VALUE"""),43518.0)</f>
        <v>43518</v>
      </c>
      <c r="C1791" s="9">
        <f>IFERROR(__xludf.DUMMYFUNCTION("""COMPUTED_VALUE"""),2.65)</f>
        <v>2.65</v>
      </c>
      <c r="H1791" s="17"/>
      <c r="K1791" s="17"/>
      <c r="N1791" s="17"/>
    </row>
    <row r="1792">
      <c r="B1792" s="11">
        <f>IFERROR(__xludf.DUMMYFUNCTION("""COMPUTED_VALUE"""),43517.0)</f>
        <v>43517</v>
      </c>
      <c r="C1792" s="9">
        <f>IFERROR(__xludf.DUMMYFUNCTION("""COMPUTED_VALUE"""),2.69)</f>
        <v>2.69</v>
      </c>
      <c r="H1792" s="17"/>
      <c r="K1792" s="17"/>
      <c r="N1792" s="17"/>
    </row>
    <row r="1793">
      <c r="B1793" s="11">
        <f>IFERROR(__xludf.DUMMYFUNCTION("""COMPUTED_VALUE"""),43516.0)</f>
        <v>43516</v>
      </c>
      <c r="C1793" s="9">
        <f>IFERROR(__xludf.DUMMYFUNCTION("""COMPUTED_VALUE"""),2.65)</f>
        <v>2.65</v>
      </c>
      <c r="H1793" s="17"/>
      <c r="K1793" s="17"/>
      <c r="N1793" s="17"/>
    </row>
    <row r="1794">
      <c r="B1794" s="11">
        <f>IFERROR(__xludf.DUMMYFUNCTION("""COMPUTED_VALUE"""),43515.0)</f>
        <v>43515</v>
      </c>
      <c r="C1794" s="9">
        <f>IFERROR(__xludf.DUMMYFUNCTION("""COMPUTED_VALUE"""),2.65)</f>
        <v>2.65</v>
      </c>
      <c r="H1794" s="17"/>
      <c r="K1794" s="17"/>
      <c r="N1794" s="17"/>
    </row>
    <row r="1795">
      <c r="B1795" s="11">
        <f>IFERROR(__xludf.DUMMYFUNCTION("""COMPUTED_VALUE"""),43514.0)</f>
        <v>43514</v>
      </c>
      <c r="C1795" s="9"/>
      <c r="H1795" s="17"/>
      <c r="K1795" s="17"/>
      <c r="N1795" s="17"/>
    </row>
    <row r="1796">
      <c r="B1796" s="11">
        <f>IFERROR(__xludf.DUMMYFUNCTION("""COMPUTED_VALUE"""),43511.0)</f>
        <v>43511</v>
      </c>
      <c r="C1796" s="9">
        <f>IFERROR(__xludf.DUMMYFUNCTION("""COMPUTED_VALUE"""),2.66)</f>
        <v>2.66</v>
      </c>
      <c r="H1796" s="17"/>
      <c r="K1796" s="17"/>
      <c r="N1796" s="17"/>
    </row>
    <row r="1797">
      <c r="B1797" s="11">
        <f>IFERROR(__xludf.DUMMYFUNCTION("""COMPUTED_VALUE"""),43510.0)</f>
        <v>43510</v>
      </c>
      <c r="C1797" s="9">
        <f>IFERROR(__xludf.DUMMYFUNCTION("""COMPUTED_VALUE"""),2.66)</f>
        <v>2.66</v>
      </c>
      <c r="H1797" s="17"/>
      <c r="K1797" s="17"/>
      <c r="N1797" s="17"/>
    </row>
    <row r="1798">
      <c r="B1798" s="11">
        <f>IFERROR(__xludf.DUMMYFUNCTION("""COMPUTED_VALUE"""),43509.0)</f>
        <v>43509</v>
      </c>
      <c r="C1798" s="9">
        <f>IFERROR(__xludf.DUMMYFUNCTION("""COMPUTED_VALUE"""),2.71)</f>
        <v>2.71</v>
      </c>
      <c r="H1798" s="17"/>
      <c r="K1798" s="17"/>
      <c r="N1798" s="17"/>
    </row>
    <row r="1799">
      <c r="B1799" s="11">
        <f>IFERROR(__xludf.DUMMYFUNCTION("""COMPUTED_VALUE"""),43508.0)</f>
        <v>43508</v>
      </c>
      <c r="C1799" s="9">
        <f>IFERROR(__xludf.DUMMYFUNCTION("""COMPUTED_VALUE"""),2.68)</f>
        <v>2.68</v>
      </c>
      <c r="H1799" s="17"/>
      <c r="K1799" s="17"/>
      <c r="N1799" s="17"/>
    </row>
    <row r="1800">
      <c r="B1800" s="11">
        <f>IFERROR(__xludf.DUMMYFUNCTION("""COMPUTED_VALUE"""),43507.0)</f>
        <v>43507</v>
      </c>
      <c r="C1800" s="9">
        <f>IFERROR(__xludf.DUMMYFUNCTION("""COMPUTED_VALUE"""),2.65)</f>
        <v>2.65</v>
      </c>
      <c r="H1800" s="17"/>
      <c r="K1800" s="17"/>
      <c r="N1800" s="17"/>
    </row>
    <row r="1801">
      <c r="B1801" s="11">
        <f>IFERROR(__xludf.DUMMYFUNCTION("""COMPUTED_VALUE"""),43504.0)</f>
        <v>43504</v>
      </c>
      <c r="C1801" s="9">
        <f>IFERROR(__xludf.DUMMYFUNCTION("""COMPUTED_VALUE"""),2.63)</f>
        <v>2.63</v>
      </c>
      <c r="H1801" s="17"/>
      <c r="K1801" s="17"/>
      <c r="N1801" s="17"/>
    </row>
    <row r="1802">
      <c r="B1802" s="11">
        <f>IFERROR(__xludf.DUMMYFUNCTION("""COMPUTED_VALUE"""),43503.0)</f>
        <v>43503</v>
      </c>
      <c r="C1802" s="9">
        <f>IFERROR(__xludf.DUMMYFUNCTION("""COMPUTED_VALUE"""),2.65)</f>
        <v>2.65</v>
      </c>
      <c r="H1802" s="17"/>
      <c r="K1802" s="17"/>
      <c r="N1802" s="17"/>
    </row>
    <row r="1803">
      <c r="B1803" s="11">
        <f>IFERROR(__xludf.DUMMYFUNCTION("""COMPUTED_VALUE"""),43502.0)</f>
        <v>43502</v>
      </c>
      <c r="C1803" s="9">
        <f>IFERROR(__xludf.DUMMYFUNCTION("""COMPUTED_VALUE"""),2.7)</f>
        <v>2.7</v>
      </c>
      <c r="H1803" s="17"/>
      <c r="K1803" s="17"/>
      <c r="N1803" s="17"/>
    </row>
    <row r="1804">
      <c r="B1804" s="11">
        <f>IFERROR(__xludf.DUMMYFUNCTION("""COMPUTED_VALUE"""),43501.0)</f>
        <v>43501</v>
      </c>
      <c r="C1804" s="9">
        <f>IFERROR(__xludf.DUMMYFUNCTION("""COMPUTED_VALUE"""),2.71)</f>
        <v>2.71</v>
      </c>
      <c r="H1804" s="17"/>
      <c r="K1804" s="17"/>
      <c r="N1804" s="17"/>
    </row>
    <row r="1805">
      <c r="B1805" s="11">
        <f>IFERROR(__xludf.DUMMYFUNCTION("""COMPUTED_VALUE"""),43500.0)</f>
        <v>43500</v>
      </c>
      <c r="C1805" s="9">
        <f>IFERROR(__xludf.DUMMYFUNCTION("""COMPUTED_VALUE"""),2.73)</f>
        <v>2.73</v>
      </c>
      <c r="H1805" s="17"/>
      <c r="K1805" s="17"/>
      <c r="N1805" s="17"/>
    </row>
    <row r="1806">
      <c r="B1806" s="11">
        <f>IFERROR(__xludf.DUMMYFUNCTION("""COMPUTED_VALUE"""),43497.0)</f>
        <v>43497</v>
      </c>
      <c r="C1806" s="9">
        <f>IFERROR(__xludf.DUMMYFUNCTION("""COMPUTED_VALUE"""),2.7)</f>
        <v>2.7</v>
      </c>
      <c r="H1806" s="17"/>
      <c r="K1806" s="17"/>
      <c r="N1806" s="17"/>
    </row>
    <row r="1807">
      <c r="B1807" s="11">
        <f>IFERROR(__xludf.DUMMYFUNCTION("""COMPUTED_VALUE"""),43496.0)</f>
        <v>43496</v>
      </c>
      <c r="C1807" s="9">
        <f>IFERROR(__xludf.DUMMYFUNCTION("""COMPUTED_VALUE"""),2.63)</f>
        <v>2.63</v>
      </c>
      <c r="H1807" s="17"/>
      <c r="K1807" s="17"/>
      <c r="N1807" s="17"/>
    </row>
    <row r="1808">
      <c r="B1808" s="11">
        <f>IFERROR(__xludf.DUMMYFUNCTION("""COMPUTED_VALUE"""),43495.0)</f>
        <v>43495</v>
      </c>
      <c r="C1808" s="9">
        <f>IFERROR(__xludf.DUMMYFUNCTION("""COMPUTED_VALUE"""),2.7)</f>
        <v>2.7</v>
      </c>
      <c r="H1808" s="17"/>
      <c r="K1808" s="17"/>
      <c r="N1808" s="17"/>
    </row>
    <row r="1809">
      <c r="B1809" s="11">
        <f>IFERROR(__xludf.DUMMYFUNCTION("""COMPUTED_VALUE"""),43494.0)</f>
        <v>43494</v>
      </c>
      <c r="C1809" s="9">
        <f>IFERROR(__xludf.DUMMYFUNCTION("""COMPUTED_VALUE"""),2.72)</f>
        <v>2.72</v>
      </c>
      <c r="H1809" s="17"/>
      <c r="K1809" s="17"/>
      <c r="N1809" s="17"/>
    </row>
    <row r="1810">
      <c r="B1810" s="11">
        <f>IFERROR(__xludf.DUMMYFUNCTION("""COMPUTED_VALUE"""),43493.0)</f>
        <v>43493</v>
      </c>
      <c r="C1810" s="9">
        <f>IFERROR(__xludf.DUMMYFUNCTION("""COMPUTED_VALUE"""),2.75)</f>
        <v>2.75</v>
      </c>
      <c r="H1810" s="17"/>
      <c r="K1810" s="17"/>
      <c r="N1810" s="17"/>
    </row>
    <row r="1811">
      <c r="B1811" s="11">
        <f>IFERROR(__xludf.DUMMYFUNCTION("""COMPUTED_VALUE"""),43490.0)</f>
        <v>43490</v>
      </c>
      <c r="C1811" s="9">
        <f>IFERROR(__xludf.DUMMYFUNCTION("""COMPUTED_VALUE"""),2.76)</f>
        <v>2.76</v>
      </c>
      <c r="H1811" s="17"/>
      <c r="K1811" s="17"/>
      <c r="N1811" s="17"/>
    </row>
    <row r="1812">
      <c r="B1812" s="11">
        <f>IFERROR(__xludf.DUMMYFUNCTION("""COMPUTED_VALUE"""),43489.0)</f>
        <v>43489</v>
      </c>
      <c r="C1812" s="9">
        <f>IFERROR(__xludf.DUMMYFUNCTION("""COMPUTED_VALUE"""),2.72)</f>
        <v>2.72</v>
      </c>
      <c r="H1812" s="17"/>
      <c r="K1812" s="17"/>
      <c r="N1812" s="17"/>
    </row>
    <row r="1813">
      <c r="B1813" s="11">
        <f>IFERROR(__xludf.DUMMYFUNCTION("""COMPUTED_VALUE"""),43488.0)</f>
        <v>43488</v>
      </c>
      <c r="C1813" s="9">
        <f>IFERROR(__xludf.DUMMYFUNCTION("""COMPUTED_VALUE"""),2.76)</f>
        <v>2.76</v>
      </c>
      <c r="H1813" s="17"/>
      <c r="K1813" s="17"/>
      <c r="N1813" s="17"/>
    </row>
    <row r="1814">
      <c r="B1814" s="11">
        <f>IFERROR(__xludf.DUMMYFUNCTION("""COMPUTED_VALUE"""),43487.0)</f>
        <v>43487</v>
      </c>
      <c r="C1814" s="9">
        <f>IFERROR(__xludf.DUMMYFUNCTION("""COMPUTED_VALUE"""),2.74)</f>
        <v>2.74</v>
      </c>
      <c r="H1814" s="17"/>
      <c r="K1814" s="17"/>
      <c r="N1814" s="17"/>
    </row>
    <row r="1815">
      <c r="B1815" s="11">
        <f>IFERROR(__xludf.DUMMYFUNCTION("""COMPUTED_VALUE"""),43486.0)</f>
        <v>43486</v>
      </c>
      <c r="C1815" s="9"/>
      <c r="H1815" s="17"/>
      <c r="K1815" s="17"/>
      <c r="N1815" s="17"/>
    </row>
    <row r="1816">
      <c r="B1816" s="11">
        <f>IFERROR(__xludf.DUMMYFUNCTION("""COMPUTED_VALUE"""),43483.0)</f>
        <v>43483</v>
      </c>
      <c r="C1816" s="9">
        <f>IFERROR(__xludf.DUMMYFUNCTION("""COMPUTED_VALUE"""),2.79)</f>
        <v>2.79</v>
      </c>
      <c r="H1816" s="17"/>
      <c r="K1816" s="17"/>
      <c r="N1816" s="17"/>
    </row>
    <row r="1817">
      <c r="B1817" s="11">
        <f>IFERROR(__xludf.DUMMYFUNCTION("""COMPUTED_VALUE"""),43482.0)</f>
        <v>43482</v>
      </c>
      <c r="C1817" s="9">
        <f>IFERROR(__xludf.DUMMYFUNCTION("""COMPUTED_VALUE"""),2.75)</f>
        <v>2.75</v>
      </c>
      <c r="H1817" s="17"/>
      <c r="K1817" s="17"/>
      <c r="N1817" s="17"/>
    </row>
    <row r="1818">
      <c r="B1818" s="11">
        <f>IFERROR(__xludf.DUMMYFUNCTION("""COMPUTED_VALUE"""),43481.0)</f>
        <v>43481</v>
      </c>
      <c r="C1818" s="9">
        <f>IFERROR(__xludf.DUMMYFUNCTION("""COMPUTED_VALUE"""),2.73)</f>
        <v>2.73</v>
      </c>
      <c r="H1818" s="17"/>
      <c r="K1818" s="17"/>
      <c r="N1818" s="17"/>
    </row>
    <row r="1819">
      <c r="B1819" s="11">
        <f>IFERROR(__xludf.DUMMYFUNCTION("""COMPUTED_VALUE"""),43480.0)</f>
        <v>43480</v>
      </c>
      <c r="C1819" s="9">
        <f>IFERROR(__xludf.DUMMYFUNCTION("""COMPUTED_VALUE"""),2.72)</f>
        <v>2.72</v>
      </c>
      <c r="H1819" s="17"/>
      <c r="K1819" s="17"/>
      <c r="N1819" s="17"/>
    </row>
    <row r="1820">
      <c r="B1820" s="11">
        <f>IFERROR(__xludf.DUMMYFUNCTION("""COMPUTED_VALUE"""),43479.0)</f>
        <v>43479</v>
      </c>
      <c r="C1820" s="9">
        <f>IFERROR(__xludf.DUMMYFUNCTION("""COMPUTED_VALUE"""),2.71)</f>
        <v>2.71</v>
      </c>
      <c r="H1820" s="17"/>
      <c r="K1820" s="17"/>
      <c r="N1820" s="17"/>
    </row>
    <row r="1821">
      <c r="B1821" s="11">
        <f>IFERROR(__xludf.DUMMYFUNCTION("""COMPUTED_VALUE"""),43476.0)</f>
        <v>43476</v>
      </c>
      <c r="C1821" s="9">
        <f>IFERROR(__xludf.DUMMYFUNCTION("""COMPUTED_VALUE"""),2.71)</f>
        <v>2.71</v>
      </c>
      <c r="H1821" s="17"/>
      <c r="K1821" s="17"/>
      <c r="N1821" s="17"/>
    </row>
    <row r="1822">
      <c r="B1822" s="11">
        <f>IFERROR(__xludf.DUMMYFUNCTION("""COMPUTED_VALUE"""),43475.0)</f>
        <v>43475</v>
      </c>
      <c r="C1822" s="9">
        <f>IFERROR(__xludf.DUMMYFUNCTION("""COMPUTED_VALUE"""),2.74)</f>
        <v>2.74</v>
      </c>
      <c r="H1822" s="17"/>
      <c r="K1822" s="17"/>
      <c r="N1822" s="17"/>
    </row>
    <row r="1823">
      <c r="B1823" s="11">
        <f>IFERROR(__xludf.DUMMYFUNCTION("""COMPUTED_VALUE"""),43474.0)</f>
        <v>43474</v>
      </c>
      <c r="C1823" s="9">
        <f>IFERROR(__xludf.DUMMYFUNCTION("""COMPUTED_VALUE"""),2.74)</f>
        <v>2.74</v>
      </c>
      <c r="H1823" s="17"/>
      <c r="K1823" s="17"/>
      <c r="N1823" s="17"/>
    </row>
    <row r="1824">
      <c r="B1824" s="11">
        <f>IFERROR(__xludf.DUMMYFUNCTION("""COMPUTED_VALUE"""),43473.0)</f>
        <v>43473</v>
      </c>
      <c r="C1824" s="9">
        <f>IFERROR(__xludf.DUMMYFUNCTION("""COMPUTED_VALUE"""),2.73)</f>
        <v>2.73</v>
      </c>
      <c r="H1824" s="17"/>
      <c r="K1824" s="17"/>
      <c r="N1824" s="17"/>
    </row>
    <row r="1825">
      <c r="B1825" s="11">
        <f>IFERROR(__xludf.DUMMYFUNCTION("""COMPUTED_VALUE"""),43472.0)</f>
        <v>43472</v>
      </c>
      <c r="C1825" s="9">
        <f>IFERROR(__xludf.DUMMYFUNCTION("""COMPUTED_VALUE"""),2.7)</f>
        <v>2.7</v>
      </c>
      <c r="H1825" s="17"/>
      <c r="K1825" s="17"/>
      <c r="N1825" s="17"/>
    </row>
    <row r="1826">
      <c r="B1826" s="11">
        <f>IFERROR(__xludf.DUMMYFUNCTION("""COMPUTED_VALUE"""),43469.0)</f>
        <v>43469</v>
      </c>
      <c r="C1826" s="9">
        <f>IFERROR(__xludf.DUMMYFUNCTION("""COMPUTED_VALUE"""),2.67)</f>
        <v>2.67</v>
      </c>
      <c r="H1826" s="17"/>
      <c r="K1826" s="17"/>
      <c r="N1826" s="17"/>
    </row>
    <row r="1827">
      <c r="B1827" s="11">
        <f>IFERROR(__xludf.DUMMYFUNCTION("""COMPUTED_VALUE"""),43468.0)</f>
        <v>43468</v>
      </c>
      <c r="C1827" s="9">
        <f>IFERROR(__xludf.DUMMYFUNCTION("""COMPUTED_VALUE"""),2.56)</f>
        <v>2.56</v>
      </c>
      <c r="H1827" s="17"/>
      <c r="K1827" s="17"/>
      <c r="N1827" s="17"/>
    </row>
    <row r="1828">
      <c r="B1828" s="11">
        <f>IFERROR(__xludf.DUMMYFUNCTION("""COMPUTED_VALUE"""),43467.0)</f>
        <v>43467</v>
      </c>
      <c r="C1828" s="9">
        <f>IFERROR(__xludf.DUMMYFUNCTION("""COMPUTED_VALUE"""),2.66)</f>
        <v>2.66</v>
      </c>
      <c r="H1828" s="17"/>
      <c r="K1828" s="17"/>
      <c r="N1828" s="17"/>
    </row>
    <row r="1829">
      <c r="B1829" s="11">
        <f>IFERROR(__xludf.DUMMYFUNCTION("""COMPUTED_VALUE"""),43466.0)</f>
        <v>43466</v>
      </c>
      <c r="C1829" s="9"/>
      <c r="H1829" s="17"/>
      <c r="K1829" s="17"/>
      <c r="N1829" s="17"/>
    </row>
    <row r="1830">
      <c r="B1830" s="11">
        <f>IFERROR(__xludf.DUMMYFUNCTION("""COMPUTED_VALUE"""),43465.0)</f>
        <v>43465</v>
      </c>
      <c r="C1830" s="9">
        <f>IFERROR(__xludf.DUMMYFUNCTION("""COMPUTED_VALUE"""),2.69)</f>
        <v>2.69</v>
      </c>
      <c r="H1830" s="17"/>
      <c r="K1830" s="17"/>
      <c r="N1830" s="17"/>
    </row>
    <row r="1831">
      <c r="B1831" s="11">
        <f>IFERROR(__xludf.DUMMYFUNCTION("""COMPUTED_VALUE"""),43462.0)</f>
        <v>43462</v>
      </c>
      <c r="C1831" s="9">
        <f>IFERROR(__xludf.DUMMYFUNCTION("""COMPUTED_VALUE"""),2.72)</f>
        <v>2.72</v>
      </c>
      <c r="H1831" s="17"/>
      <c r="K1831" s="17"/>
      <c r="N1831" s="17"/>
    </row>
    <row r="1832">
      <c r="B1832" s="11">
        <f>IFERROR(__xludf.DUMMYFUNCTION("""COMPUTED_VALUE"""),43461.0)</f>
        <v>43461</v>
      </c>
      <c r="C1832" s="9">
        <f>IFERROR(__xludf.DUMMYFUNCTION("""COMPUTED_VALUE"""),2.77)</f>
        <v>2.77</v>
      </c>
      <c r="H1832" s="17"/>
      <c r="K1832" s="17"/>
      <c r="N1832" s="17"/>
    </row>
    <row r="1833">
      <c r="B1833" s="11">
        <f>IFERROR(__xludf.DUMMYFUNCTION("""COMPUTED_VALUE"""),43460.0)</f>
        <v>43460</v>
      </c>
      <c r="C1833" s="9">
        <f>IFERROR(__xludf.DUMMYFUNCTION("""COMPUTED_VALUE"""),2.81)</f>
        <v>2.81</v>
      </c>
      <c r="H1833" s="17"/>
      <c r="K1833" s="17"/>
      <c r="N1833" s="17"/>
    </row>
    <row r="1834">
      <c r="B1834" s="11">
        <f>IFERROR(__xludf.DUMMYFUNCTION("""COMPUTED_VALUE"""),43459.0)</f>
        <v>43459</v>
      </c>
      <c r="C1834" s="9"/>
      <c r="H1834" s="17"/>
      <c r="K1834" s="17"/>
      <c r="N1834" s="17"/>
    </row>
    <row r="1835">
      <c r="B1835" s="11">
        <f>IFERROR(__xludf.DUMMYFUNCTION("""COMPUTED_VALUE"""),43458.0)</f>
        <v>43458</v>
      </c>
      <c r="C1835" s="9">
        <f>IFERROR(__xludf.DUMMYFUNCTION("""COMPUTED_VALUE"""),2.74)</f>
        <v>2.74</v>
      </c>
      <c r="H1835" s="17"/>
      <c r="K1835" s="17"/>
      <c r="N1835" s="17"/>
    </row>
    <row r="1836">
      <c r="B1836" s="11">
        <f>IFERROR(__xludf.DUMMYFUNCTION("""COMPUTED_VALUE"""),43455.0)</f>
        <v>43455</v>
      </c>
      <c r="C1836" s="9">
        <f>IFERROR(__xludf.DUMMYFUNCTION("""COMPUTED_VALUE"""),2.79)</f>
        <v>2.79</v>
      </c>
      <c r="H1836" s="17"/>
      <c r="K1836" s="17"/>
      <c r="N1836" s="17"/>
    </row>
    <row r="1837">
      <c r="B1837" s="11">
        <f>IFERROR(__xludf.DUMMYFUNCTION("""COMPUTED_VALUE"""),43454.0)</f>
        <v>43454</v>
      </c>
      <c r="C1837" s="9">
        <f>IFERROR(__xludf.DUMMYFUNCTION("""COMPUTED_VALUE"""),2.79)</f>
        <v>2.79</v>
      </c>
      <c r="H1837" s="17"/>
      <c r="K1837" s="17"/>
      <c r="N1837" s="17"/>
    </row>
    <row r="1838">
      <c r="B1838" s="11">
        <f>IFERROR(__xludf.DUMMYFUNCTION("""COMPUTED_VALUE"""),43453.0)</f>
        <v>43453</v>
      </c>
      <c r="C1838" s="9">
        <f>IFERROR(__xludf.DUMMYFUNCTION("""COMPUTED_VALUE"""),2.77)</f>
        <v>2.77</v>
      </c>
      <c r="H1838" s="17"/>
      <c r="K1838" s="17"/>
      <c r="N1838" s="17"/>
    </row>
    <row r="1839">
      <c r="B1839" s="11">
        <f>IFERROR(__xludf.DUMMYFUNCTION("""COMPUTED_VALUE"""),43452.0)</f>
        <v>43452</v>
      </c>
      <c r="C1839" s="9">
        <f>IFERROR(__xludf.DUMMYFUNCTION("""COMPUTED_VALUE"""),2.82)</f>
        <v>2.82</v>
      </c>
      <c r="H1839" s="17"/>
      <c r="K1839" s="17"/>
      <c r="N1839" s="17"/>
    </row>
    <row r="1840">
      <c r="B1840" s="11">
        <f>IFERROR(__xludf.DUMMYFUNCTION("""COMPUTED_VALUE"""),43451.0)</f>
        <v>43451</v>
      </c>
      <c r="C1840" s="9">
        <f>IFERROR(__xludf.DUMMYFUNCTION("""COMPUTED_VALUE"""),2.86)</f>
        <v>2.86</v>
      </c>
      <c r="H1840" s="17"/>
      <c r="K1840" s="17"/>
      <c r="N1840" s="17"/>
    </row>
    <row r="1841">
      <c r="B1841" s="11">
        <f>IFERROR(__xludf.DUMMYFUNCTION("""COMPUTED_VALUE"""),43448.0)</f>
        <v>43448</v>
      </c>
      <c r="C1841" s="9">
        <f>IFERROR(__xludf.DUMMYFUNCTION("""COMPUTED_VALUE"""),2.89)</f>
        <v>2.89</v>
      </c>
      <c r="H1841" s="17"/>
      <c r="K1841" s="17"/>
      <c r="N1841" s="17"/>
    </row>
    <row r="1842">
      <c r="B1842" s="11">
        <f>IFERROR(__xludf.DUMMYFUNCTION("""COMPUTED_VALUE"""),43447.0)</f>
        <v>43447</v>
      </c>
      <c r="C1842" s="9">
        <f>IFERROR(__xludf.DUMMYFUNCTION("""COMPUTED_VALUE"""),2.91)</f>
        <v>2.91</v>
      </c>
      <c r="H1842" s="17"/>
      <c r="K1842" s="17"/>
      <c r="N1842" s="17"/>
    </row>
    <row r="1843">
      <c r="B1843" s="11">
        <f>IFERROR(__xludf.DUMMYFUNCTION("""COMPUTED_VALUE"""),43446.0)</f>
        <v>43446</v>
      </c>
      <c r="C1843" s="9">
        <f>IFERROR(__xludf.DUMMYFUNCTION("""COMPUTED_VALUE"""),2.91)</f>
        <v>2.91</v>
      </c>
      <c r="H1843" s="17"/>
      <c r="K1843" s="17"/>
      <c r="N1843" s="17"/>
    </row>
    <row r="1844">
      <c r="B1844" s="11">
        <f>IFERROR(__xludf.DUMMYFUNCTION("""COMPUTED_VALUE"""),43445.0)</f>
        <v>43445</v>
      </c>
      <c r="C1844" s="9">
        <f>IFERROR(__xludf.DUMMYFUNCTION("""COMPUTED_VALUE"""),2.89)</f>
        <v>2.89</v>
      </c>
      <c r="H1844" s="17"/>
      <c r="K1844" s="17"/>
      <c r="N1844" s="17"/>
    </row>
    <row r="1845">
      <c r="B1845" s="11">
        <f>IFERROR(__xludf.DUMMYFUNCTION("""COMPUTED_VALUE"""),43444.0)</f>
        <v>43444</v>
      </c>
      <c r="C1845" s="9">
        <f>IFERROR(__xludf.DUMMYFUNCTION("""COMPUTED_VALUE"""),2.85)</f>
        <v>2.85</v>
      </c>
      <c r="H1845" s="17"/>
      <c r="K1845" s="17"/>
      <c r="N1845" s="17"/>
    </row>
    <row r="1846">
      <c r="B1846" s="11">
        <f>IFERROR(__xludf.DUMMYFUNCTION("""COMPUTED_VALUE"""),43441.0)</f>
        <v>43441</v>
      </c>
      <c r="C1846" s="9">
        <f>IFERROR(__xludf.DUMMYFUNCTION("""COMPUTED_VALUE"""),2.85)</f>
        <v>2.85</v>
      </c>
      <c r="H1846" s="17"/>
      <c r="K1846" s="17"/>
      <c r="N1846" s="17"/>
    </row>
    <row r="1847">
      <c r="B1847" s="11">
        <f>IFERROR(__xludf.DUMMYFUNCTION("""COMPUTED_VALUE"""),43440.0)</f>
        <v>43440</v>
      </c>
      <c r="C1847" s="9">
        <f>IFERROR(__xludf.DUMMYFUNCTION("""COMPUTED_VALUE"""),2.87)</f>
        <v>2.87</v>
      </c>
      <c r="H1847" s="17"/>
      <c r="K1847" s="17"/>
      <c r="N1847" s="17"/>
    </row>
    <row r="1848">
      <c r="B1848" s="11">
        <f>IFERROR(__xludf.DUMMYFUNCTION("""COMPUTED_VALUE"""),43439.0)</f>
        <v>43439</v>
      </c>
      <c r="C1848" s="9"/>
      <c r="H1848" s="17"/>
      <c r="K1848" s="17"/>
      <c r="N1848" s="17"/>
    </row>
    <row r="1849">
      <c r="B1849" s="11">
        <f>IFERROR(__xludf.DUMMYFUNCTION("""COMPUTED_VALUE"""),43438.0)</f>
        <v>43438</v>
      </c>
      <c r="C1849" s="9">
        <f>IFERROR(__xludf.DUMMYFUNCTION("""COMPUTED_VALUE"""),2.91)</f>
        <v>2.91</v>
      </c>
      <c r="H1849" s="17"/>
      <c r="K1849" s="17"/>
      <c r="N1849" s="17"/>
    </row>
    <row r="1850">
      <c r="B1850" s="11">
        <f>IFERROR(__xludf.DUMMYFUNCTION("""COMPUTED_VALUE"""),43437.0)</f>
        <v>43437</v>
      </c>
      <c r="C1850" s="9">
        <f>IFERROR(__xludf.DUMMYFUNCTION("""COMPUTED_VALUE"""),2.98)</f>
        <v>2.98</v>
      </c>
      <c r="H1850" s="17"/>
      <c r="K1850" s="17"/>
      <c r="N1850" s="17"/>
    </row>
    <row r="1851">
      <c r="B1851" s="11">
        <f>IFERROR(__xludf.DUMMYFUNCTION("""COMPUTED_VALUE"""),43434.0)</f>
        <v>43434</v>
      </c>
      <c r="C1851" s="9">
        <f>IFERROR(__xludf.DUMMYFUNCTION("""COMPUTED_VALUE"""),3.01)</f>
        <v>3.01</v>
      </c>
      <c r="H1851" s="17"/>
      <c r="K1851" s="17"/>
      <c r="N1851" s="17"/>
    </row>
    <row r="1852">
      <c r="B1852" s="11">
        <f>IFERROR(__xludf.DUMMYFUNCTION("""COMPUTED_VALUE"""),43433.0)</f>
        <v>43433</v>
      </c>
      <c r="C1852" s="9">
        <f>IFERROR(__xludf.DUMMYFUNCTION("""COMPUTED_VALUE"""),3.03)</f>
        <v>3.03</v>
      </c>
      <c r="H1852" s="17"/>
      <c r="K1852" s="17"/>
      <c r="N1852" s="17"/>
    </row>
    <row r="1853">
      <c r="B1853" s="11">
        <f>IFERROR(__xludf.DUMMYFUNCTION("""COMPUTED_VALUE"""),43432.0)</f>
        <v>43432</v>
      </c>
      <c r="C1853" s="9">
        <f>IFERROR(__xludf.DUMMYFUNCTION("""COMPUTED_VALUE"""),3.06)</f>
        <v>3.06</v>
      </c>
      <c r="H1853" s="17"/>
      <c r="K1853" s="17"/>
      <c r="N1853" s="17"/>
    </row>
    <row r="1854">
      <c r="B1854" s="11">
        <f>IFERROR(__xludf.DUMMYFUNCTION("""COMPUTED_VALUE"""),43431.0)</f>
        <v>43431</v>
      </c>
      <c r="C1854" s="9">
        <f>IFERROR(__xludf.DUMMYFUNCTION("""COMPUTED_VALUE"""),3.06)</f>
        <v>3.06</v>
      </c>
      <c r="H1854" s="17"/>
      <c r="K1854" s="17"/>
      <c r="N1854" s="17"/>
    </row>
    <row r="1855">
      <c r="B1855" s="11">
        <f>IFERROR(__xludf.DUMMYFUNCTION("""COMPUTED_VALUE"""),43430.0)</f>
        <v>43430</v>
      </c>
      <c r="C1855" s="9">
        <f>IFERROR(__xludf.DUMMYFUNCTION("""COMPUTED_VALUE"""),3.07)</f>
        <v>3.07</v>
      </c>
      <c r="H1855" s="17"/>
      <c r="K1855" s="17"/>
      <c r="N1855" s="17"/>
    </row>
    <row r="1856">
      <c r="B1856" s="11">
        <f>IFERROR(__xludf.DUMMYFUNCTION("""COMPUTED_VALUE"""),43427.0)</f>
        <v>43427</v>
      </c>
      <c r="C1856" s="9">
        <f>IFERROR(__xludf.DUMMYFUNCTION("""COMPUTED_VALUE"""),3.05)</f>
        <v>3.05</v>
      </c>
      <c r="H1856" s="17"/>
      <c r="K1856" s="17"/>
      <c r="N1856" s="17"/>
    </row>
    <row r="1857">
      <c r="B1857" s="11">
        <f>IFERROR(__xludf.DUMMYFUNCTION("""COMPUTED_VALUE"""),43426.0)</f>
        <v>43426</v>
      </c>
      <c r="C1857" s="9"/>
      <c r="H1857" s="17"/>
      <c r="K1857" s="17"/>
      <c r="N1857" s="17"/>
    </row>
    <row r="1858">
      <c r="B1858" s="11">
        <f>IFERROR(__xludf.DUMMYFUNCTION("""COMPUTED_VALUE"""),43425.0)</f>
        <v>43425</v>
      </c>
      <c r="C1858" s="9">
        <f>IFERROR(__xludf.DUMMYFUNCTION("""COMPUTED_VALUE"""),3.06)</f>
        <v>3.06</v>
      </c>
      <c r="H1858" s="17"/>
      <c r="K1858" s="17"/>
      <c r="N1858" s="17"/>
    </row>
    <row r="1859">
      <c r="B1859" s="11">
        <f>IFERROR(__xludf.DUMMYFUNCTION("""COMPUTED_VALUE"""),43424.0)</f>
        <v>43424</v>
      </c>
      <c r="C1859" s="9">
        <f>IFERROR(__xludf.DUMMYFUNCTION("""COMPUTED_VALUE"""),3.06)</f>
        <v>3.06</v>
      </c>
      <c r="H1859" s="17"/>
      <c r="K1859" s="17"/>
      <c r="N1859" s="17"/>
    </row>
    <row r="1860">
      <c r="B1860" s="11">
        <f>IFERROR(__xludf.DUMMYFUNCTION("""COMPUTED_VALUE"""),43423.0)</f>
        <v>43423</v>
      </c>
      <c r="C1860" s="9">
        <f>IFERROR(__xludf.DUMMYFUNCTION("""COMPUTED_VALUE"""),3.06)</f>
        <v>3.06</v>
      </c>
      <c r="H1860" s="17"/>
      <c r="K1860" s="17"/>
      <c r="N1860" s="17"/>
    </row>
    <row r="1861">
      <c r="B1861" s="11">
        <f>IFERROR(__xludf.DUMMYFUNCTION("""COMPUTED_VALUE"""),43420.0)</f>
        <v>43420</v>
      </c>
      <c r="C1861" s="9">
        <f>IFERROR(__xludf.DUMMYFUNCTION("""COMPUTED_VALUE"""),3.08)</f>
        <v>3.08</v>
      </c>
      <c r="H1861" s="17"/>
      <c r="K1861" s="17"/>
      <c r="N1861" s="17"/>
    </row>
    <row r="1862">
      <c r="B1862" s="11">
        <f>IFERROR(__xludf.DUMMYFUNCTION("""COMPUTED_VALUE"""),43419.0)</f>
        <v>43419</v>
      </c>
      <c r="C1862" s="9">
        <f>IFERROR(__xludf.DUMMYFUNCTION("""COMPUTED_VALUE"""),3.11)</f>
        <v>3.11</v>
      </c>
      <c r="H1862" s="17"/>
      <c r="K1862" s="17"/>
      <c r="N1862" s="17"/>
    </row>
    <row r="1863">
      <c r="B1863" s="11">
        <f>IFERROR(__xludf.DUMMYFUNCTION("""COMPUTED_VALUE"""),43418.0)</f>
        <v>43418</v>
      </c>
      <c r="C1863" s="9">
        <f>IFERROR(__xludf.DUMMYFUNCTION("""COMPUTED_VALUE"""),3.12)</f>
        <v>3.12</v>
      </c>
      <c r="H1863" s="17"/>
      <c r="K1863" s="17"/>
      <c r="N1863" s="17"/>
    </row>
    <row r="1864">
      <c r="B1864" s="11">
        <f>IFERROR(__xludf.DUMMYFUNCTION("""COMPUTED_VALUE"""),43417.0)</f>
        <v>43417</v>
      </c>
      <c r="C1864" s="9">
        <f>IFERROR(__xludf.DUMMYFUNCTION("""COMPUTED_VALUE"""),3.14)</f>
        <v>3.14</v>
      </c>
      <c r="H1864" s="17"/>
      <c r="K1864" s="17"/>
      <c r="N1864" s="17"/>
    </row>
    <row r="1865">
      <c r="B1865" s="11">
        <f>IFERROR(__xludf.DUMMYFUNCTION("""COMPUTED_VALUE"""),43416.0)</f>
        <v>43416</v>
      </c>
      <c r="C1865" s="9"/>
      <c r="H1865" s="17"/>
      <c r="K1865" s="17"/>
      <c r="N1865" s="17"/>
    </row>
    <row r="1866">
      <c r="B1866" s="11">
        <f>IFERROR(__xludf.DUMMYFUNCTION("""COMPUTED_VALUE"""),43413.0)</f>
        <v>43413</v>
      </c>
      <c r="C1866" s="9">
        <f>IFERROR(__xludf.DUMMYFUNCTION("""COMPUTED_VALUE"""),3.19)</f>
        <v>3.19</v>
      </c>
      <c r="H1866" s="17"/>
      <c r="K1866" s="17"/>
      <c r="N1866" s="17"/>
    </row>
    <row r="1867">
      <c r="B1867" s="11">
        <f>IFERROR(__xludf.DUMMYFUNCTION("""COMPUTED_VALUE"""),43412.0)</f>
        <v>43412</v>
      </c>
      <c r="C1867" s="9">
        <f>IFERROR(__xludf.DUMMYFUNCTION("""COMPUTED_VALUE"""),3.24)</f>
        <v>3.24</v>
      </c>
      <c r="H1867" s="17"/>
      <c r="K1867" s="17"/>
      <c r="N1867" s="17"/>
    </row>
    <row r="1868">
      <c r="B1868" s="11">
        <f>IFERROR(__xludf.DUMMYFUNCTION("""COMPUTED_VALUE"""),43411.0)</f>
        <v>43411</v>
      </c>
      <c r="C1868" s="9">
        <f>IFERROR(__xludf.DUMMYFUNCTION("""COMPUTED_VALUE"""),3.22)</f>
        <v>3.22</v>
      </c>
      <c r="H1868" s="17"/>
      <c r="K1868" s="17"/>
      <c r="N1868" s="17"/>
    </row>
    <row r="1869">
      <c r="B1869" s="11">
        <f>IFERROR(__xludf.DUMMYFUNCTION("""COMPUTED_VALUE"""),43410.0)</f>
        <v>43410</v>
      </c>
      <c r="C1869" s="9">
        <f>IFERROR(__xludf.DUMMYFUNCTION("""COMPUTED_VALUE"""),3.22)</f>
        <v>3.22</v>
      </c>
      <c r="H1869" s="17"/>
      <c r="K1869" s="17"/>
      <c r="N1869" s="17"/>
    </row>
    <row r="1870">
      <c r="B1870" s="11">
        <f>IFERROR(__xludf.DUMMYFUNCTION("""COMPUTED_VALUE"""),43409.0)</f>
        <v>43409</v>
      </c>
      <c r="C1870" s="9">
        <f>IFERROR(__xludf.DUMMYFUNCTION("""COMPUTED_VALUE"""),3.2)</f>
        <v>3.2</v>
      </c>
      <c r="H1870" s="17"/>
      <c r="K1870" s="17"/>
      <c r="N1870" s="17"/>
    </row>
    <row r="1871">
      <c r="B1871" s="11">
        <f>IFERROR(__xludf.DUMMYFUNCTION("""COMPUTED_VALUE"""),43406.0)</f>
        <v>43406</v>
      </c>
      <c r="C1871" s="9">
        <f>IFERROR(__xludf.DUMMYFUNCTION("""COMPUTED_VALUE"""),3.22)</f>
        <v>3.22</v>
      </c>
      <c r="H1871" s="17"/>
      <c r="K1871" s="17"/>
      <c r="N1871" s="17"/>
    </row>
    <row r="1872">
      <c r="B1872" s="11">
        <f>IFERROR(__xludf.DUMMYFUNCTION("""COMPUTED_VALUE"""),43405.0)</f>
        <v>43405</v>
      </c>
      <c r="C1872" s="9">
        <f>IFERROR(__xludf.DUMMYFUNCTION("""COMPUTED_VALUE"""),3.14)</f>
        <v>3.14</v>
      </c>
      <c r="H1872" s="17"/>
      <c r="K1872" s="17"/>
      <c r="N1872" s="17"/>
    </row>
    <row r="1873">
      <c r="B1873" s="11">
        <f>IFERROR(__xludf.DUMMYFUNCTION("""COMPUTED_VALUE"""),43404.0)</f>
        <v>43404</v>
      </c>
      <c r="C1873" s="9">
        <f>IFERROR(__xludf.DUMMYFUNCTION("""COMPUTED_VALUE"""),3.15)</f>
        <v>3.15</v>
      </c>
      <c r="H1873" s="17"/>
      <c r="K1873" s="17"/>
      <c r="N1873" s="17"/>
    </row>
    <row r="1874">
      <c r="B1874" s="11">
        <f>IFERROR(__xludf.DUMMYFUNCTION("""COMPUTED_VALUE"""),43403.0)</f>
        <v>43403</v>
      </c>
      <c r="C1874" s="9">
        <f>IFERROR(__xludf.DUMMYFUNCTION("""COMPUTED_VALUE"""),3.12)</f>
        <v>3.12</v>
      </c>
      <c r="H1874" s="17"/>
      <c r="K1874" s="17"/>
      <c r="N1874" s="17"/>
    </row>
    <row r="1875">
      <c r="B1875" s="11">
        <f>IFERROR(__xludf.DUMMYFUNCTION("""COMPUTED_VALUE"""),43402.0)</f>
        <v>43402</v>
      </c>
      <c r="C1875" s="9">
        <f>IFERROR(__xludf.DUMMYFUNCTION("""COMPUTED_VALUE"""),3.08)</f>
        <v>3.08</v>
      </c>
      <c r="H1875" s="17"/>
      <c r="K1875" s="17"/>
      <c r="N1875" s="17"/>
    </row>
    <row r="1876">
      <c r="B1876" s="11">
        <f>IFERROR(__xludf.DUMMYFUNCTION("""COMPUTED_VALUE"""),43399.0)</f>
        <v>43399</v>
      </c>
      <c r="C1876" s="9">
        <f>IFERROR(__xludf.DUMMYFUNCTION("""COMPUTED_VALUE"""),3.08)</f>
        <v>3.08</v>
      </c>
      <c r="H1876" s="17"/>
      <c r="K1876" s="17"/>
      <c r="N1876" s="17"/>
    </row>
    <row r="1877">
      <c r="B1877" s="11">
        <f>IFERROR(__xludf.DUMMYFUNCTION("""COMPUTED_VALUE"""),43398.0)</f>
        <v>43398</v>
      </c>
      <c r="C1877" s="9">
        <f>IFERROR(__xludf.DUMMYFUNCTION("""COMPUTED_VALUE"""),3.14)</f>
        <v>3.14</v>
      </c>
      <c r="H1877" s="17"/>
      <c r="K1877" s="17"/>
      <c r="N1877" s="17"/>
    </row>
    <row r="1878">
      <c r="B1878" s="11">
        <f>IFERROR(__xludf.DUMMYFUNCTION("""COMPUTED_VALUE"""),43397.0)</f>
        <v>43397</v>
      </c>
      <c r="C1878" s="9">
        <f>IFERROR(__xludf.DUMMYFUNCTION("""COMPUTED_VALUE"""),3.1)</f>
        <v>3.1</v>
      </c>
      <c r="H1878" s="17"/>
      <c r="K1878" s="17"/>
      <c r="N1878" s="17"/>
    </row>
    <row r="1879">
      <c r="B1879" s="11">
        <f>IFERROR(__xludf.DUMMYFUNCTION("""COMPUTED_VALUE"""),43396.0)</f>
        <v>43396</v>
      </c>
      <c r="C1879" s="9">
        <f>IFERROR(__xludf.DUMMYFUNCTION("""COMPUTED_VALUE"""),3.17)</f>
        <v>3.17</v>
      </c>
      <c r="H1879" s="17"/>
      <c r="K1879" s="17"/>
      <c r="N1879" s="17"/>
    </row>
    <row r="1880">
      <c r="B1880" s="11">
        <f>IFERROR(__xludf.DUMMYFUNCTION("""COMPUTED_VALUE"""),43395.0)</f>
        <v>43395</v>
      </c>
      <c r="C1880" s="9">
        <f>IFERROR(__xludf.DUMMYFUNCTION("""COMPUTED_VALUE"""),3.2)</f>
        <v>3.2</v>
      </c>
      <c r="H1880" s="17"/>
      <c r="K1880" s="17"/>
      <c r="N1880" s="17"/>
    </row>
    <row r="1881">
      <c r="B1881" s="11">
        <f>IFERROR(__xludf.DUMMYFUNCTION("""COMPUTED_VALUE"""),43392.0)</f>
        <v>43392</v>
      </c>
      <c r="C1881" s="9">
        <f>IFERROR(__xludf.DUMMYFUNCTION("""COMPUTED_VALUE"""),3.2)</f>
        <v>3.2</v>
      </c>
      <c r="H1881" s="17"/>
      <c r="K1881" s="17"/>
      <c r="N1881" s="17"/>
    </row>
    <row r="1882">
      <c r="B1882" s="11">
        <f>IFERROR(__xludf.DUMMYFUNCTION("""COMPUTED_VALUE"""),43391.0)</f>
        <v>43391</v>
      </c>
      <c r="C1882" s="9">
        <f>IFERROR(__xludf.DUMMYFUNCTION("""COMPUTED_VALUE"""),3.17)</f>
        <v>3.17</v>
      </c>
      <c r="H1882" s="17"/>
      <c r="K1882" s="17"/>
      <c r="N1882" s="17"/>
    </row>
    <row r="1883">
      <c r="B1883" s="11">
        <f>IFERROR(__xludf.DUMMYFUNCTION("""COMPUTED_VALUE"""),43390.0)</f>
        <v>43390</v>
      </c>
      <c r="C1883" s="9">
        <f>IFERROR(__xludf.DUMMYFUNCTION("""COMPUTED_VALUE"""),3.19)</f>
        <v>3.19</v>
      </c>
      <c r="H1883" s="17"/>
      <c r="K1883" s="17"/>
      <c r="N1883" s="17"/>
    </row>
    <row r="1884">
      <c r="B1884" s="11">
        <f>IFERROR(__xludf.DUMMYFUNCTION("""COMPUTED_VALUE"""),43389.0)</f>
        <v>43389</v>
      </c>
      <c r="C1884" s="9">
        <f>IFERROR(__xludf.DUMMYFUNCTION("""COMPUTED_VALUE"""),3.16)</f>
        <v>3.16</v>
      </c>
      <c r="H1884" s="17"/>
      <c r="K1884" s="17"/>
      <c r="N1884" s="17"/>
    </row>
    <row r="1885">
      <c r="B1885" s="11">
        <f>IFERROR(__xludf.DUMMYFUNCTION("""COMPUTED_VALUE"""),43388.0)</f>
        <v>43388</v>
      </c>
      <c r="C1885" s="9">
        <f>IFERROR(__xludf.DUMMYFUNCTION("""COMPUTED_VALUE"""),3.16)</f>
        <v>3.16</v>
      </c>
      <c r="H1885" s="17"/>
      <c r="K1885" s="17"/>
      <c r="N1885" s="17"/>
    </row>
    <row r="1886">
      <c r="B1886" s="11">
        <f>IFERROR(__xludf.DUMMYFUNCTION("""COMPUTED_VALUE"""),43385.0)</f>
        <v>43385</v>
      </c>
      <c r="C1886" s="9">
        <f>IFERROR(__xludf.DUMMYFUNCTION("""COMPUTED_VALUE"""),3.15)</f>
        <v>3.15</v>
      </c>
      <c r="H1886" s="17"/>
      <c r="K1886" s="17"/>
      <c r="N1886" s="17"/>
    </row>
    <row r="1887">
      <c r="B1887" s="11">
        <f>IFERROR(__xludf.DUMMYFUNCTION("""COMPUTED_VALUE"""),43384.0)</f>
        <v>43384</v>
      </c>
      <c r="C1887" s="9">
        <f>IFERROR(__xludf.DUMMYFUNCTION("""COMPUTED_VALUE"""),3.14)</f>
        <v>3.14</v>
      </c>
      <c r="H1887" s="17"/>
      <c r="K1887" s="17"/>
      <c r="N1887" s="17"/>
    </row>
    <row r="1888">
      <c r="B1888" s="11">
        <f>IFERROR(__xludf.DUMMYFUNCTION("""COMPUTED_VALUE"""),43383.0)</f>
        <v>43383</v>
      </c>
      <c r="C1888" s="9">
        <f>IFERROR(__xludf.DUMMYFUNCTION("""COMPUTED_VALUE"""),3.22)</f>
        <v>3.22</v>
      </c>
      <c r="H1888" s="17"/>
      <c r="K1888" s="17"/>
      <c r="N1888" s="17"/>
    </row>
    <row r="1889">
      <c r="B1889" s="11">
        <f>IFERROR(__xludf.DUMMYFUNCTION("""COMPUTED_VALUE"""),43382.0)</f>
        <v>43382</v>
      </c>
      <c r="C1889" s="9">
        <f>IFERROR(__xludf.DUMMYFUNCTION("""COMPUTED_VALUE"""),3.21)</f>
        <v>3.21</v>
      </c>
      <c r="H1889" s="17"/>
      <c r="K1889" s="17"/>
      <c r="N1889" s="17"/>
    </row>
    <row r="1890">
      <c r="B1890" s="11">
        <f>IFERROR(__xludf.DUMMYFUNCTION("""COMPUTED_VALUE"""),43381.0)</f>
        <v>43381</v>
      </c>
      <c r="C1890" s="9"/>
      <c r="H1890" s="17"/>
      <c r="K1890" s="17"/>
      <c r="N1890" s="17"/>
    </row>
    <row r="1891">
      <c r="B1891" s="11">
        <f>IFERROR(__xludf.DUMMYFUNCTION("""COMPUTED_VALUE"""),43378.0)</f>
        <v>43378</v>
      </c>
      <c r="C1891" s="9">
        <f>IFERROR(__xludf.DUMMYFUNCTION("""COMPUTED_VALUE"""),3.23)</f>
        <v>3.23</v>
      </c>
      <c r="H1891" s="17"/>
      <c r="K1891" s="17"/>
      <c r="N1891" s="17"/>
    </row>
    <row r="1892">
      <c r="B1892" s="11">
        <f>IFERROR(__xludf.DUMMYFUNCTION("""COMPUTED_VALUE"""),43377.0)</f>
        <v>43377</v>
      </c>
      <c r="C1892" s="9">
        <f>IFERROR(__xludf.DUMMYFUNCTION("""COMPUTED_VALUE"""),3.19)</f>
        <v>3.19</v>
      </c>
      <c r="H1892" s="17"/>
      <c r="K1892" s="17"/>
      <c r="N1892" s="17"/>
    </row>
    <row r="1893">
      <c r="B1893" s="11">
        <f>IFERROR(__xludf.DUMMYFUNCTION("""COMPUTED_VALUE"""),43376.0)</f>
        <v>43376</v>
      </c>
      <c r="C1893" s="9">
        <f>IFERROR(__xludf.DUMMYFUNCTION("""COMPUTED_VALUE"""),3.15)</f>
        <v>3.15</v>
      </c>
      <c r="H1893" s="17"/>
      <c r="K1893" s="17"/>
      <c r="N1893" s="17"/>
    </row>
    <row r="1894">
      <c r="B1894" s="11">
        <f>IFERROR(__xludf.DUMMYFUNCTION("""COMPUTED_VALUE"""),43375.0)</f>
        <v>43375</v>
      </c>
      <c r="C1894" s="9">
        <f>IFERROR(__xludf.DUMMYFUNCTION("""COMPUTED_VALUE"""),3.05)</f>
        <v>3.05</v>
      </c>
      <c r="H1894" s="17"/>
      <c r="K1894" s="17"/>
      <c r="N1894" s="17"/>
    </row>
    <row r="1895">
      <c r="B1895" s="11">
        <f>IFERROR(__xludf.DUMMYFUNCTION("""COMPUTED_VALUE"""),43374.0)</f>
        <v>43374</v>
      </c>
      <c r="C1895" s="9">
        <f>IFERROR(__xludf.DUMMYFUNCTION("""COMPUTED_VALUE"""),3.09)</f>
        <v>3.09</v>
      </c>
      <c r="H1895" s="17"/>
      <c r="K1895" s="17"/>
      <c r="N1895" s="17"/>
    </row>
    <row r="1896">
      <c r="B1896" s="11">
        <f>IFERROR(__xludf.DUMMYFUNCTION("""COMPUTED_VALUE"""),43371.0)</f>
        <v>43371</v>
      </c>
      <c r="C1896" s="9">
        <f>IFERROR(__xludf.DUMMYFUNCTION("""COMPUTED_VALUE"""),3.05)</f>
        <v>3.05</v>
      </c>
      <c r="H1896" s="17"/>
      <c r="K1896" s="17"/>
      <c r="N1896" s="17"/>
    </row>
    <row r="1897">
      <c r="B1897" s="11">
        <f>IFERROR(__xludf.DUMMYFUNCTION("""COMPUTED_VALUE"""),43370.0)</f>
        <v>43370</v>
      </c>
      <c r="C1897" s="9">
        <f>IFERROR(__xludf.DUMMYFUNCTION("""COMPUTED_VALUE"""),3.06)</f>
        <v>3.06</v>
      </c>
      <c r="H1897" s="17"/>
      <c r="K1897" s="17"/>
      <c r="N1897" s="17"/>
    </row>
    <row r="1898">
      <c r="B1898" s="11">
        <f>IFERROR(__xludf.DUMMYFUNCTION("""COMPUTED_VALUE"""),43369.0)</f>
        <v>43369</v>
      </c>
      <c r="C1898" s="9">
        <f>IFERROR(__xludf.DUMMYFUNCTION("""COMPUTED_VALUE"""),3.06)</f>
        <v>3.06</v>
      </c>
      <c r="H1898" s="17"/>
      <c r="K1898" s="17"/>
      <c r="N1898" s="17"/>
    </row>
    <row r="1899">
      <c r="B1899" s="11">
        <f>IFERROR(__xludf.DUMMYFUNCTION("""COMPUTED_VALUE"""),43368.0)</f>
        <v>43368</v>
      </c>
      <c r="C1899" s="9">
        <f>IFERROR(__xludf.DUMMYFUNCTION("""COMPUTED_VALUE"""),3.1)</f>
        <v>3.1</v>
      </c>
      <c r="H1899" s="17"/>
      <c r="K1899" s="17"/>
      <c r="N1899" s="17"/>
    </row>
    <row r="1900">
      <c r="B1900" s="11">
        <f>IFERROR(__xludf.DUMMYFUNCTION("""COMPUTED_VALUE"""),43367.0)</f>
        <v>43367</v>
      </c>
      <c r="C1900" s="9">
        <f>IFERROR(__xludf.DUMMYFUNCTION("""COMPUTED_VALUE"""),3.08)</f>
        <v>3.08</v>
      </c>
      <c r="H1900" s="17"/>
      <c r="K1900" s="17"/>
      <c r="N1900" s="17"/>
    </row>
    <row r="1901">
      <c r="B1901" s="11">
        <f>IFERROR(__xludf.DUMMYFUNCTION("""COMPUTED_VALUE"""),43364.0)</f>
        <v>43364</v>
      </c>
      <c r="C1901" s="9">
        <f>IFERROR(__xludf.DUMMYFUNCTION("""COMPUTED_VALUE"""),3.07)</f>
        <v>3.07</v>
      </c>
      <c r="H1901" s="17"/>
      <c r="K1901" s="17"/>
      <c r="N1901" s="17"/>
    </row>
    <row r="1902">
      <c r="B1902" s="11">
        <f>IFERROR(__xludf.DUMMYFUNCTION("""COMPUTED_VALUE"""),43363.0)</f>
        <v>43363</v>
      </c>
      <c r="C1902" s="9">
        <f>IFERROR(__xludf.DUMMYFUNCTION("""COMPUTED_VALUE"""),3.07)</f>
        <v>3.07</v>
      </c>
      <c r="H1902" s="17"/>
      <c r="K1902" s="17"/>
      <c r="N1902" s="17"/>
    </row>
    <row r="1903">
      <c r="B1903" s="11">
        <f>IFERROR(__xludf.DUMMYFUNCTION("""COMPUTED_VALUE"""),43362.0)</f>
        <v>43362</v>
      </c>
      <c r="C1903" s="9">
        <f>IFERROR(__xludf.DUMMYFUNCTION("""COMPUTED_VALUE"""),3.08)</f>
        <v>3.08</v>
      </c>
      <c r="H1903" s="17"/>
      <c r="K1903" s="17"/>
      <c r="N1903" s="17"/>
    </row>
    <row r="1904">
      <c r="B1904" s="11">
        <f>IFERROR(__xludf.DUMMYFUNCTION("""COMPUTED_VALUE"""),43361.0)</f>
        <v>43361</v>
      </c>
      <c r="C1904" s="9">
        <f>IFERROR(__xludf.DUMMYFUNCTION("""COMPUTED_VALUE"""),3.05)</f>
        <v>3.05</v>
      </c>
      <c r="H1904" s="17"/>
      <c r="K1904" s="17"/>
      <c r="N1904" s="17"/>
    </row>
    <row r="1905">
      <c r="B1905" s="11">
        <f>IFERROR(__xludf.DUMMYFUNCTION("""COMPUTED_VALUE"""),43360.0)</f>
        <v>43360</v>
      </c>
      <c r="C1905" s="9">
        <f>IFERROR(__xludf.DUMMYFUNCTION("""COMPUTED_VALUE"""),2.99)</f>
        <v>2.99</v>
      </c>
      <c r="H1905" s="17"/>
      <c r="K1905" s="17"/>
      <c r="N1905" s="17"/>
    </row>
    <row r="1906">
      <c r="B1906" s="11">
        <f>IFERROR(__xludf.DUMMYFUNCTION("""COMPUTED_VALUE"""),43357.0)</f>
        <v>43357</v>
      </c>
      <c r="C1906" s="9">
        <f>IFERROR(__xludf.DUMMYFUNCTION("""COMPUTED_VALUE"""),2.99)</f>
        <v>2.99</v>
      </c>
      <c r="H1906" s="17"/>
      <c r="K1906" s="17"/>
      <c r="N1906" s="17"/>
    </row>
    <row r="1907">
      <c r="B1907" s="11">
        <f>IFERROR(__xludf.DUMMYFUNCTION("""COMPUTED_VALUE"""),43356.0)</f>
        <v>43356</v>
      </c>
      <c r="C1907" s="9">
        <f>IFERROR(__xludf.DUMMYFUNCTION("""COMPUTED_VALUE"""),2.97)</f>
        <v>2.97</v>
      </c>
      <c r="H1907" s="17"/>
      <c r="K1907" s="17"/>
      <c r="N1907" s="17"/>
    </row>
    <row r="1908">
      <c r="B1908" s="11">
        <f>IFERROR(__xludf.DUMMYFUNCTION("""COMPUTED_VALUE"""),43355.0)</f>
        <v>43355</v>
      </c>
      <c r="C1908" s="9">
        <f>IFERROR(__xludf.DUMMYFUNCTION("""COMPUTED_VALUE"""),2.97)</f>
        <v>2.97</v>
      </c>
      <c r="H1908" s="17"/>
      <c r="K1908" s="17"/>
      <c r="N1908" s="17"/>
    </row>
    <row r="1909">
      <c r="B1909" s="11">
        <f>IFERROR(__xludf.DUMMYFUNCTION("""COMPUTED_VALUE"""),43354.0)</f>
        <v>43354</v>
      </c>
      <c r="C1909" s="9">
        <f>IFERROR(__xludf.DUMMYFUNCTION("""COMPUTED_VALUE"""),2.98)</f>
        <v>2.98</v>
      </c>
      <c r="H1909" s="17"/>
      <c r="K1909" s="17"/>
      <c r="N1909" s="17"/>
    </row>
    <row r="1910">
      <c r="B1910" s="11">
        <f>IFERROR(__xludf.DUMMYFUNCTION("""COMPUTED_VALUE"""),43353.0)</f>
        <v>43353</v>
      </c>
      <c r="C1910" s="9">
        <f>IFERROR(__xludf.DUMMYFUNCTION("""COMPUTED_VALUE"""),2.94)</f>
        <v>2.94</v>
      </c>
      <c r="H1910" s="17"/>
      <c r="K1910" s="17"/>
      <c r="N1910" s="17"/>
    </row>
    <row r="1911">
      <c r="B1911" s="11">
        <f>IFERROR(__xludf.DUMMYFUNCTION("""COMPUTED_VALUE"""),43350.0)</f>
        <v>43350</v>
      </c>
      <c r="C1911" s="9">
        <f>IFERROR(__xludf.DUMMYFUNCTION("""COMPUTED_VALUE"""),2.94)</f>
        <v>2.94</v>
      </c>
      <c r="H1911" s="17"/>
      <c r="K1911" s="17"/>
      <c r="N1911" s="17"/>
    </row>
    <row r="1912">
      <c r="B1912" s="11">
        <f>IFERROR(__xludf.DUMMYFUNCTION("""COMPUTED_VALUE"""),43349.0)</f>
        <v>43349</v>
      </c>
      <c r="C1912" s="9">
        <f>IFERROR(__xludf.DUMMYFUNCTION("""COMPUTED_VALUE"""),2.88)</f>
        <v>2.88</v>
      </c>
      <c r="H1912" s="17"/>
      <c r="K1912" s="17"/>
      <c r="N1912" s="17"/>
    </row>
    <row r="1913">
      <c r="B1913" s="11">
        <f>IFERROR(__xludf.DUMMYFUNCTION("""COMPUTED_VALUE"""),43348.0)</f>
        <v>43348</v>
      </c>
      <c r="C1913" s="9">
        <f>IFERROR(__xludf.DUMMYFUNCTION("""COMPUTED_VALUE"""),2.9)</f>
        <v>2.9</v>
      </c>
      <c r="H1913" s="17"/>
      <c r="K1913" s="17"/>
      <c r="N1913" s="17"/>
    </row>
    <row r="1914">
      <c r="B1914" s="11">
        <f>IFERROR(__xludf.DUMMYFUNCTION("""COMPUTED_VALUE"""),43347.0)</f>
        <v>43347</v>
      </c>
      <c r="C1914" s="9">
        <f>IFERROR(__xludf.DUMMYFUNCTION("""COMPUTED_VALUE"""),2.9)</f>
        <v>2.9</v>
      </c>
      <c r="H1914" s="17"/>
      <c r="K1914" s="17"/>
      <c r="N1914" s="17"/>
    </row>
    <row r="1915">
      <c r="B1915" s="11">
        <f>IFERROR(__xludf.DUMMYFUNCTION("""COMPUTED_VALUE"""),43346.0)</f>
        <v>43346</v>
      </c>
      <c r="C1915" s="9"/>
      <c r="H1915" s="17"/>
      <c r="K1915" s="17"/>
      <c r="N1915" s="17"/>
    </row>
    <row r="1916">
      <c r="B1916" s="11">
        <f>IFERROR(__xludf.DUMMYFUNCTION("""COMPUTED_VALUE"""),43343.0)</f>
        <v>43343</v>
      </c>
      <c r="C1916" s="9">
        <f>IFERROR(__xludf.DUMMYFUNCTION("""COMPUTED_VALUE"""),2.86)</f>
        <v>2.86</v>
      </c>
      <c r="H1916" s="17"/>
      <c r="K1916" s="17"/>
      <c r="N1916" s="17"/>
    </row>
    <row r="1917">
      <c r="B1917" s="11">
        <f>IFERROR(__xludf.DUMMYFUNCTION("""COMPUTED_VALUE"""),43342.0)</f>
        <v>43342</v>
      </c>
      <c r="C1917" s="9">
        <f>IFERROR(__xludf.DUMMYFUNCTION("""COMPUTED_VALUE"""),2.86)</f>
        <v>2.86</v>
      </c>
      <c r="H1917" s="17"/>
      <c r="K1917" s="17"/>
      <c r="N1917" s="17"/>
    </row>
    <row r="1918">
      <c r="B1918" s="11">
        <f>IFERROR(__xludf.DUMMYFUNCTION("""COMPUTED_VALUE"""),43341.0)</f>
        <v>43341</v>
      </c>
      <c r="C1918" s="9">
        <f>IFERROR(__xludf.DUMMYFUNCTION("""COMPUTED_VALUE"""),2.89)</f>
        <v>2.89</v>
      </c>
      <c r="H1918" s="17"/>
      <c r="K1918" s="17"/>
      <c r="N1918" s="17"/>
    </row>
    <row r="1919">
      <c r="B1919" s="11">
        <f>IFERROR(__xludf.DUMMYFUNCTION("""COMPUTED_VALUE"""),43340.0)</f>
        <v>43340</v>
      </c>
      <c r="C1919" s="9">
        <f>IFERROR(__xludf.DUMMYFUNCTION("""COMPUTED_VALUE"""),2.88)</f>
        <v>2.88</v>
      </c>
      <c r="H1919" s="17"/>
      <c r="K1919" s="17"/>
      <c r="N1919" s="17"/>
    </row>
    <row r="1920">
      <c r="B1920" s="11">
        <f>IFERROR(__xludf.DUMMYFUNCTION("""COMPUTED_VALUE"""),43339.0)</f>
        <v>43339</v>
      </c>
      <c r="C1920" s="9">
        <f>IFERROR(__xludf.DUMMYFUNCTION("""COMPUTED_VALUE"""),2.85)</f>
        <v>2.85</v>
      </c>
      <c r="H1920" s="17"/>
      <c r="K1920" s="17"/>
      <c r="N1920" s="17"/>
    </row>
    <row r="1921">
      <c r="B1921" s="11">
        <f>IFERROR(__xludf.DUMMYFUNCTION("""COMPUTED_VALUE"""),43336.0)</f>
        <v>43336</v>
      </c>
      <c r="C1921" s="9">
        <f>IFERROR(__xludf.DUMMYFUNCTION("""COMPUTED_VALUE"""),2.82)</f>
        <v>2.82</v>
      </c>
      <c r="H1921" s="17"/>
      <c r="K1921" s="17"/>
      <c r="N1921" s="17"/>
    </row>
    <row r="1922">
      <c r="B1922" s="11">
        <f>IFERROR(__xludf.DUMMYFUNCTION("""COMPUTED_VALUE"""),43335.0)</f>
        <v>43335</v>
      </c>
      <c r="C1922" s="9">
        <f>IFERROR(__xludf.DUMMYFUNCTION("""COMPUTED_VALUE"""),2.82)</f>
        <v>2.82</v>
      </c>
      <c r="H1922" s="17"/>
      <c r="K1922" s="17"/>
      <c r="N1922" s="17"/>
    </row>
    <row r="1923">
      <c r="B1923" s="11">
        <f>IFERROR(__xludf.DUMMYFUNCTION("""COMPUTED_VALUE"""),43334.0)</f>
        <v>43334</v>
      </c>
      <c r="C1923" s="9">
        <f>IFERROR(__xludf.DUMMYFUNCTION("""COMPUTED_VALUE"""),2.82)</f>
        <v>2.82</v>
      </c>
      <c r="H1923" s="17"/>
      <c r="K1923" s="17"/>
      <c r="N1923" s="17"/>
    </row>
    <row r="1924">
      <c r="B1924" s="11">
        <f>IFERROR(__xludf.DUMMYFUNCTION("""COMPUTED_VALUE"""),43333.0)</f>
        <v>43333</v>
      </c>
      <c r="C1924" s="9">
        <f>IFERROR(__xludf.DUMMYFUNCTION("""COMPUTED_VALUE"""),2.85)</f>
        <v>2.85</v>
      </c>
      <c r="H1924" s="17"/>
      <c r="K1924" s="17"/>
      <c r="N1924" s="17"/>
    </row>
    <row r="1925">
      <c r="B1925" s="11">
        <f>IFERROR(__xludf.DUMMYFUNCTION("""COMPUTED_VALUE"""),43332.0)</f>
        <v>43332</v>
      </c>
      <c r="C1925" s="9">
        <f>IFERROR(__xludf.DUMMYFUNCTION("""COMPUTED_VALUE"""),2.82)</f>
        <v>2.82</v>
      </c>
      <c r="H1925" s="17"/>
      <c r="K1925" s="17"/>
      <c r="N1925" s="17"/>
    </row>
    <row r="1926">
      <c r="B1926" s="11">
        <f>IFERROR(__xludf.DUMMYFUNCTION("""COMPUTED_VALUE"""),43329.0)</f>
        <v>43329</v>
      </c>
      <c r="C1926" s="9">
        <f>IFERROR(__xludf.DUMMYFUNCTION("""COMPUTED_VALUE"""),2.87)</f>
        <v>2.87</v>
      </c>
      <c r="H1926" s="17"/>
      <c r="K1926" s="17"/>
      <c r="N1926" s="17"/>
    </row>
    <row r="1927">
      <c r="B1927" s="11">
        <f>IFERROR(__xludf.DUMMYFUNCTION("""COMPUTED_VALUE"""),43328.0)</f>
        <v>43328</v>
      </c>
      <c r="C1927" s="9">
        <f>IFERROR(__xludf.DUMMYFUNCTION("""COMPUTED_VALUE"""),2.87)</f>
        <v>2.87</v>
      </c>
      <c r="H1927" s="17"/>
      <c r="K1927" s="17"/>
      <c r="N1927" s="17"/>
    </row>
    <row r="1928">
      <c r="B1928" s="11">
        <f>IFERROR(__xludf.DUMMYFUNCTION("""COMPUTED_VALUE"""),43327.0)</f>
        <v>43327</v>
      </c>
      <c r="C1928" s="9">
        <f>IFERROR(__xludf.DUMMYFUNCTION("""COMPUTED_VALUE"""),2.86)</f>
        <v>2.86</v>
      </c>
      <c r="H1928" s="17"/>
      <c r="K1928" s="17"/>
      <c r="N1928" s="17"/>
    </row>
    <row r="1929">
      <c r="B1929" s="11">
        <f>IFERROR(__xludf.DUMMYFUNCTION("""COMPUTED_VALUE"""),43326.0)</f>
        <v>43326</v>
      </c>
      <c r="C1929" s="9">
        <f>IFERROR(__xludf.DUMMYFUNCTION("""COMPUTED_VALUE"""),2.89)</f>
        <v>2.89</v>
      </c>
      <c r="H1929" s="17"/>
      <c r="K1929" s="17"/>
      <c r="N1929" s="17"/>
    </row>
    <row r="1930">
      <c r="B1930" s="11">
        <f>IFERROR(__xludf.DUMMYFUNCTION("""COMPUTED_VALUE"""),43325.0)</f>
        <v>43325</v>
      </c>
      <c r="C1930" s="9">
        <f>IFERROR(__xludf.DUMMYFUNCTION("""COMPUTED_VALUE"""),2.88)</f>
        <v>2.88</v>
      </c>
      <c r="H1930" s="17"/>
      <c r="K1930" s="17"/>
      <c r="N1930" s="17"/>
    </row>
    <row r="1931">
      <c r="B1931" s="11">
        <f>IFERROR(__xludf.DUMMYFUNCTION("""COMPUTED_VALUE"""),43322.0)</f>
        <v>43322</v>
      </c>
      <c r="C1931" s="9">
        <f>IFERROR(__xludf.DUMMYFUNCTION("""COMPUTED_VALUE"""),2.87)</f>
        <v>2.87</v>
      </c>
      <c r="H1931" s="17"/>
      <c r="K1931" s="17"/>
      <c r="N1931" s="17"/>
    </row>
    <row r="1932">
      <c r="B1932" s="11">
        <f>IFERROR(__xludf.DUMMYFUNCTION("""COMPUTED_VALUE"""),43321.0)</f>
        <v>43321</v>
      </c>
      <c r="C1932" s="9">
        <f>IFERROR(__xludf.DUMMYFUNCTION("""COMPUTED_VALUE"""),2.93)</f>
        <v>2.93</v>
      </c>
      <c r="H1932" s="17"/>
      <c r="K1932" s="17"/>
      <c r="N1932" s="17"/>
    </row>
    <row r="1933">
      <c r="B1933" s="11">
        <f>IFERROR(__xludf.DUMMYFUNCTION("""COMPUTED_VALUE"""),43320.0)</f>
        <v>43320</v>
      </c>
      <c r="C1933" s="9">
        <f>IFERROR(__xludf.DUMMYFUNCTION("""COMPUTED_VALUE"""),2.96)</f>
        <v>2.96</v>
      </c>
      <c r="H1933" s="17"/>
      <c r="K1933" s="17"/>
      <c r="N1933" s="17"/>
    </row>
    <row r="1934">
      <c r="B1934" s="11">
        <f>IFERROR(__xludf.DUMMYFUNCTION("""COMPUTED_VALUE"""),43319.0)</f>
        <v>43319</v>
      </c>
      <c r="C1934" s="9">
        <f>IFERROR(__xludf.DUMMYFUNCTION("""COMPUTED_VALUE"""),2.98)</f>
        <v>2.98</v>
      </c>
      <c r="H1934" s="17"/>
      <c r="K1934" s="17"/>
      <c r="N1934" s="17"/>
    </row>
    <row r="1935">
      <c r="B1935" s="11">
        <f>IFERROR(__xludf.DUMMYFUNCTION("""COMPUTED_VALUE"""),43318.0)</f>
        <v>43318</v>
      </c>
      <c r="C1935" s="9">
        <f>IFERROR(__xludf.DUMMYFUNCTION("""COMPUTED_VALUE"""),2.94)</f>
        <v>2.94</v>
      </c>
      <c r="H1935" s="17"/>
      <c r="K1935" s="17"/>
      <c r="N1935" s="17"/>
    </row>
    <row r="1936">
      <c r="B1936" s="11">
        <f>IFERROR(__xludf.DUMMYFUNCTION("""COMPUTED_VALUE"""),43315.0)</f>
        <v>43315</v>
      </c>
      <c r="C1936" s="9">
        <f>IFERROR(__xludf.DUMMYFUNCTION("""COMPUTED_VALUE"""),2.95)</f>
        <v>2.95</v>
      </c>
      <c r="H1936" s="17"/>
      <c r="K1936" s="17"/>
      <c r="N1936" s="17"/>
    </row>
    <row r="1937">
      <c r="B1937" s="11">
        <f>IFERROR(__xludf.DUMMYFUNCTION("""COMPUTED_VALUE"""),43314.0)</f>
        <v>43314</v>
      </c>
      <c r="C1937" s="9">
        <f>IFERROR(__xludf.DUMMYFUNCTION("""COMPUTED_VALUE"""),2.98)</f>
        <v>2.98</v>
      </c>
      <c r="H1937" s="17"/>
      <c r="K1937" s="17"/>
      <c r="N1937" s="17"/>
    </row>
    <row r="1938">
      <c r="B1938" s="11">
        <f>IFERROR(__xludf.DUMMYFUNCTION("""COMPUTED_VALUE"""),43313.0)</f>
        <v>43313</v>
      </c>
      <c r="C1938" s="9">
        <f>IFERROR(__xludf.DUMMYFUNCTION("""COMPUTED_VALUE"""),3.0)</f>
        <v>3</v>
      </c>
      <c r="H1938" s="17"/>
      <c r="K1938" s="17"/>
      <c r="N1938" s="17"/>
    </row>
    <row r="1939">
      <c r="B1939" s="11">
        <f>IFERROR(__xludf.DUMMYFUNCTION("""COMPUTED_VALUE"""),43312.0)</f>
        <v>43312</v>
      </c>
      <c r="C1939" s="9">
        <f>IFERROR(__xludf.DUMMYFUNCTION("""COMPUTED_VALUE"""),2.96)</f>
        <v>2.96</v>
      </c>
      <c r="H1939" s="17"/>
      <c r="K1939" s="17"/>
      <c r="N1939" s="17"/>
    </row>
    <row r="1940">
      <c r="B1940" s="11">
        <f>IFERROR(__xludf.DUMMYFUNCTION("""COMPUTED_VALUE"""),43311.0)</f>
        <v>43311</v>
      </c>
      <c r="C1940" s="9">
        <f>IFERROR(__xludf.DUMMYFUNCTION("""COMPUTED_VALUE"""),2.98)</f>
        <v>2.98</v>
      </c>
      <c r="H1940" s="17"/>
      <c r="K1940" s="17"/>
      <c r="N1940" s="17"/>
    </row>
    <row r="1941">
      <c r="B1941" s="11">
        <f>IFERROR(__xludf.DUMMYFUNCTION("""COMPUTED_VALUE"""),43308.0)</f>
        <v>43308</v>
      </c>
      <c r="C1941" s="9">
        <f>IFERROR(__xludf.DUMMYFUNCTION("""COMPUTED_VALUE"""),2.96)</f>
        <v>2.96</v>
      </c>
      <c r="H1941" s="17"/>
      <c r="K1941" s="17"/>
      <c r="N1941" s="17"/>
    </row>
    <row r="1942">
      <c r="B1942" s="11">
        <f>IFERROR(__xludf.DUMMYFUNCTION("""COMPUTED_VALUE"""),43307.0)</f>
        <v>43307</v>
      </c>
      <c r="C1942" s="9">
        <f>IFERROR(__xludf.DUMMYFUNCTION("""COMPUTED_VALUE"""),2.98)</f>
        <v>2.98</v>
      </c>
      <c r="H1942" s="17"/>
      <c r="K1942" s="17"/>
      <c r="N1942" s="17"/>
    </row>
    <row r="1943">
      <c r="B1943" s="11">
        <f>IFERROR(__xludf.DUMMYFUNCTION("""COMPUTED_VALUE"""),43306.0)</f>
        <v>43306</v>
      </c>
      <c r="C1943" s="9">
        <f>IFERROR(__xludf.DUMMYFUNCTION("""COMPUTED_VALUE"""),2.94)</f>
        <v>2.94</v>
      </c>
      <c r="H1943" s="17"/>
      <c r="K1943" s="17"/>
      <c r="N1943" s="17"/>
    </row>
    <row r="1944">
      <c r="B1944" s="11">
        <f>IFERROR(__xludf.DUMMYFUNCTION("""COMPUTED_VALUE"""),43305.0)</f>
        <v>43305</v>
      </c>
      <c r="C1944" s="9">
        <f>IFERROR(__xludf.DUMMYFUNCTION("""COMPUTED_VALUE"""),2.95)</f>
        <v>2.95</v>
      </c>
      <c r="H1944" s="17"/>
      <c r="K1944" s="17"/>
      <c r="N1944" s="17"/>
    </row>
    <row r="1945">
      <c r="B1945" s="11">
        <f>IFERROR(__xludf.DUMMYFUNCTION("""COMPUTED_VALUE"""),43304.0)</f>
        <v>43304</v>
      </c>
      <c r="C1945" s="9">
        <f>IFERROR(__xludf.DUMMYFUNCTION("""COMPUTED_VALUE"""),2.96)</f>
        <v>2.96</v>
      </c>
      <c r="H1945" s="17"/>
      <c r="K1945" s="17"/>
      <c r="N1945" s="17"/>
    </row>
    <row r="1946">
      <c r="B1946" s="11">
        <f>IFERROR(__xludf.DUMMYFUNCTION("""COMPUTED_VALUE"""),43301.0)</f>
        <v>43301</v>
      </c>
      <c r="C1946" s="9">
        <f>IFERROR(__xludf.DUMMYFUNCTION("""COMPUTED_VALUE"""),2.89)</f>
        <v>2.89</v>
      </c>
      <c r="H1946" s="17"/>
      <c r="K1946" s="17"/>
      <c r="N1946" s="17"/>
    </row>
    <row r="1947">
      <c r="B1947" s="11">
        <f>IFERROR(__xludf.DUMMYFUNCTION("""COMPUTED_VALUE"""),43300.0)</f>
        <v>43300</v>
      </c>
      <c r="C1947" s="9">
        <f>IFERROR(__xludf.DUMMYFUNCTION("""COMPUTED_VALUE"""),2.84)</f>
        <v>2.84</v>
      </c>
      <c r="H1947" s="17"/>
      <c r="K1947" s="17"/>
      <c r="N1947" s="17"/>
    </row>
    <row r="1948">
      <c r="B1948" s="11">
        <f>IFERROR(__xludf.DUMMYFUNCTION("""COMPUTED_VALUE"""),43299.0)</f>
        <v>43299</v>
      </c>
      <c r="C1948" s="9">
        <f>IFERROR(__xludf.DUMMYFUNCTION("""COMPUTED_VALUE"""),2.88)</f>
        <v>2.88</v>
      </c>
      <c r="H1948" s="17"/>
      <c r="K1948" s="17"/>
      <c r="N1948" s="17"/>
    </row>
    <row r="1949">
      <c r="B1949" s="11">
        <f>IFERROR(__xludf.DUMMYFUNCTION("""COMPUTED_VALUE"""),43298.0)</f>
        <v>43298</v>
      </c>
      <c r="C1949" s="9">
        <f>IFERROR(__xludf.DUMMYFUNCTION("""COMPUTED_VALUE"""),2.86)</f>
        <v>2.86</v>
      </c>
      <c r="H1949" s="17"/>
      <c r="K1949" s="17"/>
      <c r="N1949" s="17"/>
    </row>
    <row r="1950">
      <c r="B1950" s="11">
        <f>IFERROR(__xludf.DUMMYFUNCTION("""COMPUTED_VALUE"""),43297.0)</f>
        <v>43297</v>
      </c>
      <c r="C1950" s="9">
        <f>IFERROR(__xludf.DUMMYFUNCTION("""COMPUTED_VALUE"""),2.85)</f>
        <v>2.85</v>
      </c>
      <c r="H1950" s="17"/>
      <c r="K1950" s="17"/>
      <c r="N1950" s="17"/>
    </row>
    <row r="1951">
      <c r="B1951" s="11">
        <f>IFERROR(__xludf.DUMMYFUNCTION("""COMPUTED_VALUE"""),43294.0)</f>
        <v>43294</v>
      </c>
      <c r="C1951" s="9">
        <f>IFERROR(__xludf.DUMMYFUNCTION("""COMPUTED_VALUE"""),2.83)</f>
        <v>2.83</v>
      </c>
      <c r="H1951" s="17"/>
      <c r="K1951" s="17"/>
      <c r="N1951" s="17"/>
    </row>
    <row r="1952">
      <c r="B1952" s="11">
        <f>IFERROR(__xludf.DUMMYFUNCTION("""COMPUTED_VALUE"""),43293.0)</f>
        <v>43293</v>
      </c>
      <c r="C1952" s="9">
        <f>IFERROR(__xludf.DUMMYFUNCTION("""COMPUTED_VALUE"""),2.85)</f>
        <v>2.85</v>
      </c>
      <c r="H1952" s="17"/>
      <c r="K1952" s="17"/>
      <c r="N1952" s="17"/>
    </row>
    <row r="1953">
      <c r="B1953" s="11">
        <f>IFERROR(__xludf.DUMMYFUNCTION("""COMPUTED_VALUE"""),43292.0)</f>
        <v>43292</v>
      </c>
      <c r="C1953" s="9">
        <f>IFERROR(__xludf.DUMMYFUNCTION("""COMPUTED_VALUE"""),2.85)</f>
        <v>2.85</v>
      </c>
      <c r="H1953" s="17"/>
      <c r="K1953" s="17"/>
      <c r="N1953" s="17"/>
    </row>
    <row r="1954">
      <c r="B1954" s="11">
        <f>IFERROR(__xludf.DUMMYFUNCTION("""COMPUTED_VALUE"""),43291.0)</f>
        <v>43291</v>
      </c>
      <c r="C1954" s="9">
        <f>IFERROR(__xludf.DUMMYFUNCTION("""COMPUTED_VALUE"""),2.87)</f>
        <v>2.87</v>
      </c>
      <c r="H1954" s="17"/>
      <c r="K1954" s="17"/>
      <c r="N1954" s="17"/>
    </row>
    <row r="1955">
      <c r="B1955" s="11">
        <f>IFERROR(__xludf.DUMMYFUNCTION("""COMPUTED_VALUE"""),43290.0)</f>
        <v>43290</v>
      </c>
      <c r="C1955" s="9">
        <f>IFERROR(__xludf.DUMMYFUNCTION("""COMPUTED_VALUE"""),2.86)</f>
        <v>2.86</v>
      </c>
      <c r="H1955" s="17"/>
      <c r="K1955" s="17"/>
      <c r="N1955" s="17"/>
    </row>
    <row r="1956">
      <c r="B1956" s="11">
        <f>IFERROR(__xludf.DUMMYFUNCTION("""COMPUTED_VALUE"""),43287.0)</f>
        <v>43287</v>
      </c>
      <c r="C1956" s="9">
        <f>IFERROR(__xludf.DUMMYFUNCTION("""COMPUTED_VALUE"""),2.82)</f>
        <v>2.82</v>
      </c>
      <c r="H1956" s="17"/>
      <c r="K1956" s="17"/>
      <c r="N1956" s="17"/>
    </row>
    <row r="1957">
      <c r="B1957" s="11">
        <f>IFERROR(__xludf.DUMMYFUNCTION("""COMPUTED_VALUE"""),43286.0)</f>
        <v>43286</v>
      </c>
      <c r="C1957" s="9">
        <f>IFERROR(__xludf.DUMMYFUNCTION("""COMPUTED_VALUE"""),2.84)</f>
        <v>2.84</v>
      </c>
      <c r="H1957" s="17"/>
      <c r="K1957" s="17"/>
      <c r="N1957" s="17"/>
    </row>
    <row r="1958">
      <c r="B1958" s="11">
        <f>IFERROR(__xludf.DUMMYFUNCTION("""COMPUTED_VALUE"""),43285.0)</f>
        <v>43285</v>
      </c>
      <c r="C1958" s="9"/>
      <c r="H1958" s="17"/>
      <c r="K1958" s="17"/>
      <c r="N1958" s="17"/>
    </row>
    <row r="1959">
      <c r="B1959" s="11">
        <f>IFERROR(__xludf.DUMMYFUNCTION("""COMPUTED_VALUE"""),43284.0)</f>
        <v>43284</v>
      </c>
      <c r="C1959" s="9">
        <f>IFERROR(__xludf.DUMMYFUNCTION("""COMPUTED_VALUE"""),2.83)</f>
        <v>2.83</v>
      </c>
      <c r="H1959" s="17"/>
      <c r="K1959" s="17"/>
      <c r="N1959" s="17"/>
    </row>
    <row r="1960">
      <c r="B1960" s="11">
        <f>IFERROR(__xludf.DUMMYFUNCTION("""COMPUTED_VALUE"""),43283.0)</f>
        <v>43283</v>
      </c>
      <c r="C1960" s="9">
        <f>IFERROR(__xludf.DUMMYFUNCTION("""COMPUTED_VALUE"""),2.87)</f>
        <v>2.87</v>
      </c>
      <c r="H1960" s="17"/>
      <c r="K1960" s="17"/>
      <c r="N1960" s="17"/>
    </row>
    <row r="1961">
      <c r="B1961" s="11">
        <f>IFERROR(__xludf.DUMMYFUNCTION("""COMPUTED_VALUE"""),43280.0)</f>
        <v>43280</v>
      </c>
      <c r="C1961" s="9">
        <f>IFERROR(__xludf.DUMMYFUNCTION("""COMPUTED_VALUE"""),2.85)</f>
        <v>2.85</v>
      </c>
      <c r="H1961" s="17"/>
      <c r="K1961" s="17"/>
      <c r="N1961" s="17"/>
    </row>
    <row r="1962">
      <c r="B1962" s="11">
        <f>IFERROR(__xludf.DUMMYFUNCTION("""COMPUTED_VALUE"""),43279.0)</f>
        <v>43279</v>
      </c>
      <c r="C1962" s="9">
        <f>IFERROR(__xludf.DUMMYFUNCTION("""COMPUTED_VALUE"""),2.84)</f>
        <v>2.84</v>
      </c>
      <c r="H1962" s="17"/>
      <c r="K1962" s="17"/>
      <c r="N1962" s="17"/>
    </row>
    <row r="1963">
      <c r="B1963" s="11">
        <f>IFERROR(__xludf.DUMMYFUNCTION("""COMPUTED_VALUE"""),43278.0)</f>
        <v>43278</v>
      </c>
      <c r="C1963" s="9">
        <f>IFERROR(__xludf.DUMMYFUNCTION("""COMPUTED_VALUE"""),2.83)</f>
        <v>2.83</v>
      </c>
      <c r="H1963" s="17"/>
      <c r="K1963" s="17"/>
      <c r="N1963" s="17"/>
    </row>
    <row r="1964">
      <c r="B1964" s="11">
        <f>IFERROR(__xludf.DUMMYFUNCTION("""COMPUTED_VALUE"""),43277.0)</f>
        <v>43277</v>
      </c>
      <c r="C1964" s="9">
        <f>IFERROR(__xludf.DUMMYFUNCTION("""COMPUTED_VALUE"""),2.88)</f>
        <v>2.88</v>
      </c>
      <c r="H1964" s="17"/>
      <c r="K1964" s="17"/>
      <c r="N1964" s="17"/>
    </row>
    <row r="1965">
      <c r="B1965" s="11">
        <f>IFERROR(__xludf.DUMMYFUNCTION("""COMPUTED_VALUE"""),43276.0)</f>
        <v>43276</v>
      </c>
      <c r="C1965" s="9">
        <f>IFERROR(__xludf.DUMMYFUNCTION("""COMPUTED_VALUE"""),2.87)</f>
        <v>2.87</v>
      </c>
      <c r="H1965" s="17"/>
      <c r="K1965" s="17"/>
      <c r="N1965" s="17"/>
    </row>
    <row r="1966">
      <c r="B1966" s="11">
        <f>IFERROR(__xludf.DUMMYFUNCTION("""COMPUTED_VALUE"""),43273.0)</f>
        <v>43273</v>
      </c>
      <c r="C1966" s="9">
        <f>IFERROR(__xludf.DUMMYFUNCTION("""COMPUTED_VALUE"""),2.9)</f>
        <v>2.9</v>
      </c>
      <c r="H1966" s="17"/>
      <c r="K1966" s="17"/>
      <c r="N1966" s="17"/>
    </row>
    <row r="1967">
      <c r="B1967" s="11">
        <f>IFERROR(__xludf.DUMMYFUNCTION("""COMPUTED_VALUE"""),43272.0)</f>
        <v>43272</v>
      </c>
      <c r="C1967" s="9">
        <f>IFERROR(__xludf.DUMMYFUNCTION("""COMPUTED_VALUE"""),2.9)</f>
        <v>2.9</v>
      </c>
      <c r="H1967" s="17"/>
      <c r="K1967" s="17"/>
      <c r="N1967" s="17"/>
    </row>
    <row r="1968">
      <c r="B1968" s="11">
        <f>IFERROR(__xludf.DUMMYFUNCTION("""COMPUTED_VALUE"""),43271.0)</f>
        <v>43271</v>
      </c>
      <c r="C1968" s="9">
        <f>IFERROR(__xludf.DUMMYFUNCTION("""COMPUTED_VALUE"""),2.93)</f>
        <v>2.93</v>
      </c>
      <c r="H1968" s="17"/>
      <c r="K1968" s="17"/>
      <c r="N1968" s="17"/>
    </row>
    <row r="1969">
      <c r="B1969" s="11">
        <f>IFERROR(__xludf.DUMMYFUNCTION("""COMPUTED_VALUE"""),43270.0)</f>
        <v>43270</v>
      </c>
      <c r="C1969" s="9">
        <f>IFERROR(__xludf.DUMMYFUNCTION("""COMPUTED_VALUE"""),2.89)</f>
        <v>2.89</v>
      </c>
      <c r="H1969" s="17"/>
      <c r="K1969" s="17"/>
      <c r="N1969" s="17"/>
    </row>
    <row r="1970">
      <c r="B1970" s="11">
        <f>IFERROR(__xludf.DUMMYFUNCTION("""COMPUTED_VALUE"""),43269.0)</f>
        <v>43269</v>
      </c>
      <c r="C1970" s="9">
        <f>IFERROR(__xludf.DUMMYFUNCTION("""COMPUTED_VALUE"""),2.92)</f>
        <v>2.92</v>
      </c>
      <c r="H1970" s="17"/>
      <c r="K1970" s="17"/>
      <c r="N1970" s="17"/>
    </row>
    <row r="1971">
      <c r="B1971" s="11">
        <f>IFERROR(__xludf.DUMMYFUNCTION("""COMPUTED_VALUE"""),43266.0)</f>
        <v>43266</v>
      </c>
      <c r="C1971" s="9">
        <f>IFERROR(__xludf.DUMMYFUNCTION("""COMPUTED_VALUE"""),2.93)</f>
        <v>2.93</v>
      </c>
      <c r="H1971" s="17"/>
      <c r="K1971" s="17"/>
      <c r="N1971" s="17"/>
    </row>
    <row r="1972">
      <c r="B1972" s="11">
        <f>IFERROR(__xludf.DUMMYFUNCTION("""COMPUTED_VALUE"""),43265.0)</f>
        <v>43265</v>
      </c>
      <c r="C1972" s="9">
        <f>IFERROR(__xludf.DUMMYFUNCTION("""COMPUTED_VALUE"""),2.94)</f>
        <v>2.94</v>
      </c>
      <c r="H1972" s="17"/>
      <c r="K1972" s="17"/>
      <c r="N1972" s="17"/>
    </row>
    <row r="1973">
      <c r="B1973" s="11">
        <f>IFERROR(__xludf.DUMMYFUNCTION("""COMPUTED_VALUE"""),43264.0)</f>
        <v>43264</v>
      </c>
      <c r="C1973" s="9">
        <f>IFERROR(__xludf.DUMMYFUNCTION("""COMPUTED_VALUE"""),2.98)</f>
        <v>2.98</v>
      </c>
      <c r="H1973" s="17"/>
      <c r="K1973" s="17"/>
      <c r="N1973" s="17"/>
    </row>
    <row r="1974">
      <c r="B1974" s="11">
        <f>IFERROR(__xludf.DUMMYFUNCTION("""COMPUTED_VALUE"""),43263.0)</f>
        <v>43263</v>
      </c>
      <c r="C1974" s="9">
        <f>IFERROR(__xludf.DUMMYFUNCTION("""COMPUTED_VALUE"""),2.96)</f>
        <v>2.96</v>
      </c>
      <c r="H1974" s="17"/>
      <c r="K1974" s="17"/>
      <c r="N1974" s="17"/>
    </row>
    <row r="1975">
      <c r="B1975" s="11">
        <f>IFERROR(__xludf.DUMMYFUNCTION("""COMPUTED_VALUE"""),43262.0)</f>
        <v>43262</v>
      </c>
      <c r="C1975" s="9">
        <f>IFERROR(__xludf.DUMMYFUNCTION("""COMPUTED_VALUE"""),2.96)</f>
        <v>2.96</v>
      </c>
      <c r="H1975" s="17"/>
      <c r="K1975" s="17"/>
      <c r="N1975" s="17"/>
    </row>
    <row r="1976">
      <c r="B1976" s="11">
        <f>IFERROR(__xludf.DUMMYFUNCTION("""COMPUTED_VALUE"""),43259.0)</f>
        <v>43259</v>
      </c>
      <c r="C1976" s="9">
        <f>IFERROR(__xludf.DUMMYFUNCTION("""COMPUTED_VALUE"""),2.93)</f>
        <v>2.93</v>
      </c>
      <c r="H1976" s="17"/>
      <c r="K1976" s="17"/>
      <c r="N1976" s="17"/>
    </row>
    <row r="1977">
      <c r="B1977" s="11">
        <f>IFERROR(__xludf.DUMMYFUNCTION("""COMPUTED_VALUE"""),43258.0)</f>
        <v>43258</v>
      </c>
      <c r="C1977" s="9">
        <f>IFERROR(__xludf.DUMMYFUNCTION("""COMPUTED_VALUE"""),2.93)</f>
        <v>2.93</v>
      </c>
      <c r="H1977" s="17"/>
      <c r="K1977" s="17"/>
      <c r="N1977" s="17"/>
    </row>
    <row r="1978">
      <c r="B1978" s="11">
        <f>IFERROR(__xludf.DUMMYFUNCTION("""COMPUTED_VALUE"""),43257.0)</f>
        <v>43257</v>
      </c>
      <c r="C1978" s="9">
        <f>IFERROR(__xludf.DUMMYFUNCTION("""COMPUTED_VALUE"""),2.97)</f>
        <v>2.97</v>
      </c>
      <c r="H1978" s="17"/>
      <c r="K1978" s="17"/>
      <c r="N1978" s="17"/>
    </row>
    <row r="1979">
      <c r="B1979" s="11">
        <f>IFERROR(__xludf.DUMMYFUNCTION("""COMPUTED_VALUE"""),43256.0)</f>
        <v>43256</v>
      </c>
      <c r="C1979" s="9">
        <f>IFERROR(__xludf.DUMMYFUNCTION("""COMPUTED_VALUE"""),2.92)</f>
        <v>2.92</v>
      </c>
      <c r="H1979" s="17"/>
      <c r="K1979" s="17"/>
      <c r="N1979" s="17"/>
    </row>
    <row r="1980">
      <c r="B1980" s="11">
        <f>IFERROR(__xludf.DUMMYFUNCTION("""COMPUTED_VALUE"""),43255.0)</f>
        <v>43255</v>
      </c>
      <c r="C1980" s="9">
        <f>IFERROR(__xludf.DUMMYFUNCTION("""COMPUTED_VALUE"""),2.94)</f>
        <v>2.94</v>
      </c>
      <c r="H1980" s="17"/>
      <c r="K1980" s="17"/>
      <c r="N1980" s="17"/>
    </row>
    <row r="1981">
      <c r="B1981" s="11">
        <f>IFERROR(__xludf.DUMMYFUNCTION("""COMPUTED_VALUE"""),43252.0)</f>
        <v>43252</v>
      </c>
      <c r="C1981" s="9">
        <f>IFERROR(__xludf.DUMMYFUNCTION("""COMPUTED_VALUE"""),2.89)</f>
        <v>2.89</v>
      </c>
      <c r="H1981" s="17"/>
      <c r="K1981" s="17"/>
      <c r="N1981" s="17"/>
    </row>
    <row r="1982">
      <c r="B1982" s="11">
        <f>IFERROR(__xludf.DUMMYFUNCTION("""COMPUTED_VALUE"""),43251.0)</f>
        <v>43251</v>
      </c>
      <c r="C1982" s="9">
        <f>IFERROR(__xludf.DUMMYFUNCTION("""COMPUTED_VALUE"""),2.83)</f>
        <v>2.83</v>
      </c>
      <c r="H1982" s="17"/>
      <c r="K1982" s="17"/>
      <c r="N1982" s="17"/>
    </row>
    <row r="1983">
      <c r="B1983" s="11">
        <f>IFERROR(__xludf.DUMMYFUNCTION("""COMPUTED_VALUE"""),43250.0)</f>
        <v>43250</v>
      </c>
      <c r="C1983" s="9">
        <f>IFERROR(__xludf.DUMMYFUNCTION("""COMPUTED_VALUE"""),2.84)</f>
        <v>2.84</v>
      </c>
      <c r="H1983" s="17"/>
      <c r="K1983" s="17"/>
      <c r="N1983" s="17"/>
    </row>
    <row r="1984">
      <c r="B1984" s="11">
        <f>IFERROR(__xludf.DUMMYFUNCTION("""COMPUTED_VALUE"""),43249.0)</f>
        <v>43249</v>
      </c>
      <c r="C1984" s="9">
        <f>IFERROR(__xludf.DUMMYFUNCTION("""COMPUTED_VALUE"""),2.77)</f>
        <v>2.77</v>
      </c>
      <c r="H1984" s="17"/>
      <c r="K1984" s="17"/>
      <c r="N1984" s="17"/>
    </row>
    <row r="1985">
      <c r="B1985" s="11">
        <f>IFERROR(__xludf.DUMMYFUNCTION("""COMPUTED_VALUE"""),43248.0)</f>
        <v>43248</v>
      </c>
      <c r="C1985" s="9"/>
      <c r="H1985" s="17"/>
      <c r="K1985" s="17"/>
      <c r="N1985" s="17"/>
    </row>
    <row r="1986">
      <c r="B1986" s="11">
        <f>IFERROR(__xludf.DUMMYFUNCTION("""COMPUTED_VALUE"""),43245.0)</f>
        <v>43245</v>
      </c>
      <c r="C1986" s="9">
        <f>IFERROR(__xludf.DUMMYFUNCTION("""COMPUTED_VALUE"""),2.93)</f>
        <v>2.93</v>
      </c>
      <c r="H1986" s="17"/>
      <c r="K1986" s="17"/>
      <c r="N1986" s="17"/>
    </row>
    <row r="1987">
      <c r="B1987" s="11">
        <f>IFERROR(__xludf.DUMMYFUNCTION("""COMPUTED_VALUE"""),43244.0)</f>
        <v>43244</v>
      </c>
      <c r="C1987" s="9">
        <f>IFERROR(__xludf.DUMMYFUNCTION("""COMPUTED_VALUE"""),2.98)</f>
        <v>2.98</v>
      </c>
      <c r="H1987" s="17"/>
      <c r="K1987" s="17"/>
      <c r="N1987" s="17"/>
    </row>
    <row r="1988">
      <c r="B1988" s="11">
        <f>IFERROR(__xludf.DUMMYFUNCTION("""COMPUTED_VALUE"""),43243.0)</f>
        <v>43243</v>
      </c>
      <c r="C1988" s="9">
        <f>IFERROR(__xludf.DUMMYFUNCTION("""COMPUTED_VALUE"""),3.01)</f>
        <v>3.01</v>
      </c>
      <c r="H1988" s="17"/>
      <c r="K1988" s="17"/>
      <c r="N1988" s="17"/>
    </row>
    <row r="1989">
      <c r="B1989" s="11">
        <f>IFERROR(__xludf.DUMMYFUNCTION("""COMPUTED_VALUE"""),43242.0)</f>
        <v>43242</v>
      </c>
      <c r="C1989" s="9">
        <f>IFERROR(__xludf.DUMMYFUNCTION("""COMPUTED_VALUE"""),3.06)</f>
        <v>3.06</v>
      </c>
      <c r="H1989" s="17"/>
      <c r="K1989" s="17"/>
      <c r="N1989" s="17"/>
    </row>
    <row r="1990">
      <c r="B1990" s="11">
        <f>IFERROR(__xludf.DUMMYFUNCTION("""COMPUTED_VALUE"""),43241.0)</f>
        <v>43241</v>
      </c>
      <c r="C1990" s="9">
        <f>IFERROR(__xludf.DUMMYFUNCTION("""COMPUTED_VALUE"""),3.06)</f>
        <v>3.06</v>
      </c>
      <c r="H1990" s="17"/>
      <c r="K1990" s="17"/>
      <c r="N1990" s="17"/>
    </row>
    <row r="1991">
      <c r="B1991" s="11">
        <f>IFERROR(__xludf.DUMMYFUNCTION("""COMPUTED_VALUE"""),43238.0)</f>
        <v>43238</v>
      </c>
      <c r="C1991" s="9">
        <f>IFERROR(__xludf.DUMMYFUNCTION("""COMPUTED_VALUE"""),3.06)</f>
        <v>3.06</v>
      </c>
      <c r="H1991" s="17"/>
      <c r="K1991" s="17"/>
      <c r="N1991" s="17"/>
    </row>
    <row r="1992">
      <c r="B1992" s="11">
        <f>IFERROR(__xludf.DUMMYFUNCTION("""COMPUTED_VALUE"""),43237.0)</f>
        <v>43237</v>
      </c>
      <c r="C1992" s="9">
        <f>IFERROR(__xludf.DUMMYFUNCTION("""COMPUTED_VALUE"""),3.11)</f>
        <v>3.11</v>
      </c>
      <c r="H1992" s="17"/>
      <c r="K1992" s="17"/>
      <c r="N1992" s="17"/>
    </row>
    <row r="1993">
      <c r="B1993" s="11">
        <f>IFERROR(__xludf.DUMMYFUNCTION("""COMPUTED_VALUE"""),43236.0)</f>
        <v>43236</v>
      </c>
      <c r="C1993" s="9">
        <f>IFERROR(__xludf.DUMMYFUNCTION("""COMPUTED_VALUE"""),3.09)</f>
        <v>3.09</v>
      </c>
      <c r="H1993" s="17"/>
      <c r="K1993" s="17"/>
      <c r="N1993" s="17"/>
    </row>
    <row r="1994">
      <c r="B1994" s="11">
        <f>IFERROR(__xludf.DUMMYFUNCTION("""COMPUTED_VALUE"""),43235.0)</f>
        <v>43235</v>
      </c>
      <c r="C1994" s="9">
        <f>IFERROR(__xludf.DUMMYFUNCTION("""COMPUTED_VALUE"""),3.08)</f>
        <v>3.08</v>
      </c>
      <c r="H1994" s="17"/>
      <c r="K1994" s="17"/>
      <c r="N1994" s="17"/>
    </row>
    <row r="1995">
      <c r="B1995" s="11">
        <f>IFERROR(__xludf.DUMMYFUNCTION("""COMPUTED_VALUE"""),43234.0)</f>
        <v>43234</v>
      </c>
      <c r="C1995" s="9">
        <f>IFERROR(__xludf.DUMMYFUNCTION("""COMPUTED_VALUE"""),3.0)</f>
        <v>3</v>
      </c>
      <c r="H1995" s="17"/>
      <c r="K1995" s="17"/>
      <c r="N1995" s="17"/>
    </row>
    <row r="1996">
      <c r="B1996" s="11">
        <f>IFERROR(__xludf.DUMMYFUNCTION("""COMPUTED_VALUE"""),43231.0)</f>
        <v>43231</v>
      </c>
      <c r="C1996" s="9">
        <f>IFERROR(__xludf.DUMMYFUNCTION("""COMPUTED_VALUE"""),2.97)</f>
        <v>2.97</v>
      </c>
      <c r="H1996" s="17"/>
      <c r="K1996" s="17"/>
      <c r="N1996" s="17"/>
    </row>
    <row r="1997">
      <c r="B1997" s="11">
        <f>IFERROR(__xludf.DUMMYFUNCTION("""COMPUTED_VALUE"""),43230.0)</f>
        <v>43230</v>
      </c>
      <c r="C1997" s="9">
        <f>IFERROR(__xludf.DUMMYFUNCTION("""COMPUTED_VALUE"""),2.97)</f>
        <v>2.97</v>
      </c>
      <c r="H1997" s="17"/>
      <c r="K1997" s="17"/>
      <c r="N1997" s="17"/>
    </row>
    <row r="1998">
      <c r="B1998" s="11">
        <f>IFERROR(__xludf.DUMMYFUNCTION("""COMPUTED_VALUE"""),43229.0)</f>
        <v>43229</v>
      </c>
      <c r="C1998" s="9">
        <f>IFERROR(__xludf.DUMMYFUNCTION("""COMPUTED_VALUE"""),3.0)</f>
        <v>3</v>
      </c>
      <c r="H1998" s="17"/>
      <c r="K1998" s="17"/>
      <c r="N1998" s="17"/>
    </row>
    <row r="1999">
      <c r="B1999" s="11">
        <f>IFERROR(__xludf.DUMMYFUNCTION("""COMPUTED_VALUE"""),43228.0)</f>
        <v>43228</v>
      </c>
      <c r="C1999" s="9">
        <f>IFERROR(__xludf.DUMMYFUNCTION("""COMPUTED_VALUE"""),2.97)</f>
        <v>2.97</v>
      </c>
      <c r="H1999" s="17"/>
      <c r="K1999" s="17"/>
      <c r="N1999" s="17"/>
    </row>
    <row r="2000">
      <c r="B2000" s="11">
        <f>IFERROR(__xludf.DUMMYFUNCTION("""COMPUTED_VALUE"""),43227.0)</f>
        <v>43227</v>
      </c>
      <c r="C2000" s="9">
        <f>IFERROR(__xludf.DUMMYFUNCTION("""COMPUTED_VALUE"""),2.95)</f>
        <v>2.95</v>
      </c>
      <c r="H2000" s="17"/>
      <c r="K2000" s="17"/>
      <c r="N2000" s="17"/>
    </row>
    <row r="2001">
      <c r="B2001" s="11">
        <f>IFERROR(__xludf.DUMMYFUNCTION("""COMPUTED_VALUE"""),43224.0)</f>
        <v>43224</v>
      </c>
      <c r="C2001" s="9">
        <f>IFERROR(__xludf.DUMMYFUNCTION("""COMPUTED_VALUE"""),2.95)</f>
        <v>2.95</v>
      </c>
      <c r="H2001" s="17"/>
      <c r="K2001" s="17"/>
      <c r="N2001" s="17"/>
    </row>
    <row r="2002">
      <c r="B2002" s="11">
        <f>IFERROR(__xludf.DUMMYFUNCTION("""COMPUTED_VALUE"""),43223.0)</f>
        <v>43223</v>
      </c>
      <c r="C2002" s="9">
        <f>IFERROR(__xludf.DUMMYFUNCTION("""COMPUTED_VALUE"""),2.94)</f>
        <v>2.94</v>
      </c>
      <c r="H2002" s="17"/>
      <c r="K2002" s="17"/>
      <c r="N2002" s="17"/>
    </row>
    <row r="2003">
      <c r="B2003" s="11">
        <f>IFERROR(__xludf.DUMMYFUNCTION("""COMPUTED_VALUE"""),43222.0)</f>
        <v>43222</v>
      </c>
      <c r="C2003" s="9">
        <f>IFERROR(__xludf.DUMMYFUNCTION("""COMPUTED_VALUE"""),2.97)</f>
        <v>2.97</v>
      </c>
      <c r="H2003" s="17"/>
      <c r="K2003" s="17"/>
      <c r="N2003" s="17"/>
    </row>
    <row r="2004">
      <c r="B2004" s="11">
        <f>IFERROR(__xludf.DUMMYFUNCTION("""COMPUTED_VALUE"""),43221.0)</f>
        <v>43221</v>
      </c>
      <c r="C2004" s="9">
        <f>IFERROR(__xludf.DUMMYFUNCTION("""COMPUTED_VALUE"""),2.97)</f>
        <v>2.97</v>
      </c>
      <c r="H2004" s="17"/>
      <c r="K2004" s="17"/>
      <c r="N2004" s="17"/>
    </row>
    <row r="2005">
      <c r="B2005" s="11">
        <f>IFERROR(__xludf.DUMMYFUNCTION("""COMPUTED_VALUE"""),43220.0)</f>
        <v>43220</v>
      </c>
      <c r="C2005" s="9">
        <f>IFERROR(__xludf.DUMMYFUNCTION("""COMPUTED_VALUE"""),2.95)</f>
        <v>2.95</v>
      </c>
      <c r="H2005" s="17"/>
      <c r="K2005" s="17"/>
      <c r="N2005" s="17"/>
    </row>
    <row r="2006">
      <c r="B2006" s="11">
        <f>IFERROR(__xludf.DUMMYFUNCTION("""COMPUTED_VALUE"""),43217.0)</f>
        <v>43217</v>
      </c>
      <c r="C2006" s="9">
        <f>IFERROR(__xludf.DUMMYFUNCTION("""COMPUTED_VALUE"""),2.96)</f>
        <v>2.96</v>
      </c>
      <c r="H2006" s="17"/>
      <c r="K2006" s="17"/>
      <c r="N2006" s="17"/>
    </row>
    <row r="2007">
      <c r="B2007" s="11">
        <f>IFERROR(__xludf.DUMMYFUNCTION("""COMPUTED_VALUE"""),43216.0)</f>
        <v>43216</v>
      </c>
      <c r="C2007" s="9">
        <f>IFERROR(__xludf.DUMMYFUNCTION("""COMPUTED_VALUE"""),3.0)</f>
        <v>3</v>
      </c>
      <c r="H2007" s="17"/>
      <c r="K2007" s="17"/>
      <c r="N2007" s="17"/>
    </row>
    <row r="2008">
      <c r="B2008" s="11">
        <f>IFERROR(__xludf.DUMMYFUNCTION("""COMPUTED_VALUE"""),43215.0)</f>
        <v>43215</v>
      </c>
      <c r="C2008" s="9">
        <f>IFERROR(__xludf.DUMMYFUNCTION("""COMPUTED_VALUE"""),3.03)</f>
        <v>3.03</v>
      </c>
      <c r="H2008" s="17"/>
      <c r="K2008" s="17"/>
      <c r="N2008" s="17"/>
    </row>
    <row r="2009">
      <c r="B2009" s="11">
        <f>IFERROR(__xludf.DUMMYFUNCTION("""COMPUTED_VALUE"""),43214.0)</f>
        <v>43214</v>
      </c>
      <c r="C2009" s="9">
        <f>IFERROR(__xludf.DUMMYFUNCTION("""COMPUTED_VALUE"""),3.0)</f>
        <v>3</v>
      </c>
      <c r="H2009" s="17"/>
      <c r="K2009" s="17"/>
      <c r="N2009" s="17"/>
    </row>
    <row r="2010">
      <c r="B2010" s="11">
        <f>IFERROR(__xludf.DUMMYFUNCTION("""COMPUTED_VALUE"""),43213.0)</f>
        <v>43213</v>
      </c>
      <c r="C2010" s="9">
        <f>IFERROR(__xludf.DUMMYFUNCTION("""COMPUTED_VALUE"""),2.98)</f>
        <v>2.98</v>
      </c>
      <c r="H2010" s="17"/>
      <c r="K2010" s="17"/>
      <c r="N2010" s="17"/>
    </row>
    <row r="2011">
      <c r="B2011" s="11">
        <f>IFERROR(__xludf.DUMMYFUNCTION("""COMPUTED_VALUE"""),43210.0)</f>
        <v>43210</v>
      </c>
      <c r="C2011" s="9">
        <f>IFERROR(__xludf.DUMMYFUNCTION("""COMPUTED_VALUE"""),2.96)</f>
        <v>2.96</v>
      </c>
      <c r="H2011" s="17"/>
      <c r="K2011" s="17"/>
      <c r="N2011" s="17"/>
    </row>
    <row r="2012">
      <c r="B2012" s="11">
        <f>IFERROR(__xludf.DUMMYFUNCTION("""COMPUTED_VALUE"""),43209.0)</f>
        <v>43209</v>
      </c>
      <c r="C2012" s="9">
        <f>IFERROR(__xludf.DUMMYFUNCTION("""COMPUTED_VALUE"""),2.92)</f>
        <v>2.92</v>
      </c>
      <c r="H2012" s="17"/>
      <c r="K2012" s="17"/>
      <c r="N2012" s="17"/>
    </row>
    <row r="2013">
      <c r="B2013" s="11">
        <f>IFERROR(__xludf.DUMMYFUNCTION("""COMPUTED_VALUE"""),43208.0)</f>
        <v>43208</v>
      </c>
      <c r="C2013" s="9">
        <f>IFERROR(__xludf.DUMMYFUNCTION("""COMPUTED_VALUE"""),2.87)</f>
        <v>2.87</v>
      </c>
      <c r="H2013" s="17"/>
      <c r="K2013" s="17"/>
      <c r="N2013" s="17"/>
    </row>
    <row r="2014">
      <c r="B2014" s="11">
        <f>IFERROR(__xludf.DUMMYFUNCTION("""COMPUTED_VALUE"""),43207.0)</f>
        <v>43207</v>
      </c>
      <c r="C2014" s="9">
        <f>IFERROR(__xludf.DUMMYFUNCTION("""COMPUTED_VALUE"""),2.82)</f>
        <v>2.82</v>
      </c>
      <c r="H2014" s="17"/>
      <c r="K2014" s="17"/>
      <c r="N2014" s="17"/>
    </row>
    <row r="2015">
      <c r="B2015" s="11">
        <f>IFERROR(__xludf.DUMMYFUNCTION("""COMPUTED_VALUE"""),43206.0)</f>
        <v>43206</v>
      </c>
      <c r="C2015" s="9">
        <f>IFERROR(__xludf.DUMMYFUNCTION("""COMPUTED_VALUE"""),2.83)</f>
        <v>2.83</v>
      </c>
      <c r="H2015" s="17"/>
      <c r="K2015" s="17"/>
      <c r="N2015" s="17"/>
    </row>
    <row r="2016">
      <c r="B2016" s="11">
        <f>IFERROR(__xludf.DUMMYFUNCTION("""COMPUTED_VALUE"""),43203.0)</f>
        <v>43203</v>
      </c>
      <c r="C2016" s="9">
        <f>IFERROR(__xludf.DUMMYFUNCTION("""COMPUTED_VALUE"""),2.82)</f>
        <v>2.82</v>
      </c>
      <c r="H2016" s="17"/>
      <c r="K2016" s="17"/>
      <c r="N2016" s="17"/>
    </row>
    <row r="2017">
      <c r="B2017" s="11">
        <f>IFERROR(__xludf.DUMMYFUNCTION("""COMPUTED_VALUE"""),43202.0)</f>
        <v>43202</v>
      </c>
      <c r="C2017" s="9">
        <f>IFERROR(__xludf.DUMMYFUNCTION("""COMPUTED_VALUE"""),2.83)</f>
        <v>2.83</v>
      </c>
      <c r="H2017" s="17"/>
      <c r="K2017" s="17"/>
      <c r="N2017" s="17"/>
    </row>
    <row r="2018">
      <c r="B2018" s="11">
        <f>IFERROR(__xludf.DUMMYFUNCTION("""COMPUTED_VALUE"""),43201.0)</f>
        <v>43201</v>
      </c>
      <c r="C2018" s="9">
        <f>IFERROR(__xludf.DUMMYFUNCTION("""COMPUTED_VALUE"""),2.79)</f>
        <v>2.79</v>
      </c>
      <c r="H2018" s="17"/>
      <c r="K2018" s="17"/>
      <c r="N2018" s="17"/>
    </row>
    <row r="2019">
      <c r="B2019" s="11">
        <f>IFERROR(__xludf.DUMMYFUNCTION("""COMPUTED_VALUE"""),43200.0)</f>
        <v>43200</v>
      </c>
      <c r="C2019" s="9">
        <f>IFERROR(__xludf.DUMMYFUNCTION("""COMPUTED_VALUE"""),2.8)</f>
        <v>2.8</v>
      </c>
      <c r="H2019" s="17"/>
      <c r="K2019" s="17"/>
      <c r="N2019" s="17"/>
    </row>
    <row r="2020">
      <c r="B2020" s="11">
        <f>IFERROR(__xludf.DUMMYFUNCTION("""COMPUTED_VALUE"""),43199.0)</f>
        <v>43199</v>
      </c>
      <c r="C2020" s="9">
        <f>IFERROR(__xludf.DUMMYFUNCTION("""COMPUTED_VALUE"""),2.78)</f>
        <v>2.78</v>
      </c>
      <c r="H2020" s="17"/>
      <c r="K2020" s="17"/>
      <c r="N2020" s="17"/>
    </row>
    <row r="2021">
      <c r="B2021" s="11">
        <f>IFERROR(__xludf.DUMMYFUNCTION("""COMPUTED_VALUE"""),43196.0)</f>
        <v>43196</v>
      </c>
      <c r="C2021" s="9">
        <f>IFERROR(__xludf.DUMMYFUNCTION("""COMPUTED_VALUE"""),2.77)</f>
        <v>2.77</v>
      </c>
      <c r="H2021" s="17"/>
      <c r="K2021" s="17"/>
      <c r="N2021" s="17"/>
    </row>
    <row r="2022">
      <c r="B2022" s="11">
        <f>IFERROR(__xludf.DUMMYFUNCTION("""COMPUTED_VALUE"""),43195.0)</f>
        <v>43195</v>
      </c>
      <c r="C2022" s="9">
        <f>IFERROR(__xludf.DUMMYFUNCTION("""COMPUTED_VALUE"""),2.83)</f>
        <v>2.83</v>
      </c>
      <c r="H2022" s="17"/>
      <c r="K2022" s="17"/>
      <c r="N2022" s="17"/>
    </row>
    <row r="2023">
      <c r="B2023" s="11">
        <f>IFERROR(__xludf.DUMMYFUNCTION("""COMPUTED_VALUE"""),43194.0)</f>
        <v>43194</v>
      </c>
      <c r="C2023" s="9">
        <f>IFERROR(__xludf.DUMMYFUNCTION("""COMPUTED_VALUE"""),2.79)</f>
        <v>2.79</v>
      </c>
      <c r="H2023" s="17"/>
      <c r="K2023" s="17"/>
      <c r="N2023" s="17"/>
    </row>
    <row r="2024">
      <c r="B2024" s="11">
        <f>IFERROR(__xludf.DUMMYFUNCTION("""COMPUTED_VALUE"""),43193.0)</f>
        <v>43193</v>
      </c>
      <c r="C2024" s="9">
        <f>IFERROR(__xludf.DUMMYFUNCTION("""COMPUTED_VALUE"""),2.79)</f>
        <v>2.79</v>
      </c>
      <c r="H2024" s="17"/>
      <c r="K2024" s="17"/>
      <c r="N2024" s="17"/>
    </row>
    <row r="2025">
      <c r="B2025" s="11">
        <f>IFERROR(__xludf.DUMMYFUNCTION("""COMPUTED_VALUE"""),43192.0)</f>
        <v>43192</v>
      </c>
      <c r="C2025" s="9">
        <f>IFERROR(__xludf.DUMMYFUNCTION("""COMPUTED_VALUE"""),2.73)</f>
        <v>2.73</v>
      </c>
      <c r="H2025" s="17"/>
      <c r="K2025" s="17"/>
      <c r="N2025" s="17"/>
    </row>
    <row r="2026">
      <c r="B2026" s="11">
        <f>IFERROR(__xludf.DUMMYFUNCTION("""COMPUTED_VALUE"""),43189.0)</f>
        <v>43189</v>
      </c>
      <c r="C2026" s="9"/>
      <c r="H2026" s="17"/>
      <c r="K2026" s="17"/>
      <c r="N2026" s="17"/>
    </row>
    <row r="2027">
      <c r="B2027" s="11">
        <f>IFERROR(__xludf.DUMMYFUNCTION("""COMPUTED_VALUE"""),43188.0)</f>
        <v>43188</v>
      </c>
      <c r="C2027" s="9">
        <f>IFERROR(__xludf.DUMMYFUNCTION("""COMPUTED_VALUE"""),2.74)</f>
        <v>2.74</v>
      </c>
      <c r="H2027" s="17"/>
      <c r="K2027" s="17"/>
      <c r="N2027" s="17"/>
    </row>
    <row r="2028">
      <c r="B2028" s="11">
        <f>IFERROR(__xludf.DUMMYFUNCTION("""COMPUTED_VALUE"""),43187.0)</f>
        <v>43187</v>
      </c>
      <c r="C2028" s="9">
        <f>IFERROR(__xludf.DUMMYFUNCTION("""COMPUTED_VALUE"""),2.77)</f>
        <v>2.77</v>
      </c>
      <c r="H2028" s="17"/>
      <c r="K2028" s="17"/>
      <c r="N2028" s="17"/>
    </row>
    <row r="2029">
      <c r="B2029" s="11">
        <f>IFERROR(__xludf.DUMMYFUNCTION("""COMPUTED_VALUE"""),43186.0)</f>
        <v>43186</v>
      </c>
      <c r="C2029" s="9">
        <f>IFERROR(__xludf.DUMMYFUNCTION("""COMPUTED_VALUE"""),2.78)</f>
        <v>2.78</v>
      </c>
      <c r="H2029" s="17"/>
      <c r="K2029" s="17"/>
      <c r="N2029" s="17"/>
    </row>
    <row r="2030">
      <c r="B2030" s="11">
        <f>IFERROR(__xludf.DUMMYFUNCTION("""COMPUTED_VALUE"""),43185.0)</f>
        <v>43185</v>
      </c>
      <c r="C2030" s="9">
        <f>IFERROR(__xludf.DUMMYFUNCTION("""COMPUTED_VALUE"""),2.85)</f>
        <v>2.85</v>
      </c>
      <c r="H2030" s="17"/>
      <c r="K2030" s="17"/>
      <c r="N2030" s="17"/>
    </row>
    <row r="2031">
      <c r="B2031" s="11">
        <f>IFERROR(__xludf.DUMMYFUNCTION("""COMPUTED_VALUE"""),43182.0)</f>
        <v>43182</v>
      </c>
      <c r="C2031" s="9">
        <f>IFERROR(__xludf.DUMMYFUNCTION("""COMPUTED_VALUE"""),2.82)</f>
        <v>2.82</v>
      </c>
      <c r="H2031" s="17"/>
      <c r="K2031" s="17"/>
      <c r="N2031" s="17"/>
    </row>
    <row r="2032">
      <c r="B2032" s="11">
        <f>IFERROR(__xludf.DUMMYFUNCTION("""COMPUTED_VALUE"""),43181.0)</f>
        <v>43181</v>
      </c>
      <c r="C2032" s="9">
        <f>IFERROR(__xludf.DUMMYFUNCTION("""COMPUTED_VALUE"""),2.83)</f>
        <v>2.83</v>
      </c>
      <c r="H2032" s="17"/>
      <c r="K2032" s="17"/>
      <c r="N2032" s="17"/>
    </row>
    <row r="2033">
      <c r="B2033" s="11">
        <f>IFERROR(__xludf.DUMMYFUNCTION("""COMPUTED_VALUE"""),43180.0)</f>
        <v>43180</v>
      </c>
      <c r="C2033" s="9">
        <f>IFERROR(__xludf.DUMMYFUNCTION("""COMPUTED_VALUE"""),2.89)</f>
        <v>2.89</v>
      </c>
      <c r="H2033" s="17"/>
      <c r="K2033" s="17"/>
      <c r="N2033" s="17"/>
    </row>
    <row r="2034">
      <c r="B2034" s="11">
        <f>IFERROR(__xludf.DUMMYFUNCTION("""COMPUTED_VALUE"""),43179.0)</f>
        <v>43179</v>
      </c>
      <c r="C2034" s="9">
        <f>IFERROR(__xludf.DUMMYFUNCTION("""COMPUTED_VALUE"""),2.89)</f>
        <v>2.89</v>
      </c>
      <c r="H2034" s="17"/>
      <c r="K2034" s="17"/>
      <c r="N2034" s="17"/>
    </row>
    <row r="2035">
      <c r="B2035" s="11">
        <f>IFERROR(__xludf.DUMMYFUNCTION("""COMPUTED_VALUE"""),43178.0)</f>
        <v>43178</v>
      </c>
      <c r="C2035" s="9">
        <f>IFERROR(__xludf.DUMMYFUNCTION("""COMPUTED_VALUE"""),2.85)</f>
        <v>2.85</v>
      </c>
      <c r="H2035" s="17"/>
      <c r="K2035" s="17"/>
      <c r="N2035" s="17"/>
    </row>
    <row r="2036">
      <c r="B2036" s="11">
        <f>IFERROR(__xludf.DUMMYFUNCTION("""COMPUTED_VALUE"""),43175.0)</f>
        <v>43175</v>
      </c>
      <c r="C2036" s="9">
        <f>IFERROR(__xludf.DUMMYFUNCTION("""COMPUTED_VALUE"""),2.85)</f>
        <v>2.85</v>
      </c>
      <c r="H2036" s="17"/>
      <c r="K2036" s="17"/>
      <c r="N2036" s="17"/>
    </row>
    <row r="2037">
      <c r="B2037" s="11">
        <f>IFERROR(__xludf.DUMMYFUNCTION("""COMPUTED_VALUE"""),43174.0)</f>
        <v>43174</v>
      </c>
      <c r="C2037" s="9">
        <f>IFERROR(__xludf.DUMMYFUNCTION("""COMPUTED_VALUE"""),2.82)</f>
        <v>2.82</v>
      </c>
      <c r="H2037" s="17"/>
      <c r="K2037" s="17"/>
      <c r="N2037" s="17"/>
    </row>
    <row r="2038">
      <c r="B2038" s="11">
        <f>IFERROR(__xludf.DUMMYFUNCTION("""COMPUTED_VALUE"""),43173.0)</f>
        <v>43173</v>
      </c>
      <c r="C2038" s="9">
        <f>IFERROR(__xludf.DUMMYFUNCTION("""COMPUTED_VALUE"""),2.81)</f>
        <v>2.81</v>
      </c>
      <c r="H2038" s="17"/>
      <c r="K2038" s="17"/>
      <c r="N2038" s="17"/>
    </row>
    <row r="2039">
      <c r="B2039" s="11">
        <f>IFERROR(__xludf.DUMMYFUNCTION("""COMPUTED_VALUE"""),43172.0)</f>
        <v>43172</v>
      </c>
      <c r="C2039" s="9">
        <f>IFERROR(__xludf.DUMMYFUNCTION("""COMPUTED_VALUE"""),2.84)</f>
        <v>2.84</v>
      </c>
      <c r="H2039" s="17"/>
      <c r="K2039" s="17"/>
      <c r="N2039" s="17"/>
    </row>
    <row r="2040">
      <c r="B2040" s="11">
        <f>IFERROR(__xludf.DUMMYFUNCTION("""COMPUTED_VALUE"""),43171.0)</f>
        <v>43171</v>
      </c>
      <c r="C2040" s="9">
        <f>IFERROR(__xludf.DUMMYFUNCTION("""COMPUTED_VALUE"""),2.87)</f>
        <v>2.87</v>
      </c>
      <c r="H2040" s="17"/>
      <c r="K2040" s="17"/>
      <c r="N2040" s="17"/>
    </row>
    <row r="2041">
      <c r="B2041" s="11">
        <f>IFERROR(__xludf.DUMMYFUNCTION("""COMPUTED_VALUE"""),43168.0)</f>
        <v>43168</v>
      </c>
      <c r="C2041" s="9">
        <f>IFERROR(__xludf.DUMMYFUNCTION("""COMPUTED_VALUE"""),2.9)</f>
        <v>2.9</v>
      </c>
      <c r="H2041" s="17"/>
      <c r="K2041" s="17"/>
      <c r="N2041" s="17"/>
    </row>
    <row r="2042">
      <c r="B2042" s="11">
        <f>IFERROR(__xludf.DUMMYFUNCTION("""COMPUTED_VALUE"""),43167.0)</f>
        <v>43167</v>
      </c>
      <c r="C2042" s="9">
        <f>IFERROR(__xludf.DUMMYFUNCTION("""COMPUTED_VALUE"""),2.86)</f>
        <v>2.86</v>
      </c>
      <c r="H2042" s="17"/>
      <c r="K2042" s="17"/>
      <c r="N2042" s="17"/>
    </row>
    <row r="2043">
      <c r="B2043" s="11">
        <f>IFERROR(__xludf.DUMMYFUNCTION("""COMPUTED_VALUE"""),43166.0)</f>
        <v>43166</v>
      </c>
      <c r="C2043" s="9">
        <f>IFERROR(__xludf.DUMMYFUNCTION("""COMPUTED_VALUE"""),2.89)</f>
        <v>2.89</v>
      </c>
      <c r="H2043" s="17"/>
      <c r="K2043" s="17"/>
      <c r="N2043" s="17"/>
    </row>
    <row r="2044">
      <c r="B2044" s="11">
        <f>IFERROR(__xludf.DUMMYFUNCTION("""COMPUTED_VALUE"""),43165.0)</f>
        <v>43165</v>
      </c>
      <c r="C2044" s="9">
        <f>IFERROR(__xludf.DUMMYFUNCTION("""COMPUTED_VALUE"""),2.88)</f>
        <v>2.88</v>
      </c>
      <c r="H2044" s="17"/>
      <c r="K2044" s="17"/>
      <c r="N2044" s="17"/>
    </row>
    <row r="2045">
      <c r="B2045" s="11">
        <f>IFERROR(__xludf.DUMMYFUNCTION("""COMPUTED_VALUE"""),43164.0)</f>
        <v>43164</v>
      </c>
      <c r="C2045" s="9">
        <f>IFERROR(__xludf.DUMMYFUNCTION("""COMPUTED_VALUE"""),2.88)</f>
        <v>2.88</v>
      </c>
      <c r="H2045" s="17"/>
      <c r="K2045" s="17"/>
      <c r="N2045" s="17"/>
    </row>
    <row r="2046">
      <c r="B2046" s="11">
        <f>IFERROR(__xludf.DUMMYFUNCTION("""COMPUTED_VALUE"""),43161.0)</f>
        <v>43161</v>
      </c>
      <c r="C2046" s="9">
        <f>IFERROR(__xludf.DUMMYFUNCTION("""COMPUTED_VALUE"""),2.86)</f>
        <v>2.86</v>
      </c>
      <c r="H2046" s="17"/>
      <c r="K2046" s="17"/>
      <c r="N2046" s="17"/>
    </row>
    <row r="2047">
      <c r="B2047" s="11">
        <f>IFERROR(__xludf.DUMMYFUNCTION("""COMPUTED_VALUE"""),43160.0)</f>
        <v>43160</v>
      </c>
      <c r="C2047" s="9">
        <f>IFERROR(__xludf.DUMMYFUNCTION("""COMPUTED_VALUE"""),2.81)</f>
        <v>2.81</v>
      </c>
      <c r="H2047" s="17"/>
      <c r="K2047" s="17"/>
      <c r="N2047" s="17"/>
    </row>
    <row r="2048">
      <c r="B2048" s="11">
        <f>IFERROR(__xludf.DUMMYFUNCTION("""COMPUTED_VALUE"""),43159.0)</f>
        <v>43159</v>
      </c>
      <c r="C2048" s="9">
        <f>IFERROR(__xludf.DUMMYFUNCTION("""COMPUTED_VALUE"""),2.87)</f>
        <v>2.87</v>
      </c>
      <c r="H2048" s="17"/>
      <c r="K2048" s="17"/>
      <c r="N2048" s="17"/>
    </row>
    <row r="2049">
      <c r="B2049" s="11">
        <f>IFERROR(__xludf.DUMMYFUNCTION("""COMPUTED_VALUE"""),43158.0)</f>
        <v>43158</v>
      </c>
      <c r="C2049" s="9">
        <f>IFERROR(__xludf.DUMMYFUNCTION("""COMPUTED_VALUE"""),2.9)</f>
        <v>2.9</v>
      </c>
      <c r="H2049" s="17"/>
      <c r="K2049" s="17"/>
      <c r="N2049" s="17"/>
    </row>
    <row r="2050">
      <c r="B2050" s="11">
        <f>IFERROR(__xludf.DUMMYFUNCTION("""COMPUTED_VALUE"""),43157.0)</f>
        <v>43157</v>
      </c>
      <c r="C2050" s="9">
        <f>IFERROR(__xludf.DUMMYFUNCTION("""COMPUTED_VALUE"""),2.86)</f>
        <v>2.86</v>
      </c>
      <c r="H2050" s="17"/>
      <c r="K2050" s="17"/>
      <c r="N2050" s="17"/>
    </row>
    <row r="2051">
      <c r="B2051" s="11">
        <f>IFERROR(__xludf.DUMMYFUNCTION("""COMPUTED_VALUE"""),43154.0)</f>
        <v>43154</v>
      </c>
      <c r="C2051" s="9">
        <f>IFERROR(__xludf.DUMMYFUNCTION("""COMPUTED_VALUE"""),2.88)</f>
        <v>2.88</v>
      </c>
      <c r="H2051" s="17"/>
      <c r="K2051" s="17"/>
      <c r="N2051" s="17"/>
    </row>
    <row r="2052">
      <c r="B2052" s="11">
        <f>IFERROR(__xludf.DUMMYFUNCTION("""COMPUTED_VALUE"""),43153.0)</f>
        <v>43153</v>
      </c>
      <c r="C2052" s="9">
        <f>IFERROR(__xludf.DUMMYFUNCTION("""COMPUTED_VALUE"""),2.92)</f>
        <v>2.92</v>
      </c>
      <c r="H2052" s="17"/>
      <c r="K2052" s="17"/>
      <c r="N2052" s="17"/>
    </row>
    <row r="2053">
      <c r="B2053" s="11">
        <f>IFERROR(__xludf.DUMMYFUNCTION("""COMPUTED_VALUE"""),43152.0)</f>
        <v>43152</v>
      </c>
      <c r="C2053" s="9">
        <f>IFERROR(__xludf.DUMMYFUNCTION("""COMPUTED_VALUE"""),2.94)</f>
        <v>2.94</v>
      </c>
      <c r="H2053" s="17"/>
      <c r="K2053" s="17"/>
      <c r="N2053" s="17"/>
    </row>
    <row r="2054">
      <c r="B2054" s="11">
        <f>IFERROR(__xludf.DUMMYFUNCTION("""COMPUTED_VALUE"""),43151.0)</f>
        <v>43151</v>
      </c>
      <c r="C2054" s="9">
        <f>IFERROR(__xludf.DUMMYFUNCTION("""COMPUTED_VALUE"""),2.88)</f>
        <v>2.88</v>
      </c>
      <c r="H2054" s="17"/>
      <c r="K2054" s="17"/>
      <c r="N2054" s="17"/>
    </row>
    <row r="2055">
      <c r="B2055" s="11">
        <f>IFERROR(__xludf.DUMMYFUNCTION("""COMPUTED_VALUE"""),43150.0)</f>
        <v>43150</v>
      </c>
      <c r="C2055" s="9"/>
      <c r="H2055" s="17"/>
      <c r="K2055" s="17"/>
      <c r="N2055" s="17"/>
    </row>
    <row r="2056">
      <c r="B2056" s="11">
        <f>IFERROR(__xludf.DUMMYFUNCTION("""COMPUTED_VALUE"""),43147.0)</f>
        <v>43147</v>
      </c>
      <c r="C2056" s="9">
        <f>IFERROR(__xludf.DUMMYFUNCTION("""COMPUTED_VALUE"""),2.87)</f>
        <v>2.87</v>
      </c>
      <c r="H2056" s="17"/>
      <c r="K2056" s="17"/>
      <c r="N2056" s="17"/>
    </row>
    <row r="2057">
      <c r="B2057" s="11">
        <f>IFERROR(__xludf.DUMMYFUNCTION("""COMPUTED_VALUE"""),43146.0)</f>
        <v>43146</v>
      </c>
      <c r="C2057" s="9">
        <f>IFERROR(__xludf.DUMMYFUNCTION("""COMPUTED_VALUE"""),2.9)</f>
        <v>2.9</v>
      </c>
      <c r="H2057" s="17"/>
      <c r="K2057" s="17"/>
      <c r="N2057" s="17"/>
    </row>
    <row r="2058">
      <c r="B2058" s="11">
        <f>IFERROR(__xludf.DUMMYFUNCTION("""COMPUTED_VALUE"""),43145.0)</f>
        <v>43145</v>
      </c>
      <c r="C2058" s="9">
        <f>IFERROR(__xludf.DUMMYFUNCTION("""COMPUTED_VALUE"""),2.91)</f>
        <v>2.91</v>
      </c>
      <c r="H2058" s="17"/>
      <c r="K2058" s="17"/>
      <c r="N2058" s="17"/>
    </row>
    <row r="2059">
      <c r="B2059" s="11">
        <f>IFERROR(__xludf.DUMMYFUNCTION("""COMPUTED_VALUE"""),43144.0)</f>
        <v>43144</v>
      </c>
      <c r="C2059" s="9">
        <f>IFERROR(__xludf.DUMMYFUNCTION("""COMPUTED_VALUE"""),2.83)</f>
        <v>2.83</v>
      </c>
      <c r="H2059" s="17"/>
      <c r="K2059" s="17"/>
      <c r="N2059" s="17"/>
    </row>
    <row r="2060">
      <c r="B2060" s="11">
        <f>IFERROR(__xludf.DUMMYFUNCTION("""COMPUTED_VALUE"""),43143.0)</f>
        <v>43143</v>
      </c>
      <c r="C2060" s="9">
        <f>IFERROR(__xludf.DUMMYFUNCTION("""COMPUTED_VALUE"""),2.86)</f>
        <v>2.86</v>
      </c>
      <c r="H2060" s="17"/>
      <c r="K2060" s="17"/>
      <c r="N2060" s="17"/>
    </row>
    <row r="2061">
      <c r="B2061" s="11">
        <f>IFERROR(__xludf.DUMMYFUNCTION("""COMPUTED_VALUE"""),43140.0)</f>
        <v>43140</v>
      </c>
      <c r="C2061" s="9">
        <f>IFERROR(__xludf.DUMMYFUNCTION("""COMPUTED_VALUE"""),2.83)</f>
        <v>2.83</v>
      </c>
      <c r="H2061" s="17"/>
      <c r="K2061" s="17"/>
      <c r="N2061" s="17"/>
    </row>
    <row r="2062">
      <c r="B2062" s="11">
        <f>IFERROR(__xludf.DUMMYFUNCTION("""COMPUTED_VALUE"""),43139.0)</f>
        <v>43139</v>
      </c>
      <c r="C2062" s="9">
        <f>IFERROR(__xludf.DUMMYFUNCTION("""COMPUTED_VALUE"""),2.85)</f>
        <v>2.85</v>
      </c>
      <c r="H2062" s="17"/>
      <c r="K2062" s="17"/>
      <c r="N2062" s="17"/>
    </row>
    <row r="2063">
      <c r="B2063" s="11">
        <f>IFERROR(__xludf.DUMMYFUNCTION("""COMPUTED_VALUE"""),43138.0)</f>
        <v>43138</v>
      </c>
      <c r="C2063" s="9">
        <f>IFERROR(__xludf.DUMMYFUNCTION("""COMPUTED_VALUE"""),2.84)</f>
        <v>2.84</v>
      </c>
      <c r="H2063" s="17"/>
      <c r="K2063" s="17"/>
      <c r="N2063" s="17"/>
    </row>
    <row r="2064">
      <c r="B2064" s="11">
        <f>IFERROR(__xludf.DUMMYFUNCTION("""COMPUTED_VALUE"""),43137.0)</f>
        <v>43137</v>
      </c>
      <c r="C2064" s="9">
        <f>IFERROR(__xludf.DUMMYFUNCTION("""COMPUTED_VALUE"""),2.79)</f>
        <v>2.79</v>
      </c>
      <c r="H2064" s="17"/>
      <c r="K2064" s="17"/>
      <c r="N2064" s="17"/>
    </row>
    <row r="2065">
      <c r="B2065" s="11">
        <f>IFERROR(__xludf.DUMMYFUNCTION("""COMPUTED_VALUE"""),43136.0)</f>
        <v>43136</v>
      </c>
      <c r="C2065" s="9">
        <f>IFERROR(__xludf.DUMMYFUNCTION("""COMPUTED_VALUE"""),2.77)</f>
        <v>2.77</v>
      </c>
      <c r="H2065" s="17"/>
      <c r="K2065" s="17"/>
      <c r="N2065" s="17"/>
    </row>
    <row r="2066">
      <c r="B2066" s="11">
        <f>IFERROR(__xludf.DUMMYFUNCTION("""COMPUTED_VALUE"""),43133.0)</f>
        <v>43133</v>
      </c>
      <c r="C2066" s="9">
        <f>IFERROR(__xludf.DUMMYFUNCTION("""COMPUTED_VALUE"""),2.84)</f>
        <v>2.84</v>
      </c>
      <c r="H2066" s="17"/>
      <c r="K2066" s="17"/>
      <c r="N2066" s="17"/>
    </row>
    <row r="2067">
      <c r="B2067" s="11">
        <f>IFERROR(__xludf.DUMMYFUNCTION("""COMPUTED_VALUE"""),43132.0)</f>
        <v>43132</v>
      </c>
      <c r="C2067" s="9">
        <f>IFERROR(__xludf.DUMMYFUNCTION("""COMPUTED_VALUE"""),2.78)</f>
        <v>2.78</v>
      </c>
      <c r="H2067" s="17"/>
      <c r="K2067" s="17"/>
      <c r="N2067" s="17"/>
    </row>
    <row r="2068">
      <c r="B2068" s="11">
        <f>IFERROR(__xludf.DUMMYFUNCTION("""COMPUTED_VALUE"""),43131.0)</f>
        <v>43131</v>
      </c>
      <c r="C2068" s="9">
        <f>IFERROR(__xludf.DUMMYFUNCTION("""COMPUTED_VALUE"""),2.72)</f>
        <v>2.72</v>
      </c>
      <c r="H2068" s="17"/>
      <c r="K2068" s="17"/>
      <c r="N2068" s="17"/>
    </row>
    <row r="2069">
      <c r="B2069" s="11">
        <f>IFERROR(__xludf.DUMMYFUNCTION("""COMPUTED_VALUE"""),43130.0)</f>
        <v>43130</v>
      </c>
      <c r="C2069" s="9">
        <f>IFERROR(__xludf.DUMMYFUNCTION("""COMPUTED_VALUE"""),2.73)</f>
        <v>2.73</v>
      </c>
      <c r="H2069" s="17"/>
      <c r="K2069" s="17"/>
      <c r="N2069" s="17"/>
    </row>
    <row r="2070">
      <c r="B2070" s="11">
        <f>IFERROR(__xludf.DUMMYFUNCTION("""COMPUTED_VALUE"""),43129.0)</f>
        <v>43129</v>
      </c>
      <c r="C2070" s="9">
        <f>IFERROR(__xludf.DUMMYFUNCTION("""COMPUTED_VALUE"""),2.7)</f>
        <v>2.7</v>
      </c>
      <c r="H2070" s="17"/>
      <c r="K2070" s="17"/>
      <c r="N2070" s="17"/>
    </row>
    <row r="2071">
      <c r="B2071" s="11">
        <f>IFERROR(__xludf.DUMMYFUNCTION("""COMPUTED_VALUE"""),43126.0)</f>
        <v>43126</v>
      </c>
      <c r="C2071" s="9">
        <f>IFERROR(__xludf.DUMMYFUNCTION("""COMPUTED_VALUE"""),2.66)</f>
        <v>2.66</v>
      </c>
      <c r="H2071" s="17"/>
      <c r="K2071" s="17"/>
      <c r="N2071" s="17"/>
    </row>
    <row r="2072">
      <c r="B2072" s="11">
        <f>IFERROR(__xludf.DUMMYFUNCTION("""COMPUTED_VALUE"""),43125.0)</f>
        <v>43125</v>
      </c>
      <c r="C2072" s="9">
        <f>IFERROR(__xludf.DUMMYFUNCTION("""COMPUTED_VALUE"""),2.63)</f>
        <v>2.63</v>
      </c>
      <c r="H2072" s="17"/>
      <c r="K2072" s="17"/>
      <c r="N2072" s="17"/>
    </row>
    <row r="2073">
      <c r="B2073" s="11">
        <f>IFERROR(__xludf.DUMMYFUNCTION("""COMPUTED_VALUE"""),43124.0)</f>
        <v>43124</v>
      </c>
      <c r="C2073" s="9">
        <f>IFERROR(__xludf.DUMMYFUNCTION("""COMPUTED_VALUE"""),2.65)</f>
        <v>2.65</v>
      </c>
      <c r="H2073" s="17"/>
      <c r="K2073" s="17"/>
      <c r="N2073" s="17"/>
    </row>
    <row r="2074">
      <c r="B2074" s="11">
        <f>IFERROR(__xludf.DUMMYFUNCTION("""COMPUTED_VALUE"""),43123.0)</f>
        <v>43123</v>
      </c>
      <c r="C2074" s="9">
        <f>IFERROR(__xludf.DUMMYFUNCTION("""COMPUTED_VALUE"""),2.63)</f>
        <v>2.63</v>
      </c>
      <c r="H2074" s="17"/>
      <c r="K2074" s="17"/>
      <c r="N2074" s="17"/>
    </row>
    <row r="2075">
      <c r="B2075" s="11">
        <f>IFERROR(__xludf.DUMMYFUNCTION("""COMPUTED_VALUE"""),43122.0)</f>
        <v>43122</v>
      </c>
      <c r="C2075" s="9">
        <f>IFERROR(__xludf.DUMMYFUNCTION("""COMPUTED_VALUE"""),2.66)</f>
        <v>2.66</v>
      </c>
      <c r="H2075" s="17"/>
      <c r="K2075" s="17"/>
      <c r="N2075" s="17"/>
    </row>
    <row r="2076">
      <c r="B2076" s="11">
        <f>IFERROR(__xludf.DUMMYFUNCTION("""COMPUTED_VALUE"""),43119.0)</f>
        <v>43119</v>
      </c>
      <c r="C2076" s="9">
        <f>IFERROR(__xludf.DUMMYFUNCTION("""COMPUTED_VALUE"""),2.64)</f>
        <v>2.64</v>
      </c>
      <c r="H2076" s="17"/>
      <c r="K2076" s="17"/>
      <c r="N2076" s="17"/>
    </row>
    <row r="2077">
      <c r="B2077" s="11">
        <f>IFERROR(__xludf.DUMMYFUNCTION("""COMPUTED_VALUE"""),43118.0)</f>
        <v>43118</v>
      </c>
      <c r="C2077" s="9">
        <f>IFERROR(__xludf.DUMMYFUNCTION("""COMPUTED_VALUE"""),2.62)</f>
        <v>2.62</v>
      </c>
      <c r="H2077" s="17"/>
      <c r="K2077" s="17"/>
      <c r="N2077" s="17"/>
    </row>
    <row r="2078">
      <c r="B2078" s="11">
        <f>IFERROR(__xludf.DUMMYFUNCTION("""COMPUTED_VALUE"""),43117.0)</f>
        <v>43117</v>
      </c>
      <c r="C2078" s="9">
        <f>IFERROR(__xludf.DUMMYFUNCTION("""COMPUTED_VALUE"""),2.57)</f>
        <v>2.57</v>
      </c>
      <c r="H2078" s="17"/>
      <c r="K2078" s="17"/>
      <c r="N2078" s="17"/>
    </row>
    <row r="2079">
      <c r="B2079" s="11">
        <f>IFERROR(__xludf.DUMMYFUNCTION("""COMPUTED_VALUE"""),43116.0)</f>
        <v>43116</v>
      </c>
      <c r="C2079" s="9">
        <f>IFERROR(__xludf.DUMMYFUNCTION("""COMPUTED_VALUE"""),2.54)</f>
        <v>2.54</v>
      </c>
      <c r="H2079" s="17"/>
      <c r="K2079" s="17"/>
      <c r="N2079" s="17"/>
    </row>
    <row r="2080">
      <c r="B2080" s="11">
        <f>IFERROR(__xludf.DUMMYFUNCTION("""COMPUTED_VALUE"""),43115.0)</f>
        <v>43115</v>
      </c>
      <c r="C2080" s="9"/>
      <c r="H2080" s="17"/>
      <c r="K2080" s="17"/>
      <c r="N2080" s="17"/>
    </row>
    <row r="2081">
      <c r="B2081" s="11">
        <f>IFERROR(__xludf.DUMMYFUNCTION("""COMPUTED_VALUE"""),43112.0)</f>
        <v>43112</v>
      </c>
      <c r="C2081" s="9">
        <f>IFERROR(__xludf.DUMMYFUNCTION("""COMPUTED_VALUE"""),2.55)</f>
        <v>2.55</v>
      </c>
      <c r="H2081" s="17"/>
      <c r="K2081" s="17"/>
      <c r="N2081" s="17"/>
    </row>
    <row r="2082">
      <c r="B2082" s="11">
        <f>IFERROR(__xludf.DUMMYFUNCTION("""COMPUTED_VALUE"""),43111.0)</f>
        <v>43111</v>
      </c>
      <c r="C2082" s="9">
        <f>IFERROR(__xludf.DUMMYFUNCTION("""COMPUTED_VALUE"""),2.54)</f>
        <v>2.54</v>
      </c>
      <c r="H2082" s="17"/>
      <c r="K2082" s="17"/>
      <c r="N2082" s="17"/>
    </row>
    <row r="2083">
      <c r="B2083" s="11">
        <f>IFERROR(__xludf.DUMMYFUNCTION("""COMPUTED_VALUE"""),43110.0)</f>
        <v>43110</v>
      </c>
      <c r="C2083" s="9">
        <f>IFERROR(__xludf.DUMMYFUNCTION("""COMPUTED_VALUE"""),2.55)</f>
        <v>2.55</v>
      </c>
      <c r="H2083" s="17"/>
      <c r="K2083" s="17"/>
      <c r="N2083" s="17"/>
    </row>
    <row r="2084">
      <c r="B2084" s="11">
        <f>IFERROR(__xludf.DUMMYFUNCTION("""COMPUTED_VALUE"""),43109.0)</f>
        <v>43109</v>
      </c>
      <c r="C2084" s="9">
        <f>IFERROR(__xludf.DUMMYFUNCTION("""COMPUTED_VALUE"""),2.55)</f>
        <v>2.55</v>
      </c>
      <c r="H2084" s="17"/>
      <c r="K2084" s="17"/>
      <c r="N2084" s="17"/>
    </row>
    <row r="2085">
      <c r="B2085" s="11">
        <f>IFERROR(__xludf.DUMMYFUNCTION("""COMPUTED_VALUE"""),43108.0)</f>
        <v>43108</v>
      </c>
      <c r="C2085" s="9">
        <f>IFERROR(__xludf.DUMMYFUNCTION("""COMPUTED_VALUE"""),2.49)</f>
        <v>2.49</v>
      </c>
      <c r="H2085" s="17"/>
      <c r="K2085" s="17"/>
      <c r="N2085" s="17"/>
    </row>
    <row r="2086">
      <c r="B2086" s="11">
        <f>IFERROR(__xludf.DUMMYFUNCTION("""COMPUTED_VALUE"""),43105.0)</f>
        <v>43105</v>
      </c>
      <c r="C2086" s="9">
        <f>IFERROR(__xludf.DUMMYFUNCTION("""COMPUTED_VALUE"""),2.47)</f>
        <v>2.47</v>
      </c>
      <c r="H2086" s="17"/>
      <c r="K2086" s="17"/>
      <c r="N2086" s="17"/>
    </row>
    <row r="2087">
      <c r="B2087" s="11">
        <f>IFERROR(__xludf.DUMMYFUNCTION("""COMPUTED_VALUE"""),43104.0)</f>
        <v>43104</v>
      </c>
      <c r="C2087" s="9">
        <f>IFERROR(__xludf.DUMMYFUNCTION("""COMPUTED_VALUE"""),2.46)</f>
        <v>2.46</v>
      </c>
      <c r="H2087" s="17"/>
      <c r="K2087" s="17"/>
      <c r="N2087" s="17"/>
    </row>
    <row r="2088">
      <c r="B2088" s="11">
        <f>IFERROR(__xludf.DUMMYFUNCTION("""COMPUTED_VALUE"""),43103.0)</f>
        <v>43103</v>
      </c>
      <c r="C2088" s="9">
        <f>IFERROR(__xludf.DUMMYFUNCTION("""COMPUTED_VALUE"""),2.44)</f>
        <v>2.44</v>
      </c>
      <c r="H2088" s="17"/>
      <c r="K2088" s="17"/>
      <c r="N2088" s="17"/>
    </row>
    <row r="2089">
      <c r="B2089" s="11">
        <f>IFERROR(__xludf.DUMMYFUNCTION("""COMPUTED_VALUE"""),43102.0)</f>
        <v>43102</v>
      </c>
      <c r="C2089" s="9">
        <f>IFERROR(__xludf.DUMMYFUNCTION("""COMPUTED_VALUE"""),2.46)</f>
        <v>2.46</v>
      </c>
      <c r="H2089" s="17"/>
      <c r="K2089" s="17"/>
      <c r="N2089" s="17"/>
    </row>
    <row r="2090">
      <c r="B2090" s="11">
        <f>IFERROR(__xludf.DUMMYFUNCTION("""COMPUTED_VALUE"""),43101.0)</f>
        <v>43101</v>
      </c>
      <c r="C2090" s="9"/>
      <c r="H2090" s="17"/>
      <c r="K2090" s="17"/>
      <c r="N2090" s="17"/>
    </row>
    <row r="2091">
      <c r="B2091" s="11">
        <f>IFERROR(__xludf.DUMMYFUNCTION("""COMPUTED_VALUE"""),43098.0)</f>
        <v>43098</v>
      </c>
      <c r="C2091" s="9">
        <f>IFERROR(__xludf.DUMMYFUNCTION("""COMPUTED_VALUE"""),2.4)</f>
        <v>2.4</v>
      </c>
      <c r="H2091" s="17"/>
      <c r="K2091" s="17"/>
      <c r="N2091" s="17"/>
    </row>
    <row r="2092">
      <c r="B2092" s="11">
        <f>IFERROR(__xludf.DUMMYFUNCTION("""COMPUTED_VALUE"""),43097.0)</f>
        <v>43097</v>
      </c>
      <c r="C2092" s="9">
        <f>IFERROR(__xludf.DUMMYFUNCTION("""COMPUTED_VALUE"""),2.43)</f>
        <v>2.43</v>
      </c>
      <c r="H2092" s="17"/>
      <c r="K2092" s="17"/>
      <c r="N2092" s="17"/>
    </row>
    <row r="2093">
      <c r="B2093" s="11">
        <f>IFERROR(__xludf.DUMMYFUNCTION("""COMPUTED_VALUE"""),43096.0)</f>
        <v>43096</v>
      </c>
      <c r="C2093" s="9">
        <f>IFERROR(__xludf.DUMMYFUNCTION("""COMPUTED_VALUE"""),2.42)</f>
        <v>2.42</v>
      </c>
      <c r="H2093" s="17"/>
      <c r="K2093" s="17"/>
      <c r="N2093" s="17"/>
    </row>
    <row r="2094">
      <c r="B2094" s="11">
        <f>IFERROR(__xludf.DUMMYFUNCTION("""COMPUTED_VALUE"""),43095.0)</f>
        <v>43095</v>
      </c>
      <c r="C2094" s="9">
        <f>IFERROR(__xludf.DUMMYFUNCTION("""COMPUTED_VALUE"""),2.47)</f>
        <v>2.47</v>
      </c>
      <c r="H2094" s="17"/>
      <c r="K2094" s="17"/>
      <c r="N2094" s="17"/>
    </row>
    <row r="2095">
      <c r="B2095" s="11">
        <f>IFERROR(__xludf.DUMMYFUNCTION("""COMPUTED_VALUE"""),43094.0)</f>
        <v>43094</v>
      </c>
      <c r="C2095" s="9"/>
      <c r="H2095" s="17"/>
      <c r="K2095" s="17"/>
      <c r="N2095" s="17"/>
    </row>
    <row r="2096">
      <c r="B2096" s="11">
        <f>IFERROR(__xludf.DUMMYFUNCTION("""COMPUTED_VALUE"""),43091.0)</f>
        <v>43091</v>
      </c>
      <c r="C2096" s="9">
        <f>IFERROR(__xludf.DUMMYFUNCTION("""COMPUTED_VALUE"""),2.48)</f>
        <v>2.48</v>
      </c>
      <c r="H2096" s="17"/>
      <c r="K2096" s="17"/>
      <c r="N2096" s="17"/>
    </row>
    <row r="2097">
      <c r="B2097" s="11">
        <f>IFERROR(__xludf.DUMMYFUNCTION("""COMPUTED_VALUE"""),43090.0)</f>
        <v>43090</v>
      </c>
      <c r="C2097" s="9">
        <f>IFERROR(__xludf.DUMMYFUNCTION("""COMPUTED_VALUE"""),2.48)</f>
        <v>2.48</v>
      </c>
      <c r="H2097" s="17"/>
      <c r="K2097" s="17"/>
      <c r="N2097" s="17"/>
    </row>
    <row r="2098">
      <c r="B2098" s="11">
        <f>IFERROR(__xludf.DUMMYFUNCTION("""COMPUTED_VALUE"""),43089.0)</f>
        <v>43089</v>
      </c>
      <c r="C2098" s="9">
        <f>IFERROR(__xludf.DUMMYFUNCTION("""COMPUTED_VALUE"""),2.49)</f>
        <v>2.49</v>
      </c>
      <c r="H2098" s="17"/>
      <c r="K2098" s="17"/>
      <c r="N2098" s="17"/>
    </row>
    <row r="2099">
      <c r="B2099" s="11">
        <f>IFERROR(__xludf.DUMMYFUNCTION("""COMPUTED_VALUE"""),43088.0)</f>
        <v>43088</v>
      </c>
      <c r="C2099" s="9">
        <f>IFERROR(__xludf.DUMMYFUNCTION("""COMPUTED_VALUE"""),2.46)</f>
        <v>2.46</v>
      </c>
      <c r="H2099" s="17"/>
      <c r="K2099" s="17"/>
      <c r="N2099" s="17"/>
    </row>
    <row r="2100">
      <c r="B2100" s="11">
        <f>IFERROR(__xludf.DUMMYFUNCTION("""COMPUTED_VALUE"""),43087.0)</f>
        <v>43087</v>
      </c>
      <c r="C2100" s="9">
        <f>IFERROR(__xludf.DUMMYFUNCTION("""COMPUTED_VALUE"""),2.39)</f>
        <v>2.39</v>
      </c>
      <c r="H2100" s="17"/>
      <c r="K2100" s="17"/>
      <c r="N2100" s="17"/>
    </row>
    <row r="2101">
      <c r="B2101" s="11">
        <f>IFERROR(__xludf.DUMMYFUNCTION("""COMPUTED_VALUE"""),43084.0)</f>
        <v>43084</v>
      </c>
      <c r="C2101" s="9">
        <f>IFERROR(__xludf.DUMMYFUNCTION("""COMPUTED_VALUE"""),2.35)</f>
        <v>2.35</v>
      </c>
      <c r="H2101" s="17"/>
      <c r="K2101" s="17"/>
      <c r="N2101" s="17"/>
    </row>
    <row r="2102">
      <c r="B2102" s="11">
        <f>IFERROR(__xludf.DUMMYFUNCTION("""COMPUTED_VALUE"""),43083.0)</f>
        <v>43083</v>
      </c>
      <c r="C2102" s="9">
        <f>IFERROR(__xludf.DUMMYFUNCTION("""COMPUTED_VALUE"""),2.35)</f>
        <v>2.35</v>
      </c>
      <c r="H2102" s="17"/>
      <c r="K2102" s="17"/>
      <c r="N2102" s="17"/>
    </row>
    <row r="2103">
      <c r="B2103" s="11">
        <f>IFERROR(__xludf.DUMMYFUNCTION("""COMPUTED_VALUE"""),43082.0)</f>
        <v>43082</v>
      </c>
      <c r="C2103" s="9">
        <f>IFERROR(__xludf.DUMMYFUNCTION("""COMPUTED_VALUE"""),2.36)</f>
        <v>2.36</v>
      </c>
      <c r="H2103" s="17"/>
      <c r="K2103" s="17"/>
      <c r="N2103" s="17"/>
    </row>
    <row r="2104">
      <c r="B2104" s="11">
        <f>IFERROR(__xludf.DUMMYFUNCTION("""COMPUTED_VALUE"""),43081.0)</f>
        <v>43081</v>
      </c>
      <c r="C2104" s="9">
        <f>IFERROR(__xludf.DUMMYFUNCTION("""COMPUTED_VALUE"""),2.4)</f>
        <v>2.4</v>
      </c>
      <c r="H2104" s="17"/>
      <c r="K2104" s="17"/>
      <c r="N2104" s="17"/>
    </row>
    <row r="2105">
      <c r="B2105" s="11">
        <f>IFERROR(__xludf.DUMMYFUNCTION("""COMPUTED_VALUE"""),43080.0)</f>
        <v>43080</v>
      </c>
      <c r="C2105" s="9">
        <f>IFERROR(__xludf.DUMMYFUNCTION("""COMPUTED_VALUE"""),2.39)</f>
        <v>2.39</v>
      </c>
      <c r="H2105" s="17"/>
      <c r="K2105" s="17"/>
      <c r="N2105" s="17"/>
    </row>
    <row r="2106">
      <c r="B2106" s="11">
        <f>IFERROR(__xludf.DUMMYFUNCTION("""COMPUTED_VALUE"""),43077.0)</f>
        <v>43077</v>
      </c>
      <c r="C2106" s="9">
        <f>IFERROR(__xludf.DUMMYFUNCTION("""COMPUTED_VALUE"""),2.38)</f>
        <v>2.38</v>
      </c>
      <c r="H2106" s="17"/>
      <c r="K2106" s="17"/>
      <c r="N2106" s="17"/>
    </row>
    <row r="2107">
      <c r="B2107" s="11">
        <f>IFERROR(__xludf.DUMMYFUNCTION("""COMPUTED_VALUE"""),43076.0)</f>
        <v>43076</v>
      </c>
      <c r="C2107" s="9">
        <f>IFERROR(__xludf.DUMMYFUNCTION("""COMPUTED_VALUE"""),2.37)</f>
        <v>2.37</v>
      </c>
      <c r="H2107" s="17"/>
      <c r="K2107" s="17"/>
      <c r="N2107" s="17"/>
    </row>
    <row r="2108">
      <c r="B2108" s="11">
        <f>IFERROR(__xludf.DUMMYFUNCTION("""COMPUTED_VALUE"""),43075.0)</f>
        <v>43075</v>
      </c>
      <c r="C2108" s="9">
        <f>IFERROR(__xludf.DUMMYFUNCTION("""COMPUTED_VALUE"""),2.33)</f>
        <v>2.33</v>
      </c>
      <c r="H2108" s="17"/>
      <c r="K2108" s="17"/>
      <c r="N2108" s="17"/>
    </row>
    <row r="2109">
      <c r="B2109" s="11">
        <f>IFERROR(__xludf.DUMMYFUNCTION("""COMPUTED_VALUE"""),43074.0)</f>
        <v>43074</v>
      </c>
      <c r="C2109" s="9">
        <f>IFERROR(__xludf.DUMMYFUNCTION("""COMPUTED_VALUE"""),2.36)</f>
        <v>2.36</v>
      </c>
      <c r="H2109" s="17"/>
      <c r="K2109" s="17"/>
      <c r="N2109" s="17"/>
    </row>
    <row r="2110">
      <c r="B2110" s="11">
        <f>IFERROR(__xludf.DUMMYFUNCTION("""COMPUTED_VALUE"""),43073.0)</f>
        <v>43073</v>
      </c>
      <c r="C2110" s="9">
        <f>IFERROR(__xludf.DUMMYFUNCTION("""COMPUTED_VALUE"""),2.37)</f>
        <v>2.37</v>
      </c>
      <c r="H2110" s="17"/>
      <c r="K2110" s="17"/>
      <c r="N2110" s="17"/>
    </row>
    <row r="2111">
      <c r="B2111" s="11">
        <f>IFERROR(__xludf.DUMMYFUNCTION("""COMPUTED_VALUE"""),43070.0)</f>
        <v>43070</v>
      </c>
      <c r="C2111" s="9">
        <f>IFERROR(__xludf.DUMMYFUNCTION("""COMPUTED_VALUE"""),2.37)</f>
        <v>2.37</v>
      </c>
      <c r="H2111" s="17"/>
      <c r="K2111" s="17"/>
      <c r="N2111" s="17"/>
    </row>
    <row r="2112">
      <c r="B2112" s="11">
        <f>IFERROR(__xludf.DUMMYFUNCTION("""COMPUTED_VALUE"""),43069.0)</f>
        <v>43069</v>
      </c>
      <c r="C2112" s="9">
        <f>IFERROR(__xludf.DUMMYFUNCTION("""COMPUTED_VALUE"""),2.42)</f>
        <v>2.42</v>
      </c>
      <c r="H2112" s="17"/>
      <c r="K2112" s="17"/>
      <c r="N2112" s="17"/>
    </row>
    <row r="2113">
      <c r="B2113" s="11">
        <f>IFERROR(__xludf.DUMMYFUNCTION("""COMPUTED_VALUE"""),43068.0)</f>
        <v>43068</v>
      </c>
      <c r="C2113" s="9">
        <f>IFERROR(__xludf.DUMMYFUNCTION("""COMPUTED_VALUE"""),2.37)</f>
        <v>2.37</v>
      </c>
      <c r="H2113" s="17"/>
      <c r="K2113" s="17"/>
      <c r="N2113" s="17"/>
    </row>
    <row r="2114">
      <c r="B2114" s="11">
        <f>IFERROR(__xludf.DUMMYFUNCTION("""COMPUTED_VALUE"""),43067.0)</f>
        <v>43067</v>
      </c>
      <c r="C2114" s="9">
        <f>IFERROR(__xludf.DUMMYFUNCTION("""COMPUTED_VALUE"""),2.34)</f>
        <v>2.34</v>
      </c>
      <c r="H2114" s="17"/>
      <c r="K2114" s="17"/>
      <c r="N2114" s="17"/>
    </row>
    <row r="2115">
      <c r="B2115" s="11">
        <f>IFERROR(__xludf.DUMMYFUNCTION("""COMPUTED_VALUE"""),43066.0)</f>
        <v>43066</v>
      </c>
      <c r="C2115" s="9">
        <f>IFERROR(__xludf.DUMMYFUNCTION("""COMPUTED_VALUE"""),2.32)</f>
        <v>2.32</v>
      </c>
      <c r="H2115" s="17"/>
      <c r="K2115" s="17"/>
      <c r="N2115" s="17"/>
    </row>
    <row r="2116">
      <c r="B2116" s="11">
        <f>IFERROR(__xludf.DUMMYFUNCTION("""COMPUTED_VALUE"""),43063.0)</f>
        <v>43063</v>
      </c>
      <c r="C2116" s="9">
        <f>IFERROR(__xludf.DUMMYFUNCTION("""COMPUTED_VALUE"""),2.34)</f>
        <v>2.34</v>
      </c>
      <c r="H2116" s="17"/>
      <c r="K2116" s="17"/>
      <c r="N2116" s="17"/>
    </row>
    <row r="2117">
      <c r="B2117" s="11">
        <f>IFERROR(__xludf.DUMMYFUNCTION("""COMPUTED_VALUE"""),43062.0)</f>
        <v>43062</v>
      </c>
      <c r="C2117" s="9"/>
      <c r="H2117" s="17"/>
      <c r="K2117" s="17"/>
      <c r="N2117" s="17"/>
    </row>
    <row r="2118">
      <c r="B2118" s="11">
        <f>IFERROR(__xludf.DUMMYFUNCTION("""COMPUTED_VALUE"""),43061.0)</f>
        <v>43061</v>
      </c>
      <c r="C2118" s="9">
        <f>IFERROR(__xludf.DUMMYFUNCTION("""COMPUTED_VALUE"""),2.32)</f>
        <v>2.32</v>
      </c>
      <c r="H2118" s="17"/>
      <c r="K2118" s="17"/>
      <c r="N2118" s="17"/>
    </row>
    <row r="2119">
      <c r="B2119" s="11">
        <f>IFERROR(__xludf.DUMMYFUNCTION("""COMPUTED_VALUE"""),43060.0)</f>
        <v>43060</v>
      </c>
      <c r="C2119" s="9">
        <f>IFERROR(__xludf.DUMMYFUNCTION("""COMPUTED_VALUE"""),2.36)</f>
        <v>2.36</v>
      </c>
      <c r="H2119" s="17"/>
      <c r="K2119" s="17"/>
      <c r="N2119" s="17"/>
    </row>
    <row r="2120">
      <c r="B2120" s="11">
        <f>IFERROR(__xludf.DUMMYFUNCTION("""COMPUTED_VALUE"""),43059.0)</f>
        <v>43059</v>
      </c>
      <c r="C2120" s="9">
        <f>IFERROR(__xludf.DUMMYFUNCTION("""COMPUTED_VALUE"""),2.37)</f>
        <v>2.37</v>
      </c>
      <c r="H2120" s="17"/>
      <c r="K2120" s="17"/>
      <c r="N2120" s="17"/>
    </row>
    <row r="2121">
      <c r="B2121" s="11">
        <f>IFERROR(__xludf.DUMMYFUNCTION("""COMPUTED_VALUE"""),43056.0)</f>
        <v>43056</v>
      </c>
      <c r="C2121" s="9">
        <f>IFERROR(__xludf.DUMMYFUNCTION("""COMPUTED_VALUE"""),2.35)</f>
        <v>2.35</v>
      </c>
      <c r="H2121" s="17"/>
      <c r="K2121" s="17"/>
      <c r="N2121" s="17"/>
    </row>
    <row r="2122">
      <c r="B2122" s="11">
        <f>IFERROR(__xludf.DUMMYFUNCTION("""COMPUTED_VALUE"""),43055.0)</f>
        <v>43055</v>
      </c>
      <c r="C2122" s="9">
        <f>IFERROR(__xludf.DUMMYFUNCTION("""COMPUTED_VALUE"""),2.37)</f>
        <v>2.37</v>
      </c>
      <c r="H2122" s="17"/>
      <c r="K2122" s="17"/>
      <c r="N2122" s="17"/>
    </row>
    <row r="2123">
      <c r="B2123" s="11">
        <f>IFERROR(__xludf.DUMMYFUNCTION("""COMPUTED_VALUE"""),43054.0)</f>
        <v>43054</v>
      </c>
      <c r="C2123" s="9">
        <f>IFERROR(__xludf.DUMMYFUNCTION("""COMPUTED_VALUE"""),2.33)</f>
        <v>2.33</v>
      </c>
      <c r="H2123" s="17"/>
      <c r="K2123" s="17"/>
      <c r="N2123" s="17"/>
    </row>
    <row r="2124">
      <c r="B2124" s="11">
        <f>IFERROR(__xludf.DUMMYFUNCTION("""COMPUTED_VALUE"""),43053.0)</f>
        <v>43053</v>
      </c>
      <c r="C2124" s="9">
        <f>IFERROR(__xludf.DUMMYFUNCTION("""COMPUTED_VALUE"""),2.38)</f>
        <v>2.38</v>
      </c>
      <c r="H2124" s="17"/>
      <c r="K2124" s="17"/>
      <c r="N2124" s="17"/>
    </row>
    <row r="2125">
      <c r="B2125" s="11">
        <f>IFERROR(__xludf.DUMMYFUNCTION("""COMPUTED_VALUE"""),43052.0)</f>
        <v>43052</v>
      </c>
      <c r="C2125" s="9">
        <f>IFERROR(__xludf.DUMMYFUNCTION("""COMPUTED_VALUE"""),2.4)</f>
        <v>2.4</v>
      </c>
      <c r="H2125" s="17"/>
      <c r="K2125" s="17"/>
      <c r="N2125" s="17"/>
    </row>
    <row r="2126">
      <c r="B2126" s="11">
        <f>IFERROR(__xludf.DUMMYFUNCTION("""COMPUTED_VALUE"""),43049.0)</f>
        <v>43049</v>
      </c>
      <c r="C2126" s="9">
        <f>IFERROR(__xludf.DUMMYFUNCTION("""COMPUTED_VALUE"""),2.4)</f>
        <v>2.4</v>
      </c>
      <c r="H2126" s="17"/>
      <c r="K2126" s="17"/>
      <c r="N2126" s="17"/>
    </row>
    <row r="2127">
      <c r="B2127" s="11">
        <f>IFERROR(__xludf.DUMMYFUNCTION("""COMPUTED_VALUE"""),43048.0)</f>
        <v>43048</v>
      </c>
      <c r="C2127" s="9">
        <f>IFERROR(__xludf.DUMMYFUNCTION("""COMPUTED_VALUE"""),2.33)</f>
        <v>2.33</v>
      </c>
      <c r="H2127" s="17"/>
      <c r="K2127" s="17"/>
      <c r="N2127" s="17"/>
    </row>
    <row r="2128">
      <c r="B2128" s="11">
        <f>IFERROR(__xludf.DUMMYFUNCTION("""COMPUTED_VALUE"""),43047.0)</f>
        <v>43047</v>
      </c>
      <c r="C2128" s="9">
        <f>IFERROR(__xludf.DUMMYFUNCTION("""COMPUTED_VALUE"""),2.32)</f>
        <v>2.32</v>
      </c>
      <c r="H2128" s="17"/>
      <c r="K2128" s="17"/>
      <c r="N2128" s="17"/>
    </row>
    <row r="2129">
      <c r="B2129" s="11">
        <f>IFERROR(__xludf.DUMMYFUNCTION("""COMPUTED_VALUE"""),43046.0)</f>
        <v>43046</v>
      </c>
      <c r="C2129" s="9">
        <f>IFERROR(__xludf.DUMMYFUNCTION("""COMPUTED_VALUE"""),2.32)</f>
        <v>2.32</v>
      </c>
      <c r="H2129" s="17"/>
      <c r="K2129" s="17"/>
      <c r="N2129" s="17"/>
    </row>
    <row r="2130">
      <c r="B2130" s="11">
        <f>IFERROR(__xludf.DUMMYFUNCTION("""COMPUTED_VALUE"""),43045.0)</f>
        <v>43045</v>
      </c>
      <c r="C2130" s="9">
        <f>IFERROR(__xludf.DUMMYFUNCTION("""COMPUTED_VALUE"""),2.32)</f>
        <v>2.32</v>
      </c>
      <c r="H2130" s="17"/>
      <c r="K2130" s="17"/>
      <c r="N2130" s="17"/>
    </row>
    <row r="2131">
      <c r="B2131" s="11">
        <f>IFERROR(__xludf.DUMMYFUNCTION("""COMPUTED_VALUE"""),43042.0)</f>
        <v>43042</v>
      </c>
      <c r="C2131" s="9">
        <f>IFERROR(__xludf.DUMMYFUNCTION("""COMPUTED_VALUE"""),2.34)</f>
        <v>2.34</v>
      </c>
      <c r="H2131" s="17"/>
      <c r="K2131" s="17"/>
      <c r="N2131" s="17"/>
    </row>
    <row r="2132">
      <c r="B2132" s="11">
        <f>IFERROR(__xludf.DUMMYFUNCTION("""COMPUTED_VALUE"""),43041.0)</f>
        <v>43041</v>
      </c>
      <c r="C2132" s="9">
        <f>IFERROR(__xludf.DUMMYFUNCTION("""COMPUTED_VALUE"""),2.35)</f>
        <v>2.35</v>
      </c>
      <c r="H2132" s="17"/>
      <c r="K2132" s="17"/>
      <c r="N2132" s="17"/>
    </row>
    <row r="2133">
      <c r="B2133" s="11">
        <f>IFERROR(__xludf.DUMMYFUNCTION("""COMPUTED_VALUE"""),43040.0)</f>
        <v>43040</v>
      </c>
      <c r="C2133" s="9">
        <f>IFERROR(__xludf.DUMMYFUNCTION("""COMPUTED_VALUE"""),2.37)</f>
        <v>2.37</v>
      </c>
      <c r="H2133" s="17"/>
      <c r="K2133" s="17"/>
      <c r="N2133" s="17"/>
    </row>
    <row r="2134">
      <c r="B2134" s="11">
        <f>IFERROR(__xludf.DUMMYFUNCTION("""COMPUTED_VALUE"""),43039.0)</f>
        <v>43039</v>
      </c>
      <c r="C2134" s="9">
        <f>IFERROR(__xludf.DUMMYFUNCTION("""COMPUTED_VALUE"""),2.38)</f>
        <v>2.38</v>
      </c>
      <c r="H2134" s="17"/>
      <c r="K2134" s="17"/>
      <c r="N2134" s="17"/>
    </row>
    <row r="2135">
      <c r="B2135" s="11">
        <f>IFERROR(__xludf.DUMMYFUNCTION("""COMPUTED_VALUE"""),43038.0)</f>
        <v>43038</v>
      </c>
      <c r="C2135" s="9">
        <f>IFERROR(__xludf.DUMMYFUNCTION("""COMPUTED_VALUE"""),2.37)</f>
        <v>2.37</v>
      </c>
      <c r="H2135" s="17"/>
      <c r="K2135" s="17"/>
      <c r="N2135" s="17"/>
    </row>
    <row r="2136">
      <c r="B2136" s="11">
        <f>IFERROR(__xludf.DUMMYFUNCTION("""COMPUTED_VALUE"""),43035.0)</f>
        <v>43035</v>
      </c>
      <c r="C2136" s="9">
        <f>IFERROR(__xludf.DUMMYFUNCTION("""COMPUTED_VALUE"""),2.42)</f>
        <v>2.42</v>
      </c>
      <c r="H2136" s="17"/>
      <c r="K2136" s="17"/>
      <c r="N2136" s="17"/>
    </row>
    <row r="2137">
      <c r="B2137" s="11">
        <f>IFERROR(__xludf.DUMMYFUNCTION("""COMPUTED_VALUE"""),43034.0)</f>
        <v>43034</v>
      </c>
      <c r="C2137" s="9">
        <f>IFERROR(__xludf.DUMMYFUNCTION("""COMPUTED_VALUE"""),2.46)</f>
        <v>2.46</v>
      </c>
      <c r="H2137" s="17"/>
      <c r="K2137" s="17"/>
      <c r="N2137" s="17"/>
    </row>
    <row r="2138">
      <c r="B2138" s="11">
        <f>IFERROR(__xludf.DUMMYFUNCTION("""COMPUTED_VALUE"""),43033.0)</f>
        <v>43033</v>
      </c>
      <c r="C2138" s="9">
        <f>IFERROR(__xludf.DUMMYFUNCTION("""COMPUTED_VALUE"""),2.44)</f>
        <v>2.44</v>
      </c>
      <c r="H2138" s="17"/>
      <c r="K2138" s="17"/>
      <c r="N2138" s="17"/>
    </row>
    <row r="2139">
      <c r="B2139" s="11">
        <f>IFERROR(__xludf.DUMMYFUNCTION("""COMPUTED_VALUE"""),43032.0)</f>
        <v>43032</v>
      </c>
      <c r="C2139" s="9">
        <f>IFERROR(__xludf.DUMMYFUNCTION("""COMPUTED_VALUE"""),2.42)</f>
        <v>2.42</v>
      </c>
      <c r="H2139" s="17"/>
      <c r="K2139" s="17"/>
      <c r="N2139" s="17"/>
    </row>
    <row r="2140">
      <c r="B2140" s="11">
        <f>IFERROR(__xludf.DUMMYFUNCTION("""COMPUTED_VALUE"""),43031.0)</f>
        <v>43031</v>
      </c>
      <c r="C2140" s="9">
        <f>IFERROR(__xludf.DUMMYFUNCTION("""COMPUTED_VALUE"""),2.38)</f>
        <v>2.38</v>
      </c>
      <c r="H2140" s="17"/>
      <c r="K2140" s="17"/>
      <c r="N2140" s="17"/>
    </row>
    <row r="2141">
      <c r="B2141" s="11">
        <f>IFERROR(__xludf.DUMMYFUNCTION("""COMPUTED_VALUE"""),43028.0)</f>
        <v>43028</v>
      </c>
      <c r="C2141" s="9">
        <f>IFERROR(__xludf.DUMMYFUNCTION("""COMPUTED_VALUE"""),2.39)</f>
        <v>2.39</v>
      </c>
      <c r="H2141" s="17"/>
      <c r="K2141" s="17"/>
      <c r="N2141" s="17"/>
    </row>
    <row r="2142">
      <c r="B2142" s="11">
        <f>IFERROR(__xludf.DUMMYFUNCTION("""COMPUTED_VALUE"""),43027.0)</f>
        <v>43027</v>
      </c>
      <c r="C2142" s="9">
        <f>IFERROR(__xludf.DUMMYFUNCTION("""COMPUTED_VALUE"""),2.33)</f>
        <v>2.33</v>
      </c>
      <c r="H2142" s="17"/>
      <c r="K2142" s="17"/>
      <c r="N2142" s="17"/>
    </row>
    <row r="2143">
      <c r="B2143" s="11">
        <f>IFERROR(__xludf.DUMMYFUNCTION("""COMPUTED_VALUE"""),43026.0)</f>
        <v>43026</v>
      </c>
      <c r="C2143" s="9">
        <f>IFERROR(__xludf.DUMMYFUNCTION("""COMPUTED_VALUE"""),2.34)</f>
        <v>2.34</v>
      </c>
      <c r="H2143" s="17"/>
      <c r="K2143" s="17"/>
      <c r="N2143" s="17"/>
    </row>
    <row r="2144">
      <c r="B2144" s="11">
        <f>IFERROR(__xludf.DUMMYFUNCTION("""COMPUTED_VALUE"""),43025.0)</f>
        <v>43025</v>
      </c>
      <c r="C2144" s="9">
        <f>IFERROR(__xludf.DUMMYFUNCTION("""COMPUTED_VALUE"""),2.3)</f>
        <v>2.3</v>
      </c>
      <c r="H2144" s="17"/>
      <c r="K2144" s="17"/>
      <c r="N2144" s="17"/>
    </row>
    <row r="2145">
      <c r="B2145" s="11">
        <f>IFERROR(__xludf.DUMMYFUNCTION("""COMPUTED_VALUE"""),43024.0)</f>
        <v>43024</v>
      </c>
      <c r="C2145" s="9">
        <f>IFERROR(__xludf.DUMMYFUNCTION("""COMPUTED_VALUE"""),2.3)</f>
        <v>2.3</v>
      </c>
      <c r="H2145" s="17"/>
      <c r="K2145" s="17"/>
      <c r="N2145" s="17"/>
    </row>
    <row r="2146">
      <c r="B2146" s="11">
        <f>IFERROR(__xludf.DUMMYFUNCTION("""COMPUTED_VALUE"""),43021.0)</f>
        <v>43021</v>
      </c>
      <c r="C2146" s="9">
        <f>IFERROR(__xludf.DUMMYFUNCTION("""COMPUTED_VALUE"""),2.28)</f>
        <v>2.28</v>
      </c>
      <c r="H2146" s="17"/>
      <c r="K2146" s="17"/>
      <c r="N2146" s="17"/>
    </row>
    <row r="2147">
      <c r="B2147" s="11">
        <f>IFERROR(__xludf.DUMMYFUNCTION("""COMPUTED_VALUE"""),43020.0)</f>
        <v>43020</v>
      </c>
      <c r="C2147" s="9">
        <f>IFERROR(__xludf.DUMMYFUNCTION("""COMPUTED_VALUE"""),2.33)</f>
        <v>2.33</v>
      </c>
      <c r="H2147" s="17"/>
      <c r="K2147" s="17"/>
      <c r="N2147" s="17"/>
    </row>
    <row r="2148">
      <c r="B2148" s="11">
        <f>IFERROR(__xludf.DUMMYFUNCTION("""COMPUTED_VALUE"""),43019.0)</f>
        <v>43019</v>
      </c>
      <c r="C2148" s="9">
        <f>IFERROR(__xludf.DUMMYFUNCTION("""COMPUTED_VALUE"""),2.35)</f>
        <v>2.35</v>
      </c>
      <c r="H2148" s="17"/>
      <c r="K2148" s="17"/>
      <c r="N2148" s="17"/>
    </row>
    <row r="2149">
      <c r="B2149" s="11">
        <f>IFERROR(__xludf.DUMMYFUNCTION("""COMPUTED_VALUE"""),43018.0)</f>
        <v>43018</v>
      </c>
      <c r="C2149" s="9">
        <f>IFERROR(__xludf.DUMMYFUNCTION("""COMPUTED_VALUE"""),2.35)</f>
        <v>2.35</v>
      </c>
      <c r="H2149" s="17"/>
      <c r="K2149" s="17"/>
      <c r="N2149" s="17"/>
    </row>
    <row r="2150">
      <c r="B2150" s="11">
        <f>IFERROR(__xludf.DUMMYFUNCTION("""COMPUTED_VALUE"""),43017.0)</f>
        <v>43017</v>
      </c>
      <c r="C2150" s="9"/>
      <c r="H2150" s="17"/>
      <c r="K2150" s="17"/>
      <c r="N2150" s="17"/>
    </row>
    <row r="2151">
      <c r="B2151" s="11">
        <f>IFERROR(__xludf.DUMMYFUNCTION("""COMPUTED_VALUE"""),43014.0)</f>
        <v>43014</v>
      </c>
      <c r="C2151" s="9">
        <f>IFERROR(__xludf.DUMMYFUNCTION("""COMPUTED_VALUE"""),2.37)</f>
        <v>2.37</v>
      </c>
      <c r="H2151" s="17"/>
      <c r="K2151" s="17"/>
      <c r="N2151" s="17"/>
    </row>
    <row r="2152">
      <c r="B2152" s="11">
        <f>IFERROR(__xludf.DUMMYFUNCTION("""COMPUTED_VALUE"""),43013.0)</f>
        <v>43013</v>
      </c>
      <c r="C2152" s="9">
        <f>IFERROR(__xludf.DUMMYFUNCTION("""COMPUTED_VALUE"""),2.35)</f>
        <v>2.35</v>
      </c>
      <c r="H2152" s="17"/>
      <c r="K2152" s="17"/>
      <c r="N2152" s="17"/>
    </row>
    <row r="2153">
      <c r="B2153" s="11">
        <f>IFERROR(__xludf.DUMMYFUNCTION("""COMPUTED_VALUE"""),43012.0)</f>
        <v>43012</v>
      </c>
      <c r="C2153" s="9">
        <f>IFERROR(__xludf.DUMMYFUNCTION("""COMPUTED_VALUE"""),2.33)</f>
        <v>2.33</v>
      </c>
      <c r="H2153" s="17"/>
      <c r="K2153" s="17"/>
      <c r="N2153" s="17"/>
    </row>
    <row r="2154">
      <c r="B2154" s="11">
        <f>IFERROR(__xludf.DUMMYFUNCTION("""COMPUTED_VALUE"""),43011.0)</f>
        <v>43011</v>
      </c>
      <c r="C2154" s="9">
        <f>IFERROR(__xludf.DUMMYFUNCTION("""COMPUTED_VALUE"""),2.33)</f>
        <v>2.33</v>
      </c>
      <c r="H2154" s="17"/>
      <c r="K2154" s="17"/>
      <c r="N2154" s="17"/>
    </row>
    <row r="2155">
      <c r="B2155" s="11">
        <f>IFERROR(__xludf.DUMMYFUNCTION("""COMPUTED_VALUE"""),43010.0)</f>
        <v>43010</v>
      </c>
      <c r="C2155" s="9">
        <f>IFERROR(__xludf.DUMMYFUNCTION("""COMPUTED_VALUE"""),2.34)</f>
        <v>2.34</v>
      </c>
      <c r="H2155" s="17"/>
      <c r="K2155" s="17"/>
      <c r="N2155" s="17"/>
    </row>
    <row r="2156">
      <c r="B2156" s="11">
        <f>IFERROR(__xludf.DUMMYFUNCTION("""COMPUTED_VALUE"""),43007.0)</f>
        <v>43007</v>
      </c>
      <c r="C2156" s="9">
        <f>IFERROR(__xludf.DUMMYFUNCTION("""COMPUTED_VALUE"""),2.33)</f>
        <v>2.33</v>
      </c>
      <c r="H2156" s="17"/>
      <c r="K2156" s="17"/>
      <c r="N2156" s="17"/>
    </row>
    <row r="2157">
      <c r="B2157" s="11">
        <f>IFERROR(__xludf.DUMMYFUNCTION("""COMPUTED_VALUE"""),43006.0)</f>
        <v>43006</v>
      </c>
      <c r="C2157" s="9">
        <f>IFERROR(__xludf.DUMMYFUNCTION("""COMPUTED_VALUE"""),2.31)</f>
        <v>2.31</v>
      </c>
      <c r="H2157" s="17"/>
      <c r="K2157" s="17"/>
      <c r="N2157" s="17"/>
    </row>
    <row r="2158">
      <c r="B2158" s="11">
        <f>IFERROR(__xludf.DUMMYFUNCTION("""COMPUTED_VALUE"""),43005.0)</f>
        <v>43005</v>
      </c>
      <c r="C2158" s="9">
        <f>IFERROR(__xludf.DUMMYFUNCTION("""COMPUTED_VALUE"""),2.31)</f>
        <v>2.31</v>
      </c>
      <c r="H2158" s="17"/>
      <c r="K2158" s="17"/>
      <c r="N2158" s="17"/>
    </row>
    <row r="2159">
      <c r="B2159" s="11">
        <f>IFERROR(__xludf.DUMMYFUNCTION("""COMPUTED_VALUE"""),43004.0)</f>
        <v>43004</v>
      </c>
      <c r="C2159" s="9">
        <f>IFERROR(__xludf.DUMMYFUNCTION("""COMPUTED_VALUE"""),2.24)</f>
        <v>2.24</v>
      </c>
      <c r="H2159" s="17"/>
      <c r="K2159" s="17"/>
      <c r="N2159" s="17"/>
    </row>
    <row r="2160">
      <c r="B2160" s="11">
        <f>IFERROR(__xludf.DUMMYFUNCTION("""COMPUTED_VALUE"""),43003.0)</f>
        <v>43003</v>
      </c>
      <c r="C2160" s="9">
        <f>IFERROR(__xludf.DUMMYFUNCTION("""COMPUTED_VALUE"""),2.22)</f>
        <v>2.22</v>
      </c>
      <c r="H2160" s="17"/>
      <c r="K2160" s="17"/>
      <c r="N2160" s="17"/>
    </row>
    <row r="2161">
      <c r="B2161" s="11">
        <f>IFERROR(__xludf.DUMMYFUNCTION("""COMPUTED_VALUE"""),43000.0)</f>
        <v>43000</v>
      </c>
      <c r="C2161" s="9">
        <f>IFERROR(__xludf.DUMMYFUNCTION("""COMPUTED_VALUE"""),2.26)</f>
        <v>2.26</v>
      </c>
      <c r="H2161" s="17"/>
      <c r="K2161" s="17"/>
      <c r="N2161" s="17"/>
    </row>
    <row r="2162">
      <c r="B2162" s="11">
        <f>IFERROR(__xludf.DUMMYFUNCTION("""COMPUTED_VALUE"""),42999.0)</f>
        <v>42999</v>
      </c>
      <c r="C2162" s="9">
        <f>IFERROR(__xludf.DUMMYFUNCTION("""COMPUTED_VALUE"""),2.27)</f>
        <v>2.27</v>
      </c>
      <c r="H2162" s="17"/>
      <c r="K2162" s="17"/>
      <c r="N2162" s="17"/>
    </row>
    <row r="2163">
      <c r="B2163" s="11">
        <f>IFERROR(__xludf.DUMMYFUNCTION("""COMPUTED_VALUE"""),42998.0)</f>
        <v>42998</v>
      </c>
      <c r="C2163" s="9">
        <f>IFERROR(__xludf.DUMMYFUNCTION("""COMPUTED_VALUE"""),2.28)</f>
        <v>2.28</v>
      </c>
      <c r="H2163" s="17"/>
      <c r="K2163" s="17"/>
      <c r="N2163" s="17"/>
    </row>
    <row r="2164">
      <c r="B2164" s="11">
        <f>IFERROR(__xludf.DUMMYFUNCTION("""COMPUTED_VALUE"""),42997.0)</f>
        <v>42997</v>
      </c>
      <c r="C2164" s="9">
        <f>IFERROR(__xludf.DUMMYFUNCTION("""COMPUTED_VALUE"""),2.24)</f>
        <v>2.24</v>
      </c>
      <c r="H2164" s="17"/>
      <c r="K2164" s="17"/>
      <c r="N2164" s="17"/>
    </row>
    <row r="2165">
      <c r="B2165" s="11">
        <f>IFERROR(__xludf.DUMMYFUNCTION("""COMPUTED_VALUE"""),42996.0)</f>
        <v>42996</v>
      </c>
      <c r="C2165" s="9">
        <f>IFERROR(__xludf.DUMMYFUNCTION("""COMPUTED_VALUE"""),2.23)</f>
        <v>2.23</v>
      </c>
      <c r="H2165" s="17"/>
      <c r="K2165" s="17"/>
      <c r="N2165" s="17"/>
    </row>
    <row r="2166">
      <c r="B2166" s="11">
        <f>IFERROR(__xludf.DUMMYFUNCTION("""COMPUTED_VALUE"""),42993.0)</f>
        <v>42993</v>
      </c>
      <c r="C2166" s="9">
        <f>IFERROR(__xludf.DUMMYFUNCTION("""COMPUTED_VALUE"""),2.2)</f>
        <v>2.2</v>
      </c>
      <c r="H2166" s="17"/>
      <c r="K2166" s="17"/>
      <c r="N2166" s="17"/>
    </row>
    <row r="2167">
      <c r="B2167" s="11">
        <f>IFERROR(__xludf.DUMMYFUNCTION("""COMPUTED_VALUE"""),42992.0)</f>
        <v>42992</v>
      </c>
      <c r="C2167" s="9">
        <f>IFERROR(__xludf.DUMMYFUNCTION("""COMPUTED_VALUE"""),2.2)</f>
        <v>2.2</v>
      </c>
      <c r="H2167" s="17"/>
      <c r="K2167" s="17"/>
      <c r="N2167" s="17"/>
    </row>
    <row r="2168">
      <c r="B2168" s="11">
        <f>IFERROR(__xludf.DUMMYFUNCTION("""COMPUTED_VALUE"""),42991.0)</f>
        <v>42991</v>
      </c>
      <c r="C2168" s="9">
        <f>IFERROR(__xludf.DUMMYFUNCTION("""COMPUTED_VALUE"""),2.2)</f>
        <v>2.2</v>
      </c>
      <c r="H2168" s="17"/>
      <c r="K2168" s="17"/>
      <c r="N2168" s="17"/>
    </row>
    <row r="2169">
      <c r="B2169" s="11">
        <f>IFERROR(__xludf.DUMMYFUNCTION("""COMPUTED_VALUE"""),42990.0)</f>
        <v>42990</v>
      </c>
      <c r="C2169" s="9">
        <f>IFERROR(__xludf.DUMMYFUNCTION("""COMPUTED_VALUE"""),2.17)</f>
        <v>2.17</v>
      </c>
      <c r="H2169" s="17"/>
      <c r="K2169" s="17"/>
      <c r="N2169" s="17"/>
    </row>
    <row r="2170">
      <c r="B2170" s="11">
        <f>IFERROR(__xludf.DUMMYFUNCTION("""COMPUTED_VALUE"""),42989.0)</f>
        <v>42989</v>
      </c>
      <c r="C2170" s="9">
        <f>IFERROR(__xludf.DUMMYFUNCTION("""COMPUTED_VALUE"""),2.14)</f>
        <v>2.14</v>
      </c>
      <c r="H2170" s="17"/>
      <c r="K2170" s="17"/>
      <c r="N2170" s="17"/>
    </row>
    <row r="2171">
      <c r="B2171" s="11">
        <f>IFERROR(__xludf.DUMMYFUNCTION("""COMPUTED_VALUE"""),42986.0)</f>
        <v>42986</v>
      </c>
      <c r="C2171" s="9">
        <f>IFERROR(__xludf.DUMMYFUNCTION("""COMPUTED_VALUE"""),2.06)</f>
        <v>2.06</v>
      </c>
      <c r="H2171" s="17"/>
      <c r="K2171" s="17"/>
      <c r="N2171" s="17"/>
    </row>
    <row r="2172">
      <c r="B2172" s="11">
        <f>IFERROR(__xludf.DUMMYFUNCTION("""COMPUTED_VALUE"""),42985.0)</f>
        <v>42985</v>
      </c>
      <c r="C2172" s="9">
        <f>IFERROR(__xludf.DUMMYFUNCTION("""COMPUTED_VALUE"""),2.05)</f>
        <v>2.05</v>
      </c>
      <c r="H2172" s="17"/>
      <c r="K2172" s="17"/>
      <c r="N2172" s="17"/>
    </row>
    <row r="2173">
      <c r="B2173" s="11">
        <f>IFERROR(__xludf.DUMMYFUNCTION("""COMPUTED_VALUE"""),42984.0)</f>
        <v>42984</v>
      </c>
      <c r="C2173" s="9">
        <f>IFERROR(__xludf.DUMMYFUNCTION("""COMPUTED_VALUE"""),2.1)</f>
        <v>2.1</v>
      </c>
      <c r="H2173" s="17"/>
      <c r="K2173" s="17"/>
      <c r="N2173" s="17"/>
    </row>
    <row r="2174">
      <c r="B2174" s="11">
        <f>IFERROR(__xludf.DUMMYFUNCTION("""COMPUTED_VALUE"""),42983.0)</f>
        <v>42983</v>
      </c>
      <c r="C2174" s="9">
        <f>IFERROR(__xludf.DUMMYFUNCTION("""COMPUTED_VALUE"""),2.07)</f>
        <v>2.07</v>
      </c>
      <c r="H2174" s="17"/>
      <c r="K2174" s="17"/>
      <c r="N2174" s="17"/>
    </row>
    <row r="2175">
      <c r="B2175" s="11">
        <f>IFERROR(__xludf.DUMMYFUNCTION("""COMPUTED_VALUE"""),42982.0)</f>
        <v>42982</v>
      </c>
      <c r="C2175" s="9"/>
      <c r="H2175" s="17"/>
      <c r="K2175" s="17"/>
      <c r="N2175" s="17"/>
    </row>
    <row r="2176">
      <c r="B2176" s="11">
        <f>IFERROR(__xludf.DUMMYFUNCTION("""COMPUTED_VALUE"""),42979.0)</f>
        <v>42979</v>
      </c>
      <c r="C2176" s="9">
        <f>IFERROR(__xludf.DUMMYFUNCTION("""COMPUTED_VALUE"""),2.16)</f>
        <v>2.16</v>
      </c>
      <c r="H2176" s="17"/>
      <c r="K2176" s="17"/>
      <c r="N2176" s="17"/>
    </row>
    <row r="2177">
      <c r="B2177" s="11">
        <f>IFERROR(__xludf.DUMMYFUNCTION("""COMPUTED_VALUE"""),42978.0)</f>
        <v>42978</v>
      </c>
      <c r="C2177" s="9">
        <f>IFERROR(__xludf.DUMMYFUNCTION("""COMPUTED_VALUE"""),2.12)</f>
        <v>2.12</v>
      </c>
      <c r="H2177" s="17"/>
      <c r="K2177" s="17"/>
      <c r="N2177" s="17"/>
    </row>
    <row r="2178">
      <c r="B2178" s="11">
        <f>IFERROR(__xludf.DUMMYFUNCTION("""COMPUTED_VALUE"""),42977.0)</f>
        <v>42977</v>
      </c>
      <c r="C2178" s="9">
        <f>IFERROR(__xludf.DUMMYFUNCTION("""COMPUTED_VALUE"""),2.15)</f>
        <v>2.15</v>
      </c>
      <c r="H2178" s="17"/>
      <c r="K2178" s="17"/>
      <c r="N2178" s="17"/>
    </row>
    <row r="2179">
      <c r="B2179" s="11">
        <f>IFERROR(__xludf.DUMMYFUNCTION("""COMPUTED_VALUE"""),42976.0)</f>
        <v>42976</v>
      </c>
      <c r="C2179" s="9">
        <f>IFERROR(__xludf.DUMMYFUNCTION("""COMPUTED_VALUE"""),2.13)</f>
        <v>2.13</v>
      </c>
      <c r="H2179" s="17"/>
      <c r="K2179" s="17"/>
      <c r="N2179" s="17"/>
    </row>
    <row r="2180">
      <c r="B2180" s="11">
        <f>IFERROR(__xludf.DUMMYFUNCTION("""COMPUTED_VALUE"""),42975.0)</f>
        <v>42975</v>
      </c>
      <c r="C2180" s="9">
        <f>IFERROR(__xludf.DUMMYFUNCTION("""COMPUTED_VALUE"""),2.16)</f>
        <v>2.16</v>
      </c>
      <c r="H2180" s="17"/>
      <c r="K2180" s="17"/>
      <c r="N2180" s="17"/>
    </row>
    <row r="2181">
      <c r="B2181" s="11">
        <f>IFERROR(__xludf.DUMMYFUNCTION("""COMPUTED_VALUE"""),42972.0)</f>
        <v>42972</v>
      </c>
      <c r="C2181" s="9">
        <f>IFERROR(__xludf.DUMMYFUNCTION("""COMPUTED_VALUE"""),2.17)</f>
        <v>2.17</v>
      </c>
      <c r="H2181" s="17"/>
      <c r="K2181" s="17"/>
      <c r="N2181" s="17"/>
    </row>
    <row r="2182">
      <c r="B2182" s="11">
        <f>IFERROR(__xludf.DUMMYFUNCTION("""COMPUTED_VALUE"""),42971.0)</f>
        <v>42971</v>
      </c>
      <c r="C2182" s="9">
        <f>IFERROR(__xludf.DUMMYFUNCTION("""COMPUTED_VALUE"""),2.19)</f>
        <v>2.19</v>
      </c>
      <c r="H2182" s="17"/>
      <c r="K2182" s="17"/>
      <c r="N2182" s="17"/>
    </row>
    <row r="2183">
      <c r="B2183" s="11">
        <f>IFERROR(__xludf.DUMMYFUNCTION("""COMPUTED_VALUE"""),42970.0)</f>
        <v>42970</v>
      </c>
      <c r="C2183" s="9">
        <f>IFERROR(__xludf.DUMMYFUNCTION("""COMPUTED_VALUE"""),2.17)</f>
        <v>2.17</v>
      </c>
      <c r="H2183" s="17"/>
      <c r="K2183" s="17"/>
      <c r="N2183" s="17"/>
    </row>
    <row r="2184">
      <c r="B2184" s="11">
        <f>IFERROR(__xludf.DUMMYFUNCTION("""COMPUTED_VALUE"""),42969.0)</f>
        <v>42969</v>
      </c>
      <c r="C2184" s="9">
        <f>IFERROR(__xludf.DUMMYFUNCTION("""COMPUTED_VALUE"""),2.22)</f>
        <v>2.22</v>
      </c>
      <c r="H2184" s="17"/>
      <c r="K2184" s="17"/>
      <c r="N2184" s="17"/>
    </row>
    <row r="2185">
      <c r="B2185" s="11">
        <f>IFERROR(__xludf.DUMMYFUNCTION("""COMPUTED_VALUE"""),42968.0)</f>
        <v>42968</v>
      </c>
      <c r="C2185" s="9">
        <f>IFERROR(__xludf.DUMMYFUNCTION("""COMPUTED_VALUE"""),2.18)</f>
        <v>2.18</v>
      </c>
      <c r="H2185" s="17"/>
      <c r="K2185" s="17"/>
      <c r="N2185" s="17"/>
    </row>
    <row r="2186">
      <c r="B2186" s="11">
        <f>IFERROR(__xludf.DUMMYFUNCTION("""COMPUTED_VALUE"""),42965.0)</f>
        <v>42965</v>
      </c>
      <c r="C2186" s="9">
        <f>IFERROR(__xludf.DUMMYFUNCTION("""COMPUTED_VALUE"""),2.19)</f>
        <v>2.19</v>
      </c>
      <c r="H2186" s="17"/>
      <c r="K2186" s="17"/>
      <c r="N2186" s="17"/>
    </row>
    <row r="2187">
      <c r="B2187" s="11">
        <f>IFERROR(__xludf.DUMMYFUNCTION("""COMPUTED_VALUE"""),42964.0)</f>
        <v>42964</v>
      </c>
      <c r="C2187" s="9">
        <f>IFERROR(__xludf.DUMMYFUNCTION("""COMPUTED_VALUE"""),2.19)</f>
        <v>2.19</v>
      </c>
      <c r="H2187" s="17"/>
      <c r="K2187" s="17"/>
      <c r="N2187" s="17"/>
    </row>
    <row r="2188">
      <c r="B2188" s="11">
        <f>IFERROR(__xludf.DUMMYFUNCTION("""COMPUTED_VALUE"""),42963.0)</f>
        <v>42963</v>
      </c>
      <c r="C2188" s="9">
        <f>IFERROR(__xludf.DUMMYFUNCTION("""COMPUTED_VALUE"""),2.23)</f>
        <v>2.23</v>
      </c>
      <c r="H2188" s="17"/>
      <c r="K2188" s="17"/>
      <c r="N2188" s="17"/>
    </row>
    <row r="2189">
      <c r="B2189" s="11">
        <f>IFERROR(__xludf.DUMMYFUNCTION("""COMPUTED_VALUE"""),42962.0)</f>
        <v>42962</v>
      </c>
      <c r="C2189" s="9">
        <f>IFERROR(__xludf.DUMMYFUNCTION("""COMPUTED_VALUE"""),2.27)</f>
        <v>2.27</v>
      </c>
      <c r="H2189" s="17"/>
      <c r="K2189" s="17"/>
      <c r="N2189" s="17"/>
    </row>
    <row r="2190">
      <c r="B2190" s="11">
        <f>IFERROR(__xludf.DUMMYFUNCTION("""COMPUTED_VALUE"""),42961.0)</f>
        <v>42961</v>
      </c>
      <c r="C2190" s="9">
        <f>IFERROR(__xludf.DUMMYFUNCTION("""COMPUTED_VALUE"""),2.22)</f>
        <v>2.22</v>
      </c>
      <c r="H2190" s="17"/>
      <c r="K2190" s="17"/>
      <c r="N2190" s="17"/>
    </row>
    <row r="2191">
      <c r="B2191" s="11">
        <f>IFERROR(__xludf.DUMMYFUNCTION("""COMPUTED_VALUE"""),42958.0)</f>
        <v>42958</v>
      </c>
      <c r="C2191" s="9">
        <f>IFERROR(__xludf.DUMMYFUNCTION("""COMPUTED_VALUE"""),2.19)</f>
        <v>2.19</v>
      </c>
      <c r="H2191" s="17"/>
      <c r="K2191" s="17"/>
      <c r="N2191" s="17"/>
    </row>
    <row r="2192">
      <c r="B2192" s="11">
        <f>IFERROR(__xludf.DUMMYFUNCTION("""COMPUTED_VALUE"""),42957.0)</f>
        <v>42957</v>
      </c>
      <c r="C2192" s="9">
        <f>IFERROR(__xludf.DUMMYFUNCTION("""COMPUTED_VALUE"""),2.2)</f>
        <v>2.2</v>
      </c>
      <c r="H2192" s="17"/>
      <c r="K2192" s="17"/>
      <c r="N2192" s="17"/>
    </row>
    <row r="2193">
      <c r="B2193" s="11">
        <f>IFERROR(__xludf.DUMMYFUNCTION("""COMPUTED_VALUE"""),42956.0)</f>
        <v>42956</v>
      </c>
      <c r="C2193" s="9">
        <f>IFERROR(__xludf.DUMMYFUNCTION("""COMPUTED_VALUE"""),2.24)</f>
        <v>2.24</v>
      </c>
      <c r="H2193" s="17"/>
      <c r="K2193" s="17"/>
      <c r="N2193" s="17"/>
    </row>
    <row r="2194">
      <c r="B2194" s="11">
        <f>IFERROR(__xludf.DUMMYFUNCTION("""COMPUTED_VALUE"""),42955.0)</f>
        <v>42955</v>
      </c>
      <c r="C2194" s="9">
        <f>IFERROR(__xludf.DUMMYFUNCTION("""COMPUTED_VALUE"""),2.29)</f>
        <v>2.29</v>
      </c>
      <c r="H2194" s="17"/>
      <c r="K2194" s="17"/>
      <c r="N2194" s="17"/>
    </row>
    <row r="2195">
      <c r="B2195" s="11">
        <f>IFERROR(__xludf.DUMMYFUNCTION("""COMPUTED_VALUE"""),42954.0)</f>
        <v>42954</v>
      </c>
      <c r="C2195" s="9">
        <f>IFERROR(__xludf.DUMMYFUNCTION("""COMPUTED_VALUE"""),2.26)</f>
        <v>2.26</v>
      </c>
      <c r="H2195" s="17"/>
      <c r="K2195" s="17"/>
      <c r="N2195" s="17"/>
    </row>
    <row r="2196">
      <c r="B2196" s="11">
        <f>IFERROR(__xludf.DUMMYFUNCTION("""COMPUTED_VALUE"""),42951.0)</f>
        <v>42951</v>
      </c>
      <c r="C2196" s="9">
        <f>IFERROR(__xludf.DUMMYFUNCTION("""COMPUTED_VALUE"""),2.27)</f>
        <v>2.27</v>
      </c>
      <c r="H2196" s="17"/>
      <c r="K2196" s="17"/>
      <c r="N2196" s="17"/>
    </row>
    <row r="2197">
      <c r="B2197" s="11">
        <f>IFERROR(__xludf.DUMMYFUNCTION("""COMPUTED_VALUE"""),42950.0)</f>
        <v>42950</v>
      </c>
      <c r="C2197" s="9">
        <f>IFERROR(__xludf.DUMMYFUNCTION("""COMPUTED_VALUE"""),2.24)</f>
        <v>2.24</v>
      </c>
      <c r="H2197" s="17"/>
      <c r="K2197" s="17"/>
      <c r="N2197" s="17"/>
    </row>
    <row r="2198">
      <c r="B2198" s="11">
        <f>IFERROR(__xludf.DUMMYFUNCTION("""COMPUTED_VALUE"""),42949.0)</f>
        <v>42949</v>
      </c>
      <c r="C2198" s="9">
        <f>IFERROR(__xludf.DUMMYFUNCTION("""COMPUTED_VALUE"""),2.27)</f>
        <v>2.27</v>
      </c>
      <c r="H2198" s="17"/>
      <c r="K2198" s="17"/>
      <c r="N2198" s="17"/>
    </row>
    <row r="2199">
      <c r="B2199" s="11">
        <f>IFERROR(__xludf.DUMMYFUNCTION("""COMPUTED_VALUE"""),42948.0)</f>
        <v>42948</v>
      </c>
      <c r="C2199" s="9">
        <f>IFERROR(__xludf.DUMMYFUNCTION("""COMPUTED_VALUE"""),2.26)</f>
        <v>2.26</v>
      </c>
      <c r="H2199" s="17"/>
      <c r="K2199" s="17"/>
      <c r="N2199" s="17"/>
    </row>
    <row r="2200">
      <c r="B2200" s="11">
        <f>IFERROR(__xludf.DUMMYFUNCTION("""COMPUTED_VALUE"""),42947.0)</f>
        <v>42947</v>
      </c>
      <c r="C2200" s="9">
        <f>IFERROR(__xludf.DUMMYFUNCTION("""COMPUTED_VALUE"""),2.3)</f>
        <v>2.3</v>
      </c>
      <c r="H2200" s="17"/>
      <c r="K2200" s="17"/>
      <c r="N2200" s="17"/>
    </row>
    <row r="2201">
      <c r="B2201" s="11">
        <f>IFERROR(__xludf.DUMMYFUNCTION("""COMPUTED_VALUE"""),42944.0)</f>
        <v>42944</v>
      </c>
      <c r="C2201" s="9">
        <f>IFERROR(__xludf.DUMMYFUNCTION("""COMPUTED_VALUE"""),2.3)</f>
        <v>2.3</v>
      </c>
      <c r="H2201" s="17"/>
      <c r="K2201" s="17"/>
      <c r="N2201" s="17"/>
    </row>
    <row r="2202">
      <c r="B2202" s="11">
        <f>IFERROR(__xludf.DUMMYFUNCTION("""COMPUTED_VALUE"""),42943.0)</f>
        <v>42943</v>
      </c>
      <c r="C2202" s="9">
        <f>IFERROR(__xludf.DUMMYFUNCTION("""COMPUTED_VALUE"""),2.32)</f>
        <v>2.32</v>
      </c>
      <c r="H2202" s="17"/>
      <c r="K2202" s="17"/>
      <c r="N2202" s="17"/>
    </row>
    <row r="2203">
      <c r="B2203" s="11">
        <f>IFERROR(__xludf.DUMMYFUNCTION("""COMPUTED_VALUE"""),42942.0)</f>
        <v>42942</v>
      </c>
      <c r="C2203" s="9">
        <f>IFERROR(__xludf.DUMMYFUNCTION("""COMPUTED_VALUE"""),2.29)</f>
        <v>2.29</v>
      </c>
      <c r="H2203" s="17"/>
      <c r="K2203" s="17"/>
      <c r="N2203" s="17"/>
    </row>
    <row r="2204">
      <c r="B2204" s="11">
        <f>IFERROR(__xludf.DUMMYFUNCTION("""COMPUTED_VALUE"""),42941.0)</f>
        <v>42941</v>
      </c>
      <c r="C2204" s="9">
        <f>IFERROR(__xludf.DUMMYFUNCTION("""COMPUTED_VALUE"""),2.33)</f>
        <v>2.33</v>
      </c>
      <c r="H2204" s="17"/>
      <c r="K2204" s="17"/>
      <c r="N2204" s="17"/>
    </row>
    <row r="2205">
      <c r="B2205" s="11">
        <f>IFERROR(__xludf.DUMMYFUNCTION("""COMPUTED_VALUE"""),42940.0)</f>
        <v>42940</v>
      </c>
      <c r="C2205" s="9">
        <f>IFERROR(__xludf.DUMMYFUNCTION("""COMPUTED_VALUE"""),2.26)</f>
        <v>2.26</v>
      </c>
      <c r="H2205" s="17"/>
      <c r="K2205" s="17"/>
      <c r="N2205" s="17"/>
    </row>
    <row r="2206">
      <c r="B2206" s="11">
        <f>IFERROR(__xludf.DUMMYFUNCTION("""COMPUTED_VALUE"""),42937.0)</f>
        <v>42937</v>
      </c>
      <c r="C2206" s="9">
        <f>IFERROR(__xludf.DUMMYFUNCTION("""COMPUTED_VALUE"""),2.24)</f>
        <v>2.24</v>
      </c>
      <c r="H2206" s="17"/>
      <c r="K2206" s="17"/>
      <c r="N2206" s="17"/>
    </row>
    <row r="2207">
      <c r="B2207" s="11">
        <f>IFERROR(__xludf.DUMMYFUNCTION("""COMPUTED_VALUE"""),42936.0)</f>
        <v>42936</v>
      </c>
      <c r="C2207" s="9">
        <f>IFERROR(__xludf.DUMMYFUNCTION("""COMPUTED_VALUE"""),2.27)</f>
        <v>2.27</v>
      </c>
      <c r="H2207" s="17"/>
      <c r="K2207" s="17"/>
      <c r="N2207" s="17"/>
    </row>
    <row r="2208">
      <c r="B2208" s="11">
        <f>IFERROR(__xludf.DUMMYFUNCTION("""COMPUTED_VALUE"""),42935.0)</f>
        <v>42935</v>
      </c>
      <c r="C2208" s="9">
        <f>IFERROR(__xludf.DUMMYFUNCTION("""COMPUTED_VALUE"""),2.27)</f>
        <v>2.27</v>
      </c>
      <c r="H2208" s="17"/>
      <c r="K2208" s="17"/>
      <c r="N2208" s="17"/>
    </row>
    <row r="2209">
      <c r="B2209" s="11">
        <f>IFERROR(__xludf.DUMMYFUNCTION("""COMPUTED_VALUE"""),42934.0)</f>
        <v>42934</v>
      </c>
      <c r="C2209" s="9">
        <f>IFERROR(__xludf.DUMMYFUNCTION("""COMPUTED_VALUE"""),2.27)</f>
        <v>2.27</v>
      </c>
      <c r="H2209" s="17"/>
      <c r="K2209" s="17"/>
      <c r="N2209" s="17"/>
    </row>
    <row r="2210">
      <c r="B2210" s="11">
        <f>IFERROR(__xludf.DUMMYFUNCTION("""COMPUTED_VALUE"""),42933.0)</f>
        <v>42933</v>
      </c>
      <c r="C2210" s="9">
        <f>IFERROR(__xludf.DUMMYFUNCTION("""COMPUTED_VALUE"""),2.31)</f>
        <v>2.31</v>
      </c>
      <c r="H2210" s="17"/>
      <c r="K2210" s="17"/>
      <c r="N2210" s="17"/>
    </row>
    <row r="2211">
      <c r="B2211" s="11">
        <f>IFERROR(__xludf.DUMMYFUNCTION("""COMPUTED_VALUE"""),42930.0)</f>
        <v>42930</v>
      </c>
      <c r="C2211" s="9">
        <f>IFERROR(__xludf.DUMMYFUNCTION("""COMPUTED_VALUE"""),2.33)</f>
        <v>2.33</v>
      </c>
      <c r="H2211" s="17"/>
      <c r="K2211" s="17"/>
      <c r="N2211" s="17"/>
    </row>
    <row r="2212">
      <c r="B2212" s="11">
        <f>IFERROR(__xludf.DUMMYFUNCTION("""COMPUTED_VALUE"""),42929.0)</f>
        <v>42929</v>
      </c>
      <c r="C2212" s="9">
        <f>IFERROR(__xludf.DUMMYFUNCTION("""COMPUTED_VALUE"""),2.35)</f>
        <v>2.35</v>
      </c>
      <c r="H2212" s="17"/>
      <c r="K2212" s="17"/>
      <c r="N2212" s="17"/>
    </row>
    <row r="2213">
      <c r="B2213" s="11">
        <f>IFERROR(__xludf.DUMMYFUNCTION("""COMPUTED_VALUE"""),42928.0)</f>
        <v>42928</v>
      </c>
      <c r="C2213" s="9">
        <f>IFERROR(__xludf.DUMMYFUNCTION("""COMPUTED_VALUE"""),2.33)</f>
        <v>2.33</v>
      </c>
      <c r="H2213" s="17"/>
      <c r="K2213" s="17"/>
      <c r="N2213" s="17"/>
    </row>
    <row r="2214">
      <c r="B2214" s="11">
        <f>IFERROR(__xludf.DUMMYFUNCTION("""COMPUTED_VALUE"""),42927.0)</f>
        <v>42927</v>
      </c>
      <c r="C2214" s="9">
        <f>IFERROR(__xludf.DUMMYFUNCTION("""COMPUTED_VALUE"""),2.37)</f>
        <v>2.37</v>
      </c>
      <c r="H2214" s="17"/>
      <c r="K2214" s="17"/>
      <c r="N2214" s="17"/>
    </row>
    <row r="2215">
      <c r="B2215" s="11">
        <f>IFERROR(__xludf.DUMMYFUNCTION("""COMPUTED_VALUE"""),42926.0)</f>
        <v>42926</v>
      </c>
      <c r="C2215" s="9">
        <f>IFERROR(__xludf.DUMMYFUNCTION("""COMPUTED_VALUE"""),2.38)</f>
        <v>2.38</v>
      </c>
      <c r="H2215" s="17"/>
      <c r="K2215" s="17"/>
      <c r="N2215" s="17"/>
    </row>
    <row r="2216">
      <c r="B2216" s="11">
        <f>IFERROR(__xludf.DUMMYFUNCTION("""COMPUTED_VALUE"""),42923.0)</f>
        <v>42923</v>
      </c>
      <c r="C2216" s="9">
        <f>IFERROR(__xludf.DUMMYFUNCTION("""COMPUTED_VALUE"""),2.39)</f>
        <v>2.39</v>
      </c>
      <c r="H2216" s="17"/>
      <c r="K2216" s="17"/>
      <c r="N2216" s="17"/>
    </row>
    <row r="2217">
      <c r="B2217" s="11">
        <f>IFERROR(__xludf.DUMMYFUNCTION("""COMPUTED_VALUE"""),42922.0)</f>
        <v>42922</v>
      </c>
      <c r="C2217" s="9">
        <f>IFERROR(__xludf.DUMMYFUNCTION("""COMPUTED_VALUE"""),2.37)</f>
        <v>2.37</v>
      </c>
      <c r="H2217" s="17"/>
      <c r="K2217" s="17"/>
      <c r="N2217" s="17"/>
    </row>
    <row r="2218">
      <c r="B2218" s="11">
        <f>IFERROR(__xludf.DUMMYFUNCTION("""COMPUTED_VALUE"""),42921.0)</f>
        <v>42921</v>
      </c>
      <c r="C2218" s="9">
        <f>IFERROR(__xludf.DUMMYFUNCTION("""COMPUTED_VALUE"""),2.33)</f>
        <v>2.33</v>
      </c>
      <c r="H2218" s="17"/>
      <c r="K2218" s="17"/>
      <c r="N2218" s="17"/>
    </row>
    <row r="2219">
      <c r="B2219" s="11">
        <f>IFERROR(__xludf.DUMMYFUNCTION("""COMPUTED_VALUE"""),42920.0)</f>
        <v>42920</v>
      </c>
      <c r="C2219" s="9"/>
      <c r="H2219" s="17"/>
      <c r="K2219" s="17"/>
      <c r="N2219" s="17"/>
    </row>
    <row r="2220">
      <c r="B2220" s="11">
        <f>IFERROR(__xludf.DUMMYFUNCTION("""COMPUTED_VALUE"""),42919.0)</f>
        <v>42919</v>
      </c>
      <c r="C2220" s="9">
        <f>IFERROR(__xludf.DUMMYFUNCTION("""COMPUTED_VALUE"""),2.35)</f>
        <v>2.35</v>
      </c>
      <c r="H2220" s="17"/>
      <c r="K2220" s="17"/>
      <c r="N2220" s="17"/>
    </row>
    <row r="2221">
      <c r="B2221" s="11">
        <f>IFERROR(__xludf.DUMMYFUNCTION("""COMPUTED_VALUE"""),42916.0)</f>
        <v>42916</v>
      </c>
      <c r="C2221" s="9">
        <f>IFERROR(__xludf.DUMMYFUNCTION("""COMPUTED_VALUE"""),2.31)</f>
        <v>2.31</v>
      </c>
      <c r="H2221" s="17"/>
      <c r="K2221" s="17"/>
      <c r="N2221" s="17"/>
    </row>
    <row r="2222">
      <c r="B2222" s="11">
        <f>IFERROR(__xludf.DUMMYFUNCTION("""COMPUTED_VALUE"""),42915.0)</f>
        <v>42915</v>
      </c>
      <c r="C2222" s="9">
        <f>IFERROR(__xludf.DUMMYFUNCTION("""COMPUTED_VALUE"""),2.27)</f>
        <v>2.27</v>
      </c>
      <c r="H2222" s="17"/>
      <c r="K2222" s="17"/>
      <c r="N2222" s="17"/>
    </row>
    <row r="2223">
      <c r="B2223" s="11">
        <f>IFERROR(__xludf.DUMMYFUNCTION("""COMPUTED_VALUE"""),42914.0)</f>
        <v>42914</v>
      </c>
      <c r="C2223" s="9">
        <f>IFERROR(__xludf.DUMMYFUNCTION("""COMPUTED_VALUE"""),2.22)</f>
        <v>2.22</v>
      </c>
      <c r="H2223" s="17"/>
      <c r="K2223" s="17"/>
      <c r="N2223" s="17"/>
    </row>
    <row r="2224">
      <c r="B2224" s="11">
        <f>IFERROR(__xludf.DUMMYFUNCTION("""COMPUTED_VALUE"""),42913.0)</f>
        <v>42913</v>
      </c>
      <c r="C2224" s="9">
        <f>IFERROR(__xludf.DUMMYFUNCTION("""COMPUTED_VALUE"""),2.21)</f>
        <v>2.21</v>
      </c>
      <c r="H2224" s="17"/>
      <c r="K2224" s="17"/>
      <c r="N2224" s="17"/>
    </row>
    <row r="2225">
      <c r="B2225" s="11">
        <f>IFERROR(__xludf.DUMMYFUNCTION("""COMPUTED_VALUE"""),42912.0)</f>
        <v>42912</v>
      </c>
      <c r="C2225" s="9">
        <f>IFERROR(__xludf.DUMMYFUNCTION("""COMPUTED_VALUE"""),2.14)</f>
        <v>2.14</v>
      </c>
      <c r="H2225" s="17"/>
      <c r="K2225" s="17"/>
      <c r="N2225" s="17"/>
    </row>
    <row r="2226">
      <c r="B2226" s="11">
        <f>IFERROR(__xludf.DUMMYFUNCTION("""COMPUTED_VALUE"""),42909.0)</f>
        <v>42909</v>
      </c>
      <c r="C2226" s="9">
        <f>IFERROR(__xludf.DUMMYFUNCTION("""COMPUTED_VALUE"""),2.15)</f>
        <v>2.15</v>
      </c>
      <c r="H2226" s="17"/>
      <c r="K2226" s="17"/>
      <c r="N2226" s="17"/>
    </row>
    <row r="2227">
      <c r="B2227" s="11">
        <f>IFERROR(__xludf.DUMMYFUNCTION("""COMPUTED_VALUE"""),42908.0)</f>
        <v>42908</v>
      </c>
      <c r="C2227" s="9">
        <f>IFERROR(__xludf.DUMMYFUNCTION("""COMPUTED_VALUE"""),2.15)</f>
        <v>2.15</v>
      </c>
      <c r="H2227" s="17"/>
      <c r="K2227" s="17"/>
      <c r="N2227" s="17"/>
    </row>
    <row r="2228">
      <c r="B2228" s="11">
        <f>IFERROR(__xludf.DUMMYFUNCTION("""COMPUTED_VALUE"""),42907.0)</f>
        <v>42907</v>
      </c>
      <c r="C2228" s="9">
        <f>IFERROR(__xludf.DUMMYFUNCTION("""COMPUTED_VALUE"""),2.16)</f>
        <v>2.16</v>
      </c>
      <c r="H2228" s="17"/>
      <c r="K2228" s="17"/>
      <c r="N2228" s="17"/>
    </row>
    <row r="2229">
      <c r="B2229" s="11">
        <f>IFERROR(__xludf.DUMMYFUNCTION("""COMPUTED_VALUE"""),42906.0)</f>
        <v>42906</v>
      </c>
      <c r="C2229" s="9">
        <f>IFERROR(__xludf.DUMMYFUNCTION("""COMPUTED_VALUE"""),2.16)</f>
        <v>2.16</v>
      </c>
      <c r="H2229" s="17"/>
      <c r="K2229" s="17"/>
      <c r="N2229" s="17"/>
    </row>
    <row r="2230">
      <c r="B2230" s="11">
        <f>IFERROR(__xludf.DUMMYFUNCTION("""COMPUTED_VALUE"""),42905.0)</f>
        <v>42905</v>
      </c>
      <c r="C2230" s="9">
        <f>IFERROR(__xludf.DUMMYFUNCTION("""COMPUTED_VALUE"""),2.19)</f>
        <v>2.19</v>
      </c>
      <c r="H2230" s="17"/>
      <c r="K2230" s="17"/>
      <c r="N2230" s="17"/>
    </row>
    <row r="2231">
      <c r="B2231" s="11">
        <f>IFERROR(__xludf.DUMMYFUNCTION("""COMPUTED_VALUE"""),42902.0)</f>
        <v>42902</v>
      </c>
      <c r="C2231" s="9">
        <f>IFERROR(__xludf.DUMMYFUNCTION("""COMPUTED_VALUE"""),2.16)</f>
        <v>2.16</v>
      </c>
      <c r="H2231" s="17"/>
      <c r="K2231" s="17"/>
      <c r="N2231" s="17"/>
    </row>
    <row r="2232">
      <c r="B2232" s="11">
        <f>IFERROR(__xludf.DUMMYFUNCTION("""COMPUTED_VALUE"""),42901.0)</f>
        <v>42901</v>
      </c>
      <c r="C2232" s="9">
        <f>IFERROR(__xludf.DUMMYFUNCTION("""COMPUTED_VALUE"""),2.16)</f>
        <v>2.16</v>
      </c>
      <c r="H2232" s="17"/>
      <c r="K2232" s="17"/>
      <c r="N2232" s="17"/>
    </row>
    <row r="2233">
      <c r="B2233" s="11">
        <f>IFERROR(__xludf.DUMMYFUNCTION("""COMPUTED_VALUE"""),42900.0)</f>
        <v>42900</v>
      </c>
      <c r="C2233" s="9">
        <f>IFERROR(__xludf.DUMMYFUNCTION("""COMPUTED_VALUE"""),2.15)</f>
        <v>2.15</v>
      </c>
      <c r="H2233" s="17"/>
      <c r="K2233" s="17"/>
      <c r="N2233" s="17"/>
    </row>
    <row r="2234">
      <c r="B2234" s="11">
        <f>IFERROR(__xludf.DUMMYFUNCTION("""COMPUTED_VALUE"""),42899.0)</f>
        <v>42899</v>
      </c>
      <c r="C2234" s="9">
        <f>IFERROR(__xludf.DUMMYFUNCTION("""COMPUTED_VALUE"""),2.21)</f>
        <v>2.21</v>
      </c>
      <c r="H2234" s="17"/>
      <c r="K2234" s="17"/>
      <c r="N2234" s="17"/>
    </row>
    <row r="2235">
      <c r="B2235" s="11">
        <f>IFERROR(__xludf.DUMMYFUNCTION("""COMPUTED_VALUE"""),42898.0)</f>
        <v>42898</v>
      </c>
      <c r="C2235" s="9">
        <f>IFERROR(__xludf.DUMMYFUNCTION("""COMPUTED_VALUE"""),2.21)</f>
        <v>2.21</v>
      </c>
      <c r="H2235" s="17"/>
      <c r="K2235" s="17"/>
      <c r="N2235" s="17"/>
    </row>
    <row r="2236">
      <c r="B2236" s="11">
        <f>IFERROR(__xludf.DUMMYFUNCTION("""COMPUTED_VALUE"""),42895.0)</f>
        <v>42895</v>
      </c>
      <c r="C2236" s="9">
        <f>IFERROR(__xludf.DUMMYFUNCTION("""COMPUTED_VALUE"""),2.21)</f>
        <v>2.21</v>
      </c>
      <c r="H2236" s="17"/>
      <c r="K2236" s="17"/>
      <c r="N2236" s="17"/>
    </row>
    <row r="2237">
      <c r="B2237" s="11">
        <f>IFERROR(__xludf.DUMMYFUNCTION("""COMPUTED_VALUE"""),42894.0)</f>
        <v>42894</v>
      </c>
      <c r="C2237" s="9">
        <f>IFERROR(__xludf.DUMMYFUNCTION("""COMPUTED_VALUE"""),2.19)</f>
        <v>2.19</v>
      </c>
      <c r="H2237" s="17"/>
      <c r="K2237" s="17"/>
      <c r="N2237" s="17"/>
    </row>
    <row r="2238">
      <c r="B2238" s="11">
        <f>IFERROR(__xludf.DUMMYFUNCTION("""COMPUTED_VALUE"""),42893.0)</f>
        <v>42893</v>
      </c>
      <c r="C2238" s="9">
        <f>IFERROR(__xludf.DUMMYFUNCTION("""COMPUTED_VALUE"""),2.18)</f>
        <v>2.18</v>
      </c>
      <c r="H2238" s="17"/>
      <c r="K2238" s="17"/>
      <c r="N2238" s="17"/>
    </row>
    <row r="2239">
      <c r="B2239" s="11">
        <f>IFERROR(__xludf.DUMMYFUNCTION("""COMPUTED_VALUE"""),42892.0)</f>
        <v>42892</v>
      </c>
      <c r="C2239" s="9">
        <f>IFERROR(__xludf.DUMMYFUNCTION("""COMPUTED_VALUE"""),2.14)</f>
        <v>2.14</v>
      </c>
      <c r="H2239" s="17"/>
      <c r="K2239" s="17"/>
      <c r="N2239" s="17"/>
    </row>
    <row r="2240">
      <c r="B2240" s="11">
        <f>IFERROR(__xludf.DUMMYFUNCTION("""COMPUTED_VALUE"""),42891.0)</f>
        <v>42891</v>
      </c>
      <c r="C2240" s="9">
        <f>IFERROR(__xludf.DUMMYFUNCTION("""COMPUTED_VALUE"""),2.18)</f>
        <v>2.18</v>
      </c>
      <c r="H2240" s="17"/>
      <c r="K2240" s="17"/>
      <c r="N2240" s="17"/>
    </row>
    <row r="2241">
      <c r="B2241" s="11">
        <f>IFERROR(__xludf.DUMMYFUNCTION("""COMPUTED_VALUE"""),42888.0)</f>
        <v>42888</v>
      </c>
      <c r="C2241" s="9">
        <f>IFERROR(__xludf.DUMMYFUNCTION("""COMPUTED_VALUE"""),2.15)</f>
        <v>2.15</v>
      </c>
      <c r="H2241" s="17"/>
      <c r="K2241" s="17"/>
      <c r="N2241" s="17"/>
    </row>
    <row r="2242">
      <c r="B2242" s="11">
        <f>IFERROR(__xludf.DUMMYFUNCTION("""COMPUTED_VALUE"""),42887.0)</f>
        <v>42887</v>
      </c>
      <c r="C2242" s="9">
        <f>IFERROR(__xludf.DUMMYFUNCTION("""COMPUTED_VALUE"""),2.21)</f>
        <v>2.21</v>
      </c>
      <c r="H2242" s="17"/>
      <c r="K2242" s="17"/>
      <c r="N2242" s="17"/>
    </row>
    <row r="2243">
      <c r="B2243" s="11">
        <f>IFERROR(__xludf.DUMMYFUNCTION("""COMPUTED_VALUE"""),42886.0)</f>
        <v>42886</v>
      </c>
      <c r="C2243" s="9">
        <f>IFERROR(__xludf.DUMMYFUNCTION("""COMPUTED_VALUE"""),2.21)</f>
        <v>2.21</v>
      </c>
      <c r="H2243" s="17"/>
      <c r="K2243" s="17"/>
      <c r="N2243" s="17"/>
    </row>
    <row r="2244">
      <c r="B2244" s="11">
        <f>IFERROR(__xludf.DUMMYFUNCTION("""COMPUTED_VALUE"""),42885.0)</f>
        <v>42885</v>
      </c>
      <c r="C2244" s="9">
        <f>IFERROR(__xludf.DUMMYFUNCTION("""COMPUTED_VALUE"""),2.21)</f>
        <v>2.21</v>
      </c>
      <c r="H2244" s="17"/>
      <c r="K2244" s="17"/>
      <c r="N2244" s="17"/>
    </row>
    <row r="2245">
      <c r="B2245" s="11">
        <f>IFERROR(__xludf.DUMMYFUNCTION("""COMPUTED_VALUE"""),42884.0)</f>
        <v>42884</v>
      </c>
      <c r="C2245" s="9"/>
      <c r="H2245" s="17"/>
      <c r="K2245" s="17"/>
      <c r="N2245" s="17"/>
    </row>
    <row r="2246">
      <c r="B2246" s="11">
        <f>IFERROR(__xludf.DUMMYFUNCTION("""COMPUTED_VALUE"""),42881.0)</f>
        <v>42881</v>
      </c>
      <c r="C2246" s="9">
        <f>IFERROR(__xludf.DUMMYFUNCTION("""COMPUTED_VALUE"""),2.25)</f>
        <v>2.25</v>
      </c>
      <c r="H2246" s="17"/>
      <c r="K2246" s="17"/>
      <c r="N2246" s="17"/>
    </row>
    <row r="2247">
      <c r="B2247" s="11">
        <f>IFERROR(__xludf.DUMMYFUNCTION("""COMPUTED_VALUE"""),42880.0)</f>
        <v>42880</v>
      </c>
      <c r="C2247" s="9">
        <f>IFERROR(__xludf.DUMMYFUNCTION("""COMPUTED_VALUE"""),2.25)</f>
        <v>2.25</v>
      </c>
      <c r="H2247" s="17"/>
      <c r="K2247" s="17"/>
      <c r="N2247" s="17"/>
    </row>
    <row r="2248">
      <c r="B2248" s="11">
        <f>IFERROR(__xludf.DUMMYFUNCTION("""COMPUTED_VALUE"""),42879.0)</f>
        <v>42879</v>
      </c>
      <c r="C2248" s="9">
        <f>IFERROR(__xludf.DUMMYFUNCTION("""COMPUTED_VALUE"""),2.26)</f>
        <v>2.26</v>
      </c>
      <c r="H2248" s="17"/>
      <c r="K2248" s="17"/>
      <c r="N2248" s="17"/>
    </row>
    <row r="2249">
      <c r="B2249" s="11">
        <f>IFERROR(__xludf.DUMMYFUNCTION("""COMPUTED_VALUE"""),42878.0)</f>
        <v>42878</v>
      </c>
      <c r="C2249" s="9">
        <f>IFERROR(__xludf.DUMMYFUNCTION("""COMPUTED_VALUE"""),2.29)</f>
        <v>2.29</v>
      </c>
      <c r="H2249" s="17"/>
      <c r="K2249" s="17"/>
      <c r="N2249" s="17"/>
    </row>
    <row r="2250">
      <c r="B2250" s="11">
        <f>IFERROR(__xludf.DUMMYFUNCTION("""COMPUTED_VALUE"""),42877.0)</f>
        <v>42877</v>
      </c>
      <c r="C2250" s="9">
        <f>IFERROR(__xludf.DUMMYFUNCTION("""COMPUTED_VALUE"""),2.25)</f>
        <v>2.25</v>
      </c>
      <c r="H2250" s="17"/>
      <c r="K2250" s="17"/>
      <c r="N2250" s="17"/>
    </row>
    <row r="2251">
      <c r="B2251" s="11">
        <f>IFERROR(__xludf.DUMMYFUNCTION("""COMPUTED_VALUE"""),42874.0)</f>
        <v>42874</v>
      </c>
      <c r="C2251" s="9">
        <f>IFERROR(__xludf.DUMMYFUNCTION("""COMPUTED_VALUE"""),2.23)</f>
        <v>2.23</v>
      </c>
      <c r="H2251" s="17"/>
      <c r="K2251" s="17"/>
      <c r="N2251" s="17"/>
    </row>
    <row r="2252">
      <c r="B2252" s="11">
        <f>IFERROR(__xludf.DUMMYFUNCTION("""COMPUTED_VALUE"""),42873.0)</f>
        <v>42873</v>
      </c>
      <c r="C2252" s="9">
        <f>IFERROR(__xludf.DUMMYFUNCTION("""COMPUTED_VALUE"""),2.23)</f>
        <v>2.23</v>
      </c>
      <c r="H2252" s="17"/>
      <c r="K2252" s="17"/>
      <c r="N2252" s="17"/>
    </row>
    <row r="2253">
      <c r="B2253" s="11">
        <f>IFERROR(__xludf.DUMMYFUNCTION("""COMPUTED_VALUE"""),42872.0)</f>
        <v>42872</v>
      </c>
      <c r="C2253" s="9">
        <f>IFERROR(__xludf.DUMMYFUNCTION("""COMPUTED_VALUE"""),2.22)</f>
        <v>2.22</v>
      </c>
      <c r="H2253" s="17"/>
      <c r="K2253" s="17"/>
      <c r="N2253" s="17"/>
    </row>
    <row r="2254">
      <c r="B2254" s="11">
        <f>IFERROR(__xludf.DUMMYFUNCTION("""COMPUTED_VALUE"""),42871.0)</f>
        <v>42871</v>
      </c>
      <c r="C2254" s="9">
        <f>IFERROR(__xludf.DUMMYFUNCTION("""COMPUTED_VALUE"""),2.33)</f>
        <v>2.33</v>
      </c>
      <c r="H2254" s="17"/>
      <c r="K2254" s="17"/>
      <c r="N2254" s="17"/>
    </row>
    <row r="2255">
      <c r="B2255" s="11">
        <f>IFERROR(__xludf.DUMMYFUNCTION("""COMPUTED_VALUE"""),42870.0)</f>
        <v>42870</v>
      </c>
      <c r="C2255" s="9">
        <f>IFERROR(__xludf.DUMMYFUNCTION("""COMPUTED_VALUE"""),2.34)</f>
        <v>2.34</v>
      </c>
      <c r="H2255" s="17"/>
      <c r="K2255" s="17"/>
      <c r="N2255" s="17"/>
    </row>
    <row r="2256">
      <c r="B2256" s="11">
        <f>IFERROR(__xludf.DUMMYFUNCTION("""COMPUTED_VALUE"""),42867.0)</f>
        <v>42867</v>
      </c>
      <c r="C2256" s="9">
        <f>IFERROR(__xludf.DUMMYFUNCTION("""COMPUTED_VALUE"""),2.33)</f>
        <v>2.33</v>
      </c>
      <c r="H2256" s="17"/>
      <c r="K2256" s="17"/>
      <c r="N2256" s="17"/>
    </row>
    <row r="2257">
      <c r="B2257" s="11">
        <f>IFERROR(__xludf.DUMMYFUNCTION("""COMPUTED_VALUE"""),42866.0)</f>
        <v>42866</v>
      </c>
      <c r="C2257" s="9">
        <f>IFERROR(__xludf.DUMMYFUNCTION("""COMPUTED_VALUE"""),2.39)</f>
        <v>2.39</v>
      </c>
      <c r="H2257" s="17"/>
      <c r="K2257" s="17"/>
      <c r="N2257" s="17"/>
    </row>
    <row r="2258">
      <c r="B2258" s="11">
        <f>IFERROR(__xludf.DUMMYFUNCTION("""COMPUTED_VALUE"""),42865.0)</f>
        <v>42865</v>
      </c>
      <c r="C2258" s="9">
        <f>IFERROR(__xludf.DUMMYFUNCTION("""COMPUTED_VALUE"""),2.41)</f>
        <v>2.41</v>
      </c>
      <c r="H2258" s="17"/>
      <c r="K2258" s="17"/>
      <c r="N2258" s="17"/>
    </row>
    <row r="2259">
      <c r="B2259" s="11">
        <f>IFERROR(__xludf.DUMMYFUNCTION("""COMPUTED_VALUE"""),42864.0)</f>
        <v>42864</v>
      </c>
      <c r="C2259" s="9">
        <f>IFERROR(__xludf.DUMMYFUNCTION("""COMPUTED_VALUE"""),2.42)</f>
        <v>2.42</v>
      </c>
      <c r="H2259" s="17"/>
      <c r="K2259" s="17"/>
      <c r="N2259" s="17"/>
    </row>
    <row r="2260">
      <c r="B2260" s="11">
        <f>IFERROR(__xludf.DUMMYFUNCTION("""COMPUTED_VALUE"""),42863.0)</f>
        <v>42863</v>
      </c>
      <c r="C2260" s="9">
        <f>IFERROR(__xludf.DUMMYFUNCTION("""COMPUTED_VALUE"""),2.39)</f>
        <v>2.39</v>
      </c>
      <c r="H2260" s="17"/>
      <c r="K2260" s="17"/>
      <c r="N2260" s="17"/>
    </row>
    <row r="2261">
      <c r="B2261" s="11">
        <f>IFERROR(__xludf.DUMMYFUNCTION("""COMPUTED_VALUE"""),42860.0)</f>
        <v>42860</v>
      </c>
      <c r="C2261" s="9">
        <f>IFERROR(__xludf.DUMMYFUNCTION("""COMPUTED_VALUE"""),2.36)</f>
        <v>2.36</v>
      </c>
      <c r="H2261" s="17"/>
      <c r="K2261" s="17"/>
      <c r="N2261" s="17"/>
    </row>
    <row r="2262">
      <c r="B2262" s="11">
        <f>IFERROR(__xludf.DUMMYFUNCTION("""COMPUTED_VALUE"""),42859.0)</f>
        <v>42859</v>
      </c>
      <c r="C2262" s="9">
        <f>IFERROR(__xludf.DUMMYFUNCTION("""COMPUTED_VALUE"""),2.36)</f>
        <v>2.36</v>
      </c>
      <c r="H2262" s="17"/>
      <c r="K2262" s="17"/>
      <c r="N2262" s="17"/>
    </row>
    <row r="2263">
      <c r="B2263" s="11">
        <f>IFERROR(__xludf.DUMMYFUNCTION("""COMPUTED_VALUE"""),42858.0)</f>
        <v>42858</v>
      </c>
      <c r="C2263" s="9">
        <f>IFERROR(__xludf.DUMMYFUNCTION("""COMPUTED_VALUE"""),2.33)</f>
        <v>2.33</v>
      </c>
      <c r="H2263" s="17"/>
      <c r="K2263" s="17"/>
      <c r="N2263" s="17"/>
    </row>
    <row r="2264">
      <c r="B2264" s="11">
        <f>IFERROR(__xludf.DUMMYFUNCTION("""COMPUTED_VALUE"""),42857.0)</f>
        <v>42857</v>
      </c>
      <c r="C2264" s="9">
        <f>IFERROR(__xludf.DUMMYFUNCTION("""COMPUTED_VALUE"""),2.29)</f>
        <v>2.29</v>
      </c>
      <c r="H2264" s="17"/>
      <c r="K2264" s="17"/>
      <c r="N2264" s="17"/>
    </row>
    <row r="2265">
      <c r="B2265" s="11">
        <f>IFERROR(__xludf.DUMMYFUNCTION("""COMPUTED_VALUE"""),42856.0)</f>
        <v>42856</v>
      </c>
      <c r="C2265" s="9">
        <f>IFERROR(__xludf.DUMMYFUNCTION("""COMPUTED_VALUE"""),2.33)</f>
        <v>2.33</v>
      </c>
      <c r="H2265" s="17"/>
      <c r="K2265" s="17"/>
      <c r="N2265" s="17"/>
    </row>
    <row r="2266">
      <c r="B2266" s="11">
        <f>IFERROR(__xludf.DUMMYFUNCTION("""COMPUTED_VALUE"""),42853.0)</f>
        <v>42853</v>
      </c>
      <c r="C2266" s="9">
        <f>IFERROR(__xludf.DUMMYFUNCTION("""COMPUTED_VALUE"""),2.29)</f>
        <v>2.29</v>
      </c>
      <c r="H2266" s="17"/>
      <c r="K2266" s="17"/>
      <c r="N2266" s="17"/>
    </row>
    <row r="2267">
      <c r="B2267" s="11">
        <f>IFERROR(__xludf.DUMMYFUNCTION("""COMPUTED_VALUE"""),42852.0)</f>
        <v>42852</v>
      </c>
      <c r="C2267" s="9">
        <f>IFERROR(__xludf.DUMMYFUNCTION("""COMPUTED_VALUE"""),2.3)</f>
        <v>2.3</v>
      </c>
      <c r="H2267" s="17"/>
      <c r="K2267" s="17"/>
      <c r="N2267" s="17"/>
    </row>
    <row r="2268">
      <c r="B2268" s="11">
        <f>IFERROR(__xludf.DUMMYFUNCTION("""COMPUTED_VALUE"""),42851.0)</f>
        <v>42851</v>
      </c>
      <c r="C2268" s="9">
        <f>IFERROR(__xludf.DUMMYFUNCTION("""COMPUTED_VALUE"""),2.32)</f>
        <v>2.32</v>
      </c>
      <c r="H2268" s="17"/>
      <c r="K2268" s="17"/>
      <c r="N2268" s="17"/>
    </row>
    <row r="2269">
      <c r="B2269" s="11">
        <f>IFERROR(__xludf.DUMMYFUNCTION("""COMPUTED_VALUE"""),42850.0)</f>
        <v>42850</v>
      </c>
      <c r="C2269" s="9">
        <f>IFERROR(__xludf.DUMMYFUNCTION("""COMPUTED_VALUE"""),2.35)</f>
        <v>2.35</v>
      </c>
      <c r="H2269" s="17"/>
      <c r="K2269" s="17"/>
      <c r="N2269" s="17"/>
    </row>
    <row r="2270">
      <c r="B2270" s="11">
        <f>IFERROR(__xludf.DUMMYFUNCTION("""COMPUTED_VALUE"""),42849.0)</f>
        <v>42849</v>
      </c>
      <c r="C2270" s="9">
        <f>IFERROR(__xludf.DUMMYFUNCTION("""COMPUTED_VALUE"""),2.28)</f>
        <v>2.28</v>
      </c>
      <c r="H2270" s="17"/>
      <c r="K2270" s="17"/>
      <c r="N2270" s="17"/>
    </row>
    <row r="2271">
      <c r="B2271" s="11">
        <f>IFERROR(__xludf.DUMMYFUNCTION("""COMPUTED_VALUE"""),42846.0)</f>
        <v>42846</v>
      </c>
      <c r="C2271" s="9">
        <f>IFERROR(__xludf.DUMMYFUNCTION("""COMPUTED_VALUE"""),2.24)</f>
        <v>2.24</v>
      </c>
      <c r="H2271" s="17"/>
      <c r="K2271" s="17"/>
      <c r="N2271" s="17"/>
    </row>
    <row r="2272">
      <c r="B2272" s="11">
        <f>IFERROR(__xludf.DUMMYFUNCTION("""COMPUTED_VALUE"""),42845.0)</f>
        <v>42845</v>
      </c>
      <c r="C2272" s="9">
        <f>IFERROR(__xludf.DUMMYFUNCTION("""COMPUTED_VALUE"""),2.24)</f>
        <v>2.24</v>
      </c>
      <c r="H2272" s="17"/>
      <c r="K2272" s="17"/>
      <c r="N2272" s="17"/>
    </row>
    <row r="2273">
      <c r="B2273" s="11">
        <f>IFERROR(__xludf.DUMMYFUNCTION("""COMPUTED_VALUE"""),42844.0)</f>
        <v>42844</v>
      </c>
      <c r="C2273" s="9">
        <f>IFERROR(__xludf.DUMMYFUNCTION("""COMPUTED_VALUE"""),2.21)</f>
        <v>2.21</v>
      </c>
      <c r="H2273" s="17"/>
      <c r="K2273" s="17"/>
      <c r="N2273" s="17"/>
    </row>
    <row r="2274">
      <c r="B2274" s="11">
        <f>IFERROR(__xludf.DUMMYFUNCTION("""COMPUTED_VALUE"""),42843.0)</f>
        <v>42843</v>
      </c>
      <c r="C2274" s="9">
        <f>IFERROR(__xludf.DUMMYFUNCTION("""COMPUTED_VALUE"""),2.18)</f>
        <v>2.18</v>
      </c>
      <c r="H2274" s="17"/>
      <c r="K2274" s="17"/>
      <c r="N2274" s="17"/>
    </row>
    <row r="2275">
      <c r="B2275" s="11">
        <f>IFERROR(__xludf.DUMMYFUNCTION("""COMPUTED_VALUE"""),42842.0)</f>
        <v>42842</v>
      </c>
      <c r="C2275" s="9">
        <f>IFERROR(__xludf.DUMMYFUNCTION("""COMPUTED_VALUE"""),2.26)</f>
        <v>2.26</v>
      </c>
      <c r="H2275" s="17"/>
      <c r="K2275" s="17"/>
      <c r="N2275" s="17"/>
    </row>
    <row r="2276">
      <c r="B2276" s="11">
        <f>IFERROR(__xludf.DUMMYFUNCTION("""COMPUTED_VALUE"""),42839.0)</f>
        <v>42839</v>
      </c>
      <c r="C2276" s="9"/>
      <c r="H2276" s="17"/>
      <c r="K2276" s="17"/>
      <c r="N2276" s="17"/>
    </row>
    <row r="2277">
      <c r="B2277" s="11">
        <f>IFERROR(__xludf.DUMMYFUNCTION("""COMPUTED_VALUE"""),42838.0)</f>
        <v>42838</v>
      </c>
      <c r="C2277" s="9">
        <f>IFERROR(__xludf.DUMMYFUNCTION("""COMPUTED_VALUE"""),2.24)</f>
        <v>2.24</v>
      </c>
      <c r="H2277" s="17"/>
      <c r="K2277" s="17"/>
      <c r="N2277" s="17"/>
    </row>
    <row r="2278">
      <c r="B2278" s="11">
        <f>IFERROR(__xludf.DUMMYFUNCTION("""COMPUTED_VALUE"""),42837.0)</f>
        <v>42837</v>
      </c>
      <c r="C2278" s="9">
        <f>IFERROR(__xludf.DUMMYFUNCTION("""COMPUTED_VALUE"""),2.28)</f>
        <v>2.28</v>
      </c>
      <c r="H2278" s="17"/>
      <c r="K2278" s="17"/>
      <c r="N2278" s="17"/>
    </row>
    <row r="2279">
      <c r="B2279" s="11">
        <f>IFERROR(__xludf.DUMMYFUNCTION("""COMPUTED_VALUE"""),42836.0)</f>
        <v>42836</v>
      </c>
      <c r="C2279" s="9">
        <f>IFERROR(__xludf.DUMMYFUNCTION("""COMPUTED_VALUE"""),2.32)</f>
        <v>2.32</v>
      </c>
      <c r="H2279" s="17"/>
      <c r="K2279" s="17"/>
      <c r="N2279" s="17"/>
    </row>
    <row r="2280">
      <c r="B2280" s="11">
        <f>IFERROR(__xludf.DUMMYFUNCTION("""COMPUTED_VALUE"""),42835.0)</f>
        <v>42835</v>
      </c>
      <c r="C2280" s="9">
        <f>IFERROR(__xludf.DUMMYFUNCTION("""COMPUTED_VALUE"""),2.37)</f>
        <v>2.37</v>
      </c>
      <c r="H2280" s="17"/>
      <c r="K2280" s="17"/>
      <c r="N2280" s="17"/>
    </row>
    <row r="2281">
      <c r="B2281" s="11">
        <f>IFERROR(__xludf.DUMMYFUNCTION("""COMPUTED_VALUE"""),42832.0)</f>
        <v>42832</v>
      </c>
      <c r="C2281" s="9">
        <f>IFERROR(__xludf.DUMMYFUNCTION("""COMPUTED_VALUE"""),2.38)</f>
        <v>2.38</v>
      </c>
      <c r="H2281" s="17"/>
      <c r="K2281" s="17"/>
      <c r="N2281" s="17"/>
    </row>
    <row r="2282">
      <c r="B2282" s="11">
        <f>IFERROR(__xludf.DUMMYFUNCTION("""COMPUTED_VALUE"""),42831.0)</f>
        <v>42831</v>
      </c>
      <c r="C2282" s="9">
        <f>IFERROR(__xludf.DUMMYFUNCTION("""COMPUTED_VALUE"""),2.34)</f>
        <v>2.34</v>
      </c>
      <c r="H2282" s="17"/>
      <c r="K2282" s="17"/>
      <c r="N2282" s="17"/>
    </row>
    <row r="2283">
      <c r="B2283" s="11">
        <f>IFERROR(__xludf.DUMMYFUNCTION("""COMPUTED_VALUE"""),42830.0)</f>
        <v>42830</v>
      </c>
      <c r="C2283" s="9">
        <f>IFERROR(__xludf.DUMMYFUNCTION("""COMPUTED_VALUE"""),2.34)</f>
        <v>2.34</v>
      </c>
      <c r="H2283" s="17"/>
      <c r="K2283" s="17"/>
      <c r="N2283" s="17"/>
    </row>
    <row r="2284">
      <c r="B2284" s="11">
        <f>IFERROR(__xludf.DUMMYFUNCTION("""COMPUTED_VALUE"""),42829.0)</f>
        <v>42829</v>
      </c>
      <c r="C2284" s="9">
        <f>IFERROR(__xludf.DUMMYFUNCTION("""COMPUTED_VALUE"""),2.36)</f>
        <v>2.36</v>
      </c>
      <c r="H2284" s="17"/>
      <c r="K2284" s="17"/>
      <c r="N2284" s="17"/>
    </row>
    <row r="2285">
      <c r="B2285" s="11">
        <f>IFERROR(__xludf.DUMMYFUNCTION("""COMPUTED_VALUE"""),42828.0)</f>
        <v>42828</v>
      </c>
      <c r="C2285" s="9">
        <f>IFERROR(__xludf.DUMMYFUNCTION("""COMPUTED_VALUE"""),2.35)</f>
        <v>2.35</v>
      </c>
      <c r="H2285" s="17"/>
      <c r="K2285" s="17"/>
      <c r="N2285" s="17"/>
    </row>
    <row r="2286">
      <c r="B2286" s="11">
        <f>IFERROR(__xludf.DUMMYFUNCTION("""COMPUTED_VALUE"""),42825.0)</f>
        <v>42825</v>
      </c>
      <c r="C2286" s="9">
        <f>IFERROR(__xludf.DUMMYFUNCTION("""COMPUTED_VALUE"""),2.4)</f>
        <v>2.4</v>
      </c>
      <c r="H2286" s="17"/>
      <c r="K2286" s="17"/>
      <c r="N2286" s="17"/>
    </row>
    <row r="2287">
      <c r="B2287" s="11">
        <f>IFERROR(__xludf.DUMMYFUNCTION("""COMPUTED_VALUE"""),42824.0)</f>
        <v>42824</v>
      </c>
      <c r="C2287" s="9">
        <f>IFERROR(__xludf.DUMMYFUNCTION("""COMPUTED_VALUE"""),2.42)</f>
        <v>2.42</v>
      </c>
      <c r="H2287" s="17"/>
      <c r="K2287" s="17"/>
      <c r="N2287" s="17"/>
    </row>
    <row r="2288">
      <c r="B2288" s="11">
        <f>IFERROR(__xludf.DUMMYFUNCTION("""COMPUTED_VALUE"""),42823.0)</f>
        <v>42823</v>
      </c>
      <c r="C2288" s="9">
        <f>IFERROR(__xludf.DUMMYFUNCTION("""COMPUTED_VALUE"""),2.39)</f>
        <v>2.39</v>
      </c>
      <c r="H2288" s="17"/>
      <c r="K2288" s="17"/>
      <c r="N2288" s="17"/>
    </row>
    <row r="2289">
      <c r="B2289" s="11">
        <f>IFERROR(__xludf.DUMMYFUNCTION("""COMPUTED_VALUE"""),42822.0)</f>
        <v>42822</v>
      </c>
      <c r="C2289" s="9">
        <f>IFERROR(__xludf.DUMMYFUNCTION("""COMPUTED_VALUE"""),2.42)</f>
        <v>2.42</v>
      </c>
      <c r="H2289" s="17"/>
      <c r="K2289" s="17"/>
      <c r="N2289" s="17"/>
    </row>
    <row r="2290">
      <c r="B2290" s="11">
        <f>IFERROR(__xludf.DUMMYFUNCTION("""COMPUTED_VALUE"""),42821.0)</f>
        <v>42821</v>
      </c>
      <c r="C2290" s="9">
        <f>IFERROR(__xludf.DUMMYFUNCTION("""COMPUTED_VALUE"""),2.38)</f>
        <v>2.38</v>
      </c>
      <c r="H2290" s="17"/>
      <c r="K2290" s="17"/>
      <c r="N2290" s="17"/>
    </row>
    <row r="2291">
      <c r="B2291" s="11">
        <f>IFERROR(__xludf.DUMMYFUNCTION("""COMPUTED_VALUE"""),42818.0)</f>
        <v>42818</v>
      </c>
      <c r="C2291" s="9">
        <f>IFERROR(__xludf.DUMMYFUNCTION("""COMPUTED_VALUE"""),2.4)</f>
        <v>2.4</v>
      </c>
      <c r="H2291" s="17"/>
      <c r="K2291" s="17"/>
      <c r="N2291" s="17"/>
    </row>
    <row r="2292">
      <c r="B2292" s="11">
        <f>IFERROR(__xludf.DUMMYFUNCTION("""COMPUTED_VALUE"""),42817.0)</f>
        <v>42817</v>
      </c>
      <c r="C2292" s="9">
        <f>IFERROR(__xludf.DUMMYFUNCTION("""COMPUTED_VALUE"""),2.41)</f>
        <v>2.41</v>
      </c>
      <c r="H2292" s="17"/>
      <c r="K2292" s="17"/>
      <c r="N2292" s="17"/>
    </row>
    <row r="2293">
      <c r="B2293" s="11">
        <f>IFERROR(__xludf.DUMMYFUNCTION("""COMPUTED_VALUE"""),42816.0)</f>
        <v>42816</v>
      </c>
      <c r="C2293" s="9">
        <f>IFERROR(__xludf.DUMMYFUNCTION("""COMPUTED_VALUE"""),2.4)</f>
        <v>2.4</v>
      </c>
      <c r="H2293" s="17"/>
      <c r="K2293" s="17"/>
      <c r="N2293" s="17"/>
    </row>
    <row r="2294">
      <c r="B2294" s="11">
        <f>IFERROR(__xludf.DUMMYFUNCTION("""COMPUTED_VALUE"""),42815.0)</f>
        <v>42815</v>
      </c>
      <c r="C2294" s="9">
        <f>IFERROR(__xludf.DUMMYFUNCTION("""COMPUTED_VALUE"""),2.43)</f>
        <v>2.43</v>
      </c>
      <c r="H2294" s="17"/>
      <c r="K2294" s="17"/>
      <c r="N2294" s="17"/>
    </row>
    <row r="2295">
      <c r="B2295" s="11">
        <f>IFERROR(__xludf.DUMMYFUNCTION("""COMPUTED_VALUE"""),42814.0)</f>
        <v>42814</v>
      </c>
      <c r="C2295" s="9">
        <f>IFERROR(__xludf.DUMMYFUNCTION("""COMPUTED_VALUE"""),2.47)</f>
        <v>2.47</v>
      </c>
      <c r="H2295" s="17"/>
      <c r="K2295" s="17"/>
      <c r="N2295" s="17"/>
    </row>
    <row r="2296">
      <c r="B2296" s="11">
        <f>IFERROR(__xludf.DUMMYFUNCTION("""COMPUTED_VALUE"""),42811.0)</f>
        <v>42811</v>
      </c>
      <c r="C2296" s="9">
        <f>IFERROR(__xludf.DUMMYFUNCTION("""COMPUTED_VALUE"""),2.5)</f>
        <v>2.5</v>
      </c>
      <c r="H2296" s="17"/>
      <c r="K2296" s="17"/>
      <c r="N2296" s="17"/>
    </row>
    <row r="2297">
      <c r="B2297" s="11">
        <f>IFERROR(__xludf.DUMMYFUNCTION("""COMPUTED_VALUE"""),42810.0)</f>
        <v>42810</v>
      </c>
      <c r="C2297" s="9">
        <f>IFERROR(__xludf.DUMMYFUNCTION("""COMPUTED_VALUE"""),2.53)</f>
        <v>2.53</v>
      </c>
      <c r="H2297" s="17"/>
      <c r="K2297" s="17"/>
      <c r="N2297" s="17"/>
    </row>
    <row r="2298">
      <c r="B2298" s="11">
        <f>IFERROR(__xludf.DUMMYFUNCTION("""COMPUTED_VALUE"""),42809.0)</f>
        <v>42809</v>
      </c>
      <c r="C2298" s="9">
        <f>IFERROR(__xludf.DUMMYFUNCTION("""COMPUTED_VALUE"""),2.51)</f>
        <v>2.51</v>
      </c>
      <c r="H2298" s="17"/>
      <c r="K2298" s="17"/>
      <c r="N2298" s="17"/>
    </row>
    <row r="2299">
      <c r="B2299" s="11">
        <f>IFERROR(__xludf.DUMMYFUNCTION("""COMPUTED_VALUE"""),42808.0)</f>
        <v>42808</v>
      </c>
      <c r="C2299" s="9">
        <f>IFERROR(__xludf.DUMMYFUNCTION("""COMPUTED_VALUE"""),2.6)</f>
        <v>2.6</v>
      </c>
      <c r="H2299" s="17"/>
      <c r="K2299" s="17"/>
      <c r="N2299" s="17"/>
    </row>
    <row r="2300">
      <c r="B2300" s="11">
        <f>IFERROR(__xludf.DUMMYFUNCTION("""COMPUTED_VALUE"""),42807.0)</f>
        <v>42807</v>
      </c>
      <c r="C2300" s="9">
        <f>IFERROR(__xludf.DUMMYFUNCTION("""COMPUTED_VALUE"""),2.62)</f>
        <v>2.62</v>
      </c>
      <c r="H2300" s="17"/>
      <c r="K2300" s="17"/>
      <c r="N2300" s="17"/>
    </row>
    <row r="2301">
      <c r="B2301" s="11">
        <f>IFERROR(__xludf.DUMMYFUNCTION("""COMPUTED_VALUE"""),42804.0)</f>
        <v>42804</v>
      </c>
      <c r="C2301" s="9">
        <f>IFERROR(__xludf.DUMMYFUNCTION("""COMPUTED_VALUE"""),2.58)</f>
        <v>2.58</v>
      </c>
      <c r="H2301" s="17"/>
      <c r="K2301" s="17"/>
      <c r="N2301" s="17"/>
    </row>
    <row r="2302">
      <c r="B2302" s="11">
        <f>IFERROR(__xludf.DUMMYFUNCTION("""COMPUTED_VALUE"""),42803.0)</f>
        <v>42803</v>
      </c>
      <c r="C2302" s="9">
        <f>IFERROR(__xludf.DUMMYFUNCTION("""COMPUTED_VALUE"""),2.6)</f>
        <v>2.6</v>
      </c>
      <c r="H2302" s="17"/>
      <c r="K2302" s="17"/>
      <c r="N2302" s="17"/>
    </row>
    <row r="2303">
      <c r="B2303" s="11">
        <f>IFERROR(__xludf.DUMMYFUNCTION("""COMPUTED_VALUE"""),42802.0)</f>
        <v>42802</v>
      </c>
      <c r="C2303" s="9">
        <f>IFERROR(__xludf.DUMMYFUNCTION("""COMPUTED_VALUE"""),2.57)</f>
        <v>2.57</v>
      </c>
      <c r="H2303" s="17"/>
      <c r="K2303" s="17"/>
      <c r="N2303" s="17"/>
    </row>
    <row r="2304">
      <c r="B2304" s="11">
        <f>IFERROR(__xludf.DUMMYFUNCTION("""COMPUTED_VALUE"""),42801.0)</f>
        <v>42801</v>
      </c>
      <c r="C2304" s="9">
        <f>IFERROR(__xludf.DUMMYFUNCTION("""COMPUTED_VALUE"""),2.52)</f>
        <v>2.52</v>
      </c>
      <c r="H2304" s="17"/>
      <c r="K2304" s="17"/>
      <c r="N2304" s="17"/>
    </row>
    <row r="2305">
      <c r="B2305" s="11">
        <f>IFERROR(__xludf.DUMMYFUNCTION("""COMPUTED_VALUE"""),42800.0)</f>
        <v>42800</v>
      </c>
      <c r="C2305" s="9">
        <f>IFERROR(__xludf.DUMMYFUNCTION("""COMPUTED_VALUE"""),2.49)</f>
        <v>2.49</v>
      </c>
      <c r="H2305" s="17"/>
      <c r="K2305" s="17"/>
      <c r="N2305" s="17"/>
    </row>
    <row r="2306">
      <c r="B2306" s="11">
        <f>IFERROR(__xludf.DUMMYFUNCTION("""COMPUTED_VALUE"""),42797.0)</f>
        <v>42797</v>
      </c>
      <c r="C2306" s="9">
        <f>IFERROR(__xludf.DUMMYFUNCTION("""COMPUTED_VALUE"""),2.49)</f>
        <v>2.49</v>
      </c>
      <c r="H2306" s="17"/>
      <c r="K2306" s="17"/>
      <c r="N2306" s="17"/>
    </row>
    <row r="2307">
      <c r="B2307" s="11">
        <f>IFERROR(__xludf.DUMMYFUNCTION("""COMPUTED_VALUE"""),42796.0)</f>
        <v>42796</v>
      </c>
      <c r="C2307" s="9">
        <f>IFERROR(__xludf.DUMMYFUNCTION("""COMPUTED_VALUE"""),2.49)</f>
        <v>2.49</v>
      </c>
      <c r="H2307" s="17"/>
      <c r="K2307" s="17"/>
      <c r="N2307" s="17"/>
    </row>
    <row r="2308">
      <c r="B2308" s="11">
        <f>IFERROR(__xludf.DUMMYFUNCTION("""COMPUTED_VALUE"""),42795.0)</f>
        <v>42795</v>
      </c>
      <c r="C2308" s="9">
        <f>IFERROR(__xludf.DUMMYFUNCTION("""COMPUTED_VALUE"""),2.46)</f>
        <v>2.46</v>
      </c>
      <c r="H2308" s="17"/>
      <c r="K2308" s="17"/>
      <c r="N2308" s="17"/>
    </row>
    <row r="2309">
      <c r="B2309" s="11">
        <f>IFERROR(__xludf.DUMMYFUNCTION("""COMPUTED_VALUE"""),42794.0)</f>
        <v>42794</v>
      </c>
      <c r="C2309" s="9">
        <f>IFERROR(__xludf.DUMMYFUNCTION("""COMPUTED_VALUE"""),2.36)</f>
        <v>2.36</v>
      </c>
      <c r="H2309" s="17"/>
      <c r="K2309" s="17"/>
      <c r="N2309" s="17"/>
    </row>
    <row r="2310">
      <c r="B2310" s="11">
        <f>IFERROR(__xludf.DUMMYFUNCTION("""COMPUTED_VALUE"""),42793.0)</f>
        <v>42793</v>
      </c>
      <c r="C2310" s="9">
        <f>IFERROR(__xludf.DUMMYFUNCTION("""COMPUTED_VALUE"""),2.36)</f>
        <v>2.36</v>
      </c>
      <c r="H2310" s="17"/>
      <c r="K2310" s="17"/>
      <c r="N2310" s="17"/>
    </row>
    <row r="2311">
      <c r="B2311" s="11">
        <f>IFERROR(__xludf.DUMMYFUNCTION("""COMPUTED_VALUE"""),42790.0)</f>
        <v>42790</v>
      </c>
      <c r="C2311" s="9">
        <f>IFERROR(__xludf.DUMMYFUNCTION("""COMPUTED_VALUE"""),2.31)</f>
        <v>2.31</v>
      </c>
      <c r="H2311" s="17"/>
      <c r="K2311" s="17"/>
      <c r="N2311" s="17"/>
    </row>
    <row r="2312">
      <c r="B2312" s="11">
        <f>IFERROR(__xludf.DUMMYFUNCTION("""COMPUTED_VALUE"""),42789.0)</f>
        <v>42789</v>
      </c>
      <c r="C2312" s="9">
        <f>IFERROR(__xludf.DUMMYFUNCTION("""COMPUTED_VALUE"""),2.38)</f>
        <v>2.38</v>
      </c>
      <c r="H2312" s="17"/>
      <c r="K2312" s="17"/>
      <c r="N2312" s="17"/>
    </row>
    <row r="2313">
      <c r="B2313" s="11">
        <f>IFERROR(__xludf.DUMMYFUNCTION("""COMPUTED_VALUE"""),42788.0)</f>
        <v>42788</v>
      </c>
      <c r="C2313" s="9">
        <f>IFERROR(__xludf.DUMMYFUNCTION("""COMPUTED_VALUE"""),2.42)</f>
        <v>2.42</v>
      </c>
      <c r="H2313" s="17"/>
      <c r="K2313" s="17"/>
      <c r="N2313" s="17"/>
    </row>
    <row r="2314">
      <c r="B2314" s="11">
        <f>IFERROR(__xludf.DUMMYFUNCTION("""COMPUTED_VALUE"""),42787.0)</f>
        <v>42787</v>
      </c>
      <c r="C2314" s="9">
        <f>IFERROR(__xludf.DUMMYFUNCTION("""COMPUTED_VALUE"""),2.43)</f>
        <v>2.43</v>
      </c>
      <c r="H2314" s="17"/>
      <c r="K2314" s="17"/>
      <c r="N2314" s="17"/>
    </row>
    <row r="2315">
      <c r="B2315" s="11">
        <f>IFERROR(__xludf.DUMMYFUNCTION("""COMPUTED_VALUE"""),42786.0)</f>
        <v>42786</v>
      </c>
      <c r="C2315" s="9"/>
      <c r="H2315" s="17"/>
      <c r="K2315" s="17"/>
      <c r="N2315" s="17"/>
    </row>
    <row r="2316">
      <c r="B2316" s="11">
        <f>IFERROR(__xludf.DUMMYFUNCTION("""COMPUTED_VALUE"""),42783.0)</f>
        <v>42783</v>
      </c>
      <c r="C2316" s="9">
        <f>IFERROR(__xludf.DUMMYFUNCTION("""COMPUTED_VALUE"""),2.42)</f>
        <v>2.42</v>
      </c>
      <c r="H2316" s="17"/>
      <c r="K2316" s="17"/>
      <c r="N2316" s="17"/>
    </row>
    <row r="2317">
      <c r="B2317" s="11">
        <f>IFERROR(__xludf.DUMMYFUNCTION("""COMPUTED_VALUE"""),42782.0)</f>
        <v>42782</v>
      </c>
      <c r="C2317" s="9">
        <f>IFERROR(__xludf.DUMMYFUNCTION("""COMPUTED_VALUE"""),2.45)</f>
        <v>2.45</v>
      </c>
      <c r="H2317" s="17"/>
      <c r="K2317" s="17"/>
      <c r="N2317" s="17"/>
    </row>
    <row r="2318">
      <c r="B2318" s="11">
        <f>IFERROR(__xludf.DUMMYFUNCTION("""COMPUTED_VALUE"""),42781.0)</f>
        <v>42781</v>
      </c>
      <c r="C2318" s="9">
        <f>IFERROR(__xludf.DUMMYFUNCTION("""COMPUTED_VALUE"""),2.51)</f>
        <v>2.51</v>
      </c>
      <c r="H2318" s="17"/>
      <c r="K2318" s="17"/>
      <c r="N2318" s="17"/>
    </row>
    <row r="2319">
      <c r="B2319" s="11">
        <f>IFERROR(__xludf.DUMMYFUNCTION("""COMPUTED_VALUE"""),42780.0)</f>
        <v>42780</v>
      </c>
      <c r="C2319" s="9">
        <f>IFERROR(__xludf.DUMMYFUNCTION("""COMPUTED_VALUE"""),2.47)</f>
        <v>2.47</v>
      </c>
      <c r="H2319" s="17"/>
      <c r="K2319" s="17"/>
      <c r="N2319" s="17"/>
    </row>
    <row r="2320">
      <c r="B2320" s="11">
        <f>IFERROR(__xludf.DUMMYFUNCTION("""COMPUTED_VALUE"""),42779.0)</f>
        <v>42779</v>
      </c>
      <c r="C2320" s="9">
        <f>IFERROR(__xludf.DUMMYFUNCTION("""COMPUTED_VALUE"""),2.43)</f>
        <v>2.43</v>
      </c>
      <c r="H2320" s="17"/>
      <c r="K2320" s="17"/>
      <c r="N2320" s="17"/>
    </row>
    <row r="2321">
      <c r="B2321" s="11">
        <f>IFERROR(__xludf.DUMMYFUNCTION("""COMPUTED_VALUE"""),42776.0)</f>
        <v>42776</v>
      </c>
      <c r="C2321" s="9">
        <f>IFERROR(__xludf.DUMMYFUNCTION("""COMPUTED_VALUE"""),2.41)</f>
        <v>2.41</v>
      </c>
      <c r="H2321" s="17"/>
      <c r="K2321" s="17"/>
      <c r="N2321" s="17"/>
    </row>
    <row r="2322">
      <c r="B2322" s="11">
        <f>IFERROR(__xludf.DUMMYFUNCTION("""COMPUTED_VALUE"""),42775.0)</f>
        <v>42775</v>
      </c>
      <c r="C2322" s="9">
        <f>IFERROR(__xludf.DUMMYFUNCTION("""COMPUTED_VALUE"""),2.4)</f>
        <v>2.4</v>
      </c>
      <c r="H2322" s="17"/>
      <c r="K2322" s="17"/>
      <c r="N2322" s="17"/>
    </row>
    <row r="2323">
      <c r="B2323" s="11">
        <f>IFERROR(__xludf.DUMMYFUNCTION("""COMPUTED_VALUE"""),42774.0)</f>
        <v>42774</v>
      </c>
      <c r="C2323" s="9">
        <f>IFERROR(__xludf.DUMMYFUNCTION("""COMPUTED_VALUE"""),2.34)</f>
        <v>2.34</v>
      </c>
      <c r="H2323" s="17"/>
      <c r="K2323" s="17"/>
      <c r="N2323" s="17"/>
    </row>
    <row r="2324">
      <c r="B2324" s="11">
        <f>IFERROR(__xludf.DUMMYFUNCTION("""COMPUTED_VALUE"""),42773.0)</f>
        <v>42773</v>
      </c>
      <c r="C2324" s="9">
        <f>IFERROR(__xludf.DUMMYFUNCTION("""COMPUTED_VALUE"""),2.4)</f>
        <v>2.4</v>
      </c>
      <c r="H2324" s="17"/>
      <c r="K2324" s="17"/>
      <c r="N2324" s="17"/>
    </row>
    <row r="2325">
      <c r="B2325" s="11">
        <f>IFERROR(__xludf.DUMMYFUNCTION("""COMPUTED_VALUE"""),42772.0)</f>
        <v>42772</v>
      </c>
      <c r="C2325" s="9">
        <f>IFERROR(__xludf.DUMMYFUNCTION("""COMPUTED_VALUE"""),2.42)</f>
        <v>2.42</v>
      </c>
      <c r="H2325" s="17"/>
      <c r="K2325" s="17"/>
      <c r="N2325" s="17"/>
    </row>
    <row r="2326">
      <c r="B2326" s="11">
        <f>IFERROR(__xludf.DUMMYFUNCTION("""COMPUTED_VALUE"""),42769.0)</f>
        <v>42769</v>
      </c>
      <c r="C2326" s="9">
        <f>IFERROR(__xludf.DUMMYFUNCTION("""COMPUTED_VALUE"""),2.49)</f>
        <v>2.49</v>
      </c>
      <c r="H2326" s="17"/>
      <c r="K2326" s="17"/>
      <c r="N2326" s="17"/>
    </row>
    <row r="2327">
      <c r="B2327" s="11">
        <f>IFERROR(__xludf.DUMMYFUNCTION("""COMPUTED_VALUE"""),42768.0)</f>
        <v>42768</v>
      </c>
      <c r="C2327" s="9">
        <f>IFERROR(__xludf.DUMMYFUNCTION("""COMPUTED_VALUE"""),2.48)</f>
        <v>2.48</v>
      </c>
      <c r="H2327" s="17"/>
      <c r="K2327" s="17"/>
      <c r="N2327" s="17"/>
    </row>
    <row r="2328">
      <c r="B2328" s="11">
        <f>IFERROR(__xludf.DUMMYFUNCTION("""COMPUTED_VALUE"""),42767.0)</f>
        <v>42767</v>
      </c>
      <c r="C2328" s="9">
        <f>IFERROR(__xludf.DUMMYFUNCTION("""COMPUTED_VALUE"""),2.48)</f>
        <v>2.48</v>
      </c>
      <c r="H2328" s="17"/>
      <c r="K2328" s="17"/>
      <c r="N2328" s="17"/>
    </row>
    <row r="2329">
      <c r="B2329" s="11">
        <f>IFERROR(__xludf.DUMMYFUNCTION("""COMPUTED_VALUE"""),42766.0)</f>
        <v>42766</v>
      </c>
      <c r="C2329" s="9">
        <f>IFERROR(__xludf.DUMMYFUNCTION("""COMPUTED_VALUE"""),2.45)</f>
        <v>2.45</v>
      </c>
      <c r="H2329" s="17"/>
      <c r="K2329" s="17"/>
      <c r="N2329" s="17"/>
    </row>
    <row r="2330">
      <c r="B2330" s="11">
        <f>IFERROR(__xludf.DUMMYFUNCTION("""COMPUTED_VALUE"""),42765.0)</f>
        <v>42765</v>
      </c>
      <c r="C2330" s="9">
        <f>IFERROR(__xludf.DUMMYFUNCTION("""COMPUTED_VALUE"""),2.49)</f>
        <v>2.49</v>
      </c>
      <c r="H2330" s="17"/>
      <c r="K2330" s="17"/>
      <c r="N2330" s="17"/>
    </row>
    <row r="2331">
      <c r="B2331" s="11">
        <f>IFERROR(__xludf.DUMMYFUNCTION("""COMPUTED_VALUE"""),42762.0)</f>
        <v>42762</v>
      </c>
      <c r="C2331" s="9">
        <f>IFERROR(__xludf.DUMMYFUNCTION("""COMPUTED_VALUE"""),2.49)</f>
        <v>2.49</v>
      </c>
      <c r="H2331" s="17"/>
      <c r="K2331" s="17"/>
      <c r="N2331" s="17"/>
    </row>
    <row r="2332">
      <c r="B2332" s="11">
        <f>IFERROR(__xludf.DUMMYFUNCTION("""COMPUTED_VALUE"""),42761.0)</f>
        <v>42761</v>
      </c>
      <c r="C2332" s="9">
        <f>IFERROR(__xludf.DUMMYFUNCTION("""COMPUTED_VALUE"""),2.51)</f>
        <v>2.51</v>
      </c>
      <c r="H2332" s="17"/>
      <c r="K2332" s="17"/>
      <c r="N2332" s="17"/>
    </row>
    <row r="2333">
      <c r="B2333" s="11">
        <f>IFERROR(__xludf.DUMMYFUNCTION("""COMPUTED_VALUE"""),42760.0)</f>
        <v>42760</v>
      </c>
      <c r="C2333" s="9">
        <f>IFERROR(__xludf.DUMMYFUNCTION("""COMPUTED_VALUE"""),2.53)</f>
        <v>2.53</v>
      </c>
      <c r="H2333" s="17"/>
      <c r="K2333" s="17"/>
      <c r="N2333" s="17"/>
    </row>
    <row r="2334">
      <c r="B2334" s="11">
        <f>IFERROR(__xludf.DUMMYFUNCTION("""COMPUTED_VALUE"""),42759.0)</f>
        <v>42759</v>
      </c>
      <c r="C2334" s="9">
        <f>IFERROR(__xludf.DUMMYFUNCTION("""COMPUTED_VALUE"""),2.47)</f>
        <v>2.47</v>
      </c>
      <c r="H2334" s="17"/>
      <c r="K2334" s="17"/>
      <c r="N2334" s="17"/>
    </row>
    <row r="2335">
      <c r="B2335" s="11">
        <f>IFERROR(__xludf.DUMMYFUNCTION("""COMPUTED_VALUE"""),42758.0)</f>
        <v>42758</v>
      </c>
      <c r="C2335" s="9">
        <f>IFERROR(__xludf.DUMMYFUNCTION("""COMPUTED_VALUE"""),2.41)</f>
        <v>2.41</v>
      </c>
      <c r="H2335" s="17"/>
      <c r="K2335" s="17"/>
      <c r="N2335" s="17"/>
    </row>
    <row r="2336">
      <c r="B2336" s="11">
        <f>IFERROR(__xludf.DUMMYFUNCTION("""COMPUTED_VALUE"""),42755.0)</f>
        <v>42755</v>
      </c>
      <c r="C2336" s="9">
        <f>IFERROR(__xludf.DUMMYFUNCTION("""COMPUTED_VALUE"""),2.48)</f>
        <v>2.48</v>
      </c>
      <c r="H2336" s="17"/>
      <c r="K2336" s="17"/>
      <c r="N2336" s="17"/>
    </row>
    <row r="2337">
      <c r="B2337" s="11">
        <f>IFERROR(__xludf.DUMMYFUNCTION("""COMPUTED_VALUE"""),42754.0)</f>
        <v>42754</v>
      </c>
      <c r="C2337" s="9">
        <f>IFERROR(__xludf.DUMMYFUNCTION("""COMPUTED_VALUE"""),2.47)</f>
        <v>2.47</v>
      </c>
      <c r="H2337" s="17"/>
      <c r="K2337" s="17"/>
      <c r="N2337" s="17"/>
    </row>
    <row r="2338">
      <c r="B2338" s="11">
        <f>IFERROR(__xludf.DUMMYFUNCTION("""COMPUTED_VALUE"""),42753.0)</f>
        <v>42753</v>
      </c>
      <c r="C2338" s="9">
        <f>IFERROR(__xludf.DUMMYFUNCTION("""COMPUTED_VALUE"""),2.42)</f>
        <v>2.42</v>
      </c>
      <c r="H2338" s="17"/>
      <c r="K2338" s="17"/>
      <c r="N2338" s="17"/>
    </row>
    <row r="2339">
      <c r="B2339" s="11">
        <f>IFERROR(__xludf.DUMMYFUNCTION("""COMPUTED_VALUE"""),42752.0)</f>
        <v>42752</v>
      </c>
      <c r="C2339" s="9">
        <f>IFERROR(__xludf.DUMMYFUNCTION("""COMPUTED_VALUE"""),2.33)</f>
        <v>2.33</v>
      </c>
      <c r="H2339" s="17"/>
      <c r="K2339" s="17"/>
      <c r="N2339" s="17"/>
    </row>
    <row r="2340">
      <c r="B2340" s="11">
        <f>IFERROR(__xludf.DUMMYFUNCTION("""COMPUTED_VALUE"""),42751.0)</f>
        <v>42751</v>
      </c>
      <c r="C2340" s="9"/>
      <c r="H2340" s="17"/>
      <c r="K2340" s="17"/>
      <c r="N2340" s="17"/>
    </row>
    <row r="2341">
      <c r="B2341" s="11">
        <f>IFERROR(__xludf.DUMMYFUNCTION("""COMPUTED_VALUE"""),42748.0)</f>
        <v>42748</v>
      </c>
      <c r="C2341" s="9">
        <f>IFERROR(__xludf.DUMMYFUNCTION("""COMPUTED_VALUE"""),2.4)</f>
        <v>2.4</v>
      </c>
      <c r="H2341" s="17"/>
      <c r="K2341" s="17"/>
      <c r="N2341" s="17"/>
    </row>
    <row r="2342">
      <c r="B2342" s="11">
        <f>IFERROR(__xludf.DUMMYFUNCTION("""COMPUTED_VALUE"""),42747.0)</f>
        <v>42747</v>
      </c>
      <c r="C2342" s="9">
        <f>IFERROR(__xludf.DUMMYFUNCTION("""COMPUTED_VALUE"""),2.36)</f>
        <v>2.36</v>
      </c>
      <c r="H2342" s="17"/>
      <c r="K2342" s="17"/>
      <c r="N2342" s="17"/>
    </row>
    <row r="2343">
      <c r="B2343" s="11">
        <f>IFERROR(__xludf.DUMMYFUNCTION("""COMPUTED_VALUE"""),42746.0)</f>
        <v>42746</v>
      </c>
      <c r="C2343" s="9">
        <f>IFERROR(__xludf.DUMMYFUNCTION("""COMPUTED_VALUE"""),2.38)</f>
        <v>2.38</v>
      </c>
      <c r="H2343" s="17"/>
      <c r="K2343" s="17"/>
      <c r="N2343" s="17"/>
    </row>
    <row r="2344">
      <c r="B2344" s="11">
        <f>IFERROR(__xludf.DUMMYFUNCTION("""COMPUTED_VALUE"""),42745.0)</f>
        <v>42745</v>
      </c>
      <c r="C2344" s="9">
        <f>IFERROR(__xludf.DUMMYFUNCTION("""COMPUTED_VALUE"""),2.38)</f>
        <v>2.38</v>
      </c>
      <c r="H2344" s="17"/>
      <c r="K2344" s="17"/>
      <c r="N2344" s="17"/>
    </row>
    <row r="2345">
      <c r="B2345" s="11">
        <f>IFERROR(__xludf.DUMMYFUNCTION("""COMPUTED_VALUE"""),42744.0)</f>
        <v>42744</v>
      </c>
      <c r="C2345" s="9">
        <f>IFERROR(__xludf.DUMMYFUNCTION("""COMPUTED_VALUE"""),2.38)</f>
        <v>2.38</v>
      </c>
      <c r="H2345" s="17"/>
      <c r="K2345" s="17"/>
      <c r="N2345" s="17"/>
    </row>
    <row r="2346">
      <c r="B2346" s="11">
        <f>IFERROR(__xludf.DUMMYFUNCTION("""COMPUTED_VALUE"""),42741.0)</f>
        <v>42741</v>
      </c>
      <c r="C2346" s="9">
        <f>IFERROR(__xludf.DUMMYFUNCTION("""COMPUTED_VALUE"""),2.42)</f>
        <v>2.42</v>
      </c>
      <c r="H2346" s="17"/>
      <c r="K2346" s="17"/>
      <c r="N2346" s="17"/>
    </row>
    <row r="2347">
      <c r="B2347" s="11">
        <f>IFERROR(__xludf.DUMMYFUNCTION("""COMPUTED_VALUE"""),42740.0)</f>
        <v>42740</v>
      </c>
      <c r="C2347" s="9">
        <f>IFERROR(__xludf.DUMMYFUNCTION("""COMPUTED_VALUE"""),2.37)</f>
        <v>2.37</v>
      </c>
      <c r="H2347" s="17"/>
      <c r="K2347" s="17"/>
      <c r="N2347" s="17"/>
    </row>
    <row r="2348">
      <c r="B2348" s="11">
        <f>IFERROR(__xludf.DUMMYFUNCTION("""COMPUTED_VALUE"""),42739.0)</f>
        <v>42739</v>
      </c>
      <c r="C2348" s="9">
        <f>IFERROR(__xludf.DUMMYFUNCTION("""COMPUTED_VALUE"""),2.46)</f>
        <v>2.46</v>
      </c>
      <c r="H2348" s="17"/>
      <c r="K2348" s="17"/>
      <c r="N2348" s="17"/>
    </row>
    <row r="2349">
      <c r="B2349" s="11">
        <f>IFERROR(__xludf.DUMMYFUNCTION("""COMPUTED_VALUE"""),42738.0)</f>
        <v>42738</v>
      </c>
      <c r="C2349" s="9">
        <f>IFERROR(__xludf.DUMMYFUNCTION("""COMPUTED_VALUE"""),2.45)</f>
        <v>2.45</v>
      </c>
      <c r="H2349" s="17"/>
      <c r="K2349" s="17"/>
      <c r="N2349" s="17"/>
    </row>
    <row r="2350">
      <c r="B2350" s="11">
        <f>IFERROR(__xludf.DUMMYFUNCTION("""COMPUTED_VALUE"""),42737.0)</f>
        <v>42737</v>
      </c>
      <c r="C2350" s="9"/>
      <c r="H2350" s="17"/>
      <c r="K2350" s="17"/>
      <c r="N2350" s="17"/>
    </row>
    <row r="2351">
      <c r="B2351" s="11">
        <f>IFERROR(__xludf.DUMMYFUNCTION("""COMPUTED_VALUE"""),42734.0)</f>
        <v>42734</v>
      </c>
      <c r="C2351" s="9">
        <f>IFERROR(__xludf.DUMMYFUNCTION("""COMPUTED_VALUE"""),2.45)</f>
        <v>2.45</v>
      </c>
      <c r="H2351" s="17"/>
      <c r="K2351" s="17"/>
      <c r="N2351" s="17"/>
    </row>
    <row r="2352">
      <c r="B2352" s="11">
        <f>IFERROR(__xludf.DUMMYFUNCTION("""COMPUTED_VALUE"""),42733.0)</f>
        <v>42733</v>
      </c>
      <c r="C2352" s="9">
        <f>IFERROR(__xludf.DUMMYFUNCTION("""COMPUTED_VALUE"""),2.49)</f>
        <v>2.49</v>
      </c>
      <c r="H2352" s="17"/>
      <c r="K2352" s="17"/>
      <c r="N2352" s="17"/>
    </row>
    <row r="2353">
      <c r="B2353" s="11">
        <f>IFERROR(__xludf.DUMMYFUNCTION("""COMPUTED_VALUE"""),42732.0)</f>
        <v>42732</v>
      </c>
      <c r="C2353" s="9">
        <f>IFERROR(__xludf.DUMMYFUNCTION("""COMPUTED_VALUE"""),2.51)</f>
        <v>2.51</v>
      </c>
      <c r="H2353" s="17"/>
      <c r="K2353" s="17"/>
      <c r="N2353" s="17"/>
    </row>
    <row r="2354">
      <c r="B2354" s="11">
        <f>IFERROR(__xludf.DUMMYFUNCTION("""COMPUTED_VALUE"""),42731.0)</f>
        <v>42731</v>
      </c>
      <c r="C2354" s="9">
        <f>IFERROR(__xludf.DUMMYFUNCTION("""COMPUTED_VALUE"""),2.57)</f>
        <v>2.57</v>
      </c>
      <c r="H2354" s="17"/>
      <c r="K2354" s="17"/>
      <c r="N2354" s="17"/>
    </row>
    <row r="2355">
      <c r="B2355" s="11">
        <f>IFERROR(__xludf.DUMMYFUNCTION("""COMPUTED_VALUE"""),42730.0)</f>
        <v>42730</v>
      </c>
      <c r="C2355" s="9"/>
      <c r="H2355" s="17"/>
      <c r="K2355" s="17"/>
      <c r="N2355" s="17"/>
    </row>
    <row r="2356">
      <c r="B2356" s="11">
        <f>IFERROR(__xludf.DUMMYFUNCTION("""COMPUTED_VALUE"""),42727.0)</f>
        <v>42727</v>
      </c>
      <c r="C2356" s="9">
        <f>IFERROR(__xludf.DUMMYFUNCTION("""COMPUTED_VALUE"""),2.55)</f>
        <v>2.55</v>
      </c>
      <c r="H2356" s="17"/>
      <c r="K2356" s="17"/>
      <c r="N2356" s="17"/>
    </row>
    <row r="2357">
      <c r="B2357" s="11">
        <f>IFERROR(__xludf.DUMMYFUNCTION("""COMPUTED_VALUE"""),42726.0)</f>
        <v>42726</v>
      </c>
      <c r="C2357" s="9">
        <f>IFERROR(__xludf.DUMMYFUNCTION("""COMPUTED_VALUE"""),2.55)</f>
        <v>2.55</v>
      </c>
      <c r="H2357" s="17"/>
      <c r="K2357" s="17"/>
      <c r="N2357" s="17"/>
    </row>
    <row r="2358">
      <c r="B2358" s="11">
        <f>IFERROR(__xludf.DUMMYFUNCTION("""COMPUTED_VALUE"""),42725.0)</f>
        <v>42725</v>
      </c>
      <c r="C2358" s="9">
        <f>IFERROR(__xludf.DUMMYFUNCTION("""COMPUTED_VALUE"""),2.55)</f>
        <v>2.55</v>
      </c>
      <c r="H2358" s="17"/>
      <c r="K2358" s="17"/>
      <c r="N2358" s="17"/>
    </row>
    <row r="2359">
      <c r="B2359" s="11">
        <f>IFERROR(__xludf.DUMMYFUNCTION("""COMPUTED_VALUE"""),42724.0)</f>
        <v>42724</v>
      </c>
      <c r="C2359" s="9">
        <f>IFERROR(__xludf.DUMMYFUNCTION("""COMPUTED_VALUE"""),2.57)</f>
        <v>2.57</v>
      </c>
      <c r="H2359" s="17"/>
      <c r="K2359" s="17"/>
      <c r="N2359" s="17"/>
    </row>
    <row r="2360">
      <c r="B2360" s="11">
        <f>IFERROR(__xludf.DUMMYFUNCTION("""COMPUTED_VALUE"""),42723.0)</f>
        <v>42723</v>
      </c>
      <c r="C2360" s="9">
        <f>IFERROR(__xludf.DUMMYFUNCTION("""COMPUTED_VALUE"""),2.54)</f>
        <v>2.54</v>
      </c>
      <c r="H2360" s="17"/>
      <c r="K2360" s="17"/>
      <c r="N2360" s="17"/>
    </row>
    <row r="2361">
      <c r="B2361" s="11">
        <f>IFERROR(__xludf.DUMMYFUNCTION("""COMPUTED_VALUE"""),42720.0)</f>
        <v>42720</v>
      </c>
      <c r="C2361" s="9">
        <f>IFERROR(__xludf.DUMMYFUNCTION("""COMPUTED_VALUE"""),2.6)</f>
        <v>2.6</v>
      </c>
      <c r="H2361" s="17"/>
      <c r="K2361" s="17"/>
      <c r="N2361" s="17"/>
    </row>
    <row r="2362">
      <c r="B2362" s="11">
        <f>IFERROR(__xludf.DUMMYFUNCTION("""COMPUTED_VALUE"""),42719.0)</f>
        <v>42719</v>
      </c>
      <c r="C2362" s="9">
        <f>IFERROR(__xludf.DUMMYFUNCTION("""COMPUTED_VALUE"""),2.6)</f>
        <v>2.6</v>
      </c>
      <c r="H2362" s="17"/>
      <c r="K2362" s="17"/>
      <c r="N2362" s="17"/>
    </row>
    <row r="2363">
      <c r="B2363" s="11">
        <f>IFERROR(__xludf.DUMMYFUNCTION("""COMPUTED_VALUE"""),42718.0)</f>
        <v>42718</v>
      </c>
      <c r="C2363" s="9">
        <f>IFERROR(__xludf.DUMMYFUNCTION("""COMPUTED_VALUE"""),2.54)</f>
        <v>2.54</v>
      </c>
      <c r="H2363" s="17"/>
      <c r="K2363" s="17"/>
      <c r="N2363" s="17"/>
    </row>
    <row r="2364">
      <c r="B2364" s="11">
        <f>IFERROR(__xludf.DUMMYFUNCTION("""COMPUTED_VALUE"""),42717.0)</f>
        <v>42717</v>
      </c>
      <c r="C2364" s="9">
        <f>IFERROR(__xludf.DUMMYFUNCTION("""COMPUTED_VALUE"""),2.48)</f>
        <v>2.48</v>
      </c>
      <c r="H2364" s="17"/>
      <c r="K2364" s="17"/>
      <c r="N2364" s="17"/>
    </row>
    <row r="2365">
      <c r="B2365" s="11">
        <f>IFERROR(__xludf.DUMMYFUNCTION("""COMPUTED_VALUE"""),42716.0)</f>
        <v>42716</v>
      </c>
      <c r="C2365" s="9">
        <f>IFERROR(__xludf.DUMMYFUNCTION("""COMPUTED_VALUE"""),2.49)</f>
        <v>2.49</v>
      </c>
      <c r="H2365" s="17"/>
      <c r="K2365" s="17"/>
      <c r="N2365" s="17"/>
    </row>
    <row r="2366">
      <c r="B2366" s="11">
        <f>IFERROR(__xludf.DUMMYFUNCTION("""COMPUTED_VALUE"""),42713.0)</f>
        <v>42713</v>
      </c>
      <c r="C2366" s="9">
        <f>IFERROR(__xludf.DUMMYFUNCTION("""COMPUTED_VALUE"""),2.47)</f>
        <v>2.47</v>
      </c>
      <c r="H2366" s="17"/>
      <c r="K2366" s="17"/>
      <c r="N2366" s="17"/>
    </row>
    <row r="2367">
      <c r="B2367" s="11">
        <f>IFERROR(__xludf.DUMMYFUNCTION("""COMPUTED_VALUE"""),42712.0)</f>
        <v>42712</v>
      </c>
      <c r="C2367" s="9">
        <f>IFERROR(__xludf.DUMMYFUNCTION("""COMPUTED_VALUE"""),2.4)</f>
        <v>2.4</v>
      </c>
      <c r="H2367" s="17"/>
      <c r="K2367" s="17"/>
      <c r="N2367" s="17"/>
    </row>
    <row r="2368">
      <c r="B2368" s="11">
        <f>IFERROR(__xludf.DUMMYFUNCTION("""COMPUTED_VALUE"""),42711.0)</f>
        <v>42711</v>
      </c>
      <c r="C2368" s="9">
        <f>IFERROR(__xludf.DUMMYFUNCTION("""COMPUTED_VALUE"""),2.34)</f>
        <v>2.34</v>
      </c>
      <c r="H2368" s="17"/>
      <c r="K2368" s="17"/>
      <c r="N2368" s="17"/>
    </row>
    <row r="2369">
      <c r="B2369" s="11">
        <f>IFERROR(__xludf.DUMMYFUNCTION("""COMPUTED_VALUE"""),42710.0)</f>
        <v>42710</v>
      </c>
      <c r="C2369" s="9">
        <f>IFERROR(__xludf.DUMMYFUNCTION("""COMPUTED_VALUE"""),2.39)</f>
        <v>2.39</v>
      </c>
      <c r="H2369" s="17"/>
      <c r="K2369" s="17"/>
      <c r="N2369" s="17"/>
    </row>
    <row r="2370">
      <c r="B2370" s="11">
        <f>IFERROR(__xludf.DUMMYFUNCTION("""COMPUTED_VALUE"""),42709.0)</f>
        <v>42709</v>
      </c>
      <c r="C2370" s="9">
        <f>IFERROR(__xludf.DUMMYFUNCTION("""COMPUTED_VALUE"""),2.39)</f>
        <v>2.39</v>
      </c>
      <c r="H2370" s="17"/>
      <c r="K2370" s="17"/>
      <c r="N2370" s="17"/>
    </row>
    <row r="2371">
      <c r="B2371" s="11">
        <f>IFERROR(__xludf.DUMMYFUNCTION("""COMPUTED_VALUE"""),42706.0)</f>
        <v>42706</v>
      </c>
      <c r="C2371" s="9">
        <f>IFERROR(__xludf.DUMMYFUNCTION("""COMPUTED_VALUE"""),2.4)</f>
        <v>2.4</v>
      </c>
      <c r="H2371" s="17"/>
      <c r="K2371" s="17"/>
      <c r="N2371" s="17"/>
    </row>
    <row r="2372">
      <c r="B2372" s="11">
        <f>IFERROR(__xludf.DUMMYFUNCTION("""COMPUTED_VALUE"""),42705.0)</f>
        <v>42705</v>
      </c>
      <c r="C2372" s="9">
        <f>IFERROR(__xludf.DUMMYFUNCTION("""COMPUTED_VALUE"""),2.45)</f>
        <v>2.45</v>
      </c>
      <c r="H2372" s="17"/>
      <c r="K2372" s="17"/>
      <c r="N2372" s="17"/>
    </row>
    <row r="2373">
      <c r="B2373" s="11">
        <f>IFERROR(__xludf.DUMMYFUNCTION("""COMPUTED_VALUE"""),42704.0)</f>
        <v>42704</v>
      </c>
      <c r="C2373" s="9">
        <f>IFERROR(__xludf.DUMMYFUNCTION("""COMPUTED_VALUE"""),2.37)</f>
        <v>2.37</v>
      </c>
      <c r="H2373" s="17"/>
      <c r="K2373" s="17"/>
      <c r="N2373" s="17"/>
    </row>
    <row r="2374">
      <c r="B2374" s="11">
        <f>IFERROR(__xludf.DUMMYFUNCTION("""COMPUTED_VALUE"""),42703.0)</f>
        <v>42703</v>
      </c>
      <c r="C2374" s="9">
        <f>IFERROR(__xludf.DUMMYFUNCTION("""COMPUTED_VALUE"""),2.3)</f>
        <v>2.3</v>
      </c>
      <c r="H2374" s="17"/>
      <c r="K2374" s="17"/>
      <c r="N2374" s="17"/>
    </row>
    <row r="2375">
      <c r="B2375" s="11">
        <f>IFERROR(__xludf.DUMMYFUNCTION("""COMPUTED_VALUE"""),42702.0)</f>
        <v>42702</v>
      </c>
      <c r="C2375" s="9">
        <f>IFERROR(__xludf.DUMMYFUNCTION("""COMPUTED_VALUE"""),2.32)</f>
        <v>2.32</v>
      </c>
      <c r="H2375" s="17"/>
      <c r="K2375" s="17"/>
      <c r="N2375" s="17"/>
    </row>
    <row r="2376">
      <c r="B2376" s="11">
        <f>IFERROR(__xludf.DUMMYFUNCTION("""COMPUTED_VALUE"""),42699.0)</f>
        <v>42699</v>
      </c>
      <c r="C2376" s="9">
        <f>IFERROR(__xludf.DUMMYFUNCTION("""COMPUTED_VALUE"""),2.36)</f>
        <v>2.36</v>
      </c>
      <c r="H2376" s="17"/>
      <c r="K2376" s="17"/>
      <c r="N2376" s="17"/>
    </row>
    <row r="2377">
      <c r="B2377" s="11">
        <f>IFERROR(__xludf.DUMMYFUNCTION("""COMPUTED_VALUE"""),42698.0)</f>
        <v>42698</v>
      </c>
      <c r="C2377" s="9"/>
      <c r="H2377" s="17"/>
      <c r="K2377" s="17"/>
      <c r="N2377" s="17"/>
    </row>
    <row r="2378">
      <c r="B2378" s="11">
        <f>IFERROR(__xludf.DUMMYFUNCTION("""COMPUTED_VALUE"""),42697.0)</f>
        <v>42697</v>
      </c>
      <c r="C2378" s="9">
        <f>IFERROR(__xludf.DUMMYFUNCTION("""COMPUTED_VALUE"""),2.36)</f>
        <v>2.36</v>
      </c>
      <c r="H2378" s="17"/>
      <c r="K2378" s="17"/>
      <c r="N2378" s="17"/>
    </row>
    <row r="2379">
      <c r="B2379" s="11">
        <f>IFERROR(__xludf.DUMMYFUNCTION("""COMPUTED_VALUE"""),42696.0)</f>
        <v>42696</v>
      </c>
      <c r="C2379" s="9">
        <f>IFERROR(__xludf.DUMMYFUNCTION("""COMPUTED_VALUE"""),2.31)</f>
        <v>2.31</v>
      </c>
      <c r="H2379" s="17"/>
      <c r="K2379" s="17"/>
      <c r="N2379" s="17"/>
    </row>
    <row r="2380">
      <c r="B2380" s="11">
        <f>IFERROR(__xludf.DUMMYFUNCTION("""COMPUTED_VALUE"""),42695.0)</f>
        <v>42695</v>
      </c>
      <c r="C2380" s="9">
        <f>IFERROR(__xludf.DUMMYFUNCTION("""COMPUTED_VALUE"""),2.33)</f>
        <v>2.33</v>
      </c>
      <c r="H2380" s="17"/>
      <c r="K2380" s="17"/>
      <c r="N2380" s="17"/>
    </row>
    <row r="2381">
      <c r="B2381" s="11">
        <f>IFERROR(__xludf.DUMMYFUNCTION("""COMPUTED_VALUE"""),42692.0)</f>
        <v>42692</v>
      </c>
      <c r="C2381" s="9">
        <f>IFERROR(__xludf.DUMMYFUNCTION("""COMPUTED_VALUE"""),2.34)</f>
        <v>2.34</v>
      </c>
      <c r="H2381" s="17"/>
      <c r="K2381" s="17"/>
      <c r="N2381" s="17"/>
    </row>
    <row r="2382">
      <c r="B2382" s="11">
        <f>IFERROR(__xludf.DUMMYFUNCTION("""COMPUTED_VALUE"""),42691.0)</f>
        <v>42691</v>
      </c>
      <c r="C2382" s="9">
        <f>IFERROR(__xludf.DUMMYFUNCTION("""COMPUTED_VALUE"""),2.29)</f>
        <v>2.29</v>
      </c>
      <c r="H2382" s="17"/>
      <c r="K2382" s="17"/>
      <c r="N2382" s="17"/>
    </row>
    <row r="2383">
      <c r="B2383" s="11">
        <f>IFERROR(__xludf.DUMMYFUNCTION("""COMPUTED_VALUE"""),42690.0)</f>
        <v>42690</v>
      </c>
      <c r="C2383" s="9">
        <f>IFERROR(__xludf.DUMMYFUNCTION("""COMPUTED_VALUE"""),2.22)</f>
        <v>2.22</v>
      </c>
      <c r="H2383" s="17"/>
      <c r="K2383" s="17"/>
      <c r="N2383" s="17"/>
    </row>
    <row r="2384">
      <c r="B2384" s="11">
        <f>IFERROR(__xludf.DUMMYFUNCTION("""COMPUTED_VALUE"""),42689.0)</f>
        <v>42689</v>
      </c>
      <c r="C2384" s="9">
        <f>IFERROR(__xludf.DUMMYFUNCTION("""COMPUTED_VALUE"""),2.23)</f>
        <v>2.23</v>
      </c>
      <c r="H2384" s="17"/>
      <c r="K2384" s="17"/>
      <c r="N2384" s="17"/>
    </row>
    <row r="2385">
      <c r="B2385" s="11">
        <f>IFERROR(__xludf.DUMMYFUNCTION("""COMPUTED_VALUE"""),42688.0)</f>
        <v>42688</v>
      </c>
      <c r="C2385" s="9">
        <f>IFERROR(__xludf.DUMMYFUNCTION("""COMPUTED_VALUE"""),2.23)</f>
        <v>2.23</v>
      </c>
      <c r="H2385" s="17"/>
      <c r="K2385" s="17"/>
      <c r="N2385" s="17"/>
    </row>
    <row r="2386">
      <c r="B2386" s="11">
        <f>IFERROR(__xludf.DUMMYFUNCTION("""COMPUTED_VALUE"""),42685.0)</f>
        <v>42685</v>
      </c>
      <c r="C2386" s="9"/>
      <c r="H2386" s="17"/>
      <c r="K2386" s="17"/>
      <c r="N2386" s="17"/>
    </row>
    <row r="2387">
      <c r="B2387" s="11">
        <f>IFERROR(__xludf.DUMMYFUNCTION("""COMPUTED_VALUE"""),42684.0)</f>
        <v>42684</v>
      </c>
      <c r="C2387" s="9">
        <f>IFERROR(__xludf.DUMMYFUNCTION("""COMPUTED_VALUE"""),2.15)</f>
        <v>2.15</v>
      </c>
      <c r="H2387" s="17"/>
      <c r="K2387" s="17"/>
      <c r="N2387" s="17"/>
    </row>
    <row r="2388">
      <c r="B2388" s="11">
        <f>IFERROR(__xludf.DUMMYFUNCTION("""COMPUTED_VALUE"""),42683.0)</f>
        <v>42683</v>
      </c>
      <c r="C2388" s="9">
        <f>IFERROR(__xludf.DUMMYFUNCTION("""COMPUTED_VALUE"""),2.07)</f>
        <v>2.07</v>
      </c>
      <c r="H2388" s="17"/>
      <c r="K2388" s="17"/>
      <c r="N2388" s="17"/>
    </row>
    <row r="2389">
      <c r="B2389" s="11">
        <f>IFERROR(__xludf.DUMMYFUNCTION("""COMPUTED_VALUE"""),42682.0)</f>
        <v>42682</v>
      </c>
      <c r="C2389" s="9">
        <f>IFERROR(__xludf.DUMMYFUNCTION("""COMPUTED_VALUE"""),1.88)</f>
        <v>1.88</v>
      </c>
      <c r="H2389" s="17"/>
      <c r="K2389" s="17"/>
      <c r="N2389" s="17"/>
    </row>
    <row r="2390">
      <c r="B2390" s="11">
        <f>IFERROR(__xludf.DUMMYFUNCTION("""COMPUTED_VALUE"""),42681.0)</f>
        <v>42681</v>
      </c>
      <c r="C2390" s="9">
        <f>IFERROR(__xludf.DUMMYFUNCTION("""COMPUTED_VALUE"""),1.83)</f>
        <v>1.83</v>
      </c>
      <c r="H2390" s="17"/>
      <c r="K2390" s="17"/>
      <c r="N2390" s="17"/>
    </row>
    <row r="2391">
      <c r="B2391" s="11">
        <f>IFERROR(__xludf.DUMMYFUNCTION("""COMPUTED_VALUE"""),42678.0)</f>
        <v>42678</v>
      </c>
      <c r="C2391" s="9">
        <f>IFERROR(__xludf.DUMMYFUNCTION("""COMPUTED_VALUE"""),1.79)</f>
        <v>1.79</v>
      </c>
      <c r="H2391" s="17"/>
      <c r="K2391" s="17"/>
      <c r="N2391" s="17"/>
    </row>
    <row r="2392">
      <c r="B2392" s="11">
        <f>IFERROR(__xludf.DUMMYFUNCTION("""COMPUTED_VALUE"""),42677.0)</f>
        <v>42677</v>
      </c>
      <c r="C2392" s="9">
        <f>IFERROR(__xludf.DUMMYFUNCTION("""COMPUTED_VALUE"""),1.82)</f>
        <v>1.82</v>
      </c>
      <c r="H2392" s="17"/>
      <c r="K2392" s="17"/>
      <c r="N2392" s="17"/>
    </row>
    <row r="2393">
      <c r="B2393" s="11">
        <f>IFERROR(__xludf.DUMMYFUNCTION("""COMPUTED_VALUE"""),42676.0)</f>
        <v>42676</v>
      </c>
      <c r="C2393" s="9">
        <f>IFERROR(__xludf.DUMMYFUNCTION("""COMPUTED_VALUE"""),1.81)</f>
        <v>1.81</v>
      </c>
      <c r="H2393" s="17"/>
      <c r="K2393" s="17"/>
      <c r="N2393" s="17"/>
    </row>
    <row r="2394">
      <c r="B2394" s="11">
        <f>IFERROR(__xludf.DUMMYFUNCTION("""COMPUTED_VALUE"""),42675.0)</f>
        <v>42675</v>
      </c>
      <c r="C2394" s="9">
        <f>IFERROR(__xludf.DUMMYFUNCTION("""COMPUTED_VALUE"""),1.83)</f>
        <v>1.83</v>
      </c>
      <c r="H2394" s="17"/>
      <c r="K2394" s="17"/>
      <c r="N2394" s="17"/>
    </row>
    <row r="2395">
      <c r="B2395" s="11">
        <f>IFERROR(__xludf.DUMMYFUNCTION("""COMPUTED_VALUE"""),42674.0)</f>
        <v>42674</v>
      </c>
      <c r="C2395" s="9">
        <f>IFERROR(__xludf.DUMMYFUNCTION("""COMPUTED_VALUE"""),1.84)</f>
        <v>1.84</v>
      </c>
      <c r="H2395" s="17"/>
      <c r="K2395" s="17"/>
      <c r="N2395" s="17"/>
    </row>
    <row r="2396">
      <c r="B2396" s="11">
        <f>IFERROR(__xludf.DUMMYFUNCTION("""COMPUTED_VALUE"""),42671.0)</f>
        <v>42671</v>
      </c>
      <c r="C2396" s="9">
        <f>IFERROR(__xludf.DUMMYFUNCTION("""COMPUTED_VALUE"""),1.86)</f>
        <v>1.86</v>
      </c>
      <c r="H2396" s="17"/>
      <c r="K2396" s="17"/>
      <c r="N2396" s="17"/>
    </row>
    <row r="2397">
      <c r="B2397" s="11">
        <f>IFERROR(__xludf.DUMMYFUNCTION("""COMPUTED_VALUE"""),42670.0)</f>
        <v>42670</v>
      </c>
      <c r="C2397" s="9">
        <f>IFERROR(__xludf.DUMMYFUNCTION("""COMPUTED_VALUE"""),1.85)</f>
        <v>1.85</v>
      </c>
      <c r="H2397" s="17"/>
      <c r="K2397" s="17"/>
      <c r="N2397" s="17"/>
    </row>
    <row r="2398">
      <c r="B2398" s="11">
        <f>IFERROR(__xludf.DUMMYFUNCTION("""COMPUTED_VALUE"""),42669.0)</f>
        <v>42669</v>
      </c>
      <c r="C2398" s="9">
        <f>IFERROR(__xludf.DUMMYFUNCTION("""COMPUTED_VALUE"""),1.79)</f>
        <v>1.79</v>
      </c>
      <c r="H2398" s="17"/>
      <c r="K2398" s="17"/>
      <c r="N2398" s="17"/>
    </row>
    <row r="2399">
      <c r="B2399" s="11">
        <f>IFERROR(__xludf.DUMMYFUNCTION("""COMPUTED_VALUE"""),42668.0)</f>
        <v>42668</v>
      </c>
      <c r="C2399" s="9">
        <f>IFERROR(__xludf.DUMMYFUNCTION("""COMPUTED_VALUE"""),1.77)</f>
        <v>1.77</v>
      </c>
      <c r="H2399" s="17"/>
      <c r="K2399" s="17"/>
      <c r="N2399" s="17"/>
    </row>
    <row r="2400">
      <c r="B2400" s="11">
        <f>IFERROR(__xludf.DUMMYFUNCTION("""COMPUTED_VALUE"""),42667.0)</f>
        <v>42667</v>
      </c>
      <c r="C2400" s="9">
        <f>IFERROR(__xludf.DUMMYFUNCTION("""COMPUTED_VALUE"""),1.77)</f>
        <v>1.77</v>
      </c>
      <c r="H2400" s="17"/>
      <c r="K2400" s="17"/>
      <c r="N2400" s="17"/>
    </row>
    <row r="2401">
      <c r="B2401" s="11">
        <f>IFERROR(__xludf.DUMMYFUNCTION("""COMPUTED_VALUE"""),42664.0)</f>
        <v>42664</v>
      </c>
      <c r="C2401" s="9">
        <f>IFERROR(__xludf.DUMMYFUNCTION("""COMPUTED_VALUE"""),1.74)</f>
        <v>1.74</v>
      </c>
      <c r="H2401" s="17"/>
      <c r="K2401" s="17"/>
      <c r="N2401" s="17"/>
    </row>
    <row r="2402">
      <c r="B2402" s="11">
        <f>IFERROR(__xludf.DUMMYFUNCTION("""COMPUTED_VALUE"""),42663.0)</f>
        <v>42663</v>
      </c>
      <c r="C2402" s="9">
        <f>IFERROR(__xludf.DUMMYFUNCTION("""COMPUTED_VALUE"""),1.76)</f>
        <v>1.76</v>
      </c>
      <c r="H2402" s="17"/>
      <c r="K2402" s="17"/>
      <c r="N2402" s="17"/>
    </row>
    <row r="2403">
      <c r="B2403" s="11">
        <f>IFERROR(__xludf.DUMMYFUNCTION("""COMPUTED_VALUE"""),42662.0)</f>
        <v>42662</v>
      </c>
      <c r="C2403" s="9">
        <f>IFERROR(__xludf.DUMMYFUNCTION("""COMPUTED_VALUE"""),1.76)</f>
        <v>1.76</v>
      </c>
      <c r="H2403" s="17"/>
      <c r="K2403" s="17"/>
      <c r="N2403" s="17"/>
    </row>
    <row r="2404">
      <c r="B2404" s="11">
        <f>IFERROR(__xludf.DUMMYFUNCTION("""COMPUTED_VALUE"""),42661.0)</f>
        <v>42661</v>
      </c>
      <c r="C2404" s="9">
        <f>IFERROR(__xludf.DUMMYFUNCTION("""COMPUTED_VALUE"""),1.75)</f>
        <v>1.75</v>
      </c>
      <c r="H2404" s="17"/>
      <c r="K2404" s="17"/>
      <c r="N2404" s="17"/>
    </row>
    <row r="2405">
      <c r="B2405" s="11">
        <f>IFERROR(__xludf.DUMMYFUNCTION("""COMPUTED_VALUE"""),42660.0)</f>
        <v>42660</v>
      </c>
      <c r="C2405" s="9">
        <f>IFERROR(__xludf.DUMMYFUNCTION("""COMPUTED_VALUE"""),1.77)</f>
        <v>1.77</v>
      </c>
      <c r="H2405" s="17"/>
      <c r="K2405" s="17"/>
      <c r="N2405" s="17"/>
    </row>
    <row r="2406">
      <c r="B2406" s="11">
        <f>IFERROR(__xludf.DUMMYFUNCTION("""COMPUTED_VALUE"""),42657.0)</f>
        <v>42657</v>
      </c>
      <c r="C2406" s="9">
        <f>IFERROR(__xludf.DUMMYFUNCTION("""COMPUTED_VALUE"""),1.8)</f>
        <v>1.8</v>
      </c>
      <c r="H2406" s="17"/>
      <c r="K2406" s="17"/>
      <c r="N2406" s="17"/>
    </row>
    <row r="2407">
      <c r="B2407" s="11">
        <f>IFERROR(__xludf.DUMMYFUNCTION("""COMPUTED_VALUE"""),42656.0)</f>
        <v>42656</v>
      </c>
      <c r="C2407" s="9">
        <f>IFERROR(__xludf.DUMMYFUNCTION("""COMPUTED_VALUE"""),1.75)</f>
        <v>1.75</v>
      </c>
      <c r="H2407" s="17"/>
      <c r="K2407" s="17"/>
      <c r="N2407" s="17"/>
    </row>
    <row r="2408">
      <c r="B2408" s="11">
        <f>IFERROR(__xludf.DUMMYFUNCTION("""COMPUTED_VALUE"""),42655.0)</f>
        <v>42655</v>
      </c>
      <c r="C2408" s="9">
        <f>IFERROR(__xludf.DUMMYFUNCTION("""COMPUTED_VALUE"""),1.79)</f>
        <v>1.79</v>
      </c>
      <c r="H2408" s="17"/>
      <c r="K2408" s="17"/>
      <c r="N2408" s="17"/>
    </row>
    <row r="2409">
      <c r="B2409" s="11">
        <f>IFERROR(__xludf.DUMMYFUNCTION("""COMPUTED_VALUE"""),42654.0)</f>
        <v>42654</v>
      </c>
      <c r="C2409" s="9">
        <f>IFERROR(__xludf.DUMMYFUNCTION("""COMPUTED_VALUE"""),1.77)</f>
        <v>1.77</v>
      </c>
      <c r="H2409" s="17"/>
      <c r="K2409" s="17"/>
      <c r="N2409" s="17"/>
    </row>
    <row r="2410">
      <c r="B2410" s="11">
        <f>IFERROR(__xludf.DUMMYFUNCTION("""COMPUTED_VALUE"""),42653.0)</f>
        <v>42653</v>
      </c>
      <c r="C2410" s="9"/>
      <c r="H2410" s="17"/>
      <c r="K2410" s="17"/>
      <c r="N2410" s="17"/>
    </row>
    <row r="2411">
      <c r="B2411" s="11">
        <f>IFERROR(__xludf.DUMMYFUNCTION("""COMPUTED_VALUE"""),42650.0)</f>
        <v>42650</v>
      </c>
      <c r="C2411" s="9">
        <f>IFERROR(__xludf.DUMMYFUNCTION("""COMPUTED_VALUE"""),1.73)</f>
        <v>1.73</v>
      </c>
      <c r="H2411" s="17"/>
      <c r="K2411" s="17"/>
      <c r="N2411" s="17"/>
    </row>
    <row r="2412">
      <c r="B2412" s="11">
        <f>IFERROR(__xludf.DUMMYFUNCTION("""COMPUTED_VALUE"""),42649.0)</f>
        <v>42649</v>
      </c>
      <c r="C2412" s="9">
        <f>IFERROR(__xludf.DUMMYFUNCTION("""COMPUTED_VALUE"""),1.75)</f>
        <v>1.75</v>
      </c>
      <c r="H2412" s="17"/>
      <c r="K2412" s="17"/>
      <c r="N2412" s="17"/>
    </row>
    <row r="2413">
      <c r="B2413" s="11">
        <f>IFERROR(__xludf.DUMMYFUNCTION("""COMPUTED_VALUE"""),42648.0)</f>
        <v>42648</v>
      </c>
      <c r="C2413" s="9">
        <f>IFERROR(__xludf.DUMMYFUNCTION("""COMPUTED_VALUE"""),1.72)</f>
        <v>1.72</v>
      </c>
      <c r="H2413" s="17"/>
      <c r="K2413" s="17"/>
      <c r="N2413" s="17"/>
    </row>
    <row r="2414">
      <c r="B2414" s="11">
        <f>IFERROR(__xludf.DUMMYFUNCTION("""COMPUTED_VALUE"""),42647.0)</f>
        <v>42647</v>
      </c>
      <c r="C2414" s="9">
        <f>IFERROR(__xludf.DUMMYFUNCTION("""COMPUTED_VALUE"""),1.69)</f>
        <v>1.69</v>
      </c>
      <c r="H2414" s="17"/>
      <c r="K2414" s="17"/>
      <c r="N2414" s="17"/>
    </row>
    <row r="2415">
      <c r="B2415" s="11">
        <f>IFERROR(__xludf.DUMMYFUNCTION("""COMPUTED_VALUE"""),42646.0)</f>
        <v>42646</v>
      </c>
      <c r="C2415" s="9">
        <f>IFERROR(__xludf.DUMMYFUNCTION("""COMPUTED_VALUE"""),1.63)</f>
        <v>1.63</v>
      </c>
      <c r="H2415" s="17"/>
      <c r="K2415" s="17"/>
      <c r="N2415" s="17"/>
    </row>
    <row r="2416">
      <c r="B2416" s="11">
        <f>IFERROR(__xludf.DUMMYFUNCTION("""COMPUTED_VALUE"""),42643.0)</f>
        <v>42643</v>
      </c>
      <c r="C2416" s="9">
        <f>IFERROR(__xludf.DUMMYFUNCTION("""COMPUTED_VALUE"""),1.6)</f>
        <v>1.6</v>
      </c>
      <c r="H2416" s="17"/>
      <c r="K2416" s="17"/>
      <c r="N2416" s="17"/>
    </row>
    <row r="2417">
      <c r="B2417" s="11">
        <f>IFERROR(__xludf.DUMMYFUNCTION("""COMPUTED_VALUE"""),42642.0)</f>
        <v>42642</v>
      </c>
      <c r="C2417" s="9">
        <f>IFERROR(__xludf.DUMMYFUNCTION("""COMPUTED_VALUE"""),1.56)</f>
        <v>1.56</v>
      </c>
      <c r="H2417" s="17"/>
      <c r="K2417" s="17"/>
      <c r="N2417" s="17"/>
    </row>
    <row r="2418">
      <c r="B2418" s="11">
        <f>IFERROR(__xludf.DUMMYFUNCTION("""COMPUTED_VALUE"""),42641.0)</f>
        <v>42641</v>
      </c>
      <c r="C2418" s="9">
        <f>IFERROR(__xludf.DUMMYFUNCTION("""COMPUTED_VALUE"""),1.57)</f>
        <v>1.57</v>
      </c>
      <c r="H2418" s="17"/>
      <c r="K2418" s="17"/>
      <c r="N2418" s="17"/>
    </row>
    <row r="2419">
      <c r="B2419" s="11">
        <f>IFERROR(__xludf.DUMMYFUNCTION("""COMPUTED_VALUE"""),42640.0)</f>
        <v>42640</v>
      </c>
      <c r="C2419" s="9">
        <f>IFERROR(__xludf.DUMMYFUNCTION("""COMPUTED_VALUE"""),1.56)</f>
        <v>1.56</v>
      </c>
      <c r="H2419" s="17"/>
      <c r="K2419" s="17"/>
      <c r="N2419" s="17"/>
    </row>
    <row r="2420">
      <c r="B2420" s="11">
        <f>IFERROR(__xludf.DUMMYFUNCTION("""COMPUTED_VALUE"""),42639.0)</f>
        <v>42639</v>
      </c>
      <c r="C2420" s="9">
        <f>IFERROR(__xludf.DUMMYFUNCTION("""COMPUTED_VALUE"""),1.59)</f>
        <v>1.59</v>
      </c>
      <c r="H2420" s="17"/>
      <c r="K2420" s="17"/>
      <c r="N2420" s="17"/>
    </row>
    <row r="2421">
      <c r="B2421" s="11">
        <f>IFERROR(__xludf.DUMMYFUNCTION("""COMPUTED_VALUE"""),42636.0)</f>
        <v>42636</v>
      </c>
      <c r="C2421" s="9">
        <f>IFERROR(__xludf.DUMMYFUNCTION("""COMPUTED_VALUE"""),1.62)</f>
        <v>1.62</v>
      </c>
      <c r="H2421" s="17"/>
      <c r="K2421" s="17"/>
      <c r="N2421" s="17"/>
    </row>
    <row r="2422">
      <c r="B2422" s="11">
        <f>IFERROR(__xludf.DUMMYFUNCTION("""COMPUTED_VALUE"""),42635.0)</f>
        <v>42635</v>
      </c>
      <c r="C2422" s="9">
        <f>IFERROR(__xludf.DUMMYFUNCTION("""COMPUTED_VALUE"""),1.63)</f>
        <v>1.63</v>
      </c>
      <c r="H2422" s="17"/>
      <c r="K2422" s="17"/>
      <c r="N2422" s="17"/>
    </row>
    <row r="2423">
      <c r="B2423" s="11">
        <f>IFERROR(__xludf.DUMMYFUNCTION("""COMPUTED_VALUE"""),42634.0)</f>
        <v>42634</v>
      </c>
      <c r="C2423" s="9">
        <f>IFERROR(__xludf.DUMMYFUNCTION("""COMPUTED_VALUE"""),1.66)</f>
        <v>1.66</v>
      </c>
      <c r="H2423" s="17"/>
      <c r="K2423" s="17"/>
      <c r="N2423" s="17"/>
    </row>
    <row r="2424">
      <c r="B2424" s="11">
        <f>IFERROR(__xludf.DUMMYFUNCTION("""COMPUTED_VALUE"""),42633.0)</f>
        <v>42633</v>
      </c>
      <c r="C2424" s="9">
        <f>IFERROR(__xludf.DUMMYFUNCTION("""COMPUTED_VALUE"""),1.69)</f>
        <v>1.69</v>
      </c>
      <c r="H2424" s="17"/>
      <c r="K2424" s="17"/>
      <c r="N2424" s="17"/>
    </row>
    <row r="2425">
      <c r="B2425" s="11">
        <f>IFERROR(__xludf.DUMMYFUNCTION("""COMPUTED_VALUE"""),42632.0)</f>
        <v>42632</v>
      </c>
      <c r="C2425" s="9">
        <f>IFERROR(__xludf.DUMMYFUNCTION("""COMPUTED_VALUE"""),1.7)</f>
        <v>1.7</v>
      </c>
      <c r="H2425" s="17"/>
      <c r="K2425" s="17"/>
      <c r="N2425" s="17"/>
    </row>
    <row r="2426">
      <c r="B2426" s="11">
        <f>IFERROR(__xludf.DUMMYFUNCTION("""COMPUTED_VALUE"""),42629.0)</f>
        <v>42629</v>
      </c>
      <c r="C2426" s="9">
        <f>IFERROR(__xludf.DUMMYFUNCTION("""COMPUTED_VALUE"""),1.7)</f>
        <v>1.7</v>
      </c>
      <c r="H2426" s="17"/>
      <c r="K2426" s="17"/>
      <c r="N2426" s="17"/>
    </row>
    <row r="2427">
      <c r="B2427" s="11">
        <f>IFERROR(__xludf.DUMMYFUNCTION("""COMPUTED_VALUE"""),42628.0)</f>
        <v>42628</v>
      </c>
      <c r="C2427" s="9">
        <f>IFERROR(__xludf.DUMMYFUNCTION("""COMPUTED_VALUE"""),1.71)</f>
        <v>1.71</v>
      </c>
      <c r="H2427" s="17"/>
      <c r="K2427" s="17"/>
      <c r="N2427" s="17"/>
    </row>
    <row r="2428">
      <c r="B2428" s="11">
        <f>IFERROR(__xludf.DUMMYFUNCTION("""COMPUTED_VALUE"""),42627.0)</f>
        <v>42627</v>
      </c>
      <c r="C2428" s="9">
        <f>IFERROR(__xludf.DUMMYFUNCTION("""COMPUTED_VALUE"""),1.7)</f>
        <v>1.7</v>
      </c>
      <c r="H2428" s="17"/>
      <c r="K2428" s="17"/>
      <c r="N2428" s="17"/>
    </row>
    <row r="2429">
      <c r="B2429" s="11">
        <f>IFERROR(__xludf.DUMMYFUNCTION("""COMPUTED_VALUE"""),42626.0)</f>
        <v>42626</v>
      </c>
      <c r="C2429" s="9">
        <f>IFERROR(__xludf.DUMMYFUNCTION("""COMPUTED_VALUE"""),1.73)</f>
        <v>1.73</v>
      </c>
      <c r="H2429" s="17"/>
      <c r="K2429" s="17"/>
      <c r="N2429" s="17"/>
    </row>
    <row r="2430">
      <c r="B2430" s="11">
        <f>IFERROR(__xludf.DUMMYFUNCTION("""COMPUTED_VALUE"""),42625.0)</f>
        <v>42625</v>
      </c>
      <c r="C2430" s="9">
        <f>IFERROR(__xludf.DUMMYFUNCTION("""COMPUTED_VALUE"""),1.68)</f>
        <v>1.68</v>
      </c>
      <c r="H2430" s="17"/>
      <c r="K2430" s="17"/>
      <c r="N2430" s="17"/>
    </row>
    <row r="2431">
      <c r="B2431" s="11">
        <f>IFERROR(__xludf.DUMMYFUNCTION("""COMPUTED_VALUE"""),42622.0)</f>
        <v>42622</v>
      </c>
      <c r="C2431" s="9">
        <f>IFERROR(__xludf.DUMMYFUNCTION("""COMPUTED_VALUE"""),1.67)</f>
        <v>1.67</v>
      </c>
      <c r="H2431" s="17"/>
      <c r="K2431" s="17"/>
      <c r="N2431" s="17"/>
    </row>
    <row r="2432">
      <c r="B2432" s="11">
        <f>IFERROR(__xludf.DUMMYFUNCTION("""COMPUTED_VALUE"""),42621.0)</f>
        <v>42621</v>
      </c>
      <c r="C2432" s="9">
        <f>IFERROR(__xludf.DUMMYFUNCTION("""COMPUTED_VALUE"""),1.61)</f>
        <v>1.61</v>
      </c>
      <c r="H2432" s="17"/>
      <c r="K2432" s="17"/>
      <c r="N2432" s="17"/>
    </row>
    <row r="2433">
      <c r="B2433" s="11">
        <f>IFERROR(__xludf.DUMMYFUNCTION("""COMPUTED_VALUE"""),42620.0)</f>
        <v>42620</v>
      </c>
      <c r="C2433" s="9">
        <f>IFERROR(__xludf.DUMMYFUNCTION("""COMPUTED_VALUE"""),1.54)</f>
        <v>1.54</v>
      </c>
      <c r="H2433" s="17"/>
      <c r="K2433" s="17"/>
      <c r="N2433" s="17"/>
    </row>
    <row r="2434">
      <c r="B2434" s="11">
        <f>IFERROR(__xludf.DUMMYFUNCTION("""COMPUTED_VALUE"""),42619.0)</f>
        <v>42619</v>
      </c>
      <c r="C2434" s="9">
        <f>IFERROR(__xludf.DUMMYFUNCTION("""COMPUTED_VALUE"""),1.55)</f>
        <v>1.55</v>
      </c>
      <c r="H2434" s="17"/>
      <c r="K2434" s="17"/>
      <c r="N2434" s="17"/>
    </row>
    <row r="2435">
      <c r="B2435" s="11">
        <f>IFERROR(__xludf.DUMMYFUNCTION("""COMPUTED_VALUE"""),42618.0)</f>
        <v>42618</v>
      </c>
      <c r="C2435" s="9"/>
      <c r="H2435" s="17"/>
      <c r="K2435" s="17"/>
      <c r="N2435" s="17"/>
    </row>
    <row r="2436">
      <c r="B2436" s="11">
        <f>IFERROR(__xludf.DUMMYFUNCTION("""COMPUTED_VALUE"""),42615.0)</f>
        <v>42615</v>
      </c>
      <c r="C2436" s="9">
        <f>IFERROR(__xludf.DUMMYFUNCTION("""COMPUTED_VALUE"""),1.6)</f>
        <v>1.6</v>
      </c>
      <c r="H2436" s="17"/>
      <c r="K2436" s="17"/>
      <c r="N2436" s="17"/>
    </row>
    <row r="2437">
      <c r="B2437" s="11">
        <f>IFERROR(__xludf.DUMMYFUNCTION("""COMPUTED_VALUE"""),42614.0)</f>
        <v>42614</v>
      </c>
      <c r="C2437" s="9">
        <f>IFERROR(__xludf.DUMMYFUNCTION("""COMPUTED_VALUE"""),1.57)</f>
        <v>1.57</v>
      </c>
      <c r="H2437" s="17"/>
      <c r="K2437" s="17"/>
      <c r="N2437" s="17"/>
    </row>
    <row r="2438">
      <c r="B2438" s="11">
        <f>IFERROR(__xludf.DUMMYFUNCTION("""COMPUTED_VALUE"""),42613.0)</f>
        <v>42613</v>
      </c>
      <c r="C2438" s="9">
        <f>IFERROR(__xludf.DUMMYFUNCTION("""COMPUTED_VALUE"""),1.58)</f>
        <v>1.58</v>
      </c>
      <c r="H2438" s="17"/>
      <c r="K2438" s="17"/>
      <c r="N2438" s="17"/>
    </row>
    <row r="2439">
      <c r="B2439" s="11">
        <f>IFERROR(__xludf.DUMMYFUNCTION("""COMPUTED_VALUE"""),42612.0)</f>
        <v>42612</v>
      </c>
      <c r="C2439" s="9">
        <f>IFERROR(__xludf.DUMMYFUNCTION("""COMPUTED_VALUE"""),1.57)</f>
        <v>1.57</v>
      </c>
      <c r="H2439" s="17"/>
      <c r="K2439" s="17"/>
      <c r="N2439" s="17"/>
    </row>
    <row r="2440">
      <c r="B2440" s="11">
        <f>IFERROR(__xludf.DUMMYFUNCTION("""COMPUTED_VALUE"""),42611.0)</f>
        <v>42611</v>
      </c>
      <c r="C2440" s="9">
        <f>IFERROR(__xludf.DUMMYFUNCTION("""COMPUTED_VALUE"""),1.57)</f>
        <v>1.57</v>
      </c>
      <c r="H2440" s="17"/>
      <c r="K2440" s="17"/>
      <c r="N2440" s="17"/>
    </row>
    <row r="2441">
      <c r="B2441" s="11">
        <f>IFERROR(__xludf.DUMMYFUNCTION("""COMPUTED_VALUE"""),42608.0)</f>
        <v>42608</v>
      </c>
      <c r="C2441" s="9">
        <f>IFERROR(__xludf.DUMMYFUNCTION("""COMPUTED_VALUE"""),1.62)</f>
        <v>1.62</v>
      </c>
      <c r="H2441" s="17"/>
      <c r="K2441" s="17"/>
      <c r="N2441" s="17"/>
    </row>
    <row r="2442">
      <c r="B2442" s="11">
        <f>IFERROR(__xludf.DUMMYFUNCTION("""COMPUTED_VALUE"""),42607.0)</f>
        <v>42607</v>
      </c>
      <c r="C2442" s="9">
        <f>IFERROR(__xludf.DUMMYFUNCTION("""COMPUTED_VALUE"""),1.58)</f>
        <v>1.58</v>
      </c>
      <c r="H2442" s="17"/>
      <c r="K2442" s="17"/>
      <c r="N2442" s="17"/>
    </row>
    <row r="2443">
      <c r="B2443" s="11">
        <f>IFERROR(__xludf.DUMMYFUNCTION("""COMPUTED_VALUE"""),42606.0)</f>
        <v>42606</v>
      </c>
      <c r="C2443" s="9">
        <f>IFERROR(__xludf.DUMMYFUNCTION("""COMPUTED_VALUE"""),1.56)</f>
        <v>1.56</v>
      </c>
      <c r="H2443" s="17"/>
      <c r="K2443" s="17"/>
      <c r="N2443" s="17"/>
    </row>
    <row r="2444">
      <c r="B2444" s="11">
        <f>IFERROR(__xludf.DUMMYFUNCTION("""COMPUTED_VALUE"""),42605.0)</f>
        <v>42605</v>
      </c>
      <c r="C2444" s="9">
        <f>IFERROR(__xludf.DUMMYFUNCTION("""COMPUTED_VALUE"""),1.55)</f>
        <v>1.55</v>
      </c>
      <c r="H2444" s="17"/>
      <c r="K2444" s="17"/>
      <c r="N2444" s="17"/>
    </row>
    <row r="2445">
      <c r="B2445" s="11">
        <f>IFERROR(__xludf.DUMMYFUNCTION("""COMPUTED_VALUE"""),42604.0)</f>
        <v>42604</v>
      </c>
      <c r="C2445" s="9">
        <f>IFERROR(__xludf.DUMMYFUNCTION("""COMPUTED_VALUE"""),1.55)</f>
        <v>1.55</v>
      </c>
      <c r="H2445" s="17"/>
      <c r="K2445" s="17"/>
      <c r="N2445" s="17"/>
    </row>
    <row r="2446">
      <c r="B2446" s="11">
        <f>IFERROR(__xludf.DUMMYFUNCTION("""COMPUTED_VALUE"""),42601.0)</f>
        <v>42601</v>
      </c>
      <c r="C2446" s="9">
        <f>IFERROR(__xludf.DUMMYFUNCTION("""COMPUTED_VALUE"""),1.58)</f>
        <v>1.58</v>
      </c>
      <c r="H2446" s="17"/>
      <c r="K2446" s="17"/>
      <c r="N2446" s="17"/>
    </row>
    <row r="2447">
      <c r="B2447" s="11">
        <f>IFERROR(__xludf.DUMMYFUNCTION("""COMPUTED_VALUE"""),42600.0)</f>
        <v>42600</v>
      </c>
      <c r="C2447" s="9">
        <f>IFERROR(__xludf.DUMMYFUNCTION("""COMPUTED_VALUE"""),1.53)</f>
        <v>1.53</v>
      </c>
      <c r="H2447" s="17"/>
      <c r="K2447" s="17"/>
      <c r="N2447" s="17"/>
    </row>
    <row r="2448">
      <c r="B2448" s="11">
        <f>IFERROR(__xludf.DUMMYFUNCTION("""COMPUTED_VALUE"""),42599.0)</f>
        <v>42599</v>
      </c>
      <c r="C2448" s="9">
        <f>IFERROR(__xludf.DUMMYFUNCTION("""COMPUTED_VALUE"""),1.56)</f>
        <v>1.56</v>
      </c>
      <c r="H2448" s="17"/>
      <c r="K2448" s="17"/>
      <c r="N2448" s="17"/>
    </row>
    <row r="2449">
      <c r="B2449" s="11">
        <f>IFERROR(__xludf.DUMMYFUNCTION("""COMPUTED_VALUE"""),42598.0)</f>
        <v>42598</v>
      </c>
      <c r="C2449" s="9">
        <f>IFERROR(__xludf.DUMMYFUNCTION("""COMPUTED_VALUE"""),1.57)</f>
        <v>1.57</v>
      </c>
      <c r="H2449" s="17"/>
      <c r="K2449" s="17"/>
      <c r="N2449" s="17"/>
    </row>
    <row r="2450">
      <c r="B2450" s="11">
        <f>IFERROR(__xludf.DUMMYFUNCTION("""COMPUTED_VALUE"""),42597.0)</f>
        <v>42597</v>
      </c>
      <c r="C2450" s="9">
        <f>IFERROR(__xludf.DUMMYFUNCTION("""COMPUTED_VALUE"""),1.55)</f>
        <v>1.55</v>
      </c>
      <c r="H2450" s="17"/>
      <c r="K2450" s="17"/>
      <c r="N2450" s="17"/>
    </row>
    <row r="2451">
      <c r="B2451" s="11">
        <f>IFERROR(__xludf.DUMMYFUNCTION("""COMPUTED_VALUE"""),42594.0)</f>
        <v>42594</v>
      </c>
      <c r="C2451" s="9">
        <f>IFERROR(__xludf.DUMMYFUNCTION("""COMPUTED_VALUE"""),1.51)</f>
        <v>1.51</v>
      </c>
      <c r="H2451" s="17"/>
      <c r="K2451" s="17"/>
      <c r="N2451" s="17"/>
    </row>
    <row r="2452">
      <c r="B2452" s="11">
        <f>IFERROR(__xludf.DUMMYFUNCTION("""COMPUTED_VALUE"""),42593.0)</f>
        <v>42593</v>
      </c>
      <c r="C2452" s="9">
        <f>IFERROR(__xludf.DUMMYFUNCTION("""COMPUTED_VALUE"""),1.57)</f>
        <v>1.57</v>
      </c>
      <c r="H2452" s="17"/>
      <c r="K2452" s="17"/>
      <c r="N2452" s="17"/>
    </row>
    <row r="2453">
      <c r="B2453" s="11">
        <f>IFERROR(__xludf.DUMMYFUNCTION("""COMPUTED_VALUE"""),42592.0)</f>
        <v>42592</v>
      </c>
      <c r="C2453" s="9">
        <f>IFERROR(__xludf.DUMMYFUNCTION("""COMPUTED_VALUE"""),1.5)</f>
        <v>1.5</v>
      </c>
      <c r="H2453" s="17"/>
      <c r="K2453" s="17"/>
      <c r="N2453" s="17"/>
    </row>
    <row r="2454">
      <c r="B2454" s="11">
        <f>IFERROR(__xludf.DUMMYFUNCTION("""COMPUTED_VALUE"""),42591.0)</f>
        <v>42591</v>
      </c>
      <c r="C2454" s="9">
        <f>IFERROR(__xludf.DUMMYFUNCTION("""COMPUTED_VALUE"""),1.55)</f>
        <v>1.55</v>
      </c>
      <c r="H2454" s="17"/>
      <c r="K2454" s="17"/>
      <c r="N2454" s="17"/>
    </row>
    <row r="2455">
      <c r="B2455" s="11">
        <f>IFERROR(__xludf.DUMMYFUNCTION("""COMPUTED_VALUE"""),42590.0)</f>
        <v>42590</v>
      </c>
      <c r="C2455" s="9">
        <f>IFERROR(__xludf.DUMMYFUNCTION("""COMPUTED_VALUE"""),1.59)</f>
        <v>1.59</v>
      </c>
      <c r="H2455" s="17"/>
      <c r="K2455" s="17"/>
      <c r="N2455" s="17"/>
    </row>
    <row r="2456">
      <c r="B2456" s="11">
        <f>IFERROR(__xludf.DUMMYFUNCTION("""COMPUTED_VALUE"""),42587.0)</f>
        <v>42587</v>
      </c>
      <c r="C2456" s="9">
        <f>IFERROR(__xludf.DUMMYFUNCTION("""COMPUTED_VALUE"""),1.59)</f>
        <v>1.59</v>
      </c>
      <c r="H2456" s="17"/>
      <c r="K2456" s="17"/>
      <c r="N2456" s="17"/>
    </row>
    <row r="2457">
      <c r="B2457" s="11">
        <f>IFERROR(__xludf.DUMMYFUNCTION("""COMPUTED_VALUE"""),42586.0)</f>
        <v>42586</v>
      </c>
      <c r="C2457" s="9">
        <f>IFERROR(__xludf.DUMMYFUNCTION("""COMPUTED_VALUE"""),1.51)</f>
        <v>1.51</v>
      </c>
      <c r="H2457" s="17"/>
      <c r="K2457" s="17"/>
      <c r="N2457" s="17"/>
    </row>
    <row r="2458">
      <c r="B2458" s="11">
        <f>IFERROR(__xludf.DUMMYFUNCTION("""COMPUTED_VALUE"""),42585.0)</f>
        <v>42585</v>
      </c>
      <c r="C2458" s="9">
        <f>IFERROR(__xludf.DUMMYFUNCTION("""COMPUTED_VALUE"""),1.55)</f>
        <v>1.55</v>
      </c>
      <c r="H2458" s="17"/>
      <c r="K2458" s="17"/>
      <c r="N2458" s="17"/>
    </row>
    <row r="2459">
      <c r="B2459" s="11">
        <f>IFERROR(__xludf.DUMMYFUNCTION("""COMPUTED_VALUE"""),42584.0)</f>
        <v>42584</v>
      </c>
      <c r="C2459" s="9">
        <f>IFERROR(__xludf.DUMMYFUNCTION("""COMPUTED_VALUE"""),1.55)</f>
        <v>1.55</v>
      </c>
      <c r="H2459" s="17"/>
      <c r="K2459" s="17"/>
      <c r="N2459" s="17"/>
    </row>
    <row r="2460">
      <c r="B2460" s="11">
        <f>IFERROR(__xludf.DUMMYFUNCTION("""COMPUTED_VALUE"""),42583.0)</f>
        <v>42583</v>
      </c>
      <c r="C2460" s="9">
        <f>IFERROR(__xludf.DUMMYFUNCTION("""COMPUTED_VALUE"""),1.51)</f>
        <v>1.51</v>
      </c>
      <c r="H2460" s="17"/>
      <c r="K2460" s="17"/>
      <c r="N2460" s="17"/>
    </row>
    <row r="2461">
      <c r="B2461" s="11">
        <f>IFERROR(__xludf.DUMMYFUNCTION("""COMPUTED_VALUE"""),42580.0)</f>
        <v>42580</v>
      </c>
      <c r="C2461" s="9">
        <f>IFERROR(__xludf.DUMMYFUNCTION("""COMPUTED_VALUE"""),1.46)</f>
        <v>1.46</v>
      </c>
      <c r="H2461" s="17"/>
      <c r="K2461" s="17"/>
      <c r="N2461" s="17"/>
    </row>
    <row r="2462">
      <c r="B2462" s="11">
        <f>IFERROR(__xludf.DUMMYFUNCTION("""COMPUTED_VALUE"""),42579.0)</f>
        <v>42579</v>
      </c>
      <c r="C2462" s="9">
        <f>IFERROR(__xludf.DUMMYFUNCTION("""COMPUTED_VALUE"""),1.52)</f>
        <v>1.52</v>
      </c>
      <c r="H2462" s="17"/>
      <c r="K2462" s="17"/>
      <c r="N2462" s="17"/>
    </row>
    <row r="2463">
      <c r="B2463" s="11">
        <f>IFERROR(__xludf.DUMMYFUNCTION("""COMPUTED_VALUE"""),42578.0)</f>
        <v>42578</v>
      </c>
      <c r="C2463" s="9">
        <f>IFERROR(__xludf.DUMMYFUNCTION("""COMPUTED_VALUE"""),1.52)</f>
        <v>1.52</v>
      </c>
      <c r="H2463" s="17"/>
      <c r="K2463" s="17"/>
      <c r="N2463" s="17"/>
    </row>
    <row r="2464">
      <c r="B2464" s="11">
        <f>IFERROR(__xludf.DUMMYFUNCTION("""COMPUTED_VALUE"""),42577.0)</f>
        <v>42577</v>
      </c>
      <c r="C2464" s="9">
        <f>IFERROR(__xludf.DUMMYFUNCTION("""COMPUTED_VALUE"""),1.57)</f>
        <v>1.57</v>
      </c>
      <c r="H2464" s="17"/>
      <c r="K2464" s="17"/>
      <c r="N2464" s="17"/>
    </row>
    <row r="2465">
      <c r="B2465" s="11">
        <f>IFERROR(__xludf.DUMMYFUNCTION("""COMPUTED_VALUE"""),42576.0)</f>
        <v>42576</v>
      </c>
      <c r="C2465" s="9">
        <f>IFERROR(__xludf.DUMMYFUNCTION("""COMPUTED_VALUE"""),1.58)</f>
        <v>1.58</v>
      </c>
      <c r="H2465" s="17"/>
      <c r="K2465" s="17"/>
      <c r="N2465" s="17"/>
    </row>
    <row r="2466">
      <c r="B2466" s="11">
        <f>IFERROR(__xludf.DUMMYFUNCTION("""COMPUTED_VALUE"""),42573.0)</f>
        <v>42573</v>
      </c>
      <c r="C2466" s="9">
        <f>IFERROR(__xludf.DUMMYFUNCTION("""COMPUTED_VALUE"""),1.57)</f>
        <v>1.57</v>
      </c>
      <c r="H2466" s="17"/>
      <c r="K2466" s="17"/>
      <c r="N2466" s="17"/>
    </row>
    <row r="2467">
      <c r="B2467" s="11">
        <f>IFERROR(__xludf.DUMMYFUNCTION("""COMPUTED_VALUE"""),42572.0)</f>
        <v>42572</v>
      </c>
      <c r="C2467" s="9">
        <f>IFERROR(__xludf.DUMMYFUNCTION("""COMPUTED_VALUE"""),1.57)</f>
        <v>1.57</v>
      </c>
      <c r="H2467" s="17"/>
      <c r="K2467" s="17"/>
      <c r="N2467" s="17"/>
    </row>
    <row r="2468">
      <c r="B2468" s="11">
        <f>IFERROR(__xludf.DUMMYFUNCTION("""COMPUTED_VALUE"""),42571.0)</f>
        <v>42571</v>
      </c>
      <c r="C2468" s="9">
        <f>IFERROR(__xludf.DUMMYFUNCTION("""COMPUTED_VALUE"""),1.59)</f>
        <v>1.59</v>
      </c>
      <c r="H2468" s="17"/>
      <c r="K2468" s="17"/>
      <c r="N2468" s="17"/>
    </row>
    <row r="2469">
      <c r="B2469" s="11">
        <f>IFERROR(__xludf.DUMMYFUNCTION("""COMPUTED_VALUE"""),42570.0)</f>
        <v>42570</v>
      </c>
      <c r="C2469" s="9">
        <f>IFERROR(__xludf.DUMMYFUNCTION("""COMPUTED_VALUE"""),1.56)</f>
        <v>1.56</v>
      </c>
      <c r="H2469" s="17"/>
      <c r="K2469" s="17"/>
      <c r="N2469" s="17"/>
    </row>
    <row r="2470">
      <c r="B2470" s="11">
        <f>IFERROR(__xludf.DUMMYFUNCTION("""COMPUTED_VALUE"""),42569.0)</f>
        <v>42569</v>
      </c>
      <c r="C2470" s="9">
        <f>IFERROR(__xludf.DUMMYFUNCTION("""COMPUTED_VALUE"""),1.59)</f>
        <v>1.59</v>
      </c>
      <c r="H2470" s="17"/>
      <c r="K2470" s="17"/>
      <c r="N2470" s="17"/>
    </row>
    <row r="2471">
      <c r="B2471" s="11">
        <f>IFERROR(__xludf.DUMMYFUNCTION("""COMPUTED_VALUE"""),42566.0)</f>
        <v>42566</v>
      </c>
      <c r="C2471" s="9">
        <f>IFERROR(__xludf.DUMMYFUNCTION("""COMPUTED_VALUE"""),1.6)</f>
        <v>1.6</v>
      </c>
      <c r="H2471" s="17"/>
      <c r="K2471" s="17"/>
      <c r="N2471" s="17"/>
    </row>
    <row r="2472">
      <c r="B2472" s="11">
        <f>IFERROR(__xludf.DUMMYFUNCTION("""COMPUTED_VALUE"""),42565.0)</f>
        <v>42565</v>
      </c>
      <c r="C2472" s="9">
        <f>IFERROR(__xludf.DUMMYFUNCTION("""COMPUTED_VALUE"""),1.53)</f>
        <v>1.53</v>
      </c>
      <c r="H2472" s="17"/>
      <c r="K2472" s="17"/>
      <c r="N2472" s="17"/>
    </row>
    <row r="2473">
      <c r="B2473" s="11">
        <f>IFERROR(__xludf.DUMMYFUNCTION("""COMPUTED_VALUE"""),42564.0)</f>
        <v>42564</v>
      </c>
      <c r="C2473" s="9">
        <f>IFERROR(__xludf.DUMMYFUNCTION("""COMPUTED_VALUE"""),1.48)</f>
        <v>1.48</v>
      </c>
      <c r="H2473" s="17"/>
      <c r="K2473" s="17"/>
      <c r="N2473" s="17"/>
    </row>
    <row r="2474">
      <c r="B2474" s="11">
        <f>IFERROR(__xludf.DUMMYFUNCTION("""COMPUTED_VALUE"""),42563.0)</f>
        <v>42563</v>
      </c>
      <c r="C2474" s="9">
        <f>IFERROR(__xludf.DUMMYFUNCTION("""COMPUTED_VALUE"""),1.53)</f>
        <v>1.53</v>
      </c>
      <c r="H2474" s="17"/>
      <c r="K2474" s="17"/>
      <c r="N2474" s="17"/>
    </row>
    <row r="2475">
      <c r="B2475" s="11">
        <f>IFERROR(__xludf.DUMMYFUNCTION("""COMPUTED_VALUE"""),42562.0)</f>
        <v>42562</v>
      </c>
      <c r="C2475" s="9">
        <f>IFERROR(__xludf.DUMMYFUNCTION("""COMPUTED_VALUE"""),1.43)</f>
        <v>1.43</v>
      </c>
      <c r="H2475" s="17"/>
      <c r="K2475" s="17"/>
      <c r="N2475" s="17"/>
    </row>
    <row r="2476">
      <c r="B2476" s="11">
        <f>IFERROR(__xludf.DUMMYFUNCTION("""COMPUTED_VALUE"""),42559.0)</f>
        <v>42559</v>
      </c>
      <c r="C2476" s="9">
        <f>IFERROR(__xludf.DUMMYFUNCTION("""COMPUTED_VALUE"""),1.37)</f>
        <v>1.37</v>
      </c>
      <c r="H2476" s="17"/>
      <c r="K2476" s="17"/>
      <c r="N2476" s="17"/>
    </row>
    <row r="2477">
      <c r="B2477" s="11">
        <f>IFERROR(__xludf.DUMMYFUNCTION("""COMPUTED_VALUE"""),42558.0)</f>
        <v>42558</v>
      </c>
      <c r="C2477" s="9">
        <f>IFERROR(__xludf.DUMMYFUNCTION("""COMPUTED_VALUE"""),1.4)</f>
        <v>1.4</v>
      </c>
      <c r="H2477" s="17"/>
      <c r="K2477" s="17"/>
      <c r="N2477" s="17"/>
    </row>
    <row r="2478">
      <c r="B2478" s="11">
        <f>IFERROR(__xludf.DUMMYFUNCTION("""COMPUTED_VALUE"""),42557.0)</f>
        <v>42557</v>
      </c>
      <c r="C2478" s="9">
        <f>IFERROR(__xludf.DUMMYFUNCTION("""COMPUTED_VALUE"""),1.38)</f>
        <v>1.38</v>
      </c>
      <c r="H2478" s="17"/>
      <c r="K2478" s="17"/>
      <c r="N2478" s="17"/>
    </row>
    <row r="2479">
      <c r="B2479" s="11">
        <f>IFERROR(__xludf.DUMMYFUNCTION("""COMPUTED_VALUE"""),42556.0)</f>
        <v>42556</v>
      </c>
      <c r="C2479" s="9">
        <f>IFERROR(__xludf.DUMMYFUNCTION("""COMPUTED_VALUE"""),1.37)</f>
        <v>1.37</v>
      </c>
      <c r="H2479" s="17"/>
      <c r="K2479" s="17"/>
      <c r="N2479" s="17"/>
    </row>
    <row r="2480">
      <c r="B2480" s="11">
        <f>IFERROR(__xludf.DUMMYFUNCTION("""COMPUTED_VALUE"""),42555.0)</f>
        <v>42555</v>
      </c>
      <c r="C2480" s="9"/>
      <c r="H2480" s="17"/>
      <c r="K2480" s="17"/>
      <c r="N2480" s="17"/>
    </row>
    <row r="2481">
      <c r="B2481" s="11">
        <f>IFERROR(__xludf.DUMMYFUNCTION("""COMPUTED_VALUE"""),42552.0)</f>
        <v>42552</v>
      </c>
      <c r="C2481" s="9">
        <f>IFERROR(__xludf.DUMMYFUNCTION("""COMPUTED_VALUE"""),1.46)</f>
        <v>1.46</v>
      </c>
      <c r="H2481" s="17"/>
      <c r="K2481" s="17"/>
      <c r="N2481" s="17"/>
    </row>
    <row r="2482">
      <c r="B2482" s="11">
        <f>IFERROR(__xludf.DUMMYFUNCTION("""COMPUTED_VALUE"""),42551.0)</f>
        <v>42551</v>
      </c>
      <c r="C2482" s="9">
        <f>IFERROR(__xludf.DUMMYFUNCTION("""COMPUTED_VALUE"""),1.49)</f>
        <v>1.49</v>
      </c>
      <c r="H2482" s="17"/>
      <c r="K2482" s="17"/>
      <c r="N2482" s="17"/>
    </row>
    <row r="2483">
      <c r="B2483" s="11">
        <f>IFERROR(__xludf.DUMMYFUNCTION("""COMPUTED_VALUE"""),42550.0)</f>
        <v>42550</v>
      </c>
      <c r="C2483" s="9">
        <f>IFERROR(__xludf.DUMMYFUNCTION("""COMPUTED_VALUE"""),1.5)</f>
        <v>1.5</v>
      </c>
      <c r="H2483" s="17"/>
      <c r="K2483" s="17"/>
      <c r="N2483" s="17"/>
    </row>
    <row r="2484">
      <c r="B2484" s="11">
        <f>IFERROR(__xludf.DUMMYFUNCTION("""COMPUTED_VALUE"""),42549.0)</f>
        <v>42549</v>
      </c>
      <c r="C2484" s="9">
        <f>IFERROR(__xludf.DUMMYFUNCTION("""COMPUTED_VALUE"""),1.46)</f>
        <v>1.46</v>
      </c>
      <c r="H2484" s="17"/>
      <c r="K2484" s="17"/>
      <c r="N2484" s="17"/>
    </row>
    <row r="2485">
      <c r="B2485" s="11">
        <f>IFERROR(__xludf.DUMMYFUNCTION("""COMPUTED_VALUE"""),42548.0)</f>
        <v>42548</v>
      </c>
      <c r="C2485" s="9">
        <f>IFERROR(__xludf.DUMMYFUNCTION("""COMPUTED_VALUE"""),1.46)</f>
        <v>1.46</v>
      </c>
      <c r="H2485" s="17"/>
      <c r="K2485" s="17"/>
      <c r="N2485" s="17"/>
    </row>
    <row r="2486">
      <c r="B2486" s="11">
        <f>IFERROR(__xludf.DUMMYFUNCTION("""COMPUTED_VALUE"""),42545.0)</f>
        <v>42545</v>
      </c>
      <c r="C2486" s="9">
        <f>IFERROR(__xludf.DUMMYFUNCTION("""COMPUTED_VALUE"""),1.57)</f>
        <v>1.57</v>
      </c>
      <c r="H2486" s="17"/>
      <c r="K2486" s="17"/>
      <c r="N2486" s="17"/>
    </row>
    <row r="2487">
      <c r="B2487" s="11">
        <f>IFERROR(__xludf.DUMMYFUNCTION("""COMPUTED_VALUE"""),42544.0)</f>
        <v>42544</v>
      </c>
      <c r="C2487" s="9">
        <f>IFERROR(__xludf.DUMMYFUNCTION("""COMPUTED_VALUE"""),1.74)</f>
        <v>1.74</v>
      </c>
      <c r="H2487" s="17"/>
      <c r="K2487" s="17"/>
      <c r="N2487" s="17"/>
    </row>
    <row r="2488">
      <c r="B2488" s="11">
        <f>IFERROR(__xludf.DUMMYFUNCTION("""COMPUTED_VALUE"""),42543.0)</f>
        <v>42543</v>
      </c>
      <c r="C2488" s="9">
        <f>IFERROR(__xludf.DUMMYFUNCTION("""COMPUTED_VALUE"""),1.69)</f>
        <v>1.69</v>
      </c>
      <c r="H2488" s="17"/>
      <c r="K2488" s="17"/>
      <c r="N2488" s="17"/>
    </row>
    <row r="2489">
      <c r="B2489" s="11">
        <f>IFERROR(__xludf.DUMMYFUNCTION("""COMPUTED_VALUE"""),42542.0)</f>
        <v>42542</v>
      </c>
      <c r="C2489" s="9">
        <f>IFERROR(__xludf.DUMMYFUNCTION("""COMPUTED_VALUE"""),1.71)</f>
        <v>1.71</v>
      </c>
      <c r="H2489" s="17"/>
      <c r="K2489" s="17"/>
      <c r="N2489" s="17"/>
    </row>
    <row r="2490">
      <c r="B2490" s="11">
        <f>IFERROR(__xludf.DUMMYFUNCTION("""COMPUTED_VALUE"""),42541.0)</f>
        <v>42541</v>
      </c>
      <c r="C2490" s="9">
        <f>IFERROR(__xludf.DUMMYFUNCTION("""COMPUTED_VALUE"""),1.67)</f>
        <v>1.67</v>
      </c>
      <c r="H2490" s="17"/>
      <c r="K2490" s="17"/>
      <c r="N2490" s="17"/>
    </row>
    <row r="2491">
      <c r="B2491" s="11">
        <f>IFERROR(__xludf.DUMMYFUNCTION("""COMPUTED_VALUE"""),42538.0)</f>
        <v>42538</v>
      </c>
      <c r="C2491" s="9">
        <f>IFERROR(__xludf.DUMMYFUNCTION("""COMPUTED_VALUE"""),1.62)</f>
        <v>1.62</v>
      </c>
      <c r="H2491" s="17"/>
      <c r="K2491" s="17"/>
      <c r="N2491" s="17"/>
    </row>
    <row r="2492">
      <c r="B2492" s="11">
        <f>IFERROR(__xludf.DUMMYFUNCTION("""COMPUTED_VALUE"""),42537.0)</f>
        <v>42537</v>
      </c>
      <c r="C2492" s="9">
        <f>IFERROR(__xludf.DUMMYFUNCTION("""COMPUTED_VALUE"""),1.57)</f>
        <v>1.57</v>
      </c>
      <c r="H2492" s="17"/>
      <c r="K2492" s="17"/>
      <c r="N2492" s="17"/>
    </row>
    <row r="2493">
      <c r="B2493" s="11">
        <f>IFERROR(__xludf.DUMMYFUNCTION("""COMPUTED_VALUE"""),42536.0)</f>
        <v>42536</v>
      </c>
      <c r="C2493" s="9">
        <f>IFERROR(__xludf.DUMMYFUNCTION("""COMPUTED_VALUE"""),1.6)</f>
        <v>1.6</v>
      </c>
      <c r="H2493" s="17"/>
      <c r="K2493" s="17"/>
      <c r="N2493" s="17"/>
    </row>
    <row r="2494">
      <c r="B2494" s="11">
        <f>IFERROR(__xludf.DUMMYFUNCTION("""COMPUTED_VALUE"""),42535.0)</f>
        <v>42535</v>
      </c>
      <c r="C2494" s="9">
        <f>IFERROR(__xludf.DUMMYFUNCTION("""COMPUTED_VALUE"""),1.62)</f>
        <v>1.62</v>
      </c>
      <c r="H2494" s="17"/>
      <c r="K2494" s="17"/>
      <c r="N2494" s="17"/>
    </row>
    <row r="2495">
      <c r="B2495" s="11">
        <f>IFERROR(__xludf.DUMMYFUNCTION("""COMPUTED_VALUE"""),42534.0)</f>
        <v>42534</v>
      </c>
      <c r="C2495" s="9">
        <f>IFERROR(__xludf.DUMMYFUNCTION("""COMPUTED_VALUE"""),1.62)</f>
        <v>1.62</v>
      </c>
      <c r="H2495" s="17"/>
      <c r="K2495" s="17"/>
      <c r="N2495" s="17"/>
    </row>
    <row r="2496">
      <c r="B2496" s="11">
        <f>IFERROR(__xludf.DUMMYFUNCTION("""COMPUTED_VALUE"""),42531.0)</f>
        <v>42531</v>
      </c>
      <c r="C2496" s="9">
        <f>IFERROR(__xludf.DUMMYFUNCTION("""COMPUTED_VALUE"""),1.64)</f>
        <v>1.64</v>
      </c>
      <c r="H2496" s="17"/>
      <c r="K2496" s="17"/>
      <c r="N2496" s="17"/>
    </row>
    <row r="2497">
      <c r="B2497" s="11">
        <f>IFERROR(__xludf.DUMMYFUNCTION("""COMPUTED_VALUE"""),42530.0)</f>
        <v>42530</v>
      </c>
      <c r="C2497" s="9">
        <f>IFERROR(__xludf.DUMMYFUNCTION("""COMPUTED_VALUE"""),1.68)</f>
        <v>1.68</v>
      </c>
      <c r="H2497" s="17"/>
      <c r="K2497" s="17"/>
      <c r="N2497" s="17"/>
    </row>
    <row r="2498">
      <c r="B2498" s="11">
        <f>IFERROR(__xludf.DUMMYFUNCTION("""COMPUTED_VALUE"""),42529.0)</f>
        <v>42529</v>
      </c>
      <c r="C2498" s="9">
        <f>IFERROR(__xludf.DUMMYFUNCTION("""COMPUTED_VALUE"""),1.71)</f>
        <v>1.71</v>
      </c>
      <c r="H2498" s="17"/>
      <c r="K2498" s="17"/>
      <c r="N2498" s="17"/>
    </row>
    <row r="2499">
      <c r="B2499" s="11">
        <f>IFERROR(__xludf.DUMMYFUNCTION("""COMPUTED_VALUE"""),42528.0)</f>
        <v>42528</v>
      </c>
      <c r="C2499" s="9">
        <f>IFERROR(__xludf.DUMMYFUNCTION("""COMPUTED_VALUE"""),1.72)</f>
        <v>1.72</v>
      </c>
      <c r="H2499" s="17"/>
      <c r="K2499" s="17"/>
      <c r="N2499" s="17"/>
    </row>
    <row r="2500">
      <c r="B2500" s="11">
        <f>IFERROR(__xludf.DUMMYFUNCTION("""COMPUTED_VALUE"""),42527.0)</f>
        <v>42527</v>
      </c>
      <c r="C2500" s="9">
        <f>IFERROR(__xludf.DUMMYFUNCTION("""COMPUTED_VALUE"""),1.73)</f>
        <v>1.73</v>
      </c>
      <c r="H2500" s="17"/>
      <c r="K2500" s="17"/>
      <c r="N2500" s="17"/>
    </row>
    <row r="2501">
      <c r="B2501" s="11">
        <f>IFERROR(__xludf.DUMMYFUNCTION("""COMPUTED_VALUE"""),42524.0)</f>
        <v>42524</v>
      </c>
      <c r="C2501" s="9">
        <f>IFERROR(__xludf.DUMMYFUNCTION("""COMPUTED_VALUE"""),1.71)</f>
        <v>1.71</v>
      </c>
      <c r="H2501" s="17"/>
      <c r="K2501" s="17"/>
      <c r="N2501" s="17"/>
    </row>
    <row r="2502">
      <c r="B2502" s="11">
        <f>IFERROR(__xludf.DUMMYFUNCTION("""COMPUTED_VALUE"""),42523.0)</f>
        <v>42523</v>
      </c>
      <c r="C2502" s="9">
        <f>IFERROR(__xludf.DUMMYFUNCTION("""COMPUTED_VALUE"""),1.81)</f>
        <v>1.81</v>
      </c>
      <c r="H2502" s="17"/>
      <c r="K2502" s="17"/>
      <c r="N2502" s="17"/>
    </row>
    <row r="2503">
      <c r="B2503" s="11">
        <f>IFERROR(__xludf.DUMMYFUNCTION("""COMPUTED_VALUE"""),42522.0)</f>
        <v>42522</v>
      </c>
      <c r="C2503" s="9">
        <f>IFERROR(__xludf.DUMMYFUNCTION("""COMPUTED_VALUE"""),1.85)</f>
        <v>1.85</v>
      </c>
      <c r="H2503" s="17"/>
      <c r="K2503" s="17"/>
      <c r="N2503" s="17"/>
    </row>
    <row r="2504">
      <c r="B2504" s="11">
        <f>IFERROR(__xludf.DUMMYFUNCTION("""COMPUTED_VALUE"""),42521.0)</f>
        <v>42521</v>
      </c>
      <c r="C2504" s="9">
        <f>IFERROR(__xludf.DUMMYFUNCTION("""COMPUTED_VALUE"""),1.84)</f>
        <v>1.84</v>
      </c>
      <c r="H2504" s="17"/>
      <c r="K2504" s="17"/>
      <c r="N2504" s="17"/>
    </row>
    <row r="2505">
      <c r="B2505" s="11">
        <f>IFERROR(__xludf.DUMMYFUNCTION("""COMPUTED_VALUE"""),42520.0)</f>
        <v>42520</v>
      </c>
      <c r="C2505" s="9"/>
      <c r="H2505" s="17"/>
      <c r="K2505" s="17"/>
      <c r="N2505" s="17"/>
    </row>
    <row r="2506">
      <c r="B2506" s="11">
        <f>IFERROR(__xludf.DUMMYFUNCTION("""COMPUTED_VALUE"""),42517.0)</f>
        <v>42517</v>
      </c>
      <c r="C2506" s="9">
        <f>IFERROR(__xludf.DUMMYFUNCTION("""COMPUTED_VALUE"""),1.85)</f>
        <v>1.85</v>
      </c>
      <c r="H2506" s="17"/>
      <c r="K2506" s="17"/>
      <c r="N2506" s="17"/>
    </row>
    <row r="2507">
      <c r="B2507" s="11">
        <f>IFERROR(__xludf.DUMMYFUNCTION("""COMPUTED_VALUE"""),42516.0)</f>
        <v>42516</v>
      </c>
      <c r="C2507" s="9">
        <f>IFERROR(__xludf.DUMMYFUNCTION("""COMPUTED_VALUE"""),1.83)</f>
        <v>1.83</v>
      </c>
      <c r="H2507" s="17"/>
      <c r="K2507" s="17"/>
      <c r="N2507" s="17"/>
    </row>
    <row r="2508">
      <c r="B2508" s="11">
        <f>IFERROR(__xludf.DUMMYFUNCTION("""COMPUTED_VALUE"""),42515.0)</f>
        <v>42515</v>
      </c>
      <c r="C2508" s="9">
        <f>IFERROR(__xludf.DUMMYFUNCTION("""COMPUTED_VALUE"""),1.87)</f>
        <v>1.87</v>
      </c>
      <c r="H2508" s="17"/>
      <c r="K2508" s="17"/>
      <c r="N2508" s="17"/>
    </row>
    <row r="2509">
      <c r="B2509" s="11">
        <f>IFERROR(__xludf.DUMMYFUNCTION("""COMPUTED_VALUE"""),42514.0)</f>
        <v>42514</v>
      </c>
      <c r="C2509" s="9">
        <f>IFERROR(__xludf.DUMMYFUNCTION("""COMPUTED_VALUE"""),1.86)</f>
        <v>1.86</v>
      </c>
      <c r="H2509" s="17"/>
      <c r="K2509" s="17"/>
      <c r="N2509" s="17"/>
    </row>
    <row r="2510">
      <c r="B2510" s="11">
        <f>IFERROR(__xludf.DUMMYFUNCTION("""COMPUTED_VALUE"""),42513.0)</f>
        <v>42513</v>
      </c>
      <c r="C2510" s="9">
        <f>IFERROR(__xludf.DUMMYFUNCTION("""COMPUTED_VALUE"""),1.84)</f>
        <v>1.84</v>
      </c>
      <c r="H2510" s="17"/>
      <c r="K2510" s="17"/>
      <c r="N2510" s="17"/>
    </row>
    <row r="2511">
      <c r="B2511" s="11">
        <f>IFERROR(__xludf.DUMMYFUNCTION("""COMPUTED_VALUE"""),42510.0)</f>
        <v>42510</v>
      </c>
      <c r="C2511" s="9">
        <f>IFERROR(__xludf.DUMMYFUNCTION("""COMPUTED_VALUE"""),1.85)</f>
        <v>1.85</v>
      </c>
      <c r="H2511" s="17"/>
      <c r="K2511" s="17"/>
      <c r="N2511" s="17"/>
    </row>
    <row r="2512">
      <c r="B2512" s="11">
        <f>IFERROR(__xludf.DUMMYFUNCTION("""COMPUTED_VALUE"""),42509.0)</f>
        <v>42509</v>
      </c>
      <c r="C2512" s="9">
        <f>IFERROR(__xludf.DUMMYFUNCTION("""COMPUTED_VALUE"""),1.85)</f>
        <v>1.85</v>
      </c>
      <c r="H2512" s="17"/>
      <c r="K2512" s="17"/>
      <c r="N2512" s="17"/>
    </row>
    <row r="2513">
      <c r="B2513" s="11">
        <f>IFERROR(__xludf.DUMMYFUNCTION("""COMPUTED_VALUE"""),42508.0)</f>
        <v>42508</v>
      </c>
      <c r="C2513" s="9">
        <f>IFERROR(__xludf.DUMMYFUNCTION("""COMPUTED_VALUE"""),1.87)</f>
        <v>1.87</v>
      </c>
      <c r="H2513" s="17"/>
      <c r="K2513" s="17"/>
      <c r="N2513" s="17"/>
    </row>
    <row r="2514">
      <c r="B2514" s="11">
        <f>IFERROR(__xludf.DUMMYFUNCTION("""COMPUTED_VALUE"""),42507.0)</f>
        <v>42507</v>
      </c>
      <c r="C2514" s="9">
        <f>IFERROR(__xludf.DUMMYFUNCTION("""COMPUTED_VALUE"""),1.76)</f>
        <v>1.76</v>
      </c>
      <c r="H2514" s="17"/>
      <c r="K2514" s="17"/>
      <c r="N2514" s="17"/>
    </row>
    <row r="2515">
      <c r="B2515" s="11">
        <f>IFERROR(__xludf.DUMMYFUNCTION("""COMPUTED_VALUE"""),42506.0)</f>
        <v>42506</v>
      </c>
      <c r="C2515" s="9">
        <f>IFERROR(__xludf.DUMMYFUNCTION("""COMPUTED_VALUE"""),1.75)</f>
        <v>1.75</v>
      </c>
      <c r="H2515" s="17"/>
      <c r="K2515" s="17"/>
      <c r="N2515" s="17"/>
    </row>
    <row r="2516">
      <c r="B2516" s="11">
        <f>IFERROR(__xludf.DUMMYFUNCTION("""COMPUTED_VALUE"""),42503.0)</f>
        <v>42503</v>
      </c>
      <c r="C2516" s="9">
        <f>IFERROR(__xludf.DUMMYFUNCTION("""COMPUTED_VALUE"""),1.71)</f>
        <v>1.71</v>
      </c>
      <c r="H2516" s="17"/>
      <c r="K2516" s="17"/>
      <c r="N2516" s="17"/>
    </row>
    <row r="2517">
      <c r="B2517" s="11">
        <f>IFERROR(__xludf.DUMMYFUNCTION("""COMPUTED_VALUE"""),42502.0)</f>
        <v>42502</v>
      </c>
      <c r="C2517" s="9">
        <f>IFERROR(__xludf.DUMMYFUNCTION("""COMPUTED_VALUE"""),1.75)</f>
        <v>1.75</v>
      </c>
      <c r="H2517" s="17"/>
      <c r="K2517" s="17"/>
      <c r="N2517" s="17"/>
    </row>
    <row r="2518">
      <c r="B2518" s="11">
        <f>IFERROR(__xludf.DUMMYFUNCTION("""COMPUTED_VALUE"""),42501.0)</f>
        <v>42501</v>
      </c>
      <c r="C2518" s="9">
        <f>IFERROR(__xludf.DUMMYFUNCTION("""COMPUTED_VALUE"""),1.73)</f>
        <v>1.73</v>
      </c>
      <c r="H2518" s="17"/>
      <c r="K2518" s="17"/>
      <c r="N2518" s="17"/>
    </row>
    <row r="2519">
      <c r="B2519" s="11">
        <f>IFERROR(__xludf.DUMMYFUNCTION("""COMPUTED_VALUE"""),42500.0)</f>
        <v>42500</v>
      </c>
      <c r="C2519" s="9">
        <f>IFERROR(__xludf.DUMMYFUNCTION("""COMPUTED_VALUE"""),1.77)</f>
        <v>1.77</v>
      </c>
      <c r="H2519" s="17"/>
      <c r="K2519" s="17"/>
      <c r="N2519" s="17"/>
    </row>
    <row r="2520">
      <c r="B2520" s="11">
        <f>IFERROR(__xludf.DUMMYFUNCTION("""COMPUTED_VALUE"""),42499.0)</f>
        <v>42499</v>
      </c>
      <c r="C2520" s="9">
        <f>IFERROR(__xludf.DUMMYFUNCTION("""COMPUTED_VALUE"""),1.77)</f>
        <v>1.77</v>
      </c>
      <c r="H2520" s="17"/>
      <c r="K2520" s="17"/>
      <c r="N2520" s="17"/>
    </row>
    <row r="2521">
      <c r="B2521" s="11">
        <f>IFERROR(__xludf.DUMMYFUNCTION("""COMPUTED_VALUE"""),42496.0)</f>
        <v>42496</v>
      </c>
      <c r="C2521" s="9">
        <f>IFERROR(__xludf.DUMMYFUNCTION("""COMPUTED_VALUE"""),1.79)</f>
        <v>1.79</v>
      </c>
      <c r="H2521" s="17"/>
      <c r="K2521" s="17"/>
      <c r="N2521" s="17"/>
    </row>
    <row r="2522">
      <c r="B2522" s="11">
        <f>IFERROR(__xludf.DUMMYFUNCTION("""COMPUTED_VALUE"""),42495.0)</f>
        <v>42495</v>
      </c>
      <c r="C2522" s="9">
        <f>IFERROR(__xludf.DUMMYFUNCTION("""COMPUTED_VALUE"""),1.76)</f>
        <v>1.76</v>
      </c>
      <c r="H2522" s="17"/>
      <c r="K2522" s="17"/>
      <c r="N2522" s="17"/>
    </row>
    <row r="2523">
      <c r="B2523" s="11">
        <f>IFERROR(__xludf.DUMMYFUNCTION("""COMPUTED_VALUE"""),42494.0)</f>
        <v>42494</v>
      </c>
      <c r="C2523" s="9">
        <f>IFERROR(__xludf.DUMMYFUNCTION("""COMPUTED_VALUE"""),1.79)</f>
        <v>1.79</v>
      </c>
      <c r="H2523" s="17"/>
      <c r="K2523" s="17"/>
      <c r="N2523" s="17"/>
    </row>
    <row r="2524">
      <c r="B2524" s="11">
        <f>IFERROR(__xludf.DUMMYFUNCTION("""COMPUTED_VALUE"""),42493.0)</f>
        <v>42493</v>
      </c>
      <c r="C2524" s="9">
        <f>IFERROR(__xludf.DUMMYFUNCTION("""COMPUTED_VALUE"""),1.81)</f>
        <v>1.81</v>
      </c>
      <c r="H2524" s="17"/>
      <c r="K2524" s="17"/>
      <c r="N2524" s="17"/>
    </row>
    <row r="2525">
      <c r="B2525" s="11">
        <f>IFERROR(__xludf.DUMMYFUNCTION("""COMPUTED_VALUE"""),42492.0)</f>
        <v>42492</v>
      </c>
      <c r="C2525" s="9">
        <f>IFERROR(__xludf.DUMMYFUNCTION("""COMPUTED_VALUE"""),1.88)</f>
        <v>1.88</v>
      </c>
      <c r="H2525" s="17"/>
      <c r="K2525" s="17"/>
      <c r="N2525" s="17"/>
    </row>
    <row r="2526">
      <c r="B2526" s="11">
        <f>IFERROR(__xludf.DUMMYFUNCTION("""COMPUTED_VALUE"""),42489.0)</f>
        <v>42489</v>
      </c>
      <c r="C2526" s="9">
        <f>IFERROR(__xludf.DUMMYFUNCTION("""COMPUTED_VALUE"""),1.83)</f>
        <v>1.83</v>
      </c>
      <c r="H2526" s="17"/>
      <c r="K2526" s="17"/>
      <c r="N2526" s="17"/>
    </row>
    <row r="2527">
      <c r="B2527" s="11">
        <f>IFERROR(__xludf.DUMMYFUNCTION("""COMPUTED_VALUE"""),42488.0)</f>
        <v>42488</v>
      </c>
      <c r="C2527" s="9">
        <f>IFERROR(__xludf.DUMMYFUNCTION("""COMPUTED_VALUE"""),1.84)</f>
        <v>1.84</v>
      </c>
      <c r="H2527" s="17"/>
      <c r="K2527" s="17"/>
      <c r="N2527" s="17"/>
    </row>
    <row r="2528">
      <c r="B2528" s="11">
        <f>IFERROR(__xludf.DUMMYFUNCTION("""COMPUTED_VALUE"""),42487.0)</f>
        <v>42487</v>
      </c>
      <c r="C2528" s="9">
        <f>IFERROR(__xludf.DUMMYFUNCTION("""COMPUTED_VALUE"""),1.87)</f>
        <v>1.87</v>
      </c>
      <c r="H2528" s="17"/>
      <c r="K2528" s="17"/>
      <c r="N2528" s="17"/>
    </row>
    <row r="2529">
      <c r="B2529" s="11">
        <f>IFERROR(__xludf.DUMMYFUNCTION("""COMPUTED_VALUE"""),42486.0)</f>
        <v>42486</v>
      </c>
      <c r="C2529" s="9">
        <f>IFERROR(__xludf.DUMMYFUNCTION("""COMPUTED_VALUE"""),1.94)</f>
        <v>1.94</v>
      </c>
      <c r="H2529" s="17"/>
      <c r="K2529" s="17"/>
      <c r="N2529" s="17"/>
    </row>
    <row r="2530">
      <c r="B2530" s="11">
        <f>IFERROR(__xludf.DUMMYFUNCTION("""COMPUTED_VALUE"""),42485.0)</f>
        <v>42485</v>
      </c>
      <c r="C2530" s="9">
        <f>IFERROR(__xludf.DUMMYFUNCTION("""COMPUTED_VALUE"""),1.91)</f>
        <v>1.91</v>
      </c>
      <c r="H2530" s="17"/>
      <c r="K2530" s="17"/>
      <c r="N2530" s="17"/>
    </row>
    <row r="2531">
      <c r="B2531" s="11">
        <f>IFERROR(__xludf.DUMMYFUNCTION("""COMPUTED_VALUE"""),42482.0)</f>
        <v>42482</v>
      </c>
      <c r="C2531" s="9">
        <f>IFERROR(__xludf.DUMMYFUNCTION("""COMPUTED_VALUE"""),1.89)</f>
        <v>1.89</v>
      </c>
      <c r="H2531" s="17"/>
      <c r="K2531" s="17"/>
      <c r="N2531" s="17"/>
    </row>
    <row r="2532">
      <c r="B2532" s="11">
        <f>IFERROR(__xludf.DUMMYFUNCTION("""COMPUTED_VALUE"""),42481.0)</f>
        <v>42481</v>
      </c>
      <c r="C2532" s="9">
        <f>IFERROR(__xludf.DUMMYFUNCTION("""COMPUTED_VALUE"""),1.88)</f>
        <v>1.88</v>
      </c>
      <c r="H2532" s="17"/>
      <c r="K2532" s="17"/>
      <c r="N2532" s="17"/>
    </row>
    <row r="2533">
      <c r="B2533" s="11">
        <f>IFERROR(__xludf.DUMMYFUNCTION("""COMPUTED_VALUE"""),42480.0)</f>
        <v>42480</v>
      </c>
      <c r="C2533" s="9">
        <f>IFERROR(__xludf.DUMMYFUNCTION("""COMPUTED_VALUE"""),1.85)</f>
        <v>1.85</v>
      </c>
      <c r="H2533" s="17"/>
      <c r="K2533" s="17"/>
      <c r="N2533" s="17"/>
    </row>
    <row r="2534">
      <c r="B2534" s="11">
        <f>IFERROR(__xludf.DUMMYFUNCTION("""COMPUTED_VALUE"""),42479.0)</f>
        <v>42479</v>
      </c>
      <c r="C2534" s="9">
        <f>IFERROR(__xludf.DUMMYFUNCTION("""COMPUTED_VALUE"""),1.79)</f>
        <v>1.79</v>
      </c>
      <c r="H2534" s="17"/>
      <c r="K2534" s="17"/>
      <c r="N2534" s="17"/>
    </row>
    <row r="2535">
      <c r="B2535" s="11">
        <f>IFERROR(__xludf.DUMMYFUNCTION("""COMPUTED_VALUE"""),42478.0)</f>
        <v>42478</v>
      </c>
      <c r="C2535" s="9">
        <f>IFERROR(__xludf.DUMMYFUNCTION("""COMPUTED_VALUE"""),1.78)</f>
        <v>1.78</v>
      </c>
      <c r="H2535" s="17"/>
      <c r="K2535" s="17"/>
      <c r="N2535" s="17"/>
    </row>
    <row r="2536">
      <c r="B2536" s="11">
        <f>IFERROR(__xludf.DUMMYFUNCTION("""COMPUTED_VALUE"""),42475.0)</f>
        <v>42475</v>
      </c>
      <c r="C2536" s="9">
        <f>IFERROR(__xludf.DUMMYFUNCTION("""COMPUTED_VALUE"""),1.76)</f>
        <v>1.76</v>
      </c>
      <c r="H2536" s="17"/>
      <c r="K2536" s="17"/>
      <c r="N2536" s="17"/>
    </row>
    <row r="2537">
      <c r="B2537" s="11">
        <f>IFERROR(__xludf.DUMMYFUNCTION("""COMPUTED_VALUE"""),42474.0)</f>
        <v>42474</v>
      </c>
      <c r="C2537" s="9">
        <f>IFERROR(__xludf.DUMMYFUNCTION("""COMPUTED_VALUE"""),1.8)</f>
        <v>1.8</v>
      </c>
      <c r="H2537" s="17"/>
      <c r="K2537" s="17"/>
      <c r="N2537" s="17"/>
    </row>
    <row r="2538">
      <c r="B2538" s="11">
        <f>IFERROR(__xludf.DUMMYFUNCTION("""COMPUTED_VALUE"""),42473.0)</f>
        <v>42473</v>
      </c>
      <c r="C2538" s="9">
        <f>IFERROR(__xludf.DUMMYFUNCTION("""COMPUTED_VALUE"""),1.77)</f>
        <v>1.77</v>
      </c>
      <c r="H2538" s="17"/>
      <c r="K2538" s="17"/>
      <c r="N2538" s="17"/>
    </row>
    <row r="2539">
      <c r="B2539" s="11">
        <f>IFERROR(__xludf.DUMMYFUNCTION("""COMPUTED_VALUE"""),42472.0)</f>
        <v>42472</v>
      </c>
      <c r="C2539" s="9">
        <f>IFERROR(__xludf.DUMMYFUNCTION("""COMPUTED_VALUE"""),1.79)</f>
        <v>1.79</v>
      </c>
      <c r="H2539" s="17"/>
      <c r="K2539" s="17"/>
      <c r="N2539" s="17"/>
    </row>
    <row r="2540">
      <c r="B2540" s="11">
        <f>IFERROR(__xludf.DUMMYFUNCTION("""COMPUTED_VALUE"""),42471.0)</f>
        <v>42471</v>
      </c>
      <c r="C2540" s="9">
        <f>IFERROR(__xludf.DUMMYFUNCTION("""COMPUTED_VALUE"""),1.73)</f>
        <v>1.73</v>
      </c>
      <c r="H2540" s="17"/>
      <c r="K2540" s="17"/>
      <c r="N2540" s="17"/>
    </row>
    <row r="2541">
      <c r="B2541" s="11">
        <f>IFERROR(__xludf.DUMMYFUNCTION("""COMPUTED_VALUE"""),42468.0)</f>
        <v>42468</v>
      </c>
      <c r="C2541" s="9">
        <f>IFERROR(__xludf.DUMMYFUNCTION("""COMPUTED_VALUE"""),1.72)</f>
        <v>1.72</v>
      </c>
      <c r="H2541" s="17"/>
      <c r="K2541" s="17"/>
      <c r="N2541" s="17"/>
    </row>
    <row r="2542">
      <c r="B2542" s="11">
        <f>IFERROR(__xludf.DUMMYFUNCTION("""COMPUTED_VALUE"""),42467.0)</f>
        <v>42467</v>
      </c>
      <c r="C2542" s="9">
        <f>IFERROR(__xludf.DUMMYFUNCTION("""COMPUTED_VALUE"""),1.7)</f>
        <v>1.7</v>
      </c>
      <c r="H2542" s="17"/>
      <c r="K2542" s="17"/>
      <c r="N2542" s="17"/>
    </row>
    <row r="2543">
      <c r="B2543" s="11">
        <f>IFERROR(__xludf.DUMMYFUNCTION("""COMPUTED_VALUE"""),42466.0)</f>
        <v>42466</v>
      </c>
      <c r="C2543" s="9">
        <f>IFERROR(__xludf.DUMMYFUNCTION("""COMPUTED_VALUE"""),1.76)</f>
        <v>1.76</v>
      </c>
      <c r="H2543" s="17"/>
      <c r="K2543" s="17"/>
      <c r="N2543" s="17"/>
    </row>
    <row r="2544">
      <c r="B2544" s="11">
        <f>IFERROR(__xludf.DUMMYFUNCTION("""COMPUTED_VALUE"""),42465.0)</f>
        <v>42465</v>
      </c>
      <c r="C2544" s="9">
        <f>IFERROR(__xludf.DUMMYFUNCTION("""COMPUTED_VALUE"""),1.73)</f>
        <v>1.73</v>
      </c>
      <c r="H2544" s="17"/>
      <c r="K2544" s="17"/>
      <c r="N2544" s="17"/>
    </row>
    <row r="2545">
      <c r="B2545" s="11">
        <f>IFERROR(__xludf.DUMMYFUNCTION("""COMPUTED_VALUE"""),42464.0)</f>
        <v>42464</v>
      </c>
      <c r="C2545" s="9">
        <f>IFERROR(__xludf.DUMMYFUNCTION("""COMPUTED_VALUE"""),1.78)</f>
        <v>1.78</v>
      </c>
      <c r="H2545" s="17"/>
      <c r="K2545" s="17"/>
      <c r="N2545" s="17"/>
    </row>
    <row r="2546">
      <c r="B2546" s="11">
        <f>IFERROR(__xludf.DUMMYFUNCTION("""COMPUTED_VALUE"""),42461.0)</f>
        <v>42461</v>
      </c>
      <c r="C2546" s="9">
        <f>IFERROR(__xludf.DUMMYFUNCTION("""COMPUTED_VALUE"""),1.79)</f>
        <v>1.79</v>
      </c>
      <c r="H2546" s="17"/>
      <c r="K2546" s="17"/>
      <c r="N2546" s="17"/>
    </row>
    <row r="2547">
      <c r="B2547" s="11">
        <f>IFERROR(__xludf.DUMMYFUNCTION("""COMPUTED_VALUE"""),42460.0)</f>
        <v>42460</v>
      </c>
      <c r="C2547" s="9">
        <f>IFERROR(__xludf.DUMMYFUNCTION("""COMPUTED_VALUE"""),1.78)</f>
        <v>1.78</v>
      </c>
      <c r="H2547" s="17"/>
      <c r="K2547" s="17"/>
      <c r="N2547" s="17"/>
    </row>
    <row r="2548">
      <c r="B2548" s="11">
        <f>IFERROR(__xludf.DUMMYFUNCTION("""COMPUTED_VALUE"""),42459.0)</f>
        <v>42459</v>
      </c>
      <c r="C2548" s="9">
        <f>IFERROR(__xludf.DUMMYFUNCTION("""COMPUTED_VALUE"""),1.83)</f>
        <v>1.83</v>
      </c>
      <c r="H2548" s="17"/>
      <c r="K2548" s="17"/>
      <c r="N2548" s="17"/>
    </row>
    <row r="2549">
      <c r="B2549" s="11">
        <f>IFERROR(__xludf.DUMMYFUNCTION("""COMPUTED_VALUE"""),42458.0)</f>
        <v>42458</v>
      </c>
      <c r="C2549" s="9">
        <f>IFERROR(__xludf.DUMMYFUNCTION("""COMPUTED_VALUE"""),1.81)</f>
        <v>1.81</v>
      </c>
      <c r="H2549" s="17"/>
      <c r="K2549" s="17"/>
      <c r="N2549" s="17"/>
    </row>
    <row r="2550">
      <c r="B2550" s="11">
        <f>IFERROR(__xludf.DUMMYFUNCTION("""COMPUTED_VALUE"""),42457.0)</f>
        <v>42457</v>
      </c>
      <c r="C2550" s="9">
        <f>IFERROR(__xludf.DUMMYFUNCTION("""COMPUTED_VALUE"""),1.89)</f>
        <v>1.89</v>
      </c>
      <c r="H2550" s="17"/>
      <c r="K2550" s="17"/>
      <c r="N2550" s="17"/>
    </row>
    <row r="2551">
      <c r="B2551" s="11">
        <f>IFERROR(__xludf.DUMMYFUNCTION("""COMPUTED_VALUE"""),42454.0)</f>
        <v>42454</v>
      </c>
      <c r="C2551" s="9"/>
      <c r="H2551" s="17"/>
      <c r="K2551" s="17"/>
      <c r="N2551" s="17"/>
    </row>
    <row r="2552">
      <c r="B2552" s="11">
        <f>IFERROR(__xludf.DUMMYFUNCTION("""COMPUTED_VALUE"""),42453.0)</f>
        <v>42453</v>
      </c>
      <c r="C2552" s="9">
        <f>IFERROR(__xludf.DUMMYFUNCTION("""COMPUTED_VALUE"""),1.91)</f>
        <v>1.91</v>
      </c>
      <c r="H2552" s="17"/>
      <c r="K2552" s="17"/>
      <c r="N2552" s="17"/>
    </row>
    <row r="2553">
      <c r="B2553" s="11">
        <f>IFERROR(__xludf.DUMMYFUNCTION("""COMPUTED_VALUE"""),42452.0)</f>
        <v>42452</v>
      </c>
      <c r="C2553" s="9">
        <f>IFERROR(__xludf.DUMMYFUNCTION("""COMPUTED_VALUE"""),1.88)</f>
        <v>1.88</v>
      </c>
      <c r="H2553" s="17"/>
      <c r="K2553" s="17"/>
      <c r="N2553" s="17"/>
    </row>
    <row r="2554">
      <c r="B2554" s="11">
        <f>IFERROR(__xludf.DUMMYFUNCTION("""COMPUTED_VALUE"""),42451.0)</f>
        <v>42451</v>
      </c>
      <c r="C2554" s="9">
        <f>IFERROR(__xludf.DUMMYFUNCTION("""COMPUTED_VALUE"""),1.94)</f>
        <v>1.94</v>
      </c>
      <c r="H2554" s="17"/>
      <c r="K2554" s="17"/>
      <c r="N2554" s="17"/>
    </row>
    <row r="2555">
      <c r="B2555" s="11">
        <f>IFERROR(__xludf.DUMMYFUNCTION("""COMPUTED_VALUE"""),42450.0)</f>
        <v>42450</v>
      </c>
      <c r="C2555" s="9">
        <f>IFERROR(__xludf.DUMMYFUNCTION("""COMPUTED_VALUE"""),1.92)</f>
        <v>1.92</v>
      </c>
      <c r="H2555" s="17"/>
      <c r="K2555" s="17"/>
      <c r="N2555" s="17"/>
    </row>
    <row r="2556">
      <c r="B2556" s="11">
        <f>IFERROR(__xludf.DUMMYFUNCTION("""COMPUTED_VALUE"""),42447.0)</f>
        <v>42447</v>
      </c>
      <c r="C2556" s="9">
        <f>IFERROR(__xludf.DUMMYFUNCTION("""COMPUTED_VALUE"""),1.88)</f>
        <v>1.88</v>
      </c>
      <c r="H2556" s="17"/>
      <c r="K2556" s="17"/>
      <c r="N2556" s="17"/>
    </row>
    <row r="2557">
      <c r="B2557" s="11">
        <f>IFERROR(__xludf.DUMMYFUNCTION("""COMPUTED_VALUE"""),42446.0)</f>
        <v>42446</v>
      </c>
      <c r="C2557" s="9">
        <f>IFERROR(__xludf.DUMMYFUNCTION("""COMPUTED_VALUE"""),1.91)</f>
        <v>1.91</v>
      </c>
      <c r="H2557" s="17"/>
      <c r="K2557" s="17"/>
      <c r="N2557" s="17"/>
    </row>
    <row r="2558">
      <c r="B2558" s="11">
        <f>IFERROR(__xludf.DUMMYFUNCTION("""COMPUTED_VALUE"""),42445.0)</f>
        <v>42445</v>
      </c>
      <c r="C2558" s="9">
        <f>IFERROR(__xludf.DUMMYFUNCTION("""COMPUTED_VALUE"""),1.94)</f>
        <v>1.94</v>
      </c>
      <c r="H2558" s="17"/>
      <c r="K2558" s="17"/>
      <c r="N2558" s="17"/>
    </row>
    <row r="2559">
      <c r="B2559" s="11">
        <f>IFERROR(__xludf.DUMMYFUNCTION("""COMPUTED_VALUE"""),42444.0)</f>
        <v>42444</v>
      </c>
      <c r="C2559" s="9">
        <f>IFERROR(__xludf.DUMMYFUNCTION("""COMPUTED_VALUE"""),1.97)</f>
        <v>1.97</v>
      </c>
      <c r="H2559" s="17"/>
      <c r="K2559" s="17"/>
      <c r="N2559" s="17"/>
    </row>
    <row r="2560">
      <c r="B2560" s="11">
        <f>IFERROR(__xludf.DUMMYFUNCTION("""COMPUTED_VALUE"""),42443.0)</f>
        <v>42443</v>
      </c>
      <c r="C2560" s="9">
        <f>IFERROR(__xludf.DUMMYFUNCTION("""COMPUTED_VALUE"""),1.97)</f>
        <v>1.97</v>
      </c>
      <c r="H2560" s="17"/>
      <c r="K2560" s="17"/>
      <c r="N2560" s="17"/>
    </row>
    <row r="2561">
      <c r="B2561" s="11">
        <f>IFERROR(__xludf.DUMMYFUNCTION("""COMPUTED_VALUE"""),42440.0)</f>
        <v>42440</v>
      </c>
      <c r="C2561" s="9">
        <f>IFERROR(__xludf.DUMMYFUNCTION("""COMPUTED_VALUE"""),1.98)</f>
        <v>1.98</v>
      </c>
      <c r="H2561" s="17"/>
      <c r="K2561" s="17"/>
      <c r="N2561" s="17"/>
    </row>
    <row r="2562">
      <c r="B2562" s="11">
        <f>IFERROR(__xludf.DUMMYFUNCTION("""COMPUTED_VALUE"""),42439.0)</f>
        <v>42439</v>
      </c>
      <c r="C2562" s="9">
        <f>IFERROR(__xludf.DUMMYFUNCTION("""COMPUTED_VALUE"""),1.93)</f>
        <v>1.93</v>
      </c>
      <c r="H2562" s="17"/>
      <c r="K2562" s="17"/>
      <c r="N2562" s="17"/>
    </row>
    <row r="2563">
      <c r="B2563" s="11">
        <f>IFERROR(__xludf.DUMMYFUNCTION("""COMPUTED_VALUE"""),42438.0)</f>
        <v>42438</v>
      </c>
      <c r="C2563" s="9">
        <f>IFERROR(__xludf.DUMMYFUNCTION("""COMPUTED_VALUE"""),1.9)</f>
        <v>1.9</v>
      </c>
      <c r="H2563" s="17"/>
      <c r="K2563" s="17"/>
      <c r="N2563" s="17"/>
    </row>
    <row r="2564">
      <c r="B2564" s="11">
        <f>IFERROR(__xludf.DUMMYFUNCTION("""COMPUTED_VALUE"""),42437.0)</f>
        <v>42437</v>
      </c>
      <c r="C2564" s="9">
        <f>IFERROR(__xludf.DUMMYFUNCTION("""COMPUTED_VALUE"""),1.83)</f>
        <v>1.83</v>
      </c>
      <c r="H2564" s="17"/>
      <c r="K2564" s="17"/>
      <c r="N2564" s="17"/>
    </row>
    <row r="2565">
      <c r="B2565" s="11">
        <f>IFERROR(__xludf.DUMMYFUNCTION("""COMPUTED_VALUE"""),42436.0)</f>
        <v>42436</v>
      </c>
      <c r="C2565" s="9">
        <f>IFERROR(__xludf.DUMMYFUNCTION("""COMPUTED_VALUE"""),1.91)</f>
        <v>1.91</v>
      </c>
      <c r="H2565" s="17"/>
      <c r="K2565" s="17"/>
      <c r="N2565" s="17"/>
    </row>
    <row r="2566">
      <c r="B2566" s="11">
        <f>IFERROR(__xludf.DUMMYFUNCTION("""COMPUTED_VALUE"""),42433.0)</f>
        <v>42433</v>
      </c>
      <c r="C2566" s="9">
        <f>IFERROR(__xludf.DUMMYFUNCTION("""COMPUTED_VALUE"""),1.88)</f>
        <v>1.88</v>
      </c>
      <c r="H2566" s="17"/>
      <c r="K2566" s="17"/>
      <c r="N2566" s="17"/>
    </row>
    <row r="2567">
      <c r="B2567" s="11">
        <f>IFERROR(__xludf.DUMMYFUNCTION("""COMPUTED_VALUE"""),42432.0)</f>
        <v>42432</v>
      </c>
      <c r="C2567" s="9">
        <f>IFERROR(__xludf.DUMMYFUNCTION("""COMPUTED_VALUE"""),1.83)</f>
        <v>1.83</v>
      </c>
      <c r="H2567" s="17"/>
      <c r="K2567" s="17"/>
      <c r="N2567" s="17"/>
    </row>
    <row r="2568">
      <c r="B2568" s="11">
        <f>IFERROR(__xludf.DUMMYFUNCTION("""COMPUTED_VALUE"""),42431.0)</f>
        <v>42431</v>
      </c>
      <c r="C2568" s="9">
        <f>IFERROR(__xludf.DUMMYFUNCTION("""COMPUTED_VALUE"""),1.84)</f>
        <v>1.84</v>
      </c>
      <c r="H2568" s="17"/>
      <c r="K2568" s="17"/>
      <c r="N2568" s="17"/>
    </row>
    <row r="2569">
      <c r="B2569" s="11">
        <f>IFERROR(__xludf.DUMMYFUNCTION("""COMPUTED_VALUE"""),42430.0)</f>
        <v>42430</v>
      </c>
      <c r="C2569" s="9">
        <f>IFERROR(__xludf.DUMMYFUNCTION("""COMPUTED_VALUE"""),1.83)</f>
        <v>1.83</v>
      </c>
      <c r="H2569" s="17"/>
      <c r="K2569" s="17"/>
      <c r="N2569" s="17"/>
    </row>
    <row r="2570">
      <c r="B2570" s="11">
        <f>IFERROR(__xludf.DUMMYFUNCTION("""COMPUTED_VALUE"""),42429.0)</f>
        <v>42429</v>
      </c>
      <c r="C2570" s="9">
        <f>IFERROR(__xludf.DUMMYFUNCTION("""COMPUTED_VALUE"""),1.74)</f>
        <v>1.74</v>
      </c>
      <c r="H2570" s="17"/>
      <c r="K2570" s="17"/>
      <c r="N2570" s="17"/>
    </row>
    <row r="2571">
      <c r="B2571" s="11">
        <f>IFERROR(__xludf.DUMMYFUNCTION("""COMPUTED_VALUE"""),42426.0)</f>
        <v>42426</v>
      </c>
      <c r="C2571" s="9">
        <f>IFERROR(__xludf.DUMMYFUNCTION("""COMPUTED_VALUE"""),1.76)</f>
        <v>1.76</v>
      </c>
      <c r="H2571" s="17"/>
      <c r="K2571" s="17"/>
      <c r="N2571" s="17"/>
    </row>
    <row r="2572">
      <c r="B2572" s="11">
        <f>IFERROR(__xludf.DUMMYFUNCTION("""COMPUTED_VALUE"""),42425.0)</f>
        <v>42425</v>
      </c>
      <c r="C2572" s="9">
        <f>IFERROR(__xludf.DUMMYFUNCTION("""COMPUTED_VALUE"""),1.71)</f>
        <v>1.71</v>
      </c>
      <c r="H2572" s="17"/>
      <c r="K2572" s="17"/>
      <c r="N2572" s="17"/>
    </row>
    <row r="2573">
      <c r="B2573" s="11">
        <f>IFERROR(__xludf.DUMMYFUNCTION("""COMPUTED_VALUE"""),42424.0)</f>
        <v>42424</v>
      </c>
      <c r="C2573" s="9">
        <f>IFERROR(__xludf.DUMMYFUNCTION("""COMPUTED_VALUE"""),1.75)</f>
        <v>1.75</v>
      </c>
      <c r="H2573" s="17"/>
      <c r="K2573" s="17"/>
      <c r="N2573" s="17"/>
    </row>
    <row r="2574">
      <c r="B2574" s="11">
        <f>IFERROR(__xludf.DUMMYFUNCTION("""COMPUTED_VALUE"""),42423.0)</f>
        <v>42423</v>
      </c>
      <c r="C2574" s="9">
        <f>IFERROR(__xludf.DUMMYFUNCTION("""COMPUTED_VALUE"""),1.74)</f>
        <v>1.74</v>
      </c>
      <c r="H2574" s="17"/>
      <c r="K2574" s="17"/>
      <c r="N2574" s="17"/>
    </row>
    <row r="2575">
      <c r="B2575" s="11">
        <f>IFERROR(__xludf.DUMMYFUNCTION("""COMPUTED_VALUE"""),42422.0)</f>
        <v>42422</v>
      </c>
      <c r="C2575" s="9">
        <f>IFERROR(__xludf.DUMMYFUNCTION("""COMPUTED_VALUE"""),1.77)</f>
        <v>1.77</v>
      </c>
      <c r="H2575" s="17"/>
      <c r="K2575" s="17"/>
      <c r="N2575" s="17"/>
    </row>
    <row r="2576">
      <c r="B2576" s="11">
        <f>IFERROR(__xludf.DUMMYFUNCTION("""COMPUTED_VALUE"""),42419.0)</f>
        <v>42419</v>
      </c>
      <c r="C2576" s="9">
        <f>IFERROR(__xludf.DUMMYFUNCTION("""COMPUTED_VALUE"""),1.76)</f>
        <v>1.76</v>
      </c>
      <c r="H2576" s="17"/>
      <c r="K2576" s="17"/>
      <c r="N2576" s="17"/>
    </row>
    <row r="2577">
      <c r="B2577" s="11">
        <f>IFERROR(__xludf.DUMMYFUNCTION("""COMPUTED_VALUE"""),42418.0)</f>
        <v>42418</v>
      </c>
      <c r="C2577" s="9">
        <f>IFERROR(__xludf.DUMMYFUNCTION("""COMPUTED_VALUE"""),1.75)</f>
        <v>1.75</v>
      </c>
      <c r="H2577" s="17"/>
      <c r="K2577" s="17"/>
      <c r="N2577" s="17"/>
    </row>
    <row r="2578">
      <c r="B2578" s="11">
        <f>IFERROR(__xludf.DUMMYFUNCTION("""COMPUTED_VALUE"""),42417.0)</f>
        <v>42417</v>
      </c>
      <c r="C2578" s="9">
        <f>IFERROR(__xludf.DUMMYFUNCTION("""COMPUTED_VALUE"""),1.81)</f>
        <v>1.81</v>
      </c>
      <c r="H2578" s="17"/>
      <c r="K2578" s="17"/>
      <c r="N2578" s="17"/>
    </row>
    <row r="2579">
      <c r="B2579" s="11">
        <f>IFERROR(__xludf.DUMMYFUNCTION("""COMPUTED_VALUE"""),42416.0)</f>
        <v>42416</v>
      </c>
      <c r="C2579" s="9">
        <f>IFERROR(__xludf.DUMMYFUNCTION("""COMPUTED_VALUE"""),1.78)</f>
        <v>1.78</v>
      </c>
      <c r="H2579" s="17"/>
      <c r="K2579" s="17"/>
      <c r="N2579" s="17"/>
    </row>
    <row r="2580">
      <c r="B2580" s="11">
        <f>IFERROR(__xludf.DUMMYFUNCTION("""COMPUTED_VALUE"""),42415.0)</f>
        <v>42415</v>
      </c>
      <c r="C2580" s="9"/>
      <c r="H2580" s="17"/>
      <c r="K2580" s="17"/>
      <c r="N2580" s="17"/>
    </row>
    <row r="2581">
      <c r="B2581" s="11">
        <f>IFERROR(__xludf.DUMMYFUNCTION("""COMPUTED_VALUE"""),42412.0)</f>
        <v>42412</v>
      </c>
      <c r="C2581" s="9">
        <f>IFERROR(__xludf.DUMMYFUNCTION("""COMPUTED_VALUE"""),1.74)</f>
        <v>1.74</v>
      </c>
      <c r="H2581" s="17"/>
      <c r="K2581" s="17"/>
      <c r="N2581" s="17"/>
    </row>
    <row r="2582">
      <c r="B2582" s="11">
        <f>IFERROR(__xludf.DUMMYFUNCTION("""COMPUTED_VALUE"""),42411.0)</f>
        <v>42411</v>
      </c>
      <c r="C2582" s="9">
        <f>IFERROR(__xludf.DUMMYFUNCTION("""COMPUTED_VALUE"""),1.63)</f>
        <v>1.63</v>
      </c>
      <c r="H2582" s="17"/>
      <c r="K2582" s="17"/>
      <c r="N2582" s="17"/>
    </row>
    <row r="2583">
      <c r="B2583" s="11">
        <f>IFERROR(__xludf.DUMMYFUNCTION("""COMPUTED_VALUE"""),42410.0)</f>
        <v>42410</v>
      </c>
      <c r="C2583" s="9">
        <f>IFERROR(__xludf.DUMMYFUNCTION("""COMPUTED_VALUE"""),1.71)</f>
        <v>1.71</v>
      </c>
      <c r="H2583" s="17"/>
      <c r="K2583" s="17"/>
      <c r="N2583" s="17"/>
    </row>
    <row r="2584">
      <c r="B2584" s="11">
        <f>IFERROR(__xludf.DUMMYFUNCTION("""COMPUTED_VALUE"""),42409.0)</f>
        <v>42409</v>
      </c>
      <c r="C2584" s="9">
        <f>IFERROR(__xludf.DUMMYFUNCTION("""COMPUTED_VALUE"""),1.74)</f>
        <v>1.74</v>
      </c>
      <c r="H2584" s="17"/>
      <c r="K2584" s="17"/>
      <c r="N2584" s="17"/>
    </row>
    <row r="2585">
      <c r="B2585" s="11">
        <f>IFERROR(__xludf.DUMMYFUNCTION("""COMPUTED_VALUE"""),42408.0)</f>
        <v>42408</v>
      </c>
      <c r="C2585" s="9">
        <f>IFERROR(__xludf.DUMMYFUNCTION("""COMPUTED_VALUE"""),1.75)</f>
        <v>1.75</v>
      </c>
      <c r="H2585" s="17"/>
      <c r="K2585" s="17"/>
      <c r="N2585" s="17"/>
    </row>
    <row r="2586">
      <c r="B2586" s="11">
        <f>IFERROR(__xludf.DUMMYFUNCTION("""COMPUTED_VALUE"""),42405.0)</f>
        <v>42405</v>
      </c>
      <c r="C2586" s="9">
        <f>IFERROR(__xludf.DUMMYFUNCTION("""COMPUTED_VALUE"""),1.86)</f>
        <v>1.86</v>
      </c>
      <c r="H2586" s="17"/>
      <c r="K2586" s="17"/>
      <c r="N2586" s="17"/>
    </row>
    <row r="2587">
      <c r="B2587" s="11">
        <f>IFERROR(__xludf.DUMMYFUNCTION("""COMPUTED_VALUE"""),42404.0)</f>
        <v>42404</v>
      </c>
      <c r="C2587" s="9">
        <f>IFERROR(__xludf.DUMMYFUNCTION("""COMPUTED_VALUE"""),1.87)</f>
        <v>1.87</v>
      </c>
      <c r="H2587" s="17"/>
      <c r="K2587" s="17"/>
      <c r="N2587" s="17"/>
    </row>
    <row r="2588">
      <c r="B2588" s="11">
        <f>IFERROR(__xludf.DUMMYFUNCTION("""COMPUTED_VALUE"""),42403.0)</f>
        <v>42403</v>
      </c>
      <c r="C2588" s="9">
        <f>IFERROR(__xludf.DUMMYFUNCTION("""COMPUTED_VALUE"""),1.88)</f>
        <v>1.88</v>
      </c>
      <c r="H2588" s="17"/>
      <c r="K2588" s="17"/>
      <c r="N2588" s="17"/>
    </row>
    <row r="2589">
      <c r="B2589" s="11">
        <f>IFERROR(__xludf.DUMMYFUNCTION("""COMPUTED_VALUE"""),42402.0)</f>
        <v>42402</v>
      </c>
      <c r="C2589" s="9">
        <f>IFERROR(__xludf.DUMMYFUNCTION("""COMPUTED_VALUE"""),1.87)</f>
        <v>1.87</v>
      </c>
      <c r="H2589" s="17"/>
      <c r="K2589" s="17"/>
      <c r="N2589" s="17"/>
    </row>
    <row r="2590">
      <c r="B2590" s="11">
        <f>IFERROR(__xludf.DUMMYFUNCTION("""COMPUTED_VALUE"""),42401.0)</f>
        <v>42401</v>
      </c>
      <c r="C2590" s="9">
        <f>IFERROR(__xludf.DUMMYFUNCTION("""COMPUTED_VALUE"""),1.97)</f>
        <v>1.97</v>
      </c>
      <c r="H2590" s="17"/>
      <c r="K2590" s="17"/>
      <c r="N2590" s="17"/>
    </row>
    <row r="2591">
      <c r="B2591" s="11">
        <f>IFERROR(__xludf.DUMMYFUNCTION("""COMPUTED_VALUE"""),42398.0)</f>
        <v>42398</v>
      </c>
      <c r="C2591" s="9">
        <f>IFERROR(__xludf.DUMMYFUNCTION("""COMPUTED_VALUE"""),1.94)</f>
        <v>1.94</v>
      </c>
      <c r="H2591" s="17"/>
      <c r="K2591" s="17"/>
      <c r="N2591" s="17"/>
    </row>
    <row r="2592">
      <c r="B2592" s="11">
        <f>IFERROR(__xludf.DUMMYFUNCTION("""COMPUTED_VALUE"""),42397.0)</f>
        <v>42397</v>
      </c>
      <c r="C2592" s="9">
        <f>IFERROR(__xludf.DUMMYFUNCTION("""COMPUTED_VALUE"""),2.0)</f>
        <v>2</v>
      </c>
      <c r="H2592" s="17"/>
      <c r="K2592" s="17"/>
      <c r="N2592" s="17"/>
    </row>
    <row r="2593">
      <c r="B2593" s="11">
        <f>IFERROR(__xludf.DUMMYFUNCTION("""COMPUTED_VALUE"""),42396.0)</f>
        <v>42396</v>
      </c>
      <c r="C2593" s="9">
        <f>IFERROR(__xludf.DUMMYFUNCTION("""COMPUTED_VALUE"""),2.02)</f>
        <v>2.02</v>
      </c>
      <c r="H2593" s="17"/>
      <c r="K2593" s="17"/>
      <c r="N2593" s="17"/>
    </row>
    <row r="2594">
      <c r="B2594" s="11">
        <f>IFERROR(__xludf.DUMMYFUNCTION("""COMPUTED_VALUE"""),42395.0)</f>
        <v>42395</v>
      </c>
      <c r="C2594" s="9">
        <f>IFERROR(__xludf.DUMMYFUNCTION("""COMPUTED_VALUE"""),2.01)</f>
        <v>2.01</v>
      </c>
      <c r="H2594" s="17"/>
      <c r="K2594" s="17"/>
      <c r="N2594" s="17"/>
    </row>
    <row r="2595">
      <c r="B2595" s="11">
        <f>IFERROR(__xludf.DUMMYFUNCTION("""COMPUTED_VALUE"""),42394.0)</f>
        <v>42394</v>
      </c>
      <c r="C2595" s="9">
        <f>IFERROR(__xludf.DUMMYFUNCTION("""COMPUTED_VALUE"""),2.03)</f>
        <v>2.03</v>
      </c>
      <c r="H2595" s="17"/>
      <c r="K2595" s="17"/>
      <c r="N2595" s="17"/>
    </row>
    <row r="2596">
      <c r="B2596" s="11">
        <f>IFERROR(__xludf.DUMMYFUNCTION("""COMPUTED_VALUE"""),42391.0)</f>
        <v>42391</v>
      </c>
      <c r="C2596" s="9">
        <f>IFERROR(__xludf.DUMMYFUNCTION("""COMPUTED_VALUE"""),2.07)</f>
        <v>2.07</v>
      </c>
      <c r="H2596" s="17"/>
      <c r="K2596" s="17"/>
      <c r="N2596" s="17"/>
    </row>
    <row r="2597">
      <c r="B2597" s="11">
        <f>IFERROR(__xludf.DUMMYFUNCTION("""COMPUTED_VALUE"""),42390.0)</f>
        <v>42390</v>
      </c>
      <c r="C2597" s="9">
        <f>IFERROR(__xludf.DUMMYFUNCTION("""COMPUTED_VALUE"""),2.02)</f>
        <v>2.02</v>
      </c>
      <c r="H2597" s="17"/>
      <c r="K2597" s="17"/>
      <c r="N2597" s="17"/>
    </row>
    <row r="2598">
      <c r="B2598" s="11">
        <f>IFERROR(__xludf.DUMMYFUNCTION("""COMPUTED_VALUE"""),42389.0)</f>
        <v>42389</v>
      </c>
      <c r="C2598" s="9">
        <f>IFERROR(__xludf.DUMMYFUNCTION("""COMPUTED_VALUE"""),2.01)</f>
        <v>2.01</v>
      </c>
      <c r="H2598" s="17"/>
      <c r="K2598" s="17"/>
      <c r="N2598" s="17"/>
    </row>
    <row r="2599">
      <c r="B2599" s="11">
        <f>IFERROR(__xludf.DUMMYFUNCTION("""COMPUTED_VALUE"""),42388.0)</f>
        <v>42388</v>
      </c>
      <c r="C2599" s="9">
        <f>IFERROR(__xludf.DUMMYFUNCTION("""COMPUTED_VALUE"""),2.06)</f>
        <v>2.06</v>
      </c>
      <c r="H2599" s="17"/>
      <c r="K2599" s="17"/>
      <c r="N2599" s="17"/>
    </row>
    <row r="2600">
      <c r="B2600" s="11">
        <f>IFERROR(__xludf.DUMMYFUNCTION("""COMPUTED_VALUE"""),42387.0)</f>
        <v>42387</v>
      </c>
      <c r="C2600" s="9"/>
      <c r="H2600" s="17"/>
      <c r="K2600" s="17"/>
      <c r="N2600" s="17"/>
    </row>
    <row r="2601">
      <c r="B2601" s="11">
        <f>IFERROR(__xludf.DUMMYFUNCTION("""COMPUTED_VALUE"""),42384.0)</f>
        <v>42384</v>
      </c>
      <c r="C2601" s="9">
        <f>IFERROR(__xludf.DUMMYFUNCTION("""COMPUTED_VALUE"""),2.03)</f>
        <v>2.03</v>
      </c>
      <c r="H2601" s="17"/>
      <c r="K2601" s="17"/>
      <c r="N2601" s="17"/>
    </row>
    <row r="2602">
      <c r="B2602" s="11">
        <f>IFERROR(__xludf.DUMMYFUNCTION("""COMPUTED_VALUE"""),42383.0)</f>
        <v>42383</v>
      </c>
      <c r="C2602" s="9">
        <f>IFERROR(__xludf.DUMMYFUNCTION("""COMPUTED_VALUE"""),2.1)</f>
        <v>2.1</v>
      </c>
      <c r="H2602" s="17"/>
      <c r="K2602" s="17"/>
      <c r="N2602" s="17"/>
    </row>
    <row r="2603">
      <c r="B2603" s="11">
        <f>IFERROR(__xludf.DUMMYFUNCTION("""COMPUTED_VALUE"""),42382.0)</f>
        <v>42382</v>
      </c>
      <c r="C2603" s="9">
        <f>IFERROR(__xludf.DUMMYFUNCTION("""COMPUTED_VALUE"""),2.08)</f>
        <v>2.08</v>
      </c>
      <c r="H2603" s="17"/>
      <c r="K2603" s="17"/>
      <c r="N2603" s="17"/>
    </row>
    <row r="2604">
      <c r="B2604" s="11">
        <f>IFERROR(__xludf.DUMMYFUNCTION("""COMPUTED_VALUE"""),42381.0)</f>
        <v>42381</v>
      </c>
      <c r="C2604" s="9">
        <f>IFERROR(__xludf.DUMMYFUNCTION("""COMPUTED_VALUE"""),2.12)</f>
        <v>2.12</v>
      </c>
      <c r="H2604" s="17"/>
      <c r="K2604" s="17"/>
      <c r="N2604" s="17"/>
    </row>
    <row r="2605">
      <c r="B2605" s="11">
        <f>IFERROR(__xludf.DUMMYFUNCTION("""COMPUTED_VALUE"""),42380.0)</f>
        <v>42380</v>
      </c>
      <c r="C2605" s="9">
        <f>IFERROR(__xludf.DUMMYFUNCTION("""COMPUTED_VALUE"""),2.17)</f>
        <v>2.17</v>
      </c>
      <c r="H2605" s="17"/>
      <c r="K2605" s="17"/>
      <c r="N2605" s="17"/>
    </row>
    <row r="2606">
      <c r="B2606" s="11">
        <f>IFERROR(__xludf.DUMMYFUNCTION("""COMPUTED_VALUE"""),42377.0)</f>
        <v>42377</v>
      </c>
      <c r="C2606" s="9">
        <f>IFERROR(__xludf.DUMMYFUNCTION("""COMPUTED_VALUE"""),2.13)</f>
        <v>2.13</v>
      </c>
      <c r="H2606" s="17"/>
      <c r="K2606" s="17"/>
      <c r="N2606" s="17"/>
    </row>
    <row r="2607">
      <c r="B2607" s="11">
        <f>IFERROR(__xludf.DUMMYFUNCTION("""COMPUTED_VALUE"""),42376.0)</f>
        <v>42376</v>
      </c>
      <c r="C2607" s="9">
        <f>IFERROR(__xludf.DUMMYFUNCTION("""COMPUTED_VALUE"""),2.16)</f>
        <v>2.16</v>
      </c>
      <c r="H2607" s="17"/>
      <c r="K2607" s="17"/>
      <c r="N2607" s="17"/>
    </row>
    <row r="2608">
      <c r="B2608" s="11">
        <f>IFERROR(__xludf.DUMMYFUNCTION("""COMPUTED_VALUE"""),42375.0)</f>
        <v>42375</v>
      </c>
      <c r="C2608" s="9">
        <f>IFERROR(__xludf.DUMMYFUNCTION("""COMPUTED_VALUE"""),2.18)</f>
        <v>2.18</v>
      </c>
      <c r="H2608" s="17"/>
      <c r="K2608" s="17"/>
      <c r="N2608" s="17"/>
    </row>
    <row r="2609">
      <c r="B2609" s="11">
        <f>IFERROR(__xludf.DUMMYFUNCTION("""COMPUTED_VALUE"""),42374.0)</f>
        <v>42374</v>
      </c>
      <c r="C2609" s="9">
        <f>IFERROR(__xludf.DUMMYFUNCTION("""COMPUTED_VALUE"""),2.25)</f>
        <v>2.25</v>
      </c>
      <c r="H2609" s="17"/>
      <c r="K2609" s="17"/>
      <c r="N2609" s="17"/>
    </row>
    <row r="2610">
      <c r="B2610" s="11">
        <f>IFERROR(__xludf.DUMMYFUNCTION("""COMPUTED_VALUE"""),42373.0)</f>
        <v>42373</v>
      </c>
      <c r="C2610" s="9">
        <f>IFERROR(__xludf.DUMMYFUNCTION("""COMPUTED_VALUE"""),2.24)</f>
        <v>2.24</v>
      </c>
      <c r="H2610" s="17"/>
      <c r="K2610" s="17"/>
      <c r="N2610" s="17"/>
    </row>
    <row r="2611">
      <c r="B2611" s="11">
        <f>IFERROR(__xludf.DUMMYFUNCTION("""COMPUTED_VALUE"""),42370.0)</f>
        <v>42370</v>
      </c>
      <c r="C2611" s="9"/>
      <c r="H2611" s="17"/>
      <c r="K2611" s="17"/>
      <c r="N2611" s="17"/>
    </row>
    <row r="2612">
      <c r="B2612" s="11">
        <f>IFERROR(__xludf.DUMMYFUNCTION("""COMPUTED_VALUE"""),42369.0)</f>
        <v>42369</v>
      </c>
      <c r="C2612" s="9">
        <f>IFERROR(__xludf.DUMMYFUNCTION("""COMPUTED_VALUE"""),2.27)</f>
        <v>2.27</v>
      </c>
      <c r="H2612" s="17"/>
      <c r="K2612" s="17"/>
      <c r="N2612" s="17"/>
    </row>
    <row r="2613">
      <c r="B2613" s="11">
        <f>IFERROR(__xludf.DUMMYFUNCTION("""COMPUTED_VALUE"""),42368.0)</f>
        <v>42368</v>
      </c>
      <c r="C2613" s="9">
        <f>IFERROR(__xludf.DUMMYFUNCTION("""COMPUTED_VALUE"""),2.31)</f>
        <v>2.31</v>
      </c>
      <c r="H2613" s="17"/>
      <c r="K2613" s="17"/>
      <c r="N2613" s="17"/>
    </row>
    <row r="2614">
      <c r="B2614" s="11">
        <f>IFERROR(__xludf.DUMMYFUNCTION("""COMPUTED_VALUE"""),42367.0)</f>
        <v>42367</v>
      </c>
      <c r="C2614" s="9">
        <f>IFERROR(__xludf.DUMMYFUNCTION("""COMPUTED_VALUE"""),2.32)</f>
        <v>2.32</v>
      </c>
      <c r="H2614" s="17"/>
      <c r="K2614" s="17"/>
      <c r="N2614" s="17"/>
    </row>
    <row r="2615">
      <c r="B2615" s="11">
        <f>IFERROR(__xludf.DUMMYFUNCTION("""COMPUTED_VALUE"""),42366.0)</f>
        <v>42366</v>
      </c>
      <c r="C2615" s="9">
        <f>IFERROR(__xludf.DUMMYFUNCTION("""COMPUTED_VALUE"""),2.24)</f>
        <v>2.24</v>
      </c>
      <c r="H2615" s="17"/>
      <c r="K2615" s="17"/>
      <c r="N2615" s="17"/>
    </row>
    <row r="2616">
      <c r="B2616" s="11">
        <f>IFERROR(__xludf.DUMMYFUNCTION("""COMPUTED_VALUE"""),42363.0)</f>
        <v>42363</v>
      </c>
      <c r="C2616" s="9"/>
      <c r="H2616" s="17"/>
      <c r="K2616" s="17"/>
      <c r="N2616" s="17"/>
    </row>
    <row r="2617">
      <c r="B2617" s="11">
        <f>IFERROR(__xludf.DUMMYFUNCTION("""COMPUTED_VALUE"""),42362.0)</f>
        <v>42362</v>
      </c>
      <c r="C2617" s="9">
        <f>IFERROR(__xludf.DUMMYFUNCTION("""COMPUTED_VALUE"""),2.25)</f>
        <v>2.25</v>
      </c>
      <c r="H2617" s="17"/>
      <c r="K2617" s="17"/>
      <c r="N2617" s="17"/>
    </row>
    <row r="2618">
      <c r="B2618" s="11">
        <f>IFERROR(__xludf.DUMMYFUNCTION("""COMPUTED_VALUE"""),42361.0)</f>
        <v>42361</v>
      </c>
      <c r="C2618" s="9">
        <f>IFERROR(__xludf.DUMMYFUNCTION("""COMPUTED_VALUE"""),2.27)</f>
        <v>2.27</v>
      </c>
      <c r="H2618" s="17"/>
      <c r="K2618" s="17"/>
      <c r="N2618" s="17"/>
    </row>
    <row r="2619">
      <c r="B2619" s="11">
        <f>IFERROR(__xludf.DUMMYFUNCTION("""COMPUTED_VALUE"""),42360.0)</f>
        <v>42360</v>
      </c>
      <c r="C2619" s="9">
        <f>IFERROR(__xludf.DUMMYFUNCTION("""COMPUTED_VALUE"""),2.24)</f>
        <v>2.24</v>
      </c>
      <c r="H2619" s="17"/>
      <c r="K2619" s="17"/>
      <c r="N2619" s="17"/>
    </row>
    <row r="2620">
      <c r="B2620" s="11">
        <f>IFERROR(__xludf.DUMMYFUNCTION("""COMPUTED_VALUE"""),42359.0)</f>
        <v>42359</v>
      </c>
      <c r="C2620" s="9">
        <f>IFERROR(__xludf.DUMMYFUNCTION("""COMPUTED_VALUE"""),2.2)</f>
        <v>2.2</v>
      </c>
      <c r="H2620" s="17"/>
      <c r="K2620" s="17"/>
      <c r="N2620" s="17"/>
    </row>
    <row r="2621">
      <c r="B2621" s="11">
        <f>IFERROR(__xludf.DUMMYFUNCTION("""COMPUTED_VALUE"""),42356.0)</f>
        <v>42356</v>
      </c>
      <c r="C2621" s="9">
        <f>IFERROR(__xludf.DUMMYFUNCTION("""COMPUTED_VALUE"""),2.19)</f>
        <v>2.19</v>
      </c>
      <c r="H2621" s="17"/>
      <c r="K2621" s="17"/>
      <c r="N2621" s="17"/>
    </row>
    <row r="2622">
      <c r="B2622" s="11">
        <f>IFERROR(__xludf.DUMMYFUNCTION("""COMPUTED_VALUE"""),42355.0)</f>
        <v>42355</v>
      </c>
      <c r="C2622" s="9">
        <f>IFERROR(__xludf.DUMMYFUNCTION("""COMPUTED_VALUE"""),2.24)</f>
        <v>2.24</v>
      </c>
      <c r="H2622" s="17"/>
      <c r="K2622" s="17"/>
      <c r="N2622" s="17"/>
    </row>
    <row r="2623">
      <c r="B2623" s="11">
        <f>IFERROR(__xludf.DUMMYFUNCTION("""COMPUTED_VALUE"""),42354.0)</f>
        <v>42354</v>
      </c>
      <c r="C2623" s="9">
        <f>IFERROR(__xludf.DUMMYFUNCTION("""COMPUTED_VALUE"""),2.3)</f>
        <v>2.3</v>
      </c>
      <c r="H2623" s="17"/>
      <c r="K2623" s="17"/>
      <c r="N2623" s="17"/>
    </row>
    <row r="2624">
      <c r="B2624" s="11">
        <f>IFERROR(__xludf.DUMMYFUNCTION("""COMPUTED_VALUE"""),42353.0)</f>
        <v>42353</v>
      </c>
      <c r="C2624" s="9">
        <f>IFERROR(__xludf.DUMMYFUNCTION("""COMPUTED_VALUE"""),2.28)</f>
        <v>2.28</v>
      </c>
      <c r="H2624" s="17"/>
      <c r="K2624" s="17"/>
      <c r="N2624" s="17"/>
    </row>
    <row r="2625">
      <c r="B2625" s="11">
        <f>IFERROR(__xludf.DUMMYFUNCTION("""COMPUTED_VALUE"""),42352.0)</f>
        <v>42352</v>
      </c>
      <c r="C2625" s="9">
        <f>IFERROR(__xludf.DUMMYFUNCTION("""COMPUTED_VALUE"""),2.23)</f>
        <v>2.23</v>
      </c>
      <c r="H2625" s="17"/>
      <c r="K2625" s="17"/>
      <c r="N2625" s="17"/>
    </row>
    <row r="2626">
      <c r="B2626" s="11">
        <f>IFERROR(__xludf.DUMMYFUNCTION("""COMPUTED_VALUE"""),42349.0)</f>
        <v>42349</v>
      </c>
      <c r="C2626" s="9">
        <f>IFERROR(__xludf.DUMMYFUNCTION("""COMPUTED_VALUE"""),2.13)</f>
        <v>2.13</v>
      </c>
      <c r="H2626" s="17"/>
      <c r="K2626" s="17"/>
      <c r="N2626" s="17"/>
    </row>
    <row r="2627">
      <c r="B2627" s="11">
        <f>IFERROR(__xludf.DUMMYFUNCTION("""COMPUTED_VALUE"""),42348.0)</f>
        <v>42348</v>
      </c>
      <c r="C2627" s="9">
        <f>IFERROR(__xludf.DUMMYFUNCTION("""COMPUTED_VALUE"""),2.24)</f>
        <v>2.24</v>
      </c>
      <c r="H2627" s="17"/>
      <c r="K2627" s="17"/>
      <c r="N2627" s="17"/>
    </row>
    <row r="2628">
      <c r="B2628" s="11">
        <f>IFERROR(__xludf.DUMMYFUNCTION("""COMPUTED_VALUE"""),42347.0)</f>
        <v>42347</v>
      </c>
      <c r="C2628" s="9">
        <f>IFERROR(__xludf.DUMMYFUNCTION("""COMPUTED_VALUE"""),2.22)</f>
        <v>2.22</v>
      </c>
      <c r="H2628" s="17"/>
      <c r="K2628" s="17"/>
      <c r="N2628" s="17"/>
    </row>
    <row r="2629">
      <c r="B2629" s="11">
        <f>IFERROR(__xludf.DUMMYFUNCTION("""COMPUTED_VALUE"""),42346.0)</f>
        <v>42346</v>
      </c>
      <c r="C2629" s="9">
        <f>IFERROR(__xludf.DUMMYFUNCTION("""COMPUTED_VALUE"""),2.24)</f>
        <v>2.24</v>
      </c>
      <c r="H2629" s="17"/>
      <c r="K2629" s="17"/>
      <c r="N2629" s="17"/>
    </row>
    <row r="2630">
      <c r="B2630" s="11">
        <f>IFERROR(__xludf.DUMMYFUNCTION("""COMPUTED_VALUE"""),42345.0)</f>
        <v>42345</v>
      </c>
      <c r="C2630" s="9">
        <f>IFERROR(__xludf.DUMMYFUNCTION("""COMPUTED_VALUE"""),2.23)</f>
        <v>2.23</v>
      </c>
      <c r="H2630" s="17"/>
      <c r="K2630" s="17"/>
      <c r="N2630" s="17"/>
    </row>
    <row r="2631">
      <c r="B2631" s="11">
        <f>IFERROR(__xludf.DUMMYFUNCTION("""COMPUTED_VALUE"""),42342.0)</f>
        <v>42342</v>
      </c>
      <c r="C2631" s="9">
        <f>IFERROR(__xludf.DUMMYFUNCTION("""COMPUTED_VALUE"""),2.28)</f>
        <v>2.28</v>
      </c>
      <c r="H2631" s="17"/>
      <c r="K2631" s="17"/>
      <c r="N2631" s="17"/>
    </row>
    <row r="2632">
      <c r="B2632" s="11">
        <f>IFERROR(__xludf.DUMMYFUNCTION("""COMPUTED_VALUE"""),42341.0)</f>
        <v>42341</v>
      </c>
      <c r="C2632" s="9">
        <f>IFERROR(__xludf.DUMMYFUNCTION("""COMPUTED_VALUE"""),2.33)</f>
        <v>2.33</v>
      </c>
      <c r="H2632" s="17"/>
      <c r="K2632" s="17"/>
      <c r="N2632" s="17"/>
    </row>
    <row r="2633">
      <c r="B2633" s="11">
        <f>IFERROR(__xludf.DUMMYFUNCTION("""COMPUTED_VALUE"""),42340.0)</f>
        <v>42340</v>
      </c>
      <c r="C2633" s="9">
        <f>IFERROR(__xludf.DUMMYFUNCTION("""COMPUTED_VALUE"""),2.18)</f>
        <v>2.18</v>
      </c>
      <c r="H2633" s="17"/>
      <c r="K2633" s="17"/>
      <c r="N2633" s="17"/>
    </row>
    <row r="2634">
      <c r="B2634" s="11">
        <f>IFERROR(__xludf.DUMMYFUNCTION("""COMPUTED_VALUE"""),42339.0)</f>
        <v>42339</v>
      </c>
      <c r="C2634" s="9">
        <f>IFERROR(__xludf.DUMMYFUNCTION("""COMPUTED_VALUE"""),2.15)</f>
        <v>2.15</v>
      </c>
      <c r="H2634" s="17"/>
      <c r="K2634" s="17"/>
      <c r="N2634" s="17"/>
    </row>
    <row r="2635">
      <c r="B2635" s="11">
        <f>IFERROR(__xludf.DUMMYFUNCTION("""COMPUTED_VALUE"""),42338.0)</f>
        <v>42338</v>
      </c>
      <c r="C2635" s="9">
        <f>IFERROR(__xludf.DUMMYFUNCTION("""COMPUTED_VALUE"""),2.21)</f>
        <v>2.21</v>
      </c>
      <c r="H2635" s="17"/>
      <c r="K2635" s="17"/>
      <c r="N2635" s="17"/>
    </row>
    <row r="2636">
      <c r="B2636" s="11">
        <f>IFERROR(__xludf.DUMMYFUNCTION("""COMPUTED_VALUE"""),42335.0)</f>
        <v>42335</v>
      </c>
      <c r="C2636" s="9">
        <f>IFERROR(__xludf.DUMMYFUNCTION("""COMPUTED_VALUE"""),2.22)</f>
        <v>2.22</v>
      </c>
      <c r="H2636" s="17"/>
      <c r="K2636" s="17"/>
      <c r="N2636" s="17"/>
    </row>
    <row r="2637">
      <c r="B2637" s="11">
        <f>IFERROR(__xludf.DUMMYFUNCTION("""COMPUTED_VALUE"""),42334.0)</f>
        <v>42334</v>
      </c>
      <c r="C2637" s="9"/>
      <c r="H2637" s="17"/>
      <c r="K2637" s="17"/>
      <c r="N2637" s="17"/>
    </row>
    <row r="2638">
      <c r="B2638" s="11">
        <f>IFERROR(__xludf.DUMMYFUNCTION("""COMPUTED_VALUE"""),42333.0)</f>
        <v>42333</v>
      </c>
      <c r="C2638" s="9">
        <f>IFERROR(__xludf.DUMMYFUNCTION("""COMPUTED_VALUE"""),2.23)</f>
        <v>2.23</v>
      </c>
      <c r="H2638" s="17"/>
      <c r="K2638" s="17"/>
      <c r="N2638" s="17"/>
    </row>
    <row r="2639">
      <c r="B2639" s="11">
        <f>IFERROR(__xludf.DUMMYFUNCTION("""COMPUTED_VALUE"""),42332.0)</f>
        <v>42332</v>
      </c>
      <c r="C2639" s="9">
        <f>IFERROR(__xludf.DUMMYFUNCTION("""COMPUTED_VALUE"""),2.24)</f>
        <v>2.24</v>
      </c>
      <c r="H2639" s="17"/>
      <c r="K2639" s="17"/>
      <c r="N2639" s="17"/>
    </row>
    <row r="2640">
      <c r="B2640" s="11">
        <f>IFERROR(__xludf.DUMMYFUNCTION("""COMPUTED_VALUE"""),42331.0)</f>
        <v>42331</v>
      </c>
      <c r="C2640" s="9">
        <f>IFERROR(__xludf.DUMMYFUNCTION("""COMPUTED_VALUE"""),2.25)</f>
        <v>2.25</v>
      </c>
      <c r="H2640" s="17"/>
      <c r="K2640" s="17"/>
      <c r="N2640" s="17"/>
    </row>
    <row r="2641">
      <c r="B2641" s="11">
        <f>IFERROR(__xludf.DUMMYFUNCTION("""COMPUTED_VALUE"""),42328.0)</f>
        <v>42328</v>
      </c>
      <c r="C2641" s="9">
        <f>IFERROR(__xludf.DUMMYFUNCTION("""COMPUTED_VALUE"""),2.26)</f>
        <v>2.26</v>
      </c>
      <c r="H2641" s="17"/>
      <c r="K2641" s="17"/>
      <c r="N2641" s="17"/>
    </row>
    <row r="2642">
      <c r="B2642" s="11">
        <f>IFERROR(__xludf.DUMMYFUNCTION("""COMPUTED_VALUE"""),42327.0)</f>
        <v>42327</v>
      </c>
      <c r="C2642" s="9">
        <f>IFERROR(__xludf.DUMMYFUNCTION("""COMPUTED_VALUE"""),2.24)</f>
        <v>2.24</v>
      </c>
      <c r="H2642" s="17"/>
      <c r="K2642" s="17"/>
      <c r="N2642" s="17"/>
    </row>
    <row r="2643">
      <c r="B2643" s="11">
        <f>IFERROR(__xludf.DUMMYFUNCTION("""COMPUTED_VALUE"""),42326.0)</f>
        <v>42326</v>
      </c>
      <c r="C2643" s="9">
        <f>IFERROR(__xludf.DUMMYFUNCTION("""COMPUTED_VALUE"""),2.27)</f>
        <v>2.27</v>
      </c>
      <c r="H2643" s="17"/>
      <c r="K2643" s="17"/>
      <c r="N2643" s="17"/>
    </row>
    <row r="2644">
      <c r="B2644" s="11">
        <f>IFERROR(__xludf.DUMMYFUNCTION("""COMPUTED_VALUE"""),42325.0)</f>
        <v>42325</v>
      </c>
      <c r="C2644" s="9">
        <f>IFERROR(__xludf.DUMMYFUNCTION("""COMPUTED_VALUE"""),2.25)</f>
        <v>2.25</v>
      </c>
      <c r="H2644" s="17"/>
      <c r="K2644" s="17"/>
      <c r="N2644" s="17"/>
    </row>
    <row r="2645">
      <c r="B2645" s="11">
        <f>IFERROR(__xludf.DUMMYFUNCTION("""COMPUTED_VALUE"""),42324.0)</f>
        <v>42324</v>
      </c>
      <c r="C2645" s="9">
        <f>IFERROR(__xludf.DUMMYFUNCTION("""COMPUTED_VALUE"""),2.27)</f>
        <v>2.27</v>
      </c>
      <c r="H2645" s="17"/>
      <c r="K2645" s="17"/>
      <c r="N2645" s="17"/>
    </row>
    <row r="2646">
      <c r="B2646" s="11">
        <f>IFERROR(__xludf.DUMMYFUNCTION("""COMPUTED_VALUE"""),42321.0)</f>
        <v>42321</v>
      </c>
      <c r="C2646" s="9">
        <f>IFERROR(__xludf.DUMMYFUNCTION("""COMPUTED_VALUE"""),2.28)</f>
        <v>2.28</v>
      </c>
      <c r="H2646" s="17"/>
      <c r="K2646" s="17"/>
      <c r="N2646" s="17"/>
    </row>
    <row r="2647">
      <c r="B2647" s="11">
        <f>IFERROR(__xludf.DUMMYFUNCTION("""COMPUTED_VALUE"""),42320.0)</f>
        <v>42320</v>
      </c>
      <c r="C2647" s="9">
        <f>IFERROR(__xludf.DUMMYFUNCTION("""COMPUTED_VALUE"""),2.32)</f>
        <v>2.32</v>
      </c>
      <c r="H2647" s="17"/>
      <c r="K2647" s="17"/>
      <c r="N2647" s="17"/>
    </row>
    <row r="2648">
      <c r="B2648" s="11">
        <f>IFERROR(__xludf.DUMMYFUNCTION("""COMPUTED_VALUE"""),42319.0)</f>
        <v>42319</v>
      </c>
      <c r="C2648" s="9"/>
      <c r="H2648" s="17"/>
      <c r="K2648" s="17"/>
      <c r="N2648" s="17"/>
    </row>
    <row r="2649">
      <c r="B2649" s="11">
        <f>IFERROR(__xludf.DUMMYFUNCTION("""COMPUTED_VALUE"""),42318.0)</f>
        <v>42318</v>
      </c>
      <c r="C2649" s="9">
        <f>IFERROR(__xludf.DUMMYFUNCTION("""COMPUTED_VALUE"""),2.32)</f>
        <v>2.32</v>
      </c>
      <c r="H2649" s="17"/>
      <c r="K2649" s="17"/>
      <c r="N2649" s="17"/>
    </row>
    <row r="2650">
      <c r="B2650" s="11">
        <f>IFERROR(__xludf.DUMMYFUNCTION("""COMPUTED_VALUE"""),42317.0)</f>
        <v>42317</v>
      </c>
      <c r="C2650" s="9">
        <f>IFERROR(__xludf.DUMMYFUNCTION("""COMPUTED_VALUE"""),2.36)</f>
        <v>2.36</v>
      </c>
      <c r="H2650" s="17"/>
      <c r="K2650" s="17"/>
      <c r="N2650" s="17"/>
    </row>
    <row r="2651">
      <c r="B2651" s="11">
        <f>IFERROR(__xludf.DUMMYFUNCTION("""COMPUTED_VALUE"""),42314.0)</f>
        <v>42314</v>
      </c>
      <c r="C2651" s="9">
        <f>IFERROR(__xludf.DUMMYFUNCTION("""COMPUTED_VALUE"""),2.34)</f>
        <v>2.34</v>
      </c>
      <c r="H2651" s="17"/>
      <c r="K2651" s="17"/>
      <c r="N2651" s="17"/>
    </row>
    <row r="2652">
      <c r="B2652" s="11">
        <f>IFERROR(__xludf.DUMMYFUNCTION("""COMPUTED_VALUE"""),42313.0)</f>
        <v>42313</v>
      </c>
      <c r="C2652" s="9">
        <f>IFERROR(__xludf.DUMMYFUNCTION("""COMPUTED_VALUE"""),2.26)</f>
        <v>2.26</v>
      </c>
      <c r="H2652" s="17"/>
      <c r="K2652" s="17"/>
      <c r="N2652" s="17"/>
    </row>
    <row r="2653">
      <c r="B2653" s="11">
        <f>IFERROR(__xludf.DUMMYFUNCTION("""COMPUTED_VALUE"""),42312.0)</f>
        <v>42312</v>
      </c>
      <c r="C2653" s="9">
        <f>IFERROR(__xludf.DUMMYFUNCTION("""COMPUTED_VALUE"""),2.25)</f>
        <v>2.25</v>
      </c>
      <c r="H2653" s="17"/>
      <c r="K2653" s="17"/>
      <c r="N2653" s="17"/>
    </row>
    <row r="2654">
      <c r="B2654" s="11">
        <f>IFERROR(__xludf.DUMMYFUNCTION("""COMPUTED_VALUE"""),42311.0)</f>
        <v>42311</v>
      </c>
      <c r="C2654" s="9">
        <f>IFERROR(__xludf.DUMMYFUNCTION("""COMPUTED_VALUE"""),2.23)</f>
        <v>2.23</v>
      </c>
      <c r="H2654" s="17"/>
      <c r="K2654" s="17"/>
      <c r="N2654" s="17"/>
    </row>
    <row r="2655">
      <c r="B2655" s="11">
        <f>IFERROR(__xludf.DUMMYFUNCTION("""COMPUTED_VALUE"""),42310.0)</f>
        <v>42310</v>
      </c>
      <c r="C2655" s="9">
        <f>IFERROR(__xludf.DUMMYFUNCTION("""COMPUTED_VALUE"""),2.2)</f>
        <v>2.2</v>
      </c>
      <c r="H2655" s="17"/>
      <c r="K2655" s="17"/>
      <c r="N2655" s="17"/>
    </row>
    <row r="2656">
      <c r="B2656" s="11">
        <f>IFERROR(__xludf.DUMMYFUNCTION("""COMPUTED_VALUE"""),42307.0)</f>
        <v>42307</v>
      </c>
      <c r="C2656" s="9">
        <f>IFERROR(__xludf.DUMMYFUNCTION("""COMPUTED_VALUE"""),2.16)</f>
        <v>2.16</v>
      </c>
      <c r="H2656" s="17"/>
      <c r="K2656" s="17"/>
      <c r="N2656" s="17"/>
    </row>
    <row r="2657">
      <c r="B2657" s="11">
        <f>IFERROR(__xludf.DUMMYFUNCTION("""COMPUTED_VALUE"""),42306.0)</f>
        <v>42306</v>
      </c>
      <c r="C2657" s="9">
        <f>IFERROR(__xludf.DUMMYFUNCTION("""COMPUTED_VALUE"""),2.19)</f>
        <v>2.19</v>
      </c>
      <c r="H2657" s="17"/>
      <c r="K2657" s="17"/>
      <c r="N2657" s="17"/>
    </row>
    <row r="2658">
      <c r="B2658" s="11">
        <f>IFERROR(__xludf.DUMMYFUNCTION("""COMPUTED_VALUE"""),42305.0)</f>
        <v>42305</v>
      </c>
      <c r="C2658" s="9">
        <f>IFERROR(__xludf.DUMMYFUNCTION("""COMPUTED_VALUE"""),2.1)</f>
        <v>2.1</v>
      </c>
      <c r="H2658" s="17"/>
      <c r="K2658" s="17"/>
      <c r="N2658" s="17"/>
    </row>
    <row r="2659">
      <c r="B2659" s="11">
        <f>IFERROR(__xludf.DUMMYFUNCTION("""COMPUTED_VALUE"""),42304.0)</f>
        <v>42304</v>
      </c>
      <c r="C2659" s="9">
        <f>IFERROR(__xludf.DUMMYFUNCTION("""COMPUTED_VALUE"""),2.05)</f>
        <v>2.05</v>
      </c>
      <c r="H2659" s="17"/>
      <c r="K2659" s="17"/>
      <c r="N2659" s="17"/>
    </row>
    <row r="2660">
      <c r="B2660" s="11">
        <f>IFERROR(__xludf.DUMMYFUNCTION("""COMPUTED_VALUE"""),42303.0)</f>
        <v>42303</v>
      </c>
      <c r="C2660" s="9">
        <f>IFERROR(__xludf.DUMMYFUNCTION("""COMPUTED_VALUE"""),2.07)</f>
        <v>2.07</v>
      </c>
      <c r="H2660" s="17"/>
      <c r="K2660" s="17"/>
      <c r="N2660" s="17"/>
    </row>
    <row r="2661">
      <c r="B2661" s="11">
        <f>IFERROR(__xludf.DUMMYFUNCTION("""COMPUTED_VALUE"""),42300.0)</f>
        <v>42300</v>
      </c>
      <c r="C2661" s="9">
        <f>IFERROR(__xludf.DUMMYFUNCTION("""COMPUTED_VALUE"""),2.09)</f>
        <v>2.09</v>
      </c>
      <c r="H2661" s="17"/>
      <c r="K2661" s="17"/>
      <c r="N2661" s="17"/>
    </row>
    <row r="2662">
      <c r="B2662" s="11">
        <f>IFERROR(__xludf.DUMMYFUNCTION("""COMPUTED_VALUE"""),42299.0)</f>
        <v>42299</v>
      </c>
      <c r="C2662" s="9">
        <f>IFERROR(__xludf.DUMMYFUNCTION("""COMPUTED_VALUE"""),2.04)</f>
        <v>2.04</v>
      </c>
      <c r="H2662" s="17"/>
      <c r="K2662" s="17"/>
      <c r="N2662" s="17"/>
    </row>
    <row r="2663">
      <c r="B2663" s="11">
        <f>IFERROR(__xludf.DUMMYFUNCTION("""COMPUTED_VALUE"""),42298.0)</f>
        <v>42298</v>
      </c>
      <c r="C2663" s="9">
        <f>IFERROR(__xludf.DUMMYFUNCTION("""COMPUTED_VALUE"""),2.04)</f>
        <v>2.04</v>
      </c>
      <c r="H2663" s="17"/>
      <c r="K2663" s="17"/>
      <c r="N2663" s="17"/>
    </row>
    <row r="2664">
      <c r="B2664" s="11">
        <f>IFERROR(__xludf.DUMMYFUNCTION("""COMPUTED_VALUE"""),42297.0)</f>
        <v>42297</v>
      </c>
      <c r="C2664" s="9">
        <f>IFERROR(__xludf.DUMMYFUNCTION("""COMPUTED_VALUE"""),2.08)</f>
        <v>2.08</v>
      </c>
      <c r="H2664" s="17"/>
      <c r="K2664" s="17"/>
      <c r="N2664" s="17"/>
    </row>
    <row r="2665">
      <c r="B2665" s="11">
        <f>IFERROR(__xludf.DUMMYFUNCTION("""COMPUTED_VALUE"""),42296.0)</f>
        <v>42296</v>
      </c>
      <c r="C2665" s="9">
        <f>IFERROR(__xludf.DUMMYFUNCTION("""COMPUTED_VALUE"""),2.04)</f>
        <v>2.04</v>
      </c>
      <c r="H2665" s="17"/>
      <c r="K2665" s="17"/>
      <c r="N2665" s="17"/>
    </row>
    <row r="2666">
      <c r="B2666" s="11">
        <f>IFERROR(__xludf.DUMMYFUNCTION("""COMPUTED_VALUE"""),42293.0)</f>
        <v>42293</v>
      </c>
      <c r="C2666" s="9">
        <f>IFERROR(__xludf.DUMMYFUNCTION("""COMPUTED_VALUE"""),2.04)</f>
        <v>2.04</v>
      </c>
      <c r="H2666" s="17"/>
      <c r="K2666" s="17"/>
      <c r="N2666" s="17"/>
    </row>
    <row r="2667">
      <c r="B2667" s="11">
        <f>IFERROR(__xludf.DUMMYFUNCTION("""COMPUTED_VALUE"""),42292.0)</f>
        <v>42292</v>
      </c>
      <c r="C2667" s="9">
        <f>IFERROR(__xludf.DUMMYFUNCTION("""COMPUTED_VALUE"""),2.04)</f>
        <v>2.04</v>
      </c>
      <c r="H2667" s="17"/>
      <c r="K2667" s="17"/>
      <c r="N2667" s="17"/>
    </row>
    <row r="2668">
      <c r="B2668" s="11">
        <f>IFERROR(__xludf.DUMMYFUNCTION("""COMPUTED_VALUE"""),42291.0)</f>
        <v>42291</v>
      </c>
      <c r="C2668" s="9">
        <f>IFERROR(__xludf.DUMMYFUNCTION("""COMPUTED_VALUE"""),1.99)</f>
        <v>1.99</v>
      </c>
      <c r="H2668" s="17"/>
      <c r="K2668" s="17"/>
      <c r="N2668" s="17"/>
    </row>
    <row r="2669">
      <c r="B2669" s="11">
        <f>IFERROR(__xludf.DUMMYFUNCTION("""COMPUTED_VALUE"""),42290.0)</f>
        <v>42290</v>
      </c>
      <c r="C2669" s="9">
        <f>IFERROR(__xludf.DUMMYFUNCTION("""COMPUTED_VALUE"""),2.06)</f>
        <v>2.06</v>
      </c>
      <c r="H2669" s="17"/>
      <c r="K2669" s="17"/>
      <c r="N2669" s="17"/>
    </row>
    <row r="2670">
      <c r="B2670" s="11">
        <f>IFERROR(__xludf.DUMMYFUNCTION("""COMPUTED_VALUE"""),42289.0)</f>
        <v>42289</v>
      </c>
      <c r="C2670" s="9"/>
      <c r="H2670" s="17"/>
      <c r="K2670" s="17"/>
      <c r="N2670" s="17"/>
    </row>
    <row r="2671">
      <c r="B2671" s="11">
        <f>IFERROR(__xludf.DUMMYFUNCTION("""COMPUTED_VALUE"""),42286.0)</f>
        <v>42286</v>
      </c>
      <c r="C2671" s="9">
        <f>IFERROR(__xludf.DUMMYFUNCTION("""COMPUTED_VALUE"""),2.12)</f>
        <v>2.12</v>
      </c>
      <c r="H2671" s="17"/>
      <c r="K2671" s="17"/>
      <c r="N2671" s="17"/>
    </row>
    <row r="2672">
      <c r="B2672" s="11">
        <f>IFERROR(__xludf.DUMMYFUNCTION("""COMPUTED_VALUE"""),42285.0)</f>
        <v>42285</v>
      </c>
      <c r="C2672" s="9">
        <f>IFERROR(__xludf.DUMMYFUNCTION("""COMPUTED_VALUE"""),2.12)</f>
        <v>2.12</v>
      </c>
      <c r="H2672" s="17"/>
      <c r="K2672" s="17"/>
      <c r="N2672" s="17"/>
    </row>
    <row r="2673">
      <c r="B2673" s="11">
        <f>IFERROR(__xludf.DUMMYFUNCTION("""COMPUTED_VALUE"""),42284.0)</f>
        <v>42284</v>
      </c>
      <c r="C2673" s="9">
        <f>IFERROR(__xludf.DUMMYFUNCTION("""COMPUTED_VALUE"""),2.08)</f>
        <v>2.08</v>
      </c>
      <c r="H2673" s="17"/>
      <c r="K2673" s="17"/>
      <c r="N2673" s="17"/>
    </row>
    <row r="2674">
      <c r="B2674" s="11">
        <f>IFERROR(__xludf.DUMMYFUNCTION("""COMPUTED_VALUE"""),42283.0)</f>
        <v>42283</v>
      </c>
      <c r="C2674" s="9">
        <f>IFERROR(__xludf.DUMMYFUNCTION("""COMPUTED_VALUE"""),2.05)</f>
        <v>2.05</v>
      </c>
      <c r="H2674" s="17"/>
      <c r="K2674" s="17"/>
      <c r="N2674" s="17"/>
    </row>
    <row r="2675">
      <c r="B2675" s="11">
        <f>IFERROR(__xludf.DUMMYFUNCTION("""COMPUTED_VALUE"""),42282.0)</f>
        <v>42282</v>
      </c>
      <c r="C2675" s="9">
        <f>IFERROR(__xludf.DUMMYFUNCTION("""COMPUTED_VALUE"""),2.07)</f>
        <v>2.07</v>
      </c>
      <c r="H2675" s="17"/>
      <c r="K2675" s="17"/>
      <c r="N2675" s="17"/>
    </row>
    <row r="2676">
      <c r="B2676" s="11">
        <f>IFERROR(__xludf.DUMMYFUNCTION("""COMPUTED_VALUE"""),42279.0)</f>
        <v>42279</v>
      </c>
      <c r="C2676" s="9">
        <f>IFERROR(__xludf.DUMMYFUNCTION("""COMPUTED_VALUE"""),1.99)</f>
        <v>1.99</v>
      </c>
      <c r="H2676" s="17"/>
      <c r="K2676" s="17"/>
      <c r="N2676" s="17"/>
    </row>
    <row r="2677">
      <c r="B2677" s="11">
        <f>IFERROR(__xludf.DUMMYFUNCTION("""COMPUTED_VALUE"""),42278.0)</f>
        <v>42278</v>
      </c>
      <c r="C2677" s="9">
        <f>IFERROR(__xludf.DUMMYFUNCTION("""COMPUTED_VALUE"""),2.05)</f>
        <v>2.05</v>
      </c>
      <c r="H2677" s="17"/>
      <c r="K2677" s="17"/>
      <c r="N2677" s="17"/>
    </row>
    <row r="2678">
      <c r="B2678" s="11">
        <f>IFERROR(__xludf.DUMMYFUNCTION("""COMPUTED_VALUE"""),42277.0)</f>
        <v>42277</v>
      </c>
      <c r="C2678" s="9">
        <f>IFERROR(__xludf.DUMMYFUNCTION("""COMPUTED_VALUE"""),2.06)</f>
        <v>2.06</v>
      </c>
      <c r="H2678" s="17"/>
      <c r="K2678" s="17"/>
      <c r="N2678" s="17"/>
    </row>
    <row r="2679">
      <c r="B2679" s="11">
        <f>IFERROR(__xludf.DUMMYFUNCTION("""COMPUTED_VALUE"""),42276.0)</f>
        <v>42276</v>
      </c>
      <c r="C2679" s="9">
        <f>IFERROR(__xludf.DUMMYFUNCTION("""COMPUTED_VALUE"""),2.05)</f>
        <v>2.05</v>
      </c>
      <c r="H2679" s="17"/>
      <c r="K2679" s="17"/>
      <c r="N2679" s="17"/>
    </row>
    <row r="2680">
      <c r="B2680" s="11">
        <f>IFERROR(__xludf.DUMMYFUNCTION("""COMPUTED_VALUE"""),42275.0)</f>
        <v>42275</v>
      </c>
      <c r="C2680" s="9">
        <f>IFERROR(__xludf.DUMMYFUNCTION("""COMPUTED_VALUE"""),2.1)</f>
        <v>2.1</v>
      </c>
      <c r="H2680" s="17"/>
      <c r="K2680" s="17"/>
      <c r="N2680" s="17"/>
    </row>
    <row r="2681">
      <c r="B2681" s="11">
        <f>IFERROR(__xludf.DUMMYFUNCTION("""COMPUTED_VALUE"""),42272.0)</f>
        <v>42272</v>
      </c>
      <c r="C2681" s="9">
        <f>IFERROR(__xludf.DUMMYFUNCTION("""COMPUTED_VALUE"""),2.17)</f>
        <v>2.17</v>
      </c>
      <c r="H2681" s="17"/>
      <c r="K2681" s="17"/>
      <c r="N2681" s="17"/>
    </row>
    <row r="2682">
      <c r="B2682" s="11">
        <f>IFERROR(__xludf.DUMMYFUNCTION("""COMPUTED_VALUE"""),42271.0)</f>
        <v>42271</v>
      </c>
      <c r="C2682" s="9">
        <f>IFERROR(__xludf.DUMMYFUNCTION("""COMPUTED_VALUE"""),2.13)</f>
        <v>2.13</v>
      </c>
      <c r="H2682" s="17"/>
      <c r="K2682" s="17"/>
      <c r="N2682" s="17"/>
    </row>
    <row r="2683">
      <c r="B2683" s="11">
        <f>IFERROR(__xludf.DUMMYFUNCTION("""COMPUTED_VALUE"""),42270.0)</f>
        <v>42270</v>
      </c>
      <c r="C2683" s="9">
        <f>IFERROR(__xludf.DUMMYFUNCTION("""COMPUTED_VALUE"""),2.16)</f>
        <v>2.16</v>
      </c>
      <c r="H2683" s="17"/>
      <c r="K2683" s="17"/>
      <c r="N2683" s="17"/>
    </row>
    <row r="2684">
      <c r="B2684" s="11">
        <f>IFERROR(__xludf.DUMMYFUNCTION("""COMPUTED_VALUE"""),42269.0)</f>
        <v>42269</v>
      </c>
      <c r="C2684" s="9">
        <f>IFERROR(__xludf.DUMMYFUNCTION("""COMPUTED_VALUE"""),2.14)</f>
        <v>2.14</v>
      </c>
      <c r="H2684" s="17"/>
      <c r="K2684" s="17"/>
      <c r="N2684" s="17"/>
    </row>
    <row r="2685">
      <c r="B2685" s="11">
        <f>IFERROR(__xludf.DUMMYFUNCTION("""COMPUTED_VALUE"""),42268.0)</f>
        <v>42268</v>
      </c>
      <c r="C2685" s="9">
        <f>IFERROR(__xludf.DUMMYFUNCTION("""COMPUTED_VALUE"""),2.2)</f>
        <v>2.2</v>
      </c>
      <c r="H2685" s="17"/>
      <c r="K2685" s="17"/>
      <c r="N2685" s="17"/>
    </row>
    <row r="2686">
      <c r="B2686" s="11">
        <f>IFERROR(__xludf.DUMMYFUNCTION("""COMPUTED_VALUE"""),42265.0)</f>
        <v>42265</v>
      </c>
      <c r="C2686" s="9">
        <f>IFERROR(__xludf.DUMMYFUNCTION("""COMPUTED_VALUE"""),2.13)</f>
        <v>2.13</v>
      </c>
      <c r="H2686" s="17"/>
      <c r="K2686" s="17"/>
      <c r="N2686" s="17"/>
    </row>
    <row r="2687">
      <c r="B2687" s="11">
        <f>IFERROR(__xludf.DUMMYFUNCTION("""COMPUTED_VALUE"""),42264.0)</f>
        <v>42264</v>
      </c>
      <c r="C2687" s="9">
        <f>IFERROR(__xludf.DUMMYFUNCTION("""COMPUTED_VALUE"""),2.21)</f>
        <v>2.21</v>
      </c>
      <c r="H2687" s="17"/>
      <c r="K2687" s="17"/>
      <c r="N2687" s="17"/>
    </row>
    <row r="2688">
      <c r="B2688" s="11">
        <f>IFERROR(__xludf.DUMMYFUNCTION("""COMPUTED_VALUE"""),42263.0)</f>
        <v>42263</v>
      </c>
      <c r="C2688" s="9">
        <f>IFERROR(__xludf.DUMMYFUNCTION("""COMPUTED_VALUE"""),2.3)</f>
        <v>2.3</v>
      </c>
      <c r="H2688" s="17"/>
      <c r="K2688" s="17"/>
      <c r="N2688" s="17"/>
    </row>
    <row r="2689">
      <c r="B2689" s="11">
        <f>IFERROR(__xludf.DUMMYFUNCTION("""COMPUTED_VALUE"""),42262.0)</f>
        <v>42262</v>
      </c>
      <c r="C2689" s="9">
        <f>IFERROR(__xludf.DUMMYFUNCTION("""COMPUTED_VALUE"""),2.28)</f>
        <v>2.28</v>
      </c>
      <c r="H2689" s="17"/>
      <c r="K2689" s="17"/>
      <c r="N2689" s="17"/>
    </row>
    <row r="2690">
      <c r="B2690" s="11">
        <f>IFERROR(__xludf.DUMMYFUNCTION("""COMPUTED_VALUE"""),42261.0)</f>
        <v>42261</v>
      </c>
      <c r="C2690" s="9">
        <f>IFERROR(__xludf.DUMMYFUNCTION("""COMPUTED_VALUE"""),2.18)</f>
        <v>2.18</v>
      </c>
      <c r="H2690" s="17"/>
      <c r="K2690" s="17"/>
      <c r="N2690" s="17"/>
    </row>
    <row r="2691">
      <c r="B2691" s="11">
        <f>IFERROR(__xludf.DUMMYFUNCTION("""COMPUTED_VALUE"""),42258.0)</f>
        <v>42258</v>
      </c>
      <c r="C2691" s="9">
        <f>IFERROR(__xludf.DUMMYFUNCTION("""COMPUTED_VALUE"""),2.2)</f>
        <v>2.2</v>
      </c>
      <c r="H2691" s="17"/>
      <c r="K2691" s="17"/>
      <c r="N2691" s="17"/>
    </row>
    <row r="2692">
      <c r="B2692" s="11">
        <f>IFERROR(__xludf.DUMMYFUNCTION("""COMPUTED_VALUE"""),42257.0)</f>
        <v>42257</v>
      </c>
      <c r="C2692" s="9">
        <f>IFERROR(__xludf.DUMMYFUNCTION("""COMPUTED_VALUE"""),2.23)</f>
        <v>2.23</v>
      </c>
      <c r="H2692" s="17"/>
      <c r="K2692" s="17"/>
      <c r="N2692" s="17"/>
    </row>
    <row r="2693">
      <c r="B2693" s="11">
        <f>IFERROR(__xludf.DUMMYFUNCTION("""COMPUTED_VALUE"""),42256.0)</f>
        <v>42256</v>
      </c>
      <c r="C2693" s="9">
        <f>IFERROR(__xludf.DUMMYFUNCTION("""COMPUTED_VALUE"""),2.21)</f>
        <v>2.21</v>
      </c>
      <c r="H2693" s="17"/>
      <c r="K2693" s="17"/>
      <c r="N2693" s="17"/>
    </row>
    <row r="2694">
      <c r="B2694" s="11">
        <f>IFERROR(__xludf.DUMMYFUNCTION("""COMPUTED_VALUE"""),42255.0)</f>
        <v>42255</v>
      </c>
      <c r="C2694" s="9">
        <f>IFERROR(__xludf.DUMMYFUNCTION("""COMPUTED_VALUE"""),2.2)</f>
        <v>2.2</v>
      </c>
      <c r="H2694" s="17"/>
      <c r="K2694" s="17"/>
      <c r="N2694" s="17"/>
    </row>
    <row r="2695">
      <c r="B2695" s="11">
        <f>IFERROR(__xludf.DUMMYFUNCTION("""COMPUTED_VALUE"""),42254.0)</f>
        <v>42254</v>
      </c>
      <c r="C2695" s="9"/>
      <c r="H2695" s="17"/>
      <c r="K2695" s="17"/>
      <c r="N2695" s="17"/>
    </row>
    <row r="2696">
      <c r="B2696" s="11">
        <f>IFERROR(__xludf.DUMMYFUNCTION("""COMPUTED_VALUE"""),42251.0)</f>
        <v>42251</v>
      </c>
      <c r="C2696" s="9">
        <f>IFERROR(__xludf.DUMMYFUNCTION("""COMPUTED_VALUE"""),2.13)</f>
        <v>2.13</v>
      </c>
      <c r="H2696" s="17"/>
      <c r="K2696" s="17"/>
      <c r="N2696" s="17"/>
    </row>
    <row r="2697">
      <c r="B2697" s="11">
        <f>IFERROR(__xludf.DUMMYFUNCTION("""COMPUTED_VALUE"""),42250.0)</f>
        <v>42250</v>
      </c>
      <c r="C2697" s="9">
        <f>IFERROR(__xludf.DUMMYFUNCTION("""COMPUTED_VALUE"""),2.18)</f>
        <v>2.18</v>
      </c>
      <c r="H2697" s="17"/>
      <c r="K2697" s="17"/>
      <c r="N2697" s="17"/>
    </row>
    <row r="2698">
      <c r="B2698" s="11">
        <f>IFERROR(__xludf.DUMMYFUNCTION("""COMPUTED_VALUE"""),42249.0)</f>
        <v>42249</v>
      </c>
      <c r="C2698" s="9">
        <f>IFERROR(__xludf.DUMMYFUNCTION("""COMPUTED_VALUE"""),2.2)</f>
        <v>2.2</v>
      </c>
      <c r="H2698" s="17"/>
      <c r="K2698" s="17"/>
      <c r="N2698" s="17"/>
    </row>
    <row r="2699">
      <c r="B2699" s="11">
        <f>IFERROR(__xludf.DUMMYFUNCTION("""COMPUTED_VALUE"""),42248.0)</f>
        <v>42248</v>
      </c>
      <c r="C2699" s="9">
        <f>IFERROR(__xludf.DUMMYFUNCTION("""COMPUTED_VALUE"""),2.17)</f>
        <v>2.17</v>
      </c>
      <c r="H2699" s="17"/>
      <c r="K2699" s="17"/>
      <c r="N2699" s="17"/>
    </row>
    <row r="2700">
      <c r="B2700" s="11">
        <f>IFERROR(__xludf.DUMMYFUNCTION("""COMPUTED_VALUE"""),42247.0)</f>
        <v>42247</v>
      </c>
      <c r="C2700" s="9">
        <f>IFERROR(__xludf.DUMMYFUNCTION("""COMPUTED_VALUE"""),2.21)</f>
        <v>2.21</v>
      </c>
      <c r="H2700" s="17"/>
      <c r="K2700" s="17"/>
      <c r="N2700" s="17"/>
    </row>
    <row r="2701">
      <c r="B2701" s="11">
        <f>IFERROR(__xludf.DUMMYFUNCTION("""COMPUTED_VALUE"""),42244.0)</f>
        <v>42244</v>
      </c>
      <c r="C2701" s="9">
        <f>IFERROR(__xludf.DUMMYFUNCTION("""COMPUTED_VALUE"""),2.19)</f>
        <v>2.19</v>
      </c>
      <c r="H2701" s="17"/>
      <c r="K2701" s="17"/>
      <c r="N2701" s="17"/>
    </row>
    <row r="2702">
      <c r="B2702" s="11">
        <f>IFERROR(__xludf.DUMMYFUNCTION("""COMPUTED_VALUE"""),42243.0)</f>
        <v>42243</v>
      </c>
      <c r="C2702" s="9">
        <f>IFERROR(__xludf.DUMMYFUNCTION("""COMPUTED_VALUE"""),2.18)</f>
        <v>2.18</v>
      </c>
      <c r="H2702" s="17"/>
      <c r="K2702" s="17"/>
      <c r="N2702" s="17"/>
    </row>
    <row r="2703">
      <c r="B2703" s="11">
        <f>IFERROR(__xludf.DUMMYFUNCTION("""COMPUTED_VALUE"""),42242.0)</f>
        <v>42242</v>
      </c>
      <c r="C2703" s="9">
        <f>IFERROR(__xludf.DUMMYFUNCTION("""COMPUTED_VALUE"""),2.18)</f>
        <v>2.18</v>
      </c>
      <c r="H2703" s="17"/>
      <c r="K2703" s="17"/>
      <c r="N2703" s="17"/>
    </row>
    <row r="2704">
      <c r="B2704" s="11">
        <f>IFERROR(__xludf.DUMMYFUNCTION("""COMPUTED_VALUE"""),42241.0)</f>
        <v>42241</v>
      </c>
      <c r="C2704" s="9">
        <f>IFERROR(__xludf.DUMMYFUNCTION("""COMPUTED_VALUE"""),2.12)</f>
        <v>2.12</v>
      </c>
      <c r="H2704" s="17"/>
      <c r="K2704" s="17"/>
      <c r="N2704" s="17"/>
    </row>
    <row r="2705">
      <c r="B2705" s="11">
        <f>IFERROR(__xludf.DUMMYFUNCTION("""COMPUTED_VALUE"""),42240.0)</f>
        <v>42240</v>
      </c>
      <c r="C2705" s="9">
        <f>IFERROR(__xludf.DUMMYFUNCTION("""COMPUTED_VALUE"""),2.01)</f>
        <v>2.01</v>
      </c>
      <c r="H2705" s="17"/>
      <c r="K2705" s="17"/>
      <c r="N2705" s="17"/>
    </row>
    <row r="2706">
      <c r="B2706" s="11">
        <f>IFERROR(__xludf.DUMMYFUNCTION("""COMPUTED_VALUE"""),42237.0)</f>
        <v>42237</v>
      </c>
      <c r="C2706" s="9">
        <f>IFERROR(__xludf.DUMMYFUNCTION("""COMPUTED_VALUE"""),2.05)</f>
        <v>2.05</v>
      </c>
      <c r="H2706" s="17"/>
      <c r="K2706" s="17"/>
      <c r="N2706" s="17"/>
    </row>
    <row r="2707">
      <c r="B2707" s="11">
        <f>IFERROR(__xludf.DUMMYFUNCTION("""COMPUTED_VALUE"""),42236.0)</f>
        <v>42236</v>
      </c>
      <c r="C2707" s="9">
        <f>IFERROR(__xludf.DUMMYFUNCTION("""COMPUTED_VALUE"""),2.09)</f>
        <v>2.09</v>
      </c>
      <c r="H2707" s="17"/>
      <c r="K2707" s="17"/>
      <c r="N2707" s="17"/>
    </row>
    <row r="2708">
      <c r="B2708" s="11">
        <f>IFERROR(__xludf.DUMMYFUNCTION("""COMPUTED_VALUE"""),42235.0)</f>
        <v>42235</v>
      </c>
      <c r="C2708" s="9">
        <f>IFERROR(__xludf.DUMMYFUNCTION("""COMPUTED_VALUE"""),2.12)</f>
        <v>2.12</v>
      </c>
      <c r="H2708" s="17"/>
      <c r="K2708" s="17"/>
      <c r="N2708" s="17"/>
    </row>
    <row r="2709">
      <c r="B2709" s="11">
        <f>IFERROR(__xludf.DUMMYFUNCTION("""COMPUTED_VALUE"""),42234.0)</f>
        <v>42234</v>
      </c>
      <c r="C2709" s="9">
        <f>IFERROR(__xludf.DUMMYFUNCTION("""COMPUTED_VALUE"""),2.2)</f>
        <v>2.2</v>
      </c>
      <c r="H2709" s="17"/>
      <c r="K2709" s="17"/>
      <c r="N2709" s="17"/>
    </row>
    <row r="2710">
      <c r="B2710" s="11">
        <f>IFERROR(__xludf.DUMMYFUNCTION("""COMPUTED_VALUE"""),42233.0)</f>
        <v>42233</v>
      </c>
      <c r="C2710" s="9">
        <f>IFERROR(__xludf.DUMMYFUNCTION("""COMPUTED_VALUE"""),2.16)</f>
        <v>2.16</v>
      </c>
      <c r="H2710" s="17"/>
      <c r="K2710" s="17"/>
      <c r="N2710" s="17"/>
    </row>
    <row r="2711">
      <c r="B2711" s="11">
        <f>IFERROR(__xludf.DUMMYFUNCTION("""COMPUTED_VALUE"""),42230.0)</f>
        <v>42230</v>
      </c>
      <c r="C2711" s="9">
        <f>IFERROR(__xludf.DUMMYFUNCTION("""COMPUTED_VALUE"""),2.2)</f>
        <v>2.2</v>
      </c>
      <c r="H2711" s="17"/>
      <c r="K2711" s="17"/>
      <c r="N2711" s="17"/>
    </row>
    <row r="2712">
      <c r="B2712" s="11">
        <f>IFERROR(__xludf.DUMMYFUNCTION("""COMPUTED_VALUE"""),42229.0)</f>
        <v>42229</v>
      </c>
      <c r="C2712" s="9">
        <f>IFERROR(__xludf.DUMMYFUNCTION("""COMPUTED_VALUE"""),2.19)</f>
        <v>2.19</v>
      </c>
      <c r="H2712" s="17"/>
      <c r="K2712" s="17"/>
      <c r="N2712" s="17"/>
    </row>
    <row r="2713">
      <c r="B2713" s="11">
        <f>IFERROR(__xludf.DUMMYFUNCTION("""COMPUTED_VALUE"""),42228.0)</f>
        <v>42228</v>
      </c>
      <c r="C2713" s="9">
        <f>IFERROR(__xludf.DUMMYFUNCTION("""COMPUTED_VALUE"""),2.14)</f>
        <v>2.14</v>
      </c>
      <c r="H2713" s="17"/>
      <c r="K2713" s="17"/>
      <c r="N2713" s="17"/>
    </row>
    <row r="2714">
      <c r="B2714" s="11">
        <f>IFERROR(__xludf.DUMMYFUNCTION("""COMPUTED_VALUE"""),42227.0)</f>
        <v>42227</v>
      </c>
      <c r="C2714" s="9">
        <f>IFERROR(__xludf.DUMMYFUNCTION("""COMPUTED_VALUE"""),2.15)</f>
        <v>2.15</v>
      </c>
      <c r="H2714" s="17"/>
      <c r="K2714" s="17"/>
      <c r="N2714" s="17"/>
    </row>
    <row r="2715">
      <c r="B2715" s="11">
        <f>IFERROR(__xludf.DUMMYFUNCTION("""COMPUTED_VALUE"""),42226.0)</f>
        <v>42226</v>
      </c>
      <c r="C2715" s="9">
        <f>IFERROR(__xludf.DUMMYFUNCTION("""COMPUTED_VALUE"""),2.24)</f>
        <v>2.24</v>
      </c>
      <c r="H2715" s="17"/>
      <c r="K2715" s="17"/>
      <c r="N2715" s="17"/>
    </row>
    <row r="2716">
      <c r="B2716" s="11">
        <f>IFERROR(__xludf.DUMMYFUNCTION("""COMPUTED_VALUE"""),42223.0)</f>
        <v>42223</v>
      </c>
      <c r="C2716" s="9">
        <f>IFERROR(__xludf.DUMMYFUNCTION("""COMPUTED_VALUE"""),2.18)</f>
        <v>2.18</v>
      </c>
      <c r="H2716" s="17"/>
      <c r="K2716" s="17"/>
      <c r="N2716" s="17"/>
    </row>
    <row r="2717">
      <c r="B2717" s="11">
        <f>IFERROR(__xludf.DUMMYFUNCTION("""COMPUTED_VALUE"""),42222.0)</f>
        <v>42222</v>
      </c>
      <c r="C2717" s="9">
        <f>IFERROR(__xludf.DUMMYFUNCTION("""COMPUTED_VALUE"""),2.23)</f>
        <v>2.23</v>
      </c>
      <c r="H2717" s="17"/>
      <c r="K2717" s="17"/>
      <c r="N2717" s="17"/>
    </row>
    <row r="2718">
      <c r="B2718" s="11">
        <f>IFERROR(__xludf.DUMMYFUNCTION("""COMPUTED_VALUE"""),42221.0)</f>
        <v>42221</v>
      </c>
      <c r="C2718" s="9">
        <f>IFERROR(__xludf.DUMMYFUNCTION("""COMPUTED_VALUE"""),2.28)</f>
        <v>2.28</v>
      </c>
      <c r="H2718" s="17"/>
      <c r="K2718" s="17"/>
      <c r="N2718" s="17"/>
    </row>
    <row r="2719">
      <c r="B2719" s="11">
        <f>IFERROR(__xludf.DUMMYFUNCTION("""COMPUTED_VALUE"""),42220.0)</f>
        <v>42220</v>
      </c>
      <c r="C2719" s="9">
        <f>IFERROR(__xludf.DUMMYFUNCTION("""COMPUTED_VALUE"""),2.23)</f>
        <v>2.23</v>
      </c>
      <c r="H2719" s="17"/>
      <c r="K2719" s="17"/>
      <c r="N2719" s="17"/>
    </row>
    <row r="2720">
      <c r="B2720" s="11">
        <f>IFERROR(__xludf.DUMMYFUNCTION("""COMPUTED_VALUE"""),42219.0)</f>
        <v>42219</v>
      </c>
      <c r="C2720" s="9">
        <f>IFERROR(__xludf.DUMMYFUNCTION("""COMPUTED_VALUE"""),2.16)</f>
        <v>2.16</v>
      </c>
      <c r="H2720" s="17"/>
      <c r="K2720" s="17"/>
      <c r="N2720" s="17"/>
    </row>
    <row r="2721">
      <c r="B2721" s="11">
        <f>IFERROR(__xludf.DUMMYFUNCTION("""COMPUTED_VALUE"""),42216.0)</f>
        <v>42216</v>
      </c>
      <c r="C2721" s="9">
        <f>IFERROR(__xludf.DUMMYFUNCTION("""COMPUTED_VALUE"""),2.2)</f>
        <v>2.2</v>
      </c>
      <c r="H2721" s="17"/>
      <c r="K2721" s="17"/>
      <c r="N2721" s="17"/>
    </row>
    <row r="2722">
      <c r="B2722" s="11">
        <f>IFERROR(__xludf.DUMMYFUNCTION("""COMPUTED_VALUE"""),42215.0)</f>
        <v>42215</v>
      </c>
      <c r="C2722" s="9">
        <f>IFERROR(__xludf.DUMMYFUNCTION("""COMPUTED_VALUE"""),2.28)</f>
        <v>2.28</v>
      </c>
      <c r="H2722" s="17"/>
      <c r="K2722" s="17"/>
      <c r="N2722" s="17"/>
    </row>
    <row r="2723">
      <c r="B2723" s="11">
        <f>IFERROR(__xludf.DUMMYFUNCTION("""COMPUTED_VALUE"""),42214.0)</f>
        <v>42214</v>
      </c>
      <c r="C2723" s="9">
        <f>IFERROR(__xludf.DUMMYFUNCTION("""COMPUTED_VALUE"""),2.29)</f>
        <v>2.29</v>
      </c>
      <c r="H2723" s="17"/>
      <c r="K2723" s="17"/>
      <c r="N2723" s="17"/>
    </row>
    <row r="2724">
      <c r="B2724" s="11">
        <f>IFERROR(__xludf.DUMMYFUNCTION("""COMPUTED_VALUE"""),42213.0)</f>
        <v>42213</v>
      </c>
      <c r="C2724" s="9">
        <f>IFERROR(__xludf.DUMMYFUNCTION("""COMPUTED_VALUE"""),2.26)</f>
        <v>2.26</v>
      </c>
      <c r="H2724" s="17"/>
      <c r="K2724" s="17"/>
      <c r="N2724" s="17"/>
    </row>
    <row r="2725">
      <c r="B2725" s="11">
        <f>IFERROR(__xludf.DUMMYFUNCTION("""COMPUTED_VALUE"""),42212.0)</f>
        <v>42212</v>
      </c>
      <c r="C2725" s="9">
        <f>IFERROR(__xludf.DUMMYFUNCTION("""COMPUTED_VALUE"""),2.23)</f>
        <v>2.23</v>
      </c>
      <c r="H2725" s="17"/>
      <c r="K2725" s="17"/>
      <c r="N2725" s="17"/>
    </row>
    <row r="2726">
      <c r="B2726" s="11">
        <f>IFERROR(__xludf.DUMMYFUNCTION("""COMPUTED_VALUE"""),42209.0)</f>
        <v>42209</v>
      </c>
      <c r="C2726" s="9">
        <f>IFERROR(__xludf.DUMMYFUNCTION("""COMPUTED_VALUE"""),2.27)</f>
        <v>2.27</v>
      </c>
      <c r="H2726" s="17"/>
      <c r="K2726" s="17"/>
      <c r="N2726" s="17"/>
    </row>
    <row r="2727">
      <c r="B2727" s="11">
        <f>IFERROR(__xludf.DUMMYFUNCTION("""COMPUTED_VALUE"""),42208.0)</f>
        <v>42208</v>
      </c>
      <c r="C2727" s="9">
        <f>IFERROR(__xludf.DUMMYFUNCTION("""COMPUTED_VALUE"""),2.28)</f>
        <v>2.28</v>
      </c>
      <c r="H2727" s="17"/>
      <c r="K2727" s="17"/>
      <c r="N2727" s="17"/>
    </row>
    <row r="2728">
      <c r="B2728" s="11">
        <f>IFERROR(__xludf.DUMMYFUNCTION("""COMPUTED_VALUE"""),42207.0)</f>
        <v>42207</v>
      </c>
      <c r="C2728" s="9">
        <f>IFERROR(__xludf.DUMMYFUNCTION("""COMPUTED_VALUE"""),2.33)</f>
        <v>2.33</v>
      </c>
      <c r="H2728" s="17"/>
      <c r="K2728" s="17"/>
      <c r="N2728" s="17"/>
    </row>
    <row r="2729">
      <c r="B2729" s="11">
        <f>IFERROR(__xludf.DUMMYFUNCTION("""COMPUTED_VALUE"""),42206.0)</f>
        <v>42206</v>
      </c>
      <c r="C2729" s="9">
        <f>IFERROR(__xludf.DUMMYFUNCTION("""COMPUTED_VALUE"""),2.35)</f>
        <v>2.35</v>
      </c>
      <c r="H2729" s="17"/>
      <c r="K2729" s="17"/>
      <c r="N2729" s="17"/>
    </row>
    <row r="2730">
      <c r="B2730" s="11">
        <f>IFERROR(__xludf.DUMMYFUNCTION("""COMPUTED_VALUE"""),42205.0)</f>
        <v>42205</v>
      </c>
      <c r="C2730" s="9">
        <f>IFERROR(__xludf.DUMMYFUNCTION("""COMPUTED_VALUE"""),2.38)</f>
        <v>2.38</v>
      </c>
      <c r="H2730" s="17"/>
      <c r="K2730" s="17"/>
      <c r="N2730" s="17"/>
    </row>
    <row r="2731">
      <c r="B2731" s="11">
        <f>IFERROR(__xludf.DUMMYFUNCTION("""COMPUTED_VALUE"""),42202.0)</f>
        <v>42202</v>
      </c>
      <c r="C2731" s="9">
        <f>IFERROR(__xludf.DUMMYFUNCTION("""COMPUTED_VALUE"""),2.34)</f>
        <v>2.34</v>
      </c>
      <c r="H2731" s="17"/>
      <c r="K2731" s="17"/>
      <c r="N2731" s="17"/>
    </row>
    <row r="2732">
      <c r="B2732" s="11">
        <f>IFERROR(__xludf.DUMMYFUNCTION("""COMPUTED_VALUE"""),42201.0)</f>
        <v>42201</v>
      </c>
      <c r="C2732" s="9">
        <f>IFERROR(__xludf.DUMMYFUNCTION("""COMPUTED_VALUE"""),2.36)</f>
        <v>2.36</v>
      </c>
      <c r="H2732" s="17"/>
      <c r="K2732" s="17"/>
      <c r="N2732" s="17"/>
    </row>
    <row r="2733">
      <c r="B2733" s="11">
        <f>IFERROR(__xludf.DUMMYFUNCTION("""COMPUTED_VALUE"""),42200.0)</f>
        <v>42200</v>
      </c>
      <c r="C2733" s="9">
        <f>IFERROR(__xludf.DUMMYFUNCTION("""COMPUTED_VALUE"""),2.36)</f>
        <v>2.36</v>
      </c>
      <c r="H2733" s="17"/>
      <c r="K2733" s="17"/>
      <c r="N2733" s="17"/>
    </row>
    <row r="2734">
      <c r="B2734" s="11">
        <f>IFERROR(__xludf.DUMMYFUNCTION("""COMPUTED_VALUE"""),42199.0)</f>
        <v>42199</v>
      </c>
      <c r="C2734" s="9">
        <f>IFERROR(__xludf.DUMMYFUNCTION("""COMPUTED_VALUE"""),2.41)</f>
        <v>2.41</v>
      </c>
      <c r="H2734" s="17"/>
      <c r="K2734" s="17"/>
      <c r="N2734" s="17"/>
    </row>
    <row r="2735">
      <c r="B2735" s="11">
        <f>IFERROR(__xludf.DUMMYFUNCTION("""COMPUTED_VALUE"""),42198.0)</f>
        <v>42198</v>
      </c>
      <c r="C2735" s="9">
        <f>IFERROR(__xludf.DUMMYFUNCTION("""COMPUTED_VALUE"""),2.44)</f>
        <v>2.44</v>
      </c>
      <c r="H2735" s="17"/>
      <c r="K2735" s="17"/>
      <c r="N2735" s="17"/>
    </row>
    <row r="2736">
      <c r="B2736" s="11">
        <f>IFERROR(__xludf.DUMMYFUNCTION("""COMPUTED_VALUE"""),42195.0)</f>
        <v>42195</v>
      </c>
      <c r="C2736" s="9">
        <f>IFERROR(__xludf.DUMMYFUNCTION("""COMPUTED_VALUE"""),2.42)</f>
        <v>2.42</v>
      </c>
      <c r="H2736" s="17"/>
      <c r="K2736" s="17"/>
      <c r="N2736" s="17"/>
    </row>
    <row r="2737">
      <c r="B2737" s="11">
        <f>IFERROR(__xludf.DUMMYFUNCTION("""COMPUTED_VALUE"""),42194.0)</f>
        <v>42194</v>
      </c>
      <c r="C2737" s="9">
        <f>IFERROR(__xludf.DUMMYFUNCTION("""COMPUTED_VALUE"""),2.32)</f>
        <v>2.32</v>
      </c>
      <c r="H2737" s="17"/>
      <c r="K2737" s="17"/>
      <c r="N2737" s="17"/>
    </row>
    <row r="2738">
      <c r="B2738" s="11">
        <f>IFERROR(__xludf.DUMMYFUNCTION("""COMPUTED_VALUE"""),42193.0)</f>
        <v>42193</v>
      </c>
      <c r="C2738" s="9">
        <f>IFERROR(__xludf.DUMMYFUNCTION("""COMPUTED_VALUE"""),2.22)</f>
        <v>2.22</v>
      </c>
      <c r="H2738" s="17"/>
      <c r="K2738" s="17"/>
      <c r="N2738" s="17"/>
    </row>
    <row r="2739">
      <c r="B2739" s="11">
        <f>IFERROR(__xludf.DUMMYFUNCTION("""COMPUTED_VALUE"""),42192.0)</f>
        <v>42192</v>
      </c>
      <c r="C2739" s="9">
        <f>IFERROR(__xludf.DUMMYFUNCTION("""COMPUTED_VALUE"""),2.27)</f>
        <v>2.27</v>
      </c>
      <c r="H2739" s="17"/>
      <c r="K2739" s="17"/>
      <c r="N2739" s="17"/>
    </row>
    <row r="2740">
      <c r="B2740" s="11">
        <f>IFERROR(__xludf.DUMMYFUNCTION("""COMPUTED_VALUE"""),42191.0)</f>
        <v>42191</v>
      </c>
      <c r="C2740" s="9">
        <f>IFERROR(__xludf.DUMMYFUNCTION("""COMPUTED_VALUE"""),2.3)</f>
        <v>2.3</v>
      </c>
      <c r="H2740" s="17"/>
      <c r="K2740" s="17"/>
      <c r="N2740" s="17"/>
    </row>
    <row r="2741">
      <c r="B2741" s="11">
        <f>IFERROR(__xludf.DUMMYFUNCTION("""COMPUTED_VALUE"""),42188.0)</f>
        <v>42188</v>
      </c>
      <c r="C2741" s="9"/>
      <c r="H2741" s="17"/>
      <c r="K2741" s="17"/>
      <c r="N2741" s="17"/>
    </row>
    <row r="2742">
      <c r="B2742" s="11">
        <f>IFERROR(__xludf.DUMMYFUNCTION("""COMPUTED_VALUE"""),42187.0)</f>
        <v>42187</v>
      </c>
      <c r="C2742" s="9">
        <f>IFERROR(__xludf.DUMMYFUNCTION("""COMPUTED_VALUE"""),2.4)</f>
        <v>2.4</v>
      </c>
      <c r="H2742" s="17"/>
      <c r="K2742" s="17"/>
      <c r="N2742" s="17"/>
    </row>
    <row r="2743">
      <c r="B2743" s="11">
        <f>IFERROR(__xludf.DUMMYFUNCTION("""COMPUTED_VALUE"""),42186.0)</f>
        <v>42186</v>
      </c>
      <c r="C2743" s="9">
        <f>IFERROR(__xludf.DUMMYFUNCTION("""COMPUTED_VALUE"""),2.43)</f>
        <v>2.43</v>
      </c>
      <c r="H2743" s="17"/>
      <c r="K2743" s="17"/>
      <c r="N2743" s="17"/>
    </row>
    <row r="2744">
      <c r="B2744" s="11">
        <f>IFERROR(__xludf.DUMMYFUNCTION("""COMPUTED_VALUE"""),42185.0)</f>
        <v>42185</v>
      </c>
      <c r="C2744" s="9">
        <f>IFERROR(__xludf.DUMMYFUNCTION("""COMPUTED_VALUE"""),2.35)</f>
        <v>2.35</v>
      </c>
      <c r="H2744" s="17"/>
      <c r="K2744" s="17"/>
      <c r="N2744" s="17"/>
    </row>
    <row r="2745">
      <c r="B2745" s="11">
        <f>IFERROR(__xludf.DUMMYFUNCTION("""COMPUTED_VALUE"""),42184.0)</f>
        <v>42184</v>
      </c>
      <c r="C2745" s="9">
        <f>IFERROR(__xludf.DUMMYFUNCTION("""COMPUTED_VALUE"""),2.33)</f>
        <v>2.33</v>
      </c>
      <c r="H2745" s="17"/>
      <c r="K2745" s="17"/>
      <c r="N2745" s="17"/>
    </row>
    <row r="2746">
      <c r="B2746" s="11">
        <f>IFERROR(__xludf.DUMMYFUNCTION("""COMPUTED_VALUE"""),42181.0)</f>
        <v>42181</v>
      </c>
      <c r="C2746" s="9">
        <f>IFERROR(__xludf.DUMMYFUNCTION("""COMPUTED_VALUE"""),2.49)</f>
        <v>2.49</v>
      </c>
      <c r="H2746" s="17"/>
      <c r="K2746" s="17"/>
      <c r="N2746" s="17"/>
    </row>
    <row r="2747">
      <c r="B2747" s="11">
        <f>IFERROR(__xludf.DUMMYFUNCTION("""COMPUTED_VALUE"""),42180.0)</f>
        <v>42180</v>
      </c>
      <c r="C2747" s="9">
        <f>IFERROR(__xludf.DUMMYFUNCTION("""COMPUTED_VALUE"""),2.4)</f>
        <v>2.4</v>
      </c>
      <c r="H2747" s="17"/>
      <c r="K2747" s="17"/>
      <c r="N2747" s="17"/>
    </row>
    <row r="2748">
      <c r="B2748" s="11">
        <f>IFERROR(__xludf.DUMMYFUNCTION("""COMPUTED_VALUE"""),42179.0)</f>
        <v>42179</v>
      </c>
      <c r="C2748" s="9">
        <f>IFERROR(__xludf.DUMMYFUNCTION("""COMPUTED_VALUE"""),2.38)</f>
        <v>2.38</v>
      </c>
      <c r="H2748" s="17"/>
      <c r="K2748" s="17"/>
      <c r="N2748" s="17"/>
    </row>
    <row r="2749">
      <c r="B2749" s="11">
        <f>IFERROR(__xludf.DUMMYFUNCTION("""COMPUTED_VALUE"""),42178.0)</f>
        <v>42178</v>
      </c>
      <c r="C2749" s="9">
        <f>IFERROR(__xludf.DUMMYFUNCTION("""COMPUTED_VALUE"""),2.42)</f>
        <v>2.42</v>
      </c>
      <c r="H2749" s="17"/>
      <c r="K2749" s="17"/>
      <c r="N2749" s="17"/>
    </row>
    <row r="2750">
      <c r="B2750" s="11">
        <f>IFERROR(__xludf.DUMMYFUNCTION("""COMPUTED_VALUE"""),42177.0)</f>
        <v>42177</v>
      </c>
      <c r="C2750" s="9">
        <f>IFERROR(__xludf.DUMMYFUNCTION("""COMPUTED_VALUE"""),2.37)</f>
        <v>2.37</v>
      </c>
      <c r="H2750" s="17"/>
      <c r="K2750" s="17"/>
      <c r="N2750" s="17"/>
    </row>
    <row r="2751">
      <c r="B2751" s="11">
        <f>IFERROR(__xludf.DUMMYFUNCTION("""COMPUTED_VALUE"""),42174.0)</f>
        <v>42174</v>
      </c>
      <c r="C2751" s="9">
        <f>IFERROR(__xludf.DUMMYFUNCTION("""COMPUTED_VALUE"""),2.26)</f>
        <v>2.26</v>
      </c>
      <c r="H2751" s="17"/>
      <c r="K2751" s="17"/>
      <c r="N2751" s="17"/>
    </row>
    <row r="2752">
      <c r="B2752" s="11">
        <f>IFERROR(__xludf.DUMMYFUNCTION("""COMPUTED_VALUE"""),42173.0)</f>
        <v>42173</v>
      </c>
      <c r="C2752" s="9">
        <f>IFERROR(__xludf.DUMMYFUNCTION("""COMPUTED_VALUE"""),2.35)</f>
        <v>2.35</v>
      </c>
      <c r="H2752" s="17"/>
      <c r="K2752" s="17"/>
      <c r="N2752" s="17"/>
    </row>
    <row r="2753">
      <c r="B2753" s="11">
        <f>IFERROR(__xludf.DUMMYFUNCTION("""COMPUTED_VALUE"""),42172.0)</f>
        <v>42172</v>
      </c>
      <c r="C2753" s="9">
        <f>IFERROR(__xludf.DUMMYFUNCTION("""COMPUTED_VALUE"""),2.32)</f>
        <v>2.32</v>
      </c>
      <c r="H2753" s="17"/>
      <c r="K2753" s="17"/>
      <c r="N2753" s="17"/>
    </row>
    <row r="2754">
      <c r="B2754" s="11">
        <f>IFERROR(__xludf.DUMMYFUNCTION("""COMPUTED_VALUE"""),42171.0)</f>
        <v>42171</v>
      </c>
      <c r="C2754" s="9">
        <f>IFERROR(__xludf.DUMMYFUNCTION("""COMPUTED_VALUE"""),2.32)</f>
        <v>2.32</v>
      </c>
      <c r="H2754" s="17"/>
      <c r="K2754" s="17"/>
      <c r="N2754" s="17"/>
    </row>
    <row r="2755">
      <c r="B2755" s="11">
        <f>IFERROR(__xludf.DUMMYFUNCTION("""COMPUTED_VALUE"""),42170.0)</f>
        <v>42170</v>
      </c>
      <c r="C2755" s="9">
        <f>IFERROR(__xludf.DUMMYFUNCTION("""COMPUTED_VALUE"""),2.36)</f>
        <v>2.36</v>
      </c>
      <c r="H2755" s="17"/>
      <c r="K2755" s="17"/>
      <c r="N2755" s="17"/>
    </row>
    <row r="2756">
      <c r="B2756" s="11">
        <f>IFERROR(__xludf.DUMMYFUNCTION("""COMPUTED_VALUE"""),42167.0)</f>
        <v>42167</v>
      </c>
      <c r="C2756" s="9">
        <f>IFERROR(__xludf.DUMMYFUNCTION("""COMPUTED_VALUE"""),2.39)</f>
        <v>2.39</v>
      </c>
      <c r="H2756" s="17"/>
      <c r="K2756" s="17"/>
      <c r="N2756" s="17"/>
    </row>
    <row r="2757">
      <c r="B2757" s="11">
        <f>IFERROR(__xludf.DUMMYFUNCTION("""COMPUTED_VALUE"""),42166.0)</f>
        <v>42166</v>
      </c>
      <c r="C2757" s="9">
        <f>IFERROR(__xludf.DUMMYFUNCTION("""COMPUTED_VALUE"""),2.39)</f>
        <v>2.39</v>
      </c>
      <c r="H2757" s="17"/>
      <c r="K2757" s="17"/>
      <c r="N2757" s="17"/>
    </row>
    <row r="2758">
      <c r="B2758" s="11">
        <f>IFERROR(__xludf.DUMMYFUNCTION("""COMPUTED_VALUE"""),42165.0)</f>
        <v>42165</v>
      </c>
      <c r="C2758" s="9">
        <f>IFERROR(__xludf.DUMMYFUNCTION("""COMPUTED_VALUE"""),2.5)</f>
        <v>2.5</v>
      </c>
      <c r="H2758" s="17"/>
      <c r="K2758" s="17"/>
      <c r="N2758" s="17"/>
    </row>
    <row r="2759">
      <c r="B2759" s="11">
        <f>IFERROR(__xludf.DUMMYFUNCTION("""COMPUTED_VALUE"""),42164.0)</f>
        <v>42164</v>
      </c>
      <c r="C2759" s="9">
        <f>IFERROR(__xludf.DUMMYFUNCTION("""COMPUTED_VALUE"""),2.42)</f>
        <v>2.42</v>
      </c>
      <c r="H2759" s="17"/>
      <c r="K2759" s="17"/>
      <c r="N2759" s="17"/>
    </row>
    <row r="2760">
      <c r="B2760" s="11">
        <f>IFERROR(__xludf.DUMMYFUNCTION("""COMPUTED_VALUE"""),42163.0)</f>
        <v>42163</v>
      </c>
      <c r="C2760" s="9">
        <f>IFERROR(__xludf.DUMMYFUNCTION("""COMPUTED_VALUE"""),2.39)</f>
        <v>2.39</v>
      </c>
      <c r="H2760" s="17"/>
      <c r="K2760" s="17"/>
      <c r="N2760" s="17"/>
    </row>
    <row r="2761">
      <c r="B2761" s="11">
        <f>IFERROR(__xludf.DUMMYFUNCTION("""COMPUTED_VALUE"""),42160.0)</f>
        <v>42160</v>
      </c>
      <c r="C2761" s="9">
        <f>IFERROR(__xludf.DUMMYFUNCTION("""COMPUTED_VALUE"""),2.41)</f>
        <v>2.41</v>
      </c>
      <c r="H2761" s="17"/>
      <c r="K2761" s="17"/>
      <c r="N2761" s="17"/>
    </row>
    <row r="2762">
      <c r="B2762" s="11">
        <f>IFERROR(__xludf.DUMMYFUNCTION("""COMPUTED_VALUE"""),42159.0)</f>
        <v>42159</v>
      </c>
      <c r="C2762" s="9">
        <f>IFERROR(__xludf.DUMMYFUNCTION("""COMPUTED_VALUE"""),2.31)</f>
        <v>2.31</v>
      </c>
      <c r="H2762" s="17"/>
      <c r="K2762" s="17"/>
      <c r="N2762" s="17"/>
    </row>
    <row r="2763">
      <c r="B2763" s="11">
        <f>IFERROR(__xludf.DUMMYFUNCTION("""COMPUTED_VALUE"""),42158.0)</f>
        <v>42158</v>
      </c>
      <c r="C2763" s="9">
        <f>IFERROR(__xludf.DUMMYFUNCTION("""COMPUTED_VALUE"""),2.38)</f>
        <v>2.38</v>
      </c>
      <c r="H2763" s="17"/>
      <c r="K2763" s="17"/>
      <c r="N2763" s="17"/>
    </row>
    <row r="2764">
      <c r="B2764" s="11">
        <f>IFERROR(__xludf.DUMMYFUNCTION("""COMPUTED_VALUE"""),42157.0)</f>
        <v>42157</v>
      </c>
      <c r="C2764" s="9">
        <f>IFERROR(__xludf.DUMMYFUNCTION("""COMPUTED_VALUE"""),2.27)</f>
        <v>2.27</v>
      </c>
      <c r="H2764" s="17"/>
      <c r="K2764" s="17"/>
      <c r="N2764" s="17"/>
    </row>
    <row r="2765">
      <c r="B2765" s="11">
        <f>IFERROR(__xludf.DUMMYFUNCTION("""COMPUTED_VALUE"""),42156.0)</f>
        <v>42156</v>
      </c>
      <c r="C2765" s="9">
        <f>IFERROR(__xludf.DUMMYFUNCTION("""COMPUTED_VALUE"""),2.19)</f>
        <v>2.19</v>
      </c>
      <c r="H2765" s="17"/>
      <c r="K2765" s="17"/>
      <c r="N2765" s="17"/>
    </row>
    <row r="2766">
      <c r="B2766" s="11">
        <f>IFERROR(__xludf.DUMMYFUNCTION("""COMPUTED_VALUE"""),42153.0)</f>
        <v>42153</v>
      </c>
      <c r="C2766" s="9">
        <f>IFERROR(__xludf.DUMMYFUNCTION("""COMPUTED_VALUE"""),2.12)</f>
        <v>2.12</v>
      </c>
      <c r="H2766" s="17"/>
      <c r="K2766" s="17"/>
      <c r="N2766" s="17"/>
    </row>
    <row r="2767">
      <c r="B2767" s="11">
        <f>IFERROR(__xludf.DUMMYFUNCTION("""COMPUTED_VALUE"""),42152.0)</f>
        <v>42152</v>
      </c>
      <c r="C2767" s="9">
        <f>IFERROR(__xludf.DUMMYFUNCTION("""COMPUTED_VALUE"""),2.13)</f>
        <v>2.13</v>
      </c>
      <c r="H2767" s="17"/>
      <c r="K2767" s="17"/>
      <c r="N2767" s="17"/>
    </row>
    <row r="2768">
      <c r="B2768" s="11">
        <f>IFERROR(__xludf.DUMMYFUNCTION("""COMPUTED_VALUE"""),42151.0)</f>
        <v>42151</v>
      </c>
      <c r="C2768" s="9">
        <f>IFERROR(__xludf.DUMMYFUNCTION("""COMPUTED_VALUE"""),2.14)</f>
        <v>2.14</v>
      </c>
      <c r="H2768" s="17"/>
      <c r="K2768" s="17"/>
      <c r="N2768" s="17"/>
    </row>
    <row r="2769">
      <c r="B2769" s="11">
        <f>IFERROR(__xludf.DUMMYFUNCTION("""COMPUTED_VALUE"""),42150.0)</f>
        <v>42150</v>
      </c>
      <c r="C2769" s="9">
        <f>IFERROR(__xludf.DUMMYFUNCTION("""COMPUTED_VALUE"""),2.14)</f>
        <v>2.14</v>
      </c>
      <c r="H2769" s="17"/>
      <c r="K2769" s="17"/>
      <c r="N2769" s="17"/>
    </row>
    <row r="2770">
      <c r="B2770" s="11">
        <f>IFERROR(__xludf.DUMMYFUNCTION("""COMPUTED_VALUE"""),42149.0)</f>
        <v>42149</v>
      </c>
      <c r="C2770" s="9"/>
      <c r="H2770" s="17"/>
      <c r="K2770" s="17"/>
      <c r="N2770" s="17"/>
    </row>
    <row r="2771">
      <c r="B2771" s="11">
        <f>IFERROR(__xludf.DUMMYFUNCTION("""COMPUTED_VALUE"""),42146.0)</f>
        <v>42146</v>
      </c>
      <c r="C2771" s="9">
        <f>IFERROR(__xludf.DUMMYFUNCTION("""COMPUTED_VALUE"""),2.21)</f>
        <v>2.21</v>
      </c>
      <c r="H2771" s="17"/>
      <c r="K2771" s="17"/>
      <c r="N2771" s="17"/>
    </row>
    <row r="2772">
      <c r="B2772" s="11">
        <f>IFERROR(__xludf.DUMMYFUNCTION("""COMPUTED_VALUE"""),42145.0)</f>
        <v>42145</v>
      </c>
      <c r="C2772" s="9">
        <f>IFERROR(__xludf.DUMMYFUNCTION("""COMPUTED_VALUE"""),2.19)</f>
        <v>2.19</v>
      </c>
      <c r="H2772" s="17"/>
      <c r="K2772" s="17"/>
      <c r="N2772" s="17"/>
    </row>
    <row r="2773">
      <c r="B2773" s="11">
        <f>IFERROR(__xludf.DUMMYFUNCTION("""COMPUTED_VALUE"""),42144.0)</f>
        <v>42144</v>
      </c>
      <c r="C2773" s="9">
        <f>IFERROR(__xludf.DUMMYFUNCTION("""COMPUTED_VALUE"""),2.26)</f>
        <v>2.26</v>
      </c>
      <c r="H2773" s="17"/>
      <c r="K2773" s="17"/>
      <c r="N2773" s="17"/>
    </row>
    <row r="2774">
      <c r="B2774" s="11">
        <f>IFERROR(__xludf.DUMMYFUNCTION("""COMPUTED_VALUE"""),42143.0)</f>
        <v>42143</v>
      </c>
      <c r="C2774" s="9">
        <f>IFERROR(__xludf.DUMMYFUNCTION("""COMPUTED_VALUE"""),2.27)</f>
        <v>2.27</v>
      </c>
      <c r="H2774" s="17"/>
      <c r="K2774" s="17"/>
      <c r="N2774" s="17"/>
    </row>
    <row r="2775">
      <c r="B2775" s="11">
        <f>IFERROR(__xludf.DUMMYFUNCTION("""COMPUTED_VALUE"""),42142.0)</f>
        <v>42142</v>
      </c>
      <c r="C2775" s="9">
        <f>IFERROR(__xludf.DUMMYFUNCTION("""COMPUTED_VALUE"""),2.23)</f>
        <v>2.23</v>
      </c>
      <c r="H2775" s="17"/>
      <c r="K2775" s="17"/>
      <c r="N2775" s="17"/>
    </row>
    <row r="2776">
      <c r="B2776" s="11">
        <f>IFERROR(__xludf.DUMMYFUNCTION("""COMPUTED_VALUE"""),42139.0)</f>
        <v>42139</v>
      </c>
      <c r="C2776" s="9">
        <f>IFERROR(__xludf.DUMMYFUNCTION("""COMPUTED_VALUE"""),2.14)</f>
        <v>2.14</v>
      </c>
      <c r="H2776" s="17"/>
      <c r="K2776" s="17"/>
      <c r="N2776" s="17"/>
    </row>
    <row r="2777">
      <c r="B2777" s="11">
        <f>IFERROR(__xludf.DUMMYFUNCTION("""COMPUTED_VALUE"""),42138.0)</f>
        <v>42138</v>
      </c>
      <c r="C2777" s="9">
        <f>IFERROR(__xludf.DUMMYFUNCTION("""COMPUTED_VALUE"""),2.23)</f>
        <v>2.23</v>
      </c>
      <c r="H2777" s="17"/>
      <c r="K2777" s="17"/>
      <c r="N2777" s="17"/>
    </row>
    <row r="2778">
      <c r="B2778" s="11">
        <f>IFERROR(__xludf.DUMMYFUNCTION("""COMPUTED_VALUE"""),42137.0)</f>
        <v>42137</v>
      </c>
      <c r="C2778" s="9">
        <f>IFERROR(__xludf.DUMMYFUNCTION("""COMPUTED_VALUE"""),2.27)</f>
        <v>2.27</v>
      </c>
      <c r="H2778" s="17"/>
      <c r="K2778" s="17"/>
      <c r="N2778" s="17"/>
    </row>
    <row r="2779">
      <c r="B2779" s="11">
        <f>IFERROR(__xludf.DUMMYFUNCTION("""COMPUTED_VALUE"""),42136.0)</f>
        <v>42136</v>
      </c>
      <c r="C2779" s="9">
        <f>IFERROR(__xludf.DUMMYFUNCTION("""COMPUTED_VALUE"""),2.28)</f>
        <v>2.28</v>
      </c>
      <c r="H2779" s="17"/>
      <c r="K2779" s="17"/>
      <c r="N2779" s="17"/>
    </row>
    <row r="2780">
      <c r="B2780" s="11">
        <f>IFERROR(__xludf.DUMMYFUNCTION("""COMPUTED_VALUE"""),42135.0)</f>
        <v>42135</v>
      </c>
      <c r="C2780" s="9">
        <f>IFERROR(__xludf.DUMMYFUNCTION("""COMPUTED_VALUE"""),2.28)</f>
        <v>2.28</v>
      </c>
      <c r="H2780" s="17"/>
      <c r="K2780" s="17"/>
      <c r="N2780" s="17"/>
    </row>
    <row r="2781">
      <c r="B2781" s="11">
        <f>IFERROR(__xludf.DUMMYFUNCTION("""COMPUTED_VALUE"""),42132.0)</f>
        <v>42132</v>
      </c>
      <c r="C2781" s="9">
        <f>IFERROR(__xludf.DUMMYFUNCTION("""COMPUTED_VALUE"""),2.16)</f>
        <v>2.16</v>
      </c>
      <c r="H2781" s="17"/>
      <c r="K2781" s="17"/>
      <c r="N2781" s="17"/>
    </row>
    <row r="2782">
      <c r="B2782" s="11">
        <f>IFERROR(__xludf.DUMMYFUNCTION("""COMPUTED_VALUE"""),42131.0)</f>
        <v>42131</v>
      </c>
      <c r="C2782" s="9">
        <f>IFERROR(__xludf.DUMMYFUNCTION("""COMPUTED_VALUE"""),2.18)</f>
        <v>2.18</v>
      </c>
      <c r="H2782" s="17"/>
      <c r="K2782" s="17"/>
      <c r="N2782" s="17"/>
    </row>
    <row r="2783">
      <c r="B2783" s="11">
        <f>IFERROR(__xludf.DUMMYFUNCTION("""COMPUTED_VALUE"""),42130.0)</f>
        <v>42130</v>
      </c>
      <c r="C2783" s="9">
        <f>IFERROR(__xludf.DUMMYFUNCTION("""COMPUTED_VALUE"""),2.25)</f>
        <v>2.25</v>
      </c>
      <c r="H2783" s="17"/>
      <c r="K2783" s="17"/>
      <c r="N2783" s="17"/>
    </row>
    <row r="2784">
      <c r="B2784" s="11">
        <f>IFERROR(__xludf.DUMMYFUNCTION("""COMPUTED_VALUE"""),42129.0)</f>
        <v>42129</v>
      </c>
      <c r="C2784" s="9">
        <f>IFERROR(__xludf.DUMMYFUNCTION("""COMPUTED_VALUE"""),2.19)</f>
        <v>2.19</v>
      </c>
      <c r="H2784" s="17"/>
      <c r="K2784" s="17"/>
      <c r="N2784" s="17"/>
    </row>
    <row r="2785">
      <c r="B2785" s="11">
        <f>IFERROR(__xludf.DUMMYFUNCTION("""COMPUTED_VALUE"""),42128.0)</f>
        <v>42128</v>
      </c>
      <c r="C2785" s="9">
        <f>IFERROR(__xludf.DUMMYFUNCTION("""COMPUTED_VALUE"""),2.16)</f>
        <v>2.16</v>
      </c>
      <c r="H2785" s="17"/>
      <c r="K2785" s="17"/>
      <c r="N2785" s="17"/>
    </row>
    <row r="2786">
      <c r="B2786" s="11">
        <f>IFERROR(__xludf.DUMMYFUNCTION("""COMPUTED_VALUE"""),42125.0)</f>
        <v>42125</v>
      </c>
      <c r="C2786" s="9">
        <f>IFERROR(__xludf.DUMMYFUNCTION("""COMPUTED_VALUE"""),2.12)</f>
        <v>2.12</v>
      </c>
      <c r="H2786" s="17"/>
      <c r="K2786" s="17"/>
      <c r="N2786" s="17"/>
    </row>
    <row r="2787">
      <c r="B2787" s="11">
        <f>IFERROR(__xludf.DUMMYFUNCTION("""COMPUTED_VALUE"""),42124.0)</f>
        <v>42124</v>
      </c>
      <c r="C2787" s="9">
        <f>IFERROR(__xludf.DUMMYFUNCTION("""COMPUTED_VALUE"""),2.05)</f>
        <v>2.05</v>
      </c>
      <c r="H2787" s="17"/>
      <c r="K2787" s="17"/>
      <c r="N2787" s="17"/>
    </row>
    <row r="2788">
      <c r="B2788" s="11">
        <f>IFERROR(__xludf.DUMMYFUNCTION("""COMPUTED_VALUE"""),42123.0)</f>
        <v>42123</v>
      </c>
      <c r="C2788" s="9">
        <f>IFERROR(__xludf.DUMMYFUNCTION("""COMPUTED_VALUE"""),2.06)</f>
        <v>2.06</v>
      </c>
      <c r="H2788" s="17"/>
      <c r="K2788" s="17"/>
      <c r="N2788" s="17"/>
    </row>
    <row r="2789">
      <c r="B2789" s="11">
        <f>IFERROR(__xludf.DUMMYFUNCTION("""COMPUTED_VALUE"""),42122.0)</f>
        <v>42122</v>
      </c>
      <c r="C2789" s="9">
        <f>IFERROR(__xludf.DUMMYFUNCTION("""COMPUTED_VALUE"""),2.0)</f>
        <v>2</v>
      </c>
      <c r="H2789" s="17"/>
      <c r="K2789" s="17"/>
      <c r="N2789" s="17"/>
    </row>
    <row r="2790">
      <c r="B2790" s="11">
        <f>IFERROR(__xludf.DUMMYFUNCTION("""COMPUTED_VALUE"""),42121.0)</f>
        <v>42121</v>
      </c>
      <c r="C2790" s="9">
        <f>IFERROR(__xludf.DUMMYFUNCTION("""COMPUTED_VALUE"""),1.94)</f>
        <v>1.94</v>
      </c>
      <c r="H2790" s="17"/>
      <c r="K2790" s="17"/>
      <c r="N2790" s="17"/>
    </row>
    <row r="2791">
      <c r="B2791" s="11">
        <f>IFERROR(__xludf.DUMMYFUNCTION("""COMPUTED_VALUE"""),42118.0)</f>
        <v>42118</v>
      </c>
      <c r="C2791" s="9">
        <f>IFERROR(__xludf.DUMMYFUNCTION("""COMPUTED_VALUE"""),1.93)</f>
        <v>1.93</v>
      </c>
      <c r="H2791" s="17"/>
      <c r="K2791" s="17"/>
      <c r="N2791" s="17"/>
    </row>
    <row r="2792">
      <c r="B2792" s="11">
        <f>IFERROR(__xludf.DUMMYFUNCTION("""COMPUTED_VALUE"""),42117.0)</f>
        <v>42117</v>
      </c>
      <c r="C2792" s="9">
        <f>IFERROR(__xludf.DUMMYFUNCTION("""COMPUTED_VALUE"""),1.96)</f>
        <v>1.96</v>
      </c>
      <c r="H2792" s="17"/>
      <c r="K2792" s="17"/>
      <c r="N2792" s="17"/>
    </row>
    <row r="2793">
      <c r="B2793" s="11">
        <f>IFERROR(__xludf.DUMMYFUNCTION("""COMPUTED_VALUE"""),42116.0)</f>
        <v>42116</v>
      </c>
      <c r="C2793" s="9">
        <f>IFERROR(__xludf.DUMMYFUNCTION("""COMPUTED_VALUE"""),1.99)</f>
        <v>1.99</v>
      </c>
      <c r="H2793" s="17"/>
      <c r="K2793" s="17"/>
      <c r="N2793" s="17"/>
    </row>
    <row r="2794">
      <c r="B2794" s="11">
        <f>IFERROR(__xludf.DUMMYFUNCTION("""COMPUTED_VALUE"""),42115.0)</f>
        <v>42115</v>
      </c>
      <c r="C2794" s="9">
        <f>IFERROR(__xludf.DUMMYFUNCTION("""COMPUTED_VALUE"""),1.92)</f>
        <v>1.92</v>
      </c>
      <c r="H2794" s="17"/>
      <c r="K2794" s="17"/>
      <c r="N2794" s="17"/>
    </row>
    <row r="2795">
      <c r="B2795" s="11">
        <f>IFERROR(__xludf.DUMMYFUNCTION("""COMPUTED_VALUE"""),42114.0)</f>
        <v>42114</v>
      </c>
      <c r="C2795" s="9">
        <f>IFERROR(__xludf.DUMMYFUNCTION("""COMPUTED_VALUE"""),1.9)</f>
        <v>1.9</v>
      </c>
      <c r="H2795" s="17"/>
      <c r="K2795" s="17"/>
      <c r="N2795" s="17"/>
    </row>
    <row r="2796">
      <c r="B2796" s="11">
        <f>IFERROR(__xludf.DUMMYFUNCTION("""COMPUTED_VALUE"""),42111.0)</f>
        <v>42111</v>
      </c>
      <c r="C2796" s="9">
        <f>IFERROR(__xludf.DUMMYFUNCTION("""COMPUTED_VALUE"""),1.87)</f>
        <v>1.87</v>
      </c>
      <c r="H2796" s="17"/>
      <c r="K2796" s="17"/>
      <c r="N2796" s="17"/>
    </row>
    <row r="2797">
      <c r="B2797" s="11">
        <f>IFERROR(__xludf.DUMMYFUNCTION("""COMPUTED_VALUE"""),42110.0)</f>
        <v>42110</v>
      </c>
      <c r="C2797" s="9">
        <f>IFERROR(__xludf.DUMMYFUNCTION("""COMPUTED_VALUE"""),1.9)</f>
        <v>1.9</v>
      </c>
      <c r="H2797" s="17"/>
      <c r="K2797" s="17"/>
      <c r="N2797" s="17"/>
    </row>
    <row r="2798">
      <c r="B2798" s="11">
        <f>IFERROR(__xludf.DUMMYFUNCTION("""COMPUTED_VALUE"""),42109.0)</f>
        <v>42109</v>
      </c>
      <c r="C2798" s="9">
        <f>IFERROR(__xludf.DUMMYFUNCTION("""COMPUTED_VALUE"""),1.91)</f>
        <v>1.91</v>
      </c>
      <c r="H2798" s="17"/>
      <c r="K2798" s="17"/>
      <c r="N2798" s="17"/>
    </row>
    <row r="2799">
      <c r="B2799" s="11">
        <f>IFERROR(__xludf.DUMMYFUNCTION("""COMPUTED_VALUE"""),42108.0)</f>
        <v>42108</v>
      </c>
      <c r="C2799" s="9">
        <f>IFERROR(__xludf.DUMMYFUNCTION("""COMPUTED_VALUE"""),1.9)</f>
        <v>1.9</v>
      </c>
      <c r="H2799" s="17"/>
      <c r="K2799" s="17"/>
      <c r="N2799" s="17"/>
    </row>
    <row r="2800">
      <c r="B2800" s="11">
        <f>IFERROR(__xludf.DUMMYFUNCTION("""COMPUTED_VALUE"""),42107.0)</f>
        <v>42107</v>
      </c>
      <c r="C2800" s="9">
        <f>IFERROR(__xludf.DUMMYFUNCTION("""COMPUTED_VALUE"""),1.94)</f>
        <v>1.94</v>
      </c>
      <c r="H2800" s="17"/>
      <c r="K2800" s="17"/>
      <c r="N2800" s="17"/>
    </row>
    <row r="2801">
      <c r="B2801" s="11">
        <f>IFERROR(__xludf.DUMMYFUNCTION("""COMPUTED_VALUE"""),42104.0)</f>
        <v>42104</v>
      </c>
      <c r="C2801" s="9">
        <f>IFERROR(__xludf.DUMMYFUNCTION("""COMPUTED_VALUE"""),1.96)</f>
        <v>1.96</v>
      </c>
      <c r="H2801" s="17"/>
      <c r="K2801" s="17"/>
      <c r="N2801" s="17"/>
    </row>
    <row r="2802">
      <c r="B2802" s="11">
        <f>IFERROR(__xludf.DUMMYFUNCTION("""COMPUTED_VALUE"""),42103.0)</f>
        <v>42103</v>
      </c>
      <c r="C2802" s="9">
        <f>IFERROR(__xludf.DUMMYFUNCTION("""COMPUTED_VALUE"""),1.97)</f>
        <v>1.97</v>
      </c>
      <c r="H2802" s="17"/>
      <c r="K2802" s="17"/>
      <c r="N2802" s="17"/>
    </row>
    <row r="2803">
      <c r="B2803" s="11">
        <f>IFERROR(__xludf.DUMMYFUNCTION("""COMPUTED_VALUE"""),42102.0)</f>
        <v>42102</v>
      </c>
      <c r="C2803" s="9">
        <f>IFERROR(__xludf.DUMMYFUNCTION("""COMPUTED_VALUE"""),1.92)</f>
        <v>1.92</v>
      </c>
      <c r="H2803" s="17"/>
      <c r="K2803" s="17"/>
      <c r="N2803" s="17"/>
    </row>
    <row r="2804">
      <c r="B2804" s="11">
        <f>IFERROR(__xludf.DUMMYFUNCTION("""COMPUTED_VALUE"""),42101.0)</f>
        <v>42101</v>
      </c>
      <c r="C2804" s="9">
        <f>IFERROR(__xludf.DUMMYFUNCTION("""COMPUTED_VALUE"""),1.89)</f>
        <v>1.89</v>
      </c>
      <c r="H2804" s="17"/>
      <c r="K2804" s="17"/>
      <c r="N2804" s="17"/>
    </row>
    <row r="2805">
      <c r="B2805" s="11">
        <f>IFERROR(__xludf.DUMMYFUNCTION("""COMPUTED_VALUE"""),42100.0)</f>
        <v>42100</v>
      </c>
      <c r="C2805" s="9">
        <f>IFERROR(__xludf.DUMMYFUNCTION("""COMPUTED_VALUE"""),1.92)</f>
        <v>1.92</v>
      </c>
      <c r="H2805" s="17"/>
      <c r="K2805" s="17"/>
      <c r="N2805" s="17"/>
    </row>
    <row r="2806">
      <c r="B2806" s="11">
        <f>IFERROR(__xludf.DUMMYFUNCTION("""COMPUTED_VALUE"""),42097.0)</f>
        <v>42097</v>
      </c>
      <c r="C2806" s="9">
        <f>IFERROR(__xludf.DUMMYFUNCTION("""COMPUTED_VALUE"""),1.85)</f>
        <v>1.85</v>
      </c>
      <c r="H2806" s="17"/>
      <c r="K2806" s="17"/>
      <c r="N2806" s="17"/>
    </row>
    <row r="2807">
      <c r="B2807" s="11">
        <f>IFERROR(__xludf.DUMMYFUNCTION("""COMPUTED_VALUE"""),42096.0)</f>
        <v>42096</v>
      </c>
      <c r="C2807" s="9">
        <f>IFERROR(__xludf.DUMMYFUNCTION("""COMPUTED_VALUE"""),1.92)</f>
        <v>1.92</v>
      </c>
      <c r="H2807" s="17"/>
      <c r="K2807" s="17"/>
      <c r="N2807" s="17"/>
    </row>
    <row r="2808">
      <c r="B2808" s="11">
        <f>IFERROR(__xludf.DUMMYFUNCTION("""COMPUTED_VALUE"""),42095.0)</f>
        <v>42095</v>
      </c>
      <c r="C2808" s="9">
        <f>IFERROR(__xludf.DUMMYFUNCTION("""COMPUTED_VALUE"""),1.87)</f>
        <v>1.87</v>
      </c>
      <c r="H2808" s="17"/>
      <c r="K2808" s="17"/>
      <c r="N2808" s="17"/>
    </row>
    <row r="2809">
      <c r="B2809" s="11">
        <f>IFERROR(__xludf.DUMMYFUNCTION("""COMPUTED_VALUE"""),42094.0)</f>
        <v>42094</v>
      </c>
      <c r="C2809" s="9">
        <f>IFERROR(__xludf.DUMMYFUNCTION("""COMPUTED_VALUE"""),1.94)</f>
        <v>1.94</v>
      </c>
      <c r="H2809" s="17"/>
      <c r="K2809" s="17"/>
      <c r="N2809" s="17"/>
    </row>
    <row r="2810">
      <c r="B2810" s="11">
        <f>IFERROR(__xludf.DUMMYFUNCTION("""COMPUTED_VALUE"""),42093.0)</f>
        <v>42093</v>
      </c>
      <c r="C2810" s="9">
        <f>IFERROR(__xludf.DUMMYFUNCTION("""COMPUTED_VALUE"""),1.96)</f>
        <v>1.96</v>
      </c>
      <c r="H2810" s="17"/>
      <c r="K2810" s="17"/>
      <c r="N2810" s="17"/>
    </row>
    <row r="2811">
      <c r="B2811" s="11">
        <f>IFERROR(__xludf.DUMMYFUNCTION("""COMPUTED_VALUE"""),42090.0)</f>
        <v>42090</v>
      </c>
      <c r="C2811" s="9">
        <f>IFERROR(__xludf.DUMMYFUNCTION("""COMPUTED_VALUE"""),1.95)</f>
        <v>1.95</v>
      </c>
      <c r="H2811" s="17"/>
      <c r="K2811" s="17"/>
      <c r="N2811" s="17"/>
    </row>
    <row r="2812">
      <c r="B2812" s="11">
        <f>IFERROR(__xludf.DUMMYFUNCTION("""COMPUTED_VALUE"""),42089.0)</f>
        <v>42089</v>
      </c>
      <c r="C2812" s="9">
        <f>IFERROR(__xludf.DUMMYFUNCTION("""COMPUTED_VALUE"""),2.01)</f>
        <v>2.01</v>
      </c>
      <c r="H2812" s="17"/>
      <c r="K2812" s="17"/>
      <c r="N2812" s="17"/>
    </row>
    <row r="2813">
      <c r="B2813" s="11">
        <f>IFERROR(__xludf.DUMMYFUNCTION("""COMPUTED_VALUE"""),42088.0)</f>
        <v>42088</v>
      </c>
      <c r="C2813" s="9">
        <f>IFERROR(__xludf.DUMMYFUNCTION("""COMPUTED_VALUE"""),1.93)</f>
        <v>1.93</v>
      </c>
      <c r="H2813" s="17"/>
      <c r="K2813" s="17"/>
      <c r="N2813" s="17"/>
    </row>
    <row r="2814">
      <c r="B2814" s="11">
        <f>IFERROR(__xludf.DUMMYFUNCTION("""COMPUTED_VALUE"""),42087.0)</f>
        <v>42087</v>
      </c>
      <c r="C2814" s="9">
        <f>IFERROR(__xludf.DUMMYFUNCTION("""COMPUTED_VALUE"""),1.88)</f>
        <v>1.88</v>
      </c>
      <c r="H2814" s="17"/>
      <c r="K2814" s="17"/>
      <c r="N2814" s="17"/>
    </row>
    <row r="2815">
      <c r="B2815" s="11">
        <f>IFERROR(__xludf.DUMMYFUNCTION("""COMPUTED_VALUE"""),42086.0)</f>
        <v>42086</v>
      </c>
      <c r="C2815" s="9">
        <f>IFERROR(__xludf.DUMMYFUNCTION("""COMPUTED_VALUE"""),1.92)</f>
        <v>1.92</v>
      </c>
      <c r="H2815" s="17"/>
      <c r="K2815" s="17"/>
      <c r="N2815" s="17"/>
    </row>
    <row r="2816">
      <c r="B2816" s="11">
        <f>IFERROR(__xludf.DUMMYFUNCTION("""COMPUTED_VALUE"""),42083.0)</f>
        <v>42083</v>
      </c>
      <c r="C2816" s="9">
        <f>IFERROR(__xludf.DUMMYFUNCTION("""COMPUTED_VALUE"""),1.93)</f>
        <v>1.93</v>
      </c>
      <c r="H2816" s="17"/>
      <c r="K2816" s="17"/>
      <c r="N2816" s="17"/>
    </row>
    <row r="2817">
      <c r="B2817" s="11">
        <f>IFERROR(__xludf.DUMMYFUNCTION("""COMPUTED_VALUE"""),42082.0)</f>
        <v>42082</v>
      </c>
      <c r="C2817" s="9">
        <f>IFERROR(__xludf.DUMMYFUNCTION("""COMPUTED_VALUE"""),1.98)</f>
        <v>1.98</v>
      </c>
      <c r="H2817" s="17"/>
      <c r="K2817" s="17"/>
      <c r="N2817" s="17"/>
    </row>
    <row r="2818">
      <c r="B2818" s="11">
        <f>IFERROR(__xludf.DUMMYFUNCTION("""COMPUTED_VALUE"""),42081.0)</f>
        <v>42081</v>
      </c>
      <c r="C2818" s="9">
        <f>IFERROR(__xludf.DUMMYFUNCTION("""COMPUTED_VALUE"""),1.93)</f>
        <v>1.93</v>
      </c>
      <c r="H2818" s="17"/>
      <c r="K2818" s="17"/>
      <c r="N2818" s="17"/>
    </row>
    <row r="2819">
      <c r="B2819" s="11">
        <f>IFERROR(__xludf.DUMMYFUNCTION("""COMPUTED_VALUE"""),42080.0)</f>
        <v>42080</v>
      </c>
      <c r="C2819" s="9">
        <f>IFERROR(__xludf.DUMMYFUNCTION("""COMPUTED_VALUE"""),2.06)</f>
        <v>2.06</v>
      </c>
      <c r="H2819" s="17"/>
      <c r="K2819" s="17"/>
      <c r="N2819" s="17"/>
    </row>
    <row r="2820">
      <c r="B2820" s="11">
        <f>IFERROR(__xludf.DUMMYFUNCTION("""COMPUTED_VALUE"""),42079.0)</f>
        <v>42079</v>
      </c>
      <c r="C2820" s="9">
        <f>IFERROR(__xludf.DUMMYFUNCTION("""COMPUTED_VALUE"""),2.1)</f>
        <v>2.1</v>
      </c>
      <c r="H2820" s="17"/>
      <c r="K2820" s="17"/>
      <c r="N2820" s="17"/>
    </row>
    <row r="2821">
      <c r="B2821" s="11">
        <f>IFERROR(__xludf.DUMMYFUNCTION("""COMPUTED_VALUE"""),42076.0)</f>
        <v>42076</v>
      </c>
      <c r="C2821" s="9">
        <f>IFERROR(__xludf.DUMMYFUNCTION("""COMPUTED_VALUE"""),2.13)</f>
        <v>2.13</v>
      </c>
      <c r="H2821" s="17"/>
      <c r="K2821" s="17"/>
      <c r="N2821" s="17"/>
    </row>
    <row r="2822">
      <c r="B2822" s="11">
        <f>IFERROR(__xludf.DUMMYFUNCTION("""COMPUTED_VALUE"""),42075.0)</f>
        <v>42075</v>
      </c>
      <c r="C2822" s="9">
        <f>IFERROR(__xludf.DUMMYFUNCTION("""COMPUTED_VALUE"""),2.1)</f>
        <v>2.1</v>
      </c>
      <c r="H2822" s="17"/>
      <c r="K2822" s="17"/>
      <c r="N2822" s="17"/>
    </row>
    <row r="2823">
      <c r="B2823" s="11">
        <f>IFERROR(__xludf.DUMMYFUNCTION("""COMPUTED_VALUE"""),42074.0)</f>
        <v>42074</v>
      </c>
      <c r="C2823" s="9">
        <f>IFERROR(__xludf.DUMMYFUNCTION("""COMPUTED_VALUE"""),2.11)</f>
        <v>2.11</v>
      </c>
      <c r="H2823" s="17"/>
      <c r="K2823" s="17"/>
      <c r="N2823" s="17"/>
    </row>
    <row r="2824">
      <c r="B2824" s="11">
        <f>IFERROR(__xludf.DUMMYFUNCTION("""COMPUTED_VALUE"""),42073.0)</f>
        <v>42073</v>
      </c>
      <c r="C2824" s="9">
        <f>IFERROR(__xludf.DUMMYFUNCTION("""COMPUTED_VALUE"""),2.14)</f>
        <v>2.14</v>
      </c>
      <c r="H2824" s="17"/>
      <c r="K2824" s="17"/>
      <c r="N2824" s="17"/>
    </row>
    <row r="2825">
      <c r="B2825" s="11">
        <f>IFERROR(__xludf.DUMMYFUNCTION("""COMPUTED_VALUE"""),42072.0)</f>
        <v>42072</v>
      </c>
      <c r="C2825" s="9">
        <f>IFERROR(__xludf.DUMMYFUNCTION("""COMPUTED_VALUE"""),2.2)</f>
        <v>2.2</v>
      </c>
      <c r="H2825" s="17"/>
      <c r="K2825" s="17"/>
      <c r="N2825" s="17"/>
    </row>
    <row r="2826">
      <c r="B2826" s="11">
        <f>IFERROR(__xludf.DUMMYFUNCTION("""COMPUTED_VALUE"""),42069.0)</f>
        <v>42069</v>
      </c>
      <c r="C2826" s="9">
        <f>IFERROR(__xludf.DUMMYFUNCTION("""COMPUTED_VALUE"""),2.24)</f>
        <v>2.24</v>
      </c>
      <c r="H2826" s="17"/>
      <c r="K2826" s="17"/>
      <c r="N2826" s="17"/>
    </row>
    <row r="2827">
      <c r="B2827" s="11">
        <f>IFERROR(__xludf.DUMMYFUNCTION("""COMPUTED_VALUE"""),42068.0)</f>
        <v>42068</v>
      </c>
      <c r="C2827" s="9">
        <f>IFERROR(__xludf.DUMMYFUNCTION("""COMPUTED_VALUE"""),2.11)</f>
        <v>2.11</v>
      </c>
      <c r="H2827" s="17"/>
      <c r="K2827" s="17"/>
      <c r="N2827" s="17"/>
    </row>
    <row r="2828">
      <c r="B2828" s="11">
        <f>IFERROR(__xludf.DUMMYFUNCTION("""COMPUTED_VALUE"""),42067.0)</f>
        <v>42067</v>
      </c>
      <c r="C2828" s="9">
        <f>IFERROR(__xludf.DUMMYFUNCTION("""COMPUTED_VALUE"""),2.12)</f>
        <v>2.12</v>
      </c>
      <c r="H2828" s="17"/>
      <c r="K2828" s="17"/>
      <c r="N2828" s="17"/>
    </row>
    <row r="2829">
      <c r="B2829" s="11">
        <f>IFERROR(__xludf.DUMMYFUNCTION("""COMPUTED_VALUE"""),42066.0)</f>
        <v>42066</v>
      </c>
      <c r="C2829" s="9">
        <f>IFERROR(__xludf.DUMMYFUNCTION("""COMPUTED_VALUE"""),2.12)</f>
        <v>2.12</v>
      </c>
      <c r="H2829" s="17"/>
      <c r="K2829" s="17"/>
      <c r="N2829" s="17"/>
    </row>
    <row r="2830">
      <c r="B2830" s="11">
        <f>IFERROR(__xludf.DUMMYFUNCTION("""COMPUTED_VALUE"""),42065.0)</f>
        <v>42065</v>
      </c>
      <c r="C2830" s="9">
        <f>IFERROR(__xludf.DUMMYFUNCTION("""COMPUTED_VALUE"""),2.08)</f>
        <v>2.08</v>
      </c>
      <c r="H2830" s="17"/>
      <c r="K2830" s="17"/>
      <c r="N2830" s="17"/>
    </row>
    <row r="2831">
      <c r="B2831" s="11">
        <f>IFERROR(__xludf.DUMMYFUNCTION("""COMPUTED_VALUE"""),42062.0)</f>
        <v>42062</v>
      </c>
      <c r="C2831" s="9">
        <f>IFERROR(__xludf.DUMMYFUNCTION("""COMPUTED_VALUE"""),2.0)</f>
        <v>2</v>
      </c>
      <c r="H2831" s="17"/>
      <c r="K2831" s="17"/>
      <c r="N2831" s="17"/>
    </row>
    <row r="2832">
      <c r="B2832" s="11">
        <f>IFERROR(__xludf.DUMMYFUNCTION("""COMPUTED_VALUE"""),42061.0)</f>
        <v>42061</v>
      </c>
      <c r="C2832" s="9">
        <f>IFERROR(__xludf.DUMMYFUNCTION("""COMPUTED_VALUE"""),2.03)</f>
        <v>2.03</v>
      </c>
      <c r="H2832" s="17"/>
      <c r="K2832" s="17"/>
      <c r="N2832" s="17"/>
    </row>
    <row r="2833">
      <c r="B2833" s="11">
        <f>IFERROR(__xludf.DUMMYFUNCTION("""COMPUTED_VALUE"""),42060.0)</f>
        <v>42060</v>
      </c>
      <c r="C2833" s="9">
        <f>IFERROR(__xludf.DUMMYFUNCTION("""COMPUTED_VALUE"""),1.96)</f>
        <v>1.96</v>
      </c>
      <c r="H2833" s="17"/>
      <c r="K2833" s="17"/>
      <c r="N2833" s="17"/>
    </row>
    <row r="2834">
      <c r="B2834" s="11">
        <f>IFERROR(__xludf.DUMMYFUNCTION("""COMPUTED_VALUE"""),42059.0)</f>
        <v>42059</v>
      </c>
      <c r="C2834" s="9">
        <f>IFERROR(__xludf.DUMMYFUNCTION("""COMPUTED_VALUE"""),1.99)</f>
        <v>1.99</v>
      </c>
      <c r="H2834" s="17"/>
      <c r="K2834" s="17"/>
      <c r="N2834" s="17"/>
    </row>
    <row r="2835">
      <c r="B2835" s="11">
        <f>IFERROR(__xludf.DUMMYFUNCTION("""COMPUTED_VALUE"""),42058.0)</f>
        <v>42058</v>
      </c>
      <c r="C2835" s="9">
        <f>IFERROR(__xludf.DUMMYFUNCTION("""COMPUTED_VALUE"""),2.06)</f>
        <v>2.06</v>
      </c>
      <c r="H2835" s="17"/>
      <c r="K2835" s="17"/>
      <c r="N2835" s="17"/>
    </row>
    <row r="2836">
      <c r="B2836" s="11">
        <f>IFERROR(__xludf.DUMMYFUNCTION("""COMPUTED_VALUE"""),42055.0)</f>
        <v>42055</v>
      </c>
      <c r="C2836" s="9">
        <f>IFERROR(__xludf.DUMMYFUNCTION("""COMPUTED_VALUE"""),2.13)</f>
        <v>2.13</v>
      </c>
      <c r="H2836" s="17"/>
      <c r="K2836" s="17"/>
      <c r="N2836" s="17"/>
    </row>
    <row r="2837">
      <c r="B2837" s="11">
        <f>IFERROR(__xludf.DUMMYFUNCTION("""COMPUTED_VALUE"""),42054.0)</f>
        <v>42054</v>
      </c>
      <c r="C2837" s="9">
        <f>IFERROR(__xludf.DUMMYFUNCTION("""COMPUTED_VALUE"""),2.11)</f>
        <v>2.11</v>
      </c>
      <c r="H2837" s="17"/>
      <c r="K2837" s="17"/>
      <c r="N2837" s="17"/>
    </row>
    <row r="2838">
      <c r="B2838" s="11">
        <f>IFERROR(__xludf.DUMMYFUNCTION("""COMPUTED_VALUE"""),42053.0)</f>
        <v>42053</v>
      </c>
      <c r="C2838" s="9">
        <f>IFERROR(__xludf.DUMMYFUNCTION("""COMPUTED_VALUE"""),2.07)</f>
        <v>2.07</v>
      </c>
      <c r="H2838" s="17"/>
      <c r="K2838" s="17"/>
      <c r="N2838" s="17"/>
    </row>
    <row r="2839">
      <c r="B2839" s="11">
        <f>IFERROR(__xludf.DUMMYFUNCTION("""COMPUTED_VALUE"""),42052.0)</f>
        <v>42052</v>
      </c>
      <c r="C2839" s="9">
        <f>IFERROR(__xludf.DUMMYFUNCTION("""COMPUTED_VALUE"""),2.14)</f>
        <v>2.14</v>
      </c>
      <c r="H2839" s="17"/>
      <c r="K2839" s="17"/>
      <c r="N2839" s="17"/>
    </row>
    <row r="2840">
      <c r="B2840" s="11">
        <f>IFERROR(__xludf.DUMMYFUNCTION("""COMPUTED_VALUE"""),42051.0)</f>
        <v>42051</v>
      </c>
      <c r="C2840" s="9"/>
      <c r="H2840" s="17"/>
      <c r="K2840" s="17"/>
      <c r="N2840" s="17"/>
    </row>
    <row r="2841">
      <c r="B2841" s="11">
        <f>IFERROR(__xludf.DUMMYFUNCTION("""COMPUTED_VALUE"""),42048.0)</f>
        <v>42048</v>
      </c>
      <c r="C2841" s="9">
        <f>IFERROR(__xludf.DUMMYFUNCTION("""COMPUTED_VALUE"""),2.02)</f>
        <v>2.02</v>
      </c>
      <c r="H2841" s="17"/>
      <c r="K2841" s="17"/>
      <c r="N2841" s="17"/>
    </row>
    <row r="2842">
      <c r="B2842" s="11">
        <f>IFERROR(__xludf.DUMMYFUNCTION("""COMPUTED_VALUE"""),42047.0)</f>
        <v>42047</v>
      </c>
      <c r="C2842" s="9">
        <f>IFERROR(__xludf.DUMMYFUNCTION("""COMPUTED_VALUE"""),1.99)</f>
        <v>1.99</v>
      </c>
      <c r="H2842" s="17"/>
      <c r="K2842" s="17"/>
      <c r="N2842" s="17"/>
    </row>
    <row r="2843">
      <c r="B2843" s="11">
        <f>IFERROR(__xludf.DUMMYFUNCTION("""COMPUTED_VALUE"""),42046.0)</f>
        <v>42046</v>
      </c>
      <c r="C2843" s="9">
        <f>IFERROR(__xludf.DUMMYFUNCTION("""COMPUTED_VALUE"""),2.0)</f>
        <v>2</v>
      </c>
      <c r="H2843" s="17"/>
      <c r="K2843" s="17"/>
      <c r="N2843" s="17"/>
    </row>
    <row r="2844">
      <c r="B2844" s="11">
        <f>IFERROR(__xludf.DUMMYFUNCTION("""COMPUTED_VALUE"""),42045.0)</f>
        <v>42045</v>
      </c>
      <c r="C2844" s="9">
        <f>IFERROR(__xludf.DUMMYFUNCTION("""COMPUTED_VALUE"""),2.01)</f>
        <v>2.01</v>
      </c>
      <c r="H2844" s="17"/>
      <c r="K2844" s="17"/>
      <c r="N2844" s="17"/>
    </row>
    <row r="2845">
      <c r="B2845" s="11">
        <f>IFERROR(__xludf.DUMMYFUNCTION("""COMPUTED_VALUE"""),42044.0)</f>
        <v>42044</v>
      </c>
      <c r="C2845" s="9">
        <f>IFERROR(__xludf.DUMMYFUNCTION("""COMPUTED_VALUE"""),1.96)</f>
        <v>1.96</v>
      </c>
      <c r="H2845" s="17"/>
      <c r="K2845" s="17"/>
      <c r="N2845" s="17"/>
    </row>
    <row r="2846">
      <c r="B2846" s="11">
        <f>IFERROR(__xludf.DUMMYFUNCTION("""COMPUTED_VALUE"""),42041.0)</f>
        <v>42041</v>
      </c>
      <c r="C2846" s="9">
        <f>IFERROR(__xludf.DUMMYFUNCTION("""COMPUTED_VALUE"""),1.95)</f>
        <v>1.95</v>
      </c>
      <c r="H2846" s="17"/>
      <c r="K2846" s="17"/>
      <c r="N2846" s="17"/>
    </row>
    <row r="2847">
      <c r="B2847" s="11">
        <f>IFERROR(__xludf.DUMMYFUNCTION("""COMPUTED_VALUE"""),42040.0)</f>
        <v>42040</v>
      </c>
      <c r="C2847" s="9">
        <f>IFERROR(__xludf.DUMMYFUNCTION("""COMPUTED_VALUE"""),1.83)</f>
        <v>1.83</v>
      </c>
      <c r="H2847" s="17"/>
      <c r="K2847" s="17"/>
      <c r="N2847" s="17"/>
    </row>
    <row r="2848">
      <c r="B2848" s="11">
        <f>IFERROR(__xludf.DUMMYFUNCTION("""COMPUTED_VALUE"""),42039.0)</f>
        <v>42039</v>
      </c>
      <c r="C2848" s="9">
        <f>IFERROR(__xludf.DUMMYFUNCTION("""COMPUTED_VALUE"""),1.81)</f>
        <v>1.81</v>
      </c>
      <c r="H2848" s="17"/>
      <c r="K2848" s="17"/>
      <c r="N2848" s="17"/>
    </row>
    <row r="2849">
      <c r="B2849" s="11">
        <f>IFERROR(__xludf.DUMMYFUNCTION("""COMPUTED_VALUE"""),42038.0)</f>
        <v>42038</v>
      </c>
      <c r="C2849" s="9">
        <f>IFERROR(__xludf.DUMMYFUNCTION("""COMPUTED_VALUE"""),1.79)</f>
        <v>1.79</v>
      </c>
      <c r="H2849" s="17"/>
      <c r="K2849" s="17"/>
      <c r="N2849" s="17"/>
    </row>
    <row r="2850">
      <c r="B2850" s="11">
        <f>IFERROR(__xludf.DUMMYFUNCTION("""COMPUTED_VALUE"""),42037.0)</f>
        <v>42037</v>
      </c>
      <c r="C2850" s="9">
        <f>IFERROR(__xludf.DUMMYFUNCTION("""COMPUTED_VALUE"""),1.68)</f>
        <v>1.68</v>
      </c>
      <c r="H2850" s="17"/>
      <c r="K2850" s="17"/>
      <c r="N2850" s="17"/>
    </row>
    <row r="2851">
      <c r="B2851" s="11">
        <f>IFERROR(__xludf.DUMMYFUNCTION("""COMPUTED_VALUE"""),42034.0)</f>
        <v>42034</v>
      </c>
      <c r="C2851" s="9">
        <f>IFERROR(__xludf.DUMMYFUNCTION("""COMPUTED_VALUE"""),1.68)</f>
        <v>1.68</v>
      </c>
      <c r="H2851" s="17"/>
      <c r="K2851" s="17"/>
      <c r="N2851" s="17"/>
    </row>
    <row r="2852">
      <c r="B2852" s="11">
        <f>IFERROR(__xludf.DUMMYFUNCTION("""COMPUTED_VALUE"""),42033.0)</f>
        <v>42033</v>
      </c>
      <c r="C2852" s="9">
        <f>IFERROR(__xludf.DUMMYFUNCTION("""COMPUTED_VALUE"""),1.77)</f>
        <v>1.77</v>
      </c>
      <c r="H2852" s="17"/>
      <c r="K2852" s="17"/>
      <c r="N2852" s="17"/>
    </row>
    <row r="2853">
      <c r="B2853" s="11">
        <f>IFERROR(__xludf.DUMMYFUNCTION("""COMPUTED_VALUE"""),42032.0)</f>
        <v>42032</v>
      </c>
      <c r="C2853" s="9">
        <f>IFERROR(__xludf.DUMMYFUNCTION("""COMPUTED_VALUE"""),1.73)</f>
        <v>1.73</v>
      </c>
      <c r="H2853" s="17"/>
      <c r="K2853" s="17"/>
      <c r="N2853" s="17"/>
    </row>
    <row r="2854">
      <c r="B2854" s="11">
        <f>IFERROR(__xludf.DUMMYFUNCTION("""COMPUTED_VALUE"""),42031.0)</f>
        <v>42031</v>
      </c>
      <c r="C2854" s="9">
        <f>IFERROR(__xludf.DUMMYFUNCTION("""COMPUTED_VALUE"""),1.83)</f>
        <v>1.83</v>
      </c>
      <c r="H2854" s="17"/>
      <c r="K2854" s="17"/>
      <c r="N2854" s="17"/>
    </row>
    <row r="2855">
      <c r="B2855" s="11">
        <f>IFERROR(__xludf.DUMMYFUNCTION("""COMPUTED_VALUE"""),42030.0)</f>
        <v>42030</v>
      </c>
      <c r="C2855" s="9">
        <f>IFERROR(__xludf.DUMMYFUNCTION("""COMPUTED_VALUE"""),1.83)</f>
        <v>1.83</v>
      </c>
      <c r="H2855" s="17"/>
      <c r="K2855" s="17"/>
      <c r="N2855" s="17"/>
    </row>
    <row r="2856">
      <c r="B2856" s="11">
        <f>IFERROR(__xludf.DUMMYFUNCTION("""COMPUTED_VALUE"""),42027.0)</f>
        <v>42027</v>
      </c>
      <c r="C2856" s="9">
        <f>IFERROR(__xludf.DUMMYFUNCTION("""COMPUTED_VALUE"""),1.81)</f>
        <v>1.81</v>
      </c>
      <c r="H2856" s="17"/>
      <c r="K2856" s="17"/>
      <c r="N2856" s="17"/>
    </row>
    <row r="2857">
      <c r="B2857" s="11">
        <f>IFERROR(__xludf.DUMMYFUNCTION("""COMPUTED_VALUE"""),42026.0)</f>
        <v>42026</v>
      </c>
      <c r="C2857" s="9">
        <f>IFERROR(__xludf.DUMMYFUNCTION("""COMPUTED_VALUE"""),1.9)</f>
        <v>1.9</v>
      </c>
      <c r="H2857" s="17"/>
      <c r="K2857" s="17"/>
      <c r="N2857" s="17"/>
    </row>
    <row r="2858">
      <c r="B2858" s="11">
        <f>IFERROR(__xludf.DUMMYFUNCTION("""COMPUTED_VALUE"""),42025.0)</f>
        <v>42025</v>
      </c>
      <c r="C2858" s="9">
        <f>IFERROR(__xludf.DUMMYFUNCTION("""COMPUTED_VALUE"""),1.87)</f>
        <v>1.87</v>
      </c>
      <c r="H2858" s="17"/>
      <c r="K2858" s="17"/>
      <c r="N2858" s="17"/>
    </row>
    <row r="2859">
      <c r="B2859" s="11">
        <f>IFERROR(__xludf.DUMMYFUNCTION("""COMPUTED_VALUE"""),42024.0)</f>
        <v>42024</v>
      </c>
      <c r="C2859" s="9">
        <f>IFERROR(__xludf.DUMMYFUNCTION("""COMPUTED_VALUE"""),1.82)</f>
        <v>1.82</v>
      </c>
      <c r="H2859" s="17"/>
      <c r="K2859" s="17"/>
      <c r="N2859" s="17"/>
    </row>
    <row r="2860">
      <c r="B2860" s="11">
        <f>IFERROR(__xludf.DUMMYFUNCTION("""COMPUTED_VALUE"""),42023.0)</f>
        <v>42023</v>
      </c>
      <c r="C2860" s="9"/>
      <c r="H2860" s="17"/>
      <c r="K2860" s="17"/>
      <c r="N2860" s="17"/>
    </row>
    <row r="2861">
      <c r="B2861" s="11">
        <f>IFERROR(__xludf.DUMMYFUNCTION("""COMPUTED_VALUE"""),42020.0)</f>
        <v>42020</v>
      </c>
      <c r="C2861" s="9">
        <f>IFERROR(__xludf.DUMMYFUNCTION("""COMPUTED_VALUE"""),1.83)</f>
        <v>1.83</v>
      </c>
      <c r="H2861" s="17"/>
      <c r="K2861" s="17"/>
      <c r="N2861" s="17"/>
    </row>
    <row r="2862">
      <c r="B2862" s="11">
        <f>IFERROR(__xludf.DUMMYFUNCTION("""COMPUTED_VALUE"""),42019.0)</f>
        <v>42019</v>
      </c>
      <c r="C2862" s="9">
        <f>IFERROR(__xludf.DUMMYFUNCTION("""COMPUTED_VALUE"""),1.77)</f>
        <v>1.77</v>
      </c>
      <c r="H2862" s="17"/>
      <c r="K2862" s="17"/>
      <c r="N2862" s="17"/>
    </row>
    <row r="2863">
      <c r="B2863" s="11">
        <f>IFERROR(__xludf.DUMMYFUNCTION("""COMPUTED_VALUE"""),42018.0)</f>
        <v>42018</v>
      </c>
      <c r="C2863" s="9">
        <f>IFERROR(__xludf.DUMMYFUNCTION("""COMPUTED_VALUE"""),1.86)</f>
        <v>1.86</v>
      </c>
      <c r="H2863" s="17"/>
      <c r="K2863" s="17"/>
      <c r="N2863" s="17"/>
    </row>
    <row r="2864">
      <c r="B2864" s="11">
        <f>IFERROR(__xludf.DUMMYFUNCTION("""COMPUTED_VALUE"""),42017.0)</f>
        <v>42017</v>
      </c>
      <c r="C2864" s="9">
        <f>IFERROR(__xludf.DUMMYFUNCTION("""COMPUTED_VALUE"""),1.91)</f>
        <v>1.91</v>
      </c>
      <c r="H2864" s="17"/>
      <c r="K2864" s="17"/>
      <c r="N2864" s="17"/>
    </row>
    <row r="2865">
      <c r="B2865" s="11">
        <f>IFERROR(__xludf.DUMMYFUNCTION("""COMPUTED_VALUE"""),42016.0)</f>
        <v>42016</v>
      </c>
      <c r="C2865" s="9">
        <f>IFERROR(__xludf.DUMMYFUNCTION("""COMPUTED_VALUE"""),1.92)</f>
        <v>1.92</v>
      </c>
      <c r="H2865" s="17"/>
      <c r="K2865" s="17"/>
      <c r="N2865" s="17"/>
    </row>
    <row r="2866">
      <c r="B2866" s="11">
        <f>IFERROR(__xludf.DUMMYFUNCTION("""COMPUTED_VALUE"""),42013.0)</f>
        <v>42013</v>
      </c>
      <c r="C2866" s="9">
        <f>IFERROR(__xludf.DUMMYFUNCTION("""COMPUTED_VALUE"""),1.98)</f>
        <v>1.98</v>
      </c>
      <c r="H2866" s="17"/>
      <c r="K2866" s="17"/>
      <c r="N2866" s="17"/>
    </row>
    <row r="2867">
      <c r="B2867" s="11">
        <f>IFERROR(__xludf.DUMMYFUNCTION("""COMPUTED_VALUE"""),42012.0)</f>
        <v>42012</v>
      </c>
      <c r="C2867" s="9">
        <f>IFERROR(__xludf.DUMMYFUNCTION("""COMPUTED_VALUE"""),2.03)</f>
        <v>2.03</v>
      </c>
      <c r="H2867" s="17"/>
      <c r="K2867" s="17"/>
      <c r="N2867" s="17"/>
    </row>
    <row r="2868">
      <c r="B2868" s="11">
        <f>IFERROR(__xludf.DUMMYFUNCTION("""COMPUTED_VALUE"""),42011.0)</f>
        <v>42011</v>
      </c>
      <c r="C2868" s="9">
        <f>IFERROR(__xludf.DUMMYFUNCTION("""COMPUTED_VALUE"""),1.96)</f>
        <v>1.96</v>
      </c>
      <c r="H2868" s="17"/>
      <c r="K2868" s="17"/>
      <c r="N2868" s="17"/>
    </row>
    <row r="2869">
      <c r="B2869" s="11">
        <f>IFERROR(__xludf.DUMMYFUNCTION("""COMPUTED_VALUE"""),42010.0)</f>
        <v>42010</v>
      </c>
      <c r="C2869" s="9">
        <f>IFERROR(__xludf.DUMMYFUNCTION("""COMPUTED_VALUE"""),1.97)</f>
        <v>1.97</v>
      </c>
      <c r="H2869" s="17"/>
      <c r="K2869" s="17"/>
      <c r="N2869" s="17"/>
    </row>
    <row r="2870">
      <c r="B2870" s="11">
        <f>IFERROR(__xludf.DUMMYFUNCTION("""COMPUTED_VALUE"""),42009.0)</f>
        <v>42009</v>
      </c>
      <c r="C2870" s="9">
        <f>IFERROR(__xludf.DUMMYFUNCTION("""COMPUTED_VALUE"""),2.04)</f>
        <v>2.04</v>
      </c>
      <c r="H2870" s="17"/>
      <c r="K2870" s="17"/>
      <c r="N2870" s="17"/>
    </row>
    <row r="2871">
      <c r="B2871" s="11">
        <f>IFERROR(__xludf.DUMMYFUNCTION("""COMPUTED_VALUE"""),42006.0)</f>
        <v>42006</v>
      </c>
      <c r="C2871" s="9">
        <f>IFERROR(__xludf.DUMMYFUNCTION("""COMPUTED_VALUE"""),2.12)</f>
        <v>2.12</v>
      </c>
      <c r="H2871" s="17"/>
      <c r="K2871" s="17"/>
      <c r="N2871" s="17"/>
    </row>
    <row r="2872">
      <c r="B2872" s="11">
        <f>IFERROR(__xludf.DUMMYFUNCTION("""COMPUTED_VALUE"""),42005.0)</f>
        <v>42005</v>
      </c>
      <c r="C2872" s="9"/>
      <c r="H2872" s="17"/>
      <c r="K2872" s="17"/>
      <c r="N2872" s="17"/>
    </row>
    <row r="2873">
      <c r="B2873" s="11">
        <f>IFERROR(__xludf.DUMMYFUNCTION("""COMPUTED_VALUE"""),42004.0)</f>
        <v>42004</v>
      </c>
      <c r="C2873" s="9">
        <f>IFERROR(__xludf.DUMMYFUNCTION("""COMPUTED_VALUE"""),2.17)</f>
        <v>2.17</v>
      </c>
      <c r="H2873" s="17"/>
      <c r="K2873" s="17"/>
      <c r="N2873" s="17"/>
    </row>
    <row r="2874">
      <c r="B2874" s="11">
        <f>IFERROR(__xludf.DUMMYFUNCTION("""COMPUTED_VALUE"""),42003.0)</f>
        <v>42003</v>
      </c>
      <c r="C2874" s="9">
        <f>IFERROR(__xludf.DUMMYFUNCTION("""COMPUTED_VALUE"""),2.2)</f>
        <v>2.2</v>
      </c>
      <c r="H2874" s="17"/>
      <c r="K2874" s="17"/>
      <c r="N2874" s="17"/>
    </row>
    <row r="2875">
      <c r="B2875" s="11">
        <f>IFERROR(__xludf.DUMMYFUNCTION("""COMPUTED_VALUE"""),42002.0)</f>
        <v>42002</v>
      </c>
      <c r="C2875" s="9">
        <f>IFERROR(__xludf.DUMMYFUNCTION("""COMPUTED_VALUE"""),2.22)</f>
        <v>2.22</v>
      </c>
      <c r="H2875" s="17"/>
      <c r="K2875" s="17"/>
      <c r="N2875" s="17"/>
    </row>
    <row r="2876">
      <c r="B2876" s="11">
        <f>IFERROR(__xludf.DUMMYFUNCTION("""COMPUTED_VALUE"""),41999.0)</f>
        <v>41999</v>
      </c>
      <c r="C2876" s="9">
        <f>IFERROR(__xludf.DUMMYFUNCTION("""COMPUTED_VALUE"""),2.25)</f>
        <v>2.25</v>
      </c>
      <c r="H2876" s="17"/>
      <c r="K2876" s="17"/>
      <c r="N2876" s="17"/>
    </row>
    <row r="2877">
      <c r="B2877" s="11">
        <f>IFERROR(__xludf.DUMMYFUNCTION("""COMPUTED_VALUE"""),41998.0)</f>
        <v>41998</v>
      </c>
      <c r="C2877" s="9"/>
      <c r="H2877" s="17"/>
      <c r="K2877" s="17"/>
      <c r="N2877" s="17"/>
    </row>
    <row r="2878">
      <c r="B2878" s="11">
        <f>IFERROR(__xludf.DUMMYFUNCTION("""COMPUTED_VALUE"""),41997.0)</f>
        <v>41997</v>
      </c>
      <c r="C2878" s="9">
        <f>IFERROR(__xludf.DUMMYFUNCTION("""COMPUTED_VALUE"""),2.27)</f>
        <v>2.27</v>
      </c>
      <c r="H2878" s="17"/>
      <c r="K2878" s="17"/>
      <c r="N2878" s="17"/>
    </row>
    <row r="2879">
      <c r="B2879" s="11">
        <f>IFERROR(__xludf.DUMMYFUNCTION("""COMPUTED_VALUE"""),41996.0)</f>
        <v>41996</v>
      </c>
      <c r="C2879" s="9">
        <f>IFERROR(__xludf.DUMMYFUNCTION("""COMPUTED_VALUE"""),2.26)</f>
        <v>2.26</v>
      </c>
      <c r="H2879" s="17"/>
      <c r="K2879" s="17"/>
      <c r="N2879" s="17"/>
    </row>
    <row r="2880">
      <c r="B2880" s="11">
        <f>IFERROR(__xludf.DUMMYFUNCTION("""COMPUTED_VALUE"""),41995.0)</f>
        <v>41995</v>
      </c>
      <c r="C2880" s="9">
        <f>IFERROR(__xludf.DUMMYFUNCTION("""COMPUTED_VALUE"""),2.17)</f>
        <v>2.17</v>
      </c>
      <c r="H2880" s="17"/>
      <c r="K2880" s="17"/>
      <c r="N2880" s="17"/>
    </row>
    <row r="2881">
      <c r="B2881" s="11">
        <f>IFERROR(__xludf.DUMMYFUNCTION("""COMPUTED_VALUE"""),41992.0)</f>
        <v>41992</v>
      </c>
      <c r="C2881" s="9">
        <f>IFERROR(__xludf.DUMMYFUNCTION("""COMPUTED_VALUE"""),2.17)</f>
        <v>2.17</v>
      </c>
      <c r="H2881" s="17"/>
      <c r="K2881" s="17"/>
      <c r="N2881" s="17"/>
    </row>
    <row r="2882">
      <c r="B2882" s="11">
        <f>IFERROR(__xludf.DUMMYFUNCTION("""COMPUTED_VALUE"""),41991.0)</f>
        <v>41991</v>
      </c>
      <c r="C2882" s="9">
        <f>IFERROR(__xludf.DUMMYFUNCTION("""COMPUTED_VALUE"""),2.22)</f>
        <v>2.22</v>
      </c>
      <c r="H2882" s="17"/>
      <c r="K2882" s="17"/>
      <c r="N2882" s="17"/>
    </row>
    <row r="2883">
      <c r="B2883" s="11">
        <f>IFERROR(__xludf.DUMMYFUNCTION("""COMPUTED_VALUE"""),41990.0)</f>
        <v>41990</v>
      </c>
      <c r="C2883" s="9">
        <f>IFERROR(__xludf.DUMMYFUNCTION("""COMPUTED_VALUE"""),2.14)</f>
        <v>2.14</v>
      </c>
      <c r="H2883" s="17"/>
      <c r="K2883" s="17"/>
      <c r="N2883" s="17"/>
    </row>
    <row r="2884">
      <c r="B2884" s="11">
        <f>IFERROR(__xludf.DUMMYFUNCTION("""COMPUTED_VALUE"""),41989.0)</f>
        <v>41989</v>
      </c>
      <c r="C2884" s="9">
        <f>IFERROR(__xludf.DUMMYFUNCTION("""COMPUTED_VALUE"""),2.07)</f>
        <v>2.07</v>
      </c>
      <c r="H2884" s="17"/>
      <c r="K2884" s="17"/>
      <c r="N2884" s="17"/>
    </row>
    <row r="2885">
      <c r="B2885" s="11">
        <f>IFERROR(__xludf.DUMMYFUNCTION("""COMPUTED_VALUE"""),41988.0)</f>
        <v>41988</v>
      </c>
      <c r="C2885" s="9">
        <f>IFERROR(__xludf.DUMMYFUNCTION("""COMPUTED_VALUE"""),2.12)</f>
        <v>2.12</v>
      </c>
      <c r="H2885" s="17"/>
      <c r="K2885" s="17"/>
      <c r="N2885" s="17"/>
    </row>
    <row r="2886">
      <c r="B2886" s="11">
        <f>IFERROR(__xludf.DUMMYFUNCTION("""COMPUTED_VALUE"""),41985.0)</f>
        <v>41985</v>
      </c>
      <c r="C2886" s="9">
        <f>IFERROR(__xludf.DUMMYFUNCTION("""COMPUTED_VALUE"""),2.1)</f>
        <v>2.1</v>
      </c>
      <c r="H2886" s="17"/>
      <c r="K2886" s="17"/>
      <c r="N2886" s="17"/>
    </row>
    <row r="2887">
      <c r="B2887" s="11">
        <f>IFERROR(__xludf.DUMMYFUNCTION("""COMPUTED_VALUE"""),41984.0)</f>
        <v>41984</v>
      </c>
      <c r="C2887" s="9">
        <f>IFERROR(__xludf.DUMMYFUNCTION("""COMPUTED_VALUE"""),2.19)</f>
        <v>2.19</v>
      </c>
      <c r="H2887" s="17"/>
      <c r="K2887" s="17"/>
      <c r="N2887" s="17"/>
    </row>
    <row r="2888">
      <c r="B2888" s="11">
        <f>IFERROR(__xludf.DUMMYFUNCTION("""COMPUTED_VALUE"""),41983.0)</f>
        <v>41983</v>
      </c>
      <c r="C2888" s="9">
        <f>IFERROR(__xludf.DUMMYFUNCTION("""COMPUTED_VALUE"""),2.18)</f>
        <v>2.18</v>
      </c>
      <c r="H2888" s="17"/>
      <c r="K2888" s="17"/>
      <c r="N2888" s="17"/>
    </row>
    <row r="2889">
      <c r="B2889" s="11">
        <f>IFERROR(__xludf.DUMMYFUNCTION("""COMPUTED_VALUE"""),41982.0)</f>
        <v>41982</v>
      </c>
      <c r="C2889" s="9">
        <f>IFERROR(__xludf.DUMMYFUNCTION("""COMPUTED_VALUE"""),2.22)</f>
        <v>2.22</v>
      </c>
      <c r="H2889" s="17"/>
      <c r="K2889" s="17"/>
      <c r="N2889" s="17"/>
    </row>
    <row r="2890">
      <c r="B2890" s="11">
        <f>IFERROR(__xludf.DUMMYFUNCTION("""COMPUTED_VALUE"""),41981.0)</f>
        <v>41981</v>
      </c>
      <c r="C2890" s="9">
        <f>IFERROR(__xludf.DUMMYFUNCTION("""COMPUTED_VALUE"""),2.26)</f>
        <v>2.26</v>
      </c>
      <c r="H2890" s="17"/>
      <c r="K2890" s="17"/>
      <c r="N2890" s="17"/>
    </row>
    <row r="2891">
      <c r="B2891" s="11">
        <f>IFERROR(__xludf.DUMMYFUNCTION("""COMPUTED_VALUE"""),41978.0)</f>
        <v>41978</v>
      </c>
      <c r="C2891" s="9">
        <f>IFERROR(__xludf.DUMMYFUNCTION("""COMPUTED_VALUE"""),2.31)</f>
        <v>2.31</v>
      </c>
      <c r="H2891" s="17"/>
      <c r="K2891" s="17"/>
      <c r="N2891" s="17"/>
    </row>
    <row r="2892">
      <c r="B2892" s="11">
        <f>IFERROR(__xludf.DUMMYFUNCTION("""COMPUTED_VALUE"""),41977.0)</f>
        <v>41977</v>
      </c>
      <c r="C2892" s="9">
        <f>IFERROR(__xludf.DUMMYFUNCTION("""COMPUTED_VALUE"""),2.25)</f>
        <v>2.25</v>
      </c>
      <c r="H2892" s="17"/>
      <c r="K2892" s="17"/>
      <c r="N2892" s="17"/>
    </row>
    <row r="2893">
      <c r="B2893" s="11">
        <f>IFERROR(__xludf.DUMMYFUNCTION("""COMPUTED_VALUE"""),41976.0)</f>
        <v>41976</v>
      </c>
      <c r="C2893" s="9">
        <f>IFERROR(__xludf.DUMMYFUNCTION("""COMPUTED_VALUE"""),2.29)</f>
        <v>2.29</v>
      </c>
      <c r="H2893" s="17"/>
      <c r="K2893" s="17"/>
      <c r="N2893" s="17"/>
    </row>
    <row r="2894">
      <c r="B2894" s="11">
        <f>IFERROR(__xludf.DUMMYFUNCTION("""COMPUTED_VALUE"""),41975.0)</f>
        <v>41975</v>
      </c>
      <c r="C2894" s="9">
        <f>IFERROR(__xludf.DUMMYFUNCTION("""COMPUTED_VALUE"""),2.28)</f>
        <v>2.28</v>
      </c>
      <c r="H2894" s="17"/>
      <c r="K2894" s="17"/>
      <c r="N2894" s="17"/>
    </row>
    <row r="2895">
      <c r="B2895" s="11">
        <f>IFERROR(__xludf.DUMMYFUNCTION("""COMPUTED_VALUE"""),41974.0)</f>
        <v>41974</v>
      </c>
      <c r="C2895" s="9">
        <f>IFERROR(__xludf.DUMMYFUNCTION("""COMPUTED_VALUE"""),2.22)</f>
        <v>2.22</v>
      </c>
      <c r="H2895" s="17"/>
      <c r="K2895" s="17"/>
      <c r="N2895" s="17"/>
    </row>
    <row r="2896">
      <c r="B2896" s="11">
        <f>IFERROR(__xludf.DUMMYFUNCTION("""COMPUTED_VALUE"""),41971.0)</f>
        <v>41971</v>
      </c>
      <c r="C2896" s="9">
        <f>IFERROR(__xludf.DUMMYFUNCTION("""COMPUTED_VALUE"""),2.18)</f>
        <v>2.18</v>
      </c>
      <c r="H2896" s="17"/>
      <c r="K2896" s="17"/>
      <c r="N2896" s="17"/>
    </row>
    <row r="2897">
      <c r="B2897" s="11">
        <f>IFERROR(__xludf.DUMMYFUNCTION("""COMPUTED_VALUE"""),41970.0)</f>
        <v>41970</v>
      </c>
      <c r="C2897" s="9"/>
      <c r="H2897" s="17"/>
      <c r="K2897" s="17"/>
      <c r="N2897" s="17"/>
    </row>
    <row r="2898">
      <c r="B2898" s="11">
        <f>IFERROR(__xludf.DUMMYFUNCTION("""COMPUTED_VALUE"""),41969.0)</f>
        <v>41969</v>
      </c>
      <c r="C2898" s="9">
        <f>IFERROR(__xludf.DUMMYFUNCTION("""COMPUTED_VALUE"""),2.24)</f>
        <v>2.24</v>
      </c>
      <c r="H2898" s="17"/>
      <c r="K2898" s="17"/>
      <c r="N2898" s="17"/>
    </row>
    <row r="2899">
      <c r="B2899" s="11">
        <f>IFERROR(__xludf.DUMMYFUNCTION("""COMPUTED_VALUE"""),41968.0)</f>
        <v>41968</v>
      </c>
      <c r="C2899" s="9">
        <f>IFERROR(__xludf.DUMMYFUNCTION("""COMPUTED_VALUE"""),2.27)</f>
        <v>2.27</v>
      </c>
      <c r="H2899" s="17"/>
      <c r="K2899" s="17"/>
      <c r="N2899" s="17"/>
    </row>
    <row r="2900">
      <c r="B2900" s="11">
        <f>IFERROR(__xludf.DUMMYFUNCTION("""COMPUTED_VALUE"""),41967.0)</f>
        <v>41967</v>
      </c>
      <c r="C2900" s="9">
        <f>IFERROR(__xludf.DUMMYFUNCTION("""COMPUTED_VALUE"""),2.3)</f>
        <v>2.3</v>
      </c>
      <c r="H2900" s="17"/>
      <c r="K2900" s="17"/>
      <c r="N2900" s="17"/>
    </row>
    <row r="2901">
      <c r="B2901" s="11">
        <f>IFERROR(__xludf.DUMMYFUNCTION("""COMPUTED_VALUE"""),41964.0)</f>
        <v>41964</v>
      </c>
      <c r="C2901" s="9">
        <f>IFERROR(__xludf.DUMMYFUNCTION("""COMPUTED_VALUE"""),2.31)</f>
        <v>2.31</v>
      </c>
      <c r="H2901" s="17"/>
      <c r="K2901" s="17"/>
      <c r="N2901" s="17"/>
    </row>
    <row r="2902">
      <c r="B2902" s="11">
        <f>IFERROR(__xludf.DUMMYFUNCTION("""COMPUTED_VALUE"""),41963.0)</f>
        <v>41963</v>
      </c>
      <c r="C2902" s="9">
        <f>IFERROR(__xludf.DUMMYFUNCTION("""COMPUTED_VALUE"""),2.34)</f>
        <v>2.34</v>
      </c>
      <c r="H2902" s="17"/>
      <c r="K2902" s="17"/>
      <c r="N2902" s="17"/>
    </row>
    <row r="2903">
      <c r="B2903" s="11">
        <f>IFERROR(__xludf.DUMMYFUNCTION("""COMPUTED_VALUE"""),41962.0)</f>
        <v>41962</v>
      </c>
      <c r="C2903" s="9">
        <f>IFERROR(__xludf.DUMMYFUNCTION("""COMPUTED_VALUE"""),2.36)</f>
        <v>2.36</v>
      </c>
      <c r="H2903" s="17"/>
      <c r="K2903" s="17"/>
      <c r="N2903" s="17"/>
    </row>
    <row r="2904">
      <c r="B2904" s="11">
        <f>IFERROR(__xludf.DUMMYFUNCTION("""COMPUTED_VALUE"""),41961.0)</f>
        <v>41961</v>
      </c>
      <c r="C2904" s="9">
        <f>IFERROR(__xludf.DUMMYFUNCTION("""COMPUTED_VALUE"""),2.32)</f>
        <v>2.32</v>
      </c>
      <c r="H2904" s="17"/>
      <c r="K2904" s="17"/>
      <c r="N2904" s="17"/>
    </row>
    <row r="2905">
      <c r="B2905" s="11">
        <f>IFERROR(__xludf.DUMMYFUNCTION("""COMPUTED_VALUE"""),41960.0)</f>
        <v>41960</v>
      </c>
      <c r="C2905" s="9">
        <f>IFERROR(__xludf.DUMMYFUNCTION("""COMPUTED_VALUE"""),2.34)</f>
        <v>2.34</v>
      </c>
      <c r="H2905" s="17"/>
      <c r="K2905" s="17"/>
      <c r="N2905" s="17"/>
    </row>
    <row r="2906">
      <c r="B2906" s="11">
        <f>IFERROR(__xludf.DUMMYFUNCTION("""COMPUTED_VALUE"""),41957.0)</f>
        <v>41957</v>
      </c>
      <c r="C2906" s="9">
        <f>IFERROR(__xludf.DUMMYFUNCTION("""COMPUTED_VALUE"""),2.32)</f>
        <v>2.32</v>
      </c>
      <c r="H2906" s="17"/>
      <c r="K2906" s="17"/>
      <c r="N2906" s="17"/>
    </row>
    <row r="2907">
      <c r="B2907" s="11">
        <f>IFERROR(__xludf.DUMMYFUNCTION("""COMPUTED_VALUE"""),41956.0)</f>
        <v>41956</v>
      </c>
      <c r="C2907" s="9">
        <f>IFERROR(__xludf.DUMMYFUNCTION("""COMPUTED_VALUE"""),2.35)</f>
        <v>2.35</v>
      </c>
      <c r="H2907" s="17"/>
      <c r="K2907" s="17"/>
      <c r="N2907" s="17"/>
    </row>
    <row r="2908">
      <c r="B2908" s="11">
        <f>IFERROR(__xludf.DUMMYFUNCTION("""COMPUTED_VALUE"""),41955.0)</f>
        <v>41955</v>
      </c>
      <c r="C2908" s="9">
        <f>IFERROR(__xludf.DUMMYFUNCTION("""COMPUTED_VALUE"""),2.37)</f>
        <v>2.37</v>
      </c>
      <c r="H2908" s="17"/>
      <c r="K2908" s="17"/>
      <c r="N2908" s="17"/>
    </row>
    <row r="2909">
      <c r="B2909" s="11">
        <f>IFERROR(__xludf.DUMMYFUNCTION("""COMPUTED_VALUE"""),41954.0)</f>
        <v>41954</v>
      </c>
      <c r="C2909" s="9"/>
      <c r="H2909" s="17"/>
      <c r="K2909" s="17"/>
      <c r="N2909" s="17"/>
    </row>
    <row r="2910">
      <c r="B2910" s="11">
        <f>IFERROR(__xludf.DUMMYFUNCTION("""COMPUTED_VALUE"""),41953.0)</f>
        <v>41953</v>
      </c>
      <c r="C2910" s="9">
        <f>IFERROR(__xludf.DUMMYFUNCTION("""COMPUTED_VALUE"""),2.38)</f>
        <v>2.38</v>
      </c>
      <c r="H2910" s="17"/>
      <c r="K2910" s="17"/>
      <c r="N2910" s="17"/>
    </row>
    <row r="2911">
      <c r="B2911" s="11">
        <f>IFERROR(__xludf.DUMMYFUNCTION("""COMPUTED_VALUE"""),41950.0)</f>
        <v>41950</v>
      </c>
      <c r="C2911" s="9">
        <f>IFERROR(__xludf.DUMMYFUNCTION("""COMPUTED_VALUE"""),2.32)</f>
        <v>2.32</v>
      </c>
      <c r="H2911" s="17"/>
      <c r="K2911" s="17"/>
      <c r="N2911" s="17"/>
    </row>
    <row r="2912">
      <c r="B2912" s="11">
        <f>IFERROR(__xludf.DUMMYFUNCTION("""COMPUTED_VALUE"""),41949.0)</f>
        <v>41949</v>
      </c>
      <c r="C2912" s="9">
        <f>IFERROR(__xludf.DUMMYFUNCTION("""COMPUTED_VALUE"""),2.39)</f>
        <v>2.39</v>
      </c>
      <c r="H2912" s="17"/>
      <c r="K2912" s="17"/>
      <c r="N2912" s="17"/>
    </row>
    <row r="2913">
      <c r="B2913" s="11">
        <f>IFERROR(__xludf.DUMMYFUNCTION("""COMPUTED_VALUE"""),41948.0)</f>
        <v>41948</v>
      </c>
      <c r="C2913" s="9">
        <f>IFERROR(__xludf.DUMMYFUNCTION("""COMPUTED_VALUE"""),2.36)</f>
        <v>2.36</v>
      </c>
      <c r="H2913" s="17"/>
      <c r="K2913" s="17"/>
      <c r="N2913" s="17"/>
    </row>
    <row r="2914">
      <c r="B2914" s="11">
        <f>IFERROR(__xludf.DUMMYFUNCTION("""COMPUTED_VALUE"""),41947.0)</f>
        <v>41947</v>
      </c>
      <c r="C2914" s="9">
        <f>IFERROR(__xludf.DUMMYFUNCTION("""COMPUTED_VALUE"""),2.35)</f>
        <v>2.35</v>
      </c>
      <c r="H2914" s="17"/>
      <c r="K2914" s="17"/>
      <c r="N2914" s="17"/>
    </row>
    <row r="2915">
      <c r="B2915" s="11">
        <f>IFERROR(__xludf.DUMMYFUNCTION("""COMPUTED_VALUE"""),41946.0)</f>
        <v>41946</v>
      </c>
      <c r="C2915" s="9">
        <f>IFERROR(__xludf.DUMMYFUNCTION("""COMPUTED_VALUE"""),2.36)</f>
        <v>2.36</v>
      </c>
      <c r="H2915" s="17"/>
      <c r="K2915" s="17"/>
      <c r="N2915" s="17"/>
    </row>
    <row r="2916">
      <c r="B2916" s="11">
        <f>IFERROR(__xludf.DUMMYFUNCTION("""COMPUTED_VALUE"""),41943.0)</f>
        <v>41943</v>
      </c>
      <c r="C2916" s="9">
        <f>IFERROR(__xludf.DUMMYFUNCTION("""COMPUTED_VALUE"""),2.35)</f>
        <v>2.35</v>
      </c>
      <c r="H2916" s="17"/>
      <c r="K2916" s="17"/>
      <c r="N2916" s="17"/>
    </row>
    <row r="2917">
      <c r="B2917" s="11">
        <f>IFERROR(__xludf.DUMMYFUNCTION("""COMPUTED_VALUE"""),41942.0)</f>
        <v>41942</v>
      </c>
      <c r="C2917" s="9">
        <f>IFERROR(__xludf.DUMMYFUNCTION("""COMPUTED_VALUE"""),2.32)</f>
        <v>2.32</v>
      </c>
      <c r="H2917" s="17"/>
      <c r="K2917" s="17"/>
      <c r="N2917" s="17"/>
    </row>
    <row r="2918">
      <c r="B2918" s="11">
        <f>IFERROR(__xludf.DUMMYFUNCTION("""COMPUTED_VALUE"""),41941.0)</f>
        <v>41941</v>
      </c>
      <c r="C2918" s="9">
        <f>IFERROR(__xludf.DUMMYFUNCTION("""COMPUTED_VALUE"""),2.34)</f>
        <v>2.34</v>
      </c>
      <c r="H2918" s="17"/>
      <c r="K2918" s="17"/>
      <c r="N2918" s="17"/>
    </row>
    <row r="2919">
      <c r="B2919" s="11">
        <f>IFERROR(__xludf.DUMMYFUNCTION("""COMPUTED_VALUE"""),41940.0)</f>
        <v>41940</v>
      </c>
      <c r="C2919" s="9">
        <f>IFERROR(__xludf.DUMMYFUNCTION("""COMPUTED_VALUE"""),2.3)</f>
        <v>2.3</v>
      </c>
      <c r="H2919" s="17"/>
      <c r="K2919" s="17"/>
      <c r="N2919" s="17"/>
    </row>
    <row r="2920">
      <c r="B2920" s="11">
        <f>IFERROR(__xludf.DUMMYFUNCTION("""COMPUTED_VALUE"""),41939.0)</f>
        <v>41939</v>
      </c>
      <c r="C2920" s="9">
        <f>IFERROR(__xludf.DUMMYFUNCTION("""COMPUTED_VALUE"""),2.27)</f>
        <v>2.27</v>
      </c>
      <c r="H2920" s="17"/>
      <c r="K2920" s="17"/>
      <c r="N2920" s="17"/>
    </row>
    <row r="2921">
      <c r="B2921" s="11">
        <f>IFERROR(__xludf.DUMMYFUNCTION("""COMPUTED_VALUE"""),41936.0)</f>
        <v>41936</v>
      </c>
      <c r="C2921" s="9">
        <f>IFERROR(__xludf.DUMMYFUNCTION("""COMPUTED_VALUE"""),2.29)</f>
        <v>2.29</v>
      </c>
      <c r="H2921" s="17"/>
      <c r="K2921" s="17"/>
      <c r="N2921" s="17"/>
    </row>
    <row r="2922">
      <c r="B2922" s="11">
        <f>IFERROR(__xludf.DUMMYFUNCTION("""COMPUTED_VALUE"""),41935.0)</f>
        <v>41935</v>
      </c>
      <c r="C2922" s="9">
        <f>IFERROR(__xludf.DUMMYFUNCTION("""COMPUTED_VALUE"""),2.29)</f>
        <v>2.29</v>
      </c>
      <c r="H2922" s="17"/>
      <c r="K2922" s="17"/>
      <c r="N2922" s="17"/>
    </row>
    <row r="2923">
      <c r="B2923" s="11">
        <f>IFERROR(__xludf.DUMMYFUNCTION("""COMPUTED_VALUE"""),41934.0)</f>
        <v>41934</v>
      </c>
      <c r="C2923" s="9">
        <f>IFERROR(__xludf.DUMMYFUNCTION("""COMPUTED_VALUE"""),2.25)</f>
        <v>2.25</v>
      </c>
      <c r="H2923" s="17"/>
      <c r="K2923" s="17"/>
      <c r="N2923" s="17"/>
    </row>
    <row r="2924">
      <c r="B2924" s="11">
        <f>IFERROR(__xludf.DUMMYFUNCTION("""COMPUTED_VALUE"""),41933.0)</f>
        <v>41933</v>
      </c>
      <c r="C2924" s="9">
        <f>IFERROR(__xludf.DUMMYFUNCTION("""COMPUTED_VALUE"""),2.23)</f>
        <v>2.23</v>
      </c>
      <c r="H2924" s="17"/>
      <c r="K2924" s="17"/>
      <c r="N2924" s="17"/>
    </row>
    <row r="2925">
      <c r="B2925" s="11">
        <f>IFERROR(__xludf.DUMMYFUNCTION("""COMPUTED_VALUE"""),41932.0)</f>
        <v>41932</v>
      </c>
      <c r="C2925" s="9">
        <f>IFERROR(__xludf.DUMMYFUNCTION("""COMPUTED_VALUE"""),2.2)</f>
        <v>2.2</v>
      </c>
      <c r="H2925" s="17"/>
      <c r="K2925" s="17"/>
      <c r="N2925" s="17"/>
    </row>
    <row r="2926">
      <c r="B2926" s="11">
        <f>IFERROR(__xludf.DUMMYFUNCTION("""COMPUTED_VALUE"""),41929.0)</f>
        <v>41929</v>
      </c>
      <c r="C2926" s="9">
        <f>IFERROR(__xludf.DUMMYFUNCTION("""COMPUTED_VALUE"""),2.22)</f>
        <v>2.22</v>
      </c>
      <c r="H2926" s="17"/>
      <c r="K2926" s="17"/>
      <c r="N2926" s="17"/>
    </row>
    <row r="2927">
      <c r="B2927" s="11">
        <f>IFERROR(__xludf.DUMMYFUNCTION("""COMPUTED_VALUE"""),41928.0)</f>
        <v>41928</v>
      </c>
      <c r="C2927" s="9">
        <f>IFERROR(__xludf.DUMMYFUNCTION("""COMPUTED_VALUE"""),2.17)</f>
        <v>2.17</v>
      </c>
      <c r="H2927" s="17"/>
      <c r="K2927" s="17"/>
      <c r="N2927" s="17"/>
    </row>
    <row r="2928">
      <c r="B2928" s="11">
        <f>IFERROR(__xludf.DUMMYFUNCTION("""COMPUTED_VALUE"""),41927.0)</f>
        <v>41927</v>
      </c>
      <c r="C2928" s="9">
        <f>IFERROR(__xludf.DUMMYFUNCTION("""COMPUTED_VALUE"""),2.15)</f>
        <v>2.15</v>
      </c>
      <c r="H2928" s="17"/>
      <c r="K2928" s="17"/>
      <c r="N2928" s="17"/>
    </row>
    <row r="2929">
      <c r="B2929" s="11">
        <f>IFERROR(__xludf.DUMMYFUNCTION("""COMPUTED_VALUE"""),41926.0)</f>
        <v>41926</v>
      </c>
      <c r="C2929" s="9">
        <f>IFERROR(__xludf.DUMMYFUNCTION("""COMPUTED_VALUE"""),2.21)</f>
        <v>2.21</v>
      </c>
      <c r="H2929" s="17"/>
      <c r="K2929" s="17"/>
      <c r="N2929" s="17"/>
    </row>
    <row r="2930">
      <c r="B2930" s="11">
        <f>IFERROR(__xludf.DUMMYFUNCTION("""COMPUTED_VALUE"""),41925.0)</f>
        <v>41925</v>
      </c>
      <c r="C2930" s="9"/>
      <c r="H2930" s="17"/>
      <c r="K2930" s="17"/>
      <c r="N2930" s="17"/>
    </row>
    <row r="2931">
      <c r="B2931" s="11">
        <f>IFERROR(__xludf.DUMMYFUNCTION("""COMPUTED_VALUE"""),41922.0)</f>
        <v>41922</v>
      </c>
      <c r="C2931" s="9">
        <f>IFERROR(__xludf.DUMMYFUNCTION("""COMPUTED_VALUE"""),2.31)</f>
        <v>2.31</v>
      </c>
      <c r="H2931" s="17"/>
      <c r="K2931" s="17"/>
      <c r="N2931" s="17"/>
    </row>
    <row r="2932">
      <c r="B2932" s="11">
        <f>IFERROR(__xludf.DUMMYFUNCTION("""COMPUTED_VALUE"""),41921.0)</f>
        <v>41921</v>
      </c>
      <c r="C2932" s="9">
        <f>IFERROR(__xludf.DUMMYFUNCTION("""COMPUTED_VALUE"""),2.34)</f>
        <v>2.34</v>
      </c>
      <c r="H2932" s="17"/>
      <c r="K2932" s="17"/>
      <c r="N2932" s="17"/>
    </row>
    <row r="2933">
      <c r="B2933" s="11">
        <f>IFERROR(__xludf.DUMMYFUNCTION("""COMPUTED_VALUE"""),41920.0)</f>
        <v>41920</v>
      </c>
      <c r="C2933" s="9">
        <f>IFERROR(__xludf.DUMMYFUNCTION("""COMPUTED_VALUE"""),2.35)</f>
        <v>2.35</v>
      </c>
      <c r="H2933" s="17"/>
      <c r="K2933" s="17"/>
      <c r="N2933" s="17"/>
    </row>
    <row r="2934">
      <c r="B2934" s="11">
        <f>IFERROR(__xludf.DUMMYFUNCTION("""COMPUTED_VALUE"""),41919.0)</f>
        <v>41919</v>
      </c>
      <c r="C2934" s="9">
        <f>IFERROR(__xludf.DUMMYFUNCTION("""COMPUTED_VALUE"""),2.36)</f>
        <v>2.36</v>
      </c>
      <c r="H2934" s="17"/>
      <c r="K2934" s="17"/>
      <c r="N2934" s="17"/>
    </row>
    <row r="2935">
      <c r="B2935" s="11">
        <f>IFERROR(__xludf.DUMMYFUNCTION("""COMPUTED_VALUE"""),41918.0)</f>
        <v>41918</v>
      </c>
      <c r="C2935" s="9">
        <f>IFERROR(__xludf.DUMMYFUNCTION("""COMPUTED_VALUE"""),2.43)</f>
        <v>2.43</v>
      </c>
      <c r="H2935" s="17"/>
      <c r="K2935" s="17"/>
      <c r="N2935" s="17"/>
    </row>
    <row r="2936">
      <c r="B2936" s="11">
        <f>IFERROR(__xludf.DUMMYFUNCTION("""COMPUTED_VALUE"""),41915.0)</f>
        <v>41915</v>
      </c>
      <c r="C2936" s="9">
        <f>IFERROR(__xludf.DUMMYFUNCTION("""COMPUTED_VALUE"""),2.45)</f>
        <v>2.45</v>
      </c>
      <c r="H2936" s="17"/>
      <c r="K2936" s="17"/>
      <c r="N2936" s="17"/>
    </row>
    <row r="2937">
      <c r="B2937" s="11">
        <f>IFERROR(__xludf.DUMMYFUNCTION("""COMPUTED_VALUE"""),41914.0)</f>
        <v>41914</v>
      </c>
      <c r="C2937" s="9">
        <f>IFERROR(__xludf.DUMMYFUNCTION("""COMPUTED_VALUE"""),2.44)</f>
        <v>2.44</v>
      </c>
      <c r="H2937" s="17"/>
      <c r="K2937" s="17"/>
      <c r="N2937" s="17"/>
    </row>
    <row r="2938">
      <c r="B2938" s="11">
        <f>IFERROR(__xludf.DUMMYFUNCTION("""COMPUTED_VALUE"""),41913.0)</f>
        <v>41913</v>
      </c>
      <c r="C2938" s="9">
        <f>IFERROR(__xludf.DUMMYFUNCTION("""COMPUTED_VALUE"""),2.42)</f>
        <v>2.42</v>
      </c>
      <c r="H2938" s="17"/>
      <c r="K2938" s="17"/>
      <c r="N2938" s="17"/>
    </row>
    <row r="2939">
      <c r="B2939" s="11">
        <f>IFERROR(__xludf.DUMMYFUNCTION("""COMPUTED_VALUE"""),41912.0)</f>
        <v>41912</v>
      </c>
      <c r="C2939" s="9">
        <f>IFERROR(__xludf.DUMMYFUNCTION("""COMPUTED_VALUE"""),2.52)</f>
        <v>2.52</v>
      </c>
      <c r="H2939" s="17"/>
      <c r="K2939" s="17"/>
      <c r="N2939" s="17"/>
    </row>
    <row r="2940">
      <c r="B2940" s="11">
        <f>IFERROR(__xludf.DUMMYFUNCTION("""COMPUTED_VALUE"""),41911.0)</f>
        <v>41911</v>
      </c>
      <c r="C2940" s="9">
        <f>IFERROR(__xludf.DUMMYFUNCTION("""COMPUTED_VALUE"""),2.5)</f>
        <v>2.5</v>
      </c>
      <c r="H2940" s="17"/>
      <c r="K2940" s="17"/>
      <c r="N2940" s="17"/>
    </row>
    <row r="2941">
      <c r="B2941" s="11">
        <f>IFERROR(__xludf.DUMMYFUNCTION("""COMPUTED_VALUE"""),41908.0)</f>
        <v>41908</v>
      </c>
      <c r="C2941" s="9">
        <f>IFERROR(__xludf.DUMMYFUNCTION("""COMPUTED_VALUE"""),2.54)</f>
        <v>2.54</v>
      </c>
      <c r="H2941" s="17"/>
      <c r="K2941" s="17"/>
      <c r="N2941" s="17"/>
    </row>
    <row r="2942">
      <c r="B2942" s="11">
        <f>IFERROR(__xludf.DUMMYFUNCTION("""COMPUTED_VALUE"""),41907.0)</f>
        <v>41907</v>
      </c>
      <c r="C2942" s="9">
        <f>IFERROR(__xludf.DUMMYFUNCTION("""COMPUTED_VALUE"""),2.52)</f>
        <v>2.52</v>
      </c>
      <c r="H2942" s="17"/>
      <c r="K2942" s="17"/>
      <c r="N2942" s="17"/>
    </row>
    <row r="2943">
      <c r="B2943" s="11">
        <f>IFERROR(__xludf.DUMMYFUNCTION("""COMPUTED_VALUE"""),41906.0)</f>
        <v>41906</v>
      </c>
      <c r="C2943" s="9">
        <f>IFERROR(__xludf.DUMMYFUNCTION("""COMPUTED_VALUE"""),2.57)</f>
        <v>2.57</v>
      </c>
      <c r="H2943" s="17"/>
      <c r="K2943" s="17"/>
      <c r="N2943" s="17"/>
    </row>
    <row r="2944">
      <c r="B2944" s="11">
        <f>IFERROR(__xludf.DUMMYFUNCTION("""COMPUTED_VALUE"""),41905.0)</f>
        <v>41905</v>
      </c>
      <c r="C2944" s="9">
        <f>IFERROR(__xludf.DUMMYFUNCTION("""COMPUTED_VALUE"""),2.54)</f>
        <v>2.54</v>
      </c>
      <c r="H2944" s="17"/>
      <c r="K2944" s="17"/>
      <c r="N2944" s="17"/>
    </row>
    <row r="2945">
      <c r="B2945" s="11">
        <f>IFERROR(__xludf.DUMMYFUNCTION("""COMPUTED_VALUE"""),41904.0)</f>
        <v>41904</v>
      </c>
      <c r="C2945" s="9">
        <f>IFERROR(__xludf.DUMMYFUNCTION("""COMPUTED_VALUE"""),2.57)</f>
        <v>2.57</v>
      </c>
      <c r="H2945" s="17"/>
      <c r="K2945" s="17"/>
      <c r="N2945" s="17"/>
    </row>
    <row r="2946">
      <c r="B2946" s="11">
        <f>IFERROR(__xludf.DUMMYFUNCTION("""COMPUTED_VALUE"""),41901.0)</f>
        <v>41901</v>
      </c>
      <c r="C2946" s="9">
        <f>IFERROR(__xludf.DUMMYFUNCTION("""COMPUTED_VALUE"""),2.59)</f>
        <v>2.59</v>
      </c>
      <c r="H2946" s="17"/>
      <c r="K2946" s="17"/>
      <c r="N2946" s="17"/>
    </row>
    <row r="2947">
      <c r="B2947" s="11">
        <f>IFERROR(__xludf.DUMMYFUNCTION("""COMPUTED_VALUE"""),41900.0)</f>
        <v>41900</v>
      </c>
      <c r="C2947" s="9">
        <f>IFERROR(__xludf.DUMMYFUNCTION("""COMPUTED_VALUE"""),2.63)</f>
        <v>2.63</v>
      </c>
      <c r="H2947" s="17"/>
      <c r="K2947" s="17"/>
      <c r="N2947" s="17"/>
    </row>
    <row r="2948">
      <c r="B2948" s="11">
        <f>IFERROR(__xludf.DUMMYFUNCTION("""COMPUTED_VALUE"""),41899.0)</f>
        <v>41899</v>
      </c>
      <c r="C2948" s="9">
        <f>IFERROR(__xludf.DUMMYFUNCTION("""COMPUTED_VALUE"""),2.62)</f>
        <v>2.62</v>
      </c>
      <c r="H2948" s="17"/>
      <c r="K2948" s="17"/>
      <c r="N2948" s="17"/>
    </row>
    <row r="2949">
      <c r="B2949" s="11">
        <f>IFERROR(__xludf.DUMMYFUNCTION("""COMPUTED_VALUE"""),41898.0)</f>
        <v>41898</v>
      </c>
      <c r="C2949" s="9">
        <f>IFERROR(__xludf.DUMMYFUNCTION("""COMPUTED_VALUE"""),2.6)</f>
        <v>2.6</v>
      </c>
      <c r="H2949" s="17"/>
      <c r="K2949" s="17"/>
      <c r="N2949" s="17"/>
    </row>
    <row r="2950">
      <c r="B2950" s="11">
        <f>IFERROR(__xludf.DUMMYFUNCTION("""COMPUTED_VALUE"""),41897.0)</f>
        <v>41897</v>
      </c>
      <c r="C2950" s="9">
        <f>IFERROR(__xludf.DUMMYFUNCTION("""COMPUTED_VALUE"""),2.6)</f>
        <v>2.6</v>
      </c>
      <c r="H2950" s="17"/>
      <c r="K2950" s="17"/>
      <c r="N2950" s="17"/>
    </row>
    <row r="2951">
      <c r="B2951" s="11">
        <f>IFERROR(__xludf.DUMMYFUNCTION("""COMPUTED_VALUE"""),41894.0)</f>
        <v>41894</v>
      </c>
      <c r="C2951" s="9">
        <f>IFERROR(__xludf.DUMMYFUNCTION("""COMPUTED_VALUE"""),2.62)</f>
        <v>2.62</v>
      </c>
      <c r="H2951" s="17"/>
      <c r="K2951" s="17"/>
      <c r="N2951" s="17"/>
    </row>
    <row r="2952">
      <c r="B2952" s="11">
        <f>IFERROR(__xludf.DUMMYFUNCTION("""COMPUTED_VALUE"""),41893.0)</f>
        <v>41893</v>
      </c>
      <c r="C2952" s="9">
        <f>IFERROR(__xludf.DUMMYFUNCTION("""COMPUTED_VALUE"""),2.54)</f>
        <v>2.54</v>
      </c>
      <c r="H2952" s="17"/>
      <c r="K2952" s="17"/>
      <c r="N2952" s="17"/>
    </row>
    <row r="2953">
      <c r="B2953" s="11">
        <f>IFERROR(__xludf.DUMMYFUNCTION("""COMPUTED_VALUE"""),41892.0)</f>
        <v>41892</v>
      </c>
      <c r="C2953" s="9">
        <f>IFERROR(__xludf.DUMMYFUNCTION("""COMPUTED_VALUE"""),2.54)</f>
        <v>2.54</v>
      </c>
      <c r="H2953" s="17"/>
      <c r="K2953" s="17"/>
      <c r="N2953" s="17"/>
    </row>
    <row r="2954">
      <c r="B2954" s="11">
        <f>IFERROR(__xludf.DUMMYFUNCTION("""COMPUTED_VALUE"""),41891.0)</f>
        <v>41891</v>
      </c>
      <c r="C2954" s="9">
        <f>IFERROR(__xludf.DUMMYFUNCTION("""COMPUTED_VALUE"""),2.5)</f>
        <v>2.5</v>
      </c>
      <c r="H2954" s="17"/>
      <c r="K2954" s="17"/>
      <c r="N2954" s="17"/>
    </row>
    <row r="2955">
      <c r="B2955" s="11">
        <f>IFERROR(__xludf.DUMMYFUNCTION("""COMPUTED_VALUE"""),41890.0)</f>
        <v>41890</v>
      </c>
      <c r="C2955" s="9">
        <f>IFERROR(__xludf.DUMMYFUNCTION("""COMPUTED_VALUE"""),2.48)</f>
        <v>2.48</v>
      </c>
      <c r="H2955" s="17"/>
      <c r="K2955" s="17"/>
      <c r="N2955" s="17"/>
    </row>
    <row r="2956">
      <c r="B2956" s="11">
        <f>IFERROR(__xludf.DUMMYFUNCTION("""COMPUTED_VALUE"""),41887.0)</f>
        <v>41887</v>
      </c>
      <c r="C2956" s="9">
        <f>IFERROR(__xludf.DUMMYFUNCTION("""COMPUTED_VALUE"""),2.46)</f>
        <v>2.46</v>
      </c>
      <c r="H2956" s="17"/>
      <c r="K2956" s="17"/>
      <c r="N2956" s="17"/>
    </row>
    <row r="2957">
      <c r="B2957" s="11">
        <f>IFERROR(__xludf.DUMMYFUNCTION("""COMPUTED_VALUE"""),41886.0)</f>
        <v>41886</v>
      </c>
      <c r="C2957" s="9">
        <f>IFERROR(__xludf.DUMMYFUNCTION("""COMPUTED_VALUE"""),2.45)</f>
        <v>2.45</v>
      </c>
      <c r="H2957" s="17"/>
      <c r="K2957" s="17"/>
      <c r="N2957" s="17"/>
    </row>
    <row r="2958">
      <c r="B2958" s="11">
        <f>IFERROR(__xludf.DUMMYFUNCTION("""COMPUTED_VALUE"""),41885.0)</f>
        <v>41885</v>
      </c>
      <c r="C2958" s="9">
        <f>IFERROR(__xludf.DUMMYFUNCTION("""COMPUTED_VALUE"""),2.41)</f>
        <v>2.41</v>
      </c>
      <c r="H2958" s="17"/>
      <c r="K2958" s="17"/>
      <c r="N2958" s="17"/>
    </row>
    <row r="2959">
      <c r="B2959" s="11">
        <f>IFERROR(__xludf.DUMMYFUNCTION("""COMPUTED_VALUE"""),41884.0)</f>
        <v>41884</v>
      </c>
      <c r="C2959" s="9">
        <f>IFERROR(__xludf.DUMMYFUNCTION("""COMPUTED_VALUE"""),2.42)</f>
        <v>2.42</v>
      </c>
      <c r="H2959" s="17"/>
      <c r="K2959" s="17"/>
      <c r="N2959" s="17"/>
    </row>
    <row r="2960">
      <c r="B2960" s="11">
        <f>IFERROR(__xludf.DUMMYFUNCTION("""COMPUTED_VALUE"""),41883.0)</f>
        <v>41883</v>
      </c>
      <c r="C2960" s="9"/>
      <c r="H2960" s="17"/>
      <c r="K2960" s="17"/>
      <c r="N2960" s="17"/>
    </row>
    <row r="2961">
      <c r="B2961" s="11">
        <f>IFERROR(__xludf.DUMMYFUNCTION("""COMPUTED_VALUE"""),41880.0)</f>
        <v>41880</v>
      </c>
      <c r="C2961" s="9">
        <f>IFERROR(__xludf.DUMMYFUNCTION("""COMPUTED_VALUE"""),2.35)</f>
        <v>2.35</v>
      </c>
      <c r="H2961" s="17"/>
      <c r="K2961" s="17"/>
      <c r="N2961" s="17"/>
    </row>
    <row r="2962">
      <c r="B2962" s="11">
        <f>IFERROR(__xludf.DUMMYFUNCTION("""COMPUTED_VALUE"""),41879.0)</f>
        <v>41879</v>
      </c>
      <c r="C2962" s="9">
        <f>IFERROR(__xludf.DUMMYFUNCTION("""COMPUTED_VALUE"""),2.34)</f>
        <v>2.34</v>
      </c>
      <c r="H2962" s="17"/>
      <c r="K2962" s="17"/>
      <c r="N2962" s="17"/>
    </row>
    <row r="2963">
      <c r="B2963" s="11">
        <f>IFERROR(__xludf.DUMMYFUNCTION("""COMPUTED_VALUE"""),41878.0)</f>
        <v>41878</v>
      </c>
      <c r="C2963" s="9">
        <f>IFERROR(__xludf.DUMMYFUNCTION("""COMPUTED_VALUE"""),2.37)</f>
        <v>2.37</v>
      </c>
      <c r="H2963" s="17"/>
      <c r="K2963" s="17"/>
      <c r="N2963" s="17"/>
    </row>
    <row r="2964">
      <c r="B2964" s="11">
        <f>IFERROR(__xludf.DUMMYFUNCTION("""COMPUTED_VALUE"""),41877.0)</f>
        <v>41877</v>
      </c>
      <c r="C2964" s="9">
        <f>IFERROR(__xludf.DUMMYFUNCTION("""COMPUTED_VALUE"""),2.39)</f>
        <v>2.39</v>
      </c>
      <c r="H2964" s="17"/>
      <c r="K2964" s="17"/>
      <c r="N2964" s="17"/>
    </row>
    <row r="2965">
      <c r="B2965" s="11">
        <f>IFERROR(__xludf.DUMMYFUNCTION("""COMPUTED_VALUE"""),41876.0)</f>
        <v>41876</v>
      </c>
      <c r="C2965" s="9">
        <f>IFERROR(__xludf.DUMMYFUNCTION("""COMPUTED_VALUE"""),2.39)</f>
        <v>2.39</v>
      </c>
      <c r="H2965" s="17"/>
      <c r="K2965" s="17"/>
      <c r="N2965" s="17"/>
    </row>
    <row r="2966">
      <c r="B2966" s="11">
        <f>IFERROR(__xludf.DUMMYFUNCTION("""COMPUTED_VALUE"""),41873.0)</f>
        <v>41873</v>
      </c>
      <c r="C2966" s="9">
        <f>IFERROR(__xludf.DUMMYFUNCTION("""COMPUTED_VALUE"""),2.4)</f>
        <v>2.4</v>
      </c>
      <c r="H2966" s="17"/>
      <c r="K2966" s="17"/>
      <c r="N2966" s="17"/>
    </row>
    <row r="2967">
      <c r="B2967" s="11">
        <f>IFERROR(__xludf.DUMMYFUNCTION("""COMPUTED_VALUE"""),41872.0)</f>
        <v>41872</v>
      </c>
      <c r="C2967" s="9">
        <f>IFERROR(__xludf.DUMMYFUNCTION("""COMPUTED_VALUE"""),2.41)</f>
        <v>2.41</v>
      </c>
      <c r="H2967" s="17"/>
      <c r="K2967" s="17"/>
      <c r="N2967" s="17"/>
    </row>
    <row r="2968">
      <c r="B2968" s="11">
        <f>IFERROR(__xludf.DUMMYFUNCTION("""COMPUTED_VALUE"""),41871.0)</f>
        <v>41871</v>
      </c>
      <c r="C2968" s="9">
        <f>IFERROR(__xludf.DUMMYFUNCTION("""COMPUTED_VALUE"""),2.43)</f>
        <v>2.43</v>
      </c>
      <c r="H2968" s="17"/>
      <c r="K2968" s="17"/>
      <c r="N2968" s="17"/>
    </row>
    <row r="2969">
      <c r="B2969" s="11">
        <f>IFERROR(__xludf.DUMMYFUNCTION("""COMPUTED_VALUE"""),41870.0)</f>
        <v>41870</v>
      </c>
      <c r="C2969" s="9">
        <f>IFERROR(__xludf.DUMMYFUNCTION("""COMPUTED_VALUE"""),2.4)</f>
        <v>2.4</v>
      </c>
      <c r="H2969" s="17"/>
      <c r="K2969" s="17"/>
      <c r="N2969" s="17"/>
    </row>
    <row r="2970">
      <c r="B2970" s="11">
        <f>IFERROR(__xludf.DUMMYFUNCTION("""COMPUTED_VALUE"""),41869.0)</f>
        <v>41869</v>
      </c>
      <c r="C2970" s="9">
        <f>IFERROR(__xludf.DUMMYFUNCTION("""COMPUTED_VALUE"""),2.39)</f>
        <v>2.39</v>
      </c>
      <c r="H2970" s="17"/>
      <c r="K2970" s="17"/>
      <c r="N2970" s="17"/>
    </row>
    <row r="2971">
      <c r="B2971" s="11">
        <f>IFERROR(__xludf.DUMMYFUNCTION("""COMPUTED_VALUE"""),41866.0)</f>
        <v>41866</v>
      </c>
      <c r="C2971" s="9">
        <f>IFERROR(__xludf.DUMMYFUNCTION("""COMPUTED_VALUE"""),2.34)</f>
        <v>2.34</v>
      </c>
      <c r="H2971" s="17"/>
      <c r="K2971" s="17"/>
      <c r="N2971" s="17"/>
    </row>
    <row r="2972">
      <c r="B2972" s="11">
        <f>IFERROR(__xludf.DUMMYFUNCTION("""COMPUTED_VALUE"""),41865.0)</f>
        <v>41865</v>
      </c>
      <c r="C2972" s="9">
        <f>IFERROR(__xludf.DUMMYFUNCTION("""COMPUTED_VALUE"""),2.4)</f>
        <v>2.4</v>
      </c>
      <c r="H2972" s="17"/>
      <c r="K2972" s="17"/>
      <c r="N2972" s="17"/>
    </row>
    <row r="2973">
      <c r="B2973" s="11">
        <f>IFERROR(__xludf.DUMMYFUNCTION("""COMPUTED_VALUE"""),41864.0)</f>
        <v>41864</v>
      </c>
      <c r="C2973" s="9">
        <f>IFERROR(__xludf.DUMMYFUNCTION("""COMPUTED_VALUE"""),2.43)</f>
        <v>2.43</v>
      </c>
      <c r="H2973" s="17"/>
      <c r="K2973" s="17"/>
      <c r="N2973" s="17"/>
    </row>
    <row r="2974">
      <c r="B2974" s="11">
        <f>IFERROR(__xludf.DUMMYFUNCTION("""COMPUTED_VALUE"""),41863.0)</f>
        <v>41863</v>
      </c>
      <c r="C2974" s="9">
        <f>IFERROR(__xludf.DUMMYFUNCTION("""COMPUTED_VALUE"""),2.46)</f>
        <v>2.46</v>
      </c>
      <c r="H2974" s="17"/>
      <c r="K2974" s="17"/>
      <c r="N2974" s="17"/>
    </row>
    <row r="2975">
      <c r="B2975" s="11">
        <f>IFERROR(__xludf.DUMMYFUNCTION("""COMPUTED_VALUE"""),41862.0)</f>
        <v>41862</v>
      </c>
      <c r="C2975" s="9">
        <f>IFERROR(__xludf.DUMMYFUNCTION("""COMPUTED_VALUE"""),2.44)</f>
        <v>2.44</v>
      </c>
      <c r="H2975" s="17"/>
      <c r="K2975" s="17"/>
      <c r="N2975" s="17"/>
    </row>
    <row r="2976">
      <c r="B2976" s="11">
        <f>IFERROR(__xludf.DUMMYFUNCTION("""COMPUTED_VALUE"""),41859.0)</f>
        <v>41859</v>
      </c>
      <c r="C2976" s="9">
        <f>IFERROR(__xludf.DUMMYFUNCTION("""COMPUTED_VALUE"""),2.44)</f>
        <v>2.44</v>
      </c>
      <c r="H2976" s="17"/>
      <c r="K2976" s="17"/>
      <c r="N2976" s="17"/>
    </row>
    <row r="2977">
      <c r="B2977" s="11">
        <f>IFERROR(__xludf.DUMMYFUNCTION("""COMPUTED_VALUE"""),41858.0)</f>
        <v>41858</v>
      </c>
      <c r="C2977" s="9">
        <f>IFERROR(__xludf.DUMMYFUNCTION("""COMPUTED_VALUE"""),2.43)</f>
        <v>2.43</v>
      </c>
      <c r="H2977" s="17"/>
      <c r="K2977" s="17"/>
      <c r="N2977" s="17"/>
    </row>
    <row r="2978">
      <c r="B2978" s="11">
        <f>IFERROR(__xludf.DUMMYFUNCTION("""COMPUTED_VALUE"""),41857.0)</f>
        <v>41857</v>
      </c>
      <c r="C2978" s="9">
        <f>IFERROR(__xludf.DUMMYFUNCTION("""COMPUTED_VALUE"""),2.49)</f>
        <v>2.49</v>
      </c>
      <c r="H2978" s="17"/>
      <c r="K2978" s="17"/>
      <c r="N2978" s="17"/>
    </row>
    <row r="2979">
      <c r="B2979" s="11">
        <f>IFERROR(__xludf.DUMMYFUNCTION("""COMPUTED_VALUE"""),41856.0)</f>
        <v>41856</v>
      </c>
      <c r="C2979" s="9">
        <f>IFERROR(__xludf.DUMMYFUNCTION("""COMPUTED_VALUE"""),2.49)</f>
        <v>2.49</v>
      </c>
      <c r="H2979" s="17"/>
      <c r="K2979" s="17"/>
      <c r="N2979" s="17"/>
    </row>
    <row r="2980">
      <c r="B2980" s="11">
        <f>IFERROR(__xludf.DUMMYFUNCTION("""COMPUTED_VALUE"""),41855.0)</f>
        <v>41855</v>
      </c>
      <c r="C2980" s="9">
        <f>IFERROR(__xludf.DUMMYFUNCTION("""COMPUTED_VALUE"""),2.51)</f>
        <v>2.51</v>
      </c>
      <c r="H2980" s="17"/>
      <c r="K2980" s="17"/>
      <c r="N2980" s="17"/>
    </row>
    <row r="2981">
      <c r="B2981" s="11">
        <f>IFERROR(__xludf.DUMMYFUNCTION("""COMPUTED_VALUE"""),41852.0)</f>
        <v>41852</v>
      </c>
      <c r="C2981" s="9">
        <f>IFERROR(__xludf.DUMMYFUNCTION("""COMPUTED_VALUE"""),2.52)</f>
        <v>2.52</v>
      </c>
      <c r="H2981" s="17"/>
      <c r="K2981" s="17"/>
      <c r="N2981" s="17"/>
    </row>
    <row r="2982">
      <c r="B2982" s="11">
        <f>IFERROR(__xludf.DUMMYFUNCTION("""COMPUTED_VALUE"""),41851.0)</f>
        <v>41851</v>
      </c>
      <c r="C2982" s="9">
        <f>IFERROR(__xludf.DUMMYFUNCTION("""COMPUTED_VALUE"""),2.58)</f>
        <v>2.58</v>
      </c>
      <c r="H2982" s="17"/>
      <c r="K2982" s="17"/>
      <c r="N2982" s="17"/>
    </row>
    <row r="2983">
      <c r="B2983" s="11">
        <f>IFERROR(__xludf.DUMMYFUNCTION("""COMPUTED_VALUE"""),41850.0)</f>
        <v>41850</v>
      </c>
      <c r="C2983" s="9">
        <f>IFERROR(__xludf.DUMMYFUNCTION("""COMPUTED_VALUE"""),2.57)</f>
        <v>2.57</v>
      </c>
      <c r="H2983" s="17"/>
      <c r="K2983" s="17"/>
      <c r="N2983" s="17"/>
    </row>
    <row r="2984">
      <c r="B2984" s="11">
        <f>IFERROR(__xludf.DUMMYFUNCTION("""COMPUTED_VALUE"""),41849.0)</f>
        <v>41849</v>
      </c>
      <c r="C2984" s="9">
        <f>IFERROR(__xludf.DUMMYFUNCTION("""COMPUTED_VALUE"""),2.47)</f>
        <v>2.47</v>
      </c>
      <c r="H2984" s="17"/>
      <c r="K2984" s="17"/>
      <c r="N2984" s="17"/>
    </row>
    <row r="2985">
      <c r="B2985" s="11">
        <f>IFERROR(__xludf.DUMMYFUNCTION("""COMPUTED_VALUE"""),41848.0)</f>
        <v>41848</v>
      </c>
      <c r="C2985" s="9">
        <f>IFERROR(__xludf.DUMMYFUNCTION("""COMPUTED_VALUE"""),2.5)</f>
        <v>2.5</v>
      </c>
      <c r="H2985" s="17"/>
      <c r="K2985" s="17"/>
      <c r="N2985" s="17"/>
    </row>
    <row r="2986">
      <c r="B2986" s="11">
        <f>IFERROR(__xludf.DUMMYFUNCTION("""COMPUTED_VALUE"""),41845.0)</f>
        <v>41845</v>
      </c>
      <c r="C2986" s="9">
        <f>IFERROR(__xludf.DUMMYFUNCTION("""COMPUTED_VALUE"""),2.48)</f>
        <v>2.48</v>
      </c>
      <c r="H2986" s="17"/>
      <c r="K2986" s="17"/>
      <c r="N2986" s="17"/>
    </row>
    <row r="2987">
      <c r="B2987" s="11">
        <f>IFERROR(__xludf.DUMMYFUNCTION("""COMPUTED_VALUE"""),41844.0)</f>
        <v>41844</v>
      </c>
      <c r="C2987" s="9">
        <f>IFERROR(__xludf.DUMMYFUNCTION("""COMPUTED_VALUE"""),2.52)</f>
        <v>2.52</v>
      </c>
      <c r="H2987" s="17"/>
      <c r="K2987" s="17"/>
      <c r="N2987" s="17"/>
    </row>
    <row r="2988">
      <c r="B2988" s="11">
        <f>IFERROR(__xludf.DUMMYFUNCTION("""COMPUTED_VALUE"""),41843.0)</f>
        <v>41843</v>
      </c>
      <c r="C2988" s="9">
        <f>IFERROR(__xludf.DUMMYFUNCTION("""COMPUTED_VALUE"""),2.48)</f>
        <v>2.48</v>
      </c>
      <c r="H2988" s="17"/>
      <c r="K2988" s="17"/>
      <c r="N2988" s="17"/>
    </row>
    <row r="2989">
      <c r="B2989" s="11">
        <f>IFERROR(__xludf.DUMMYFUNCTION("""COMPUTED_VALUE"""),41842.0)</f>
        <v>41842</v>
      </c>
      <c r="C2989" s="9">
        <f>IFERROR(__xludf.DUMMYFUNCTION("""COMPUTED_VALUE"""),2.48)</f>
        <v>2.48</v>
      </c>
      <c r="H2989" s="17"/>
      <c r="K2989" s="17"/>
      <c r="N2989" s="17"/>
    </row>
    <row r="2990">
      <c r="B2990" s="11">
        <f>IFERROR(__xludf.DUMMYFUNCTION("""COMPUTED_VALUE"""),41841.0)</f>
        <v>41841</v>
      </c>
      <c r="C2990" s="9">
        <f>IFERROR(__xludf.DUMMYFUNCTION("""COMPUTED_VALUE"""),2.49)</f>
        <v>2.49</v>
      </c>
      <c r="H2990" s="17"/>
      <c r="K2990" s="17"/>
      <c r="N2990" s="17"/>
    </row>
    <row r="2991">
      <c r="B2991" s="11">
        <f>IFERROR(__xludf.DUMMYFUNCTION("""COMPUTED_VALUE"""),41838.0)</f>
        <v>41838</v>
      </c>
      <c r="C2991" s="9">
        <f>IFERROR(__xludf.DUMMYFUNCTION("""COMPUTED_VALUE"""),2.5)</f>
        <v>2.5</v>
      </c>
      <c r="H2991" s="17"/>
      <c r="K2991" s="17"/>
      <c r="N2991" s="17"/>
    </row>
    <row r="2992">
      <c r="B2992" s="11">
        <f>IFERROR(__xludf.DUMMYFUNCTION("""COMPUTED_VALUE"""),41837.0)</f>
        <v>41837</v>
      </c>
      <c r="C2992" s="9">
        <f>IFERROR(__xludf.DUMMYFUNCTION("""COMPUTED_VALUE"""),2.47)</f>
        <v>2.47</v>
      </c>
      <c r="H2992" s="17"/>
      <c r="K2992" s="17"/>
      <c r="N2992" s="17"/>
    </row>
    <row r="2993">
      <c r="B2993" s="11">
        <f>IFERROR(__xludf.DUMMYFUNCTION("""COMPUTED_VALUE"""),41836.0)</f>
        <v>41836</v>
      </c>
      <c r="C2993" s="9">
        <f>IFERROR(__xludf.DUMMYFUNCTION("""COMPUTED_VALUE"""),2.55)</f>
        <v>2.55</v>
      </c>
      <c r="H2993" s="17"/>
      <c r="K2993" s="17"/>
      <c r="N2993" s="17"/>
    </row>
    <row r="2994">
      <c r="B2994" s="11">
        <f>IFERROR(__xludf.DUMMYFUNCTION("""COMPUTED_VALUE"""),41835.0)</f>
        <v>41835</v>
      </c>
      <c r="C2994" s="9">
        <f>IFERROR(__xludf.DUMMYFUNCTION("""COMPUTED_VALUE"""),2.56)</f>
        <v>2.56</v>
      </c>
      <c r="H2994" s="17"/>
      <c r="K2994" s="17"/>
      <c r="N2994" s="17"/>
    </row>
    <row r="2995">
      <c r="B2995" s="11">
        <f>IFERROR(__xludf.DUMMYFUNCTION("""COMPUTED_VALUE"""),41834.0)</f>
        <v>41834</v>
      </c>
      <c r="C2995" s="9">
        <f>IFERROR(__xludf.DUMMYFUNCTION("""COMPUTED_VALUE"""),2.55)</f>
        <v>2.55</v>
      </c>
      <c r="H2995" s="17"/>
      <c r="K2995" s="17"/>
      <c r="N2995" s="17"/>
    </row>
    <row r="2996">
      <c r="B2996" s="11">
        <f>IFERROR(__xludf.DUMMYFUNCTION("""COMPUTED_VALUE"""),41831.0)</f>
        <v>41831</v>
      </c>
      <c r="C2996" s="9">
        <f>IFERROR(__xludf.DUMMYFUNCTION("""COMPUTED_VALUE"""),2.53)</f>
        <v>2.53</v>
      </c>
      <c r="H2996" s="17"/>
      <c r="K2996" s="17"/>
      <c r="N2996" s="17"/>
    </row>
    <row r="2997">
      <c r="B2997" s="11">
        <f>IFERROR(__xludf.DUMMYFUNCTION("""COMPUTED_VALUE"""),41830.0)</f>
        <v>41830</v>
      </c>
      <c r="C2997" s="9">
        <f>IFERROR(__xludf.DUMMYFUNCTION("""COMPUTED_VALUE"""),2.55)</f>
        <v>2.55</v>
      </c>
      <c r="H2997" s="17"/>
      <c r="K2997" s="17"/>
      <c r="N2997" s="17"/>
    </row>
    <row r="2998">
      <c r="B2998" s="11">
        <f>IFERROR(__xludf.DUMMYFUNCTION("""COMPUTED_VALUE"""),41829.0)</f>
        <v>41829</v>
      </c>
      <c r="C2998" s="9">
        <f>IFERROR(__xludf.DUMMYFUNCTION("""COMPUTED_VALUE"""),2.57)</f>
        <v>2.57</v>
      </c>
      <c r="H2998" s="17"/>
      <c r="K2998" s="17"/>
      <c r="N2998" s="17"/>
    </row>
    <row r="2999">
      <c r="B2999" s="11">
        <f>IFERROR(__xludf.DUMMYFUNCTION("""COMPUTED_VALUE"""),41828.0)</f>
        <v>41828</v>
      </c>
      <c r="C2999" s="9">
        <f>IFERROR(__xludf.DUMMYFUNCTION("""COMPUTED_VALUE"""),2.58)</f>
        <v>2.58</v>
      </c>
      <c r="H2999" s="17"/>
      <c r="K2999" s="17"/>
      <c r="N2999" s="17"/>
    </row>
    <row r="3000">
      <c r="B3000" s="11">
        <f>IFERROR(__xludf.DUMMYFUNCTION("""COMPUTED_VALUE"""),41827.0)</f>
        <v>41827</v>
      </c>
      <c r="C3000" s="9">
        <f>IFERROR(__xludf.DUMMYFUNCTION("""COMPUTED_VALUE"""),2.63)</f>
        <v>2.63</v>
      </c>
      <c r="H3000" s="17"/>
      <c r="K3000" s="17"/>
      <c r="N3000" s="17"/>
    </row>
    <row r="3001">
      <c r="B3001" s="11">
        <f>IFERROR(__xludf.DUMMYFUNCTION("""COMPUTED_VALUE"""),41824.0)</f>
        <v>41824</v>
      </c>
      <c r="C3001" s="9"/>
      <c r="H3001" s="17"/>
      <c r="K3001" s="17"/>
      <c r="N3001" s="17"/>
    </row>
    <row r="3002">
      <c r="B3002" s="11">
        <f>IFERROR(__xludf.DUMMYFUNCTION("""COMPUTED_VALUE"""),41823.0)</f>
        <v>41823</v>
      </c>
      <c r="C3002" s="9">
        <f>IFERROR(__xludf.DUMMYFUNCTION("""COMPUTED_VALUE"""),2.65)</f>
        <v>2.65</v>
      </c>
      <c r="H3002" s="17"/>
      <c r="K3002" s="17"/>
      <c r="N3002" s="17"/>
    </row>
    <row r="3003">
      <c r="B3003" s="11">
        <f>IFERROR(__xludf.DUMMYFUNCTION("""COMPUTED_VALUE"""),41822.0)</f>
        <v>41822</v>
      </c>
      <c r="C3003" s="9">
        <f>IFERROR(__xludf.DUMMYFUNCTION("""COMPUTED_VALUE"""),2.64)</f>
        <v>2.64</v>
      </c>
      <c r="H3003" s="17"/>
      <c r="K3003" s="17"/>
      <c r="N3003" s="17"/>
    </row>
    <row r="3004">
      <c r="B3004" s="11">
        <f>IFERROR(__xludf.DUMMYFUNCTION("""COMPUTED_VALUE"""),41821.0)</f>
        <v>41821</v>
      </c>
      <c r="C3004" s="9">
        <f>IFERROR(__xludf.DUMMYFUNCTION("""COMPUTED_VALUE"""),2.58)</f>
        <v>2.58</v>
      </c>
      <c r="H3004" s="17"/>
      <c r="K3004" s="17"/>
      <c r="N3004" s="17"/>
    </row>
    <row r="3005">
      <c r="B3005" s="11">
        <f>IFERROR(__xludf.DUMMYFUNCTION("""COMPUTED_VALUE"""),41820.0)</f>
        <v>41820</v>
      </c>
      <c r="C3005" s="9">
        <f>IFERROR(__xludf.DUMMYFUNCTION("""COMPUTED_VALUE"""),2.53)</f>
        <v>2.53</v>
      </c>
      <c r="H3005" s="17"/>
      <c r="K3005" s="17"/>
      <c r="N3005" s="17"/>
    </row>
    <row r="3006">
      <c r="B3006" s="11">
        <f>IFERROR(__xludf.DUMMYFUNCTION("""COMPUTED_VALUE"""),41817.0)</f>
        <v>41817</v>
      </c>
      <c r="C3006" s="9">
        <f>IFERROR(__xludf.DUMMYFUNCTION("""COMPUTED_VALUE"""),2.54)</f>
        <v>2.54</v>
      </c>
      <c r="H3006" s="17"/>
      <c r="K3006" s="17"/>
      <c r="N3006" s="17"/>
    </row>
    <row r="3007">
      <c r="B3007" s="11">
        <f>IFERROR(__xludf.DUMMYFUNCTION("""COMPUTED_VALUE"""),41816.0)</f>
        <v>41816</v>
      </c>
      <c r="C3007" s="9">
        <f>IFERROR(__xludf.DUMMYFUNCTION("""COMPUTED_VALUE"""),2.53)</f>
        <v>2.53</v>
      </c>
      <c r="H3007" s="17"/>
      <c r="K3007" s="17"/>
      <c r="N3007" s="17"/>
    </row>
    <row r="3008">
      <c r="B3008" s="11">
        <f>IFERROR(__xludf.DUMMYFUNCTION("""COMPUTED_VALUE"""),41815.0)</f>
        <v>41815</v>
      </c>
      <c r="C3008" s="9">
        <f>IFERROR(__xludf.DUMMYFUNCTION("""COMPUTED_VALUE"""),2.57)</f>
        <v>2.57</v>
      </c>
      <c r="H3008" s="17"/>
      <c r="K3008" s="17"/>
      <c r="N3008" s="17"/>
    </row>
    <row r="3009">
      <c r="B3009" s="11">
        <f>IFERROR(__xludf.DUMMYFUNCTION("""COMPUTED_VALUE"""),41814.0)</f>
        <v>41814</v>
      </c>
      <c r="C3009" s="9">
        <f>IFERROR(__xludf.DUMMYFUNCTION("""COMPUTED_VALUE"""),2.59)</f>
        <v>2.59</v>
      </c>
      <c r="H3009" s="17"/>
      <c r="K3009" s="17"/>
      <c r="N3009" s="17"/>
    </row>
    <row r="3010">
      <c r="B3010" s="11">
        <f>IFERROR(__xludf.DUMMYFUNCTION("""COMPUTED_VALUE"""),41813.0)</f>
        <v>41813</v>
      </c>
      <c r="C3010" s="9">
        <f>IFERROR(__xludf.DUMMYFUNCTION("""COMPUTED_VALUE"""),2.63)</f>
        <v>2.63</v>
      </c>
      <c r="H3010" s="17"/>
      <c r="K3010" s="17"/>
      <c r="N3010" s="17"/>
    </row>
    <row r="3011">
      <c r="B3011" s="11">
        <f>IFERROR(__xludf.DUMMYFUNCTION("""COMPUTED_VALUE"""),41810.0)</f>
        <v>41810</v>
      </c>
      <c r="C3011" s="9">
        <f>IFERROR(__xludf.DUMMYFUNCTION("""COMPUTED_VALUE"""),2.63)</f>
        <v>2.63</v>
      </c>
      <c r="H3011" s="17"/>
      <c r="K3011" s="17"/>
      <c r="N3011" s="17"/>
    </row>
    <row r="3012">
      <c r="B3012" s="11">
        <f>IFERROR(__xludf.DUMMYFUNCTION("""COMPUTED_VALUE"""),41809.0)</f>
        <v>41809</v>
      </c>
      <c r="C3012" s="9">
        <f>IFERROR(__xludf.DUMMYFUNCTION("""COMPUTED_VALUE"""),2.64)</f>
        <v>2.64</v>
      </c>
      <c r="H3012" s="17"/>
      <c r="K3012" s="17"/>
      <c r="N3012" s="17"/>
    </row>
    <row r="3013">
      <c r="B3013" s="11">
        <f>IFERROR(__xludf.DUMMYFUNCTION("""COMPUTED_VALUE"""),41808.0)</f>
        <v>41808</v>
      </c>
      <c r="C3013" s="9">
        <f>IFERROR(__xludf.DUMMYFUNCTION("""COMPUTED_VALUE"""),2.61)</f>
        <v>2.61</v>
      </c>
      <c r="H3013" s="17"/>
      <c r="K3013" s="17"/>
      <c r="N3013" s="17"/>
    </row>
    <row r="3014">
      <c r="B3014" s="11">
        <f>IFERROR(__xludf.DUMMYFUNCTION("""COMPUTED_VALUE"""),41807.0)</f>
        <v>41807</v>
      </c>
      <c r="C3014" s="9">
        <f>IFERROR(__xludf.DUMMYFUNCTION("""COMPUTED_VALUE"""),2.66)</f>
        <v>2.66</v>
      </c>
      <c r="H3014" s="17"/>
      <c r="K3014" s="17"/>
      <c r="N3014" s="17"/>
    </row>
    <row r="3015">
      <c r="B3015" s="11">
        <f>IFERROR(__xludf.DUMMYFUNCTION("""COMPUTED_VALUE"""),41806.0)</f>
        <v>41806</v>
      </c>
      <c r="C3015" s="9">
        <f>IFERROR(__xludf.DUMMYFUNCTION("""COMPUTED_VALUE"""),2.61)</f>
        <v>2.61</v>
      </c>
      <c r="H3015" s="17"/>
      <c r="K3015" s="17"/>
      <c r="N3015" s="17"/>
    </row>
    <row r="3016">
      <c r="B3016" s="11">
        <f>IFERROR(__xludf.DUMMYFUNCTION("""COMPUTED_VALUE"""),41803.0)</f>
        <v>41803</v>
      </c>
      <c r="C3016" s="9">
        <f>IFERROR(__xludf.DUMMYFUNCTION("""COMPUTED_VALUE"""),2.6)</f>
        <v>2.6</v>
      </c>
      <c r="H3016" s="17"/>
      <c r="K3016" s="17"/>
      <c r="N3016" s="17"/>
    </row>
    <row r="3017">
      <c r="B3017" s="11">
        <f>IFERROR(__xludf.DUMMYFUNCTION("""COMPUTED_VALUE"""),41802.0)</f>
        <v>41802</v>
      </c>
      <c r="C3017" s="9">
        <f>IFERROR(__xludf.DUMMYFUNCTION("""COMPUTED_VALUE"""),2.58)</f>
        <v>2.58</v>
      </c>
      <c r="H3017" s="17"/>
      <c r="K3017" s="17"/>
      <c r="N3017" s="17"/>
    </row>
    <row r="3018">
      <c r="B3018" s="11">
        <f>IFERROR(__xludf.DUMMYFUNCTION("""COMPUTED_VALUE"""),41801.0)</f>
        <v>41801</v>
      </c>
      <c r="C3018" s="9">
        <f>IFERROR(__xludf.DUMMYFUNCTION("""COMPUTED_VALUE"""),2.65)</f>
        <v>2.65</v>
      </c>
      <c r="H3018" s="17"/>
      <c r="K3018" s="17"/>
      <c r="N3018" s="17"/>
    </row>
    <row r="3019">
      <c r="B3019" s="11">
        <f>IFERROR(__xludf.DUMMYFUNCTION("""COMPUTED_VALUE"""),41800.0)</f>
        <v>41800</v>
      </c>
      <c r="C3019" s="9">
        <f>IFERROR(__xludf.DUMMYFUNCTION("""COMPUTED_VALUE"""),2.64)</f>
        <v>2.64</v>
      </c>
      <c r="H3019" s="17"/>
      <c r="K3019" s="17"/>
      <c r="N3019" s="17"/>
    </row>
    <row r="3020">
      <c r="B3020" s="11">
        <f>IFERROR(__xludf.DUMMYFUNCTION("""COMPUTED_VALUE"""),41799.0)</f>
        <v>41799</v>
      </c>
      <c r="C3020" s="9">
        <f>IFERROR(__xludf.DUMMYFUNCTION("""COMPUTED_VALUE"""),2.62)</f>
        <v>2.62</v>
      </c>
      <c r="H3020" s="17"/>
      <c r="K3020" s="17"/>
      <c r="N3020" s="17"/>
    </row>
    <row r="3021">
      <c r="B3021" s="11">
        <f>IFERROR(__xludf.DUMMYFUNCTION("""COMPUTED_VALUE"""),41796.0)</f>
        <v>41796</v>
      </c>
      <c r="C3021" s="9">
        <f>IFERROR(__xludf.DUMMYFUNCTION("""COMPUTED_VALUE"""),2.6)</f>
        <v>2.6</v>
      </c>
      <c r="H3021" s="17"/>
      <c r="K3021" s="17"/>
      <c r="N3021" s="17"/>
    </row>
    <row r="3022">
      <c r="B3022" s="11">
        <f>IFERROR(__xludf.DUMMYFUNCTION("""COMPUTED_VALUE"""),41795.0)</f>
        <v>41795</v>
      </c>
      <c r="C3022" s="9">
        <f>IFERROR(__xludf.DUMMYFUNCTION("""COMPUTED_VALUE"""),2.59)</f>
        <v>2.59</v>
      </c>
      <c r="H3022" s="17"/>
      <c r="K3022" s="17"/>
      <c r="N3022" s="17"/>
    </row>
    <row r="3023">
      <c r="B3023" s="11">
        <f>IFERROR(__xludf.DUMMYFUNCTION("""COMPUTED_VALUE"""),41794.0)</f>
        <v>41794</v>
      </c>
      <c r="C3023" s="9">
        <f>IFERROR(__xludf.DUMMYFUNCTION("""COMPUTED_VALUE"""),2.61)</f>
        <v>2.61</v>
      </c>
      <c r="H3023" s="17"/>
      <c r="K3023" s="17"/>
      <c r="N3023" s="17"/>
    </row>
    <row r="3024">
      <c r="B3024" s="11">
        <f>IFERROR(__xludf.DUMMYFUNCTION("""COMPUTED_VALUE"""),41793.0)</f>
        <v>41793</v>
      </c>
      <c r="C3024" s="9">
        <f>IFERROR(__xludf.DUMMYFUNCTION("""COMPUTED_VALUE"""),2.6)</f>
        <v>2.6</v>
      </c>
      <c r="H3024" s="17"/>
      <c r="K3024" s="17"/>
      <c r="N3024" s="17"/>
    </row>
    <row r="3025">
      <c r="B3025" s="11">
        <f>IFERROR(__xludf.DUMMYFUNCTION("""COMPUTED_VALUE"""),41792.0)</f>
        <v>41792</v>
      </c>
      <c r="C3025" s="9">
        <f>IFERROR(__xludf.DUMMYFUNCTION("""COMPUTED_VALUE"""),2.54)</f>
        <v>2.54</v>
      </c>
      <c r="H3025" s="17"/>
      <c r="K3025" s="17"/>
      <c r="N3025" s="17"/>
    </row>
    <row r="3026">
      <c r="B3026" s="11">
        <f>IFERROR(__xludf.DUMMYFUNCTION("""COMPUTED_VALUE"""),41789.0)</f>
        <v>41789</v>
      </c>
      <c r="C3026" s="9">
        <f>IFERROR(__xludf.DUMMYFUNCTION("""COMPUTED_VALUE"""),2.48)</f>
        <v>2.48</v>
      </c>
      <c r="H3026" s="17"/>
      <c r="K3026" s="17"/>
      <c r="N3026" s="17"/>
    </row>
    <row r="3027">
      <c r="B3027" s="11">
        <f>IFERROR(__xludf.DUMMYFUNCTION("""COMPUTED_VALUE"""),41788.0)</f>
        <v>41788</v>
      </c>
      <c r="C3027" s="9">
        <f>IFERROR(__xludf.DUMMYFUNCTION("""COMPUTED_VALUE"""),2.45)</f>
        <v>2.45</v>
      </c>
      <c r="H3027" s="17"/>
      <c r="K3027" s="17"/>
      <c r="N3027" s="17"/>
    </row>
    <row r="3028">
      <c r="B3028" s="11">
        <f>IFERROR(__xludf.DUMMYFUNCTION("""COMPUTED_VALUE"""),41787.0)</f>
        <v>41787</v>
      </c>
      <c r="C3028" s="9">
        <f>IFERROR(__xludf.DUMMYFUNCTION("""COMPUTED_VALUE"""),2.44)</f>
        <v>2.44</v>
      </c>
      <c r="H3028" s="17"/>
      <c r="K3028" s="17"/>
      <c r="N3028" s="17"/>
    </row>
    <row r="3029">
      <c r="B3029" s="11">
        <f>IFERROR(__xludf.DUMMYFUNCTION("""COMPUTED_VALUE"""),41786.0)</f>
        <v>41786</v>
      </c>
      <c r="C3029" s="9">
        <f>IFERROR(__xludf.DUMMYFUNCTION("""COMPUTED_VALUE"""),2.52)</f>
        <v>2.52</v>
      </c>
      <c r="H3029" s="17"/>
      <c r="K3029" s="17"/>
      <c r="N3029" s="17"/>
    </row>
    <row r="3030">
      <c r="B3030" s="11">
        <f>IFERROR(__xludf.DUMMYFUNCTION("""COMPUTED_VALUE"""),41785.0)</f>
        <v>41785</v>
      </c>
      <c r="C3030" s="9"/>
      <c r="H3030" s="17"/>
      <c r="K3030" s="17"/>
      <c r="N3030" s="17"/>
    </row>
    <row r="3031">
      <c r="B3031" s="11">
        <f>IFERROR(__xludf.DUMMYFUNCTION("""COMPUTED_VALUE"""),41782.0)</f>
        <v>41782</v>
      </c>
      <c r="C3031" s="9">
        <f>IFERROR(__xludf.DUMMYFUNCTION("""COMPUTED_VALUE"""),2.54)</f>
        <v>2.54</v>
      </c>
      <c r="H3031" s="17"/>
      <c r="K3031" s="17"/>
      <c r="N3031" s="17"/>
    </row>
    <row r="3032">
      <c r="B3032" s="11">
        <f>IFERROR(__xludf.DUMMYFUNCTION("""COMPUTED_VALUE"""),41781.0)</f>
        <v>41781</v>
      </c>
      <c r="C3032" s="9">
        <f>IFERROR(__xludf.DUMMYFUNCTION("""COMPUTED_VALUE"""),2.56)</f>
        <v>2.56</v>
      </c>
      <c r="H3032" s="17"/>
      <c r="K3032" s="17"/>
      <c r="N3032" s="17"/>
    </row>
    <row r="3033">
      <c r="B3033" s="11">
        <f>IFERROR(__xludf.DUMMYFUNCTION("""COMPUTED_VALUE"""),41780.0)</f>
        <v>41780</v>
      </c>
      <c r="C3033" s="9">
        <f>IFERROR(__xludf.DUMMYFUNCTION("""COMPUTED_VALUE"""),2.54)</f>
        <v>2.54</v>
      </c>
      <c r="H3033" s="17"/>
      <c r="K3033" s="17"/>
      <c r="N3033" s="17"/>
    </row>
    <row r="3034">
      <c r="B3034" s="11">
        <f>IFERROR(__xludf.DUMMYFUNCTION("""COMPUTED_VALUE"""),41779.0)</f>
        <v>41779</v>
      </c>
      <c r="C3034" s="9">
        <f>IFERROR(__xludf.DUMMYFUNCTION("""COMPUTED_VALUE"""),2.52)</f>
        <v>2.52</v>
      </c>
      <c r="H3034" s="17"/>
      <c r="K3034" s="17"/>
      <c r="N3034" s="17"/>
    </row>
    <row r="3035">
      <c r="B3035" s="11">
        <f>IFERROR(__xludf.DUMMYFUNCTION("""COMPUTED_VALUE"""),41778.0)</f>
        <v>41778</v>
      </c>
      <c r="C3035" s="9">
        <f>IFERROR(__xludf.DUMMYFUNCTION("""COMPUTED_VALUE"""),2.54)</f>
        <v>2.54</v>
      </c>
      <c r="H3035" s="17"/>
      <c r="K3035" s="17"/>
      <c r="N3035" s="17"/>
    </row>
    <row r="3036">
      <c r="B3036" s="11">
        <f>IFERROR(__xludf.DUMMYFUNCTION("""COMPUTED_VALUE"""),41775.0)</f>
        <v>41775</v>
      </c>
      <c r="C3036" s="9">
        <f>IFERROR(__xludf.DUMMYFUNCTION("""COMPUTED_VALUE"""),2.52)</f>
        <v>2.52</v>
      </c>
      <c r="H3036" s="17"/>
      <c r="K3036" s="17"/>
      <c r="N3036" s="17"/>
    </row>
    <row r="3037">
      <c r="B3037" s="11">
        <f>IFERROR(__xludf.DUMMYFUNCTION("""COMPUTED_VALUE"""),41774.0)</f>
        <v>41774</v>
      </c>
      <c r="C3037" s="9">
        <f>IFERROR(__xludf.DUMMYFUNCTION("""COMPUTED_VALUE"""),2.5)</f>
        <v>2.5</v>
      </c>
      <c r="H3037" s="17"/>
      <c r="K3037" s="17"/>
      <c r="N3037" s="17"/>
    </row>
    <row r="3038">
      <c r="B3038" s="11">
        <f>IFERROR(__xludf.DUMMYFUNCTION("""COMPUTED_VALUE"""),41773.0)</f>
        <v>41773</v>
      </c>
      <c r="C3038" s="9">
        <f>IFERROR(__xludf.DUMMYFUNCTION("""COMPUTED_VALUE"""),2.54)</f>
        <v>2.54</v>
      </c>
      <c r="H3038" s="17"/>
      <c r="K3038" s="17"/>
      <c r="N3038" s="17"/>
    </row>
    <row r="3039">
      <c r="B3039" s="11">
        <f>IFERROR(__xludf.DUMMYFUNCTION("""COMPUTED_VALUE"""),41772.0)</f>
        <v>41772</v>
      </c>
      <c r="C3039" s="9">
        <f>IFERROR(__xludf.DUMMYFUNCTION("""COMPUTED_VALUE"""),2.61)</f>
        <v>2.61</v>
      </c>
      <c r="H3039" s="17"/>
      <c r="K3039" s="17"/>
      <c r="N3039" s="17"/>
    </row>
    <row r="3040">
      <c r="B3040" s="11">
        <f>IFERROR(__xludf.DUMMYFUNCTION("""COMPUTED_VALUE"""),41771.0)</f>
        <v>41771</v>
      </c>
      <c r="C3040" s="9">
        <f>IFERROR(__xludf.DUMMYFUNCTION("""COMPUTED_VALUE"""),2.66)</f>
        <v>2.66</v>
      </c>
      <c r="H3040" s="17"/>
      <c r="K3040" s="17"/>
      <c r="N3040" s="17"/>
    </row>
    <row r="3041">
      <c r="B3041" s="11">
        <f>IFERROR(__xludf.DUMMYFUNCTION("""COMPUTED_VALUE"""),41768.0)</f>
        <v>41768</v>
      </c>
      <c r="C3041" s="9">
        <f>IFERROR(__xludf.DUMMYFUNCTION("""COMPUTED_VALUE"""),2.62)</f>
        <v>2.62</v>
      </c>
      <c r="H3041" s="17"/>
      <c r="K3041" s="17"/>
      <c r="N3041" s="17"/>
    </row>
    <row r="3042">
      <c r="B3042" s="11">
        <f>IFERROR(__xludf.DUMMYFUNCTION("""COMPUTED_VALUE"""),41767.0)</f>
        <v>41767</v>
      </c>
      <c r="C3042" s="9">
        <f>IFERROR(__xludf.DUMMYFUNCTION("""COMPUTED_VALUE"""),2.61)</f>
        <v>2.61</v>
      </c>
      <c r="H3042" s="17"/>
      <c r="K3042" s="17"/>
      <c r="N3042" s="17"/>
    </row>
    <row r="3043">
      <c r="B3043" s="11">
        <f>IFERROR(__xludf.DUMMYFUNCTION("""COMPUTED_VALUE"""),41766.0)</f>
        <v>41766</v>
      </c>
      <c r="C3043" s="9">
        <f>IFERROR(__xludf.DUMMYFUNCTION("""COMPUTED_VALUE"""),2.62)</f>
        <v>2.62</v>
      </c>
      <c r="H3043" s="17"/>
      <c r="K3043" s="17"/>
      <c r="N3043" s="17"/>
    </row>
    <row r="3044">
      <c r="B3044" s="11">
        <f>IFERROR(__xludf.DUMMYFUNCTION("""COMPUTED_VALUE"""),41765.0)</f>
        <v>41765</v>
      </c>
      <c r="C3044" s="9">
        <f>IFERROR(__xludf.DUMMYFUNCTION("""COMPUTED_VALUE"""),2.61)</f>
        <v>2.61</v>
      </c>
      <c r="H3044" s="17"/>
      <c r="K3044" s="17"/>
      <c r="N3044" s="17"/>
    </row>
    <row r="3045">
      <c r="B3045" s="11">
        <f>IFERROR(__xludf.DUMMYFUNCTION("""COMPUTED_VALUE"""),41764.0)</f>
        <v>41764</v>
      </c>
      <c r="C3045" s="9">
        <f>IFERROR(__xludf.DUMMYFUNCTION("""COMPUTED_VALUE"""),2.63)</f>
        <v>2.63</v>
      </c>
      <c r="H3045" s="17"/>
      <c r="K3045" s="17"/>
      <c r="N3045" s="17"/>
    </row>
    <row r="3046">
      <c r="B3046" s="11">
        <f>IFERROR(__xludf.DUMMYFUNCTION("""COMPUTED_VALUE"""),41761.0)</f>
        <v>41761</v>
      </c>
      <c r="C3046" s="9">
        <f>IFERROR(__xludf.DUMMYFUNCTION("""COMPUTED_VALUE"""),2.6)</f>
        <v>2.6</v>
      </c>
      <c r="H3046" s="17"/>
      <c r="K3046" s="17"/>
      <c r="N3046" s="17"/>
    </row>
    <row r="3047">
      <c r="B3047" s="11">
        <f>IFERROR(__xludf.DUMMYFUNCTION("""COMPUTED_VALUE"""),41760.0)</f>
        <v>41760</v>
      </c>
      <c r="C3047" s="9">
        <f>IFERROR(__xludf.DUMMYFUNCTION("""COMPUTED_VALUE"""),2.63)</f>
        <v>2.63</v>
      </c>
      <c r="H3047" s="17"/>
      <c r="K3047" s="17"/>
      <c r="N3047" s="17"/>
    </row>
    <row r="3048">
      <c r="B3048" s="11">
        <f>IFERROR(__xludf.DUMMYFUNCTION("""COMPUTED_VALUE"""),41759.0)</f>
        <v>41759</v>
      </c>
      <c r="C3048" s="9">
        <f>IFERROR(__xludf.DUMMYFUNCTION("""COMPUTED_VALUE"""),2.67)</f>
        <v>2.67</v>
      </c>
      <c r="H3048" s="17"/>
      <c r="K3048" s="17"/>
      <c r="N3048" s="17"/>
    </row>
    <row r="3049">
      <c r="B3049" s="11">
        <f>IFERROR(__xludf.DUMMYFUNCTION("""COMPUTED_VALUE"""),41758.0)</f>
        <v>41758</v>
      </c>
      <c r="C3049" s="9">
        <f>IFERROR(__xludf.DUMMYFUNCTION("""COMPUTED_VALUE"""),2.71)</f>
        <v>2.71</v>
      </c>
      <c r="H3049" s="17"/>
      <c r="K3049" s="17"/>
      <c r="N3049" s="17"/>
    </row>
    <row r="3050">
      <c r="B3050" s="11">
        <f>IFERROR(__xludf.DUMMYFUNCTION("""COMPUTED_VALUE"""),41757.0)</f>
        <v>41757</v>
      </c>
      <c r="C3050" s="9">
        <f>IFERROR(__xludf.DUMMYFUNCTION("""COMPUTED_VALUE"""),2.7)</f>
        <v>2.7</v>
      </c>
      <c r="H3050" s="17"/>
      <c r="K3050" s="17"/>
      <c r="N3050" s="17"/>
    </row>
    <row r="3051">
      <c r="B3051" s="11">
        <f>IFERROR(__xludf.DUMMYFUNCTION("""COMPUTED_VALUE"""),41754.0)</f>
        <v>41754</v>
      </c>
      <c r="C3051" s="9">
        <f>IFERROR(__xludf.DUMMYFUNCTION("""COMPUTED_VALUE"""),2.68)</f>
        <v>2.68</v>
      </c>
      <c r="H3051" s="17"/>
      <c r="K3051" s="17"/>
      <c r="N3051" s="17"/>
    </row>
    <row r="3052">
      <c r="B3052" s="11">
        <f>IFERROR(__xludf.DUMMYFUNCTION("""COMPUTED_VALUE"""),41753.0)</f>
        <v>41753</v>
      </c>
      <c r="C3052" s="9">
        <f>IFERROR(__xludf.DUMMYFUNCTION("""COMPUTED_VALUE"""),2.7)</f>
        <v>2.7</v>
      </c>
      <c r="H3052" s="17"/>
      <c r="K3052" s="17"/>
      <c r="N3052" s="17"/>
    </row>
    <row r="3053">
      <c r="B3053" s="11">
        <f>IFERROR(__xludf.DUMMYFUNCTION("""COMPUTED_VALUE"""),41752.0)</f>
        <v>41752</v>
      </c>
      <c r="C3053" s="9">
        <f>IFERROR(__xludf.DUMMYFUNCTION("""COMPUTED_VALUE"""),2.7)</f>
        <v>2.7</v>
      </c>
      <c r="H3053" s="17"/>
      <c r="K3053" s="17"/>
      <c r="N3053" s="17"/>
    </row>
    <row r="3054">
      <c r="B3054" s="11">
        <f>IFERROR(__xludf.DUMMYFUNCTION("""COMPUTED_VALUE"""),41751.0)</f>
        <v>41751</v>
      </c>
      <c r="C3054" s="9">
        <f>IFERROR(__xludf.DUMMYFUNCTION("""COMPUTED_VALUE"""),2.73)</f>
        <v>2.73</v>
      </c>
      <c r="H3054" s="17"/>
      <c r="K3054" s="17"/>
      <c r="N3054" s="17"/>
    </row>
    <row r="3055">
      <c r="B3055" s="11">
        <f>IFERROR(__xludf.DUMMYFUNCTION("""COMPUTED_VALUE"""),41750.0)</f>
        <v>41750</v>
      </c>
      <c r="C3055" s="9">
        <f>IFERROR(__xludf.DUMMYFUNCTION("""COMPUTED_VALUE"""),2.73)</f>
        <v>2.73</v>
      </c>
      <c r="H3055" s="17"/>
      <c r="K3055" s="17"/>
      <c r="N3055" s="17"/>
    </row>
    <row r="3056">
      <c r="B3056" s="11">
        <f>IFERROR(__xludf.DUMMYFUNCTION("""COMPUTED_VALUE"""),41747.0)</f>
        <v>41747</v>
      </c>
      <c r="C3056" s="9"/>
      <c r="H3056" s="17"/>
      <c r="K3056" s="17"/>
      <c r="N3056" s="17"/>
    </row>
    <row r="3057">
      <c r="B3057" s="11">
        <f>IFERROR(__xludf.DUMMYFUNCTION("""COMPUTED_VALUE"""),41746.0)</f>
        <v>41746</v>
      </c>
      <c r="C3057" s="9">
        <f>IFERROR(__xludf.DUMMYFUNCTION("""COMPUTED_VALUE"""),2.73)</f>
        <v>2.73</v>
      </c>
      <c r="H3057" s="17"/>
      <c r="K3057" s="17"/>
      <c r="N3057" s="17"/>
    </row>
    <row r="3058">
      <c r="B3058" s="11">
        <f>IFERROR(__xludf.DUMMYFUNCTION("""COMPUTED_VALUE"""),41745.0)</f>
        <v>41745</v>
      </c>
      <c r="C3058" s="9">
        <f>IFERROR(__xludf.DUMMYFUNCTION("""COMPUTED_VALUE"""),2.65)</f>
        <v>2.65</v>
      </c>
      <c r="H3058" s="17"/>
      <c r="K3058" s="17"/>
      <c r="N3058" s="17"/>
    </row>
    <row r="3059">
      <c r="B3059" s="11">
        <f>IFERROR(__xludf.DUMMYFUNCTION("""COMPUTED_VALUE"""),41744.0)</f>
        <v>41744</v>
      </c>
      <c r="C3059" s="9">
        <f>IFERROR(__xludf.DUMMYFUNCTION("""COMPUTED_VALUE"""),2.64)</f>
        <v>2.64</v>
      </c>
      <c r="H3059" s="17"/>
      <c r="K3059" s="17"/>
      <c r="N3059" s="17"/>
    </row>
    <row r="3060">
      <c r="B3060" s="11">
        <f>IFERROR(__xludf.DUMMYFUNCTION("""COMPUTED_VALUE"""),41743.0)</f>
        <v>41743</v>
      </c>
      <c r="C3060" s="9">
        <f>IFERROR(__xludf.DUMMYFUNCTION("""COMPUTED_VALUE"""),2.65)</f>
        <v>2.65</v>
      </c>
      <c r="H3060" s="17"/>
      <c r="K3060" s="17"/>
      <c r="N3060" s="17"/>
    </row>
    <row r="3061">
      <c r="B3061" s="11">
        <f>IFERROR(__xludf.DUMMYFUNCTION("""COMPUTED_VALUE"""),41740.0)</f>
        <v>41740</v>
      </c>
      <c r="C3061" s="9">
        <f>IFERROR(__xludf.DUMMYFUNCTION("""COMPUTED_VALUE"""),2.63)</f>
        <v>2.63</v>
      </c>
      <c r="H3061" s="17"/>
      <c r="K3061" s="17"/>
      <c r="N3061" s="17"/>
    </row>
    <row r="3062">
      <c r="B3062" s="11">
        <f>IFERROR(__xludf.DUMMYFUNCTION("""COMPUTED_VALUE"""),41739.0)</f>
        <v>41739</v>
      </c>
      <c r="C3062" s="9">
        <f>IFERROR(__xludf.DUMMYFUNCTION("""COMPUTED_VALUE"""),2.65)</f>
        <v>2.65</v>
      </c>
      <c r="H3062" s="17"/>
      <c r="K3062" s="17"/>
      <c r="N3062" s="17"/>
    </row>
    <row r="3063">
      <c r="B3063" s="11">
        <f>IFERROR(__xludf.DUMMYFUNCTION("""COMPUTED_VALUE"""),41738.0)</f>
        <v>41738</v>
      </c>
      <c r="C3063" s="9">
        <f>IFERROR(__xludf.DUMMYFUNCTION("""COMPUTED_VALUE"""),2.71)</f>
        <v>2.71</v>
      </c>
      <c r="H3063" s="17"/>
      <c r="K3063" s="17"/>
      <c r="N3063" s="17"/>
    </row>
    <row r="3064">
      <c r="B3064" s="11">
        <f>IFERROR(__xludf.DUMMYFUNCTION("""COMPUTED_VALUE"""),41737.0)</f>
        <v>41737</v>
      </c>
      <c r="C3064" s="9">
        <f>IFERROR(__xludf.DUMMYFUNCTION("""COMPUTED_VALUE"""),2.69)</f>
        <v>2.69</v>
      </c>
      <c r="H3064" s="17"/>
      <c r="K3064" s="17"/>
      <c r="N3064" s="17"/>
    </row>
    <row r="3065">
      <c r="B3065" s="11">
        <f>IFERROR(__xludf.DUMMYFUNCTION("""COMPUTED_VALUE"""),41736.0)</f>
        <v>41736</v>
      </c>
      <c r="C3065" s="9">
        <f>IFERROR(__xludf.DUMMYFUNCTION("""COMPUTED_VALUE"""),2.71)</f>
        <v>2.71</v>
      </c>
      <c r="H3065" s="17"/>
      <c r="K3065" s="17"/>
      <c r="N3065" s="17"/>
    </row>
    <row r="3066">
      <c r="B3066" s="11">
        <f>IFERROR(__xludf.DUMMYFUNCTION("""COMPUTED_VALUE"""),41733.0)</f>
        <v>41733</v>
      </c>
      <c r="C3066" s="9">
        <f>IFERROR(__xludf.DUMMYFUNCTION("""COMPUTED_VALUE"""),2.74)</f>
        <v>2.74</v>
      </c>
      <c r="H3066" s="17"/>
      <c r="K3066" s="17"/>
      <c r="N3066" s="17"/>
    </row>
    <row r="3067">
      <c r="B3067" s="11">
        <f>IFERROR(__xludf.DUMMYFUNCTION("""COMPUTED_VALUE"""),41732.0)</f>
        <v>41732</v>
      </c>
      <c r="C3067" s="9">
        <f>IFERROR(__xludf.DUMMYFUNCTION("""COMPUTED_VALUE"""),2.8)</f>
        <v>2.8</v>
      </c>
      <c r="H3067" s="17"/>
      <c r="K3067" s="17"/>
      <c r="N3067" s="17"/>
    </row>
    <row r="3068">
      <c r="B3068" s="11">
        <f>IFERROR(__xludf.DUMMYFUNCTION("""COMPUTED_VALUE"""),41731.0)</f>
        <v>41731</v>
      </c>
      <c r="C3068" s="9">
        <f>IFERROR(__xludf.DUMMYFUNCTION("""COMPUTED_VALUE"""),2.82)</f>
        <v>2.82</v>
      </c>
      <c r="H3068" s="17"/>
      <c r="K3068" s="17"/>
      <c r="N3068" s="17"/>
    </row>
    <row r="3069">
      <c r="B3069" s="11">
        <f>IFERROR(__xludf.DUMMYFUNCTION("""COMPUTED_VALUE"""),41730.0)</f>
        <v>41730</v>
      </c>
      <c r="C3069" s="9">
        <f>IFERROR(__xludf.DUMMYFUNCTION("""COMPUTED_VALUE"""),2.77)</f>
        <v>2.77</v>
      </c>
      <c r="H3069" s="17"/>
      <c r="K3069" s="17"/>
      <c r="N3069" s="17"/>
    </row>
    <row r="3070">
      <c r="B3070" s="11">
        <f>IFERROR(__xludf.DUMMYFUNCTION("""COMPUTED_VALUE"""),41729.0)</f>
        <v>41729</v>
      </c>
      <c r="C3070" s="9">
        <f>IFERROR(__xludf.DUMMYFUNCTION("""COMPUTED_VALUE"""),2.73)</f>
        <v>2.73</v>
      </c>
      <c r="H3070" s="17"/>
      <c r="K3070" s="17"/>
      <c r="N3070" s="17"/>
    </row>
    <row r="3071">
      <c r="B3071" s="11">
        <f>IFERROR(__xludf.DUMMYFUNCTION("""COMPUTED_VALUE"""),41726.0)</f>
        <v>41726</v>
      </c>
      <c r="C3071" s="9">
        <f>IFERROR(__xludf.DUMMYFUNCTION("""COMPUTED_VALUE"""),2.73)</f>
        <v>2.73</v>
      </c>
      <c r="H3071" s="17"/>
      <c r="K3071" s="17"/>
      <c r="N3071" s="17"/>
    </row>
    <row r="3072">
      <c r="B3072" s="11">
        <f>IFERROR(__xludf.DUMMYFUNCTION("""COMPUTED_VALUE"""),41725.0)</f>
        <v>41725</v>
      </c>
      <c r="C3072" s="9">
        <f>IFERROR(__xludf.DUMMYFUNCTION("""COMPUTED_VALUE"""),2.69)</f>
        <v>2.69</v>
      </c>
      <c r="H3072" s="17"/>
      <c r="K3072" s="17"/>
      <c r="N3072" s="17"/>
    </row>
    <row r="3073">
      <c r="B3073" s="11">
        <f>IFERROR(__xludf.DUMMYFUNCTION("""COMPUTED_VALUE"""),41724.0)</f>
        <v>41724</v>
      </c>
      <c r="C3073" s="9">
        <f>IFERROR(__xludf.DUMMYFUNCTION("""COMPUTED_VALUE"""),2.71)</f>
        <v>2.71</v>
      </c>
      <c r="H3073" s="17"/>
      <c r="K3073" s="17"/>
      <c r="N3073" s="17"/>
    </row>
    <row r="3074">
      <c r="B3074" s="11">
        <f>IFERROR(__xludf.DUMMYFUNCTION("""COMPUTED_VALUE"""),41723.0)</f>
        <v>41723</v>
      </c>
      <c r="C3074" s="9">
        <f>IFERROR(__xludf.DUMMYFUNCTION("""COMPUTED_VALUE"""),2.75)</f>
        <v>2.75</v>
      </c>
      <c r="H3074" s="17"/>
      <c r="K3074" s="17"/>
      <c r="N3074" s="17"/>
    </row>
    <row r="3075">
      <c r="B3075" s="11">
        <f>IFERROR(__xludf.DUMMYFUNCTION("""COMPUTED_VALUE"""),41722.0)</f>
        <v>41722</v>
      </c>
      <c r="C3075" s="9">
        <f>IFERROR(__xludf.DUMMYFUNCTION("""COMPUTED_VALUE"""),2.74)</f>
        <v>2.74</v>
      </c>
      <c r="H3075" s="17"/>
      <c r="K3075" s="17"/>
      <c r="N3075" s="17"/>
    </row>
    <row r="3076">
      <c r="B3076" s="11">
        <f>IFERROR(__xludf.DUMMYFUNCTION("""COMPUTED_VALUE"""),41719.0)</f>
        <v>41719</v>
      </c>
      <c r="C3076" s="9">
        <f>IFERROR(__xludf.DUMMYFUNCTION("""COMPUTED_VALUE"""),2.75)</f>
        <v>2.75</v>
      </c>
      <c r="H3076" s="17"/>
      <c r="K3076" s="17"/>
      <c r="N3076" s="17"/>
    </row>
    <row r="3077">
      <c r="B3077" s="11">
        <f>IFERROR(__xludf.DUMMYFUNCTION("""COMPUTED_VALUE"""),41718.0)</f>
        <v>41718</v>
      </c>
      <c r="C3077" s="9">
        <f>IFERROR(__xludf.DUMMYFUNCTION("""COMPUTED_VALUE"""),2.79)</f>
        <v>2.79</v>
      </c>
      <c r="H3077" s="17"/>
      <c r="K3077" s="17"/>
      <c r="N3077" s="17"/>
    </row>
    <row r="3078">
      <c r="B3078" s="11">
        <f>IFERROR(__xludf.DUMMYFUNCTION("""COMPUTED_VALUE"""),41717.0)</f>
        <v>41717</v>
      </c>
      <c r="C3078" s="9">
        <f>IFERROR(__xludf.DUMMYFUNCTION("""COMPUTED_VALUE"""),2.78)</f>
        <v>2.78</v>
      </c>
      <c r="H3078" s="17"/>
      <c r="K3078" s="17"/>
      <c r="N3078" s="17"/>
    </row>
    <row r="3079">
      <c r="B3079" s="11">
        <f>IFERROR(__xludf.DUMMYFUNCTION("""COMPUTED_VALUE"""),41716.0)</f>
        <v>41716</v>
      </c>
      <c r="C3079" s="9">
        <f>IFERROR(__xludf.DUMMYFUNCTION("""COMPUTED_VALUE"""),2.68)</f>
        <v>2.68</v>
      </c>
      <c r="H3079" s="17"/>
      <c r="K3079" s="17"/>
      <c r="N3079" s="17"/>
    </row>
    <row r="3080">
      <c r="B3080" s="11">
        <f>IFERROR(__xludf.DUMMYFUNCTION("""COMPUTED_VALUE"""),41715.0)</f>
        <v>41715</v>
      </c>
      <c r="C3080" s="9">
        <f>IFERROR(__xludf.DUMMYFUNCTION("""COMPUTED_VALUE"""),2.7)</f>
        <v>2.7</v>
      </c>
      <c r="H3080" s="17"/>
      <c r="K3080" s="17"/>
      <c r="N3080" s="17"/>
    </row>
    <row r="3081">
      <c r="B3081" s="11">
        <f>IFERROR(__xludf.DUMMYFUNCTION("""COMPUTED_VALUE"""),41712.0)</f>
        <v>41712</v>
      </c>
      <c r="C3081" s="9">
        <f>IFERROR(__xludf.DUMMYFUNCTION("""COMPUTED_VALUE"""),2.65)</f>
        <v>2.65</v>
      </c>
      <c r="H3081" s="17"/>
      <c r="K3081" s="17"/>
      <c r="N3081" s="17"/>
    </row>
    <row r="3082">
      <c r="B3082" s="11">
        <f>IFERROR(__xludf.DUMMYFUNCTION("""COMPUTED_VALUE"""),41711.0)</f>
        <v>41711</v>
      </c>
      <c r="C3082" s="9">
        <f>IFERROR(__xludf.DUMMYFUNCTION("""COMPUTED_VALUE"""),2.66)</f>
        <v>2.66</v>
      </c>
      <c r="H3082" s="17"/>
      <c r="K3082" s="17"/>
      <c r="N3082" s="17"/>
    </row>
    <row r="3083">
      <c r="B3083" s="11">
        <f>IFERROR(__xludf.DUMMYFUNCTION("""COMPUTED_VALUE"""),41710.0)</f>
        <v>41710</v>
      </c>
      <c r="C3083" s="9">
        <f>IFERROR(__xludf.DUMMYFUNCTION("""COMPUTED_VALUE"""),2.73)</f>
        <v>2.73</v>
      </c>
      <c r="H3083" s="17"/>
      <c r="K3083" s="17"/>
      <c r="N3083" s="17"/>
    </row>
    <row r="3084">
      <c r="B3084" s="11">
        <f>IFERROR(__xludf.DUMMYFUNCTION("""COMPUTED_VALUE"""),41709.0)</f>
        <v>41709</v>
      </c>
      <c r="C3084" s="9">
        <f>IFERROR(__xludf.DUMMYFUNCTION("""COMPUTED_VALUE"""),2.77)</f>
        <v>2.77</v>
      </c>
      <c r="H3084" s="17"/>
      <c r="K3084" s="17"/>
      <c r="N3084" s="17"/>
    </row>
    <row r="3085">
      <c r="B3085" s="11">
        <f>IFERROR(__xludf.DUMMYFUNCTION("""COMPUTED_VALUE"""),41708.0)</f>
        <v>41708</v>
      </c>
      <c r="C3085" s="9">
        <f>IFERROR(__xludf.DUMMYFUNCTION("""COMPUTED_VALUE"""),2.79)</f>
        <v>2.79</v>
      </c>
      <c r="H3085" s="17"/>
      <c r="K3085" s="17"/>
      <c r="N3085" s="17"/>
    </row>
    <row r="3086">
      <c r="B3086" s="11">
        <f>IFERROR(__xludf.DUMMYFUNCTION("""COMPUTED_VALUE"""),41705.0)</f>
        <v>41705</v>
      </c>
      <c r="C3086" s="9">
        <f>IFERROR(__xludf.DUMMYFUNCTION("""COMPUTED_VALUE"""),2.8)</f>
        <v>2.8</v>
      </c>
      <c r="H3086" s="17"/>
      <c r="K3086" s="17"/>
      <c r="N3086" s="17"/>
    </row>
    <row r="3087">
      <c r="B3087" s="11">
        <f>IFERROR(__xludf.DUMMYFUNCTION("""COMPUTED_VALUE"""),41704.0)</f>
        <v>41704</v>
      </c>
      <c r="C3087" s="9">
        <f>IFERROR(__xludf.DUMMYFUNCTION("""COMPUTED_VALUE"""),2.74)</f>
        <v>2.74</v>
      </c>
      <c r="H3087" s="17"/>
      <c r="K3087" s="17"/>
      <c r="N3087" s="17"/>
    </row>
    <row r="3088">
      <c r="B3088" s="11">
        <f>IFERROR(__xludf.DUMMYFUNCTION("""COMPUTED_VALUE"""),41703.0)</f>
        <v>41703</v>
      </c>
      <c r="C3088" s="9">
        <f>IFERROR(__xludf.DUMMYFUNCTION("""COMPUTED_VALUE"""),2.7)</f>
        <v>2.7</v>
      </c>
      <c r="H3088" s="17"/>
      <c r="K3088" s="17"/>
      <c r="N3088" s="17"/>
    </row>
    <row r="3089">
      <c r="B3089" s="11">
        <f>IFERROR(__xludf.DUMMYFUNCTION("""COMPUTED_VALUE"""),41702.0)</f>
        <v>41702</v>
      </c>
      <c r="C3089" s="9">
        <f>IFERROR(__xludf.DUMMYFUNCTION("""COMPUTED_VALUE"""),2.7)</f>
        <v>2.7</v>
      </c>
      <c r="H3089" s="17"/>
      <c r="K3089" s="17"/>
      <c r="N3089" s="17"/>
    </row>
    <row r="3090">
      <c r="B3090" s="11">
        <f>IFERROR(__xludf.DUMMYFUNCTION("""COMPUTED_VALUE"""),41701.0)</f>
        <v>41701</v>
      </c>
      <c r="C3090" s="9">
        <f>IFERROR(__xludf.DUMMYFUNCTION("""COMPUTED_VALUE"""),2.6)</f>
        <v>2.6</v>
      </c>
      <c r="H3090" s="17"/>
      <c r="K3090" s="17"/>
      <c r="N3090" s="17"/>
    </row>
    <row r="3091">
      <c r="B3091" s="11">
        <f>IFERROR(__xludf.DUMMYFUNCTION("""COMPUTED_VALUE"""),41698.0)</f>
        <v>41698</v>
      </c>
      <c r="C3091" s="9">
        <f>IFERROR(__xludf.DUMMYFUNCTION("""COMPUTED_VALUE"""),2.66)</f>
        <v>2.66</v>
      </c>
      <c r="H3091" s="17"/>
      <c r="K3091" s="17"/>
      <c r="N3091" s="17"/>
    </row>
    <row r="3092">
      <c r="B3092" s="11">
        <f>IFERROR(__xludf.DUMMYFUNCTION("""COMPUTED_VALUE"""),41697.0)</f>
        <v>41697</v>
      </c>
      <c r="C3092" s="9">
        <f>IFERROR(__xludf.DUMMYFUNCTION("""COMPUTED_VALUE"""),2.65)</f>
        <v>2.65</v>
      </c>
      <c r="H3092" s="17"/>
      <c r="K3092" s="17"/>
      <c r="N3092" s="17"/>
    </row>
    <row r="3093">
      <c r="B3093" s="11">
        <f>IFERROR(__xludf.DUMMYFUNCTION("""COMPUTED_VALUE"""),41696.0)</f>
        <v>41696</v>
      </c>
      <c r="C3093" s="9">
        <f>IFERROR(__xludf.DUMMYFUNCTION("""COMPUTED_VALUE"""),2.67)</f>
        <v>2.67</v>
      </c>
      <c r="H3093" s="17"/>
      <c r="K3093" s="17"/>
      <c r="N3093" s="17"/>
    </row>
    <row r="3094">
      <c r="B3094" s="11">
        <f>IFERROR(__xludf.DUMMYFUNCTION("""COMPUTED_VALUE"""),41695.0)</f>
        <v>41695</v>
      </c>
      <c r="C3094" s="9">
        <f>IFERROR(__xludf.DUMMYFUNCTION("""COMPUTED_VALUE"""),2.7)</f>
        <v>2.7</v>
      </c>
      <c r="H3094" s="17"/>
      <c r="K3094" s="17"/>
      <c r="N3094" s="17"/>
    </row>
    <row r="3095">
      <c r="B3095" s="11">
        <f>IFERROR(__xludf.DUMMYFUNCTION("""COMPUTED_VALUE"""),41694.0)</f>
        <v>41694</v>
      </c>
      <c r="C3095" s="9">
        <f>IFERROR(__xludf.DUMMYFUNCTION("""COMPUTED_VALUE"""),2.75)</f>
        <v>2.75</v>
      </c>
      <c r="H3095" s="17"/>
      <c r="K3095" s="17"/>
      <c r="N3095" s="17"/>
    </row>
    <row r="3096">
      <c r="B3096" s="11">
        <f>IFERROR(__xludf.DUMMYFUNCTION("""COMPUTED_VALUE"""),41691.0)</f>
        <v>41691</v>
      </c>
      <c r="C3096" s="9">
        <f>IFERROR(__xludf.DUMMYFUNCTION("""COMPUTED_VALUE"""),2.73)</f>
        <v>2.73</v>
      </c>
      <c r="H3096" s="17"/>
      <c r="K3096" s="17"/>
      <c r="N3096" s="17"/>
    </row>
    <row r="3097">
      <c r="B3097" s="11">
        <f>IFERROR(__xludf.DUMMYFUNCTION("""COMPUTED_VALUE"""),41690.0)</f>
        <v>41690</v>
      </c>
      <c r="C3097" s="9">
        <f>IFERROR(__xludf.DUMMYFUNCTION("""COMPUTED_VALUE"""),2.76)</f>
        <v>2.76</v>
      </c>
      <c r="H3097" s="17"/>
      <c r="K3097" s="17"/>
      <c r="N3097" s="17"/>
    </row>
    <row r="3098">
      <c r="B3098" s="11">
        <f>IFERROR(__xludf.DUMMYFUNCTION("""COMPUTED_VALUE"""),41689.0)</f>
        <v>41689</v>
      </c>
      <c r="C3098" s="9">
        <f>IFERROR(__xludf.DUMMYFUNCTION("""COMPUTED_VALUE"""),2.73)</f>
        <v>2.73</v>
      </c>
      <c r="H3098" s="17"/>
      <c r="K3098" s="17"/>
      <c r="N3098" s="17"/>
    </row>
    <row r="3099">
      <c r="B3099" s="11">
        <f>IFERROR(__xludf.DUMMYFUNCTION("""COMPUTED_VALUE"""),41688.0)</f>
        <v>41688</v>
      </c>
      <c r="C3099" s="9">
        <f>IFERROR(__xludf.DUMMYFUNCTION("""COMPUTED_VALUE"""),2.71)</f>
        <v>2.71</v>
      </c>
      <c r="H3099" s="17"/>
      <c r="K3099" s="17"/>
      <c r="N3099" s="17"/>
    </row>
    <row r="3100">
      <c r="B3100" s="11">
        <f>IFERROR(__xludf.DUMMYFUNCTION("""COMPUTED_VALUE"""),41687.0)</f>
        <v>41687</v>
      </c>
      <c r="C3100" s="9"/>
      <c r="H3100" s="17"/>
      <c r="K3100" s="17"/>
      <c r="N3100" s="17"/>
    </row>
    <row r="3101">
      <c r="B3101" s="11">
        <f>IFERROR(__xludf.DUMMYFUNCTION("""COMPUTED_VALUE"""),41684.0)</f>
        <v>41684</v>
      </c>
      <c r="C3101" s="9">
        <f>IFERROR(__xludf.DUMMYFUNCTION("""COMPUTED_VALUE"""),2.75)</f>
        <v>2.75</v>
      </c>
      <c r="H3101" s="17"/>
      <c r="K3101" s="17"/>
      <c r="N3101" s="17"/>
    </row>
    <row r="3102">
      <c r="B3102" s="11">
        <f>IFERROR(__xludf.DUMMYFUNCTION("""COMPUTED_VALUE"""),41683.0)</f>
        <v>41683</v>
      </c>
      <c r="C3102" s="9">
        <f>IFERROR(__xludf.DUMMYFUNCTION("""COMPUTED_VALUE"""),2.73)</f>
        <v>2.73</v>
      </c>
      <c r="H3102" s="17"/>
      <c r="K3102" s="17"/>
      <c r="N3102" s="17"/>
    </row>
    <row r="3103">
      <c r="B3103" s="11">
        <f>IFERROR(__xludf.DUMMYFUNCTION("""COMPUTED_VALUE"""),41682.0)</f>
        <v>41682</v>
      </c>
      <c r="C3103" s="9">
        <f>IFERROR(__xludf.DUMMYFUNCTION("""COMPUTED_VALUE"""),2.8)</f>
        <v>2.8</v>
      </c>
      <c r="H3103" s="17"/>
      <c r="K3103" s="17"/>
      <c r="N3103" s="17"/>
    </row>
    <row r="3104">
      <c r="B3104" s="11">
        <f>IFERROR(__xludf.DUMMYFUNCTION("""COMPUTED_VALUE"""),41681.0)</f>
        <v>41681</v>
      </c>
      <c r="C3104" s="9">
        <f>IFERROR(__xludf.DUMMYFUNCTION("""COMPUTED_VALUE"""),2.75)</f>
        <v>2.75</v>
      </c>
      <c r="H3104" s="17"/>
      <c r="K3104" s="17"/>
      <c r="N3104" s="17"/>
    </row>
    <row r="3105">
      <c r="B3105" s="11">
        <f>IFERROR(__xludf.DUMMYFUNCTION("""COMPUTED_VALUE"""),41680.0)</f>
        <v>41680</v>
      </c>
      <c r="C3105" s="9">
        <f>IFERROR(__xludf.DUMMYFUNCTION("""COMPUTED_VALUE"""),2.7)</f>
        <v>2.7</v>
      </c>
      <c r="H3105" s="17"/>
      <c r="K3105" s="17"/>
      <c r="N3105" s="17"/>
    </row>
    <row r="3106">
      <c r="B3106" s="11">
        <f>IFERROR(__xludf.DUMMYFUNCTION("""COMPUTED_VALUE"""),41677.0)</f>
        <v>41677</v>
      </c>
      <c r="C3106" s="9">
        <f>IFERROR(__xludf.DUMMYFUNCTION("""COMPUTED_VALUE"""),2.71)</f>
        <v>2.71</v>
      </c>
      <c r="H3106" s="17"/>
      <c r="K3106" s="17"/>
      <c r="N3106" s="17"/>
    </row>
    <row r="3107">
      <c r="B3107" s="11">
        <f>IFERROR(__xludf.DUMMYFUNCTION("""COMPUTED_VALUE"""),41676.0)</f>
        <v>41676</v>
      </c>
      <c r="C3107" s="9">
        <f>IFERROR(__xludf.DUMMYFUNCTION("""COMPUTED_VALUE"""),2.73)</f>
        <v>2.73</v>
      </c>
      <c r="H3107" s="17"/>
      <c r="K3107" s="17"/>
      <c r="N3107" s="17"/>
    </row>
    <row r="3108">
      <c r="B3108" s="11">
        <f>IFERROR(__xludf.DUMMYFUNCTION("""COMPUTED_VALUE"""),41675.0)</f>
        <v>41675</v>
      </c>
      <c r="C3108" s="9">
        <f>IFERROR(__xludf.DUMMYFUNCTION("""COMPUTED_VALUE"""),2.7)</f>
        <v>2.7</v>
      </c>
      <c r="H3108" s="17"/>
      <c r="K3108" s="17"/>
      <c r="N3108" s="17"/>
    </row>
    <row r="3109">
      <c r="B3109" s="11">
        <f>IFERROR(__xludf.DUMMYFUNCTION("""COMPUTED_VALUE"""),41674.0)</f>
        <v>41674</v>
      </c>
      <c r="C3109" s="9">
        <f>IFERROR(__xludf.DUMMYFUNCTION("""COMPUTED_VALUE"""),2.64)</f>
        <v>2.64</v>
      </c>
      <c r="H3109" s="17"/>
      <c r="K3109" s="17"/>
      <c r="N3109" s="17"/>
    </row>
    <row r="3110">
      <c r="B3110" s="11">
        <f>IFERROR(__xludf.DUMMYFUNCTION("""COMPUTED_VALUE"""),41673.0)</f>
        <v>41673</v>
      </c>
      <c r="C3110" s="9">
        <f>IFERROR(__xludf.DUMMYFUNCTION("""COMPUTED_VALUE"""),2.61)</f>
        <v>2.61</v>
      </c>
      <c r="H3110" s="17"/>
      <c r="K3110" s="17"/>
      <c r="N3110" s="17"/>
    </row>
    <row r="3111">
      <c r="B3111" s="11">
        <f>IFERROR(__xludf.DUMMYFUNCTION("""COMPUTED_VALUE"""),41670.0)</f>
        <v>41670</v>
      </c>
      <c r="C3111" s="9">
        <f>IFERROR(__xludf.DUMMYFUNCTION("""COMPUTED_VALUE"""),2.67)</f>
        <v>2.67</v>
      </c>
      <c r="H3111" s="17"/>
      <c r="K3111" s="17"/>
      <c r="N3111" s="17"/>
    </row>
    <row r="3112">
      <c r="B3112" s="11">
        <f>IFERROR(__xludf.DUMMYFUNCTION("""COMPUTED_VALUE"""),41669.0)</f>
        <v>41669</v>
      </c>
      <c r="C3112" s="9">
        <f>IFERROR(__xludf.DUMMYFUNCTION("""COMPUTED_VALUE"""),2.72)</f>
        <v>2.72</v>
      </c>
      <c r="H3112" s="17"/>
      <c r="K3112" s="17"/>
      <c r="N3112" s="17"/>
    </row>
    <row r="3113">
      <c r="B3113" s="11">
        <f>IFERROR(__xludf.DUMMYFUNCTION("""COMPUTED_VALUE"""),41668.0)</f>
        <v>41668</v>
      </c>
      <c r="C3113" s="9">
        <f>IFERROR(__xludf.DUMMYFUNCTION("""COMPUTED_VALUE"""),2.69)</f>
        <v>2.69</v>
      </c>
      <c r="H3113" s="17"/>
      <c r="K3113" s="17"/>
      <c r="N3113" s="17"/>
    </row>
    <row r="3114">
      <c r="B3114" s="11">
        <f>IFERROR(__xludf.DUMMYFUNCTION("""COMPUTED_VALUE"""),41667.0)</f>
        <v>41667</v>
      </c>
      <c r="C3114" s="9">
        <f>IFERROR(__xludf.DUMMYFUNCTION("""COMPUTED_VALUE"""),2.77)</f>
        <v>2.77</v>
      </c>
      <c r="H3114" s="17"/>
      <c r="K3114" s="17"/>
      <c r="N3114" s="17"/>
    </row>
    <row r="3115">
      <c r="B3115" s="11">
        <f>IFERROR(__xludf.DUMMYFUNCTION("""COMPUTED_VALUE"""),41666.0)</f>
        <v>41666</v>
      </c>
      <c r="C3115" s="9">
        <f>IFERROR(__xludf.DUMMYFUNCTION("""COMPUTED_VALUE"""),2.78)</f>
        <v>2.78</v>
      </c>
      <c r="H3115" s="17"/>
      <c r="K3115" s="17"/>
      <c r="N3115" s="17"/>
    </row>
    <row r="3116">
      <c r="B3116" s="11">
        <f>IFERROR(__xludf.DUMMYFUNCTION("""COMPUTED_VALUE"""),41663.0)</f>
        <v>41663</v>
      </c>
      <c r="C3116" s="9">
        <f>IFERROR(__xludf.DUMMYFUNCTION("""COMPUTED_VALUE"""),2.75)</f>
        <v>2.75</v>
      </c>
      <c r="H3116" s="17"/>
      <c r="K3116" s="17"/>
      <c r="N3116" s="17"/>
    </row>
    <row r="3117">
      <c r="B3117" s="11">
        <f>IFERROR(__xludf.DUMMYFUNCTION("""COMPUTED_VALUE"""),41662.0)</f>
        <v>41662</v>
      </c>
      <c r="C3117" s="9">
        <f>IFERROR(__xludf.DUMMYFUNCTION("""COMPUTED_VALUE"""),2.79)</f>
        <v>2.79</v>
      </c>
      <c r="H3117" s="17"/>
      <c r="K3117" s="17"/>
      <c r="N3117" s="17"/>
    </row>
    <row r="3118">
      <c r="B3118" s="11">
        <f>IFERROR(__xludf.DUMMYFUNCTION("""COMPUTED_VALUE"""),41661.0)</f>
        <v>41661</v>
      </c>
      <c r="C3118" s="9">
        <f>IFERROR(__xludf.DUMMYFUNCTION("""COMPUTED_VALUE"""),2.87)</f>
        <v>2.87</v>
      </c>
      <c r="H3118" s="17"/>
      <c r="K3118" s="17"/>
      <c r="N3118" s="17"/>
    </row>
    <row r="3119">
      <c r="B3119" s="11">
        <f>IFERROR(__xludf.DUMMYFUNCTION("""COMPUTED_VALUE"""),41660.0)</f>
        <v>41660</v>
      </c>
      <c r="C3119" s="9">
        <f>IFERROR(__xludf.DUMMYFUNCTION("""COMPUTED_VALUE"""),2.85)</f>
        <v>2.85</v>
      </c>
      <c r="H3119" s="17"/>
      <c r="K3119" s="17"/>
      <c r="N3119" s="17"/>
    </row>
    <row r="3120">
      <c r="B3120" s="11">
        <f>IFERROR(__xludf.DUMMYFUNCTION("""COMPUTED_VALUE"""),41659.0)</f>
        <v>41659</v>
      </c>
      <c r="C3120" s="9"/>
      <c r="H3120" s="17"/>
      <c r="K3120" s="17"/>
      <c r="N3120" s="17"/>
    </row>
    <row r="3121">
      <c r="B3121" s="11">
        <f>IFERROR(__xludf.DUMMYFUNCTION("""COMPUTED_VALUE"""),41656.0)</f>
        <v>41656</v>
      </c>
      <c r="C3121" s="9">
        <f>IFERROR(__xludf.DUMMYFUNCTION("""COMPUTED_VALUE"""),2.84)</f>
        <v>2.84</v>
      </c>
      <c r="H3121" s="17"/>
      <c r="K3121" s="17"/>
      <c r="N3121" s="17"/>
    </row>
    <row r="3122">
      <c r="B3122" s="11">
        <f>IFERROR(__xludf.DUMMYFUNCTION("""COMPUTED_VALUE"""),41655.0)</f>
        <v>41655</v>
      </c>
      <c r="C3122" s="9">
        <f>IFERROR(__xludf.DUMMYFUNCTION("""COMPUTED_VALUE"""),2.86)</f>
        <v>2.86</v>
      </c>
      <c r="H3122" s="17"/>
      <c r="K3122" s="17"/>
      <c r="N3122" s="17"/>
    </row>
    <row r="3123">
      <c r="B3123" s="11">
        <f>IFERROR(__xludf.DUMMYFUNCTION("""COMPUTED_VALUE"""),41654.0)</f>
        <v>41654</v>
      </c>
      <c r="C3123" s="9">
        <f>IFERROR(__xludf.DUMMYFUNCTION("""COMPUTED_VALUE"""),2.9)</f>
        <v>2.9</v>
      </c>
      <c r="H3123" s="17"/>
      <c r="K3123" s="17"/>
      <c r="N3123" s="17"/>
    </row>
    <row r="3124">
      <c r="B3124" s="11">
        <f>IFERROR(__xludf.DUMMYFUNCTION("""COMPUTED_VALUE"""),41653.0)</f>
        <v>41653</v>
      </c>
      <c r="C3124" s="9">
        <f>IFERROR(__xludf.DUMMYFUNCTION("""COMPUTED_VALUE"""),2.88)</f>
        <v>2.88</v>
      </c>
      <c r="H3124" s="17"/>
      <c r="K3124" s="17"/>
      <c r="N3124" s="17"/>
    </row>
    <row r="3125">
      <c r="B3125" s="11">
        <f>IFERROR(__xludf.DUMMYFUNCTION("""COMPUTED_VALUE"""),41652.0)</f>
        <v>41652</v>
      </c>
      <c r="C3125" s="9">
        <f>IFERROR(__xludf.DUMMYFUNCTION("""COMPUTED_VALUE"""),2.84)</f>
        <v>2.84</v>
      </c>
      <c r="H3125" s="17"/>
      <c r="K3125" s="17"/>
      <c r="N3125" s="17"/>
    </row>
    <row r="3126">
      <c r="B3126" s="11">
        <f>IFERROR(__xludf.DUMMYFUNCTION("""COMPUTED_VALUE"""),41649.0)</f>
        <v>41649</v>
      </c>
      <c r="C3126" s="9">
        <f>IFERROR(__xludf.DUMMYFUNCTION("""COMPUTED_VALUE"""),2.88)</f>
        <v>2.88</v>
      </c>
      <c r="H3126" s="17"/>
      <c r="K3126" s="17"/>
      <c r="N3126" s="17"/>
    </row>
    <row r="3127">
      <c r="B3127" s="11">
        <f>IFERROR(__xludf.DUMMYFUNCTION("""COMPUTED_VALUE"""),41648.0)</f>
        <v>41648</v>
      </c>
      <c r="C3127" s="9">
        <f>IFERROR(__xludf.DUMMYFUNCTION("""COMPUTED_VALUE"""),2.97)</f>
        <v>2.97</v>
      </c>
      <c r="H3127" s="17"/>
      <c r="K3127" s="17"/>
      <c r="N3127" s="17"/>
    </row>
    <row r="3128">
      <c r="B3128" s="11">
        <f>IFERROR(__xludf.DUMMYFUNCTION("""COMPUTED_VALUE"""),41647.0)</f>
        <v>41647</v>
      </c>
      <c r="C3128" s="9">
        <f>IFERROR(__xludf.DUMMYFUNCTION("""COMPUTED_VALUE"""),3.01)</f>
        <v>3.01</v>
      </c>
      <c r="H3128" s="17"/>
      <c r="K3128" s="17"/>
      <c r="N3128" s="17"/>
    </row>
    <row r="3129">
      <c r="B3129" s="11">
        <f>IFERROR(__xludf.DUMMYFUNCTION("""COMPUTED_VALUE"""),41646.0)</f>
        <v>41646</v>
      </c>
      <c r="C3129" s="9">
        <f>IFERROR(__xludf.DUMMYFUNCTION("""COMPUTED_VALUE"""),2.96)</f>
        <v>2.96</v>
      </c>
      <c r="H3129" s="17"/>
      <c r="K3129" s="17"/>
      <c r="N3129" s="17"/>
    </row>
    <row r="3130">
      <c r="B3130" s="11">
        <f>IFERROR(__xludf.DUMMYFUNCTION("""COMPUTED_VALUE"""),41645.0)</f>
        <v>41645</v>
      </c>
      <c r="C3130" s="9">
        <f>IFERROR(__xludf.DUMMYFUNCTION("""COMPUTED_VALUE"""),2.98)</f>
        <v>2.98</v>
      </c>
      <c r="H3130" s="17"/>
      <c r="K3130" s="17"/>
      <c r="N3130" s="17"/>
    </row>
    <row r="3131">
      <c r="B3131" s="11">
        <f>IFERROR(__xludf.DUMMYFUNCTION("""COMPUTED_VALUE"""),41642.0)</f>
        <v>41642</v>
      </c>
      <c r="C3131" s="9">
        <f>IFERROR(__xludf.DUMMYFUNCTION("""COMPUTED_VALUE"""),3.01)</f>
        <v>3.01</v>
      </c>
      <c r="H3131" s="17"/>
      <c r="K3131" s="17"/>
      <c r="N3131" s="17"/>
    </row>
    <row r="3132">
      <c r="B3132" s="11">
        <f>IFERROR(__xludf.DUMMYFUNCTION("""COMPUTED_VALUE"""),41641.0)</f>
        <v>41641</v>
      </c>
      <c r="C3132" s="9">
        <f>IFERROR(__xludf.DUMMYFUNCTION("""COMPUTED_VALUE"""),3.0)</f>
        <v>3</v>
      </c>
      <c r="H3132" s="17"/>
      <c r="K3132" s="17"/>
      <c r="N3132" s="17"/>
    </row>
    <row r="3133">
      <c r="B3133" s="11">
        <f>IFERROR(__xludf.DUMMYFUNCTION("""COMPUTED_VALUE"""),41640.0)</f>
        <v>41640</v>
      </c>
      <c r="C3133" s="9"/>
      <c r="H3133" s="17"/>
      <c r="K3133" s="17"/>
      <c r="N3133" s="17"/>
    </row>
    <row r="3134">
      <c r="B3134" s="11">
        <f>IFERROR(__xludf.DUMMYFUNCTION("""COMPUTED_VALUE"""),41639.0)</f>
        <v>41639</v>
      </c>
      <c r="C3134" s="9">
        <f>IFERROR(__xludf.DUMMYFUNCTION("""COMPUTED_VALUE"""),3.04)</f>
        <v>3.04</v>
      </c>
      <c r="H3134" s="17"/>
      <c r="K3134" s="17"/>
      <c r="N3134" s="17"/>
    </row>
    <row r="3135">
      <c r="B3135" s="11">
        <f>IFERROR(__xludf.DUMMYFUNCTION("""COMPUTED_VALUE"""),41638.0)</f>
        <v>41638</v>
      </c>
      <c r="C3135" s="9">
        <f>IFERROR(__xludf.DUMMYFUNCTION("""COMPUTED_VALUE"""),2.99)</f>
        <v>2.99</v>
      </c>
      <c r="H3135" s="17"/>
      <c r="K3135" s="17"/>
      <c r="N3135" s="17"/>
    </row>
    <row r="3136">
      <c r="B3136" s="11">
        <f>IFERROR(__xludf.DUMMYFUNCTION("""COMPUTED_VALUE"""),41635.0)</f>
        <v>41635</v>
      </c>
      <c r="C3136" s="9">
        <f>IFERROR(__xludf.DUMMYFUNCTION("""COMPUTED_VALUE"""),3.02)</f>
        <v>3.02</v>
      </c>
      <c r="H3136" s="17"/>
      <c r="K3136" s="17"/>
      <c r="N3136" s="17"/>
    </row>
    <row r="3137">
      <c r="B3137" s="11">
        <f>IFERROR(__xludf.DUMMYFUNCTION("""COMPUTED_VALUE"""),41634.0)</f>
        <v>41634</v>
      </c>
      <c r="C3137" s="9">
        <f>IFERROR(__xludf.DUMMYFUNCTION("""COMPUTED_VALUE"""),3.0)</f>
        <v>3</v>
      </c>
      <c r="H3137" s="17"/>
      <c r="K3137" s="17"/>
      <c r="N3137" s="17"/>
    </row>
    <row r="3138">
      <c r="B3138" s="11">
        <f>IFERROR(__xludf.DUMMYFUNCTION("""COMPUTED_VALUE"""),41633.0)</f>
        <v>41633</v>
      </c>
      <c r="C3138" s="9"/>
      <c r="H3138" s="17"/>
      <c r="K3138" s="17"/>
      <c r="N3138" s="17"/>
    </row>
    <row r="3139">
      <c r="B3139" s="11">
        <f>IFERROR(__xludf.DUMMYFUNCTION("""COMPUTED_VALUE"""),41632.0)</f>
        <v>41632</v>
      </c>
      <c r="C3139" s="9">
        <f>IFERROR(__xludf.DUMMYFUNCTION("""COMPUTED_VALUE"""),2.99)</f>
        <v>2.99</v>
      </c>
      <c r="H3139" s="17"/>
      <c r="K3139" s="17"/>
      <c r="N3139" s="17"/>
    </row>
    <row r="3140">
      <c r="B3140" s="11">
        <f>IFERROR(__xludf.DUMMYFUNCTION("""COMPUTED_VALUE"""),41631.0)</f>
        <v>41631</v>
      </c>
      <c r="C3140" s="9">
        <f>IFERROR(__xludf.DUMMYFUNCTION("""COMPUTED_VALUE"""),2.94)</f>
        <v>2.94</v>
      </c>
      <c r="H3140" s="17"/>
      <c r="K3140" s="17"/>
      <c r="N3140" s="17"/>
    </row>
    <row r="3141">
      <c r="B3141" s="11">
        <f>IFERROR(__xludf.DUMMYFUNCTION("""COMPUTED_VALUE"""),41628.0)</f>
        <v>41628</v>
      </c>
      <c r="C3141" s="9">
        <f>IFERROR(__xludf.DUMMYFUNCTION("""COMPUTED_VALUE"""),2.89)</f>
        <v>2.89</v>
      </c>
      <c r="H3141" s="17"/>
      <c r="K3141" s="17"/>
      <c r="N3141" s="17"/>
    </row>
    <row r="3142">
      <c r="B3142" s="11">
        <f>IFERROR(__xludf.DUMMYFUNCTION("""COMPUTED_VALUE"""),41627.0)</f>
        <v>41627</v>
      </c>
      <c r="C3142" s="9">
        <f>IFERROR(__xludf.DUMMYFUNCTION("""COMPUTED_VALUE"""),2.94)</f>
        <v>2.94</v>
      </c>
      <c r="H3142" s="17"/>
      <c r="K3142" s="17"/>
      <c r="N3142" s="17"/>
    </row>
    <row r="3143">
      <c r="B3143" s="11">
        <f>IFERROR(__xludf.DUMMYFUNCTION("""COMPUTED_VALUE"""),41626.0)</f>
        <v>41626</v>
      </c>
      <c r="C3143" s="9">
        <f>IFERROR(__xludf.DUMMYFUNCTION("""COMPUTED_VALUE"""),2.89)</f>
        <v>2.89</v>
      </c>
      <c r="H3143" s="17"/>
      <c r="K3143" s="17"/>
      <c r="N3143" s="17"/>
    </row>
    <row r="3144">
      <c r="B3144" s="11">
        <f>IFERROR(__xludf.DUMMYFUNCTION("""COMPUTED_VALUE"""),41625.0)</f>
        <v>41625</v>
      </c>
      <c r="C3144" s="9">
        <f>IFERROR(__xludf.DUMMYFUNCTION("""COMPUTED_VALUE"""),2.85)</f>
        <v>2.85</v>
      </c>
      <c r="H3144" s="17"/>
      <c r="K3144" s="17"/>
      <c r="N3144" s="17"/>
    </row>
    <row r="3145">
      <c r="B3145" s="11">
        <f>IFERROR(__xludf.DUMMYFUNCTION("""COMPUTED_VALUE"""),41624.0)</f>
        <v>41624</v>
      </c>
      <c r="C3145" s="9">
        <f>IFERROR(__xludf.DUMMYFUNCTION("""COMPUTED_VALUE"""),2.89)</f>
        <v>2.89</v>
      </c>
      <c r="H3145" s="17"/>
      <c r="K3145" s="17"/>
      <c r="N3145" s="17"/>
    </row>
    <row r="3146">
      <c r="B3146" s="11">
        <f>IFERROR(__xludf.DUMMYFUNCTION("""COMPUTED_VALUE"""),41621.0)</f>
        <v>41621</v>
      </c>
      <c r="C3146" s="9">
        <f>IFERROR(__xludf.DUMMYFUNCTION("""COMPUTED_VALUE"""),2.88)</f>
        <v>2.88</v>
      </c>
      <c r="H3146" s="17"/>
      <c r="K3146" s="17"/>
      <c r="N3146" s="17"/>
    </row>
    <row r="3147">
      <c r="B3147" s="11">
        <f>IFERROR(__xludf.DUMMYFUNCTION("""COMPUTED_VALUE"""),41620.0)</f>
        <v>41620</v>
      </c>
      <c r="C3147" s="9">
        <f>IFERROR(__xludf.DUMMYFUNCTION("""COMPUTED_VALUE"""),2.89)</f>
        <v>2.89</v>
      </c>
      <c r="H3147" s="17"/>
      <c r="K3147" s="17"/>
      <c r="N3147" s="17"/>
    </row>
    <row r="3148">
      <c r="B3148" s="11">
        <f>IFERROR(__xludf.DUMMYFUNCTION("""COMPUTED_VALUE"""),41619.0)</f>
        <v>41619</v>
      </c>
      <c r="C3148" s="9">
        <f>IFERROR(__xludf.DUMMYFUNCTION("""COMPUTED_VALUE"""),2.86)</f>
        <v>2.86</v>
      </c>
      <c r="H3148" s="17"/>
      <c r="K3148" s="17"/>
      <c r="N3148" s="17"/>
    </row>
    <row r="3149">
      <c r="B3149" s="11">
        <f>IFERROR(__xludf.DUMMYFUNCTION("""COMPUTED_VALUE"""),41618.0)</f>
        <v>41618</v>
      </c>
      <c r="C3149" s="9">
        <f>IFERROR(__xludf.DUMMYFUNCTION("""COMPUTED_VALUE"""),2.81)</f>
        <v>2.81</v>
      </c>
      <c r="H3149" s="17"/>
      <c r="K3149" s="17"/>
      <c r="N3149" s="17"/>
    </row>
    <row r="3150">
      <c r="B3150" s="11">
        <f>IFERROR(__xludf.DUMMYFUNCTION("""COMPUTED_VALUE"""),41617.0)</f>
        <v>41617</v>
      </c>
      <c r="C3150" s="9">
        <f>IFERROR(__xludf.DUMMYFUNCTION("""COMPUTED_VALUE"""),2.86)</f>
        <v>2.86</v>
      </c>
      <c r="H3150" s="17"/>
      <c r="K3150" s="17"/>
      <c r="N3150" s="17"/>
    </row>
    <row r="3151">
      <c r="B3151" s="11">
        <f>IFERROR(__xludf.DUMMYFUNCTION("""COMPUTED_VALUE"""),41614.0)</f>
        <v>41614</v>
      </c>
      <c r="C3151" s="9">
        <f>IFERROR(__xludf.DUMMYFUNCTION("""COMPUTED_VALUE"""),2.88)</f>
        <v>2.88</v>
      </c>
      <c r="H3151" s="17"/>
      <c r="K3151" s="17"/>
      <c r="N3151" s="17"/>
    </row>
    <row r="3152">
      <c r="B3152" s="11">
        <f>IFERROR(__xludf.DUMMYFUNCTION("""COMPUTED_VALUE"""),41613.0)</f>
        <v>41613</v>
      </c>
      <c r="C3152" s="9">
        <f>IFERROR(__xludf.DUMMYFUNCTION("""COMPUTED_VALUE"""),2.88)</f>
        <v>2.88</v>
      </c>
      <c r="H3152" s="17"/>
      <c r="K3152" s="17"/>
      <c r="N3152" s="17"/>
    </row>
    <row r="3153">
      <c r="B3153" s="11">
        <f>IFERROR(__xludf.DUMMYFUNCTION("""COMPUTED_VALUE"""),41612.0)</f>
        <v>41612</v>
      </c>
      <c r="C3153" s="9">
        <f>IFERROR(__xludf.DUMMYFUNCTION("""COMPUTED_VALUE"""),2.84)</f>
        <v>2.84</v>
      </c>
      <c r="H3153" s="17"/>
      <c r="K3153" s="17"/>
      <c r="N3153" s="17"/>
    </row>
    <row r="3154">
      <c r="B3154" s="11">
        <f>IFERROR(__xludf.DUMMYFUNCTION("""COMPUTED_VALUE"""),41611.0)</f>
        <v>41611</v>
      </c>
      <c r="C3154" s="9">
        <f>IFERROR(__xludf.DUMMYFUNCTION("""COMPUTED_VALUE"""),2.79)</f>
        <v>2.79</v>
      </c>
      <c r="H3154" s="17"/>
      <c r="K3154" s="17"/>
      <c r="N3154" s="17"/>
    </row>
    <row r="3155">
      <c r="B3155" s="11">
        <f>IFERROR(__xludf.DUMMYFUNCTION("""COMPUTED_VALUE"""),41610.0)</f>
        <v>41610</v>
      </c>
      <c r="C3155" s="9">
        <f>IFERROR(__xludf.DUMMYFUNCTION("""COMPUTED_VALUE"""),2.81)</f>
        <v>2.81</v>
      </c>
      <c r="H3155" s="17"/>
      <c r="K3155" s="17"/>
      <c r="N3155" s="17"/>
    </row>
    <row r="3156">
      <c r="B3156" s="11">
        <f>IFERROR(__xludf.DUMMYFUNCTION("""COMPUTED_VALUE"""),41607.0)</f>
        <v>41607</v>
      </c>
      <c r="C3156" s="9">
        <f>IFERROR(__xludf.DUMMYFUNCTION("""COMPUTED_VALUE"""),2.75)</f>
        <v>2.75</v>
      </c>
      <c r="H3156" s="17"/>
      <c r="K3156" s="17"/>
      <c r="N3156" s="17"/>
    </row>
    <row r="3157">
      <c r="B3157" s="11">
        <f>IFERROR(__xludf.DUMMYFUNCTION("""COMPUTED_VALUE"""),41606.0)</f>
        <v>41606</v>
      </c>
      <c r="C3157" s="9"/>
      <c r="H3157" s="17"/>
      <c r="K3157" s="17"/>
      <c r="N3157" s="17"/>
    </row>
    <row r="3158">
      <c r="B3158" s="11">
        <f>IFERROR(__xludf.DUMMYFUNCTION("""COMPUTED_VALUE"""),41605.0)</f>
        <v>41605</v>
      </c>
      <c r="C3158" s="9">
        <f>IFERROR(__xludf.DUMMYFUNCTION("""COMPUTED_VALUE"""),2.74)</f>
        <v>2.74</v>
      </c>
      <c r="H3158" s="17"/>
      <c r="K3158" s="17"/>
      <c r="N3158" s="17"/>
    </row>
    <row r="3159">
      <c r="B3159" s="11">
        <f>IFERROR(__xludf.DUMMYFUNCTION("""COMPUTED_VALUE"""),41604.0)</f>
        <v>41604</v>
      </c>
      <c r="C3159" s="9">
        <f>IFERROR(__xludf.DUMMYFUNCTION("""COMPUTED_VALUE"""),2.71)</f>
        <v>2.71</v>
      </c>
      <c r="H3159" s="17"/>
      <c r="K3159" s="17"/>
      <c r="N3159" s="17"/>
    </row>
    <row r="3160">
      <c r="B3160" s="11">
        <f>IFERROR(__xludf.DUMMYFUNCTION("""COMPUTED_VALUE"""),41603.0)</f>
        <v>41603</v>
      </c>
      <c r="C3160" s="9">
        <f>IFERROR(__xludf.DUMMYFUNCTION("""COMPUTED_VALUE"""),2.74)</f>
        <v>2.74</v>
      </c>
      <c r="H3160" s="17"/>
      <c r="K3160" s="17"/>
      <c r="N3160" s="17"/>
    </row>
    <row r="3161">
      <c r="B3161" s="11">
        <f>IFERROR(__xludf.DUMMYFUNCTION("""COMPUTED_VALUE"""),41600.0)</f>
        <v>41600</v>
      </c>
      <c r="C3161" s="9">
        <f>IFERROR(__xludf.DUMMYFUNCTION("""COMPUTED_VALUE"""),2.75)</f>
        <v>2.75</v>
      </c>
      <c r="H3161" s="17"/>
      <c r="K3161" s="17"/>
      <c r="N3161" s="17"/>
    </row>
    <row r="3162">
      <c r="B3162" s="11">
        <f>IFERROR(__xludf.DUMMYFUNCTION("""COMPUTED_VALUE"""),41599.0)</f>
        <v>41599</v>
      </c>
      <c r="C3162" s="9">
        <f>IFERROR(__xludf.DUMMYFUNCTION("""COMPUTED_VALUE"""),2.79)</f>
        <v>2.79</v>
      </c>
      <c r="H3162" s="17"/>
      <c r="K3162" s="17"/>
      <c r="N3162" s="17"/>
    </row>
    <row r="3163">
      <c r="B3163" s="11">
        <f>IFERROR(__xludf.DUMMYFUNCTION("""COMPUTED_VALUE"""),41598.0)</f>
        <v>41598</v>
      </c>
      <c r="C3163" s="9">
        <f>IFERROR(__xludf.DUMMYFUNCTION("""COMPUTED_VALUE"""),2.8)</f>
        <v>2.8</v>
      </c>
      <c r="H3163" s="17"/>
      <c r="K3163" s="17"/>
      <c r="N3163" s="17"/>
    </row>
    <row r="3164">
      <c r="B3164" s="11">
        <f>IFERROR(__xludf.DUMMYFUNCTION("""COMPUTED_VALUE"""),41597.0)</f>
        <v>41597</v>
      </c>
      <c r="C3164" s="9">
        <f>IFERROR(__xludf.DUMMYFUNCTION("""COMPUTED_VALUE"""),2.71)</f>
        <v>2.71</v>
      </c>
      <c r="H3164" s="17"/>
      <c r="K3164" s="17"/>
      <c r="N3164" s="17"/>
    </row>
    <row r="3165">
      <c r="B3165" s="11">
        <f>IFERROR(__xludf.DUMMYFUNCTION("""COMPUTED_VALUE"""),41596.0)</f>
        <v>41596</v>
      </c>
      <c r="C3165" s="9">
        <f>IFERROR(__xludf.DUMMYFUNCTION("""COMPUTED_VALUE"""),2.67)</f>
        <v>2.67</v>
      </c>
      <c r="H3165" s="17"/>
      <c r="K3165" s="17"/>
      <c r="N3165" s="17"/>
    </row>
    <row r="3166">
      <c r="B3166" s="11">
        <f>IFERROR(__xludf.DUMMYFUNCTION("""COMPUTED_VALUE"""),41593.0)</f>
        <v>41593</v>
      </c>
      <c r="C3166" s="9">
        <f>IFERROR(__xludf.DUMMYFUNCTION("""COMPUTED_VALUE"""),2.71)</f>
        <v>2.71</v>
      </c>
      <c r="H3166" s="17"/>
      <c r="K3166" s="17"/>
      <c r="N3166" s="17"/>
    </row>
    <row r="3167">
      <c r="B3167" s="11">
        <f>IFERROR(__xludf.DUMMYFUNCTION("""COMPUTED_VALUE"""),41592.0)</f>
        <v>41592</v>
      </c>
      <c r="C3167" s="9">
        <f>IFERROR(__xludf.DUMMYFUNCTION("""COMPUTED_VALUE"""),2.69)</f>
        <v>2.69</v>
      </c>
      <c r="H3167" s="17"/>
      <c r="K3167" s="17"/>
      <c r="N3167" s="17"/>
    </row>
    <row r="3168">
      <c r="B3168" s="11">
        <f>IFERROR(__xludf.DUMMYFUNCTION("""COMPUTED_VALUE"""),41591.0)</f>
        <v>41591</v>
      </c>
      <c r="C3168" s="9">
        <f>IFERROR(__xludf.DUMMYFUNCTION("""COMPUTED_VALUE"""),2.75)</f>
        <v>2.75</v>
      </c>
      <c r="H3168" s="17"/>
      <c r="K3168" s="17"/>
      <c r="N3168" s="17"/>
    </row>
    <row r="3169">
      <c r="B3169" s="11">
        <f>IFERROR(__xludf.DUMMYFUNCTION("""COMPUTED_VALUE"""),41590.0)</f>
        <v>41590</v>
      </c>
      <c r="C3169" s="9">
        <f>IFERROR(__xludf.DUMMYFUNCTION("""COMPUTED_VALUE"""),2.8)</f>
        <v>2.8</v>
      </c>
      <c r="H3169" s="17"/>
      <c r="K3169" s="17"/>
      <c r="N3169" s="17"/>
    </row>
    <row r="3170">
      <c r="B3170" s="11">
        <f>IFERROR(__xludf.DUMMYFUNCTION("""COMPUTED_VALUE"""),41589.0)</f>
        <v>41589</v>
      </c>
      <c r="C3170" s="9"/>
      <c r="H3170" s="17"/>
      <c r="K3170" s="17"/>
      <c r="N3170" s="17"/>
    </row>
    <row r="3171">
      <c r="B3171" s="11">
        <f>IFERROR(__xludf.DUMMYFUNCTION("""COMPUTED_VALUE"""),41586.0)</f>
        <v>41586</v>
      </c>
      <c r="C3171" s="9">
        <f>IFERROR(__xludf.DUMMYFUNCTION("""COMPUTED_VALUE"""),2.77)</f>
        <v>2.77</v>
      </c>
      <c r="H3171" s="17"/>
      <c r="K3171" s="17"/>
      <c r="N3171" s="17"/>
    </row>
    <row r="3172">
      <c r="B3172" s="11">
        <f>IFERROR(__xludf.DUMMYFUNCTION("""COMPUTED_VALUE"""),41585.0)</f>
        <v>41585</v>
      </c>
      <c r="C3172" s="9">
        <f>IFERROR(__xludf.DUMMYFUNCTION("""COMPUTED_VALUE"""),2.63)</f>
        <v>2.63</v>
      </c>
      <c r="H3172" s="17"/>
      <c r="K3172" s="17"/>
      <c r="N3172" s="17"/>
    </row>
    <row r="3173">
      <c r="B3173" s="11">
        <f>IFERROR(__xludf.DUMMYFUNCTION("""COMPUTED_VALUE"""),41584.0)</f>
        <v>41584</v>
      </c>
      <c r="C3173" s="9">
        <f>IFERROR(__xludf.DUMMYFUNCTION("""COMPUTED_VALUE"""),2.67)</f>
        <v>2.67</v>
      </c>
      <c r="H3173" s="17"/>
      <c r="K3173" s="17"/>
      <c r="N3173" s="17"/>
    </row>
    <row r="3174">
      <c r="B3174" s="11">
        <f>IFERROR(__xludf.DUMMYFUNCTION("""COMPUTED_VALUE"""),41583.0)</f>
        <v>41583</v>
      </c>
      <c r="C3174" s="9">
        <f>IFERROR(__xludf.DUMMYFUNCTION("""COMPUTED_VALUE"""),2.69)</f>
        <v>2.69</v>
      </c>
      <c r="H3174" s="17"/>
      <c r="K3174" s="17"/>
      <c r="N3174" s="17"/>
    </row>
    <row r="3175">
      <c r="B3175" s="11">
        <f>IFERROR(__xludf.DUMMYFUNCTION("""COMPUTED_VALUE"""),41582.0)</f>
        <v>41582</v>
      </c>
      <c r="C3175" s="9">
        <f>IFERROR(__xludf.DUMMYFUNCTION("""COMPUTED_VALUE"""),2.63)</f>
        <v>2.63</v>
      </c>
      <c r="H3175" s="17"/>
      <c r="K3175" s="17"/>
      <c r="N3175" s="17"/>
    </row>
    <row r="3176">
      <c r="B3176" s="11">
        <f>IFERROR(__xludf.DUMMYFUNCTION("""COMPUTED_VALUE"""),41579.0)</f>
        <v>41579</v>
      </c>
      <c r="C3176" s="9">
        <f>IFERROR(__xludf.DUMMYFUNCTION("""COMPUTED_VALUE"""),2.65)</f>
        <v>2.65</v>
      </c>
      <c r="H3176" s="17"/>
      <c r="K3176" s="17"/>
      <c r="N3176" s="17"/>
    </row>
    <row r="3177">
      <c r="B3177" s="11">
        <f>IFERROR(__xludf.DUMMYFUNCTION("""COMPUTED_VALUE"""),41578.0)</f>
        <v>41578</v>
      </c>
      <c r="C3177" s="9">
        <f>IFERROR(__xludf.DUMMYFUNCTION("""COMPUTED_VALUE"""),2.57)</f>
        <v>2.57</v>
      </c>
      <c r="H3177" s="17"/>
      <c r="K3177" s="17"/>
      <c r="N3177" s="17"/>
    </row>
    <row r="3178">
      <c r="B3178" s="11">
        <f>IFERROR(__xludf.DUMMYFUNCTION("""COMPUTED_VALUE"""),41577.0)</f>
        <v>41577</v>
      </c>
      <c r="C3178" s="9">
        <f>IFERROR(__xludf.DUMMYFUNCTION("""COMPUTED_VALUE"""),2.55)</f>
        <v>2.55</v>
      </c>
      <c r="H3178" s="17"/>
      <c r="K3178" s="17"/>
      <c r="N3178" s="17"/>
    </row>
    <row r="3179">
      <c r="B3179" s="11">
        <f>IFERROR(__xludf.DUMMYFUNCTION("""COMPUTED_VALUE"""),41576.0)</f>
        <v>41576</v>
      </c>
      <c r="C3179" s="9">
        <f>IFERROR(__xludf.DUMMYFUNCTION("""COMPUTED_VALUE"""),2.53)</f>
        <v>2.53</v>
      </c>
      <c r="H3179" s="17"/>
      <c r="K3179" s="17"/>
      <c r="N3179" s="17"/>
    </row>
    <row r="3180">
      <c r="B3180" s="11">
        <f>IFERROR(__xludf.DUMMYFUNCTION("""COMPUTED_VALUE"""),41575.0)</f>
        <v>41575</v>
      </c>
      <c r="C3180" s="9">
        <f>IFERROR(__xludf.DUMMYFUNCTION("""COMPUTED_VALUE"""),2.54)</f>
        <v>2.54</v>
      </c>
      <c r="H3180" s="17"/>
      <c r="K3180" s="17"/>
      <c r="N3180" s="17"/>
    </row>
    <row r="3181">
      <c r="B3181" s="11">
        <f>IFERROR(__xludf.DUMMYFUNCTION("""COMPUTED_VALUE"""),41572.0)</f>
        <v>41572</v>
      </c>
      <c r="C3181" s="9">
        <f>IFERROR(__xludf.DUMMYFUNCTION("""COMPUTED_VALUE"""),2.53)</f>
        <v>2.53</v>
      </c>
      <c r="H3181" s="17"/>
      <c r="K3181" s="17"/>
      <c r="N3181" s="17"/>
    </row>
    <row r="3182">
      <c r="B3182" s="11">
        <f>IFERROR(__xludf.DUMMYFUNCTION("""COMPUTED_VALUE"""),41571.0)</f>
        <v>41571</v>
      </c>
      <c r="C3182" s="9">
        <f>IFERROR(__xludf.DUMMYFUNCTION("""COMPUTED_VALUE"""),2.53)</f>
        <v>2.53</v>
      </c>
      <c r="H3182" s="17"/>
      <c r="K3182" s="17"/>
      <c r="N3182" s="17"/>
    </row>
    <row r="3183">
      <c r="B3183" s="11">
        <f>IFERROR(__xludf.DUMMYFUNCTION("""COMPUTED_VALUE"""),41570.0)</f>
        <v>41570</v>
      </c>
      <c r="C3183" s="9">
        <f>IFERROR(__xludf.DUMMYFUNCTION("""COMPUTED_VALUE"""),2.51)</f>
        <v>2.51</v>
      </c>
      <c r="H3183" s="17"/>
      <c r="K3183" s="17"/>
      <c r="N3183" s="17"/>
    </row>
    <row r="3184">
      <c r="B3184" s="11">
        <f>IFERROR(__xludf.DUMMYFUNCTION("""COMPUTED_VALUE"""),41569.0)</f>
        <v>41569</v>
      </c>
      <c r="C3184" s="9">
        <f>IFERROR(__xludf.DUMMYFUNCTION("""COMPUTED_VALUE"""),2.54)</f>
        <v>2.54</v>
      </c>
      <c r="H3184" s="17"/>
      <c r="K3184" s="17"/>
      <c r="N3184" s="17"/>
    </row>
    <row r="3185">
      <c r="B3185" s="11">
        <f>IFERROR(__xludf.DUMMYFUNCTION("""COMPUTED_VALUE"""),41568.0)</f>
        <v>41568</v>
      </c>
      <c r="C3185" s="9">
        <f>IFERROR(__xludf.DUMMYFUNCTION("""COMPUTED_VALUE"""),2.63)</f>
        <v>2.63</v>
      </c>
      <c r="H3185" s="17"/>
      <c r="K3185" s="17"/>
      <c r="N3185" s="17"/>
    </row>
    <row r="3186">
      <c r="B3186" s="11">
        <f>IFERROR(__xludf.DUMMYFUNCTION("""COMPUTED_VALUE"""),41565.0)</f>
        <v>41565</v>
      </c>
      <c r="C3186" s="9">
        <f>IFERROR(__xludf.DUMMYFUNCTION("""COMPUTED_VALUE"""),2.6)</f>
        <v>2.6</v>
      </c>
      <c r="H3186" s="17"/>
      <c r="K3186" s="17"/>
      <c r="N3186" s="17"/>
    </row>
    <row r="3187">
      <c r="B3187" s="11">
        <f>IFERROR(__xludf.DUMMYFUNCTION("""COMPUTED_VALUE"""),41564.0)</f>
        <v>41564</v>
      </c>
      <c r="C3187" s="9">
        <f>IFERROR(__xludf.DUMMYFUNCTION("""COMPUTED_VALUE"""),2.61)</f>
        <v>2.61</v>
      </c>
      <c r="H3187" s="17"/>
      <c r="K3187" s="17"/>
      <c r="N3187" s="17"/>
    </row>
    <row r="3188">
      <c r="B3188" s="11">
        <f>IFERROR(__xludf.DUMMYFUNCTION("""COMPUTED_VALUE"""),41563.0)</f>
        <v>41563</v>
      </c>
      <c r="C3188" s="9">
        <f>IFERROR(__xludf.DUMMYFUNCTION("""COMPUTED_VALUE"""),2.69)</f>
        <v>2.69</v>
      </c>
      <c r="H3188" s="17"/>
      <c r="K3188" s="17"/>
      <c r="N3188" s="17"/>
    </row>
    <row r="3189">
      <c r="B3189" s="11">
        <f>IFERROR(__xludf.DUMMYFUNCTION("""COMPUTED_VALUE"""),41562.0)</f>
        <v>41562</v>
      </c>
      <c r="C3189" s="9">
        <f>IFERROR(__xludf.DUMMYFUNCTION("""COMPUTED_VALUE"""),2.75)</f>
        <v>2.75</v>
      </c>
      <c r="H3189" s="17"/>
      <c r="K3189" s="17"/>
      <c r="N3189" s="17"/>
    </row>
    <row r="3190">
      <c r="B3190" s="11">
        <f>IFERROR(__xludf.DUMMYFUNCTION("""COMPUTED_VALUE"""),41561.0)</f>
        <v>41561</v>
      </c>
      <c r="C3190" s="9"/>
      <c r="H3190" s="17"/>
      <c r="K3190" s="17"/>
      <c r="N3190" s="17"/>
    </row>
    <row r="3191">
      <c r="B3191" s="11">
        <f>IFERROR(__xludf.DUMMYFUNCTION("""COMPUTED_VALUE"""),41558.0)</f>
        <v>41558</v>
      </c>
      <c r="C3191" s="9">
        <f>IFERROR(__xludf.DUMMYFUNCTION("""COMPUTED_VALUE"""),2.7)</f>
        <v>2.7</v>
      </c>
      <c r="H3191" s="17"/>
      <c r="K3191" s="17"/>
      <c r="N3191" s="17"/>
    </row>
    <row r="3192">
      <c r="B3192" s="11">
        <f>IFERROR(__xludf.DUMMYFUNCTION("""COMPUTED_VALUE"""),41557.0)</f>
        <v>41557</v>
      </c>
      <c r="C3192" s="9">
        <f>IFERROR(__xludf.DUMMYFUNCTION("""COMPUTED_VALUE"""),2.71)</f>
        <v>2.71</v>
      </c>
      <c r="H3192" s="17"/>
      <c r="K3192" s="17"/>
      <c r="N3192" s="17"/>
    </row>
    <row r="3193">
      <c r="B3193" s="11">
        <f>IFERROR(__xludf.DUMMYFUNCTION("""COMPUTED_VALUE"""),41556.0)</f>
        <v>41556</v>
      </c>
      <c r="C3193" s="9">
        <f>IFERROR(__xludf.DUMMYFUNCTION("""COMPUTED_VALUE"""),2.68)</f>
        <v>2.68</v>
      </c>
      <c r="H3193" s="17"/>
      <c r="K3193" s="17"/>
      <c r="N3193" s="17"/>
    </row>
    <row r="3194">
      <c r="B3194" s="11">
        <f>IFERROR(__xludf.DUMMYFUNCTION("""COMPUTED_VALUE"""),41555.0)</f>
        <v>41555</v>
      </c>
      <c r="C3194" s="9">
        <f>IFERROR(__xludf.DUMMYFUNCTION("""COMPUTED_VALUE"""),2.66)</f>
        <v>2.66</v>
      </c>
      <c r="H3194" s="17"/>
      <c r="K3194" s="17"/>
      <c r="N3194" s="17"/>
    </row>
    <row r="3195">
      <c r="B3195" s="11">
        <f>IFERROR(__xludf.DUMMYFUNCTION("""COMPUTED_VALUE"""),41554.0)</f>
        <v>41554</v>
      </c>
      <c r="C3195" s="9">
        <f>IFERROR(__xludf.DUMMYFUNCTION("""COMPUTED_VALUE"""),2.65)</f>
        <v>2.65</v>
      </c>
      <c r="H3195" s="17"/>
      <c r="K3195" s="17"/>
      <c r="N3195" s="17"/>
    </row>
    <row r="3196">
      <c r="B3196" s="11">
        <f>IFERROR(__xludf.DUMMYFUNCTION("""COMPUTED_VALUE"""),41551.0)</f>
        <v>41551</v>
      </c>
      <c r="C3196" s="9">
        <f>IFERROR(__xludf.DUMMYFUNCTION("""COMPUTED_VALUE"""),2.66)</f>
        <v>2.66</v>
      </c>
      <c r="H3196" s="17"/>
      <c r="K3196" s="17"/>
      <c r="N3196" s="17"/>
    </row>
    <row r="3197">
      <c r="B3197" s="11">
        <f>IFERROR(__xludf.DUMMYFUNCTION("""COMPUTED_VALUE"""),41550.0)</f>
        <v>41550</v>
      </c>
      <c r="C3197" s="9">
        <f>IFERROR(__xludf.DUMMYFUNCTION("""COMPUTED_VALUE"""),2.62)</f>
        <v>2.62</v>
      </c>
      <c r="H3197" s="17"/>
      <c r="K3197" s="17"/>
      <c r="N3197" s="17"/>
    </row>
    <row r="3198">
      <c r="B3198" s="11">
        <f>IFERROR(__xludf.DUMMYFUNCTION("""COMPUTED_VALUE"""),41549.0)</f>
        <v>41549</v>
      </c>
      <c r="C3198" s="9">
        <f>IFERROR(__xludf.DUMMYFUNCTION("""COMPUTED_VALUE"""),2.63)</f>
        <v>2.63</v>
      </c>
      <c r="H3198" s="17"/>
      <c r="K3198" s="17"/>
      <c r="N3198" s="17"/>
    </row>
    <row r="3199">
      <c r="B3199" s="11">
        <f>IFERROR(__xludf.DUMMYFUNCTION("""COMPUTED_VALUE"""),41548.0)</f>
        <v>41548</v>
      </c>
      <c r="C3199" s="9">
        <f>IFERROR(__xludf.DUMMYFUNCTION("""COMPUTED_VALUE"""),2.66)</f>
        <v>2.66</v>
      </c>
      <c r="H3199" s="17"/>
      <c r="K3199" s="17"/>
      <c r="N3199" s="17"/>
    </row>
    <row r="3200">
      <c r="B3200" s="11">
        <f>IFERROR(__xludf.DUMMYFUNCTION("""COMPUTED_VALUE"""),41547.0)</f>
        <v>41547</v>
      </c>
      <c r="C3200" s="9">
        <f>IFERROR(__xludf.DUMMYFUNCTION("""COMPUTED_VALUE"""),2.64)</f>
        <v>2.64</v>
      </c>
      <c r="H3200" s="17"/>
      <c r="K3200" s="17"/>
      <c r="N3200" s="17"/>
    </row>
    <row r="3201">
      <c r="B3201" s="11">
        <f>IFERROR(__xludf.DUMMYFUNCTION("""COMPUTED_VALUE"""),41544.0)</f>
        <v>41544</v>
      </c>
      <c r="C3201" s="9">
        <f>IFERROR(__xludf.DUMMYFUNCTION("""COMPUTED_VALUE"""),2.64)</f>
        <v>2.64</v>
      </c>
      <c r="H3201" s="17"/>
      <c r="K3201" s="17"/>
      <c r="N3201" s="17"/>
    </row>
    <row r="3202">
      <c r="B3202" s="11">
        <f>IFERROR(__xludf.DUMMYFUNCTION("""COMPUTED_VALUE"""),41543.0)</f>
        <v>41543</v>
      </c>
      <c r="C3202" s="9">
        <f>IFERROR(__xludf.DUMMYFUNCTION("""COMPUTED_VALUE"""),2.66)</f>
        <v>2.66</v>
      </c>
      <c r="H3202" s="17"/>
      <c r="K3202" s="17"/>
      <c r="N3202" s="17"/>
    </row>
    <row r="3203">
      <c r="B3203" s="11">
        <f>IFERROR(__xludf.DUMMYFUNCTION("""COMPUTED_VALUE"""),41542.0)</f>
        <v>41542</v>
      </c>
      <c r="C3203" s="9">
        <f>IFERROR(__xludf.DUMMYFUNCTION("""COMPUTED_VALUE"""),2.63)</f>
        <v>2.63</v>
      </c>
      <c r="H3203" s="17"/>
      <c r="K3203" s="17"/>
      <c r="N3203" s="17"/>
    </row>
    <row r="3204">
      <c r="B3204" s="11">
        <f>IFERROR(__xludf.DUMMYFUNCTION("""COMPUTED_VALUE"""),41541.0)</f>
        <v>41541</v>
      </c>
      <c r="C3204" s="9">
        <f>IFERROR(__xludf.DUMMYFUNCTION("""COMPUTED_VALUE"""),2.67)</f>
        <v>2.67</v>
      </c>
      <c r="H3204" s="17"/>
      <c r="K3204" s="17"/>
      <c r="N3204" s="17"/>
    </row>
    <row r="3205">
      <c r="B3205" s="11">
        <f>IFERROR(__xludf.DUMMYFUNCTION("""COMPUTED_VALUE"""),41540.0)</f>
        <v>41540</v>
      </c>
      <c r="C3205" s="9">
        <f>IFERROR(__xludf.DUMMYFUNCTION("""COMPUTED_VALUE"""),2.72)</f>
        <v>2.72</v>
      </c>
      <c r="H3205" s="17"/>
      <c r="K3205" s="17"/>
      <c r="N3205" s="17"/>
    </row>
    <row r="3206">
      <c r="B3206" s="11">
        <f>IFERROR(__xludf.DUMMYFUNCTION("""COMPUTED_VALUE"""),41537.0)</f>
        <v>41537</v>
      </c>
      <c r="C3206" s="9">
        <f>IFERROR(__xludf.DUMMYFUNCTION("""COMPUTED_VALUE"""),2.75)</f>
        <v>2.75</v>
      </c>
      <c r="H3206" s="17"/>
      <c r="K3206" s="17"/>
      <c r="N3206" s="17"/>
    </row>
    <row r="3207">
      <c r="B3207" s="11">
        <f>IFERROR(__xludf.DUMMYFUNCTION("""COMPUTED_VALUE"""),41536.0)</f>
        <v>41536</v>
      </c>
      <c r="C3207" s="9">
        <f>IFERROR(__xludf.DUMMYFUNCTION("""COMPUTED_VALUE"""),2.76)</f>
        <v>2.76</v>
      </c>
      <c r="H3207" s="17"/>
      <c r="K3207" s="17"/>
      <c r="N3207" s="17"/>
    </row>
    <row r="3208">
      <c r="B3208" s="11">
        <f>IFERROR(__xludf.DUMMYFUNCTION("""COMPUTED_VALUE"""),41535.0)</f>
        <v>41535</v>
      </c>
      <c r="C3208" s="9">
        <f>IFERROR(__xludf.DUMMYFUNCTION("""COMPUTED_VALUE"""),2.69)</f>
        <v>2.69</v>
      </c>
      <c r="H3208" s="17"/>
      <c r="K3208" s="17"/>
      <c r="N3208" s="17"/>
    </row>
    <row r="3209">
      <c r="B3209" s="11">
        <f>IFERROR(__xludf.DUMMYFUNCTION("""COMPUTED_VALUE"""),41534.0)</f>
        <v>41534</v>
      </c>
      <c r="C3209" s="9">
        <f>IFERROR(__xludf.DUMMYFUNCTION("""COMPUTED_VALUE"""),2.86)</f>
        <v>2.86</v>
      </c>
      <c r="H3209" s="17"/>
      <c r="K3209" s="17"/>
      <c r="N3209" s="17"/>
    </row>
    <row r="3210">
      <c r="B3210" s="11">
        <f>IFERROR(__xludf.DUMMYFUNCTION("""COMPUTED_VALUE"""),41533.0)</f>
        <v>41533</v>
      </c>
      <c r="C3210" s="9">
        <f>IFERROR(__xludf.DUMMYFUNCTION("""COMPUTED_VALUE"""),2.88)</f>
        <v>2.88</v>
      </c>
      <c r="H3210" s="17"/>
      <c r="K3210" s="17"/>
      <c r="N3210" s="17"/>
    </row>
    <row r="3211">
      <c r="B3211" s="11">
        <f>IFERROR(__xludf.DUMMYFUNCTION("""COMPUTED_VALUE"""),41530.0)</f>
        <v>41530</v>
      </c>
      <c r="C3211" s="9">
        <f>IFERROR(__xludf.DUMMYFUNCTION("""COMPUTED_VALUE"""),2.9)</f>
        <v>2.9</v>
      </c>
      <c r="H3211" s="17"/>
      <c r="K3211" s="17"/>
      <c r="N3211" s="17"/>
    </row>
    <row r="3212">
      <c r="B3212" s="11">
        <f>IFERROR(__xludf.DUMMYFUNCTION("""COMPUTED_VALUE"""),41529.0)</f>
        <v>41529</v>
      </c>
      <c r="C3212" s="9">
        <f>IFERROR(__xludf.DUMMYFUNCTION("""COMPUTED_VALUE"""),2.92)</f>
        <v>2.92</v>
      </c>
      <c r="H3212" s="17"/>
      <c r="K3212" s="17"/>
      <c r="N3212" s="17"/>
    </row>
    <row r="3213">
      <c r="B3213" s="11">
        <f>IFERROR(__xludf.DUMMYFUNCTION("""COMPUTED_VALUE"""),41528.0)</f>
        <v>41528</v>
      </c>
      <c r="C3213" s="9">
        <f>IFERROR(__xludf.DUMMYFUNCTION("""COMPUTED_VALUE"""),2.93)</f>
        <v>2.93</v>
      </c>
      <c r="H3213" s="17"/>
      <c r="K3213" s="17"/>
      <c r="N3213" s="17"/>
    </row>
    <row r="3214">
      <c r="B3214" s="11">
        <f>IFERROR(__xludf.DUMMYFUNCTION("""COMPUTED_VALUE"""),41527.0)</f>
        <v>41527</v>
      </c>
      <c r="C3214" s="9">
        <f>IFERROR(__xludf.DUMMYFUNCTION("""COMPUTED_VALUE"""),2.96)</f>
        <v>2.96</v>
      </c>
      <c r="H3214" s="17"/>
      <c r="K3214" s="17"/>
      <c r="N3214" s="17"/>
    </row>
    <row r="3215">
      <c r="B3215" s="11">
        <f>IFERROR(__xludf.DUMMYFUNCTION("""COMPUTED_VALUE"""),41526.0)</f>
        <v>41526</v>
      </c>
      <c r="C3215" s="9">
        <f>IFERROR(__xludf.DUMMYFUNCTION("""COMPUTED_VALUE"""),2.9)</f>
        <v>2.9</v>
      </c>
      <c r="H3215" s="17"/>
      <c r="K3215" s="17"/>
      <c r="N3215" s="17"/>
    </row>
    <row r="3216">
      <c r="B3216" s="11">
        <f>IFERROR(__xludf.DUMMYFUNCTION("""COMPUTED_VALUE"""),41523.0)</f>
        <v>41523</v>
      </c>
      <c r="C3216" s="9">
        <f>IFERROR(__xludf.DUMMYFUNCTION("""COMPUTED_VALUE"""),2.94)</f>
        <v>2.94</v>
      </c>
      <c r="H3216" s="17"/>
      <c r="K3216" s="17"/>
      <c r="N3216" s="17"/>
    </row>
    <row r="3217">
      <c r="B3217" s="11">
        <f>IFERROR(__xludf.DUMMYFUNCTION("""COMPUTED_VALUE"""),41522.0)</f>
        <v>41522</v>
      </c>
      <c r="C3217" s="9">
        <f>IFERROR(__xludf.DUMMYFUNCTION("""COMPUTED_VALUE"""),2.98)</f>
        <v>2.98</v>
      </c>
      <c r="H3217" s="17"/>
      <c r="K3217" s="17"/>
      <c r="N3217" s="17"/>
    </row>
    <row r="3218">
      <c r="B3218" s="11">
        <f>IFERROR(__xludf.DUMMYFUNCTION("""COMPUTED_VALUE"""),41521.0)</f>
        <v>41521</v>
      </c>
      <c r="C3218" s="9">
        <f>IFERROR(__xludf.DUMMYFUNCTION("""COMPUTED_VALUE"""),2.9)</f>
        <v>2.9</v>
      </c>
      <c r="H3218" s="17"/>
      <c r="K3218" s="17"/>
      <c r="N3218" s="17"/>
    </row>
    <row r="3219">
      <c r="B3219" s="11">
        <f>IFERROR(__xludf.DUMMYFUNCTION("""COMPUTED_VALUE"""),41520.0)</f>
        <v>41520</v>
      </c>
      <c r="C3219" s="9">
        <f>IFERROR(__xludf.DUMMYFUNCTION("""COMPUTED_VALUE"""),2.86)</f>
        <v>2.86</v>
      </c>
      <c r="H3219" s="17"/>
      <c r="K3219" s="17"/>
      <c r="N3219" s="17"/>
    </row>
    <row r="3220">
      <c r="B3220" s="11">
        <f>IFERROR(__xludf.DUMMYFUNCTION("""COMPUTED_VALUE"""),41519.0)</f>
        <v>41519</v>
      </c>
      <c r="C3220" s="9"/>
      <c r="H3220" s="17"/>
      <c r="K3220" s="17"/>
      <c r="N3220" s="17"/>
    </row>
    <row r="3221">
      <c r="B3221" s="11">
        <f>IFERROR(__xludf.DUMMYFUNCTION("""COMPUTED_VALUE"""),41516.0)</f>
        <v>41516</v>
      </c>
      <c r="C3221" s="9">
        <f>IFERROR(__xludf.DUMMYFUNCTION("""COMPUTED_VALUE"""),2.78)</f>
        <v>2.78</v>
      </c>
      <c r="H3221" s="17"/>
      <c r="K3221" s="17"/>
      <c r="N3221" s="17"/>
    </row>
    <row r="3222">
      <c r="B3222" s="11">
        <f>IFERROR(__xludf.DUMMYFUNCTION("""COMPUTED_VALUE"""),41515.0)</f>
        <v>41515</v>
      </c>
      <c r="C3222" s="9">
        <f>IFERROR(__xludf.DUMMYFUNCTION("""COMPUTED_VALUE"""),2.75)</f>
        <v>2.75</v>
      </c>
      <c r="H3222" s="17"/>
      <c r="K3222" s="17"/>
      <c r="N3222" s="17"/>
    </row>
    <row r="3223">
      <c r="B3223" s="11">
        <f>IFERROR(__xludf.DUMMYFUNCTION("""COMPUTED_VALUE"""),41514.0)</f>
        <v>41514</v>
      </c>
      <c r="C3223" s="9">
        <f>IFERROR(__xludf.DUMMYFUNCTION("""COMPUTED_VALUE"""),2.78)</f>
        <v>2.78</v>
      </c>
      <c r="H3223" s="17"/>
      <c r="K3223" s="17"/>
      <c r="N3223" s="17"/>
    </row>
    <row r="3224">
      <c r="B3224" s="11">
        <f>IFERROR(__xludf.DUMMYFUNCTION("""COMPUTED_VALUE"""),41513.0)</f>
        <v>41513</v>
      </c>
      <c r="C3224" s="9">
        <f>IFERROR(__xludf.DUMMYFUNCTION("""COMPUTED_VALUE"""),2.72)</f>
        <v>2.72</v>
      </c>
      <c r="H3224" s="17"/>
      <c r="K3224" s="17"/>
      <c r="N3224" s="17"/>
    </row>
    <row r="3225">
      <c r="B3225" s="11">
        <f>IFERROR(__xludf.DUMMYFUNCTION("""COMPUTED_VALUE"""),41512.0)</f>
        <v>41512</v>
      </c>
      <c r="C3225" s="9">
        <f>IFERROR(__xludf.DUMMYFUNCTION("""COMPUTED_VALUE"""),2.79)</f>
        <v>2.79</v>
      </c>
      <c r="H3225" s="17"/>
      <c r="K3225" s="17"/>
      <c r="N3225" s="17"/>
    </row>
    <row r="3226">
      <c r="B3226" s="11">
        <f>IFERROR(__xludf.DUMMYFUNCTION("""COMPUTED_VALUE"""),41509.0)</f>
        <v>41509</v>
      </c>
      <c r="C3226" s="9">
        <f>IFERROR(__xludf.DUMMYFUNCTION("""COMPUTED_VALUE"""),2.82)</f>
        <v>2.82</v>
      </c>
      <c r="H3226" s="17"/>
      <c r="K3226" s="17"/>
      <c r="N3226" s="17"/>
    </row>
    <row r="3227">
      <c r="B3227" s="11">
        <f>IFERROR(__xludf.DUMMYFUNCTION("""COMPUTED_VALUE"""),41508.0)</f>
        <v>41508</v>
      </c>
      <c r="C3227" s="9">
        <f>IFERROR(__xludf.DUMMYFUNCTION("""COMPUTED_VALUE"""),2.9)</f>
        <v>2.9</v>
      </c>
      <c r="H3227" s="17"/>
      <c r="K3227" s="17"/>
      <c r="N3227" s="17"/>
    </row>
    <row r="3228">
      <c r="B3228" s="11">
        <f>IFERROR(__xludf.DUMMYFUNCTION("""COMPUTED_VALUE"""),41507.0)</f>
        <v>41507</v>
      </c>
      <c r="C3228" s="9">
        <f>IFERROR(__xludf.DUMMYFUNCTION("""COMPUTED_VALUE"""),2.87)</f>
        <v>2.87</v>
      </c>
      <c r="H3228" s="17"/>
      <c r="K3228" s="17"/>
      <c r="N3228" s="17"/>
    </row>
    <row r="3229">
      <c r="B3229" s="11">
        <f>IFERROR(__xludf.DUMMYFUNCTION("""COMPUTED_VALUE"""),41506.0)</f>
        <v>41506</v>
      </c>
      <c r="C3229" s="9">
        <f>IFERROR(__xludf.DUMMYFUNCTION("""COMPUTED_VALUE"""),2.82)</f>
        <v>2.82</v>
      </c>
      <c r="H3229" s="17"/>
      <c r="K3229" s="17"/>
      <c r="N3229" s="17"/>
    </row>
    <row r="3230">
      <c r="B3230" s="11">
        <f>IFERROR(__xludf.DUMMYFUNCTION("""COMPUTED_VALUE"""),41505.0)</f>
        <v>41505</v>
      </c>
      <c r="C3230" s="9">
        <f>IFERROR(__xludf.DUMMYFUNCTION("""COMPUTED_VALUE"""),2.88)</f>
        <v>2.88</v>
      </c>
      <c r="H3230" s="17"/>
      <c r="K3230" s="17"/>
      <c r="N3230" s="17"/>
    </row>
    <row r="3231">
      <c r="B3231" s="11">
        <f>IFERROR(__xludf.DUMMYFUNCTION("""COMPUTED_VALUE"""),41502.0)</f>
        <v>41502</v>
      </c>
      <c r="C3231" s="9">
        <f>IFERROR(__xludf.DUMMYFUNCTION("""COMPUTED_VALUE"""),2.84)</f>
        <v>2.84</v>
      </c>
      <c r="H3231" s="17"/>
      <c r="K3231" s="17"/>
      <c r="N3231" s="17"/>
    </row>
    <row r="3232">
      <c r="B3232" s="11">
        <f>IFERROR(__xludf.DUMMYFUNCTION("""COMPUTED_VALUE"""),41501.0)</f>
        <v>41501</v>
      </c>
      <c r="C3232" s="9">
        <f>IFERROR(__xludf.DUMMYFUNCTION("""COMPUTED_VALUE"""),2.77)</f>
        <v>2.77</v>
      </c>
      <c r="H3232" s="17"/>
      <c r="K3232" s="17"/>
      <c r="N3232" s="17"/>
    </row>
    <row r="3233">
      <c r="B3233" s="11">
        <f>IFERROR(__xludf.DUMMYFUNCTION("""COMPUTED_VALUE"""),41500.0)</f>
        <v>41500</v>
      </c>
      <c r="C3233" s="9">
        <f>IFERROR(__xludf.DUMMYFUNCTION("""COMPUTED_VALUE"""),2.71)</f>
        <v>2.71</v>
      </c>
      <c r="H3233" s="17"/>
      <c r="K3233" s="17"/>
      <c r="N3233" s="17"/>
    </row>
    <row r="3234">
      <c r="B3234" s="11">
        <f>IFERROR(__xludf.DUMMYFUNCTION("""COMPUTED_VALUE"""),41499.0)</f>
        <v>41499</v>
      </c>
      <c r="C3234" s="9">
        <f>IFERROR(__xludf.DUMMYFUNCTION("""COMPUTED_VALUE"""),2.71)</f>
        <v>2.71</v>
      </c>
      <c r="H3234" s="17"/>
      <c r="K3234" s="17"/>
      <c r="N3234" s="17"/>
    </row>
    <row r="3235">
      <c r="B3235" s="11">
        <f>IFERROR(__xludf.DUMMYFUNCTION("""COMPUTED_VALUE"""),41498.0)</f>
        <v>41498</v>
      </c>
      <c r="C3235" s="9">
        <f>IFERROR(__xludf.DUMMYFUNCTION("""COMPUTED_VALUE"""),2.61)</f>
        <v>2.61</v>
      </c>
      <c r="H3235" s="17"/>
      <c r="K3235" s="17"/>
      <c r="N3235" s="17"/>
    </row>
    <row r="3236">
      <c r="B3236" s="11">
        <f>IFERROR(__xludf.DUMMYFUNCTION("""COMPUTED_VALUE"""),41495.0)</f>
        <v>41495</v>
      </c>
      <c r="C3236" s="9">
        <f>IFERROR(__xludf.DUMMYFUNCTION("""COMPUTED_VALUE"""),2.57)</f>
        <v>2.57</v>
      </c>
      <c r="H3236" s="17"/>
      <c r="K3236" s="17"/>
      <c r="N3236" s="17"/>
    </row>
    <row r="3237">
      <c r="B3237" s="11">
        <f>IFERROR(__xludf.DUMMYFUNCTION("""COMPUTED_VALUE"""),41494.0)</f>
        <v>41494</v>
      </c>
      <c r="C3237" s="9">
        <f>IFERROR(__xludf.DUMMYFUNCTION("""COMPUTED_VALUE"""),2.58)</f>
        <v>2.58</v>
      </c>
      <c r="H3237" s="17"/>
      <c r="K3237" s="17"/>
      <c r="N3237" s="17"/>
    </row>
    <row r="3238">
      <c r="B3238" s="11">
        <f>IFERROR(__xludf.DUMMYFUNCTION("""COMPUTED_VALUE"""),41493.0)</f>
        <v>41493</v>
      </c>
      <c r="C3238" s="9">
        <f>IFERROR(__xludf.DUMMYFUNCTION("""COMPUTED_VALUE"""),2.61)</f>
        <v>2.61</v>
      </c>
      <c r="H3238" s="17"/>
      <c r="K3238" s="17"/>
      <c r="N3238" s="17"/>
    </row>
    <row r="3239">
      <c r="B3239" s="11">
        <f>IFERROR(__xludf.DUMMYFUNCTION("""COMPUTED_VALUE"""),41492.0)</f>
        <v>41492</v>
      </c>
      <c r="C3239" s="9">
        <f>IFERROR(__xludf.DUMMYFUNCTION("""COMPUTED_VALUE"""),2.67)</f>
        <v>2.67</v>
      </c>
      <c r="H3239" s="17"/>
      <c r="K3239" s="17"/>
      <c r="N3239" s="17"/>
    </row>
    <row r="3240">
      <c r="B3240" s="11">
        <f>IFERROR(__xludf.DUMMYFUNCTION("""COMPUTED_VALUE"""),41491.0)</f>
        <v>41491</v>
      </c>
      <c r="C3240" s="9">
        <f>IFERROR(__xludf.DUMMYFUNCTION("""COMPUTED_VALUE"""),2.67)</f>
        <v>2.67</v>
      </c>
      <c r="H3240" s="17"/>
      <c r="K3240" s="17"/>
      <c r="N3240" s="17"/>
    </row>
    <row r="3241">
      <c r="B3241" s="11">
        <f>IFERROR(__xludf.DUMMYFUNCTION("""COMPUTED_VALUE"""),41488.0)</f>
        <v>41488</v>
      </c>
      <c r="C3241" s="9">
        <f>IFERROR(__xludf.DUMMYFUNCTION("""COMPUTED_VALUE"""),2.63)</f>
        <v>2.63</v>
      </c>
      <c r="H3241" s="17"/>
      <c r="K3241" s="17"/>
      <c r="N3241" s="17"/>
    </row>
    <row r="3242">
      <c r="B3242" s="11">
        <f>IFERROR(__xludf.DUMMYFUNCTION("""COMPUTED_VALUE"""),41487.0)</f>
        <v>41487</v>
      </c>
      <c r="C3242" s="9">
        <f>IFERROR(__xludf.DUMMYFUNCTION("""COMPUTED_VALUE"""),2.74)</f>
        <v>2.74</v>
      </c>
      <c r="H3242" s="17"/>
      <c r="K3242" s="17"/>
      <c r="N3242" s="17"/>
    </row>
    <row r="3243">
      <c r="B3243" s="11">
        <f>IFERROR(__xludf.DUMMYFUNCTION("""COMPUTED_VALUE"""),41486.0)</f>
        <v>41486</v>
      </c>
      <c r="C3243" s="9">
        <f>IFERROR(__xludf.DUMMYFUNCTION("""COMPUTED_VALUE"""),2.6)</f>
        <v>2.6</v>
      </c>
      <c r="H3243" s="17"/>
      <c r="K3243" s="17"/>
      <c r="N3243" s="17"/>
    </row>
    <row r="3244">
      <c r="B3244" s="11">
        <f>IFERROR(__xludf.DUMMYFUNCTION("""COMPUTED_VALUE"""),41485.0)</f>
        <v>41485</v>
      </c>
      <c r="C3244" s="9">
        <f>IFERROR(__xludf.DUMMYFUNCTION("""COMPUTED_VALUE"""),2.63)</f>
        <v>2.63</v>
      </c>
      <c r="H3244" s="17"/>
      <c r="K3244" s="17"/>
      <c r="N3244" s="17"/>
    </row>
    <row r="3245">
      <c r="B3245" s="11">
        <f>IFERROR(__xludf.DUMMYFUNCTION("""COMPUTED_VALUE"""),41484.0)</f>
        <v>41484</v>
      </c>
      <c r="C3245" s="9">
        <f>IFERROR(__xludf.DUMMYFUNCTION("""COMPUTED_VALUE"""),2.61)</f>
        <v>2.61</v>
      </c>
      <c r="H3245" s="17"/>
      <c r="K3245" s="17"/>
      <c r="N3245" s="17"/>
    </row>
    <row r="3246">
      <c r="B3246" s="11">
        <f>IFERROR(__xludf.DUMMYFUNCTION("""COMPUTED_VALUE"""),41481.0)</f>
        <v>41481</v>
      </c>
      <c r="C3246" s="9">
        <f>IFERROR(__xludf.DUMMYFUNCTION("""COMPUTED_VALUE"""),2.58)</f>
        <v>2.58</v>
      </c>
      <c r="H3246" s="17"/>
      <c r="K3246" s="17"/>
      <c r="N3246" s="17"/>
    </row>
    <row r="3247">
      <c r="B3247" s="11">
        <f>IFERROR(__xludf.DUMMYFUNCTION("""COMPUTED_VALUE"""),41480.0)</f>
        <v>41480</v>
      </c>
      <c r="C3247" s="9">
        <f>IFERROR(__xludf.DUMMYFUNCTION("""COMPUTED_VALUE"""),2.61)</f>
        <v>2.61</v>
      </c>
      <c r="H3247" s="17"/>
      <c r="K3247" s="17"/>
      <c r="N3247" s="17"/>
    </row>
    <row r="3248">
      <c r="B3248" s="11">
        <f>IFERROR(__xludf.DUMMYFUNCTION("""COMPUTED_VALUE"""),41479.0)</f>
        <v>41479</v>
      </c>
      <c r="C3248" s="9">
        <f>IFERROR(__xludf.DUMMYFUNCTION("""COMPUTED_VALUE"""),2.61)</f>
        <v>2.61</v>
      </c>
      <c r="H3248" s="17"/>
      <c r="K3248" s="17"/>
      <c r="N3248" s="17"/>
    </row>
    <row r="3249">
      <c r="B3249" s="11">
        <f>IFERROR(__xludf.DUMMYFUNCTION("""COMPUTED_VALUE"""),41478.0)</f>
        <v>41478</v>
      </c>
      <c r="C3249" s="9">
        <f>IFERROR(__xludf.DUMMYFUNCTION("""COMPUTED_VALUE"""),2.53)</f>
        <v>2.53</v>
      </c>
      <c r="H3249" s="17"/>
      <c r="K3249" s="17"/>
      <c r="N3249" s="17"/>
    </row>
    <row r="3250">
      <c r="B3250" s="11">
        <f>IFERROR(__xludf.DUMMYFUNCTION("""COMPUTED_VALUE"""),41477.0)</f>
        <v>41477</v>
      </c>
      <c r="C3250" s="9">
        <f>IFERROR(__xludf.DUMMYFUNCTION("""COMPUTED_VALUE"""),2.5)</f>
        <v>2.5</v>
      </c>
      <c r="H3250" s="17"/>
      <c r="K3250" s="17"/>
      <c r="N3250" s="17"/>
    </row>
    <row r="3251">
      <c r="B3251" s="11">
        <f>IFERROR(__xludf.DUMMYFUNCTION("""COMPUTED_VALUE"""),41474.0)</f>
        <v>41474</v>
      </c>
      <c r="C3251" s="9">
        <f>IFERROR(__xludf.DUMMYFUNCTION("""COMPUTED_VALUE"""),2.5)</f>
        <v>2.5</v>
      </c>
      <c r="H3251" s="17"/>
      <c r="K3251" s="17"/>
      <c r="N3251" s="17"/>
    </row>
    <row r="3252">
      <c r="B3252" s="11">
        <f>IFERROR(__xludf.DUMMYFUNCTION("""COMPUTED_VALUE"""),41473.0)</f>
        <v>41473</v>
      </c>
      <c r="C3252" s="9">
        <f>IFERROR(__xludf.DUMMYFUNCTION("""COMPUTED_VALUE"""),2.56)</f>
        <v>2.56</v>
      </c>
      <c r="H3252" s="17"/>
      <c r="K3252" s="17"/>
      <c r="N3252" s="17"/>
    </row>
    <row r="3253">
      <c r="B3253" s="11">
        <f>IFERROR(__xludf.DUMMYFUNCTION("""COMPUTED_VALUE"""),41472.0)</f>
        <v>41472</v>
      </c>
      <c r="C3253" s="9">
        <f>IFERROR(__xludf.DUMMYFUNCTION("""COMPUTED_VALUE"""),2.52)</f>
        <v>2.52</v>
      </c>
      <c r="H3253" s="17"/>
      <c r="K3253" s="17"/>
      <c r="N3253" s="17"/>
    </row>
    <row r="3254">
      <c r="B3254" s="11">
        <f>IFERROR(__xludf.DUMMYFUNCTION("""COMPUTED_VALUE"""),41471.0)</f>
        <v>41471</v>
      </c>
      <c r="C3254" s="9">
        <f>IFERROR(__xludf.DUMMYFUNCTION("""COMPUTED_VALUE"""),2.55)</f>
        <v>2.55</v>
      </c>
      <c r="H3254" s="17"/>
      <c r="K3254" s="17"/>
      <c r="N3254" s="17"/>
    </row>
    <row r="3255">
      <c r="B3255" s="11">
        <f>IFERROR(__xludf.DUMMYFUNCTION("""COMPUTED_VALUE"""),41470.0)</f>
        <v>41470</v>
      </c>
      <c r="C3255" s="9">
        <f>IFERROR(__xludf.DUMMYFUNCTION("""COMPUTED_VALUE"""),2.57)</f>
        <v>2.57</v>
      </c>
      <c r="H3255" s="17"/>
      <c r="K3255" s="17"/>
      <c r="N3255" s="17"/>
    </row>
    <row r="3256">
      <c r="B3256" s="11">
        <f>IFERROR(__xludf.DUMMYFUNCTION("""COMPUTED_VALUE"""),41467.0)</f>
        <v>41467</v>
      </c>
      <c r="C3256" s="9">
        <f>IFERROR(__xludf.DUMMYFUNCTION("""COMPUTED_VALUE"""),2.61)</f>
        <v>2.61</v>
      </c>
      <c r="H3256" s="17"/>
      <c r="K3256" s="17"/>
      <c r="N3256" s="17"/>
    </row>
    <row r="3257">
      <c r="B3257" s="11">
        <f>IFERROR(__xludf.DUMMYFUNCTION("""COMPUTED_VALUE"""),41466.0)</f>
        <v>41466</v>
      </c>
      <c r="C3257" s="9">
        <f>IFERROR(__xludf.DUMMYFUNCTION("""COMPUTED_VALUE"""),2.6)</f>
        <v>2.6</v>
      </c>
      <c r="H3257" s="17"/>
      <c r="K3257" s="17"/>
      <c r="N3257" s="17"/>
    </row>
    <row r="3258">
      <c r="B3258" s="11">
        <f>IFERROR(__xludf.DUMMYFUNCTION("""COMPUTED_VALUE"""),41465.0)</f>
        <v>41465</v>
      </c>
      <c r="C3258" s="9">
        <f>IFERROR(__xludf.DUMMYFUNCTION("""COMPUTED_VALUE"""),2.7)</f>
        <v>2.7</v>
      </c>
      <c r="H3258" s="17"/>
      <c r="K3258" s="17"/>
      <c r="N3258" s="17"/>
    </row>
    <row r="3259">
      <c r="B3259" s="11">
        <f>IFERROR(__xludf.DUMMYFUNCTION("""COMPUTED_VALUE"""),41464.0)</f>
        <v>41464</v>
      </c>
      <c r="C3259" s="9">
        <f>IFERROR(__xludf.DUMMYFUNCTION("""COMPUTED_VALUE"""),2.65)</f>
        <v>2.65</v>
      </c>
      <c r="H3259" s="17"/>
      <c r="K3259" s="17"/>
      <c r="N3259" s="17"/>
    </row>
    <row r="3260">
      <c r="B3260" s="11">
        <f>IFERROR(__xludf.DUMMYFUNCTION("""COMPUTED_VALUE"""),41463.0)</f>
        <v>41463</v>
      </c>
      <c r="C3260" s="9">
        <f>IFERROR(__xludf.DUMMYFUNCTION("""COMPUTED_VALUE"""),2.65)</f>
        <v>2.65</v>
      </c>
      <c r="H3260" s="17"/>
      <c r="K3260" s="17"/>
      <c r="N3260" s="17"/>
    </row>
    <row r="3261">
      <c r="B3261" s="11">
        <f>IFERROR(__xludf.DUMMYFUNCTION("""COMPUTED_VALUE"""),41460.0)</f>
        <v>41460</v>
      </c>
      <c r="C3261" s="9">
        <f>IFERROR(__xludf.DUMMYFUNCTION("""COMPUTED_VALUE"""),2.73)</f>
        <v>2.73</v>
      </c>
      <c r="H3261" s="17"/>
      <c r="K3261" s="17"/>
      <c r="N3261" s="17"/>
    </row>
    <row r="3262">
      <c r="B3262" s="11">
        <f>IFERROR(__xludf.DUMMYFUNCTION("""COMPUTED_VALUE"""),41459.0)</f>
        <v>41459</v>
      </c>
      <c r="C3262" s="9"/>
      <c r="H3262" s="17"/>
      <c r="K3262" s="17"/>
      <c r="N3262" s="17"/>
    </row>
    <row r="3263">
      <c r="B3263" s="11">
        <f>IFERROR(__xludf.DUMMYFUNCTION("""COMPUTED_VALUE"""),41458.0)</f>
        <v>41458</v>
      </c>
      <c r="C3263" s="9">
        <f>IFERROR(__xludf.DUMMYFUNCTION("""COMPUTED_VALUE"""),2.52)</f>
        <v>2.52</v>
      </c>
      <c r="H3263" s="17"/>
      <c r="K3263" s="17"/>
      <c r="N3263" s="17"/>
    </row>
    <row r="3264">
      <c r="B3264" s="11">
        <f>IFERROR(__xludf.DUMMYFUNCTION("""COMPUTED_VALUE"""),41457.0)</f>
        <v>41457</v>
      </c>
      <c r="C3264" s="9">
        <f>IFERROR(__xludf.DUMMYFUNCTION("""COMPUTED_VALUE"""),2.48)</f>
        <v>2.48</v>
      </c>
      <c r="H3264" s="17"/>
      <c r="K3264" s="17"/>
      <c r="N3264" s="17"/>
    </row>
    <row r="3265">
      <c r="B3265" s="11">
        <f>IFERROR(__xludf.DUMMYFUNCTION("""COMPUTED_VALUE"""),41456.0)</f>
        <v>41456</v>
      </c>
      <c r="C3265" s="9">
        <f>IFERROR(__xludf.DUMMYFUNCTION("""COMPUTED_VALUE"""),2.5)</f>
        <v>2.5</v>
      </c>
      <c r="H3265" s="17"/>
      <c r="K3265" s="17"/>
      <c r="N3265" s="17"/>
    </row>
    <row r="3266">
      <c r="B3266" s="11">
        <f>IFERROR(__xludf.DUMMYFUNCTION("""COMPUTED_VALUE"""),41453.0)</f>
        <v>41453</v>
      </c>
      <c r="C3266" s="9">
        <f>IFERROR(__xludf.DUMMYFUNCTION("""COMPUTED_VALUE"""),2.52)</f>
        <v>2.52</v>
      </c>
      <c r="H3266" s="17"/>
      <c r="K3266" s="17"/>
      <c r="N3266" s="17"/>
    </row>
    <row r="3267">
      <c r="B3267" s="11">
        <f>IFERROR(__xludf.DUMMYFUNCTION("""COMPUTED_VALUE"""),41452.0)</f>
        <v>41452</v>
      </c>
      <c r="C3267" s="9">
        <f>IFERROR(__xludf.DUMMYFUNCTION("""COMPUTED_VALUE"""),2.49)</f>
        <v>2.49</v>
      </c>
      <c r="H3267" s="17"/>
      <c r="K3267" s="17"/>
      <c r="N3267" s="17"/>
    </row>
    <row r="3268">
      <c r="B3268" s="11">
        <f>IFERROR(__xludf.DUMMYFUNCTION("""COMPUTED_VALUE"""),41451.0)</f>
        <v>41451</v>
      </c>
      <c r="C3268" s="9">
        <f>IFERROR(__xludf.DUMMYFUNCTION("""COMPUTED_VALUE"""),2.55)</f>
        <v>2.55</v>
      </c>
      <c r="H3268" s="17"/>
      <c r="K3268" s="17"/>
      <c r="N3268" s="17"/>
    </row>
    <row r="3269">
      <c r="B3269" s="11">
        <f>IFERROR(__xludf.DUMMYFUNCTION("""COMPUTED_VALUE"""),41450.0)</f>
        <v>41450</v>
      </c>
      <c r="C3269" s="9">
        <f>IFERROR(__xludf.DUMMYFUNCTION("""COMPUTED_VALUE"""),2.6)</f>
        <v>2.6</v>
      </c>
      <c r="H3269" s="17"/>
      <c r="K3269" s="17"/>
      <c r="N3269" s="17"/>
    </row>
    <row r="3270">
      <c r="B3270" s="11">
        <f>IFERROR(__xludf.DUMMYFUNCTION("""COMPUTED_VALUE"""),41449.0)</f>
        <v>41449</v>
      </c>
      <c r="C3270" s="9">
        <f>IFERROR(__xludf.DUMMYFUNCTION("""COMPUTED_VALUE"""),2.57)</f>
        <v>2.57</v>
      </c>
      <c r="H3270" s="17"/>
      <c r="K3270" s="17"/>
      <c r="N3270" s="17"/>
    </row>
    <row r="3271">
      <c r="B3271" s="11">
        <f>IFERROR(__xludf.DUMMYFUNCTION("""COMPUTED_VALUE"""),41446.0)</f>
        <v>41446</v>
      </c>
      <c r="C3271" s="9">
        <f>IFERROR(__xludf.DUMMYFUNCTION("""COMPUTED_VALUE"""),2.52)</f>
        <v>2.52</v>
      </c>
      <c r="H3271" s="17"/>
      <c r="K3271" s="17"/>
      <c r="N3271" s="17"/>
    </row>
    <row r="3272">
      <c r="B3272" s="11">
        <f>IFERROR(__xludf.DUMMYFUNCTION("""COMPUTED_VALUE"""),41445.0)</f>
        <v>41445</v>
      </c>
      <c r="C3272" s="9">
        <f>IFERROR(__xludf.DUMMYFUNCTION("""COMPUTED_VALUE"""),2.41)</f>
        <v>2.41</v>
      </c>
      <c r="H3272" s="17"/>
      <c r="K3272" s="17"/>
      <c r="N3272" s="17"/>
    </row>
    <row r="3273">
      <c r="B3273" s="11">
        <f>IFERROR(__xludf.DUMMYFUNCTION("""COMPUTED_VALUE"""),41444.0)</f>
        <v>41444</v>
      </c>
      <c r="C3273" s="9">
        <f>IFERROR(__xludf.DUMMYFUNCTION("""COMPUTED_VALUE"""),2.33)</f>
        <v>2.33</v>
      </c>
      <c r="H3273" s="17"/>
      <c r="K3273" s="17"/>
      <c r="N3273" s="17"/>
    </row>
    <row r="3274">
      <c r="B3274" s="11">
        <f>IFERROR(__xludf.DUMMYFUNCTION("""COMPUTED_VALUE"""),41443.0)</f>
        <v>41443</v>
      </c>
      <c r="C3274" s="9">
        <f>IFERROR(__xludf.DUMMYFUNCTION("""COMPUTED_VALUE"""),2.2)</f>
        <v>2.2</v>
      </c>
      <c r="H3274" s="17"/>
      <c r="K3274" s="17"/>
      <c r="N3274" s="17"/>
    </row>
    <row r="3275">
      <c r="B3275" s="11">
        <f>IFERROR(__xludf.DUMMYFUNCTION("""COMPUTED_VALUE"""),41442.0)</f>
        <v>41442</v>
      </c>
      <c r="C3275" s="9">
        <f>IFERROR(__xludf.DUMMYFUNCTION("""COMPUTED_VALUE"""),2.19)</f>
        <v>2.19</v>
      </c>
      <c r="H3275" s="17"/>
      <c r="K3275" s="17"/>
      <c r="N3275" s="17"/>
    </row>
    <row r="3276">
      <c r="B3276" s="11">
        <f>IFERROR(__xludf.DUMMYFUNCTION("""COMPUTED_VALUE"""),41439.0)</f>
        <v>41439</v>
      </c>
      <c r="C3276" s="9">
        <f>IFERROR(__xludf.DUMMYFUNCTION("""COMPUTED_VALUE"""),2.14)</f>
        <v>2.14</v>
      </c>
      <c r="H3276" s="17"/>
      <c r="K3276" s="17"/>
      <c r="N3276" s="17"/>
    </row>
    <row r="3277">
      <c r="B3277" s="11">
        <f>IFERROR(__xludf.DUMMYFUNCTION("""COMPUTED_VALUE"""),41438.0)</f>
        <v>41438</v>
      </c>
      <c r="C3277" s="9">
        <f>IFERROR(__xludf.DUMMYFUNCTION("""COMPUTED_VALUE"""),2.19)</f>
        <v>2.19</v>
      </c>
      <c r="H3277" s="17"/>
      <c r="K3277" s="17"/>
      <c r="N3277" s="17"/>
    </row>
    <row r="3278">
      <c r="B3278" s="11">
        <f>IFERROR(__xludf.DUMMYFUNCTION("""COMPUTED_VALUE"""),41437.0)</f>
        <v>41437</v>
      </c>
      <c r="C3278" s="9">
        <f>IFERROR(__xludf.DUMMYFUNCTION("""COMPUTED_VALUE"""),2.25)</f>
        <v>2.25</v>
      </c>
      <c r="H3278" s="17"/>
      <c r="K3278" s="17"/>
      <c r="N3278" s="17"/>
    </row>
    <row r="3279">
      <c r="B3279" s="11">
        <f>IFERROR(__xludf.DUMMYFUNCTION("""COMPUTED_VALUE"""),41436.0)</f>
        <v>41436</v>
      </c>
      <c r="C3279" s="9">
        <f>IFERROR(__xludf.DUMMYFUNCTION("""COMPUTED_VALUE"""),2.2)</f>
        <v>2.2</v>
      </c>
      <c r="H3279" s="17"/>
      <c r="K3279" s="17"/>
      <c r="N3279" s="17"/>
    </row>
    <row r="3280">
      <c r="B3280" s="11">
        <f>IFERROR(__xludf.DUMMYFUNCTION("""COMPUTED_VALUE"""),41435.0)</f>
        <v>41435</v>
      </c>
      <c r="C3280" s="9">
        <f>IFERROR(__xludf.DUMMYFUNCTION("""COMPUTED_VALUE"""),2.22)</f>
        <v>2.22</v>
      </c>
      <c r="H3280" s="17"/>
      <c r="K3280" s="17"/>
      <c r="N3280" s="17"/>
    </row>
    <row r="3281">
      <c r="B3281" s="11">
        <f>IFERROR(__xludf.DUMMYFUNCTION("""COMPUTED_VALUE"""),41432.0)</f>
        <v>41432</v>
      </c>
      <c r="C3281" s="9">
        <f>IFERROR(__xludf.DUMMYFUNCTION("""COMPUTED_VALUE"""),2.17)</f>
        <v>2.17</v>
      </c>
      <c r="H3281" s="17"/>
      <c r="K3281" s="17"/>
      <c r="N3281" s="17"/>
    </row>
    <row r="3282">
      <c r="B3282" s="11">
        <f>IFERROR(__xludf.DUMMYFUNCTION("""COMPUTED_VALUE"""),41431.0)</f>
        <v>41431</v>
      </c>
      <c r="C3282" s="9">
        <f>IFERROR(__xludf.DUMMYFUNCTION("""COMPUTED_VALUE"""),2.08)</f>
        <v>2.08</v>
      </c>
      <c r="H3282" s="17"/>
      <c r="K3282" s="17"/>
      <c r="N3282" s="17"/>
    </row>
    <row r="3283">
      <c r="B3283" s="11">
        <f>IFERROR(__xludf.DUMMYFUNCTION("""COMPUTED_VALUE"""),41430.0)</f>
        <v>41430</v>
      </c>
      <c r="C3283" s="9">
        <f>IFERROR(__xludf.DUMMYFUNCTION("""COMPUTED_VALUE"""),2.1)</f>
        <v>2.1</v>
      </c>
      <c r="H3283" s="17"/>
      <c r="K3283" s="17"/>
      <c r="N3283" s="17"/>
    </row>
    <row r="3284">
      <c r="B3284" s="11">
        <f>IFERROR(__xludf.DUMMYFUNCTION("""COMPUTED_VALUE"""),41429.0)</f>
        <v>41429</v>
      </c>
      <c r="C3284" s="9">
        <f>IFERROR(__xludf.DUMMYFUNCTION("""COMPUTED_VALUE"""),2.14)</f>
        <v>2.14</v>
      </c>
      <c r="H3284" s="17"/>
      <c r="K3284" s="17"/>
      <c r="N3284" s="17"/>
    </row>
    <row r="3285">
      <c r="B3285" s="11">
        <f>IFERROR(__xludf.DUMMYFUNCTION("""COMPUTED_VALUE"""),41428.0)</f>
        <v>41428</v>
      </c>
      <c r="C3285" s="9">
        <f>IFERROR(__xludf.DUMMYFUNCTION("""COMPUTED_VALUE"""),2.13)</f>
        <v>2.13</v>
      </c>
      <c r="H3285" s="17"/>
      <c r="K3285" s="17"/>
      <c r="N3285" s="17"/>
    </row>
    <row r="3286">
      <c r="B3286" s="11">
        <f>IFERROR(__xludf.DUMMYFUNCTION("""COMPUTED_VALUE"""),41425.0)</f>
        <v>41425</v>
      </c>
      <c r="C3286" s="9">
        <f>IFERROR(__xludf.DUMMYFUNCTION("""COMPUTED_VALUE"""),2.16)</f>
        <v>2.16</v>
      </c>
      <c r="H3286" s="17"/>
      <c r="K3286" s="17"/>
      <c r="N3286" s="17"/>
    </row>
    <row r="3287">
      <c r="B3287" s="11">
        <f>IFERROR(__xludf.DUMMYFUNCTION("""COMPUTED_VALUE"""),41424.0)</f>
        <v>41424</v>
      </c>
      <c r="C3287" s="9">
        <f>IFERROR(__xludf.DUMMYFUNCTION("""COMPUTED_VALUE"""),2.13)</f>
        <v>2.13</v>
      </c>
      <c r="H3287" s="17"/>
      <c r="K3287" s="17"/>
      <c r="N3287" s="17"/>
    </row>
    <row r="3288">
      <c r="B3288" s="11">
        <f>IFERROR(__xludf.DUMMYFUNCTION("""COMPUTED_VALUE"""),41423.0)</f>
        <v>41423</v>
      </c>
      <c r="C3288" s="9">
        <f>IFERROR(__xludf.DUMMYFUNCTION("""COMPUTED_VALUE"""),2.13)</f>
        <v>2.13</v>
      </c>
      <c r="H3288" s="17"/>
      <c r="K3288" s="17"/>
      <c r="N3288" s="17"/>
    </row>
    <row r="3289">
      <c r="B3289" s="11">
        <f>IFERROR(__xludf.DUMMYFUNCTION("""COMPUTED_VALUE"""),41422.0)</f>
        <v>41422</v>
      </c>
      <c r="C3289" s="9">
        <f>IFERROR(__xludf.DUMMYFUNCTION("""COMPUTED_VALUE"""),2.15)</f>
        <v>2.15</v>
      </c>
      <c r="H3289" s="17"/>
      <c r="K3289" s="17"/>
      <c r="N3289" s="17"/>
    </row>
    <row r="3290">
      <c r="B3290" s="11">
        <f>IFERROR(__xludf.DUMMYFUNCTION("""COMPUTED_VALUE"""),41421.0)</f>
        <v>41421</v>
      </c>
      <c r="C3290" s="9"/>
      <c r="H3290" s="17"/>
      <c r="K3290" s="17"/>
      <c r="N3290" s="17"/>
    </row>
    <row r="3291">
      <c r="B3291" s="11">
        <f>IFERROR(__xludf.DUMMYFUNCTION("""COMPUTED_VALUE"""),41418.0)</f>
        <v>41418</v>
      </c>
      <c r="C3291" s="9">
        <f>IFERROR(__xludf.DUMMYFUNCTION("""COMPUTED_VALUE"""),2.01)</f>
        <v>2.01</v>
      </c>
      <c r="H3291" s="17"/>
      <c r="K3291" s="17"/>
      <c r="N3291" s="17"/>
    </row>
    <row r="3292">
      <c r="B3292" s="11">
        <f>IFERROR(__xludf.DUMMYFUNCTION("""COMPUTED_VALUE"""),41417.0)</f>
        <v>41417</v>
      </c>
      <c r="C3292" s="9">
        <f>IFERROR(__xludf.DUMMYFUNCTION("""COMPUTED_VALUE"""),2.02)</f>
        <v>2.02</v>
      </c>
      <c r="H3292" s="17"/>
      <c r="K3292" s="17"/>
      <c r="N3292" s="17"/>
    </row>
    <row r="3293">
      <c r="B3293" s="11">
        <f>IFERROR(__xludf.DUMMYFUNCTION("""COMPUTED_VALUE"""),41416.0)</f>
        <v>41416</v>
      </c>
      <c r="C3293" s="9">
        <f>IFERROR(__xludf.DUMMYFUNCTION("""COMPUTED_VALUE"""),2.03)</f>
        <v>2.03</v>
      </c>
      <c r="H3293" s="17"/>
      <c r="K3293" s="17"/>
      <c r="N3293" s="17"/>
    </row>
    <row r="3294">
      <c r="B3294" s="11">
        <f>IFERROR(__xludf.DUMMYFUNCTION("""COMPUTED_VALUE"""),41415.0)</f>
        <v>41415</v>
      </c>
      <c r="C3294" s="9">
        <f>IFERROR(__xludf.DUMMYFUNCTION("""COMPUTED_VALUE"""),1.94)</f>
        <v>1.94</v>
      </c>
      <c r="H3294" s="17"/>
      <c r="K3294" s="17"/>
      <c r="N3294" s="17"/>
    </row>
    <row r="3295">
      <c r="B3295" s="11">
        <f>IFERROR(__xludf.DUMMYFUNCTION("""COMPUTED_VALUE"""),41414.0)</f>
        <v>41414</v>
      </c>
      <c r="C3295" s="9">
        <f>IFERROR(__xludf.DUMMYFUNCTION("""COMPUTED_VALUE"""),1.97)</f>
        <v>1.97</v>
      </c>
      <c r="H3295" s="17"/>
      <c r="K3295" s="17"/>
      <c r="N3295" s="17"/>
    </row>
    <row r="3296">
      <c r="B3296" s="11">
        <f>IFERROR(__xludf.DUMMYFUNCTION("""COMPUTED_VALUE"""),41411.0)</f>
        <v>41411</v>
      </c>
      <c r="C3296" s="9">
        <f>IFERROR(__xludf.DUMMYFUNCTION("""COMPUTED_VALUE"""),1.95)</f>
        <v>1.95</v>
      </c>
      <c r="H3296" s="17"/>
      <c r="K3296" s="17"/>
      <c r="N3296" s="17"/>
    </row>
    <row r="3297">
      <c r="B3297" s="11">
        <f>IFERROR(__xludf.DUMMYFUNCTION("""COMPUTED_VALUE"""),41410.0)</f>
        <v>41410</v>
      </c>
      <c r="C3297" s="9">
        <f>IFERROR(__xludf.DUMMYFUNCTION("""COMPUTED_VALUE"""),1.87)</f>
        <v>1.87</v>
      </c>
      <c r="H3297" s="17"/>
      <c r="K3297" s="17"/>
      <c r="N3297" s="17"/>
    </row>
    <row r="3298">
      <c r="B3298" s="11">
        <f>IFERROR(__xludf.DUMMYFUNCTION("""COMPUTED_VALUE"""),41409.0)</f>
        <v>41409</v>
      </c>
      <c r="C3298" s="9">
        <f>IFERROR(__xludf.DUMMYFUNCTION("""COMPUTED_VALUE"""),1.94)</f>
        <v>1.94</v>
      </c>
      <c r="H3298" s="17"/>
      <c r="K3298" s="17"/>
      <c r="N3298" s="17"/>
    </row>
    <row r="3299">
      <c r="B3299" s="11">
        <f>IFERROR(__xludf.DUMMYFUNCTION("""COMPUTED_VALUE"""),41408.0)</f>
        <v>41408</v>
      </c>
      <c r="C3299" s="9">
        <f>IFERROR(__xludf.DUMMYFUNCTION("""COMPUTED_VALUE"""),1.96)</f>
        <v>1.96</v>
      </c>
      <c r="H3299" s="17"/>
      <c r="K3299" s="17"/>
      <c r="N3299" s="17"/>
    </row>
    <row r="3300">
      <c r="B3300" s="11">
        <f>IFERROR(__xludf.DUMMYFUNCTION("""COMPUTED_VALUE"""),41407.0)</f>
        <v>41407</v>
      </c>
      <c r="C3300" s="9">
        <f>IFERROR(__xludf.DUMMYFUNCTION("""COMPUTED_VALUE"""),1.92)</f>
        <v>1.92</v>
      </c>
      <c r="H3300" s="17"/>
      <c r="K3300" s="17"/>
      <c r="N3300" s="17"/>
    </row>
    <row r="3301">
      <c r="B3301" s="11">
        <f>IFERROR(__xludf.DUMMYFUNCTION("""COMPUTED_VALUE"""),41404.0)</f>
        <v>41404</v>
      </c>
      <c r="C3301" s="9">
        <f>IFERROR(__xludf.DUMMYFUNCTION("""COMPUTED_VALUE"""),1.9)</f>
        <v>1.9</v>
      </c>
      <c r="H3301" s="17"/>
      <c r="K3301" s="17"/>
      <c r="N3301" s="17"/>
    </row>
    <row r="3302">
      <c r="B3302" s="11">
        <f>IFERROR(__xludf.DUMMYFUNCTION("""COMPUTED_VALUE"""),41403.0)</f>
        <v>41403</v>
      </c>
      <c r="C3302" s="9">
        <f>IFERROR(__xludf.DUMMYFUNCTION("""COMPUTED_VALUE"""),1.81)</f>
        <v>1.81</v>
      </c>
      <c r="H3302" s="17"/>
      <c r="K3302" s="17"/>
      <c r="N3302" s="17"/>
    </row>
    <row r="3303">
      <c r="B3303" s="11">
        <f>IFERROR(__xludf.DUMMYFUNCTION("""COMPUTED_VALUE"""),41402.0)</f>
        <v>41402</v>
      </c>
      <c r="C3303" s="9">
        <f>IFERROR(__xludf.DUMMYFUNCTION("""COMPUTED_VALUE"""),1.81)</f>
        <v>1.81</v>
      </c>
      <c r="H3303" s="17"/>
      <c r="K3303" s="17"/>
      <c r="N3303" s="17"/>
    </row>
    <row r="3304">
      <c r="B3304" s="11">
        <f>IFERROR(__xludf.DUMMYFUNCTION("""COMPUTED_VALUE"""),41401.0)</f>
        <v>41401</v>
      </c>
      <c r="C3304" s="9">
        <f>IFERROR(__xludf.DUMMYFUNCTION("""COMPUTED_VALUE"""),1.82)</f>
        <v>1.82</v>
      </c>
      <c r="H3304" s="17"/>
      <c r="K3304" s="17"/>
      <c r="N3304" s="17"/>
    </row>
    <row r="3305">
      <c r="B3305" s="11">
        <f>IFERROR(__xludf.DUMMYFUNCTION("""COMPUTED_VALUE"""),41400.0)</f>
        <v>41400</v>
      </c>
      <c r="C3305" s="9">
        <f>IFERROR(__xludf.DUMMYFUNCTION("""COMPUTED_VALUE"""),1.8)</f>
        <v>1.8</v>
      </c>
      <c r="H3305" s="17"/>
      <c r="K3305" s="17"/>
      <c r="N3305" s="17"/>
    </row>
    <row r="3306">
      <c r="B3306" s="11">
        <f>IFERROR(__xludf.DUMMYFUNCTION("""COMPUTED_VALUE"""),41397.0)</f>
        <v>41397</v>
      </c>
      <c r="C3306" s="9">
        <f>IFERROR(__xludf.DUMMYFUNCTION("""COMPUTED_VALUE"""),1.78)</f>
        <v>1.78</v>
      </c>
      <c r="H3306" s="17"/>
      <c r="K3306" s="17"/>
      <c r="N3306" s="17"/>
    </row>
    <row r="3307">
      <c r="B3307" s="11">
        <f>IFERROR(__xludf.DUMMYFUNCTION("""COMPUTED_VALUE"""),41396.0)</f>
        <v>41396</v>
      </c>
      <c r="C3307" s="9">
        <f>IFERROR(__xludf.DUMMYFUNCTION("""COMPUTED_VALUE"""),1.66)</f>
        <v>1.66</v>
      </c>
      <c r="H3307" s="17"/>
      <c r="K3307" s="17"/>
      <c r="N3307" s="17"/>
    </row>
    <row r="3308">
      <c r="B3308" s="11">
        <f>IFERROR(__xludf.DUMMYFUNCTION("""COMPUTED_VALUE"""),41395.0)</f>
        <v>41395</v>
      </c>
      <c r="C3308" s="9">
        <f>IFERROR(__xludf.DUMMYFUNCTION("""COMPUTED_VALUE"""),1.66)</f>
        <v>1.66</v>
      </c>
      <c r="H3308" s="17"/>
      <c r="K3308" s="17"/>
      <c r="N3308" s="17"/>
    </row>
    <row r="3309">
      <c r="B3309" s="11">
        <f>IFERROR(__xludf.DUMMYFUNCTION("""COMPUTED_VALUE"""),41394.0)</f>
        <v>41394</v>
      </c>
      <c r="C3309" s="9">
        <f>IFERROR(__xludf.DUMMYFUNCTION("""COMPUTED_VALUE"""),1.7)</f>
        <v>1.7</v>
      </c>
      <c r="H3309" s="17"/>
      <c r="K3309" s="17"/>
      <c r="N3309" s="17"/>
    </row>
    <row r="3310">
      <c r="B3310" s="11">
        <f>IFERROR(__xludf.DUMMYFUNCTION("""COMPUTED_VALUE"""),41393.0)</f>
        <v>41393</v>
      </c>
      <c r="C3310" s="9">
        <f>IFERROR(__xludf.DUMMYFUNCTION("""COMPUTED_VALUE"""),1.7)</f>
        <v>1.7</v>
      </c>
      <c r="H3310" s="17"/>
      <c r="K3310" s="17"/>
      <c r="N3310" s="17"/>
    </row>
    <row r="3311">
      <c r="B3311" s="11">
        <f>IFERROR(__xludf.DUMMYFUNCTION("""COMPUTED_VALUE"""),41390.0)</f>
        <v>41390</v>
      </c>
      <c r="C3311" s="9">
        <f>IFERROR(__xludf.DUMMYFUNCTION("""COMPUTED_VALUE"""),1.7)</f>
        <v>1.7</v>
      </c>
      <c r="H3311" s="17"/>
      <c r="K3311" s="17"/>
      <c r="N3311" s="17"/>
    </row>
    <row r="3312">
      <c r="B3312" s="11">
        <f>IFERROR(__xludf.DUMMYFUNCTION("""COMPUTED_VALUE"""),41389.0)</f>
        <v>41389</v>
      </c>
      <c r="C3312" s="9">
        <f>IFERROR(__xludf.DUMMYFUNCTION("""COMPUTED_VALUE"""),1.74)</f>
        <v>1.74</v>
      </c>
      <c r="H3312" s="17"/>
      <c r="K3312" s="17"/>
      <c r="N3312" s="17"/>
    </row>
    <row r="3313">
      <c r="B3313" s="11">
        <f>IFERROR(__xludf.DUMMYFUNCTION("""COMPUTED_VALUE"""),41388.0)</f>
        <v>41388</v>
      </c>
      <c r="C3313" s="9">
        <f>IFERROR(__xludf.DUMMYFUNCTION("""COMPUTED_VALUE"""),1.73)</f>
        <v>1.73</v>
      </c>
      <c r="H3313" s="17"/>
      <c r="K3313" s="17"/>
      <c r="N3313" s="17"/>
    </row>
    <row r="3314">
      <c r="B3314" s="11">
        <f>IFERROR(__xludf.DUMMYFUNCTION("""COMPUTED_VALUE"""),41387.0)</f>
        <v>41387</v>
      </c>
      <c r="C3314" s="9">
        <f>IFERROR(__xludf.DUMMYFUNCTION("""COMPUTED_VALUE"""),1.74)</f>
        <v>1.74</v>
      </c>
      <c r="H3314" s="17"/>
      <c r="K3314" s="17"/>
      <c r="N3314" s="17"/>
    </row>
    <row r="3315">
      <c r="B3315" s="11">
        <f>IFERROR(__xludf.DUMMYFUNCTION("""COMPUTED_VALUE"""),41386.0)</f>
        <v>41386</v>
      </c>
      <c r="C3315" s="9">
        <f>IFERROR(__xludf.DUMMYFUNCTION("""COMPUTED_VALUE"""),1.72)</f>
        <v>1.72</v>
      </c>
      <c r="H3315" s="17"/>
      <c r="K3315" s="17"/>
      <c r="N3315" s="17"/>
    </row>
    <row r="3316">
      <c r="B3316" s="11">
        <f>IFERROR(__xludf.DUMMYFUNCTION("""COMPUTED_VALUE"""),41383.0)</f>
        <v>41383</v>
      </c>
      <c r="C3316" s="9">
        <f>IFERROR(__xludf.DUMMYFUNCTION("""COMPUTED_VALUE"""),1.73)</f>
        <v>1.73</v>
      </c>
      <c r="H3316" s="17"/>
      <c r="K3316" s="17"/>
      <c r="N3316" s="17"/>
    </row>
    <row r="3317">
      <c r="B3317" s="11">
        <f>IFERROR(__xludf.DUMMYFUNCTION("""COMPUTED_VALUE"""),41382.0)</f>
        <v>41382</v>
      </c>
      <c r="C3317" s="9">
        <f>IFERROR(__xludf.DUMMYFUNCTION("""COMPUTED_VALUE"""),1.72)</f>
        <v>1.72</v>
      </c>
      <c r="H3317" s="17"/>
      <c r="K3317" s="17"/>
      <c r="N3317" s="17"/>
    </row>
    <row r="3318">
      <c r="B3318" s="11">
        <f>IFERROR(__xludf.DUMMYFUNCTION("""COMPUTED_VALUE"""),41381.0)</f>
        <v>41381</v>
      </c>
      <c r="C3318" s="9">
        <f>IFERROR(__xludf.DUMMYFUNCTION("""COMPUTED_VALUE"""),1.73)</f>
        <v>1.73</v>
      </c>
      <c r="H3318" s="17"/>
      <c r="K3318" s="17"/>
      <c r="N3318" s="17"/>
    </row>
    <row r="3319">
      <c r="B3319" s="11">
        <f>IFERROR(__xludf.DUMMYFUNCTION("""COMPUTED_VALUE"""),41380.0)</f>
        <v>41380</v>
      </c>
      <c r="C3319" s="9">
        <f>IFERROR(__xludf.DUMMYFUNCTION("""COMPUTED_VALUE"""),1.75)</f>
        <v>1.75</v>
      </c>
      <c r="H3319" s="17"/>
      <c r="K3319" s="17"/>
      <c r="N3319" s="17"/>
    </row>
    <row r="3320">
      <c r="B3320" s="11">
        <f>IFERROR(__xludf.DUMMYFUNCTION("""COMPUTED_VALUE"""),41379.0)</f>
        <v>41379</v>
      </c>
      <c r="C3320" s="9">
        <f>IFERROR(__xludf.DUMMYFUNCTION("""COMPUTED_VALUE"""),1.72)</f>
        <v>1.72</v>
      </c>
      <c r="H3320" s="17"/>
      <c r="K3320" s="17"/>
      <c r="N3320" s="17"/>
    </row>
    <row r="3321">
      <c r="B3321" s="11">
        <f>IFERROR(__xludf.DUMMYFUNCTION("""COMPUTED_VALUE"""),41376.0)</f>
        <v>41376</v>
      </c>
      <c r="C3321" s="9">
        <f>IFERROR(__xludf.DUMMYFUNCTION("""COMPUTED_VALUE"""),1.75)</f>
        <v>1.75</v>
      </c>
      <c r="H3321" s="17"/>
      <c r="K3321" s="17"/>
      <c r="N3321" s="17"/>
    </row>
    <row r="3322">
      <c r="B3322" s="11">
        <f>IFERROR(__xludf.DUMMYFUNCTION("""COMPUTED_VALUE"""),41375.0)</f>
        <v>41375</v>
      </c>
      <c r="C3322" s="9">
        <f>IFERROR(__xludf.DUMMYFUNCTION("""COMPUTED_VALUE"""),1.82)</f>
        <v>1.82</v>
      </c>
      <c r="H3322" s="17"/>
      <c r="K3322" s="17"/>
      <c r="N3322" s="17"/>
    </row>
    <row r="3323">
      <c r="B3323" s="11">
        <f>IFERROR(__xludf.DUMMYFUNCTION("""COMPUTED_VALUE"""),41374.0)</f>
        <v>41374</v>
      </c>
      <c r="C3323" s="9">
        <f>IFERROR(__xludf.DUMMYFUNCTION("""COMPUTED_VALUE"""),1.84)</f>
        <v>1.84</v>
      </c>
      <c r="H3323" s="17"/>
      <c r="K3323" s="17"/>
      <c r="N3323" s="17"/>
    </row>
    <row r="3324">
      <c r="B3324" s="11">
        <f>IFERROR(__xludf.DUMMYFUNCTION("""COMPUTED_VALUE"""),41373.0)</f>
        <v>41373</v>
      </c>
      <c r="C3324" s="9">
        <f>IFERROR(__xludf.DUMMYFUNCTION("""COMPUTED_VALUE"""),1.78)</f>
        <v>1.78</v>
      </c>
      <c r="H3324" s="17"/>
      <c r="K3324" s="17"/>
      <c r="N3324" s="17"/>
    </row>
    <row r="3325">
      <c r="B3325" s="11">
        <f>IFERROR(__xludf.DUMMYFUNCTION("""COMPUTED_VALUE"""),41372.0)</f>
        <v>41372</v>
      </c>
      <c r="C3325" s="9">
        <f>IFERROR(__xludf.DUMMYFUNCTION("""COMPUTED_VALUE"""),1.76)</f>
        <v>1.76</v>
      </c>
      <c r="H3325" s="17"/>
      <c r="K3325" s="17"/>
      <c r="N3325" s="17"/>
    </row>
    <row r="3326">
      <c r="B3326" s="11">
        <f>IFERROR(__xludf.DUMMYFUNCTION("""COMPUTED_VALUE"""),41369.0)</f>
        <v>41369</v>
      </c>
      <c r="C3326" s="9">
        <f>IFERROR(__xludf.DUMMYFUNCTION("""COMPUTED_VALUE"""),1.72)</f>
        <v>1.72</v>
      </c>
      <c r="H3326" s="17"/>
      <c r="K3326" s="17"/>
      <c r="N3326" s="17"/>
    </row>
    <row r="3327">
      <c r="B3327" s="11">
        <f>IFERROR(__xludf.DUMMYFUNCTION("""COMPUTED_VALUE"""),41368.0)</f>
        <v>41368</v>
      </c>
      <c r="C3327" s="9">
        <f>IFERROR(__xludf.DUMMYFUNCTION("""COMPUTED_VALUE"""),1.78)</f>
        <v>1.78</v>
      </c>
      <c r="H3327" s="17"/>
      <c r="K3327" s="17"/>
      <c r="N3327" s="17"/>
    </row>
    <row r="3328">
      <c r="B3328" s="11">
        <f>IFERROR(__xludf.DUMMYFUNCTION("""COMPUTED_VALUE"""),41367.0)</f>
        <v>41367</v>
      </c>
      <c r="C3328" s="9">
        <f>IFERROR(__xludf.DUMMYFUNCTION("""COMPUTED_VALUE"""),1.83)</f>
        <v>1.83</v>
      </c>
      <c r="H3328" s="17"/>
      <c r="K3328" s="17"/>
      <c r="N3328" s="17"/>
    </row>
    <row r="3329">
      <c r="B3329" s="11">
        <f>IFERROR(__xludf.DUMMYFUNCTION("""COMPUTED_VALUE"""),41366.0)</f>
        <v>41366</v>
      </c>
      <c r="C3329" s="9">
        <f>IFERROR(__xludf.DUMMYFUNCTION("""COMPUTED_VALUE"""),1.88)</f>
        <v>1.88</v>
      </c>
      <c r="H3329" s="17"/>
      <c r="K3329" s="17"/>
      <c r="N3329" s="17"/>
    </row>
    <row r="3330">
      <c r="B3330" s="11">
        <f>IFERROR(__xludf.DUMMYFUNCTION("""COMPUTED_VALUE"""),41365.0)</f>
        <v>41365</v>
      </c>
      <c r="C3330" s="9">
        <f>IFERROR(__xludf.DUMMYFUNCTION("""COMPUTED_VALUE"""),1.86)</f>
        <v>1.86</v>
      </c>
      <c r="H3330" s="17"/>
      <c r="K3330" s="17"/>
      <c r="N3330" s="17"/>
    </row>
    <row r="3331">
      <c r="B3331" s="11">
        <f>IFERROR(__xludf.DUMMYFUNCTION("""COMPUTED_VALUE"""),41362.0)</f>
        <v>41362</v>
      </c>
      <c r="C3331" s="9"/>
      <c r="H3331" s="17"/>
      <c r="K3331" s="17"/>
      <c r="N3331" s="17"/>
    </row>
    <row r="3332">
      <c r="B3332" s="11">
        <f>IFERROR(__xludf.DUMMYFUNCTION("""COMPUTED_VALUE"""),41361.0)</f>
        <v>41361</v>
      </c>
      <c r="C3332" s="9">
        <f>IFERROR(__xludf.DUMMYFUNCTION("""COMPUTED_VALUE"""),1.87)</f>
        <v>1.87</v>
      </c>
      <c r="H3332" s="17"/>
      <c r="K3332" s="17"/>
      <c r="N3332" s="17"/>
    </row>
    <row r="3333">
      <c r="B3333" s="11">
        <f>IFERROR(__xludf.DUMMYFUNCTION("""COMPUTED_VALUE"""),41360.0)</f>
        <v>41360</v>
      </c>
      <c r="C3333" s="9">
        <f>IFERROR(__xludf.DUMMYFUNCTION("""COMPUTED_VALUE"""),1.87)</f>
        <v>1.87</v>
      </c>
      <c r="H3333" s="17"/>
      <c r="K3333" s="17"/>
      <c r="N3333" s="17"/>
    </row>
    <row r="3334">
      <c r="B3334" s="11">
        <f>IFERROR(__xludf.DUMMYFUNCTION("""COMPUTED_VALUE"""),41359.0)</f>
        <v>41359</v>
      </c>
      <c r="C3334" s="9">
        <f>IFERROR(__xludf.DUMMYFUNCTION("""COMPUTED_VALUE"""),1.92)</f>
        <v>1.92</v>
      </c>
      <c r="H3334" s="17"/>
      <c r="K3334" s="17"/>
      <c r="N3334" s="17"/>
    </row>
    <row r="3335">
      <c r="B3335" s="11">
        <f>IFERROR(__xludf.DUMMYFUNCTION("""COMPUTED_VALUE"""),41358.0)</f>
        <v>41358</v>
      </c>
      <c r="C3335" s="9">
        <f>IFERROR(__xludf.DUMMYFUNCTION("""COMPUTED_VALUE"""),1.93)</f>
        <v>1.93</v>
      </c>
      <c r="H3335" s="17"/>
      <c r="K3335" s="17"/>
      <c r="N3335" s="17"/>
    </row>
    <row r="3336">
      <c r="B3336" s="11">
        <f>IFERROR(__xludf.DUMMYFUNCTION("""COMPUTED_VALUE"""),41355.0)</f>
        <v>41355</v>
      </c>
      <c r="C3336" s="9">
        <f>IFERROR(__xludf.DUMMYFUNCTION("""COMPUTED_VALUE"""),1.93)</f>
        <v>1.93</v>
      </c>
      <c r="H3336" s="17"/>
      <c r="K3336" s="17"/>
      <c r="N3336" s="17"/>
    </row>
    <row r="3337">
      <c r="B3337" s="11">
        <f>IFERROR(__xludf.DUMMYFUNCTION("""COMPUTED_VALUE"""),41354.0)</f>
        <v>41354</v>
      </c>
      <c r="C3337" s="9">
        <f>IFERROR(__xludf.DUMMYFUNCTION("""COMPUTED_VALUE"""),1.95)</f>
        <v>1.95</v>
      </c>
      <c r="H3337" s="17"/>
      <c r="K3337" s="17"/>
      <c r="N3337" s="17"/>
    </row>
    <row r="3338">
      <c r="B3338" s="11">
        <f>IFERROR(__xludf.DUMMYFUNCTION("""COMPUTED_VALUE"""),41353.0)</f>
        <v>41353</v>
      </c>
      <c r="C3338" s="9">
        <f>IFERROR(__xludf.DUMMYFUNCTION("""COMPUTED_VALUE"""),1.96)</f>
        <v>1.96</v>
      </c>
      <c r="H3338" s="17"/>
      <c r="K3338" s="17"/>
      <c r="N3338" s="17"/>
    </row>
    <row r="3339">
      <c r="B3339" s="11">
        <f>IFERROR(__xludf.DUMMYFUNCTION("""COMPUTED_VALUE"""),41352.0)</f>
        <v>41352</v>
      </c>
      <c r="C3339" s="9">
        <f>IFERROR(__xludf.DUMMYFUNCTION("""COMPUTED_VALUE"""),1.92)</f>
        <v>1.92</v>
      </c>
      <c r="H3339" s="17"/>
      <c r="K3339" s="17"/>
      <c r="N3339" s="17"/>
    </row>
    <row r="3340">
      <c r="B3340" s="11">
        <f>IFERROR(__xludf.DUMMYFUNCTION("""COMPUTED_VALUE"""),41351.0)</f>
        <v>41351</v>
      </c>
      <c r="C3340" s="9">
        <f>IFERROR(__xludf.DUMMYFUNCTION("""COMPUTED_VALUE"""),1.96)</f>
        <v>1.96</v>
      </c>
      <c r="H3340" s="17"/>
      <c r="K3340" s="17"/>
      <c r="N3340" s="17"/>
    </row>
    <row r="3341">
      <c r="B3341" s="11">
        <f>IFERROR(__xludf.DUMMYFUNCTION("""COMPUTED_VALUE"""),41348.0)</f>
        <v>41348</v>
      </c>
      <c r="C3341" s="9">
        <f>IFERROR(__xludf.DUMMYFUNCTION("""COMPUTED_VALUE"""),2.01)</f>
        <v>2.01</v>
      </c>
      <c r="H3341" s="17"/>
      <c r="K3341" s="17"/>
      <c r="N3341" s="17"/>
    </row>
    <row r="3342">
      <c r="B3342" s="11">
        <f>IFERROR(__xludf.DUMMYFUNCTION("""COMPUTED_VALUE"""),41347.0)</f>
        <v>41347</v>
      </c>
      <c r="C3342" s="9">
        <f>IFERROR(__xludf.DUMMYFUNCTION("""COMPUTED_VALUE"""),2.04)</f>
        <v>2.04</v>
      </c>
      <c r="H3342" s="17"/>
      <c r="K3342" s="17"/>
      <c r="N3342" s="17"/>
    </row>
    <row r="3343">
      <c r="B3343" s="11">
        <f>IFERROR(__xludf.DUMMYFUNCTION("""COMPUTED_VALUE"""),41346.0)</f>
        <v>41346</v>
      </c>
      <c r="C3343" s="9">
        <f>IFERROR(__xludf.DUMMYFUNCTION("""COMPUTED_VALUE"""),2.04)</f>
        <v>2.04</v>
      </c>
      <c r="H3343" s="17"/>
      <c r="K3343" s="17"/>
      <c r="N3343" s="17"/>
    </row>
    <row r="3344">
      <c r="B3344" s="11">
        <f>IFERROR(__xludf.DUMMYFUNCTION("""COMPUTED_VALUE"""),41345.0)</f>
        <v>41345</v>
      </c>
      <c r="C3344" s="9">
        <f>IFERROR(__xludf.DUMMYFUNCTION("""COMPUTED_VALUE"""),2.03)</f>
        <v>2.03</v>
      </c>
      <c r="H3344" s="17"/>
      <c r="K3344" s="17"/>
      <c r="N3344" s="17"/>
    </row>
    <row r="3345">
      <c r="B3345" s="11">
        <f>IFERROR(__xludf.DUMMYFUNCTION("""COMPUTED_VALUE"""),41344.0)</f>
        <v>41344</v>
      </c>
      <c r="C3345" s="9">
        <f>IFERROR(__xludf.DUMMYFUNCTION("""COMPUTED_VALUE"""),2.07)</f>
        <v>2.07</v>
      </c>
      <c r="H3345" s="17"/>
      <c r="K3345" s="17"/>
      <c r="N3345" s="17"/>
    </row>
    <row r="3346">
      <c r="B3346" s="11">
        <f>IFERROR(__xludf.DUMMYFUNCTION("""COMPUTED_VALUE"""),41341.0)</f>
        <v>41341</v>
      </c>
      <c r="C3346" s="9">
        <f>IFERROR(__xludf.DUMMYFUNCTION("""COMPUTED_VALUE"""),2.06)</f>
        <v>2.06</v>
      </c>
      <c r="H3346" s="17"/>
      <c r="K3346" s="17"/>
      <c r="N3346" s="17"/>
    </row>
    <row r="3347">
      <c r="B3347" s="11">
        <f>IFERROR(__xludf.DUMMYFUNCTION("""COMPUTED_VALUE"""),41340.0)</f>
        <v>41340</v>
      </c>
      <c r="C3347" s="9">
        <f>IFERROR(__xludf.DUMMYFUNCTION("""COMPUTED_VALUE"""),2.0)</f>
        <v>2</v>
      </c>
      <c r="H3347" s="17"/>
      <c r="K3347" s="17"/>
      <c r="N3347" s="17"/>
    </row>
    <row r="3348">
      <c r="B3348" s="11">
        <f>IFERROR(__xludf.DUMMYFUNCTION("""COMPUTED_VALUE"""),41339.0)</f>
        <v>41339</v>
      </c>
      <c r="C3348" s="9">
        <f>IFERROR(__xludf.DUMMYFUNCTION("""COMPUTED_VALUE"""),1.95)</f>
        <v>1.95</v>
      </c>
      <c r="H3348" s="17"/>
      <c r="K3348" s="17"/>
      <c r="N3348" s="17"/>
    </row>
    <row r="3349">
      <c r="B3349" s="11">
        <f>IFERROR(__xludf.DUMMYFUNCTION("""COMPUTED_VALUE"""),41338.0)</f>
        <v>41338</v>
      </c>
      <c r="C3349" s="9">
        <f>IFERROR(__xludf.DUMMYFUNCTION("""COMPUTED_VALUE"""),1.9)</f>
        <v>1.9</v>
      </c>
      <c r="H3349" s="17"/>
      <c r="K3349" s="17"/>
      <c r="N3349" s="17"/>
    </row>
    <row r="3350">
      <c r="B3350" s="11">
        <f>IFERROR(__xludf.DUMMYFUNCTION("""COMPUTED_VALUE"""),41337.0)</f>
        <v>41337</v>
      </c>
      <c r="C3350" s="9">
        <f>IFERROR(__xludf.DUMMYFUNCTION("""COMPUTED_VALUE"""),1.88)</f>
        <v>1.88</v>
      </c>
      <c r="H3350" s="17"/>
      <c r="K3350" s="17"/>
      <c r="N3350" s="17"/>
    </row>
    <row r="3351">
      <c r="B3351" s="11">
        <f>IFERROR(__xludf.DUMMYFUNCTION("""COMPUTED_VALUE"""),41334.0)</f>
        <v>41334</v>
      </c>
      <c r="C3351" s="9">
        <f>IFERROR(__xludf.DUMMYFUNCTION("""COMPUTED_VALUE"""),1.86)</f>
        <v>1.86</v>
      </c>
      <c r="H3351" s="17"/>
      <c r="K3351" s="17"/>
      <c r="N3351" s="17"/>
    </row>
    <row r="3352">
      <c r="B3352" s="11">
        <f>IFERROR(__xludf.DUMMYFUNCTION("""COMPUTED_VALUE"""),41333.0)</f>
        <v>41333</v>
      </c>
      <c r="C3352" s="9">
        <f>IFERROR(__xludf.DUMMYFUNCTION("""COMPUTED_VALUE"""),1.89)</f>
        <v>1.89</v>
      </c>
      <c r="H3352" s="17"/>
      <c r="K3352" s="17"/>
      <c r="N3352" s="17"/>
    </row>
    <row r="3353">
      <c r="B3353" s="11">
        <f>IFERROR(__xludf.DUMMYFUNCTION("""COMPUTED_VALUE"""),41332.0)</f>
        <v>41332</v>
      </c>
      <c r="C3353" s="9">
        <f>IFERROR(__xludf.DUMMYFUNCTION("""COMPUTED_VALUE"""),1.91)</f>
        <v>1.91</v>
      </c>
      <c r="H3353" s="17"/>
      <c r="K3353" s="17"/>
      <c r="N3353" s="17"/>
    </row>
    <row r="3354">
      <c r="B3354" s="11">
        <f>IFERROR(__xludf.DUMMYFUNCTION("""COMPUTED_VALUE"""),41331.0)</f>
        <v>41331</v>
      </c>
      <c r="C3354" s="9">
        <f>IFERROR(__xludf.DUMMYFUNCTION("""COMPUTED_VALUE"""),1.88)</f>
        <v>1.88</v>
      </c>
      <c r="H3354" s="17"/>
      <c r="K3354" s="17"/>
      <c r="N3354" s="17"/>
    </row>
    <row r="3355">
      <c r="B3355" s="11">
        <f>IFERROR(__xludf.DUMMYFUNCTION("""COMPUTED_VALUE"""),41330.0)</f>
        <v>41330</v>
      </c>
      <c r="C3355" s="9">
        <f>IFERROR(__xludf.DUMMYFUNCTION("""COMPUTED_VALUE"""),1.88)</f>
        <v>1.88</v>
      </c>
      <c r="H3355" s="17"/>
      <c r="K3355" s="17"/>
      <c r="N3355" s="17"/>
    </row>
    <row r="3356">
      <c r="B3356" s="11">
        <f>IFERROR(__xludf.DUMMYFUNCTION("""COMPUTED_VALUE"""),41327.0)</f>
        <v>41327</v>
      </c>
      <c r="C3356" s="9">
        <f>IFERROR(__xludf.DUMMYFUNCTION("""COMPUTED_VALUE"""),1.97)</f>
        <v>1.97</v>
      </c>
      <c r="H3356" s="17"/>
      <c r="K3356" s="17"/>
      <c r="N3356" s="17"/>
    </row>
    <row r="3357">
      <c r="B3357" s="11">
        <f>IFERROR(__xludf.DUMMYFUNCTION("""COMPUTED_VALUE"""),41326.0)</f>
        <v>41326</v>
      </c>
      <c r="C3357" s="9">
        <f>IFERROR(__xludf.DUMMYFUNCTION("""COMPUTED_VALUE"""),1.99)</f>
        <v>1.99</v>
      </c>
      <c r="H3357" s="17"/>
      <c r="K3357" s="17"/>
      <c r="N3357" s="17"/>
    </row>
    <row r="3358">
      <c r="B3358" s="11">
        <f>IFERROR(__xludf.DUMMYFUNCTION("""COMPUTED_VALUE"""),41325.0)</f>
        <v>41325</v>
      </c>
      <c r="C3358" s="9">
        <f>IFERROR(__xludf.DUMMYFUNCTION("""COMPUTED_VALUE"""),2.02)</f>
        <v>2.02</v>
      </c>
      <c r="H3358" s="17"/>
      <c r="K3358" s="17"/>
      <c r="N3358" s="17"/>
    </row>
    <row r="3359">
      <c r="B3359" s="11">
        <f>IFERROR(__xludf.DUMMYFUNCTION("""COMPUTED_VALUE"""),41324.0)</f>
        <v>41324</v>
      </c>
      <c r="C3359" s="9">
        <f>IFERROR(__xludf.DUMMYFUNCTION("""COMPUTED_VALUE"""),2.03)</f>
        <v>2.03</v>
      </c>
      <c r="H3359" s="17"/>
      <c r="K3359" s="17"/>
      <c r="N3359" s="17"/>
    </row>
    <row r="3360">
      <c r="B3360" s="11">
        <f>IFERROR(__xludf.DUMMYFUNCTION("""COMPUTED_VALUE"""),41323.0)</f>
        <v>41323</v>
      </c>
      <c r="C3360" s="9"/>
      <c r="H3360" s="17"/>
      <c r="K3360" s="17"/>
      <c r="N3360" s="17"/>
    </row>
    <row r="3361">
      <c r="B3361" s="11">
        <f>IFERROR(__xludf.DUMMYFUNCTION("""COMPUTED_VALUE"""),41320.0)</f>
        <v>41320</v>
      </c>
      <c r="C3361" s="9">
        <f>IFERROR(__xludf.DUMMYFUNCTION("""COMPUTED_VALUE"""),2.01)</f>
        <v>2.01</v>
      </c>
      <c r="H3361" s="17"/>
      <c r="K3361" s="17"/>
      <c r="N3361" s="17"/>
    </row>
    <row r="3362">
      <c r="B3362" s="11">
        <f>IFERROR(__xludf.DUMMYFUNCTION("""COMPUTED_VALUE"""),41319.0)</f>
        <v>41319</v>
      </c>
      <c r="C3362" s="9">
        <f>IFERROR(__xludf.DUMMYFUNCTION("""COMPUTED_VALUE"""),2.0)</f>
        <v>2</v>
      </c>
      <c r="H3362" s="17"/>
      <c r="K3362" s="17"/>
      <c r="N3362" s="17"/>
    </row>
    <row r="3363">
      <c r="B3363" s="11">
        <f>IFERROR(__xludf.DUMMYFUNCTION("""COMPUTED_VALUE"""),41318.0)</f>
        <v>41318</v>
      </c>
      <c r="C3363" s="9">
        <f>IFERROR(__xludf.DUMMYFUNCTION("""COMPUTED_VALUE"""),2.05)</f>
        <v>2.05</v>
      </c>
      <c r="H3363" s="17"/>
      <c r="K3363" s="17"/>
      <c r="N3363" s="17"/>
    </row>
    <row r="3364">
      <c r="B3364" s="11">
        <f>IFERROR(__xludf.DUMMYFUNCTION("""COMPUTED_VALUE"""),41317.0)</f>
        <v>41317</v>
      </c>
      <c r="C3364" s="9">
        <f>IFERROR(__xludf.DUMMYFUNCTION("""COMPUTED_VALUE"""),2.02)</f>
        <v>2.02</v>
      </c>
      <c r="H3364" s="17"/>
      <c r="K3364" s="17"/>
      <c r="N3364" s="17"/>
    </row>
    <row r="3365">
      <c r="B3365" s="11">
        <f>IFERROR(__xludf.DUMMYFUNCTION("""COMPUTED_VALUE"""),41316.0)</f>
        <v>41316</v>
      </c>
      <c r="C3365" s="9">
        <f>IFERROR(__xludf.DUMMYFUNCTION("""COMPUTED_VALUE"""),1.99)</f>
        <v>1.99</v>
      </c>
      <c r="H3365" s="17"/>
      <c r="K3365" s="17"/>
      <c r="N3365" s="17"/>
    </row>
    <row r="3366">
      <c r="B3366" s="11">
        <f>IFERROR(__xludf.DUMMYFUNCTION("""COMPUTED_VALUE"""),41313.0)</f>
        <v>41313</v>
      </c>
      <c r="C3366" s="9">
        <f>IFERROR(__xludf.DUMMYFUNCTION("""COMPUTED_VALUE"""),1.99)</f>
        <v>1.99</v>
      </c>
      <c r="H3366" s="17"/>
      <c r="K3366" s="17"/>
      <c r="N3366" s="17"/>
    </row>
    <row r="3367">
      <c r="B3367" s="11">
        <f>IFERROR(__xludf.DUMMYFUNCTION("""COMPUTED_VALUE"""),41312.0)</f>
        <v>41312</v>
      </c>
      <c r="C3367" s="9">
        <f>IFERROR(__xludf.DUMMYFUNCTION("""COMPUTED_VALUE"""),1.99)</f>
        <v>1.99</v>
      </c>
      <c r="H3367" s="17"/>
      <c r="K3367" s="17"/>
      <c r="N3367" s="17"/>
    </row>
    <row r="3368">
      <c r="B3368" s="11">
        <f>IFERROR(__xludf.DUMMYFUNCTION("""COMPUTED_VALUE"""),41311.0)</f>
        <v>41311</v>
      </c>
      <c r="C3368" s="9">
        <f>IFERROR(__xludf.DUMMYFUNCTION("""COMPUTED_VALUE"""),2.0)</f>
        <v>2</v>
      </c>
      <c r="H3368" s="17"/>
      <c r="K3368" s="17"/>
      <c r="N3368" s="17"/>
    </row>
    <row r="3369">
      <c r="B3369" s="11">
        <f>IFERROR(__xludf.DUMMYFUNCTION("""COMPUTED_VALUE"""),41310.0)</f>
        <v>41310</v>
      </c>
      <c r="C3369" s="9">
        <f>IFERROR(__xludf.DUMMYFUNCTION("""COMPUTED_VALUE"""),2.04)</f>
        <v>2.04</v>
      </c>
      <c r="H3369" s="17"/>
      <c r="K3369" s="17"/>
      <c r="N3369" s="17"/>
    </row>
    <row r="3370">
      <c r="B3370" s="11">
        <f>IFERROR(__xludf.DUMMYFUNCTION("""COMPUTED_VALUE"""),41309.0)</f>
        <v>41309</v>
      </c>
      <c r="C3370" s="9">
        <f>IFERROR(__xludf.DUMMYFUNCTION("""COMPUTED_VALUE"""),2.0)</f>
        <v>2</v>
      </c>
      <c r="H3370" s="17"/>
      <c r="K3370" s="17"/>
      <c r="N3370" s="17"/>
    </row>
    <row r="3371">
      <c r="B3371" s="11">
        <f>IFERROR(__xludf.DUMMYFUNCTION("""COMPUTED_VALUE"""),41306.0)</f>
        <v>41306</v>
      </c>
      <c r="C3371" s="9">
        <f>IFERROR(__xludf.DUMMYFUNCTION("""COMPUTED_VALUE"""),2.04)</f>
        <v>2.04</v>
      </c>
      <c r="H3371" s="17"/>
      <c r="K3371" s="17"/>
      <c r="N3371" s="17"/>
    </row>
    <row r="3372">
      <c r="B3372" s="11">
        <f>IFERROR(__xludf.DUMMYFUNCTION("""COMPUTED_VALUE"""),41305.0)</f>
        <v>41305</v>
      </c>
      <c r="C3372" s="9">
        <f>IFERROR(__xludf.DUMMYFUNCTION("""COMPUTED_VALUE"""),2.02)</f>
        <v>2.02</v>
      </c>
      <c r="H3372" s="17"/>
      <c r="K3372" s="17"/>
      <c r="N3372" s="17"/>
    </row>
    <row r="3373">
      <c r="B3373" s="11">
        <f>IFERROR(__xludf.DUMMYFUNCTION("""COMPUTED_VALUE"""),41304.0)</f>
        <v>41304</v>
      </c>
      <c r="C3373" s="9">
        <f>IFERROR(__xludf.DUMMYFUNCTION("""COMPUTED_VALUE"""),2.03)</f>
        <v>2.03</v>
      </c>
      <c r="H3373" s="17"/>
      <c r="K3373" s="17"/>
      <c r="N3373" s="17"/>
    </row>
    <row r="3374">
      <c r="B3374" s="11">
        <f>IFERROR(__xludf.DUMMYFUNCTION("""COMPUTED_VALUE"""),41303.0)</f>
        <v>41303</v>
      </c>
      <c r="C3374" s="9">
        <f>IFERROR(__xludf.DUMMYFUNCTION("""COMPUTED_VALUE"""),2.03)</f>
        <v>2.03</v>
      </c>
      <c r="H3374" s="17"/>
      <c r="K3374" s="17"/>
      <c r="N3374" s="17"/>
    </row>
    <row r="3375">
      <c r="B3375" s="11">
        <f>IFERROR(__xludf.DUMMYFUNCTION("""COMPUTED_VALUE"""),41302.0)</f>
        <v>41302</v>
      </c>
      <c r="C3375" s="9">
        <f>IFERROR(__xludf.DUMMYFUNCTION("""COMPUTED_VALUE"""),2.0)</f>
        <v>2</v>
      </c>
      <c r="H3375" s="17"/>
      <c r="K3375" s="17"/>
      <c r="N3375" s="17"/>
    </row>
    <row r="3376">
      <c r="B3376" s="11">
        <f>IFERROR(__xludf.DUMMYFUNCTION("""COMPUTED_VALUE"""),41299.0)</f>
        <v>41299</v>
      </c>
      <c r="C3376" s="9">
        <f>IFERROR(__xludf.DUMMYFUNCTION("""COMPUTED_VALUE"""),1.98)</f>
        <v>1.98</v>
      </c>
      <c r="H3376" s="17"/>
      <c r="K3376" s="17"/>
      <c r="N3376" s="17"/>
    </row>
    <row r="3377">
      <c r="B3377" s="11">
        <f>IFERROR(__xludf.DUMMYFUNCTION("""COMPUTED_VALUE"""),41298.0)</f>
        <v>41298</v>
      </c>
      <c r="C3377" s="9">
        <f>IFERROR(__xludf.DUMMYFUNCTION("""COMPUTED_VALUE"""),1.88)</f>
        <v>1.88</v>
      </c>
      <c r="H3377" s="17"/>
      <c r="K3377" s="17"/>
      <c r="N3377" s="17"/>
    </row>
    <row r="3378">
      <c r="B3378" s="11">
        <f>IFERROR(__xludf.DUMMYFUNCTION("""COMPUTED_VALUE"""),41297.0)</f>
        <v>41297</v>
      </c>
      <c r="C3378" s="9">
        <f>IFERROR(__xludf.DUMMYFUNCTION("""COMPUTED_VALUE"""),1.86)</f>
        <v>1.86</v>
      </c>
      <c r="H3378" s="17"/>
      <c r="K3378" s="17"/>
      <c r="N3378" s="17"/>
    </row>
    <row r="3379">
      <c r="B3379" s="11">
        <f>IFERROR(__xludf.DUMMYFUNCTION("""COMPUTED_VALUE"""),41296.0)</f>
        <v>41296</v>
      </c>
      <c r="C3379" s="9">
        <f>IFERROR(__xludf.DUMMYFUNCTION("""COMPUTED_VALUE"""),1.86)</f>
        <v>1.86</v>
      </c>
      <c r="H3379" s="17"/>
      <c r="K3379" s="17"/>
      <c r="N3379" s="17"/>
    </row>
    <row r="3380">
      <c r="B3380" s="11">
        <f>IFERROR(__xludf.DUMMYFUNCTION("""COMPUTED_VALUE"""),41295.0)</f>
        <v>41295</v>
      </c>
      <c r="C3380" s="9"/>
      <c r="H3380" s="17"/>
      <c r="K3380" s="17"/>
      <c r="N3380" s="17"/>
    </row>
    <row r="3381">
      <c r="B3381" s="11">
        <f>IFERROR(__xludf.DUMMYFUNCTION("""COMPUTED_VALUE"""),41292.0)</f>
        <v>41292</v>
      </c>
      <c r="C3381" s="9">
        <f>IFERROR(__xludf.DUMMYFUNCTION("""COMPUTED_VALUE"""),1.87)</f>
        <v>1.87</v>
      </c>
      <c r="H3381" s="17"/>
      <c r="K3381" s="17"/>
      <c r="N3381" s="17"/>
    </row>
    <row r="3382">
      <c r="B3382" s="11">
        <f>IFERROR(__xludf.DUMMYFUNCTION("""COMPUTED_VALUE"""),41291.0)</f>
        <v>41291</v>
      </c>
      <c r="C3382" s="9">
        <f>IFERROR(__xludf.DUMMYFUNCTION("""COMPUTED_VALUE"""),1.89)</f>
        <v>1.89</v>
      </c>
      <c r="H3382" s="17"/>
      <c r="K3382" s="17"/>
      <c r="N3382" s="17"/>
    </row>
    <row r="3383">
      <c r="B3383" s="11">
        <f>IFERROR(__xludf.DUMMYFUNCTION("""COMPUTED_VALUE"""),41290.0)</f>
        <v>41290</v>
      </c>
      <c r="C3383" s="9">
        <f>IFERROR(__xludf.DUMMYFUNCTION("""COMPUTED_VALUE"""),1.84)</f>
        <v>1.84</v>
      </c>
      <c r="H3383" s="17"/>
      <c r="K3383" s="17"/>
      <c r="N3383" s="17"/>
    </row>
    <row r="3384">
      <c r="B3384" s="11">
        <f>IFERROR(__xludf.DUMMYFUNCTION("""COMPUTED_VALUE"""),41289.0)</f>
        <v>41289</v>
      </c>
      <c r="C3384" s="9">
        <f>IFERROR(__xludf.DUMMYFUNCTION("""COMPUTED_VALUE"""),1.86)</f>
        <v>1.86</v>
      </c>
      <c r="H3384" s="17"/>
      <c r="K3384" s="17"/>
      <c r="N3384" s="17"/>
    </row>
    <row r="3385">
      <c r="B3385" s="11">
        <f>IFERROR(__xludf.DUMMYFUNCTION("""COMPUTED_VALUE"""),41288.0)</f>
        <v>41288</v>
      </c>
      <c r="C3385" s="9">
        <f>IFERROR(__xludf.DUMMYFUNCTION("""COMPUTED_VALUE"""),1.89)</f>
        <v>1.89</v>
      </c>
      <c r="H3385" s="17"/>
      <c r="K3385" s="17"/>
      <c r="N3385" s="17"/>
    </row>
    <row r="3386">
      <c r="B3386" s="11">
        <f>IFERROR(__xludf.DUMMYFUNCTION("""COMPUTED_VALUE"""),41285.0)</f>
        <v>41285</v>
      </c>
      <c r="C3386" s="9">
        <f>IFERROR(__xludf.DUMMYFUNCTION("""COMPUTED_VALUE"""),1.89)</f>
        <v>1.89</v>
      </c>
      <c r="H3386" s="17"/>
      <c r="K3386" s="17"/>
      <c r="N3386" s="17"/>
    </row>
    <row r="3387">
      <c r="B3387" s="11">
        <f>IFERROR(__xludf.DUMMYFUNCTION("""COMPUTED_VALUE"""),41284.0)</f>
        <v>41284</v>
      </c>
      <c r="C3387" s="9">
        <f>IFERROR(__xludf.DUMMYFUNCTION("""COMPUTED_VALUE"""),1.91)</f>
        <v>1.91</v>
      </c>
      <c r="H3387" s="17"/>
      <c r="K3387" s="17"/>
      <c r="N3387" s="17"/>
    </row>
    <row r="3388">
      <c r="B3388" s="11">
        <f>IFERROR(__xludf.DUMMYFUNCTION("""COMPUTED_VALUE"""),41283.0)</f>
        <v>41283</v>
      </c>
      <c r="C3388" s="9">
        <f>IFERROR(__xludf.DUMMYFUNCTION("""COMPUTED_VALUE"""),1.88)</f>
        <v>1.88</v>
      </c>
      <c r="H3388" s="17"/>
      <c r="K3388" s="17"/>
      <c r="N3388" s="17"/>
    </row>
    <row r="3389">
      <c r="B3389" s="11">
        <f>IFERROR(__xludf.DUMMYFUNCTION("""COMPUTED_VALUE"""),41282.0)</f>
        <v>41282</v>
      </c>
      <c r="C3389" s="9">
        <f>IFERROR(__xludf.DUMMYFUNCTION("""COMPUTED_VALUE"""),1.89)</f>
        <v>1.89</v>
      </c>
      <c r="H3389" s="17"/>
      <c r="K3389" s="17"/>
      <c r="N3389" s="17"/>
    </row>
    <row r="3390">
      <c r="B3390" s="11">
        <f>IFERROR(__xludf.DUMMYFUNCTION("""COMPUTED_VALUE"""),41281.0)</f>
        <v>41281</v>
      </c>
      <c r="C3390" s="9">
        <f>IFERROR(__xludf.DUMMYFUNCTION("""COMPUTED_VALUE"""),1.92)</f>
        <v>1.92</v>
      </c>
      <c r="H3390" s="17"/>
      <c r="K3390" s="17"/>
      <c r="N3390" s="17"/>
    </row>
    <row r="3391">
      <c r="B3391" s="11">
        <f>IFERROR(__xludf.DUMMYFUNCTION("""COMPUTED_VALUE"""),41278.0)</f>
        <v>41278</v>
      </c>
      <c r="C3391" s="9">
        <f>IFERROR(__xludf.DUMMYFUNCTION("""COMPUTED_VALUE"""),1.93)</f>
        <v>1.93</v>
      </c>
      <c r="H3391" s="17"/>
      <c r="K3391" s="17"/>
      <c r="N3391" s="17"/>
    </row>
    <row r="3392">
      <c r="B3392" s="11">
        <f>IFERROR(__xludf.DUMMYFUNCTION("""COMPUTED_VALUE"""),41277.0)</f>
        <v>41277</v>
      </c>
      <c r="C3392" s="9">
        <f>IFERROR(__xludf.DUMMYFUNCTION("""COMPUTED_VALUE"""),1.92)</f>
        <v>1.92</v>
      </c>
      <c r="H3392" s="17"/>
      <c r="K3392" s="17"/>
      <c r="N3392" s="17"/>
    </row>
    <row r="3393">
      <c r="B3393" s="11">
        <f>IFERROR(__xludf.DUMMYFUNCTION("""COMPUTED_VALUE"""),41276.0)</f>
        <v>41276</v>
      </c>
      <c r="C3393" s="9">
        <f>IFERROR(__xludf.DUMMYFUNCTION("""COMPUTED_VALUE"""),1.86)</f>
        <v>1.86</v>
      </c>
      <c r="H3393" s="17"/>
      <c r="K3393" s="17"/>
      <c r="N3393" s="17"/>
    </row>
    <row r="3394">
      <c r="B3394" s="11">
        <f>IFERROR(__xludf.DUMMYFUNCTION("""COMPUTED_VALUE"""),41275.0)</f>
        <v>41275</v>
      </c>
      <c r="C3394" s="9"/>
      <c r="H3394" s="17"/>
      <c r="K3394" s="17"/>
      <c r="N3394" s="17"/>
    </row>
    <row r="3395">
      <c r="B3395" s="11">
        <f>IFERROR(__xludf.DUMMYFUNCTION("""COMPUTED_VALUE"""),41274.0)</f>
        <v>41274</v>
      </c>
      <c r="C3395" s="9">
        <f>IFERROR(__xludf.DUMMYFUNCTION("""COMPUTED_VALUE"""),1.78)</f>
        <v>1.78</v>
      </c>
      <c r="H3395" s="17"/>
      <c r="K3395" s="17"/>
      <c r="N3395" s="17"/>
    </row>
    <row r="3396">
      <c r="B3396" s="11">
        <f>IFERROR(__xludf.DUMMYFUNCTION("""COMPUTED_VALUE"""),41271.0)</f>
        <v>41271</v>
      </c>
      <c r="C3396" s="9">
        <f>IFERROR(__xludf.DUMMYFUNCTION("""COMPUTED_VALUE"""),1.73)</f>
        <v>1.73</v>
      </c>
      <c r="H3396" s="17"/>
      <c r="K3396" s="17"/>
      <c r="N3396" s="17"/>
    </row>
    <row r="3397">
      <c r="B3397" s="11">
        <f>IFERROR(__xludf.DUMMYFUNCTION("""COMPUTED_VALUE"""),41270.0)</f>
        <v>41270</v>
      </c>
      <c r="C3397" s="9">
        <f>IFERROR(__xludf.DUMMYFUNCTION("""COMPUTED_VALUE"""),1.74)</f>
        <v>1.74</v>
      </c>
      <c r="H3397" s="17"/>
      <c r="K3397" s="17"/>
      <c r="N3397" s="17"/>
    </row>
    <row r="3398">
      <c r="B3398" s="11">
        <f>IFERROR(__xludf.DUMMYFUNCTION("""COMPUTED_VALUE"""),41269.0)</f>
        <v>41269</v>
      </c>
      <c r="C3398" s="9">
        <f>IFERROR(__xludf.DUMMYFUNCTION("""COMPUTED_VALUE"""),1.77)</f>
        <v>1.77</v>
      </c>
      <c r="H3398" s="17"/>
      <c r="K3398" s="17"/>
      <c r="N3398" s="17"/>
    </row>
    <row r="3399">
      <c r="B3399" s="11">
        <f>IFERROR(__xludf.DUMMYFUNCTION("""COMPUTED_VALUE"""),41268.0)</f>
        <v>41268</v>
      </c>
      <c r="C3399" s="9"/>
      <c r="H3399" s="17"/>
      <c r="K3399" s="17"/>
      <c r="N3399" s="17"/>
    </row>
    <row r="3400">
      <c r="B3400" s="11">
        <f>IFERROR(__xludf.DUMMYFUNCTION("""COMPUTED_VALUE"""),41267.0)</f>
        <v>41267</v>
      </c>
      <c r="C3400" s="9">
        <f>IFERROR(__xludf.DUMMYFUNCTION("""COMPUTED_VALUE"""),1.79)</f>
        <v>1.79</v>
      </c>
      <c r="H3400" s="17"/>
      <c r="K3400" s="17"/>
      <c r="N3400" s="17"/>
    </row>
    <row r="3401">
      <c r="B3401" s="11">
        <f>IFERROR(__xludf.DUMMYFUNCTION("""COMPUTED_VALUE"""),41264.0)</f>
        <v>41264</v>
      </c>
      <c r="C3401" s="9">
        <f>IFERROR(__xludf.DUMMYFUNCTION("""COMPUTED_VALUE"""),1.77)</f>
        <v>1.77</v>
      </c>
      <c r="H3401" s="17"/>
      <c r="K3401" s="17"/>
      <c r="N3401" s="17"/>
    </row>
    <row r="3402">
      <c r="B3402" s="11">
        <f>IFERROR(__xludf.DUMMYFUNCTION("""COMPUTED_VALUE"""),41263.0)</f>
        <v>41263</v>
      </c>
      <c r="C3402" s="9">
        <f>IFERROR(__xludf.DUMMYFUNCTION("""COMPUTED_VALUE"""),1.81)</f>
        <v>1.81</v>
      </c>
      <c r="H3402" s="17"/>
      <c r="K3402" s="17"/>
      <c r="N3402" s="17"/>
    </row>
    <row r="3403">
      <c r="B3403" s="11">
        <f>IFERROR(__xludf.DUMMYFUNCTION("""COMPUTED_VALUE"""),41262.0)</f>
        <v>41262</v>
      </c>
      <c r="C3403" s="9">
        <f>IFERROR(__xludf.DUMMYFUNCTION("""COMPUTED_VALUE"""),1.82)</f>
        <v>1.82</v>
      </c>
      <c r="H3403" s="17"/>
      <c r="K3403" s="17"/>
      <c r="N3403" s="17"/>
    </row>
    <row r="3404">
      <c r="B3404" s="11">
        <f>IFERROR(__xludf.DUMMYFUNCTION("""COMPUTED_VALUE"""),41261.0)</f>
        <v>41261</v>
      </c>
      <c r="C3404" s="9">
        <f>IFERROR(__xludf.DUMMYFUNCTION("""COMPUTED_VALUE"""),1.84)</f>
        <v>1.84</v>
      </c>
      <c r="H3404" s="17"/>
      <c r="K3404" s="17"/>
      <c r="N3404" s="17"/>
    </row>
    <row r="3405">
      <c r="B3405" s="11">
        <f>IFERROR(__xludf.DUMMYFUNCTION("""COMPUTED_VALUE"""),41260.0)</f>
        <v>41260</v>
      </c>
      <c r="C3405" s="9">
        <f>IFERROR(__xludf.DUMMYFUNCTION("""COMPUTED_VALUE"""),1.78)</f>
        <v>1.78</v>
      </c>
      <c r="H3405" s="17"/>
      <c r="K3405" s="17"/>
      <c r="N3405" s="17"/>
    </row>
    <row r="3406">
      <c r="B3406" s="11">
        <f>IFERROR(__xludf.DUMMYFUNCTION("""COMPUTED_VALUE"""),41257.0)</f>
        <v>41257</v>
      </c>
      <c r="C3406" s="9">
        <f>IFERROR(__xludf.DUMMYFUNCTION("""COMPUTED_VALUE"""),1.72)</f>
        <v>1.72</v>
      </c>
      <c r="H3406" s="17"/>
      <c r="K3406" s="17"/>
      <c r="N3406" s="17"/>
    </row>
    <row r="3407">
      <c r="B3407" s="11">
        <f>IFERROR(__xludf.DUMMYFUNCTION("""COMPUTED_VALUE"""),41256.0)</f>
        <v>41256</v>
      </c>
      <c r="C3407" s="9">
        <f>IFERROR(__xludf.DUMMYFUNCTION("""COMPUTED_VALUE"""),1.74)</f>
        <v>1.74</v>
      </c>
      <c r="H3407" s="17"/>
      <c r="K3407" s="17"/>
      <c r="N3407" s="17"/>
    </row>
    <row r="3408">
      <c r="B3408" s="11">
        <f>IFERROR(__xludf.DUMMYFUNCTION("""COMPUTED_VALUE"""),41255.0)</f>
        <v>41255</v>
      </c>
      <c r="C3408" s="9">
        <f>IFERROR(__xludf.DUMMYFUNCTION("""COMPUTED_VALUE"""),1.72)</f>
        <v>1.72</v>
      </c>
      <c r="H3408" s="17"/>
      <c r="K3408" s="17"/>
      <c r="N3408" s="17"/>
    </row>
    <row r="3409">
      <c r="B3409" s="11">
        <f>IFERROR(__xludf.DUMMYFUNCTION("""COMPUTED_VALUE"""),41254.0)</f>
        <v>41254</v>
      </c>
      <c r="C3409" s="9">
        <f>IFERROR(__xludf.DUMMYFUNCTION("""COMPUTED_VALUE"""),1.66)</f>
        <v>1.66</v>
      </c>
      <c r="H3409" s="17"/>
      <c r="K3409" s="17"/>
      <c r="N3409" s="17"/>
    </row>
    <row r="3410">
      <c r="B3410" s="11">
        <f>IFERROR(__xludf.DUMMYFUNCTION("""COMPUTED_VALUE"""),41253.0)</f>
        <v>41253</v>
      </c>
      <c r="C3410" s="9">
        <f>IFERROR(__xludf.DUMMYFUNCTION("""COMPUTED_VALUE"""),1.63)</f>
        <v>1.63</v>
      </c>
      <c r="H3410" s="17"/>
      <c r="K3410" s="17"/>
      <c r="N3410" s="17"/>
    </row>
    <row r="3411">
      <c r="B3411" s="11">
        <f>IFERROR(__xludf.DUMMYFUNCTION("""COMPUTED_VALUE"""),41250.0)</f>
        <v>41250</v>
      </c>
      <c r="C3411" s="9">
        <f>IFERROR(__xludf.DUMMYFUNCTION("""COMPUTED_VALUE"""),1.64)</f>
        <v>1.64</v>
      </c>
      <c r="H3411" s="17"/>
      <c r="K3411" s="17"/>
      <c r="N3411" s="17"/>
    </row>
    <row r="3412">
      <c r="B3412" s="11">
        <f>IFERROR(__xludf.DUMMYFUNCTION("""COMPUTED_VALUE"""),41249.0)</f>
        <v>41249</v>
      </c>
      <c r="C3412" s="9">
        <f>IFERROR(__xludf.DUMMYFUNCTION("""COMPUTED_VALUE"""),1.59)</f>
        <v>1.59</v>
      </c>
      <c r="H3412" s="17"/>
      <c r="K3412" s="17"/>
      <c r="N3412" s="17"/>
    </row>
    <row r="3413">
      <c r="B3413" s="11">
        <f>IFERROR(__xludf.DUMMYFUNCTION("""COMPUTED_VALUE"""),41248.0)</f>
        <v>41248</v>
      </c>
      <c r="C3413" s="9">
        <f>IFERROR(__xludf.DUMMYFUNCTION("""COMPUTED_VALUE"""),1.6)</f>
        <v>1.6</v>
      </c>
      <c r="H3413" s="17"/>
      <c r="K3413" s="17"/>
      <c r="N3413" s="17"/>
    </row>
    <row r="3414">
      <c r="B3414" s="11">
        <f>IFERROR(__xludf.DUMMYFUNCTION("""COMPUTED_VALUE"""),41247.0)</f>
        <v>41247</v>
      </c>
      <c r="C3414" s="9">
        <f>IFERROR(__xludf.DUMMYFUNCTION("""COMPUTED_VALUE"""),1.62)</f>
        <v>1.62</v>
      </c>
      <c r="H3414" s="17"/>
      <c r="K3414" s="17"/>
      <c r="N3414" s="17"/>
    </row>
    <row r="3415">
      <c r="B3415" s="11">
        <f>IFERROR(__xludf.DUMMYFUNCTION("""COMPUTED_VALUE"""),41246.0)</f>
        <v>41246</v>
      </c>
      <c r="C3415" s="9">
        <f>IFERROR(__xludf.DUMMYFUNCTION("""COMPUTED_VALUE"""),1.63)</f>
        <v>1.63</v>
      </c>
      <c r="H3415" s="17"/>
      <c r="K3415" s="17"/>
      <c r="N3415" s="17"/>
    </row>
    <row r="3416">
      <c r="B3416" s="11">
        <f>IFERROR(__xludf.DUMMYFUNCTION("""COMPUTED_VALUE"""),41243.0)</f>
        <v>41243</v>
      </c>
      <c r="C3416" s="9">
        <f>IFERROR(__xludf.DUMMYFUNCTION("""COMPUTED_VALUE"""),1.62)</f>
        <v>1.62</v>
      </c>
      <c r="H3416" s="17"/>
      <c r="K3416" s="17"/>
      <c r="N3416" s="17"/>
    </row>
    <row r="3417">
      <c r="B3417" s="11">
        <f>IFERROR(__xludf.DUMMYFUNCTION("""COMPUTED_VALUE"""),41242.0)</f>
        <v>41242</v>
      </c>
      <c r="C3417" s="9">
        <f>IFERROR(__xludf.DUMMYFUNCTION("""COMPUTED_VALUE"""),1.62)</f>
        <v>1.62</v>
      </c>
      <c r="H3417" s="17"/>
      <c r="K3417" s="17"/>
      <c r="N3417" s="17"/>
    </row>
    <row r="3418">
      <c r="B3418" s="11">
        <f>IFERROR(__xludf.DUMMYFUNCTION("""COMPUTED_VALUE"""),41241.0)</f>
        <v>41241</v>
      </c>
      <c r="C3418" s="9">
        <f>IFERROR(__xludf.DUMMYFUNCTION("""COMPUTED_VALUE"""),1.63)</f>
        <v>1.63</v>
      </c>
      <c r="H3418" s="17"/>
      <c r="K3418" s="17"/>
      <c r="N3418" s="17"/>
    </row>
    <row r="3419">
      <c r="B3419" s="11">
        <f>IFERROR(__xludf.DUMMYFUNCTION("""COMPUTED_VALUE"""),41240.0)</f>
        <v>41240</v>
      </c>
      <c r="C3419" s="9">
        <f>IFERROR(__xludf.DUMMYFUNCTION("""COMPUTED_VALUE"""),1.64)</f>
        <v>1.64</v>
      </c>
      <c r="H3419" s="17"/>
      <c r="K3419" s="17"/>
      <c r="N3419" s="17"/>
    </row>
    <row r="3420">
      <c r="B3420" s="11">
        <f>IFERROR(__xludf.DUMMYFUNCTION("""COMPUTED_VALUE"""),41239.0)</f>
        <v>41239</v>
      </c>
      <c r="C3420" s="9">
        <f>IFERROR(__xludf.DUMMYFUNCTION("""COMPUTED_VALUE"""),1.66)</f>
        <v>1.66</v>
      </c>
      <c r="H3420" s="17"/>
      <c r="K3420" s="17"/>
      <c r="N3420" s="17"/>
    </row>
    <row r="3421">
      <c r="B3421" s="11">
        <f>IFERROR(__xludf.DUMMYFUNCTION("""COMPUTED_VALUE"""),41236.0)</f>
        <v>41236</v>
      </c>
      <c r="C3421" s="9">
        <f>IFERROR(__xludf.DUMMYFUNCTION("""COMPUTED_VALUE"""),1.7)</f>
        <v>1.7</v>
      </c>
      <c r="H3421" s="17"/>
      <c r="K3421" s="17"/>
      <c r="N3421" s="17"/>
    </row>
    <row r="3422">
      <c r="B3422" s="11">
        <f>IFERROR(__xludf.DUMMYFUNCTION("""COMPUTED_VALUE"""),41235.0)</f>
        <v>41235</v>
      </c>
      <c r="C3422" s="9"/>
      <c r="H3422" s="17"/>
      <c r="K3422" s="17"/>
      <c r="N3422" s="17"/>
    </row>
    <row r="3423">
      <c r="B3423" s="11">
        <f>IFERROR(__xludf.DUMMYFUNCTION("""COMPUTED_VALUE"""),41234.0)</f>
        <v>41234</v>
      </c>
      <c r="C3423" s="9">
        <f>IFERROR(__xludf.DUMMYFUNCTION("""COMPUTED_VALUE"""),1.69)</f>
        <v>1.69</v>
      </c>
      <c r="H3423" s="17"/>
      <c r="K3423" s="17"/>
      <c r="N3423" s="17"/>
    </row>
    <row r="3424">
      <c r="B3424" s="11">
        <f>IFERROR(__xludf.DUMMYFUNCTION("""COMPUTED_VALUE"""),41233.0)</f>
        <v>41233</v>
      </c>
      <c r="C3424" s="9">
        <f>IFERROR(__xludf.DUMMYFUNCTION("""COMPUTED_VALUE"""),1.66)</f>
        <v>1.66</v>
      </c>
      <c r="H3424" s="17"/>
      <c r="K3424" s="17"/>
      <c r="N3424" s="17"/>
    </row>
    <row r="3425">
      <c r="B3425" s="11">
        <f>IFERROR(__xludf.DUMMYFUNCTION("""COMPUTED_VALUE"""),41232.0)</f>
        <v>41232</v>
      </c>
      <c r="C3425" s="9">
        <f>IFERROR(__xludf.DUMMYFUNCTION("""COMPUTED_VALUE"""),1.61)</f>
        <v>1.61</v>
      </c>
      <c r="H3425" s="17"/>
      <c r="K3425" s="17"/>
      <c r="N3425" s="17"/>
    </row>
    <row r="3426">
      <c r="B3426" s="11">
        <f>IFERROR(__xludf.DUMMYFUNCTION("""COMPUTED_VALUE"""),41229.0)</f>
        <v>41229</v>
      </c>
      <c r="C3426" s="9">
        <f>IFERROR(__xludf.DUMMYFUNCTION("""COMPUTED_VALUE"""),1.58)</f>
        <v>1.58</v>
      </c>
      <c r="H3426" s="17"/>
      <c r="K3426" s="17"/>
      <c r="N3426" s="17"/>
    </row>
    <row r="3427">
      <c r="B3427" s="11">
        <f>IFERROR(__xludf.DUMMYFUNCTION("""COMPUTED_VALUE"""),41228.0)</f>
        <v>41228</v>
      </c>
      <c r="C3427" s="9">
        <f>IFERROR(__xludf.DUMMYFUNCTION("""COMPUTED_VALUE"""),1.58)</f>
        <v>1.58</v>
      </c>
      <c r="H3427" s="17"/>
      <c r="K3427" s="17"/>
      <c r="N3427" s="17"/>
    </row>
    <row r="3428">
      <c r="B3428" s="11">
        <f>IFERROR(__xludf.DUMMYFUNCTION("""COMPUTED_VALUE"""),41227.0)</f>
        <v>41227</v>
      </c>
      <c r="C3428" s="9">
        <f>IFERROR(__xludf.DUMMYFUNCTION("""COMPUTED_VALUE"""),1.59)</f>
        <v>1.59</v>
      </c>
      <c r="H3428" s="17"/>
      <c r="K3428" s="17"/>
      <c r="N3428" s="17"/>
    </row>
    <row r="3429">
      <c r="B3429" s="11">
        <f>IFERROR(__xludf.DUMMYFUNCTION("""COMPUTED_VALUE"""),41226.0)</f>
        <v>41226</v>
      </c>
      <c r="C3429" s="9">
        <f>IFERROR(__xludf.DUMMYFUNCTION("""COMPUTED_VALUE"""),1.59)</f>
        <v>1.59</v>
      </c>
      <c r="H3429" s="17"/>
      <c r="K3429" s="17"/>
      <c r="N3429" s="17"/>
    </row>
    <row r="3430">
      <c r="B3430" s="11">
        <f>IFERROR(__xludf.DUMMYFUNCTION("""COMPUTED_VALUE"""),41225.0)</f>
        <v>41225</v>
      </c>
      <c r="C3430" s="9"/>
      <c r="H3430" s="17"/>
      <c r="K3430" s="17"/>
      <c r="N3430" s="17"/>
    </row>
    <row r="3431">
      <c r="B3431" s="11">
        <f>IFERROR(__xludf.DUMMYFUNCTION("""COMPUTED_VALUE"""),41222.0)</f>
        <v>41222</v>
      </c>
      <c r="C3431" s="9">
        <f>IFERROR(__xludf.DUMMYFUNCTION("""COMPUTED_VALUE"""),1.61)</f>
        <v>1.61</v>
      </c>
      <c r="H3431" s="17"/>
      <c r="K3431" s="17"/>
      <c r="N3431" s="17"/>
    </row>
    <row r="3432">
      <c r="B3432" s="11">
        <f>IFERROR(__xludf.DUMMYFUNCTION("""COMPUTED_VALUE"""),41221.0)</f>
        <v>41221</v>
      </c>
      <c r="C3432" s="9">
        <f>IFERROR(__xludf.DUMMYFUNCTION("""COMPUTED_VALUE"""),1.62)</f>
        <v>1.62</v>
      </c>
      <c r="H3432" s="17"/>
      <c r="K3432" s="17"/>
      <c r="N3432" s="17"/>
    </row>
    <row r="3433">
      <c r="B3433" s="11">
        <f>IFERROR(__xludf.DUMMYFUNCTION("""COMPUTED_VALUE"""),41220.0)</f>
        <v>41220</v>
      </c>
      <c r="C3433" s="9">
        <f>IFERROR(__xludf.DUMMYFUNCTION("""COMPUTED_VALUE"""),1.68)</f>
        <v>1.68</v>
      </c>
      <c r="H3433" s="17"/>
      <c r="K3433" s="17"/>
      <c r="N3433" s="17"/>
    </row>
    <row r="3434">
      <c r="B3434" s="11">
        <f>IFERROR(__xludf.DUMMYFUNCTION("""COMPUTED_VALUE"""),41219.0)</f>
        <v>41219</v>
      </c>
      <c r="C3434" s="9">
        <f>IFERROR(__xludf.DUMMYFUNCTION("""COMPUTED_VALUE"""),1.78)</f>
        <v>1.78</v>
      </c>
      <c r="H3434" s="17"/>
      <c r="K3434" s="17"/>
      <c r="N3434" s="17"/>
    </row>
    <row r="3435">
      <c r="B3435" s="11">
        <f>IFERROR(__xludf.DUMMYFUNCTION("""COMPUTED_VALUE"""),41218.0)</f>
        <v>41218</v>
      </c>
      <c r="C3435" s="9">
        <f>IFERROR(__xludf.DUMMYFUNCTION("""COMPUTED_VALUE"""),1.72)</f>
        <v>1.72</v>
      </c>
      <c r="H3435" s="17"/>
      <c r="K3435" s="17"/>
      <c r="N3435" s="17"/>
    </row>
    <row r="3436">
      <c r="B3436" s="11">
        <f>IFERROR(__xludf.DUMMYFUNCTION("""COMPUTED_VALUE"""),41215.0)</f>
        <v>41215</v>
      </c>
      <c r="C3436" s="9">
        <f>IFERROR(__xludf.DUMMYFUNCTION("""COMPUTED_VALUE"""),1.75)</f>
        <v>1.75</v>
      </c>
      <c r="H3436" s="17"/>
      <c r="K3436" s="17"/>
      <c r="N3436" s="17"/>
    </row>
    <row r="3437">
      <c r="B3437" s="11">
        <f>IFERROR(__xludf.DUMMYFUNCTION("""COMPUTED_VALUE"""),41214.0)</f>
        <v>41214</v>
      </c>
      <c r="C3437" s="9">
        <f>IFERROR(__xludf.DUMMYFUNCTION("""COMPUTED_VALUE"""),1.75)</f>
        <v>1.75</v>
      </c>
      <c r="H3437" s="17"/>
      <c r="K3437" s="17"/>
      <c r="N3437" s="17"/>
    </row>
    <row r="3438">
      <c r="B3438" s="11">
        <f>IFERROR(__xludf.DUMMYFUNCTION("""COMPUTED_VALUE"""),41213.0)</f>
        <v>41213</v>
      </c>
      <c r="C3438" s="9">
        <f>IFERROR(__xludf.DUMMYFUNCTION("""COMPUTED_VALUE"""),1.72)</f>
        <v>1.72</v>
      </c>
      <c r="H3438" s="17"/>
      <c r="K3438" s="17"/>
      <c r="N3438" s="17"/>
    </row>
    <row r="3439">
      <c r="B3439" s="11">
        <f>IFERROR(__xludf.DUMMYFUNCTION("""COMPUTED_VALUE"""),41212.0)</f>
        <v>41212</v>
      </c>
      <c r="C3439" s="9"/>
      <c r="H3439" s="17"/>
      <c r="K3439" s="17"/>
      <c r="N3439" s="17"/>
    </row>
    <row r="3440">
      <c r="B3440" s="11">
        <f>IFERROR(__xludf.DUMMYFUNCTION("""COMPUTED_VALUE"""),41211.0)</f>
        <v>41211</v>
      </c>
      <c r="C3440" s="9">
        <f>IFERROR(__xludf.DUMMYFUNCTION("""COMPUTED_VALUE"""),1.74)</f>
        <v>1.74</v>
      </c>
      <c r="H3440" s="17"/>
      <c r="K3440" s="17"/>
      <c r="N3440" s="17"/>
    </row>
    <row r="3441">
      <c r="B3441" s="11">
        <f>IFERROR(__xludf.DUMMYFUNCTION("""COMPUTED_VALUE"""),41208.0)</f>
        <v>41208</v>
      </c>
      <c r="C3441" s="9">
        <f>IFERROR(__xludf.DUMMYFUNCTION("""COMPUTED_VALUE"""),1.78)</f>
        <v>1.78</v>
      </c>
      <c r="H3441" s="17"/>
      <c r="K3441" s="17"/>
      <c r="N3441" s="17"/>
    </row>
    <row r="3442">
      <c r="B3442" s="11">
        <f>IFERROR(__xludf.DUMMYFUNCTION("""COMPUTED_VALUE"""),41207.0)</f>
        <v>41207</v>
      </c>
      <c r="C3442" s="9">
        <f>IFERROR(__xludf.DUMMYFUNCTION("""COMPUTED_VALUE"""),1.86)</f>
        <v>1.86</v>
      </c>
      <c r="H3442" s="17"/>
      <c r="K3442" s="17"/>
      <c r="N3442" s="17"/>
    </row>
    <row r="3443">
      <c r="B3443" s="11">
        <f>IFERROR(__xludf.DUMMYFUNCTION("""COMPUTED_VALUE"""),41206.0)</f>
        <v>41206</v>
      </c>
      <c r="C3443" s="9">
        <f>IFERROR(__xludf.DUMMYFUNCTION("""COMPUTED_VALUE"""),1.8)</f>
        <v>1.8</v>
      </c>
      <c r="H3443" s="17"/>
      <c r="K3443" s="17"/>
      <c r="N3443" s="17"/>
    </row>
    <row r="3444">
      <c r="B3444" s="11">
        <f>IFERROR(__xludf.DUMMYFUNCTION("""COMPUTED_VALUE"""),41205.0)</f>
        <v>41205</v>
      </c>
      <c r="C3444" s="9">
        <f>IFERROR(__xludf.DUMMYFUNCTION("""COMPUTED_VALUE"""),1.79)</f>
        <v>1.79</v>
      </c>
      <c r="H3444" s="17"/>
      <c r="K3444" s="17"/>
      <c r="N3444" s="17"/>
    </row>
    <row r="3445">
      <c r="B3445" s="11">
        <f>IFERROR(__xludf.DUMMYFUNCTION("""COMPUTED_VALUE"""),41204.0)</f>
        <v>41204</v>
      </c>
      <c r="C3445" s="9">
        <f>IFERROR(__xludf.DUMMYFUNCTION("""COMPUTED_VALUE"""),1.83)</f>
        <v>1.83</v>
      </c>
      <c r="H3445" s="17"/>
      <c r="K3445" s="17"/>
      <c r="N3445" s="17"/>
    </row>
    <row r="3446">
      <c r="B3446" s="11">
        <f>IFERROR(__xludf.DUMMYFUNCTION("""COMPUTED_VALUE"""),41201.0)</f>
        <v>41201</v>
      </c>
      <c r="C3446" s="9">
        <f>IFERROR(__xludf.DUMMYFUNCTION("""COMPUTED_VALUE"""),1.79)</f>
        <v>1.79</v>
      </c>
      <c r="H3446" s="17"/>
      <c r="K3446" s="17"/>
      <c r="N3446" s="17"/>
    </row>
    <row r="3447">
      <c r="B3447" s="11">
        <f>IFERROR(__xludf.DUMMYFUNCTION("""COMPUTED_VALUE"""),41200.0)</f>
        <v>41200</v>
      </c>
      <c r="C3447" s="9">
        <f>IFERROR(__xludf.DUMMYFUNCTION("""COMPUTED_VALUE"""),1.86)</f>
        <v>1.86</v>
      </c>
      <c r="H3447" s="17"/>
      <c r="K3447" s="17"/>
      <c r="N3447" s="17"/>
    </row>
    <row r="3448">
      <c r="B3448" s="11">
        <f>IFERROR(__xludf.DUMMYFUNCTION("""COMPUTED_VALUE"""),41199.0)</f>
        <v>41199</v>
      </c>
      <c r="C3448" s="9">
        <f>IFERROR(__xludf.DUMMYFUNCTION("""COMPUTED_VALUE"""),1.83)</f>
        <v>1.83</v>
      </c>
      <c r="H3448" s="17"/>
      <c r="K3448" s="17"/>
      <c r="N3448" s="17"/>
    </row>
    <row r="3449">
      <c r="B3449" s="11">
        <f>IFERROR(__xludf.DUMMYFUNCTION("""COMPUTED_VALUE"""),41198.0)</f>
        <v>41198</v>
      </c>
      <c r="C3449" s="9">
        <f>IFERROR(__xludf.DUMMYFUNCTION("""COMPUTED_VALUE"""),1.75)</f>
        <v>1.75</v>
      </c>
      <c r="H3449" s="17"/>
      <c r="K3449" s="17"/>
      <c r="N3449" s="17"/>
    </row>
    <row r="3450">
      <c r="B3450" s="11">
        <f>IFERROR(__xludf.DUMMYFUNCTION("""COMPUTED_VALUE"""),41197.0)</f>
        <v>41197</v>
      </c>
      <c r="C3450" s="9">
        <f>IFERROR(__xludf.DUMMYFUNCTION("""COMPUTED_VALUE"""),1.7)</f>
        <v>1.7</v>
      </c>
      <c r="H3450" s="17"/>
      <c r="K3450" s="17"/>
      <c r="N3450" s="17"/>
    </row>
    <row r="3451">
      <c r="B3451" s="11">
        <f>IFERROR(__xludf.DUMMYFUNCTION("""COMPUTED_VALUE"""),41194.0)</f>
        <v>41194</v>
      </c>
      <c r="C3451" s="9">
        <f>IFERROR(__xludf.DUMMYFUNCTION("""COMPUTED_VALUE"""),1.69)</f>
        <v>1.69</v>
      </c>
      <c r="H3451" s="17"/>
      <c r="K3451" s="17"/>
      <c r="N3451" s="17"/>
    </row>
    <row r="3452">
      <c r="B3452" s="11">
        <f>IFERROR(__xludf.DUMMYFUNCTION("""COMPUTED_VALUE"""),41193.0)</f>
        <v>41193</v>
      </c>
      <c r="C3452" s="9">
        <f>IFERROR(__xludf.DUMMYFUNCTION("""COMPUTED_VALUE"""),1.7)</f>
        <v>1.7</v>
      </c>
      <c r="H3452" s="17"/>
      <c r="K3452" s="17"/>
      <c r="N3452" s="17"/>
    </row>
    <row r="3453">
      <c r="B3453" s="11">
        <f>IFERROR(__xludf.DUMMYFUNCTION("""COMPUTED_VALUE"""),41192.0)</f>
        <v>41192</v>
      </c>
      <c r="C3453" s="9">
        <f>IFERROR(__xludf.DUMMYFUNCTION("""COMPUTED_VALUE"""),1.72)</f>
        <v>1.72</v>
      </c>
      <c r="H3453" s="17"/>
      <c r="K3453" s="17"/>
      <c r="N3453" s="17"/>
    </row>
    <row r="3454">
      <c r="B3454" s="11">
        <f>IFERROR(__xludf.DUMMYFUNCTION("""COMPUTED_VALUE"""),41191.0)</f>
        <v>41191</v>
      </c>
      <c r="C3454" s="9">
        <f>IFERROR(__xludf.DUMMYFUNCTION("""COMPUTED_VALUE"""),1.74)</f>
        <v>1.74</v>
      </c>
      <c r="H3454" s="17"/>
      <c r="K3454" s="17"/>
      <c r="N3454" s="17"/>
    </row>
    <row r="3455">
      <c r="B3455" s="11">
        <f>IFERROR(__xludf.DUMMYFUNCTION("""COMPUTED_VALUE"""),41190.0)</f>
        <v>41190</v>
      </c>
      <c r="C3455" s="9"/>
      <c r="H3455" s="17"/>
      <c r="K3455" s="17"/>
      <c r="N3455" s="17"/>
    </row>
    <row r="3456">
      <c r="B3456" s="11">
        <f>IFERROR(__xludf.DUMMYFUNCTION("""COMPUTED_VALUE"""),41187.0)</f>
        <v>41187</v>
      </c>
      <c r="C3456" s="9">
        <f>IFERROR(__xludf.DUMMYFUNCTION("""COMPUTED_VALUE"""),1.75)</f>
        <v>1.75</v>
      </c>
      <c r="H3456" s="17"/>
      <c r="K3456" s="17"/>
      <c r="N3456" s="17"/>
    </row>
    <row r="3457">
      <c r="B3457" s="11">
        <f>IFERROR(__xludf.DUMMYFUNCTION("""COMPUTED_VALUE"""),41186.0)</f>
        <v>41186</v>
      </c>
      <c r="C3457" s="9">
        <f>IFERROR(__xludf.DUMMYFUNCTION("""COMPUTED_VALUE"""),1.7)</f>
        <v>1.7</v>
      </c>
      <c r="H3457" s="17"/>
      <c r="K3457" s="17"/>
      <c r="N3457" s="17"/>
    </row>
    <row r="3458">
      <c r="B3458" s="11">
        <f>IFERROR(__xludf.DUMMYFUNCTION("""COMPUTED_VALUE"""),41185.0)</f>
        <v>41185</v>
      </c>
      <c r="C3458" s="9">
        <f>IFERROR(__xludf.DUMMYFUNCTION("""COMPUTED_VALUE"""),1.64)</f>
        <v>1.64</v>
      </c>
      <c r="H3458" s="17"/>
      <c r="K3458" s="17"/>
      <c r="N3458" s="17"/>
    </row>
    <row r="3459">
      <c r="B3459" s="11">
        <f>IFERROR(__xludf.DUMMYFUNCTION("""COMPUTED_VALUE"""),41184.0)</f>
        <v>41184</v>
      </c>
      <c r="C3459" s="9">
        <f>IFERROR(__xludf.DUMMYFUNCTION("""COMPUTED_VALUE"""),1.64)</f>
        <v>1.64</v>
      </c>
      <c r="H3459" s="17"/>
      <c r="K3459" s="17"/>
      <c r="N3459" s="17"/>
    </row>
    <row r="3460">
      <c r="B3460" s="11">
        <f>IFERROR(__xludf.DUMMYFUNCTION("""COMPUTED_VALUE"""),41183.0)</f>
        <v>41183</v>
      </c>
      <c r="C3460" s="9">
        <f>IFERROR(__xludf.DUMMYFUNCTION("""COMPUTED_VALUE"""),1.64)</f>
        <v>1.64</v>
      </c>
      <c r="H3460" s="17"/>
      <c r="K3460" s="17"/>
      <c r="N3460" s="17"/>
    </row>
    <row r="3461">
      <c r="B3461" s="11">
        <f>IFERROR(__xludf.DUMMYFUNCTION("""COMPUTED_VALUE"""),41180.0)</f>
        <v>41180</v>
      </c>
      <c r="C3461" s="9">
        <f>IFERROR(__xludf.DUMMYFUNCTION("""COMPUTED_VALUE"""),1.65)</f>
        <v>1.65</v>
      </c>
      <c r="H3461" s="17"/>
      <c r="K3461" s="17"/>
      <c r="N3461" s="17"/>
    </row>
    <row r="3462">
      <c r="B3462" s="11">
        <f>IFERROR(__xludf.DUMMYFUNCTION("""COMPUTED_VALUE"""),41179.0)</f>
        <v>41179</v>
      </c>
      <c r="C3462" s="9">
        <f>IFERROR(__xludf.DUMMYFUNCTION("""COMPUTED_VALUE"""),1.66)</f>
        <v>1.66</v>
      </c>
      <c r="H3462" s="17"/>
      <c r="K3462" s="17"/>
      <c r="N3462" s="17"/>
    </row>
    <row r="3463">
      <c r="B3463" s="11">
        <f>IFERROR(__xludf.DUMMYFUNCTION("""COMPUTED_VALUE"""),41178.0)</f>
        <v>41178</v>
      </c>
      <c r="C3463" s="9">
        <f>IFERROR(__xludf.DUMMYFUNCTION("""COMPUTED_VALUE"""),1.64)</f>
        <v>1.64</v>
      </c>
      <c r="H3463" s="17"/>
      <c r="K3463" s="17"/>
      <c r="N3463" s="17"/>
    </row>
    <row r="3464">
      <c r="B3464" s="11">
        <f>IFERROR(__xludf.DUMMYFUNCTION("""COMPUTED_VALUE"""),41177.0)</f>
        <v>41177</v>
      </c>
      <c r="C3464" s="9">
        <f>IFERROR(__xludf.DUMMYFUNCTION("""COMPUTED_VALUE"""),1.7)</f>
        <v>1.7</v>
      </c>
      <c r="H3464" s="17"/>
      <c r="K3464" s="17"/>
      <c r="N3464" s="17"/>
    </row>
    <row r="3465">
      <c r="B3465" s="11">
        <f>IFERROR(__xludf.DUMMYFUNCTION("""COMPUTED_VALUE"""),41176.0)</f>
        <v>41176</v>
      </c>
      <c r="C3465" s="9">
        <f>IFERROR(__xludf.DUMMYFUNCTION("""COMPUTED_VALUE"""),1.74)</f>
        <v>1.74</v>
      </c>
      <c r="H3465" s="17"/>
      <c r="K3465" s="17"/>
      <c r="N3465" s="17"/>
    </row>
    <row r="3466">
      <c r="B3466" s="11">
        <f>IFERROR(__xludf.DUMMYFUNCTION("""COMPUTED_VALUE"""),41173.0)</f>
        <v>41173</v>
      </c>
      <c r="C3466" s="9">
        <f>IFERROR(__xludf.DUMMYFUNCTION("""COMPUTED_VALUE"""),1.77)</f>
        <v>1.77</v>
      </c>
      <c r="H3466" s="17"/>
      <c r="K3466" s="17"/>
      <c r="N3466" s="17"/>
    </row>
    <row r="3467">
      <c r="B3467" s="11">
        <f>IFERROR(__xludf.DUMMYFUNCTION("""COMPUTED_VALUE"""),41172.0)</f>
        <v>41172</v>
      </c>
      <c r="C3467" s="9">
        <f>IFERROR(__xludf.DUMMYFUNCTION("""COMPUTED_VALUE"""),1.8)</f>
        <v>1.8</v>
      </c>
      <c r="H3467" s="17"/>
      <c r="K3467" s="17"/>
      <c r="N3467" s="17"/>
    </row>
    <row r="3468">
      <c r="B3468" s="11">
        <f>IFERROR(__xludf.DUMMYFUNCTION("""COMPUTED_VALUE"""),41171.0)</f>
        <v>41171</v>
      </c>
      <c r="C3468" s="9">
        <f>IFERROR(__xludf.DUMMYFUNCTION("""COMPUTED_VALUE"""),1.79)</f>
        <v>1.79</v>
      </c>
      <c r="H3468" s="17"/>
      <c r="K3468" s="17"/>
      <c r="N3468" s="17"/>
    </row>
    <row r="3469">
      <c r="B3469" s="11">
        <f>IFERROR(__xludf.DUMMYFUNCTION("""COMPUTED_VALUE"""),41170.0)</f>
        <v>41170</v>
      </c>
      <c r="C3469" s="9">
        <f>IFERROR(__xludf.DUMMYFUNCTION("""COMPUTED_VALUE"""),1.82)</f>
        <v>1.82</v>
      </c>
      <c r="H3469" s="17"/>
      <c r="K3469" s="17"/>
      <c r="N3469" s="17"/>
    </row>
    <row r="3470">
      <c r="B3470" s="11">
        <f>IFERROR(__xludf.DUMMYFUNCTION("""COMPUTED_VALUE"""),41169.0)</f>
        <v>41169</v>
      </c>
      <c r="C3470" s="9">
        <f>IFERROR(__xludf.DUMMYFUNCTION("""COMPUTED_VALUE"""),1.85)</f>
        <v>1.85</v>
      </c>
      <c r="H3470" s="17"/>
      <c r="K3470" s="17"/>
      <c r="N3470" s="17"/>
    </row>
    <row r="3471">
      <c r="B3471" s="11">
        <f>IFERROR(__xludf.DUMMYFUNCTION("""COMPUTED_VALUE"""),41166.0)</f>
        <v>41166</v>
      </c>
      <c r="C3471" s="9">
        <f>IFERROR(__xludf.DUMMYFUNCTION("""COMPUTED_VALUE"""),1.88)</f>
        <v>1.88</v>
      </c>
      <c r="H3471" s="17"/>
      <c r="K3471" s="17"/>
      <c r="N3471" s="17"/>
    </row>
    <row r="3472">
      <c r="B3472" s="11">
        <f>IFERROR(__xludf.DUMMYFUNCTION("""COMPUTED_VALUE"""),41165.0)</f>
        <v>41165</v>
      </c>
      <c r="C3472" s="9">
        <f>IFERROR(__xludf.DUMMYFUNCTION("""COMPUTED_VALUE"""),1.75)</f>
        <v>1.75</v>
      </c>
      <c r="H3472" s="17"/>
      <c r="K3472" s="17"/>
      <c r="N3472" s="17"/>
    </row>
    <row r="3473">
      <c r="B3473" s="11">
        <f>IFERROR(__xludf.DUMMYFUNCTION("""COMPUTED_VALUE"""),41164.0)</f>
        <v>41164</v>
      </c>
      <c r="C3473" s="9">
        <f>IFERROR(__xludf.DUMMYFUNCTION("""COMPUTED_VALUE"""),1.77)</f>
        <v>1.77</v>
      </c>
      <c r="H3473" s="17"/>
      <c r="K3473" s="17"/>
      <c r="N3473" s="17"/>
    </row>
    <row r="3474">
      <c r="B3474" s="11">
        <f>IFERROR(__xludf.DUMMYFUNCTION("""COMPUTED_VALUE"""),41163.0)</f>
        <v>41163</v>
      </c>
      <c r="C3474" s="9">
        <f>IFERROR(__xludf.DUMMYFUNCTION("""COMPUTED_VALUE"""),1.7)</f>
        <v>1.7</v>
      </c>
      <c r="H3474" s="17"/>
      <c r="K3474" s="17"/>
      <c r="N3474" s="17"/>
    </row>
    <row r="3475">
      <c r="B3475" s="11">
        <f>IFERROR(__xludf.DUMMYFUNCTION("""COMPUTED_VALUE"""),41162.0)</f>
        <v>41162</v>
      </c>
      <c r="C3475" s="9">
        <f>IFERROR(__xludf.DUMMYFUNCTION("""COMPUTED_VALUE"""),1.68)</f>
        <v>1.68</v>
      </c>
      <c r="H3475" s="17"/>
      <c r="K3475" s="17"/>
      <c r="N3475" s="17"/>
    </row>
    <row r="3476">
      <c r="B3476" s="11">
        <f>IFERROR(__xludf.DUMMYFUNCTION("""COMPUTED_VALUE"""),41159.0)</f>
        <v>41159</v>
      </c>
      <c r="C3476" s="9">
        <f>IFERROR(__xludf.DUMMYFUNCTION("""COMPUTED_VALUE"""),1.67)</f>
        <v>1.67</v>
      </c>
      <c r="H3476" s="17"/>
      <c r="K3476" s="17"/>
      <c r="N3476" s="17"/>
    </row>
    <row r="3477">
      <c r="B3477" s="11">
        <f>IFERROR(__xludf.DUMMYFUNCTION("""COMPUTED_VALUE"""),41158.0)</f>
        <v>41158</v>
      </c>
      <c r="C3477" s="9">
        <f>IFERROR(__xludf.DUMMYFUNCTION("""COMPUTED_VALUE"""),1.68)</f>
        <v>1.68</v>
      </c>
      <c r="H3477" s="17"/>
      <c r="K3477" s="17"/>
      <c r="N3477" s="17"/>
    </row>
    <row r="3478">
      <c r="B3478" s="11">
        <f>IFERROR(__xludf.DUMMYFUNCTION("""COMPUTED_VALUE"""),41157.0)</f>
        <v>41157</v>
      </c>
      <c r="C3478" s="9">
        <f>IFERROR(__xludf.DUMMYFUNCTION("""COMPUTED_VALUE"""),1.6)</f>
        <v>1.6</v>
      </c>
      <c r="H3478" s="17"/>
      <c r="K3478" s="17"/>
      <c r="N3478" s="17"/>
    </row>
    <row r="3479">
      <c r="B3479" s="11">
        <f>IFERROR(__xludf.DUMMYFUNCTION("""COMPUTED_VALUE"""),41156.0)</f>
        <v>41156</v>
      </c>
      <c r="C3479" s="9">
        <f>IFERROR(__xludf.DUMMYFUNCTION("""COMPUTED_VALUE"""),1.59)</f>
        <v>1.59</v>
      </c>
      <c r="H3479" s="17"/>
      <c r="K3479" s="17"/>
      <c r="N3479" s="17"/>
    </row>
    <row r="3480">
      <c r="B3480" s="11">
        <f>IFERROR(__xludf.DUMMYFUNCTION("""COMPUTED_VALUE"""),41155.0)</f>
        <v>41155</v>
      </c>
      <c r="C3480" s="9"/>
      <c r="H3480" s="17"/>
      <c r="K3480" s="17"/>
      <c r="N3480" s="17"/>
    </row>
    <row r="3481">
      <c r="B3481" s="11">
        <f>IFERROR(__xludf.DUMMYFUNCTION("""COMPUTED_VALUE"""),41152.0)</f>
        <v>41152</v>
      </c>
      <c r="C3481" s="9">
        <f>IFERROR(__xludf.DUMMYFUNCTION("""COMPUTED_VALUE"""),1.57)</f>
        <v>1.57</v>
      </c>
      <c r="H3481" s="17"/>
      <c r="K3481" s="17"/>
      <c r="N3481" s="17"/>
    </row>
    <row r="3482">
      <c r="B3482" s="11">
        <f>IFERROR(__xludf.DUMMYFUNCTION("""COMPUTED_VALUE"""),41151.0)</f>
        <v>41151</v>
      </c>
      <c r="C3482" s="9">
        <f>IFERROR(__xludf.DUMMYFUNCTION("""COMPUTED_VALUE"""),1.63)</f>
        <v>1.63</v>
      </c>
      <c r="H3482" s="17"/>
      <c r="K3482" s="17"/>
      <c r="N3482" s="17"/>
    </row>
    <row r="3483">
      <c r="B3483" s="11">
        <f>IFERROR(__xludf.DUMMYFUNCTION("""COMPUTED_VALUE"""),41150.0)</f>
        <v>41150</v>
      </c>
      <c r="C3483" s="9">
        <f>IFERROR(__xludf.DUMMYFUNCTION("""COMPUTED_VALUE"""),1.66)</f>
        <v>1.66</v>
      </c>
      <c r="H3483" s="17"/>
      <c r="K3483" s="17"/>
      <c r="N3483" s="17"/>
    </row>
    <row r="3484">
      <c r="B3484" s="11">
        <f>IFERROR(__xludf.DUMMYFUNCTION("""COMPUTED_VALUE"""),41149.0)</f>
        <v>41149</v>
      </c>
      <c r="C3484" s="9">
        <f>IFERROR(__xludf.DUMMYFUNCTION("""COMPUTED_VALUE"""),1.64)</f>
        <v>1.64</v>
      </c>
      <c r="H3484" s="17"/>
      <c r="K3484" s="17"/>
      <c r="N3484" s="17"/>
    </row>
    <row r="3485">
      <c r="B3485" s="11">
        <f>IFERROR(__xludf.DUMMYFUNCTION("""COMPUTED_VALUE"""),41148.0)</f>
        <v>41148</v>
      </c>
      <c r="C3485" s="9">
        <f>IFERROR(__xludf.DUMMYFUNCTION("""COMPUTED_VALUE"""),1.65)</f>
        <v>1.65</v>
      </c>
      <c r="H3485" s="17"/>
      <c r="K3485" s="17"/>
      <c r="N3485" s="17"/>
    </row>
    <row r="3486">
      <c r="B3486" s="11">
        <f>IFERROR(__xludf.DUMMYFUNCTION("""COMPUTED_VALUE"""),41145.0)</f>
        <v>41145</v>
      </c>
      <c r="C3486" s="9">
        <f>IFERROR(__xludf.DUMMYFUNCTION("""COMPUTED_VALUE"""),1.68)</f>
        <v>1.68</v>
      </c>
      <c r="H3486" s="17"/>
      <c r="K3486" s="17"/>
      <c r="N3486" s="17"/>
    </row>
    <row r="3487">
      <c r="B3487" s="11">
        <f>IFERROR(__xludf.DUMMYFUNCTION("""COMPUTED_VALUE"""),41144.0)</f>
        <v>41144</v>
      </c>
      <c r="C3487" s="9">
        <f>IFERROR(__xludf.DUMMYFUNCTION("""COMPUTED_VALUE"""),1.68)</f>
        <v>1.68</v>
      </c>
      <c r="H3487" s="17"/>
      <c r="K3487" s="17"/>
      <c r="N3487" s="17"/>
    </row>
    <row r="3488">
      <c r="B3488" s="11">
        <f>IFERROR(__xludf.DUMMYFUNCTION("""COMPUTED_VALUE"""),41143.0)</f>
        <v>41143</v>
      </c>
      <c r="C3488" s="9">
        <f>IFERROR(__xludf.DUMMYFUNCTION("""COMPUTED_VALUE"""),1.71)</f>
        <v>1.71</v>
      </c>
      <c r="H3488" s="17"/>
      <c r="K3488" s="17"/>
      <c r="N3488" s="17"/>
    </row>
    <row r="3489">
      <c r="B3489" s="11">
        <f>IFERROR(__xludf.DUMMYFUNCTION("""COMPUTED_VALUE"""),41142.0)</f>
        <v>41142</v>
      </c>
      <c r="C3489" s="9">
        <f>IFERROR(__xludf.DUMMYFUNCTION("""COMPUTED_VALUE"""),1.8)</f>
        <v>1.8</v>
      </c>
      <c r="H3489" s="17"/>
      <c r="K3489" s="17"/>
      <c r="N3489" s="17"/>
    </row>
    <row r="3490">
      <c r="B3490" s="11">
        <f>IFERROR(__xludf.DUMMYFUNCTION("""COMPUTED_VALUE"""),41141.0)</f>
        <v>41141</v>
      </c>
      <c r="C3490" s="9">
        <f>IFERROR(__xludf.DUMMYFUNCTION("""COMPUTED_VALUE"""),1.82)</f>
        <v>1.82</v>
      </c>
      <c r="H3490" s="17"/>
      <c r="K3490" s="17"/>
      <c r="N3490" s="17"/>
    </row>
    <row r="3491">
      <c r="B3491" s="11">
        <f>IFERROR(__xludf.DUMMYFUNCTION("""COMPUTED_VALUE"""),41138.0)</f>
        <v>41138</v>
      </c>
      <c r="C3491" s="9">
        <f>IFERROR(__xludf.DUMMYFUNCTION("""COMPUTED_VALUE"""),1.81)</f>
        <v>1.81</v>
      </c>
      <c r="H3491" s="17"/>
      <c r="K3491" s="17"/>
      <c r="N3491" s="17"/>
    </row>
    <row r="3492">
      <c r="B3492" s="11">
        <f>IFERROR(__xludf.DUMMYFUNCTION("""COMPUTED_VALUE"""),41137.0)</f>
        <v>41137</v>
      </c>
      <c r="C3492" s="9">
        <f>IFERROR(__xludf.DUMMYFUNCTION("""COMPUTED_VALUE"""),1.83)</f>
        <v>1.83</v>
      </c>
      <c r="H3492" s="17"/>
      <c r="K3492" s="17"/>
      <c r="N3492" s="17"/>
    </row>
    <row r="3493">
      <c r="B3493" s="11">
        <f>IFERROR(__xludf.DUMMYFUNCTION("""COMPUTED_VALUE"""),41136.0)</f>
        <v>41136</v>
      </c>
      <c r="C3493" s="9">
        <f>IFERROR(__xludf.DUMMYFUNCTION("""COMPUTED_VALUE"""),1.8)</f>
        <v>1.8</v>
      </c>
      <c r="H3493" s="17"/>
      <c r="K3493" s="17"/>
      <c r="N3493" s="17"/>
    </row>
    <row r="3494">
      <c r="B3494" s="11">
        <f>IFERROR(__xludf.DUMMYFUNCTION("""COMPUTED_VALUE"""),41135.0)</f>
        <v>41135</v>
      </c>
      <c r="C3494" s="9">
        <f>IFERROR(__xludf.DUMMYFUNCTION("""COMPUTED_VALUE"""),1.73)</f>
        <v>1.73</v>
      </c>
      <c r="H3494" s="17"/>
      <c r="K3494" s="17"/>
      <c r="N3494" s="17"/>
    </row>
    <row r="3495">
      <c r="B3495" s="11">
        <f>IFERROR(__xludf.DUMMYFUNCTION("""COMPUTED_VALUE"""),41134.0)</f>
        <v>41134</v>
      </c>
      <c r="C3495" s="9">
        <f>IFERROR(__xludf.DUMMYFUNCTION("""COMPUTED_VALUE"""),1.65)</f>
        <v>1.65</v>
      </c>
      <c r="H3495" s="17"/>
      <c r="K3495" s="17"/>
      <c r="N3495" s="17"/>
    </row>
    <row r="3496">
      <c r="B3496" s="11">
        <f>IFERROR(__xludf.DUMMYFUNCTION("""COMPUTED_VALUE"""),41131.0)</f>
        <v>41131</v>
      </c>
      <c r="C3496" s="9">
        <f>IFERROR(__xludf.DUMMYFUNCTION("""COMPUTED_VALUE"""),1.65)</f>
        <v>1.65</v>
      </c>
      <c r="H3496" s="17"/>
      <c r="K3496" s="17"/>
      <c r="N3496" s="17"/>
    </row>
    <row r="3497">
      <c r="B3497" s="11">
        <f>IFERROR(__xludf.DUMMYFUNCTION("""COMPUTED_VALUE"""),41130.0)</f>
        <v>41130</v>
      </c>
      <c r="C3497" s="9">
        <f>IFERROR(__xludf.DUMMYFUNCTION("""COMPUTED_VALUE"""),1.69)</f>
        <v>1.69</v>
      </c>
      <c r="H3497" s="17"/>
      <c r="K3497" s="17"/>
      <c r="N3497" s="17"/>
    </row>
    <row r="3498">
      <c r="B3498" s="11">
        <f>IFERROR(__xludf.DUMMYFUNCTION("""COMPUTED_VALUE"""),41129.0)</f>
        <v>41129</v>
      </c>
      <c r="C3498" s="9">
        <f>IFERROR(__xludf.DUMMYFUNCTION("""COMPUTED_VALUE"""),1.68)</f>
        <v>1.68</v>
      </c>
      <c r="H3498" s="17"/>
      <c r="K3498" s="17"/>
      <c r="N3498" s="17"/>
    </row>
    <row r="3499">
      <c r="B3499" s="11">
        <f>IFERROR(__xludf.DUMMYFUNCTION("""COMPUTED_VALUE"""),41128.0)</f>
        <v>41128</v>
      </c>
      <c r="C3499" s="9">
        <f>IFERROR(__xludf.DUMMYFUNCTION("""COMPUTED_VALUE"""),1.66)</f>
        <v>1.66</v>
      </c>
      <c r="H3499" s="17"/>
      <c r="K3499" s="17"/>
      <c r="N3499" s="17"/>
    </row>
    <row r="3500">
      <c r="B3500" s="11">
        <f>IFERROR(__xludf.DUMMYFUNCTION("""COMPUTED_VALUE"""),41127.0)</f>
        <v>41127</v>
      </c>
      <c r="C3500" s="9">
        <f>IFERROR(__xludf.DUMMYFUNCTION("""COMPUTED_VALUE"""),1.59)</f>
        <v>1.59</v>
      </c>
      <c r="H3500" s="17"/>
      <c r="K3500" s="17"/>
      <c r="N3500" s="17"/>
    </row>
    <row r="3501">
      <c r="B3501" s="11">
        <f>IFERROR(__xludf.DUMMYFUNCTION("""COMPUTED_VALUE"""),41124.0)</f>
        <v>41124</v>
      </c>
      <c r="C3501" s="9">
        <f>IFERROR(__xludf.DUMMYFUNCTION("""COMPUTED_VALUE"""),1.6)</f>
        <v>1.6</v>
      </c>
      <c r="H3501" s="17"/>
      <c r="K3501" s="17"/>
      <c r="N3501" s="17"/>
    </row>
    <row r="3502">
      <c r="B3502" s="11">
        <f>IFERROR(__xludf.DUMMYFUNCTION("""COMPUTED_VALUE"""),41123.0)</f>
        <v>41123</v>
      </c>
      <c r="C3502" s="9">
        <f>IFERROR(__xludf.DUMMYFUNCTION("""COMPUTED_VALUE"""),1.51)</f>
        <v>1.51</v>
      </c>
      <c r="H3502" s="17"/>
      <c r="K3502" s="17"/>
      <c r="N3502" s="17"/>
    </row>
    <row r="3503">
      <c r="B3503" s="11">
        <f>IFERROR(__xludf.DUMMYFUNCTION("""COMPUTED_VALUE"""),41122.0)</f>
        <v>41122</v>
      </c>
      <c r="C3503" s="9">
        <f>IFERROR(__xludf.DUMMYFUNCTION("""COMPUTED_VALUE"""),1.56)</f>
        <v>1.56</v>
      </c>
      <c r="H3503" s="17"/>
      <c r="K3503" s="17"/>
      <c r="N3503" s="17"/>
    </row>
    <row r="3504">
      <c r="B3504" s="11">
        <f>IFERROR(__xludf.DUMMYFUNCTION("""COMPUTED_VALUE"""),41121.0)</f>
        <v>41121</v>
      </c>
      <c r="C3504" s="9">
        <f>IFERROR(__xludf.DUMMYFUNCTION("""COMPUTED_VALUE"""),1.51)</f>
        <v>1.51</v>
      </c>
      <c r="H3504" s="17"/>
      <c r="K3504" s="17"/>
      <c r="N3504" s="17"/>
    </row>
    <row r="3505">
      <c r="B3505" s="11">
        <f>IFERROR(__xludf.DUMMYFUNCTION("""COMPUTED_VALUE"""),41120.0)</f>
        <v>41120</v>
      </c>
      <c r="C3505" s="9">
        <f>IFERROR(__xludf.DUMMYFUNCTION("""COMPUTED_VALUE"""),1.53)</f>
        <v>1.53</v>
      </c>
      <c r="H3505" s="17"/>
      <c r="K3505" s="17"/>
      <c r="N3505" s="17"/>
    </row>
    <row r="3506">
      <c r="B3506" s="11">
        <f>IFERROR(__xludf.DUMMYFUNCTION("""COMPUTED_VALUE"""),41117.0)</f>
        <v>41117</v>
      </c>
      <c r="C3506" s="9">
        <f>IFERROR(__xludf.DUMMYFUNCTION("""COMPUTED_VALUE"""),1.58)</f>
        <v>1.58</v>
      </c>
      <c r="H3506" s="17"/>
      <c r="K3506" s="17"/>
      <c r="N3506" s="17"/>
    </row>
    <row r="3507">
      <c r="B3507" s="11">
        <f>IFERROR(__xludf.DUMMYFUNCTION("""COMPUTED_VALUE"""),41116.0)</f>
        <v>41116</v>
      </c>
      <c r="C3507" s="9">
        <f>IFERROR(__xludf.DUMMYFUNCTION("""COMPUTED_VALUE"""),1.45)</f>
        <v>1.45</v>
      </c>
      <c r="H3507" s="17"/>
      <c r="K3507" s="17"/>
      <c r="N3507" s="17"/>
    </row>
    <row r="3508">
      <c r="B3508" s="11">
        <f>IFERROR(__xludf.DUMMYFUNCTION("""COMPUTED_VALUE"""),41115.0)</f>
        <v>41115</v>
      </c>
      <c r="C3508" s="9">
        <f>IFERROR(__xludf.DUMMYFUNCTION("""COMPUTED_VALUE"""),1.43)</f>
        <v>1.43</v>
      </c>
      <c r="H3508" s="17"/>
      <c r="K3508" s="17"/>
      <c r="N3508" s="17"/>
    </row>
    <row r="3509">
      <c r="B3509" s="11">
        <f>IFERROR(__xludf.DUMMYFUNCTION("""COMPUTED_VALUE"""),41114.0)</f>
        <v>41114</v>
      </c>
      <c r="C3509" s="9">
        <f>IFERROR(__xludf.DUMMYFUNCTION("""COMPUTED_VALUE"""),1.44)</f>
        <v>1.44</v>
      </c>
      <c r="H3509" s="17"/>
      <c r="K3509" s="17"/>
      <c r="N3509" s="17"/>
    </row>
    <row r="3510">
      <c r="B3510" s="11">
        <f>IFERROR(__xludf.DUMMYFUNCTION("""COMPUTED_VALUE"""),41113.0)</f>
        <v>41113</v>
      </c>
      <c r="C3510" s="9">
        <f>IFERROR(__xludf.DUMMYFUNCTION("""COMPUTED_VALUE"""),1.47)</f>
        <v>1.47</v>
      </c>
      <c r="H3510" s="17"/>
      <c r="K3510" s="17"/>
      <c r="N3510" s="17"/>
    </row>
    <row r="3511">
      <c r="B3511" s="11">
        <f>IFERROR(__xludf.DUMMYFUNCTION("""COMPUTED_VALUE"""),41110.0)</f>
        <v>41110</v>
      </c>
      <c r="C3511" s="9">
        <f>IFERROR(__xludf.DUMMYFUNCTION("""COMPUTED_VALUE"""),1.49)</f>
        <v>1.49</v>
      </c>
      <c r="H3511" s="17"/>
      <c r="K3511" s="17"/>
      <c r="N3511" s="17"/>
    </row>
    <row r="3512">
      <c r="B3512" s="11">
        <f>IFERROR(__xludf.DUMMYFUNCTION("""COMPUTED_VALUE"""),41109.0)</f>
        <v>41109</v>
      </c>
      <c r="C3512" s="9">
        <f>IFERROR(__xludf.DUMMYFUNCTION("""COMPUTED_VALUE"""),1.54)</f>
        <v>1.54</v>
      </c>
      <c r="H3512" s="17"/>
      <c r="K3512" s="17"/>
      <c r="N3512" s="17"/>
    </row>
    <row r="3513">
      <c r="B3513" s="11">
        <f>IFERROR(__xludf.DUMMYFUNCTION("""COMPUTED_VALUE"""),41108.0)</f>
        <v>41108</v>
      </c>
      <c r="C3513" s="9">
        <f>IFERROR(__xludf.DUMMYFUNCTION("""COMPUTED_VALUE"""),1.52)</f>
        <v>1.52</v>
      </c>
      <c r="H3513" s="17"/>
      <c r="K3513" s="17"/>
      <c r="N3513" s="17"/>
    </row>
    <row r="3514">
      <c r="B3514" s="11">
        <f>IFERROR(__xludf.DUMMYFUNCTION("""COMPUTED_VALUE"""),41107.0)</f>
        <v>41107</v>
      </c>
      <c r="C3514" s="9">
        <f>IFERROR(__xludf.DUMMYFUNCTION("""COMPUTED_VALUE"""),1.53)</f>
        <v>1.53</v>
      </c>
      <c r="H3514" s="17"/>
      <c r="K3514" s="17"/>
      <c r="N3514" s="17"/>
    </row>
    <row r="3515">
      <c r="B3515" s="11">
        <f>IFERROR(__xludf.DUMMYFUNCTION("""COMPUTED_VALUE"""),41106.0)</f>
        <v>41106</v>
      </c>
      <c r="C3515" s="9">
        <f>IFERROR(__xludf.DUMMYFUNCTION("""COMPUTED_VALUE"""),1.5)</f>
        <v>1.5</v>
      </c>
      <c r="H3515" s="17"/>
      <c r="K3515" s="17"/>
      <c r="N3515" s="17"/>
    </row>
    <row r="3516">
      <c r="B3516" s="11">
        <f>IFERROR(__xludf.DUMMYFUNCTION("""COMPUTED_VALUE"""),41103.0)</f>
        <v>41103</v>
      </c>
      <c r="C3516" s="9">
        <f>IFERROR(__xludf.DUMMYFUNCTION("""COMPUTED_VALUE"""),1.52)</f>
        <v>1.52</v>
      </c>
      <c r="H3516" s="17"/>
      <c r="K3516" s="17"/>
      <c r="N3516" s="17"/>
    </row>
    <row r="3517">
      <c r="B3517" s="11">
        <f>IFERROR(__xludf.DUMMYFUNCTION("""COMPUTED_VALUE"""),41102.0)</f>
        <v>41102</v>
      </c>
      <c r="C3517" s="9">
        <f>IFERROR(__xludf.DUMMYFUNCTION("""COMPUTED_VALUE"""),1.5)</f>
        <v>1.5</v>
      </c>
      <c r="H3517" s="17"/>
      <c r="K3517" s="17"/>
      <c r="N3517" s="17"/>
    </row>
    <row r="3518">
      <c r="B3518" s="11">
        <f>IFERROR(__xludf.DUMMYFUNCTION("""COMPUTED_VALUE"""),41101.0)</f>
        <v>41101</v>
      </c>
      <c r="C3518" s="9">
        <f>IFERROR(__xludf.DUMMYFUNCTION("""COMPUTED_VALUE"""),1.54)</f>
        <v>1.54</v>
      </c>
      <c r="H3518" s="17"/>
      <c r="K3518" s="17"/>
      <c r="N3518" s="17"/>
    </row>
    <row r="3519">
      <c r="B3519" s="11">
        <f>IFERROR(__xludf.DUMMYFUNCTION("""COMPUTED_VALUE"""),41100.0)</f>
        <v>41100</v>
      </c>
      <c r="C3519" s="9">
        <f>IFERROR(__xludf.DUMMYFUNCTION("""COMPUTED_VALUE"""),1.53)</f>
        <v>1.53</v>
      </c>
      <c r="H3519" s="17"/>
      <c r="K3519" s="17"/>
      <c r="N3519" s="17"/>
    </row>
    <row r="3520">
      <c r="B3520" s="11">
        <f>IFERROR(__xludf.DUMMYFUNCTION("""COMPUTED_VALUE"""),41099.0)</f>
        <v>41099</v>
      </c>
      <c r="C3520" s="9">
        <f>IFERROR(__xludf.DUMMYFUNCTION("""COMPUTED_VALUE"""),1.53)</f>
        <v>1.53</v>
      </c>
      <c r="H3520" s="17"/>
      <c r="K3520" s="17"/>
      <c r="N3520" s="17"/>
    </row>
    <row r="3521">
      <c r="B3521" s="11">
        <f>IFERROR(__xludf.DUMMYFUNCTION("""COMPUTED_VALUE"""),41096.0)</f>
        <v>41096</v>
      </c>
      <c r="C3521" s="9">
        <f>IFERROR(__xludf.DUMMYFUNCTION("""COMPUTED_VALUE"""),1.57)</f>
        <v>1.57</v>
      </c>
      <c r="H3521" s="17"/>
      <c r="K3521" s="17"/>
      <c r="N3521" s="17"/>
    </row>
    <row r="3522">
      <c r="B3522" s="11">
        <f>IFERROR(__xludf.DUMMYFUNCTION("""COMPUTED_VALUE"""),41095.0)</f>
        <v>41095</v>
      </c>
      <c r="C3522" s="9">
        <f>IFERROR(__xludf.DUMMYFUNCTION("""COMPUTED_VALUE"""),1.62)</f>
        <v>1.62</v>
      </c>
      <c r="H3522" s="17"/>
      <c r="K3522" s="17"/>
      <c r="N3522" s="17"/>
    </row>
    <row r="3523">
      <c r="B3523" s="11">
        <f>IFERROR(__xludf.DUMMYFUNCTION("""COMPUTED_VALUE"""),41094.0)</f>
        <v>41094</v>
      </c>
      <c r="C3523" s="9"/>
      <c r="H3523" s="17"/>
      <c r="K3523" s="17"/>
      <c r="N3523" s="17"/>
    </row>
    <row r="3524">
      <c r="B3524" s="11">
        <f>IFERROR(__xludf.DUMMYFUNCTION("""COMPUTED_VALUE"""),41093.0)</f>
        <v>41093</v>
      </c>
      <c r="C3524" s="9">
        <f>IFERROR(__xludf.DUMMYFUNCTION("""COMPUTED_VALUE"""),1.65)</f>
        <v>1.65</v>
      </c>
      <c r="H3524" s="17"/>
      <c r="K3524" s="17"/>
      <c r="N3524" s="17"/>
    </row>
    <row r="3525">
      <c r="B3525" s="11">
        <f>IFERROR(__xludf.DUMMYFUNCTION("""COMPUTED_VALUE"""),41092.0)</f>
        <v>41092</v>
      </c>
      <c r="C3525" s="9">
        <f>IFERROR(__xludf.DUMMYFUNCTION("""COMPUTED_VALUE"""),1.61)</f>
        <v>1.61</v>
      </c>
      <c r="H3525" s="17"/>
      <c r="K3525" s="17"/>
      <c r="N3525" s="17"/>
    </row>
    <row r="3526">
      <c r="B3526" s="11">
        <f>IFERROR(__xludf.DUMMYFUNCTION("""COMPUTED_VALUE"""),41089.0)</f>
        <v>41089</v>
      </c>
      <c r="C3526" s="9">
        <f>IFERROR(__xludf.DUMMYFUNCTION("""COMPUTED_VALUE"""),1.67)</f>
        <v>1.67</v>
      </c>
      <c r="H3526" s="17"/>
      <c r="K3526" s="17"/>
      <c r="N3526" s="17"/>
    </row>
    <row r="3527">
      <c r="B3527" s="11">
        <f>IFERROR(__xludf.DUMMYFUNCTION("""COMPUTED_VALUE"""),41088.0)</f>
        <v>41088</v>
      </c>
      <c r="C3527" s="9">
        <f>IFERROR(__xludf.DUMMYFUNCTION("""COMPUTED_VALUE"""),1.6)</f>
        <v>1.6</v>
      </c>
      <c r="H3527" s="17"/>
      <c r="K3527" s="17"/>
      <c r="N3527" s="17"/>
    </row>
    <row r="3528">
      <c r="B3528" s="11">
        <f>IFERROR(__xludf.DUMMYFUNCTION("""COMPUTED_VALUE"""),41087.0)</f>
        <v>41087</v>
      </c>
      <c r="C3528" s="9">
        <f>IFERROR(__xludf.DUMMYFUNCTION("""COMPUTED_VALUE"""),1.65)</f>
        <v>1.65</v>
      </c>
      <c r="H3528" s="17"/>
      <c r="K3528" s="17"/>
      <c r="N3528" s="17"/>
    </row>
    <row r="3529">
      <c r="B3529" s="11">
        <f>IFERROR(__xludf.DUMMYFUNCTION("""COMPUTED_VALUE"""),41086.0)</f>
        <v>41086</v>
      </c>
      <c r="C3529" s="9">
        <f>IFERROR(__xludf.DUMMYFUNCTION("""COMPUTED_VALUE"""),1.66)</f>
        <v>1.66</v>
      </c>
      <c r="H3529" s="17"/>
      <c r="K3529" s="17"/>
      <c r="N3529" s="17"/>
    </row>
    <row r="3530">
      <c r="B3530" s="11">
        <f>IFERROR(__xludf.DUMMYFUNCTION("""COMPUTED_VALUE"""),41085.0)</f>
        <v>41085</v>
      </c>
      <c r="C3530" s="9">
        <f>IFERROR(__xludf.DUMMYFUNCTION("""COMPUTED_VALUE"""),1.63)</f>
        <v>1.63</v>
      </c>
      <c r="H3530" s="17"/>
      <c r="K3530" s="17"/>
      <c r="N3530" s="17"/>
    </row>
    <row r="3531">
      <c r="B3531" s="11">
        <f>IFERROR(__xludf.DUMMYFUNCTION("""COMPUTED_VALUE"""),41082.0)</f>
        <v>41082</v>
      </c>
      <c r="C3531" s="9">
        <f>IFERROR(__xludf.DUMMYFUNCTION("""COMPUTED_VALUE"""),1.69)</f>
        <v>1.69</v>
      </c>
      <c r="H3531" s="17"/>
      <c r="K3531" s="17"/>
      <c r="N3531" s="17"/>
    </row>
    <row r="3532">
      <c r="B3532" s="11">
        <f>IFERROR(__xludf.DUMMYFUNCTION("""COMPUTED_VALUE"""),41081.0)</f>
        <v>41081</v>
      </c>
      <c r="C3532" s="9">
        <f>IFERROR(__xludf.DUMMYFUNCTION("""COMPUTED_VALUE"""),1.63)</f>
        <v>1.63</v>
      </c>
      <c r="H3532" s="17"/>
      <c r="K3532" s="17"/>
      <c r="N3532" s="17"/>
    </row>
    <row r="3533">
      <c r="B3533" s="11">
        <f>IFERROR(__xludf.DUMMYFUNCTION("""COMPUTED_VALUE"""),41080.0)</f>
        <v>41080</v>
      </c>
      <c r="C3533" s="9">
        <f>IFERROR(__xludf.DUMMYFUNCTION("""COMPUTED_VALUE"""),1.65)</f>
        <v>1.65</v>
      </c>
      <c r="H3533" s="17"/>
      <c r="K3533" s="17"/>
      <c r="N3533" s="17"/>
    </row>
    <row r="3534">
      <c r="B3534" s="11">
        <f>IFERROR(__xludf.DUMMYFUNCTION("""COMPUTED_VALUE"""),41079.0)</f>
        <v>41079</v>
      </c>
      <c r="C3534" s="9">
        <f>IFERROR(__xludf.DUMMYFUNCTION("""COMPUTED_VALUE"""),1.64)</f>
        <v>1.64</v>
      </c>
      <c r="H3534" s="17"/>
      <c r="K3534" s="17"/>
      <c r="N3534" s="17"/>
    </row>
    <row r="3535">
      <c r="B3535" s="11">
        <f>IFERROR(__xludf.DUMMYFUNCTION("""COMPUTED_VALUE"""),41078.0)</f>
        <v>41078</v>
      </c>
      <c r="C3535" s="9">
        <f>IFERROR(__xludf.DUMMYFUNCTION("""COMPUTED_VALUE"""),1.59)</f>
        <v>1.59</v>
      </c>
      <c r="H3535" s="17"/>
      <c r="K3535" s="17"/>
      <c r="N3535" s="17"/>
    </row>
    <row r="3536">
      <c r="B3536" s="11">
        <f>IFERROR(__xludf.DUMMYFUNCTION("""COMPUTED_VALUE"""),41075.0)</f>
        <v>41075</v>
      </c>
      <c r="C3536" s="9">
        <f>IFERROR(__xludf.DUMMYFUNCTION("""COMPUTED_VALUE"""),1.6)</f>
        <v>1.6</v>
      </c>
      <c r="H3536" s="17"/>
      <c r="K3536" s="17"/>
      <c r="N3536" s="17"/>
    </row>
    <row r="3537">
      <c r="B3537" s="11">
        <f>IFERROR(__xludf.DUMMYFUNCTION("""COMPUTED_VALUE"""),41074.0)</f>
        <v>41074</v>
      </c>
      <c r="C3537" s="9">
        <f>IFERROR(__xludf.DUMMYFUNCTION("""COMPUTED_VALUE"""),1.64)</f>
        <v>1.64</v>
      </c>
      <c r="H3537" s="17"/>
      <c r="K3537" s="17"/>
      <c r="N3537" s="17"/>
    </row>
    <row r="3538">
      <c r="B3538" s="11">
        <f>IFERROR(__xludf.DUMMYFUNCTION("""COMPUTED_VALUE"""),41073.0)</f>
        <v>41073</v>
      </c>
      <c r="C3538" s="9">
        <f>IFERROR(__xludf.DUMMYFUNCTION("""COMPUTED_VALUE"""),1.61)</f>
        <v>1.61</v>
      </c>
      <c r="H3538" s="17"/>
      <c r="K3538" s="17"/>
      <c r="N3538" s="17"/>
    </row>
    <row r="3539">
      <c r="B3539" s="11">
        <f>IFERROR(__xludf.DUMMYFUNCTION("""COMPUTED_VALUE"""),41072.0)</f>
        <v>41072</v>
      </c>
      <c r="C3539" s="9">
        <f>IFERROR(__xludf.DUMMYFUNCTION("""COMPUTED_VALUE"""),1.67)</f>
        <v>1.67</v>
      </c>
      <c r="H3539" s="17"/>
      <c r="K3539" s="17"/>
      <c r="N3539" s="17"/>
    </row>
    <row r="3540">
      <c r="B3540" s="11">
        <f>IFERROR(__xludf.DUMMYFUNCTION("""COMPUTED_VALUE"""),41071.0)</f>
        <v>41071</v>
      </c>
      <c r="C3540" s="9">
        <f>IFERROR(__xludf.DUMMYFUNCTION("""COMPUTED_VALUE"""),1.6)</f>
        <v>1.6</v>
      </c>
      <c r="H3540" s="17"/>
      <c r="K3540" s="17"/>
      <c r="N3540" s="17"/>
    </row>
    <row r="3541">
      <c r="B3541" s="11">
        <f>IFERROR(__xludf.DUMMYFUNCTION("""COMPUTED_VALUE"""),41068.0)</f>
        <v>41068</v>
      </c>
      <c r="C3541" s="9">
        <f>IFERROR(__xludf.DUMMYFUNCTION("""COMPUTED_VALUE"""),1.65)</f>
        <v>1.65</v>
      </c>
      <c r="H3541" s="17"/>
      <c r="K3541" s="17"/>
      <c r="N3541" s="17"/>
    </row>
    <row r="3542">
      <c r="B3542" s="11">
        <f>IFERROR(__xludf.DUMMYFUNCTION("""COMPUTED_VALUE"""),41067.0)</f>
        <v>41067</v>
      </c>
      <c r="C3542" s="9">
        <f>IFERROR(__xludf.DUMMYFUNCTION("""COMPUTED_VALUE"""),1.66)</f>
        <v>1.66</v>
      </c>
      <c r="H3542" s="17"/>
      <c r="K3542" s="17"/>
      <c r="N3542" s="17"/>
    </row>
    <row r="3543">
      <c r="B3543" s="11">
        <f>IFERROR(__xludf.DUMMYFUNCTION("""COMPUTED_VALUE"""),41066.0)</f>
        <v>41066</v>
      </c>
      <c r="C3543" s="9">
        <f>IFERROR(__xludf.DUMMYFUNCTION("""COMPUTED_VALUE"""),1.66)</f>
        <v>1.66</v>
      </c>
      <c r="H3543" s="17"/>
      <c r="K3543" s="17"/>
      <c r="N3543" s="17"/>
    </row>
    <row r="3544">
      <c r="B3544" s="11">
        <f>IFERROR(__xludf.DUMMYFUNCTION("""COMPUTED_VALUE"""),41065.0)</f>
        <v>41065</v>
      </c>
      <c r="C3544" s="9">
        <f>IFERROR(__xludf.DUMMYFUNCTION("""COMPUTED_VALUE"""),1.57)</f>
        <v>1.57</v>
      </c>
      <c r="H3544" s="17"/>
      <c r="K3544" s="17"/>
      <c r="N3544" s="17"/>
    </row>
    <row r="3545">
      <c r="B3545" s="11">
        <f>IFERROR(__xludf.DUMMYFUNCTION("""COMPUTED_VALUE"""),41064.0)</f>
        <v>41064</v>
      </c>
      <c r="C3545" s="9">
        <f>IFERROR(__xludf.DUMMYFUNCTION("""COMPUTED_VALUE"""),1.53)</f>
        <v>1.53</v>
      </c>
      <c r="H3545" s="17"/>
      <c r="K3545" s="17"/>
      <c r="N3545" s="17"/>
    </row>
    <row r="3546">
      <c r="B3546" s="11">
        <f>IFERROR(__xludf.DUMMYFUNCTION("""COMPUTED_VALUE"""),41061.0)</f>
        <v>41061</v>
      </c>
      <c r="C3546" s="9">
        <f>IFERROR(__xludf.DUMMYFUNCTION("""COMPUTED_VALUE"""),1.47)</f>
        <v>1.47</v>
      </c>
      <c r="H3546" s="17"/>
      <c r="K3546" s="17"/>
      <c r="N3546" s="17"/>
    </row>
    <row r="3547">
      <c r="B3547" s="11">
        <f>IFERROR(__xludf.DUMMYFUNCTION("""COMPUTED_VALUE"""),41060.0)</f>
        <v>41060</v>
      </c>
      <c r="C3547" s="9">
        <f>IFERROR(__xludf.DUMMYFUNCTION("""COMPUTED_VALUE"""),1.59)</f>
        <v>1.59</v>
      </c>
      <c r="H3547" s="17"/>
      <c r="K3547" s="17"/>
      <c r="N3547" s="17"/>
    </row>
    <row r="3548">
      <c r="B3548" s="11">
        <f>IFERROR(__xludf.DUMMYFUNCTION("""COMPUTED_VALUE"""),41059.0)</f>
        <v>41059</v>
      </c>
      <c r="C3548" s="9">
        <f>IFERROR(__xludf.DUMMYFUNCTION("""COMPUTED_VALUE"""),1.63)</f>
        <v>1.63</v>
      </c>
      <c r="H3548" s="17"/>
      <c r="K3548" s="17"/>
      <c r="N3548" s="17"/>
    </row>
    <row r="3549">
      <c r="B3549" s="11">
        <f>IFERROR(__xludf.DUMMYFUNCTION("""COMPUTED_VALUE"""),41058.0)</f>
        <v>41058</v>
      </c>
      <c r="C3549" s="9">
        <f>IFERROR(__xludf.DUMMYFUNCTION("""COMPUTED_VALUE"""),1.74)</f>
        <v>1.74</v>
      </c>
      <c r="H3549" s="17"/>
      <c r="K3549" s="17"/>
      <c r="N3549" s="17"/>
    </row>
    <row r="3550">
      <c r="B3550" s="11">
        <f>IFERROR(__xludf.DUMMYFUNCTION("""COMPUTED_VALUE"""),41057.0)</f>
        <v>41057</v>
      </c>
      <c r="C3550" s="9"/>
      <c r="H3550" s="17"/>
      <c r="K3550" s="17"/>
      <c r="N3550" s="17"/>
    </row>
    <row r="3551">
      <c r="B3551" s="11">
        <f>IFERROR(__xludf.DUMMYFUNCTION("""COMPUTED_VALUE"""),41054.0)</f>
        <v>41054</v>
      </c>
      <c r="C3551" s="9">
        <f>IFERROR(__xludf.DUMMYFUNCTION("""COMPUTED_VALUE"""),1.75)</f>
        <v>1.75</v>
      </c>
      <c r="H3551" s="17"/>
      <c r="K3551" s="17"/>
      <c r="N3551" s="17"/>
    </row>
    <row r="3552">
      <c r="B3552" s="11">
        <f>IFERROR(__xludf.DUMMYFUNCTION("""COMPUTED_VALUE"""),41053.0)</f>
        <v>41053</v>
      </c>
      <c r="C3552" s="9">
        <f>IFERROR(__xludf.DUMMYFUNCTION("""COMPUTED_VALUE"""),1.77)</f>
        <v>1.77</v>
      </c>
      <c r="H3552" s="17"/>
      <c r="K3552" s="17"/>
      <c r="N3552" s="17"/>
    </row>
    <row r="3553">
      <c r="B3553" s="11">
        <f>IFERROR(__xludf.DUMMYFUNCTION("""COMPUTED_VALUE"""),41052.0)</f>
        <v>41052</v>
      </c>
      <c r="C3553" s="9">
        <f>IFERROR(__xludf.DUMMYFUNCTION("""COMPUTED_VALUE"""),1.73)</f>
        <v>1.73</v>
      </c>
      <c r="H3553" s="17"/>
      <c r="K3553" s="17"/>
      <c r="N3553" s="17"/>
    </row>
    <row r="3554">
      <c r="B3554" s="11">
        <f>IFERROR(__xludf.DUMMYFUNCTION("""COMPUTED_VALUE"""),41051.0)</f>
        <v>41051</v>
      </c>
      <c r="C3554" s="9">
        <f>IFERROR(__xludf.DUMMYFUNCTION("""COMPUTED_VALUE"""),1.79)</f>
        <v>1.79</v>
      </c>
      <c r="H3554" s="17"/>
      <c r="K3554" s="17"/>
      <c r="N3554" s="17"/>
    </row>
    <row r="3555">
      <c r="B3555" s="11">
        <f>IFERROR(__xludf.DUMMYFUNCTION("""COMPUTED_VALUE"""),41050.0)</f>
        <v>41050</v>
      </c>
      <c r="C3555" s="9">
        <f>IFERROR(__xludf.DUMMYFUNCTION("""COMPUTED_VALUE"""),1.75)</f>
        <v>1.75</v>
      </c>
      <c r="H3555" s="17"/>
      <c r="K3555" s="17"/>
      <c r="N3555" s="17"/>
    </row>
    <row r="3556">
      <c r="B3556" s="11">
        <f>IFERROR(__xludf.DUMMYFUNCTION("""COMPUTED_VALUE"""),41047.0)</f>
        <v>41047</v>
      </c>
      <c r="C3556" s="9">
        <f>IFERROR(__xludf.DUMMYFUNCTION("""COMPUTED_VALUE"""),1.71)</f>
        <v>1.71</v>
      </c>
      <c r="H3556" s="17"/>
      <c r="K3556" s="17"/>
      <c r="N3556" s="17"/>
    </row>
    <row r="3557">
      <c r="B3557" s="11">
        <f>IFERROR(__xludf.DUMMYFUNCTION("""COMPUTED_VALUE"""),41046.0)</f>
        <v>41046</v>
      </c>
      <c r="C3557" s="9">
        <f>IFERROR(__xludf.DUMMYFUNCTION("""COMPUTED_VALUE"""),1.7)</f>
        <v>1.7</v>
      </c>
      <c r="H3557" s="17"/>
      <c r="K3557" s="17"/>
      <c r="N3557" s="17"/>
    </row>
    <row r="3558">
      <c r="B3558" s="11">
        <f>IFERROR(__xludf.DUMMYFUNCTION("""COMPUTED_VALUE"""),41045.0)</f>
        <v>41045</v>
      </c>
      <c r="C3558" s="9">
        <f>IFERROR(__xludf.DUMMYFUNCTION("""COMPUTED_VALUE"""),1.76)</f>
        <v>1.76</v>
      </c>
      <c r="H3558" s="17"/>
      <c r="K3558" s="17"/>
      <c r="N3558" s="17"/>
    </row>
    <row r="3559">
      <c r="B3559" s="11">
        <f>IFERROR(__xludf.DUMMYFUNCTION("""COMPUTED_VALUE"""),41044.0)</f>
        <v>41044</v>
      </c>
      <c r="C3559" s="9">
        <f>IFERROR(__xludf.DUMMYFUNCTION("""COMPUTED_VALUE"""),1.76)</f>
        <v>1.76</v>
      </c>
      <c r="H3559" s="17"/>
      <c r="K3559" s="17"/>
      <c r="N3559" s="17"/>
    </row>
    <row r="3560">
      <c r="B3560" s="11">
        <f>IFERROR(__xludf.DUMMYFUNCTION("""COMPUTED_VALUE"""),41043.0)</f>
        <v>41043</v>
      </c>
      <c r="C3560" s="9">
        <f>IFERROR(__xludf.DUMMYFUNCTION("""COMPUTED_VALUE"""),1.78)</f>
        <v>1.78</v>
      </c>
      <c r="H3560" s="17"/>
      <c r="K3560" s="17"/>
      <c r="N3560" s="17"/>
    </row>
    <row r="3561">
      <c r="B3561" s="11">
        <f>IFERROR(__xludf.DUMMYFUNCTION("""COMPUTED_VALUE"""),41040.0)</f>
        <v>41040</v>
      </c>
      <c r="C3561" s="9">
        <f>IFERROR(__xludf.DUMMYFUNCTION("""COMPUTED_VALUE"""),1.84)</f>
        <v>1.84</v>
      </c>
      <c r="H3561" s="17"/>
      <c r="K3561" s="17"/>
      <c r="N3561" s="17"/>
    </row>
    <row r="3562">
      <c r="B3562" s="11">
        <f>IFERROR(__xludf.DUMMYFUNCTION("""COMPUTED_VALUE"""),41039.0)</f>
        <v>41039</v>
      </c>
      <c r="C3562" s="9">
        <f>IFERROR(__xludf.DUMMYFUNCTION("""COMPUTED_VALUE"""),1.89)</f>
        <v>1.89</v>
      </c>
      <c r="H3562" s="17"/>
      <c r="K3562" s="17"/>
      <c r="N3562" s="17"/>
    </row>
    <row r="3563">
      <c r="B3563" s="11">
        <f>IFERROR(__xludf.DUMMYFUNCTION("""COMPUTED_VALUE"""),41038.0)</f>
        <v>41038</v>
      </c>
      <c r="C3563" s="9">
        <f>IFERROR(__xludf.DUMMYFUNCTION("""COMPUTED_VALUE"""),1.87)</f>
        <v>1.87</v>
      </c>
      <c r="H3563" s="17"/>
      <c r="K3563" s="17"/>
      <c r="N3563" s="17"/>
    </row>
    <row r="3564">
      <c r="B3564" s="11">
        <f>IFERROR(__xludf.DUMMYFUNCTION("""COMPUTED_VALUE"""),41037.0)</f>
        <v>41037</v>
      </c>
      <c r="C3564" s="9">
        <f>IFERROR(__xludf.DUMMYFUNCTION("""COMPUTED_VALUE"""),1.88)</f>
        <v>1.88</v>
      </c>
      <c r="H3564" s="17"/>
      <c r="K3564" s="17"/>
      <c r="N3564" s="17"/>
    </row>
    <row r="3565">
      <c r="B3565" s="11">
        <f>IFERROR(__xludf.DUMMYFUNCTION("""COMPUTED_VALUE"""),41036.0)</f>
        <v>41036</v>
      </c>
      <c r="C3565" s="9">
        <f>IFERROR(__xludf.DUMMYFUNCTION("""COMPUTED_VALUE"""),1.92)</f>
        <v>1.92</v>
      </c>
      <c r="H3565" s="17"/>
      <c r="K3565" s="17"/>
      <c r="N3565" s="17"/>
    </row>
    <row r="3566">
      <c r="B3566" s="11">
        <f>IFERROR(__xludf.DUMMYFUNCTION("""COMPUTED_VALUE"""),41033.0)</f>
        <v>41033</v>
      </c>
      <c r="C3566" s="9">
        <f>IFERROR(__xludf.DUMMYFUNCTION("""COMPUTED_VALUE"""),1.91)</f>
        <v>1.91</v>
      </c>
      <c r="H3566" s="17"/>
      <c r="K3566" s="17"/>
      <c r="N3566" s="17"/>
    </row>
    <row r="3567">
      <c r="B3567" s="11">
        <f>IFERROR(__xludf.DUMMYFUNCTION("""COMPUTED_VALUE"""),41032.0)</f>
        <v>41032</v>
      </c>
      <c r="C3567" s="9">
        <f>IFERROR(__xludf.DUMMYFUNCTION("""COMPUTED_VALUE"""),1.96)</f>
        <v>1.96</v>
      </c>
      <c r="H3567" s="17"/>
      <c r="K3567" s="17"/>
      <c r="N3567" s="17"/>
    </row>
    <row r="3568">
      <c r="B3568" s="11">
        <f>IFERROR(__xludf.DUMMYFUNCTION("""COMPUTED_VALUE"""),41031.0)</f>
        <v>41031</v>
      </c>
      <c r="C3568" s="9">
        <f>IFERROR(__xludf.DUMMYFUNCTION("""COMPUTED_VALUE"""),1.96)</f>
        <v>1.96</v>
      </c>
      <c r="H3568" s="17"/>
      <c r="K3568" s="17"/>
      <c r="N3568" s="17"/>
    </row>
    <row r="3569">
      <c r="B3569" s="11">
        <f>IFERROR(__xludf.DUMMYFUNCTION("""COMPUTED_VALUE"""),41030.0)</f>
        <v>41030</v>
      </c>
      <c r="C3569" s="9">
        <f>IFERROR(__xludf.DUMMYFUNCTION("""COMPUTED_VALUE"""),1.98)</f>
        <v>1.98</v>
      </c>
      <c r="H3569" s="17"/>
      <c r="K3569" s="17"/>
      <c r="N3569" s="17"/>
    </row>
    <row r="3570">
      <c r="B3570" s="11">
        <f>IFERROR(__xludf.DUMMYFUNCTION("""COMPUTED_VALUE"""),41029.0)</f>
        <v>41029</v>
      </c>
      <c r="C3570" s="9">
        <f>IFERROR(__xludf.DUMMYFUNCTION("""COMPUTED_VALUE"""),1.95)</f>
        <v>1.95</v>
      </c>
      <c r="H3570" s="17"/>
      <c r="K3570" s="17"/>
      <c r="N3570" s="17"/>
    </row>
    <row r="3571">
      <c r="B3571" s="11">
        <f>IFERROR(__xludf.DUMMYFUNCTION("""COMPUTED_VALUE"""),41026.0)</f>
        <v>41026</v>
      </c>
      <c r="C3571" s="9">
        <f>IFERROR(__xludf.DUMMYFUNCTION("""COMPUTED_VALUE"""),1.96)</f>
        <v>1.96</v>
      </c>
      <c r="H3571" s="17"/>
      <c r="K3571" s="17"/>
      <c r="N3571" s="17"/>
    </row>
    <row r="3572">
      <c r="B3572" s="11">
        <f>IFERROR(__xludf.DUMMYFUNCTION("""COMPUTED_VALUE"""),41025.0)</f>
        <v>41025</v>
      </c>
      <c r="C3572" s="9">
        <f>IFERROR(__xludf.DUMMYFUNCTION("""COMPUTED_VALUE"""),1.98)</f>
        <v>1.98</v>
      </c>
      <c r="H3572" s="17"/>
      <c r="K3572" s="17"/>
      <c r="N3572" s="17"/>
    </row>
    <row r="3573">
      <c r="B3573" s="11">
        <f>IFERROR(__xludf.DUMMYFUNCTION("""COMPUTED_VALUE"""),41024.0)</f>
        <v>41024</v>
      </c>
      <c r="C3573" s="9">
        <f>IFERROR(__xludf.DUMMYFUNCTION("""COMPUTED_VALUE"""),2.01)</f>
        <v>2.01</v>
      </c>
      <c r="H3573" s="17"/>
      <c r="K3573" s="17"/>
      <c r="N3573" s="17"/>
    </row>
    <row r="3574">
      <c r="B3574" s="11">
        <f>IFERROR(__xludf.DUMMYFUNCTION("""COMPUTED_VALUE"""),41023.0)</f>
        <v>41023</v>
      </c>
      <c r="C3574" s="9">
        <f>IFERROR(__xludf.DUMMYFUNCTION("""COMPUTED_VALUE"""),2.0)</f>
        <v>2</v>
      </c>
      <c r="H3574" s="17"/>
      <c r="K3574" s="17"/>
      <c r="N3574" s="17"/>
    </row>
    <row r="3575">
      <c r="B3575" s="11">
        <f>IFERROR(__xludf.DUMMYFUNCTION("""COMPUTED_VALUE"""),41022.0)</f>
        <v>41022</v>
      </c>
      <c r="C3575" s="9">
        <f>IFERROR(__xludf.DUMMYFUNCTION("""COMPUTED_VALUE"""),1.96)</f>
        <v>1.96</v>
      </c>
      <c r="H3575" s="17"/>
      <c r="K3575" s="17"/>
      <c r="N3575" s="17"/>
    </row>
    <row r="3576">
      <c r="B3576" s="11">
        <f>IFERROR(__xludf.DUMMYFUNCTION("""COMPUTED_VALUE"""),41019.0)</f>
        <v>41019</v>
      </c>
      <c r="C3576" s="9">
        <f>IFERROR(__xludf.DUMMYFUNCTION("""COMPUTED_VALUE"""),1.99)</f>
        <v>1.99</v>
      </c>
      <c r="H3576" s="17"/>
      <c r="K3576" s="17"/>
      <c r="N3576" s="17"/>
    </row>
    <row r="3577">
      <c r="B3577" s="11">
        <f>IFERROR(__xludf.DUMMYFUNCTION("""COMPUTED_VALUE"""),41018.0)</f>
        <v>41018</v>
      </c>
      <c r="C3577" s="9">
        <f>IFERROR(__xludf.DUMMYFUNCTION("""COMPUTED_VALUE"""),1.98)</f>
        <v>1.98</v>
      </c>
      <c r="H3577" s="17"/>
      <c r="K3577" s="17"/>
      <c r="N3577" s="17"/>
    </row>
    <row r="3578">
      <c r="B3578" s="11">
        <f>IFERROR(__xludf.DUMMYFUNCTION("""COMPUTED_VALUE"""),41017.0)</f>
        <v>41017</v>
      </c>
      <c r="C3578" s="9">
        <f>IFERROR(__xludf.DUMMYFUNCTION("""COMPUTED_VALUE"""),2.0)</f>
        <v>2</v>
      </c>
      <c r="H3578" s="17"/>
      <c r="K3578" s="17"/>
      <c r="N3578" s="17"/>
    </row>
    <row r="3579">
      <c r="B3579" s="11">
        <f>IFERROR(__xludf.DUMMYFUNCTION("""COMPUTED_VALUE"""),41016.0)</f>
        <v>41016</v>
      </c>
      <c r="C3579" s="9">
        <f>IFERROR(__xludf.DUMMYFUNCTION("""COMPUTED_VALUE"""),2.03)</f>
        <v>2.03</v>
      </c>
      <c r="H3579" s="17"/>
      <c r="K3579" s="17"/>
      <c r="N3579" s="17"/>
    </row>
    <row r="3580">
      <c r="B3580" s="11">
        <f>IFERROR(__xludf.DUMMYFUNCTION("""COMPUTED_VALUE"""),41015.0)</f>
        <v>41015</v>
      </c>
      <c r="C3580" s="9">
        <f>IFERROR(__xludf.DUMMYFUNCTION("""COMPUTED_VALUE"""),2.0)</f>
        <v>2</v>
      </c>
      <c r="H3580" s="17"/>
      <c r="K3580" s="17"/>
      <c r="N3580" s="17"/>
    </row>
    <row r="3581">
      <c r="B3581" s="11">
        <f>IFERROR(__xludf.DUMMYFUNCTION("""COMPUTED_VALUE"""),41012.0)</f>
        <v>41012</v>
      </c>
      <c r="C3581" s="9">
        <f>IFERROR(__xludf.DUMMYFUNCTION("""COMPUTED_VALUE"""),2.02)</f>
        <v>2.02</v>
      </c>
      <c r="H3581" s="17"/>
      <c r="K3581" s="17"/>
      <c r="N3581" s="17"/>
    </row>
    <row r="3582">
      <c r="B3582" s="11">
        <f>IFERROR(__xludf.DUMMYFUNCTION("""COMPUTED_VALUE"""),41011.0)</f>
        <v>41011</v>
      </c>
      <c r="C3582" s="9">
        <f>IFERROR(__xludf.DUMMYFUNCTION("""COMPUTED_VALUE"""),2.08)</f>
        <v>2.08</v>
      </c>
      <c r="H3582" s="17"/>
      <c r="K3582" s="17"/>
      <c r="N3582" s="17"/>
    </row>
    <row r="3583">
      <c r="B3583" s="11">
        <f>IFERROR(__xludf.DUMMYFUNCTION("""COMPUTED_VALUE"""),41010.0)</f>
        <v>41010</v>
      </c>
      <c r="C3583" s="9">
        <f>IFERROR(__xludf.DUMMYFUNCTION("""COMPUTED_VALUE"""),2.05)</f>
        <v>2.05</v>
      </c>
      <c r="H3583" s="17"/>
      <c r="K3583" s="17"/>
      <c r="N3583" s="17"/>
    </row>
    <row r="3584">
      <c r="B3584" s="11">
        <f>IFERROR(__xludf.DUMMYFUNCTION("""COMPUTED_VALUE"""),41009.0)</f>
        <v>41009</v>
      </c>
      <c r="C3584" s="9">
        <f>IFERROR(__xludf.DUMMYFUNCTION("""COMPUTED_VALUE"""),2.01)</f>
        <v>2.01</v>
      </c>
      <c r="H3584" s="17"/>
      <c r="K3584" s="17"/>
      <c r="N3584" s="17"/>
    </row>
    <row r="3585">
      <c r="B3585" s="11">
        <f>IFERROR(__xludf.DUMMYFUNCTION("""COMPUTED_VALUE"""),41008.0)</f>
        <v>41008</v>
      </c>
      <c r="C3585" s="9">
        <f>IFERROR(__xludf.DUMMYFUNCTION("""COMPUTED_VALUE"""),2.06)</f>
        <v>2.06</v>
      </c>
      <c r="H3585" s="17"/>
      <c r="K3585" s="17"/>
      <c r="N3585" s="17"/>
    </row>
    <row r="3586">
      <c r="B3586" s="11">
        <f>IFERROR(__xludf.DUMMYFUNCTION("""COMPUTED_VALUE"""),41005.0)</f>
        <v>41005</v>
      </c>
      <c r="C3586" s="9">
        <f>IFERROR(__xludf.DUMMYFUNCTION("""COMPUTED_VALUE"""),2.07)</f>
        <v>2.07</v>
      </c>
      <c r="H3586" s="17"/>
      <c r="K3586" s="17"/>
      <c r="N3586" s="17"/>
    </row>
    <row r="3587">
      <c r="B3587" s="11">
        <f>IFERROR(__xludf.DUMMYFUNCTION("""COMPUTED_VALUE"""),41004.0)</f>
        <v>41004</v>
      </c>
      <c r="C3587" s="9">
        <f>IFERROR(__xludf.DUMMYFUNCTION("""COMPUTED_VALUE"""),2.19)</f>
        <v>2.19</v>
      </c>
      <c r="H3587" s="17"/>
      <c r="K3587" s="17"/>
      <c r="N3587" s="17"/>
    </row>
    <row r="3588">
      <c r="B3588" s="11">
        <f>IFERROR(__xludf.DUMMYFUNCTION("""COMPUTED_VALUE"""),41003.0)</f>
        <v>41003</v>
      </c>
      <c r="C3588" s="9">
        <f>IFERROR(__xludf.DUMMYFUNCTION("""COMPUTED_VALUE"""),2.25)</f>
        <v>2.25</v>
      </c>
      <c r="H3588" s="17"/>
      <c r="K3588" s="17"/>
      <c r="N3588" s="17"/>
    </row>
    <row r="3589">
      <c r="B3589" s="11">
        <f>IFERROR(__xludf.DUMMYFUNCTION("""COMPUTED_VALUE"""),41002.0)</f>
        <v>41002</v>
      </c>
      <c r="C3589" s="9">
        <f>IFERROR(__xludf.DUMMYFUNCTION("""COMPUTED_VALUE"""),2.3)</f>
        <v>2.3</v>
      </c>
      <c r="H3589" s="17"/>
      <c r="K3589" s="17"/>
      <c r="N3589" s="17"/>
    </row>
    <row r="3590">
      <c r="B3590" s="11">
        <f>IFERROR(__xludf.DUMMYFUNCTION("""COMPUTED_VALUE"""),41001.0)</f>
        <v>41001</v>
      </c>
      <c r="C3590" s="9">
        <f>IFERROR(__xludf.DUMMYFUNCTION("""COMPUTED_VALUE"""),2.22)</f>
        <v>2.22</v>
      </c>
      <c r="H3590" s="17"/>
      <c r="K3590" s="17"/>
      <c r="N3590" s="17"/>
    </row>
    <row r="3591">
      <c r="B3591" s="11">
        <f>IFERROR(__xludf.DUMMYFUNCTION("""COMPUTED_VALUE"""),40998.0)</f>
        <v>40998</v>
      </c>
      <c r="C3591" s="9">
        <f>IFERROR(__xludf.DUMMYFUNCTION("""COMPUTED_VALUE"""),2.23)</f>
        <v>2.23</v>
      </c>
      <c r="H3591" s="17"/>
      <c r="K3591" s="17"/>
      <c r="N3591" s="17"/>
    </row>
    <row r="3592">
      <c r="B3592" s="11">
        <f>IFERROR(__xludf.DUMMYFUNCTION("""COMPUTED_VALUE"""),40997.0)</f>
        <v>40997</v>
      </c>
      <c r="C3592" s="9">
        <f>IFERROR(__xludf.DUMMYFUNCTION("""COMPUTED_VALUE"""),2.18)</f>
        <v>2.18</v>
      </c>
      <c r="H3592" s="17"/>
      <c r="K3592" s="17"/>
      <c r="N3592" s="17"/>
    </row>
    <row r="3593">
      <c r="B3593" s="11">
        <f>IFERROR(__xludf.DUMMYFUNCTION("""COMPUTED_VALUE"""),40996.0)</f>
        <v>40996</v>
      </c>
      <c r="C3593" s="9">
        <f>IFERROR(__xludf.DUMMYFUNCTION("""COMPUTED_VALUE"""),2.21)</f>
        <v>2.21</v>
      </c>
      <c r="H3593" s="17"/>
      <c r="K3593" s="17"/>
      <c r="N3593" s="17"/>
    </row>
    <row r="3594">
      <c r="B3594" s="11">
        <f>IFERROR(__xludf.DUMMYFUNCTION("""COMPUTED_VALUE"""),40995.0)</f>
        <v>40995</v>
      </c>
      <c r="C3594" s="9">
        <f>IFERROR(__xludf.DUMMYFUNCTION("""COMPUTED_VALUE"""),2.2)</f>
        <v>2.2</v>
      </c>
      <c r="H3594" s="17"/>
      <c r="K3594" s="17"/>
      <c r="N3594" s="17"/>
    </row>
    <row r="3595">
      <c r="B3595" s="11">
        <f>IFERROR(__xludf.DUMMYFUNCTION("""COMPUTED_VALUE"""),40994.0)</f>
        <v>40994</v>
      </c>
      <c r="C3595" s="9">
        <f>IFERROR(__xludf.DUMMYFUNCTION("""COMPUTED_VALUE"""),2.26)</f>
        <v>2.26</v>
      </c>
      <c r="H3595" s="17"/>
      <c r="K3595" s="17"/>
      <c r="N3595" s="17"/>
    </row>
    <row r="3596">
      <c r="B3596" s="11">
        <f>IFERROR(__xludf.DUMMYFUNCTION("""COMPUTED_VALUE"""),40991.0)</f>
        <v>40991</v>
      </c>
      <c r="C3596" s="9">
        <f>IFERROR(__xludf.DUMMYFUNCTION("""COMPUTED_VALUE"""),2.25)</f>
        <v>2.25</v>
      </c>
      <c r="H3596" s="17"/>
      <c r="K3596" s="17"/>
      <c r="N3596" s="17"/>
    </row>
    <row r="3597">
      <c r="B3597" s="11">
        <f>IFERROR(__xludf.DUMMYFUNCTION("""COMPUTED_VALUE"""),40990.0)</f>
        <v>40990</v>
      </c>
      <c r="C3597" s="9">
        <f>IFERROR(__xludf.DUMMYFUNCTION("""COMPUTED_VALUE"""),2.29)</f>
        <v>2.29</v>
      </c>
      <c r="H3597" s="17"/>
      <c r="K3597" s="17"/>
      <c r="N3597" s="17"/>
    </row>
    <row r="3598">
      <c r="B3598" s="11">
        <f>IFERROR(__xludf.DUMMYFUNCTION("""COMPUTED_VALUE"""),40989.0)</f>
        <v>40989</v>
      </c>
      <c r="C3598" s="9">
        <f>IFERROR(__xludf.DUMMYFUNCTION("""COMPUTED_VALUE"""),2.31)</f>
        <v>2.31</v>
      </c>
      <c r="H3598" s="17"/>
      <c r="K3598" s="17"/>
      <c r="N3598" s="17"/>
    </row>
    <row r="3599">
      <c r="B3599" s="11">
        <f>IFERROR(__xludf.DUMMYFUNCTION("""COMPUTED_VALUE"""),40988.0)</f>
        <v>40988</v>
      </c>
      <c r="C3599" s="9">
        <f>IFERROR(__xludf.DUMMYFUNCTION("""COMPUTED_VALUE"""),2.38)</f>
        <v>2.38</v>
      </c>
      <c r="H3599" s="17"/>
      <c r="K3599" s="17"/>
      <c r="N3599" s="17"/>
    </row>
    <row r="3600">
      <c r="B3600" s="11">
        <f>IFERROR(__xludf.DUMMYFUNCTION("""COMPUTED_VALUE"""),40987.0)</f>
        <v>40987</v>
      </c>
      <c r="C3600" s="9">
        <f>IFERROR(__xludf.DUMMYFUNCTION("""COMPUTED_VALUE"""),2.39)</f>
        <v>2.39</v>
      </c>
      <c r="H3600" s="17"/>
      <c r="K3600" s="17"/>
      <c r="N3600" s="17"/>
    </row>
    <row r="3601">
      <c r="B3601" s="11">
        <f>IFERROR(__xludf.DUMMYFUNCTION("""COMPUTED_VALUE"""),40984.0)</f>
        <v>40984</v>
      </c>
      <c r="C3601" s="9">
        <f>IFERROR(__xludf.DUMMYFUNCTION("""COMPUTED_VALUE"""),2.31)</f>
        <v>2.31</v>
      </c>
      <c r="H3601" s="17"/>
      <c r="K3601" s="17"/>
      <c r="N3601" s="17"/>
    </row>
    <row r="3602">
      <c r="B3602" s="11">
        <f>IFERROR(__xludf.DUMMYFUNCTION("""COMPUTED_VALUE"""),40983.0)</f>
        <v>40983</v>
      </c>
      <c r="C3602" s="9">
        <f>IFERROR(__xludf.DUMMYFUNCTION("""COMPUTED_VALUE"""),2.29)</f>
        <v>2.29</v>
      </c>
      <c r="H3602" s="17"/>
      <c r="K3602" s="17"/>
      <c r="N3602" s="17"/>
    </row>
    <row r="3603">
      <c r="B3603" s="11">
        <f>IFERROR(__xludf.DUMMYFUNCTION("""COMPUTED_VALUE"""),40982.0)</f>
        <v>40982</v>
      </c>
      <c r="C3603" s="9">
        <f>IFERROR(__xludf.DUMMYFUNCTION("""COMPUTED_VALUE"""),2.29)</f>
        <v>2.29</v>
      </c>
      <c r="H3603" s="17"/>
      <c r="K3603" s="17"/>
      <c r="N3603" s="17"/>
    </row>
    <row r="3604">
      <c r="B3604" s="11">
        <f>IFERROR(__xludf.DUMMYFUNCTION("""COMPUTED_VALUE"""),40981.0)</f>
        <v>40981</v>
      </c>
      <c r="C3604" s="9">
        <f>IFERROR(__xludf.DUMMYFUNCTION("""COMPUTED_VALUE"""),2.14)</f>
        <v>2.14</v>
      </c>
      <c r="H3604" s="17"/>
      <c r="K3604" s="17"/>
      <c r="N3604" s="17"/>
    </row>
    <row r="3605">
      <c r="B3605" s="11">
        <f>IFERROR(__xludf.DUMMYFUNCTION("""COMPUTED_VALUE"""),40980.0)</f>
        <v>40980</v>
      </c>
      <c r="C3605" s="9">
        <f>IFERROR(__xludf.DUMMYFUNCTION("""COMPUTED_VALUE"""),2.04)</f>
        <v>2.04</v>
      </c>
      <c r="H3605" s="17"/>
      <c r="K3605" s="17"/>
      <c r="N3605" s="17"/>
    </row>
    <row r="3606">
      <c r="B3606" s="11">
        <f>IFERROR(__xludf.DUMMYFUNCTION("""COMPUTED_VALUE"""),40977.0)</f>
        <v>40977</v>
      </c>
      <c r="C3606" s="9">
        <f>IFERROR(__xludf.DUMMYFUNCTION("""COMPUTED_VALUE"""),2.04)</f>
        <v>2.04</v>
      </c>
      <c r="H3606" s="17"/>
      <c r="K3606" s="17"/>
      <c r="N3606" s="17"/>
    </row>
    <row r="3607">
      <c r="B3607" s="11">
        <f>IFERROR(__xludf.DUMMYFUNCTION("""COMPUTED_VALUE"""),40976.0)</f>
        <v>40976</v>
      </c>
      <c r="C3607" s="9">
        <f>IFERROR(__xludf.DUMMYFUNCTION("""COMPUTED_VALUE"""),2.03)</f>
        <v>2.03</v>
      </c>
      <c r="H3607" s="17"/>
      <c r="K3607" s="17"/>
      <c r="N3607" s="17"/>
    </row>
    <row r="3608">
      <c r="B3608" s="11">
        <f>IFERROR(__xludf.DUMMYFUNCTION("""COMPUTED_VALUE"""),40975.0)</f>
        <v>40975</v>
      </c>
      <c r="C3608" s="9">
        <f>IFERROR(__xludf.DUMMYFUNCTION("""COMPUTED_VALUE"""),1.98)</f>
        <v>1.98</v>
      </c>
      <c r="H3608" s="17"/>
      <c r="K3608" s="17"/>
      <c r="N3608" s="17"/>
    </row>
    <row r="3609">
      <c r="B3609" s="11">
        <f>IFERROR(__xludf.DUMMYFUNCTION("""COMPUTED_VALUE"""),40974.0)</f>
        <v>40974</v>
      </c>
      <c r="C3609" s="9">
        <f>IFERROR(__xludf.DUMMYFUNCTION("""COMPUTED_VALUE"""),1.96)</f>
        <v>1.96</v>
      </c>
      <c r="H3609" s="17"/>
      <c r="K3609" s="17"/>
      <c r="N3609" s="17"/>
    </row>
    <row r="3610">
      <c r="B3610" s="11">
        <f>IFERROR(__xludf.DUMMYFUNCTION("""COMPUTED_VALUE"""),40973.0)</f>
        <v>40973</v>
      </c>
      <c r="C3610" s="9">
        <f>IFERROR(__xludf.DUMMYFUNCTION("""COMPUTED_VALUE"""),2.0)</f>
        <v>2</v>
      </c>
      <c r="H3610" s="17"/>
      <c r="K3610" s="17"/>
      <c r="N3610" s="17"/>
    </row>
    <row r="3611">
      <c r="B3611" s="11">
        <f>IFERROR(__xludf.DUMMYFUNCTION("""COMPUTED_VALUE"""),40970.0)</f>
        <v>40970</v>
      </c>
      <c r="C3611" s="9">
        <f>IFERROR(__xludf.DUMMYFUNCTION("""COMPUTED_VALUE"""),1.99)</f>
        <v>1.99</v>
      </c>
      <c r="H3611" s="17"/>
      <c r="K3611" s="17"/>
      <c r="N3611" s="17"/>
    </row>
    <row r="3612">
      <c r="B3612" s="11">
        <f>IFERROR(__xludf.DUMMYFUNCTION("""COMPUTED_VALUE"""),40969.0)</f>
        <v>40969</v>
      </c>
      <c r="C3612" s="9">
        <f>IFERROR(__xludf.DUMMYFUNCTION("""COMPUTED_VALUE"""),2.03)</f>
        <v>2.03</v>
      </c>
      <c r="H3612" s="17"/>
      <c r="K3612" s="17"/>
      <c r="N3612" s="17"/>
    </row>
    <row r="3613">
      <c r="B3613" s="11">
        <f>IFERROR(__xludf.DUMMYFUNCTION("""COMPUTED_VALUE"""),40968.0)</f>
        <v>40968</v>
      </c>
      <c r="C3613" s="9">
        <f>IFERROR(__xludf.DUMMYFUNCTION("""COMPUTED_VALUE"""),1.98)</f>
        <v>1.98</v>
      </c>
      <c r="H3613" s="17"/>
      <c r="K3613" s="17"/>
      <c r="N3613" s="17"/>
    </row>
    <row r="3614">
      <c r="B3614" s="11">
        <f>IFERROR(__xludf.DUMMYFUNCTION("""COMPUTED_VALUE"""),40967.0)</f>
        <v>40967</v>
      </c>
      <c r="C3614" s="9">
        <f>IFERROR(__xludf.DUMMYFUNCTION("""COMPUTED_VALUE"""),1.94)</f>
        <v>1.94</v>
      </c>
      <c r="H3614" s="17"/>
      <c r="K3614" s="17"/>
      <c r="N3614" s="17"/>
    </row>
    <row r="3615">
      <c r="B3615" s="11">
        <f>IFERROR(__xludf.DUMMYFUNCTION("""COMPUTED_VALUE"""),40966.0)</f>
        <v>40966</v>
      </c>
      <c r="C3615" s="9">
        <f>IFERROR(__xludf.DUMMYFUNCTION("""COMPUTED_VALUE"""),1.92)</f>
        <v>1.92</v>
      </c>
      <c r="H3615" s="17"/>
      <c r="K3615" s="17"/>
      <c r="N3615" s="17"/>
    </row>
    <row r="3616">
      <c r="B3616" s="11">
        <f>IFERROR(__xludf.DUMMYFUNCTION("""COMPUTED_VALUE"""),40963.0)</f>
        <v>40963</v>
      </c>
      <c r="C3616" s="9">
        <f>IFERROR(__xludf.DUMMYFUNCTION("""COMPUTED_VALUE"""),1.98)</f>
        <v>1.98</v>
      </c>
      <c r="H3616" s="17"/>
      <c r="K3616" s="17"/>
      <c r="N3616" s="17"/>
    </row>
    <row r="3617">
      <c r="B3617" s="11">
        <f>IFERROR(__xludf.DUMMYFUNCTION("""COMPUTED_VALUE"""),40962.0)</f>
        <v>40962</v>
      </c>
      <c r="C3617" s="9">
        <f>IFERROR(__xludf.DUMMYFUNCTION("""COMPUTED_VALUE"""),1.99)</f>
        <v>1.99</v>
      </c>
      <c r="H3617" s="17"/>
      <c r="K3617" s="17"/>
      <c r="N3617" s="17"/>
    </row>
    <row r="3618">
      <c r="B3618" s="11">
        <f>IFERROR(__xludf.DUMMYFUNCTION("""COMPUTED_VALUE"""),40961.0)</f>
        <v>40961</v>
      </c>
      <c r="C3618" s="9">
        <f>IFERROR(__xludf.DUMMYFUNCTION("""COMPUTED_VALUE"""),2.01)</f>
        <v>2.01</v>
      </c>
      <c r="H3618" s="17"/>
      <c r="K3618" s="17"/>
      <c r="N3618" s="17"/>
    </row>
    <row r="3619">
      <c r="B3619" s="11">
        <f>IFERROR(__xludf.DUMMYFUNCTION("""COMPUTED_VALUE"""),40960.0)</f>
        <v>40960</v>
      </c>
      <c r="C3619" s="9">
        <f>IFERROR(__xludf.DUMMYFUNCTION("""COMPUTED_VALUE"""),2.05)</f>
        <v>2.05</v>
      </c>
      <c r="H3619" s="17"/>
      <c r="K3619" s="17"/>
      <c r="N3619" s="17"/>
    </row>
    <row r="3620">
      <c r="B3620" s="11">
        <f>IFERROR(__xludf.DUMMYFUNCTION("""COMPUTED_VALUE"""),40959.0)</f>
        <v>40959</v>
      </c>
      <c r="C3620" s="9"/>
      <c r="H3620" s="17"/>
      <c r="K3620" s="17"/>
      <c r="N3620" s="17"/>
    </row>
    <row r="3621">
      <c r="B3621" s="11">
        <f>IFERROR(__xludf.DUMMYFUNCTION("""COMPUTED_VALUE"""),40956.0)</f>
        <v>40956</v>
      </c>
      <c r="C3621" s="9">
        <f>IFERROR(__xludf.DUMMYFUNCTION("""COMPUTED_VALUE"""),2.01)</f>
        <v>2.01</v>
      </c>
      <c r="H3621" s="17"/>
      <c r="K3621" s="17"/>
      <c r="N3621" s="17"/>
    </row>
    <row r="3622">
      <c r="B3622" s="11">
        <f>IFERROR(__xludf.DUMMYFUNCTION("""COMPUTED_VALUE"""),40955.0)</f>
        <v>40955</v>
      </c>
      <c r="C3622" s="9">
        <f>IFERROR(__xludf.DUMMYFUNCTION("""COMPUTED_VALUE"""),1.99)</f>
        <v>1.99</v>
      </c>
      <c r="H3622" s="17"/>
      <c r="K3622" s="17"/>
      <c r="N3622" s="17"/>
    </row>
    <row r="3623">
      <c r="B3623" s="11">
        <f>IFERROR(__xludf.DUMMYFUNCTION("""COMPUTED_VALUE"""),40954.0)</f>
        <v>40954</v>
      </c>
      <c r="C3623" s="9">
        <f>IFERROR(__xludf.DUMMYFUNCTION("""COMPUTED_VALUE"""),1.93)</f>
        <v>1.93</v>
      </c>
      <c r="H3623" s="17"/>
      <c r="K3623" s="17"/>
      <c r="N3623" s="17"/>
    </row>
    <row r="3624">
      <c r="B3624" s="11">
        <f>IFERROR(__xludf.DUMMYFUNCTION("""COMPUTED_VALUE"""),40953.0)</f>
        <v>40953</v>
      </c>
      <c r="C3624" s="9">
        <f>IFERROR(__xludf.DUMMYFUNCTION("""COMPUTED_VALUE"""),1.92)</f>
        <v>1.92</v>
      </c>
      <c r="H3624" s="17"/>
      <c r="K3624" s="17"/>
      <c r="N3624" s="17"/>
    </row>
    <row r="3625">
      <c r="B3625" s="11">
        <f>IFERROR(__xludf.DUMMYFUNCTION("""COMPUTED_VALUE"""),40952.0)</f>
        <v>40952</v>
      </c>
      <c r="C3625" s="9">
        <f>IFERROR(__xludf.DUMMYFUNCTION("""COMPUTED_VALUE"""),1.99)</f>
        <v>1.99</v>
      </c>
      <c r="H3625" s="17"/>
      <c r="K3625" s="17"/>
      <c r="N3625" s="17"/>
    </row>
    <row r="3626">
      <c r="B3626" s="11">
        <f>IFERROR(__xludf.DUMMYFUNCTION("""COMPUTED_VALUE"""),40949.0)</f>
        <v>40949</v>
      </c>
      <c r="C3626" s="9">
        <f>IFERROR(__xludf.DUMMYFUNCTION("""COMPUTED_VALUE"""),1.96)</f>
        <v>1.96</v>
      </c>
      <c r="H3626" s="17"/>
      <c r="K3626" s="17"/>
      <c r="N3626" s="17"/>
    </row>
    <row r="3627">
      <c r="B3627" s="11">
        <f>IFERROR(__xludf.DUMMYFUNCTION("""COMPUTED_VALUE"""),40948.0)</f>
        <v>40948</v>
      </c>
      <c r="C3627" s="9">
        <f>IFERROR(__xludf.DUMMYFUNCTION("""COMPUTED_VALUE"""),2.04)</f>
        <v>2.04</v>
      </c>
      <c r="H3627" s="17"/>
      <c r="K3627" s="17"/>
      <c r="N3627" s="17"/>
    </row>
    <row r="3628">
      <c r="B3628" s="11">
        <f>IFERROR(__xludf.DUMMYFUNCTION("""COMPUTED_VALUE"""),40947.0)</f>
        <v>40947</v>
      </c>
      <c r="C3628" s="9">
        <f>IFERROR(__xludf.DUMMYFUNCTION("""COMPUTED_VALUE"""),2.01)</f>
        <v>2.01</v>
      </c>
      <c r="H3628" s="17"/>
      <c r="K3628" s="17"/>
      <c r="N3628" s="17"/>
    </row>
    <row r="3629">
      <c r="B3629" s="11">
        <f>IFERROR(__xludf.DUMMYFUNCTION("""COMPUTED_VALUE"""),40946.0)</f>
        <v>40946</v>
      </c>
      <c r="C3629" s="9">
        <f>IFERROR(__xludf.DUMMYFUNCTION("""COMPUTED_VALUE"""),2.0)</f>
        <v>2</v>
      </c>
      <c r="H3629" s="17"/>
      <c r="K3629" s="17"/>
      <c r="N3629" s="17"/>
    </row>
    <row r="3630">
      <c r="B3630" s="11">
        <f>IFERROR(__xludf.DUMMYFUNCTION("""COMPUTED_VALUE"""),40945.0)</f>
        <v>40945</v>
      </c>
      <c r="C3630" s="9">
        <f>IFERROR(__xludf.DUMMYFUNCTION("""COMPUTED_VALUE"""),1.93)</f>
        <v>1.93</v>
      </c>
      <c r="H3630" s="17"/>
      <c r="K3630" s="17"/>
      <c r="N3630" s="17"/>
    </row>
    <row r="3631">
      <c r="B3631" s="11">
        <f>IFERROR(__xludf.DUMMYFUNCTION("""COMPUTED_VALUE"""),40942.0)</f>
        <v>40942</v>
      </c>
      <c r="C3631" s="9">
        <f>IFERROR(__xludf.DUMMYFUNCTION("""COMPUTED_VALUE"""),1.97)</f>
        <v>1.97</v>
      </c>
      <c r="H3631" s="17"/>
      <c r="K3631" s="17"/>
      <c r="N3631" s="17"/>
    </row>
    <row r="3632">
      <c r="B3632" s="11">
        <f>IFERROR(__xludf.DUMMYFUNCTION("""COMPUTED_VALUE"""),40941.0)</f>
        <v>40941</v>
      </c>
      <c r="C3632" s="9">
        <f>IFERROR(__xludf.DUMMYFUNCTION("""COMPUTED_VALUE"""),1.86)</f>
        <v>1.86</v>
      </c>
      <c r="H3632" s="17"/>
      <c r="K3632" s="17"/>
      <c r="N3632" s="17"/>
    </row>
    <row r="3633">
      <c r="B3633" s="11">
        <f>IFERROR(__xludf.DUMMYFUNCTION("""COMPUTED_VALUE"""),40940.0)</f>
        <v>40940</v>
      </c>
      <c r="C3633" s="9">
        <f>IFERROR(__xludf.DUMMYFUNCTION("""COMPUTED_VALUE"""),1.87)</f>
        <v>1.87</v>
      </c>
      <c r="H3633" s="17"/>
      <c r="K3633" s="17"/>
      <c r="N3633" s="17"/>
    </row>
    <row r="3634">
      <c r="B3634" s="11">
        <f>IFERROR(__xludf.DUMMYFUNCTION("""COMPUTED_VALUE"""),40939.0)</f>
        <v>40939</v>
      </c>
      <c r="C3634" s="9">
        <f>IFERROR(__xludf.DUMMYFUNCTION("""COMPUTED_VALUE"""),1.83)</f>
        <v>1.83</v>
      </c>
      <c r="H3634" s="17"/>
      <c r="K3634" s="17"/>
      <c r="N3634" s="17"/>
    </row>
    <row r="3635">
      <c r="B3635" s="11">
        <f>IFERROR(__xludf.DUMMYFUNCTION("""COMPUTED_VALUE"""),40938.0)</f>
        <v>40938</v>
      </c>
      <c r="C3635" s="9">
        <f>IFERROR(__xludf.DUMMYFUNCTION("""COMPUTED_VALUE"""),1.87)</f>
        <v>1.87</v>
      </c>
      <c r="H3635" s="17"/>
      <c r="K3635" s="17"/>
      <c r="N3635" s="17"/>
    </row>
    <row r="3636">
      <c r="B3636" s="11">
        <f>IFERROR(__xludf.DUMMYFUNCTION("""COMPUTED_VALUE"""),40935.0)</f>
        <v>40935</v>
      </c>
      <c r="C3636" s="9">
        <f>IFERROR(__xludf.DUMMYFUNCTION("""COMPUTED_VALUE"""),1.93)</f>
        <v>1.93</v>
      </c>
      <c r="H3636" s="17"/>
      <c r="K3636" s="17"/>
      <c r="N3636" s="17"/>
    </row>
    <row r="3637">
      <c r="B3637" s="11">
        <f>IFERROR(__xludf.DUMMYFUNCTION("""COMPUTED_VALUE"""),40934.0)</f>
        <v>40934</v>
      </c>
      <c r="C3637" s="9">
        <f>IFERROR(__xludf.DUMMYFUNCTION("""COMPUTED_VALUE"""),1.96)</f>
        <v>1.96</v>
      </c>
      <c r="H3637" s="17"/>
      <c r="K3637" s="17"/>
      <c r="N3637" s="17"/>
    </row>
    <row r="3638">
      <c r="B3638" s="11">
        <f>IFERROR(__xludf.DUMMYFUNCTION("""COMPUTED_VALUE"""),40933.0)</f>
        <v>40933</v>
      </c>
      <c r="C3638" s="9">
        <f>IFERROR(__xludf.DUMMYFUNCTION("""COMPUTED_VALUE"""),2.01)</f>
        <v>2.01</v>
      </c>
      <c r="H3638" s="17"/>
      <c r="K3638" s="17"/>
      <c r="N3638" s="17"/>
    </row>
    <row r="3639">
      <c r="B3639" s="11">
        <f>IFERROR(__xludf.DUMMYFUNCTION("""COMPUTED_VALUE"""),40932.0)</f>
        <v>40932</v>
      </c>
      <c r="C3639" s="9">
        <f>IFERROR(__xludf.DUMMYFUNCTION("""COMPUTED_VALUE"""),2.08)</f>
        <v>2.08</v>
      </c>
      <c r="H3639" s="17"/>
      <c r="K3639" s="17"/>
      <c r="N3639" s="17"/>
    </row>
    <row r="3640">
      <c r="B3640" s="11">
        <f>IFERROR(__xludf.DUMMYFUNCTION("""COMPUTED_VALUE"""),40931.0)</f>
        <v>40931</v>
      </c>
      <c r="C3640" s="9">
        <f>IFERROR(__xludf.DUMMYFUNCTION("""COMPUTED_VALUE"""),2.09)</f>
        <v>2.09</v>
      </c>
      <c r="H3640" s="17"/>
      <c r="K3640" s="17"/>
      <c r="N3640" s="17"/>
    </row>
    <row r="3641">
      <c r="B3641" s="11">
        <f>IFERROR(__xludf.DUMMYFUNCTION("""COMPUTED_VALUE"""),40928.0)</f>
        <v>40928</v>
      </c>
      <c r="C3641" s="9">
        <f>IFERROR(__xludf.DUMMYFUNCTION("""COMPUTED_VALUE"""),2.05)</f>
        <v>2.05</v>
      </c>
      <c r="H3641" s="17"/>
      <c r="K3641" s="17"/>
      <c r="N3641" s="17"/>
    </row>
    <row r="3642">
      <c r="B3642" s="11">
        <f>IFERROR(__xludf.DUMMYFUNCTION("""COMPUTED_VALUE"""),40927.0)</f>
        <v>40927</v>
      </c>
      <c r="C3642" s="9">
        <f>IFERROR(__xludf.DUMMYFUNCTION("""COMPUTED_VALUE"""),2.01)</f>
        <v>2.01</v>
      </c>
      <c r="H3642" s="17"/>
      <c r="K3642" s="17"/>
      <c r="N3642" s="17"/>
    </row>
    <row r="3643">
      <c r="B3643" s="11">
        <f>IFERROR(__xludf.DUMMYFUNCTION("""COMPUTED_VALUE"""),40926.0)</f>
        <v>40926</v>
      </c>
      <c r="C3643" s="9">
        <f>IFERROR(__xludf.DUMMYFUNCTION("""COMPUTED_VALUE"""),1.92)</f>
        <v>1.92</v>
      </c>
      <c r="H3643" s="17"/>
      <c r="K3643" s="17"/>
      <c r="N3643" s="17"/>
    </row>
    <row r="3644">
      <c r="B3644" s="11">
        <f>IFERROR(__xludf.DUMMYFUNCTION("""COMPUTED_VALUE"""),40925.0)</f>
        <v>40925</v>
      </c>
      <c r="C3644" s="9">
        <f>IFERROR(__xludf.DUMMYFUNCTION("""COMPUTED_VALUE"""),1.87)</f>
        <v>1.87</v>
      </c>
      <c r="H3644" s="17"/>
      <c r="K3644" s="17"/>
      <c r="N3644" s="17"/>
    </row>
    <row r="3645">
      <c r="B3645" s="11">
        <f>IFERROR(__xludf.DUMMYFUNCTION("""COMPUTED_VALUE"""),40924.0)</f>
        <v>40924</v>
      </c>
      <c r="C3645" s="9"/>
      <c r="H3645" s="17"/>
      <c r="K3645" s="17"/>
      <c r="N3645" s="17"/>
    </row>
    <row r="3646">
      <c r="B3646" s="11">
        <f>IFERROR(__xludf.DUMMYFUNCTION("""COMPUTED_VALUE"""),40921.0)</f>
        <v>40921</v>
      </c>
      <c r="C3646" s="9">
        <f>IFERROR(__xludf.DUMMYFUNCTION("""COMPUTED_VALUE"""),1.89)</f>
        <v>1.89</v>
      </c>
      <c r="H3646" s="17"/>
      <c r="K3646" s="17"/>
      <c r="N3646" s="17"/>
    </row>
    <row r="3647">
      <c r="B3647" s="11">
        <f>IFERROR(__xludf.DUMMYFUNCTION("""COMPUTED_VALUE"""),40920.0)</f>
        <v>40920</v>
      </c>
      <c r="C3647" s="9">
        <f>IFERROR(__xludf.DUMMYFUNCTION("""COMPUTED_VALUE"""),1.94)</f>
        <v>1.94</v>
      </c>
      <c r="H3647" s="17"/>
      <c r="K3647" s="17"/>
      <c r="N3647" s="17"/>
    </row>
    <row r="3648">
      <c r="B3648" s="11">
        <f>IFERROR(__xludf.DUMMYFUNCTION("""COMPUTED_VALUE"""),40919.0)</f>
        <v>40919</v>
      </c>
      <c r="C3648" s="9">
        <f>IFERROR(__xludf.DUMMYFUNCTION("""COMPUTED_VALUE"""),1.93)</f>
        <v>1.93</v>
      </c>
      <c r="H3648" s="17"/>
      <c r="K3648" s="17"/>
      <c r="N3648" s="17"/>
    </row>
    <row r="3649">
      <c r="B3649" s="11">
        <f>IFERROR(__xludf.DUMMYFUNCTION("""COMPUTED_VALUE"""),40918.0)</f>
        <v>40918</v>
      </c>
      <c r="C3649" s="9">
        <f>IFERROR(__xludf.DUMMYFUNCTION("""COMPUTED_VALUE"""),2.0)</f>
        <v>2</v>
      </c>
      <c r="H3649" s="17"/>
      <c r="K3649" s="17"/>
      <c r="N3649" s="17"/>
    </row>
    <row r="3650">
      <c r="B3650" s="11">
        <f>IFERROR(__xludf.DUMMYFUNCTION("""COMPUTED_VALUE"""),40917.0)</f>
        <v>40917</v>
      </c>
      <c r="C3650" s="9">
        <f>IFERROR(__xludf.DUMMYFUNCTION("""COMPUTED_VALUE"""),1.98)</f>
        <v>1.98</v>
      </c>
      <c r="H3650" s="17"/>
      <c r="K3650" s="17"/>
      <c r="N3650" s="17"/>
    </row>
    <row r="3651">
      <c r="B3651" s="11">
        <f>IFERROR(__xludf.DUMMYFUNCTION("""COMPUTED_VALUE"""),40914.0)</f>
        <v>40914</v>
      </c>
      <c r="C3651" s="9">
        <f>IFERROR(__xludf.DUMMYFUNCTION("""COMPUTED_VALUE"""),1.98)</f>
        <v>1.98</v>
      </c>
      <c r="H3651" s="17"/>
      <c r="K3651" s="17"/>
      <c r="N3651" s="17"/>
    </row>
    <row r="3652">
      <c r="B3652" s="11">
        <f>IFERROR(__xludf.DUMMYFUNCTION("""COMPUTED_VALUE"""),40913.0)</f>
        <v>40913</v>
      </c>
      <c r="C3652" s="9">
        <f>IFERROR(__xludf.DUMMYFUNCTION("""COMPUTED_VALUE"""),2.02)</f>
        <v>2.02</v>
      </c>
      <c r="H3652" s="17"/>
      <c r="K3652" s="17"/>
      <c r="N3652" s="17"/>
    </row>
    <row r="3653">
      <c r="B3653" s="11">
        <f>IFERROR(__xludf.DUMMYFUNCTION("""COMPUTED_VALUE"""),40912.0)</f>
        <v>40912</v>
      </c>
      <c r="C3653" s="9">
        <f>IFERROR(__xludf.DUMMYFUNCTION("""COMPUTED_VALUE"""),2.0)</f>
        <v>2</v>
      </c>
      <c r="H3653" s="17"/>
      <c r="K3653" s="17"/>
      <c r="N3653" s="17"/>
    </row>
    <row r="3654">
      <c r="B3654" s="11">
        <f>IFERROR(__xludf.DUMMYFUNCTION("""COMPUTED_VALUE"""),40911.0)</f>
        <v>40911</v>
      </c>
      <c r="C3654" s="9">
        <f>IFERROR(__xludf.DUMMYFUNCTION("""COMPUTED_VALUE"""),1.97)</f>
        <v>1.97</v>
      </c>
      <c r="H3654" s="17"/>
      <c r="K3654" s="17"/>
      <c r="N3654" s="17"/>
    </row>
    <row r="3655">
      <c r="B3655" s="11">
        <f>IFERROR(__xludf.DUMMYFUNCTION("""COMPUTED_VALUE"""),40910.0)</f>
        <v>40910</v>
      </c>
      <c r="C3655" s="9"/>
      <c r="H3655" s="17"/>
      <c r="K3655" s="17"/>
      <c r="N3655" s="17"/>
    </row>
    <row r="3656">
      <c r="B3656" s="11">
        <f>IFERROR(__xludf.DUMMYFUNCTION("""COMPUTED_VALUE"""),40907.0)</f>
        <v>40907</v>
      </c>
      <c r="C3656" s="9">
        <f>IFERROR(__xludf.DUMMYFUNCTION("""COMPUTED_VALUE"""),1.89)</f>
        <v>1.89</v>
      </c>
      <c r="H3656" s="17"/>
      <c r="K3656" s="17"/>
      <c r="N3656" s="17"/>
    </row>
    <row r="3657">
      <c r="B3657" s="11">
        <f>IFERROR(__xludf.DUMMYFUNCTION("""COMPUTED_VALUE"""),40906.0)</f>
        <v>40906</v>
      </c>
      <c r="C3657" s="9">
        <f>IFERROR(__xludf.DUMMYFUNCTION("""COMPUTED_VALUE"""),1.91)</f>
        <v>1.91</v>
      </c>
      <c r="H3657" s="17"/>
      <c r="K3657" s="17"/>
      <c r="N3657" s="17"/>
    </row>
    <row r="3658">
      <c r="B3658" s="11">
        <f>IFERROR(__xludf.DUMMYFUNCTION("""COMPUTED_VALUE"""),40905.0)</f>
        <v>40905</v>
      </c>
      <c r="C3658" s="9">
        <f>IFERROR(__xludf.DUMMYFUNCTION("""COMPUTED_VALUE"""),1.93)</f>
        <v>1.93</v>
      </c>
      <c r="H3658" s="17"/>
      <c r="K3658" s="17"/>
      <c r="N3658" s="17"/>
    </row>
    <row r="3659">
      <c r="B3659" s="11">
        <f>IFERROR(__xludf.DUMMYFUNCTION("""COMPUTED_VALUE"""),40904.0)</f>
        <v>40904</v>
      </c>
      <c r="C3659" s="9">
        <f>IFERROR(__xludf.DUMMYFUNCTION("""COMPUTED_VALUE"""),2.02)</f>
        <v>2.02</v>
      </c>
      <c r="H3659" s="17"/>
      <c r="K3659" s="17"/>
      <c r="N3659" s="17"/>
    </row>
    <row r="3660">
      <c r="B3660" s="11">
        <f>IFERROR(__xludf.DUMMYFUNCTION("""COMPUTED_VALUE"""),40903.0)</f>
        <v>40903</v>
      </c>
      <c r="C3660" s="9"/>
      <c r="H3660" s="17"/>
      <c r="K3660" s="17"/>
      <c r="N3660" s="17"/>
    </row>
    <row r="3661">
      <c r="B3661" s="11">
        <f>IFERROR(__xludf.DUMMYFUNCTION("""COMPUTED_VALUE"""),40900.0)</f>
        <v>40900</v>
      </c>
      <c r="C3661" s="9">
        <f>IFERROR(__xludf.DUMMYFUNCTION("""COMPUTED_VALUE"""),2.03)</f>
        <v>2.03</v>
      </c>
      <c r="H3661" s="17"/>
      <c r="K3661" s="17"/>
      <c r="N3661" s="17"/>
    </row>
    <row r="3662">
      <c r="B3662" s="11">
        <f>IFERROR(__xludf.DUMMYFUNCTION("""COMPUTED_VALUE"""),40899.0)</f>
        <v>40899</v>
      </c>
      <c r="C3662" s="9">
        <f>IFERROR(__xludf.DUMMYFUNCTION("""COMPUTED_VALUE"""),1.97)</f>
        <v>1.97</v>
      </c>
      <c r="H3662" s="17"/>
      <c r="K3662" s="17"/>
      <c r="N3662" s="17"/>
    </row>
    <row r="3663">
      <c r="B3663" s="11">
        <f>IFERROR(__xludf.DUMMYFUNCTION("""COMPUTED_VALUE"""),40898.0)</f>
        <v>40898</v>
      </c>
      <c r="C3663" s="9">
        <f>IFERROR(__xludf.DUMMYFUNCTION("""COMPUTED_VALUE"""),1.98)</f>
        <v>1.98</v>
      </c>
      <c r="H3663" s="17"/>
      <c r="K3663" s="17"/>
      <c r="N3663" s="17"/>
    </row>
    <row r="3664">
      <c r="B3664" s="11">
        <f>IFERROR(__xludf.DUMMYFUNCTION("""COMPUTED_VALUE"""),40897.0)</f>
        <v>40897</v>
      </c>
      <c r="C3664" s="9">
        <f>IFERROR(__xludf.DUMMYFUNCTION("""COMPUTED_VALUE"""),1.94)</f>
        <v>1.94</v>
      </c>
      <c r="H3664" s="17"/>
      <c r="K3664" s="17"/>
      <c r="N3664" s="17"/>
    </row>
    <row r="3665">
      <c r="B3665" s="11">
        <f>IFERROR(__xludf.DUMMYFUNCTION("""COMPUTED_VALUE"""),40896.0)</f>
        <v>40896</v>
      </c>
      <c r="C3665" s="9">
        <f>IFERROR(__xludf.DUMMYFUNCTION("""COMPUTED_VALUE"""),1.82)</f>
        <v>1.82</v>
      </c>
      <c r="H3665" s="17"/>
      <c r="K3665" s="17"/>
      <c r="N3665" s="17"/>
    </row>
    <row r="3666">
      <c r="B3666" s="11">
        <f>IFERROR(__xludf.DUMMYFUNCTION("""COMPUTED_VALUE"""),40893.0)</f>
        <v>40893</v>
      </c>
      <c r="C3666" s="9">
        <f>IFERROR(__xludf.DUMMYFUNCTION("""COMPUTED_VALUE"""),1.86)</f>
        <v>1.86</v>
      </c>
      <c r="H3666" s="17"/>
      <c r="K3666" s="17"/>
      <c r="N3666" s="17"/>
    </row>
    <row r="3667">
      <c r="B3667" s="11">
        <f>IFERROR(__xludf.DUMMYFUNCTION("""COMPUTED_VALUE"""),40892.0)</f>
        <v>40892</v>
      </c>
      <c r="C3667" s="9">
        <f>IFERROR(__xludf.DUMMYFUNCTION("""COMPUTED_VALUE"""),1.92)</f>
        <v>1.92</v>
      </c>
      <c r="H3667" s="17"/>
      <c r="K3667" s="17"/>
      <c r="N3667" s="17"/>
    </row>
    <row r="3668">
      <c r="B3668" s="11">
        <f>IFERROR(__xludf.DUMMYFUNCTION("""COMPUTED_VALUE"""),40891.0)</f>
        <v>40891</v>
      </c>
      <c r="C3668" s="9">
        <f>IFERROR(__xludf.DUMMYFUNCTION("""COMPUTED_VALUE"""),1.92)</f>
        <v>1.92</v>
      </c>
      <c r="H3668" s="17"/>
      <c r="K3668" s="17"/>
      <c r="N3668" s="17"/>
    </row>
    <row r="3669">
      <c r="B3669" s="11">
        <f>IFERROR(__xludf.DUMMYFUNCTION("""COMPUTED_VALUE"""),40890.0)</f>
        <v>40890</v>
      </c>
      <c r="C3669" s="9">
        <f>IFERROR(__xludf.DUMMYFUNCTION("""COMPUTED_VALUE"""),1.96)</f>
        <v>1.96</v>
      </c>
      <c r="H3669" s="17"/>
      <c r="K3669" s="17"/>
      <c r="N3669" s="17"/>
    </row>
    <row r="3670">
      <c r="B3670" s="11">
        <f>IFERROR(__xludf.DUMMYFUNCTION("""COMPUTED_VALUE"""),40889.0)</f>
        <v>40889</v>
      </c>
      <c r="C3670" s="9">
        <f>IFERROR(__xludf.DUMMYFUNCTION("""COMPUTED_VALUE"""),2.03)</f>
        <v>2.03</v>
      </c>
      <c r="H3670" s="17"/>
      <c r="K3670" s="17"/>
      <c r="N3670" s="17"/>
    </row>
    <row r="3671">
      <c r="B3671" s="11">
        <f>IFERROR(__xludf.DUMMYFUNCTION("""COMPUTED_VALUE"""),40886.0)</f>
        <v>40886</v>
      </c>
      <c r="C3671" s="9">
        <f>IFERROR(__xludf.DUMMYFUNCTION("""COMPUTED_VALUE"""),2.07)</f>
        <v>2.07</v>
      </c>
      <c r="H3671" s="17"/>
      <c r="K3671" s="17"/>
      <c r="N3671" s="17"/>
    </row>
    <row r="3672">
      <c r="B3672" s="11">
        <f>IFERROR(__xludf.DUMMYFUNCTION("""COMPUTED_VALUE"""),40885.0)</f>
        <v>40885</v>
      </c>
      <c r="C3672" s="9">
        <f>IFERROR(__xludf.DUMMYFUNCTION("""COMPUTED_VALUE"""),1.99)</f>
        <v>1.99</v>
      </c>
      <c r="H3672" s="17"/>
      <c r="K3672" s="17"/>
      <c r="N3672" s="17"/>
    </row>
    <row r="3673">
      <c r="B3673" s="11">
        <f>IFERROR(__xludf.DUMMYFUNCTION("""COMPUTED_VALUE"""),40884.0)</f>
        <v>40884</v>
      </c>
      <c r="C3673" s="9">
        <f>IFERROR(__xludf.DUMMYFUNCTION("""COMPUTED_VALUE"""),2.02)</f>
        <v>2.02</v>
      </c>
      <c r="H3673" s="17"/>
      <c r="K3673" s="17"/>
      <c r="N3673" s="17"/>
    </row>
    <row r="3674">
      <c r="B3674" s="11">
        <f>IFERROR(__xludf.DUMMYFUNCTION("""COMPUTED_VALUE"""),40883.0)</f>
        <v>40883</v>
      </c>
      <c r="C3674" s="9">
        <f>IFERROR(__xludf.DUMMYFUNCTION("""COMPUTED_VALUE"""),2.08)</f>
        <v>2.08</v>
      </c>
      <c r="H3674" s="17"/>
      <c r="K3674" s="17"/>
      <c r="N3674" s="17"/>
    </row>
    <row r="3675">
      <c r="B3675" s="11">
        <f>IFERROR(__xludf.DUMMYFUNCTION("""COMPUTED_VALUE"""),40882.0)</f>
        <v>40882</v>
      </c>
      <c r="C3675" s="9">
        <f>IFERROR(__xludf.DUMMYFUNCTION("""COMPUTED_VALUE"""),2.04)</f>
        <v>2.04</v>
      </c>
      <c r="H3675" s="17"/>
      <c r="K3675" s="17"/>
      <c r="N3675" s="17"/>
    </row>
    <row r="3676">
      <c r="B3676" s="11">
        <f>IFERROR(__xludf.DUMMYFUNCTION("""COMPUTED_VALUE"""),40879.0)</f>
        <v>40879</v>
      </c>
      <c r="C3676" s="9">
        <f>IFERROR(__xludf.DUMMYFUNCTION("""COMPUTED_VALUE"""),2.05)</f>
        <v>2.05</v>
      </c>
      <c r="H3676" s="17"/>
      <c r="K3676" s="17"/>
      <c r="N3676" s="17"/>
    </row>
    <row r="3677">
      <c r="B3677" s="11">
        <f>IFERROR(__xludf.DUMMYFUNCTION("""COMPUTED_VALUE"""),40878.0)</f>
        <v>40878</v>
      </c>
      <c r="C3677" s="9">
        <f>IFERROR(__xludf.DUMMYFUNCTION("""COMPUTED_VALUE"""),2.11)</f>
        <v>2.11</v>
      </c>
      <c r="H3677" s="17"/>
      <c r="K3677" s="17"/>
      <c r="N3677" s="17"/>
    </row>
    <row r="3678">
      <c r="B3678" s="11">
        <f>IFERROR(__xludf.DUMMYFUNCTION("""COMPUTED_VALUE"""),40877.0)</f>
        <v>40877</v>
      </c>
      <c r="C3678" s="9">
        <f>IFERROR(__xludf.DUMMYFUNCTION("""COMPUTED_VALUE"""),2.08)</f>
        <v>2.08</v>
      </c>
      <c r="H3678" s="17"/>
      <c r="K3678" s="17"/>
      <c r="N3678" s="17"/>
    </row>
    <row r="3679">
      <c r="B3679" s="11">
        <f>IFERROR(__xludf.DUMMYFUNCTION("""COMPUTED_VALUE"""),40876.0)</f>
        <v>40876</v>
      </c>
      <c r="C3679" s="9">
        <f>IFERROR(__xludf.DUMMYFUNCTION("""COMPUTED_VALUE"""),2.0)</f>
        <v>2</v>
      </c>
      <c r="H3679" s="17"/>
      <c r="K3679" s="17"/>
      <c r="N3679" s="17"/>
    </row>
    <row r="3680">
      <c r="B3680" s="11">
        <f>IFERROR(__xludf.DUMMYFUNCTION("""COMPUTED_VALUE"""),40875.0)</f>
        <v>40875</v>
      </c>
      <c r="C3680" s="9">
        <f>IFERROR(__xludf.DUMMYFUNCTION("""COMPUTED_VALUE"""),1.97)</f>
        <v>1.97</v>
      </c>
      <c r="H3680" s="17"/>
      <c r="K3680" s="17"/>
      <c r="N3680" s="17"/>
    </row>
    <row r="3681">
      <c r="B3681" s="11">
        <f>IFERROR(__xludf.DUMMYFUNCTION("""COMPUTED_VALUE"""),40872.0)</f>
        <v>40872</v>
      </c>
      <c r="C3681" s="9">
        <f>IFERROR(__xludf.DUMMYFUNCTION("""COMPUTED_VALUE"""),1.97)</f>
        <v>1.97</v>
      </c>
      <c r="H3681" s="17"/>
      <c r="K3681" s="17"/>
      <c r="N3681" s="17"/>
    </row>
    <row r="3682">
      <c r="B3682" s="11">
        <f>IFERROR(__xludf.DUMMYFUNCTION("""COMPUTED_VALUE"""),40871.0)</f>
        <v>40871</v>
      </c>
      <c r="C3682" s="9"/>
      <c r="H3682" s="17"/>
      <c r="K3682" s="17"/>
      <c r="N3682" s="17"/>
    </row>
    <row r="3683">
      <c r="B3683" s="11">
        <f>IFERROR(__xludf.DUMMYFUNCTION("""COMPUTED_VALUE"""),40870.0)</f>
        <v>40870</v>
      </c>
      <c r="C3683" s="9">
        <f>IFERROR(__xludf.DUMMYFUNCTION("""COMPUTED_VALUE"""),1.89)</f>
        <v>1.89</v>
      </c>
      <c r="H3683" s="17"/>
      <c r="K3683" s="17"/>
      <c r="N3683" s="17"/>
    </row>
    <row r="3684">
      <c r="B3684" s="11">
        <f>IFERROR(__xludf.DUMMYFUNCTION("""COMPUTED_VALUE"""),40869.0)</f>
        <v>40869</v>
      </c>
      <c r="C3684" s="9">
        <f>IFERROR(__xludf.DUMMYFUNCTION("""COMPUTED_VALUE"""),1.94)</f>
        <v>1.94</v>
      </c>
      <c r="H3684" s="17"/>
      <c r="K3684" s="17"/>
      <c r="N3684" s="17"/>
    </row>
    <row r="3685">
      <c r="B3685" s="11">
        <f>IFERROR(__xludf.DUMMYFUNCTION("""COMPUTED_VALUE"""),40868.0)</f>
        <v>40868</v>
      </c>
      <c r="C3685" s="9">
        <f>IFERROR(__xludf.DUMMYFUNCTION("""COMPUTED_VALUE"""),1.97)</f>
        <v>1.97</v>
      </c>
      <c r="H3685" s="17"/>
      <c r="K3685" s="17"/>
      <c r="N3685" s="17"/>
    </row>
    <row r="3686">
      <c r="B3686" s="11">
        <f>IFERROR(__xludf.DUMMYFUNCTION("""COMPUTED_VALUE"""),40865.0)</f>
        <v>40865</v>
      </c>
      <c r="C3686" s="9">
        <f>IFERROR(__xludf.DUMMYFUNCTION("""COMPUTED_VALUE"""),2.01)</f>
        <v>2.01</v>
      </c>
      <c r="H3686" s="17"/>
      <c r="K3686" s="17"/>
      <c r="N3686" s="17"/>
    </row>
    <row r="3687">
      <c r="B3687" s="11">
        <f>IFERROR(__xludf.DUMMYFUNCTION("""COMPUTED_VALUE"""),40864.0)</f>
        <v>40864</v>
      </c>
      <c r="C3687" s="9">
        <f>IFERROR(__xludf.DUMMYFUNCTION("""COMPUTED_VALUE"""),1.96)</f>
        <v>1.96</v>
      </c>
      <c r="H3687" s="17"/>
      <c r="K3687" s="17"/>
      <c r="N3687" s="17"/>
    </row>
    <row r="3688">
      <c r="B3688" s="11">
        <f>IFERROR(__xludf.DUMMYFUNCTION("""COMPUTED_VALUE"""),40863.0)</f>
        <v>40863</v>
      </c>
      <c r="C3688" s="9">
        <f>IFERROR(__xludf.DUMMYFUNCTION("""COMPUTED_VALUE"""),2.01)</f>
        <v>2.01</v>
      </c>
      <c r="H3688" s="17"/>
      <c r="K3688" s="17"/>
      <c r="N3688" s="17"/>
    </row>
    <row r="3689">
      <c r="B3689" s="11">
        <f>IFERROR(__xludf.DUMMYFUNCTION("""COMPUTED_VALUE"""),40862.0)</f>
        <v>40862</v>
      </c>
      <c r="C3689" s="9">
        <f>IFERROR(__xludf.DUMMYFUNCTION("""COMPUTED_VALUE"""),2.06)</f>
        <v>2.06</v>
      </c>
      <c r="H3689" s="17"/>
      <c r="K3689" s="17"/>
      <c r="N3689" s="17"/>
    </row>
    <row r="3690">
      <c r="B3690" s="11">
        <f>IFERROR(__xludf.DUMMYFUNCTION("""COMPUTED_VALUE"""),40861.0)</f>
        <v>40861</v>
      </c>
      <c r="C3690" s="9">
        <f>IFERROR(__xludf.DUMMYFUNCTION("""COMPUTED_VALUE"""),2.04)</f>
        <v>2.04</v>
      </c>
      <c r="H3690" s="17"/>
      <c r="K3690" s="17"/>
      <c r="N3690" s="17"/>
    </row>
    <row r="3691">
      <c r="B3691" s="11">
        <f>IFERROR(__xludf.DUMMYFUNCTION("""COMPUTED_VALUE"""),40858.0)</f>
        <v>40858</v>
      </c>
      <c r="C3691" s="9"/>
      <c r="H3691" s="17"/>
      <c r="K3691" s="17"/>
      <c r="N3691" s="17"/>
    </row>
    <row r="3692">
      <c r="B3692" s="11">
        <f>IFERROR(__xludf.DUMMYFUNCTION("""COMPUTED_VALUE"""),40857.0)</f>
        <v>40857</v>
      </c>
      <c r="C3692" s="9">
        <f>IFERROR(__xludf.DUMMYFUNCTION("""COMPUTED_VALUE"""),2.04)</f>
        <v>2.04</v>
      </c>
      <c r="H3692" s="17"/>
      <c r="K3692" s="17"/>
      <c r="N3692" s="17"/>
    </row>
    <row r="3693">
      <c r="B3693" s="11">
        <f>IFERROR(__xludf.DUMMYFUNCTION("""COMPUTED_VALUE"""),40856.0)</f>
        <v>40856</v>
      </c>
      <c r="C3693" s="9">
        <f>IFERROR(__xludf.DUMMYFUNCTION("""COMPUTED_VALUE"""),2.0)</f>
        <v>2</v>
      </c>
      <c r="H3693" s="17"/>
      <c r="K3693" s="17"/>
      <c r="N3693" s="17"/>
    </row>
    <row r="3694">
      <c r="B3694" s="11">
        <f>IFERROR(__xludf.DUMMYFUNCTION("""COMPUTED_VALUE"""),40855.0)</f>
        <v>40855</v>
      </c>
      <c r="C3694" s="9">
        <f>IFERROR(__xludf.DUMMYFUNCTION("""COMPUTED_VALUE"""),2.1)</f>
        <v>2.1</v>
      </c>
      <c r="H3694" s="17"/>
      <c r="K3694" s="17"/>
      <c r="N3694" s="17"/>
    </row>
    <row r="3695">
      <c r="B3695" s="11">
        <f>IFERROR(__xludf.DUMMYFUNCTION("""COMPUTED_VALUE"""),40854.0)</f>
        <v>40854</v>
      </c>
      <c r="C3695" s="9">
        <f>IFERROR(__xludf.DUMMYFUNCTION("""COMPUTED_VALUE"""),2.04)</f>
        <v>2.04</v>
      </c>
      <c r="H3695" s="17"/>
      <c r="K3695" s="17"/>
      <c r="N3695" s="17"/>
    </row>
    <row r="3696">
      <c r="B3696" s="11">
        <f>IFERROR(__xludf.DUMMYFUNCTION("""COMPUTED_VALUE"""),40851.0)</f>
        <v>40851</v>
      </c>
      <c r="C3696" s="9">
        <f>IFERROR(__xludf.DUMMYFUNCTION("""COMPUTED_VALUE"""),2.06)</f>
        <v>2.06</v>
      </c>
      <c r="H3696" s="17"/>
      <c r="K3696" s="17"/>
      <c r="N3696" s="17"/>
    </row>
    <row r="3697">
      <c r="B3697" s="11">
        <f>IFERROR(__xludf.DUMMYFUNCTION("""COMPUTED_VALUE"""),40850.0)</f>
        <v>40850</v>
      </c>
      <c r="C3697" s="9">
        <f>IFERROR(__xludf.DUMMYFUNCTION("""COMPUTED_VALUE"""),2.09)</f>
        <v>2.09</v>
      </c>
      <c r="H3697" s="17"/>
      <c r="K3697" s="17"/>
      <c r="N3697" s="17"/>
    </row>
    <row r="3698">
      <c r="B3698" s="11">
        <f>IFERROR(__xludf.DUMMYFUNCTION("""COMPUTED_VALUE"""),40849.0)</f>
        <v>40849</v>
      </c>
      <c r="C3698" s="9">
        <f>IFERROR(__xludf.DUMMYFUNCTION("""COMPUTED_VALUE"""),2.03)</f>
        <v>2.03</v>
      </c>
      <c r="H3698" s="17"/>
      <c r="K3698" s="17"/>
      <c r="N3698" s="17"/>
    </row>
    <row r="3699">
      <c r="B3699" s="11">
        <f>IFERROR(__xludf.DUMMYFUNCTION("""COMPUTED_VALUE"""),40848.0)</f>
        <v>40848</v>
      </c>
      <c r="C3699" s="9">
        <f>IFERROR(__xludf.DUMMYFUNCTION("""COMPUTED_VALUE"""),2.01)</f>
        <v>2.01</v>
      </c>
      <c r="H3699" s="17"/>
      <c r="K3699" s="17"/>
      <c r="N3699" s="17"/>
    </row>
    <row r="3700">
      <c r="B3700" s="11">
        <f>IFERROR(__xludf.DUMMYFUNCTION("""COMPUTED_VALUE"""),40847.0)</f>
        <v>40847</v>
      </c>
      <c r="C3700" s="9">
        <f>IFERROR(__xludf.DUMMYFUNCTION("""COMPUTED_VALUE"""),2.17)</f>
        <v>2.17</v>
      </c>
      <c r="H3700" s="17"/>
      <c r="K3700" s="17"/>
      <c r="N3700" s="17"/>
    </row>
    <row r="3701">
      <c r="B3701" s="11">
        <f>IFERROR(__xludf.DUMMYFUNCTION("""COMPUTED_VALUE"""),40844.0)</f>
        <v>40844</v>
      </c>
      <c r="C3701" s="9">
        <f>IFERROR(__xludf.DUMMYFUNCTION("""COMPUTED_VALUE"""),2.34)</f>
        <v>2.34</v>
      </c>
      <c r="H3701" s="17"/>
      <c r="K3701" s="17"/>
      <c r="N3701" s="17"/>
    </row>
    <row r="3702">
      <c r="B3702" s="11">
        <f>IFERROR(__xludf.DUMMYFUNCTION("""COMPUTED_VALUE"""),40843.0)</f>
        <v>40843</v>
      </c>
      <c r="C3702" s="9">
        <f>IFERROR(__xludf.DUMMYFUNCTION("""COMPUTED_VALUE"""),2.42)</f>
        <v>2.42</v>
      </c>
      <c r="H3702" s="17"/>
      <c r="K3702" s="17"/>
      <c r="N3702" s="17"/>
    </row>
    <row r="3703">
      <c r="B3703" s="11">
        <f>IFERROR(__xludf.DUMMYFUNCTION("""COMPUTED_VALUE"""),40842.0)</f>
        <v>40842</v>
      </c>
      <c r="C3703" s="9">
        <f>IFERROR(__xludf.DUMMYFUNCTION("""COMPUTED_VALUE"""),2.23)</f>
        <v>2.23</v>
      </c>
      <c r="H3703" s="17"/>
      <c r="K3703" s="17"/>
      <c r="N3703" s="17"/>
    </row>
    <row r="3704">
      <c r="B3704" s="11">
        <f>IFERROR(__xludf.DUMMYFUNCTION("""COMPUTED_VALUE"""),40841.0)</f>
        <v>40841</v>
      </c>
      <c r="C3704" s="9">
        <f>IFERROR(__xludf.DUMMYFUNCTION("""COMPUTED_VALUE"""),2.14)</f>
        <v>2.14</v>
      </c>
      <c r="H3704" s="17"/>
      <c r="K3704" s="17"/>
      <c r="N3704" s="17"/>
    </row>
    <row r="3705">
      <c r="B3705" s="11">
        <f>IFERROR(__xludf.DUMMYFUNCTION("""COMPUTED_VALUE"""),40840.0)</f>
        <v>40840</v>
      </c>
      <c r="C3705" s="9">
        <f>IFERROR(__xludf.DUMMYFUNCTION("""COMPUTED_VALUE"""),2.25)</f>
        <v>2.25</v>
      </c>
      <c r="H3705" s="17"/>
      <c r="K3705" s="17"/>
      <c r="N3705" s="17"/>
    </row>
    <row r="3706">
      <c r="B3706" s="11">
        <f>IFERROR(__xludf.DUMMYFUNCTION("""COMPUTED_VALUE"""),40837.0)</f>
        <v>40837</v>
      </c>
      <c r="C3706" s="9">
        <f>IFERROR(__xludf.DUMMYFUNCTION("""COMPUTED_VALUE"""),2.23)</f>
        <v>2.23</v>
      </c>
      <c r="H3706" s="17"/>
      <c r="K3706" s="17"/>
      <c r="N3706" s="17"/>
    </row>
    <row r="3707">
      <c r="B3707" s="11">
        <f>IFERROR(__xludf.DUMMYFUNCTION("""COMPUTED_VALUE"""),40836.0)</f>
        <v>40836</v>
      </c>
      <c r="C3707" s="9">
        <f>IFERROR(__xludf.DUMMYFUNCTION("""COMPUTED_VALUE"""),2.2)</f>
        <v>2.2</v>
      </c>
      <c r="H3707" s="17"/>
      <c r="K3707" s="17"/>
      <c r="N3707" s="17"/>
    </row>
    <row r="3708">
      <c r="B3708" s="11">
        <f>IFERROR(__xludf.DUMMYFUNCTION("""COMPUTED_VALUE"""),40835.0)</f>
        <v>40835</v>
      </c>
      <c r="C3708" s="9">
        <f>IFERROR(__xludf.DUMMYFUNCTION("""COMPUTED_VALUE"""),2.18)</f>
        <v>2.18</v>
      </c>
      <c r="H3708" s="17"/>
      <c r="K3708" s="17"/>
      <c r="N3708" s="17"/>
    </row>
    <row r="3709">
      <c r="B3709" s="11">
        <f>IFERROR(__xludf.DUMMYFUNCTION("""COMPUTED_VALUE"""),40834.0)</f>
        <v>40834</v>
      </c>
      <c r="C3709" s="9">
        <f>IFERROR(__xludf.DUMMYFUNCTION("""COMPUTED_VALUE"""),2.19)</f>
        <v>2.19</v>
      </c>
      <c r="H3709" s="17"/>
      <c r="K3709" s="17"/>
      <c r="N3709" s="17"/>
    </row>
    <row r="3710">
      <c r="B3710" s="11">
        <f>IFERROR(__xludf.DUMMYFUNCTION("""COMPUTED_VALUE"""),40833.0)</f>
        <v>40833</v>
      </c>
      <c r="C3710" s="9">
        <f>IFERROR(__xludf.DUMMYFUNCTION("""COMPUTED_VALUE"""),2.18)</f>
        <v>2.18</v>
      </c>
      <c r="H3710" s="17"/>
      <c r="K3710" s="17"/>
      <c r="N3710" s="17"/>
    </row>
    <row r="3711">
      <c r="B3711" s="11">
        <f>IFERROR(__xludf.DUMMYFUNCTION("""COMPUTED_VALUE"""),40830.0)</f>
        <v>40830</v>
      </c>
      <c r="C3711" s="9">
        <f>IFERROR(__xludf.DUMMYFUNCTION("""COMPUTED_VALUE"""),2.26)</f>
        <v>2.26</v>
      </c>
      <c r="H3711" s="17"/>
      <c r="K3711" s="17"/>
      <c r="N3711" s="17"/>
    </row>
    <row r="3712">
      <c r="B3712" s="11">
        <f>IFERROR(__xludf.DUMMYFUNCTION("""COMPUTED_VALUE"""),40829.0)</f>
        <v>40829</v>
      </c>
      <c r="C3712" s="9">
        <f>IFERROR(__xludf.DUMMYFUNCTION("""COMPUTED_VALUE"""),2.19)</f>
        <v>2.19</v>
      </c>
      <c r="H3712" s="17"/>
      <c r="K3712" s="17"/>
      <c r="N3712" s="17"/>
    </row>
    <row r="3713">
      <c r="B3713" s="11">
        <f>IFERROR(__xludf.DUMMYFUNCTION("""COMPUTED_VALUE"""),40828.0)</f>
        <v>40828</v>
      </c>
      <c r="C3713" s="9">
        <f>IFERROR(__xludf.DUMMYFUNCTION("""COMPUTED_VALUE"""),2.24)</f>
        <v>2.24</v>
      </c>
      <c r="H3713" s="17"/>
      <c r="K3713" s="17"/>
      <c r="N3713" s="17"/>
    </row>
    <row r="3714">
      <c r="B3714" s="11">
        <f>IFERROR(__xludf.DUMMYFUNCTION("""COMPUTED_VALUE"""),40827.0)</f>
        <v>40827</v>
      </c>
      <c r="C3714" s="9">
        <f>IFERROR(__xludf.DUMMYFUNCTION("""COMPUTED_VALUE"""),2.18)</f>
        <v>2.18</v>
      </c>
      <c r="H3714" s="17"/>
      <c r="K3714" s="17"/>
      <c r="N3714" s="17"/>
    </row>
    <row r="3715">
      <c r="B3715" s="11">
        <f>IFERROR(__xludf.DUMMYFUNCTION("""COMPUTED_VALUE"""),40826.0)</f>
        <v>40826</v>
      </c>
      <c r="C3715" s="9"/>
      <c r="H3715" s="17"/>
      <c r="K3715" s="17"/>
      <c r="N3715" s="17"/>
    </row>
    <row r="3716">
      <c r="B3716" s="11">
        <f>IFERROR(__xludf.DUMMYFUNCTION("""COMPUTED_VALUE"""),40823.0)</f>
        <v>40823</v>
      </c>
      <c r="C3716" s="9">
        <f>IFERROR(__xludf.DUMMYFUNCTION("""COMPUTED_VALUE"""),2.1)</f>
        <v>2.1</v>
      </c>
      <c r="H3716" s="17"/>
      <c r="K3716" s="17"/>
      <c r="N3716" s="17"/>
    </row>
    <row r="3717">
      <c r="B3717" s="11">
        <f>IFERROR(__xludf.DUMMYFUNCTION("""COMPUTED_VALUE"""),40822.0)</f>
        <v>40822</v>
      </c>
      <c r="C3717" s="9">
        <f>IFERROR(__xludf.DUMMYFUNCTION("""COMPUTED_VALUE"""),2.01)</f>
        <v>2.01</v>
      </c>
      <c r="H3717" s="17"/>
      <c r="K3717" s="17"/>
      <c r="N3717" s="17"/>
    </row>
    <row r="3718">
      <c r="B3718" s="11">
        <f>IFERROR(__xludf.DUMMYFUNCTION("""COMPUTED_VALUE"""),40821.0)</f>
        <v>40821</v>
      </c>
      <c r="C3718" s="9">
        <f>IFERROR(__xludf.DUMMYFUNCTION("""COMPUTED_VALUE"""),1.92)</f>
        <v>1.92</v>
      </c>
      <c r="H3718" s="17"/>
      <c r="K3718" s="17"/>
      <c r="N3718" s="17"/>
    </row>
    <row r="3719">
      <c r="B3719" s="11">
        <f>IFERROR(__xludf.DUMMYFUNCTION("""COMPUTED_VALUE"""),40820.0)</f>
        <v>40820</v>
      </c>
      <c r="C3719" s="9">
        <f>IFERROR(__xludf.DUMMYFUNCTION("""COMPUTED_VALUE"""),1.81)</f>
        <v>1.81</v>
      </c>
      <c r="H3719" s="17"/>
      <c r="K3719" s="17"/>
      <c r="N3719" s="17"/>
    </row>
    <row r="3720">
      <c r="B3720" s="11">
        <f>IFERROR(__xludf.DUMMYFUNCTION("""COMPUTED_VALUE"""),40819.0)</f>
        <v>40819</v>
      </c>
      <c r="C3720" s="9">
        <f>IFERROR(__xludf.DUMMYFUNCTION("""COMPUTED_VALUE"""),1.8)</f>
        <v>1.8</v>
      </c>
      <c r="H3720" s="17"/>
      <c r="K3720" s="17"/>
      <c r="N3720" s="17"/>
    </row>
    <row r="3721">
      <c r="B3721" s="11">
        <f>IFERROR(__xludf.DUMMYFUNCTION("""COMPUTED_VALUE"""),40816.0)</f>
        <v>40816</v>
      </c>
      <c r="C3721" s="9">
        <f>IFERROR(__xludf.DUMMYFUNCTION("""COMPUTED_VALUE"""),1.92)</f>
        <v>1.92</v>
      </c>
      <c r="H3721" s="17"/>
      <c r="K3721" s="17"/>
      <c r="N3721" s="17"/>
    </row>
    <row r="3722">
      <c r="B3722" s="11">
        <f>IFERROR(__xludf.DUMMYFUNCTION("""COMPUTED_VALUE"""),40815.0)</f>
        <v>40815</v>
      </c>
      <c r="C3722" s="9">
        <f>IFERROR(__xludf.DUMMYFUNCTION("""COMPUTED_VALUE"""),1.99)</f>
        <v>1.99</v>
      </c>
      <c r="H3722" s="17"/>
      <c r="K3722" s="17"/>
      <c r="N3722" s="17"/>
    </row>
    <row r="3723">
      <c r="B3723" s="11">
        <f>IFERROR(__xludf.DUMMYFUNCTION("""COMPUTED_VALUE"""),40814.0)</f>
        <v>40814</v>
      </c>
      <c r="C3723" s="9">
        <f>IFERROR(__xludf.DUMMYFUNCTION("""COMPUTED_VALUE"""),2.03)</f>
        <v>2.03</v>
      </c>
      <c r="H3723" s="17"/>
      <c r="K3723" s="17"/>
      <c r="N3723" s="17"/>
    </row>
    <row r="3724">
      <c r="B3724" s="11">
        <f>IFERROR(__xludf.DUMMYFUNCTION("""COMPUTED_VALUE"""),40813.0)</f>
        <v>40813</v>
      </c>
      <c r="C3724" s="9">
        <f>IFERROR(__xludf.DUMMYFUNCTION("""COMPUTED_VALUE"""),2.0)</f>
        <v>2</v>
      </c>
      <c r="H3724" s="17"/>
      <c r="K3724" s="17"/>
      <c r="N3724" s="17"/>
    </row>
    <row r="3725">
      <c r="B3725" s="11">
        <f>IFERROR(__xludf.DUMMYFUNCTION("""COMPUTED_VALUE"""),40812.0)</f>
        <v>40812</v>
      </c>
      <c r="C3725" s="9">
        <f>IFERROR(__xludf.DUMMYFUNCTION("""COMPUTED_VALUE"""),1.91)</f>
        <v>1.91</v>
      </c>
      <c r="H3725" s="17"/>
      <c r="K3725" s="17"/>
      <c r="N3725" s="17"/>
    </row>
    <row r="3726">
      <c r="B3726" s="11">
        <f>IFERROR(__xludf.DUMMYFUNCTION("""COMPUTED_VALUE"""),40809.0)</f>
        <v>40809</v>
      </c>
      <c r="C3726" s="9">
        <f>IFERROR(__xludf.DUMMYFUNCTION("""COMPUTED_VALUE"""),1.84)</f>
        <v>1.84</v>
      </c>
      <c r="H3726" s="17"/>
      <c r="K3726" s="17"/>
      <c r="N3726" s="17"/>
    </row>
    <row r="3727">
      <c r="B3727" s="11">
        <f>IFERROR(__xludf.DUMMYFUNCTION("""COMPUTED_VALUE"""),40808.0)</f>
        <v>40808</v>
      </c>
      <c r="C3727" s="9">
        <f>IFERROR(__xludf.DUMMYFUNCTION("""COMPUTED_VALUE"""),1.72)</f>
        <v>1.72</v>
      </c>
      <c r="H3727" s="17"/>
      <c r="K3727" s="17"/>
      <c r="N3727" s="17"/>
    </row>
    <row r="3728">
      <c r="B3728" s="11">
        <f>IFERROR(__xludf.DUMMYFUNCTION("""COMPUTED_VALUE"""),40807.0)</f>
        <v>40807</v>
      </c>
      <c r="C3728" s="9">
        <f>IFERROR(__xludf.DUMMYFUNCTION("""COMPUTED_VALUE"""),1.88)</f>
        <v>1.88</v>
      </c>
      <c r="H3728" s="17"/>
      <c r="K3728" s="17"/>
      <c r="N3728" s="17"/>
    </row>
    <row r="3729">
      <c r="B3729" s="11">
        <f>IFERROR(__xludf.DUMMYFUNCTION("""COMPUTED_VALUE"""),40806.0)</f>
        <v>40806</v>
      </c>
      <c r="C3729" s="9">
        <f>IFERROR(__xludf.DUMMYFUNCTION("""COMPUTED_VALUE"""),1.95)</f>
        <v>1.95</v>
      </c>
      <c r="H3729" s="17"/>
      <c r="K3729" s="17"/>
      <c r="N3729" s="17"/>
    </row>
    <row r="3730">
      <c r="B3730" s="11">
        <f>IFERROR(__xludf.DUMMYFUNCTION("""COMPUTED_VALUE"""),40805.0)</f>
        <v>40805</v>
      </c>
      <c r="C3730" s="9">
        <f>IFERROR(__xludf.DUMMYFUNCTION("""COMPUTED_VALUE"""),1.97)</f>
        <v>1.97</v>
      </c>
      <c r="H3730" s="17"/>
      <c r="K3730" s="17"/>
      <c r="N3730" s="17"/>
    </row>
    <row r="3731">
      <c r="B3731" s="11">
        <f>IFERROR(__xludf.DUMMYFUNCTION("""COMPUTED_VALUE"""),40802.0)</f>
        <v>40802</v>
      </c>
      <c r="C3731" s="9">
        <f>IFERROR(__xludf.DUMMYFUNCTION("""COMPUTED_VALUE"""),2.08)</f>
        <v>2.08</v>
      </c>
      <c r="H3731" s="17"/>
      <c r="K3731" s="17"/>
      <c r="N3731" s="17"/>
    </row>
    <row r="3732">
      <c r="B3732" s="11">
        <f>IFERROR(__xludf.DUMMYFUNCTION("""COMPUTED_VALUE"""),40801.0)</f>
        <v>40801</v>
      </c>
      <c r="C3732" s="9">
        <f>IFERROR(__xludf.DUMMYFUNCTION("""COMPUTED_VALUE"""),2.09)</f>
        <v>2.09</v>
      </c>
      <c r="H3732" s="17"/>
      <c r="K3732" s="17"/>
      <c r="N3732" s="17"/>
    </row>
    <row r="3733">
      <c r="B3733" s="11">
        <f>IFERROR(__xludf.DUMMYFUNCTION("""COMPUTED_VALUE"""),40800.0)</f>
        <v>40800</v>
      </c>
      <c r="C3733" s="9">
        <f>IFERROR(__xludf.DUMMYFUNCTION("""COMPUTED_VALUE"""),2.03)</f>
        <v>2.03</v>
      </c>
      <c r="H3733" s="17"/>
      <c r="K3733" s="17"/>
      <c r="N3733" s="17"/>
    </row>
    <row r="3734">
      <c r="B3734" s="11">
        <f>IFERROR(__xludf.DUMMYFUNCTION("""COMPUTED_VALUE"""),40799.0)</f>
        <v>40799</v>
      </c>
      <c r="C3734" s="9">
        <f>IFERROR(__xludf.DUMMYFUNCTION("""COMPUTED_VALUE"""),2.0)</f>
        <v>2</v>
      </c>
      <c r="H3734" s="17"/>
      <c r="K3734" s="17"/>
      <c r="N3734" s="17"/>
    </row>
    <row r="3735">
      <c r="B3735" s="11">
        <f>IFERROR(__xludf.DUMMYFUNCTION("""COMPUTED_VALUE"""),40798.0)</f>
        <v>40798</v>
      </c>
      <c r="C3735" s="9">
        <f>IFERROR(__xludf.DUMMYFUNCTION("""COMPUTED_VALUE"""),1.94)</f>
        <v>1.94</v>
      </c>
      <c r="H3735" s="17"/>
      <c r="K3735" s="17"/>
      <c r="N3735" s="17"/>
    </row>
    <row r="3736">
      <c r="B3736" s="11">
        <f>IFERROR(__xludf.DUMMYFUNCTION("""COMPUTED_VALUE"""),40795.0)</f>
        <v>40795</v>
      </c>
      <c r="C3736" s="9">
        <f>IFERROR(__xludf.DUMMYFUNCTION("""COMPUTED_VALUE"""),1.93)</f>
        <v>1.93</v>
      </c>
      <c r="H3736" s="17"/>
      <c r="K3736" s="17"/>
      <c r="N3736" s="17"/>
    </row>
    <row r="3737">
      <c r="B3737" s="11">
        <f>IFERROR(__xludf.DUMMYFUNCTION("""COMPUTED_VALUE"""),40794.0)</f>
        <v>40794</v>
      </c>
      <c r="C3737" s="9">
        <f>IFERROR(__xludf.DUMMYFUNCTION("""COMPUTED_VALUE"""),2.0)</f>
        <v>2</v>
      </c>
      <c r="H3737" s="17"/>
      <c r="K3737" s="17"/>
      <c r="N3737" s="17"/>
    </row>
    <row r="3738">
      <c r="B3738" s="11">
        <f>IFERROR(__xludf.DUMMYFUNCTION("""COMPUTED_VALUE"""),40793.0)</f>
        <v>40793</v>
      </c>
      <c r="C3738" s="9">
        <f>IFERROR(__xludf.DUMMYFUNCTION("""COMPUTED_VALUE"""),2.05)</f>
        <v>2.05</v>
      </c>
      <c r="H3738" s="17"/>
      <c r="K3738" s="17"/>
      <c r="N3738" s="17"/>
    </row>
    <row r="3739">
      <c r="B3739" s="11">
        <f>IFERROR(__xludf.DUMMYFUNCTION("""COMPUTED_VALUE"""),40792.0)</f>
        <v>40792</v>
      </c>
      <c r="C3739" s="9">
        <f>IFERROR(__xludf.DUMMYFUNCTION("""COMPUTED_VALUE"""),1.98)</f>
        <v>1.98</v>
      </c>
      <c r="H3739" s="17"/>
      <c r="K3739" s="17"/>
      <c r="N3739" s="17"/>
    </row>
    <row r="3740">
      <c r="B3740" s="11">
        <f>IFERROR(__xludf.DUMMYFUNCTION("""COMPUTED_VALUE"""),40791.0)</f>
        <v>40791</v>
      </c>
      <c r="C3740" s="9"/>
      <c r="H3740" s="17"/>
      <c r="K3740" s="17"/>
      <c r="N3740" s="17"/>
    </row>
    <row r="3741">
      <c r="B3741" s="11">
        <f>IFERROR(__xludf.DUMMYFUNCTION("""COMPUTED_VALUE"""),40788.0)</f>
        <v>40788</v>
      </c>
      <c r="C3741" s="9">
        <f>IFERROR(__xludf.DUMMYFUNCTION("""COMPUTED_VALUE"""),2.02)</f>
        <v>2.02</v>
      </c>
      <c r="H3741" s="17"/>
      <c r="K3741" s="17"/>
      <c r="N3741" s="17"/>
    </row>
    <row r="3742">
      <c r="B3742" s="11">
        <f>IFERROR(__xludf.DUMMYFUNCTION("""COMPUTED_VALUE"""),40787.0)</f>
        <v>40787</v>
      </c>
      <c r="C3742" s="9">
        <f>IFERROR(__xludf.DUMMYFUNCTION("""COMPUTED_VALUE"""),2.15)</f>
        <v>2.15</v>
      </c>
      <c r="H3742" s="17"/>
      <c r="K3742" s="17"/>
      <c r="N3742" s="17"/>
    </row>
    <row r="3743">
      <c r="B3743" s="11">
        <f>IFERROR(__xludf.DUMMYFUNCTION("""COMPUTED_VALUE"""),40786.0)</f>
        <v>40786</v>
      </c>
      <c r="C3743" s="9">
        <f>IFERROR(__xludf.DUMMYFUNCTION("""COMPUTED_VALUE"""),2.23)</f>
        <v>2.23</v>
      </c>
      <c r="H3743" s="17"/>
      <c r="K3743" s="17"/>
      <c r="N3743" s="17"/>
    </row>
    <row r="3744">
      <c r="B3744" s="11">
        <f>IFERROR(__xludf.DUMMYFUNCTION("""COMPUTED_VALUE"""),40785.0)</f>
        <v>40785</v>
      </c>
      <c r="C3744" s="9">
        <f>IFERROR(__xludf.DUMMYFUNCTION("""COMPUTED_VALUE"""),2.19)</f>
        <v>2.19</v>
      </c>
      <c r="H3744" s="17"/>
      <c r="K3744" s="17"/>
      <c r="N3744" s="17"/>
    </row>
    <row r="3745">
      <c r="B3745" s="11">
        <f>IFERROR(__xludf.DUMMYFUNCTION("""COMPUTED_VALUE"""),40784.0)</f>
        <v>40784</v>
      </c>
      <c r="C3745" s="9">
        <f>IFERROR(__xludf.DUMMYFUNCTION("""COMPUTED_VALUE"""),2.28)</f>
        <v>2.28</v>
      </c>
      <c r="H3745" s="17"/>
      <c r="K3745" s="17"/>
      <c r="N3745" s="17"/>
    </row>
    <row r="3746">
      <c r="B3746" s="11">
        <f>IFERROR(__xludf.DUMMYFUNCTION("""COMPUTED_VALUE"""),40781.0)</f>
        <v>40781</v>
      </c>
      <c r="C3746" s="9">
        <f>IFERROR(__xludf.DUMMYFUNCTION("""COMPUTED_VALUE"""),2.19)</f>
        <v>2.19</v>
      </c>
      <c r="H3746" s="17"/>
      <c r="K3746" s="17"/>
      <c r="N3746" s="17"/>
    </row>
    <row r="3747">
      <c r="B3747" s="11">
        <f>IFERROR(__xludf.DUMMYFUNCTION("""COMPUTED_VALUE"""),40780.0)</f>
        <v>40780</v>
      </c>
      <c r="C3747" s="9">
        <f>IFERROR(__xludf.DUMMYFUNCTION("""COMPUTED_VALUE"""),2.23)</f>
        <v>2.23</v>
      </c>
      <c r="H3747" s="17"/>
      <c r="K3747" s="17"/>
      <c r="N3747" s="17"/>
    </row>
    <row r="3748">
      <c r="B3748" s="11">
        <f>IFERROR(__xludf.DUMMYFUNCTION("""COMPUTED_VALUE"""),40779.0)</f>
        <v>40779</v>
      </c>
      <c r="C3748" s="9">
        <f>IFERROR(__xludf.DUMMYFUNCTION("""COMPUTED_VALUE"""),2.29)</f>
        <v>2.29</v>
      </c>
      <c r="H3748" s="17"/>
      <c r="K3748" s="17"/>
      <c r="N3748" s="17"/>
    </row>
    <row r="3749">
      <c r="B3749" s="11">
        <f>IFERROR(__xludf.DUMMYFUNCTION("""COMPUTED_VALUE"""),40778.0)</f>
        <v>40778</v>
      </c>
      <c r="C3749" s="9">
        <f>IFERROR(__xludf.DUMMYFUNCTION("""COMPUTED_VALUE"""),2.15)</f>
        <v>2.15</v>
      </c>
      <c r="H3749" s="17"/>
      <c r="K3749" s="17"/>
      <c r="N3749" s="17"/>
    </row>
    <row r="3750">
      <c r="B3750" s="11">
        <f>IFERROR(__xludf.DUMMYFUNCTION("""COMPUTED_VALUE"""),40777.0)</f>
        <v>40777</v>
      </c>
      <c r="C3750" s="9">
        <f>IFERROR(__xludf.DUMMYFUNCTION("""COMPUTED_VALUE"""),2.1)</f>
        <v>2.1</v>
      </c>
      <c r="H3750" s="17"/>
      <c r="K3750" s="17"/>
      <c r="N3750" s="17"/>
    </row>
    <row r="3751">
      <c r="B3751" s="11">
        <f>IFERROR(__xludf.DUMMYFUNCTION("""COMPUTED_VALUE"""),40774.0)</f>
        <v>40774</v>
      </c>
      <c r="C3751" s="9">
        <f>IFERROR(__xludf.DUMMYFUNCTION("""COMPUTED_VALUE"""),2.07)</f>
        <v>2.07</v>
      </c>
      <c r="H3751" s="17"/>
      <c r="K3751" s="17"/>
      <c r="N3751" s="17"/>
    </row>
    <row r="3752">
      <c r="B3752" s="11">
        <f>IFERROR(__xludf.DUMMYFUNCTION("""COMPUTED_VALUE"""),40773.0)</f>
        <v>40773</v>
      </c>
      <c r="C3752" s="9">
        <f>IFERROR(__xludf.DUMMYFUNCTION("""COMPUTED_VALUE"""),2.08)</f>
        <v>2.08</v>
      </c>
      <c r="H3752" s="17"/>
      <c r="K3752" s="17"/>
      <c r="N3752" s="17"/>
    </row>
    <row r="3753">
      <c r="B3753" s="11">
        <f>IFERROR(__xludf.DUMMYFUNCTION("""COMPUTED_VALUE"""),40772.0)</f>
        <v>40772</v>
      </c>
      <c r="C3753" s="9">
        <f>IFERROR(__xludf.DUMMYFUNCTION("""COMPUTED_VALUE"""),2.17)</f>
        <v>2.17</v>
      </c>
      <c r="H3753" s="17"/>
      <c r="K3753" s="17"/>
      <c r="N3753" s="17"/>
    </row>
    <row r="3754">
      <c r="B3754" s="11">
        <f>IFERROR(__xludf.DUMMYFUNCTION("""COMPUTED_VALUE"""),40771.0)</f>
        <v>40771</v>
      </c>
      <c r="C3754" s="9">
        <f>IFERROR(__xludf.DUMMYFUNCTION("""COMPUTED_VALUE"""),2.23)</f>
        <v>2.23</v>
      </c>
      <c r="H3754" s="17"/>
      <c r="K3754" s="17"/>
      <c r="N3754" s="17"/>
    </row>
    <row r="3755">
      <c r="B3755" s="11">
        <f>IFERROR(__xludf.DUMMYFUNCTION("""COMPUTED_VALUE"""),40770.0)</f>
        <v>40770</v>
      </c>
      <c r="C3755" s="9">
        <f>IFERROR(__xludf.DUMMYFUNCTION("""COMPUTED_VALUE"""),2.29)</f>
        <v>2.29</v>
      </c>
      <c r="H3755" s="17"/>
      <c r="K3755" s="17"/>
      <c r="N3755" s="17"/>
    </row>
    <row r="3756">
      <c r="B3756" s="11">
        <f>IFERROR(__xludf.DUMMYFUNCTION("""COMPUTED_VALUE"""),40767.0)</f>
        <v>40767</v>
      </c>
      <c r="C3756" s="9">
        <f>IFERROR(__xludf.DUMMYFUNCTION("""COMPUTED_VALUE"""),2.24)</f>
        <v>2.24</v>
      </c>
      <c r="H3756" s="17"/>
      <c r="K3756" s="17"/>
      <c r="N3756" s="17"/>
    </row>
    <row r="3757">
      <c r="B3757" s="11">
        <f>IFERROR(__xludf.DUMMYFUNCTION("""COMPUTED_VALUE"""),40766.0)</f>
        <v>40766</v>
      </c>
      <c r="C3757" s="9">
        <f>IFERROR(__xludf.DUMMYFUNCTION("""COMPUTED_VALUE"""),2.34)</f>
        <v>2.34</v>
      </c>
      <c r="H3757" s="17"/>
      <c r="K3757" s="17"/>
      <c r="N3757" s="17"/>
    </row>
    <row r="3758">
      <c r="B3758" s="11">
        <f>IFERROR(__xludf.DUMMYFUNCTION("""COMPUTED_VALUE"""),40765.0)</f>
        <v>40765</v>
      </c>
      <c r="C3758" s="9">
        <f>IFERROR(__xludf.DUMMYFUNCTION("""COMPUTED_VALUE"""),2.17)</f>
        <v>2.17</v>
      </c>
      <c r="H3758" s="17"/>
      <c r="K3758" s="17"/>
      <c r="N3758" s="17"/>
    </row>
    <row r="3759">
      <c r="B3759" s="11">
        <f>IFERROR(__xludf.DUMMYFUNCTION("""COMPUTED_VALUE"""),40764.0)</f>
        <v>40764</v>
      </c>
      <c r="C3759" s="9">
        <f>IFERROR(__xludf.DUMMYFUNCTION("""COMPUTED_VALUE"""),2.2)</f>
        <v>2.2</v>
      </c>
      <c r="H3759" s="17"/>
      <c r="K3759" s="17"/>
      <c r="N3759" s="17"/>
    </row>
    <row r="3760">
      <c r="B3760" s="11">
        <f>IFERROR(__xludf.DUMMYFUNCTION("""COMPUTED_VALUE"""),40763.0)</f>
        <v>40763</v>
      </c>
      <c r="C3760" s="9">
        <f>IFERROR(__xludf.DUMMYFUNCTION("""COMPUTED_VALUE"""),2.4)</f>
        <v>2.4</v>
      </c>
      <c r="H3760" s="17"/>
      <c r="K3760" s="17"/>
      <c r="N3760" s="17"/>
    </row>
    <row r="3761">
      <c r="B3761" s="11">
        <f>IFERROR(__xludf.DUMMYFUNCTION("""COMPUTED_VALUE"""),40760.0)</f>
        <v>40760</v>
      </c>
      <c r="C3761" s="9">
        <f>IFERROR(__xludf.DUMMYFUNCTION("""COMPUTED_VALUE"""),2.58)</f>
        <v>2.58</v>
      </c>
      <c r="H3761" s="17"/>
      <c r="K3761" s="17"/>
      <c r="N3761" s="17"/>
    </row>
    <row r="3762">
      <c r="B3762" s="11">
        <f>IFERROR(__xludf.DUMMYFUNCTION("""COMPUTED_VALUE"""),40759.0)</f>
        <v>40759</v>
      </c>
      <c r="C3762" s="9">
        <f>IFERROR(__xludf.DUMMYFUNCTION("""COMPUTED_VALUE"""),2.47)</f>
        <v>2.47</v>
      </c>
      <c r="H3762" s="17"/>
      <c r="K3762" s="17"/>
      <c r="N3762" s="17"/>
    </row>
    <row r="3763">
      <c r="B3763" s="11">
        <f>IFERROR(__xludf.DUMMYFUNCTION("""COMPUTED_VALUE"""),40758.0)</f>
        <v>40758</v>
      </c>
      <c r="C3763" s="9">
        <f>IFERROR(__xludf.DUMMYFUNCTION("""COMPUTED_VALUE"""),2.64)</f>
        <v>2.64</v>
      </c>
      <c r="H3763" s="17"/>
      <c r="K3763" s="17"/>
      <c r="N3763" s="17"/>
    </row>
    <row r="3764">
      <c r="B3764" s="11">
        <f>IFERROR(__xludf.DUMMYFUNCTION("""COMPUTED_VALUE"""),40757.0)</f>
        <v>40757</v>
      </c>
      <c r="C3764" s="9">
        <f>IFERROR(__xludf.DUMMYFUNCTION("""COMPUTED_VALUE"""),2.66)</f>
        <v>2.66</v>
      </c>
      <c r="H3764" s="17"/>
      <c r="K3764" s="17"/>
      <c r="N3764" s="17"/>
    </row>
    <row r="3765">
      <c r="B3765" s="11">
        <f>IFERROR(__xludf.DUMMYFUNCTION("""COMPUTED_VALUE"""),40756.0)</f>
        <v>40756</v>
      </c>
      <c r="C3765" s="9">
        <f>IFERROR(__xludf.DUMMYFUNCTION("""COMPUTED_VALUE"""),2.77)</f>
        <v>2.77</v>
      </c>
      <c r="H3765" s="17"/>
      <c r="K3765" s="17"/>
      <c r="N3765" s="17"/>
    </row>
    <row r="3766">
      <c r="B3766" s="11">
        <f>IFERROR(__xludf.DUMMYFUNCTION("""COMPUTED_VALUE"""),40753.0)</f>
        <v>40753</v>
      </c>
      <c r="C3766" s="9">
        <f>IFERROR(__xludf.DUMMYFUNCTION("""COMPUTED_VALUE"""),2.82)</f>
        <v>2.82</v>
      </c>
      <c r="H3766" s="17"/>
      <c r="K3766" s="17"/>
      <c r="N3766" s="17"/>
    </row>
    <row r="3767">
      <c r="B3767" s="11">
        <f>IFERROR(__xludf.DUMMYFUNCTION("""COMPUTED_VALUE"""),40752.0)</f>
        <v>40752</v>
      </c>
      <c r="C3767" s="9">
        <f>IFERROR(__xludf.DUMMYFUNCTION("""COMPUTED_VALUE"""),2.98)</f>
        <v>2.98</v>
      </c>
      <c r="H3767" s="17"/>
      <c r="K3767" s="17"/>
      <c r="N3767" s="17"/>
    </row>
    <row r="3768">
      <c r="B3768" s="11">
        <f>IFERROR(__xludf.DUMMYFUNCTION("""COMPUTED_VALUE"""),40751.0)</f>
        <v>40751</v>
      </c>
      <c r="C3768" s="9">
        <f>IFERROR(__xludf.DUMMYFUNCTION("""COMPUTED_VALUE"""),3.01)</f>
        <v>3.01</v>
      </c>
      <c r="H3768" s="17"/>
      <c r="K3768" s="17"/>
      <c r="N3768" s="17"/>
    </row>
    <row r="3769">
      <c r="B3769" s="11">
        <f>IFERROR(__xludf.DUMMYFUNCTION("""COMPUTED_VALUE"""),40750.0)</f>
        <v>40750</v>
      </c>
      <c r="C3769" s="9">
        <f>IFERROR(__xludf.DUMMYFUNCTION("""COMPUTED_VALUE"""),2.99)</f>
        <v>2.99</v>
      </c>
      <c r="H3769" s="17"/>
      <c r="K3769" s="17"/>
      <c r="N3769" s="17"/>
    </row>
    <row r="3770">
      <c r="B3770" s="11">
        <f>IFERROR(__xludf.DUMMYFUNCTION("""COMPUTED_VALUE"""),40749.0)</f>
        <v>40749</v>
      </c>
      <c r="C3770" s="9">
        <f>IFERROR(__xludf.DUMMYFUNCTION("""COMPUTED_VALUE"""),3.03)</f>
        <v>3.03</v>
      </c>
      <c r="H3770" s="17"/>
      <c r="K3770" s="17"/>
      <c r="N3770" s="17"/>
    </row>
    <row r="3771">
      <c r="B3771" s="11">
        <f>IFERROR(__xludf.DUMMYFUNCTION("""COMPUTED_VALUE"""),40746.0)</f>
        <v>40746</v>
      </c>
      <c r="C3771" s="9">
        <f>IFERROR(__xludf.DUMMYFUNCTION("""COMPUTED_VALUE"""),2.99)</f>
        <v>2.99</v>
      </c>
      <c r="H3771" s="17"/>
      <c r="K3771" s="17"/>
      <c r="N3771" s="17"/>
    </row>
    <row r="3772">
      <c r="B3772" s="11">
        <f>IFERROR(__xludf.DUMMYFUNCTION("""COMPUTED_VALUE"""),40745.0)</f>
        <v>40745</v>
      </c>
      <c r="C3772" s="9">
        <f>IFERROR(__xludf.DUMMYFUNCTION("""COMPUTED_VALUE"""),3.03)</f>
        <v>3.03</v>
      </c>
      <c r="H3772" s="17"/>
      <c r="K3772" s="17"/>
      <c r="N3772" s="17"/>
    </row>
    <row r="3773">
      <c r="B3773" s="11">
        <f>IFERROR(__xludf.DUMMYFUNCTION("""COMPUTED_VALUE"""),40744.0)</f>
        <v>40744</v>
      </c>
      <c r="C3773" s="9">
        <f>IFERROR(__xludf.DUMMYFUNCTION("""COMPUTED_VALUE"""),2.96)</f>
        <v>2.96</v>
      </c>
      <c r="H3773" s="17"/>
      <c r="K3773" s="17"/>
      <c r="N3773" s="17"/>
    </row>
    <row r="3774">
      <c r="B3774" s="11">
        <f>IFERROR(__xludf.DUMMYFUNCTION("""COMPUTED_VALUE"""),40743.0)</f>
        <v>40743</v>
      </c>
      <c r="C3774" s="9">
        <f>IFERROR(__xludf.DUMMYFUNCTION("""COMPUTED_VALUE"""),2.91)</f>
        <v>2.91</v>
      </c>
      <c r="H3774" s="17"/>
      <c r="K3774" s="17"/>
      <c r="N3774" s="17"/>
    </row>
    <row r="3775">
      <c r="B3775" s="11">
        <f>IFERROR(__xludf.DUMMYFUNCTION("""COMPUTED_VALUE"""),40742.0)</f>
        <v>40742</v>
      </c>
      <c r="C3775" s="9">
        <f>IFERROR(__xludf.DUMMYFUNCTION("""COMPUTED_VALUE"""),2.94)</f>
        <v>2.94</v>
      </c>
      <c r="H3775" s="17"/>
      <c r="K3775" s="17"/>
      <c r="N3775" s="17"/>
    </row>
    <row r="3776">
      <c r="B3776" s="11">
        <f>IFERROR(__xludf.DUMMYFUNCTION("""COMPUTED_VALUE"""),40739.0)</f>
        <v>40739</v>
      </c>
      <c r="C3776" s="9">
        <f>IFERROR(__xludf.DUMMYFUNCTION("""COMPUTED_VALUE"""),2.94)</f>
        <v>2.94</v>
      </c>
      <c r="H3776" s="17"/>
      <c r="K3776" s="17"/>
      <c r="N3776" s="17"/>
    </row>
    <row r="3777">
      <c r="B3777" s="11">
        <f>IFERROR(__xludf.DUMMYFUNCTION("""COMPUTED_VALUE"""),40738.0)</f>
        <v>40738</v>
      </c>
      <c r="C3777" s="9">
        <f>IFERROR(__xludf.DUMMYFUNCTION("""COMPUTED_VALUE"""),2.98)</f>
        <v>2.98</v>
      </c>
      <c r="H3777" s="17"/>
      <c r="K3777" s="17"/>
      <c r="N3777" s="17"/>
    </row>
    <row r="3778">
      <c r="B3778" s="11">
        <f>IFERROR(__xludf.DUMMYFUNCTION("""COMPUTED_VALUE"""),40737.0)</f>
        <v>40737</v>
      </c>
      <c r="C3778" s="9">
        <f>IFERROR(__xludf.DUMMYFUNCTION("""COMPUTED_VALUE"""),2.92)</f>
        <v>2.92</v>
      </c>
      <c r="H3778" s="17"/>
      <c r="K3778" s="17"/>
      <c r="N3778" s="17"/>
    </row>
    <row r="3779">
      <c r="B3779" s="11">
        <f>IFERROR(__xludf.DUMMYFUNCTION("""COMPUTED_VALUE"""),40736.0)</f>
        <v>40736</v>
      </c>
      <c r="C3779" s="9">
        <f>IFERROR(__xludf.DUMMYFUNCTION("""COMPUTED_VALUE"""),2.92)</f>
        <v>2.92</v>
      </c>
      <c r="H3779" s="17"/>
      <c r="K3779" s="17"/>
      <c r="N3779" s="17"/>
    </row>
    <row r="3780">
      <c r="B3780" s="11">
        <f>IFERROR(__xludf.DUMMYFUNCTION("""COMPUTED_VALUE"""),40735.0)</f>
        <v>40735</v>
      </c>
      <c r="C3780" s="9">
        <f>IFERROR(__xludf.DUMMYFUNCTION("""COMPUTED_VALUE"""),2.94)</f>
        <v>2.94</v>
      </c>
      <c r="H3780" s="17"/>
      <c r="K3780" s="17"/>
      <c r="N3780" s="17"/>
    </row>
    <row r="3781">
      <c r="B3781" s="11">
        <f>IFERROR(__xludf.DUMMYFUNCTION("""COMPUTED_VALUE"""),40732.0)</f>
        <v>40732</v>
      </c>
      <c r="C3781" s="9">
        <f>IFERROR(__xludf.DUMMYFUNCTION("""COMPUTED_VALUE"""),3.03)</f>
        <v>3.03</v>
      </c>
      <c r="H3781" s="17"/>
      <c r="K3781" s="17"/>
      <c r="N3781" s="17"/>
    </row>
    <row r="3782">
      <c r="B3782" s="11">
        <f>IFERROR(__xludf.DUMMYFUNCTION("""COMPUTED_VALUE"""),40731.0)</f>
        <v>40731</v>
      </c>
      <c r="C3782" s="9">
        <f>IFERROR(__xludf.DUMMYFUNCTION("""COMPUTED_VALUE"""),3.17)</f>
        <v>3.17</v>
      </c>
      <c r="H3782" s="17"/>
      <c r="K3782" s="17"/>
      <c r="N3782" s="17"/>
    </row>
    <row r="3783">
      <c r="B3783" s="11">
        <f>IFERROR(__xludf.DUMMYFUNCTION("""COMPUTED_VALUE"""),40730.0)</f>
        <v>40730</v>
      </c>
      <c r="C3783" s="9">
        <f>IFERROR(__xludf.DUMMYFUNCTION("""COMPUTED_VALUE"""),3.12)</f>
        <v>3.12</v>
      </c>
      <c r="H3783" s="17"/>
      <c r="K3783" s="17"/>
      <c r="N3783" s="17"/>
    </row>
    <row r="3784">
      <c r="B3784" s="11">
        <f>IFERROR(__xludf.DUMMYFUNCTION("""COMPUTED_VALUE"""),40729.0)</f>
        <v>40729</v>
      </c>
      <c r="C3784" s="9">
        <f>IFERROR(__xludf.DUMMYFUNCTION("""COMPUTED_VALUE"""),3.16)</f>
        <v>3.16</v>
      </c>
      <c r="H3784" s="17"/>
      <c r="K3784" s="17"/>
      <c r="N3784" s="17"/>
    </row>
    <row r="3785">
      <c r="B3785" s="11">
        <f>IFERROR(__xludf.DUMMYFUNCTION("""COMPUTED_VALUE"""),40728.0)</f>
        <v>40728</v>
      </c>
      <c r="C3785" s="9"/>
      <c r="H3785" s="17"/>
      <c r="K3785" s="17"/>
      <c r="N3785" s="17"/>
    </row>
    <row r="3786">
      <c r="B3786" s="11">
        <f>IFERROR(__xludf.DUMMYFUNCTION("""COMPUTED_VALUE"""),40725.0)</f>
        <v>40725</v>
      </c>
      <c r="C3786" s="9">
        <f>IFERROR(__xludf.DUMMYFUNCTION("""COMPUTED_VALUE"""),3.22)</f>
        <v>3.22</v>
      </c>
      <c r="H3786" s="17"/>
      <c r="K3786" s="17"/>
      <c r="N3786" s="17"/>
    </row>
    <row r="3787">
      <c r="B3787" s="11">
        <f>IFERROR(__xludf.DUMMYFUNCTION("""COMPUTED_VALUE"""),40724.0)</f>
        <v>40724</v>
      </c>
      <c r="C3787" s="9">
        <f>IFERROR(__xludf.DUMMYFUNCTION("""COMPUTED_VALUE"""),3.18)</f>
        <v>3.18</v>
      </c>
      <c r="H3787" s="17"/>
      <c r="K3787" s="17"/>
      <c r="N3787" s="17"/>
    </row>
    <row r="3788">
      <c r="B3788" s="11">
        <f>IFERROR(__xludf.DUMMYFUNCTION("""COMPUTED_VALUE"""),40723.0)</f>
        <v>40723</v>
      </c>
      <c r="C3788" s="9">
        <f>IFERROR(__xludf.DUMMYFUNCTION("""COMPUTED_VALUE"""),3.14)</f>
        <v>3.14</v>
      </c>
      <c r="H3788" s="17"/>
      <c r="K3788" s="17"/>
      <c r="N3788" s="17"/>
    </row>
    <row r="3789">
      <c r="B3789" s="11">
        <f>IFERROR(__xludf.DUMMYFUNCTION("""COMPUTED_VALUE"""),40722.0)</f>
        <v>40722</v>
      </c>
      <c r="C3789" s="9">
        <f>IFERROR(__xludf.DUMMYFUNCTION("""COMPUTED_VALUE"""),3.05)</f>
        <v>3.05</v>
      </c>
      <c r="H3789" s="17"/>
      <c r="K3789" s="17"/>
      <c r="N3789" s="17"/>
    </row>
    <row r="3790">
      <c r="B3790" s="11">
        <f>IFERROR(__xludf.DUMMYFUNCTION("""COMPUTED_VALUE"""),40721.0)</f>
        <v>40721</v>
      </c>
      <c r="C3790" s="9">
        <f>IFERROR(__xludf.DUMMYFUNCTION("""COMPUTED_VALUE"""),2.95)</f>
        <v>2.95</v>
      </c>
      <c r="H3790" s="17"/>
      <c r="K3790" s="17"/>
      <c r="N3790" s="17"/>
    </row>
    <row r="3791">
      <c r="B3791" s="11">
        <f>IFERROR(__xludf.DUMMYFUNCTION("""COMPUTED_VALUE"""),40718.0)</f>
        <v>40718</v>
      </c>
      <c r="C3791" s="9">
        <f>IFERROR(__xludf.DUMMYFUNCTION("""COMPUTED_VALUE"""),2.88)</f>
        <v>2.88</v>
      </c>
      <c r="H3791" s="17"/>
      <c r="K3791" s="17"/>
      <c r="N3791" s="17"/>
    </row>
    <row r="3792">
      <c r="B3792" s="11">
        <f>IFERROR(__xludf.DUMMYFUNCTION("""COMPUTED_VALUE"""),40717.0)</f>
        <v>40717</v>
      </c>
      <c r="C3792" s="9">
        <f>IFERROR(__xludf.DUMMYFUNCTION("""COMPUTED_VALUE"""),2.93)</f>
        <v>2.93</v>
      </c>
      <c r="H3792" s="17"/>
      <c r="K3792" s="17"/>
      <c r="N3792" s="17"/>
    </row>
    <row r="3793">
      <c r="B3793" s="11">
        <f>IFERROR(__xludf.DUMMYFUNCTION("""COMPUTED_VALUE"""),40716.0)</f>
        <v>40716</v>
      </c>
      <c r="C3793" s="9">
        <f>IFERROR(__xludf.DUMMYFUNCTION("""COMPUTED_VALUE"""),3.01)</f>
        <v>3.01</v>
      </c>
      <c r="H3793" s="17"/>
      <c r="K3793" s="17"/>
      <c r="N3793" s="17"/>
    </row>
    <row r="3794">
      <c r="B3794" s="11">
        <f>IFERROR(__xludf.DUMMYFUNCTION("""COMPUTED_VALUE"""),40715.0)</f>
        <v>40715</v>
      </c>
      <c r="C3794" s="9">
        <f>IFERROR(__xludf.DUMMYFUNCTION("""COMPUTED_VALUE"""),2.99)</f>
        <v>2.99</v>
      </c>
      <c r="H3794" s="17"/>
      <c r="K3794" s="17"/>
      <c r="N3794" s="17"/>
    </row>
    <row r="3795">
      <c r="B3795" s="11">
        <f>IFERROR(__xludf.DUMMYFUNCTION("""COMPUTED_VALUE"""),40714.0)</f>
        <v>40714</v>
      </c>
      <c r="C3795" s="9">
        <f>IFERROR(__xludf.DUMMYFUNCTION("""COMPUTED_VALUE"""),2.97)</f>
        <v>2.97</v>
      </c>
      <c r="H3795" s="17"/>
      <c r="K3795" s="17"/>
      <c r="N3795" s="17"/>
    </row>
    <row r="3796">
      <c r="B3796" s="11">
        <f>IFERROR(__xludf.DUMMYFUNCTION("""COMPUTED_VALUE"""),40711.0)</f>
        <v>40711</v>
      </c>
      <c r="C3796" s="9">
        <f>IFERROR(__xludf.DUMMYFUNCTION("""COMPUTED_VALUE"""),2.94)</f>
        <v>2.94</v>
      </c>
      <c r="H3796" s="17"/>
      <c r="K3796" s="17"/>
      <c r="N3796" s="17"/>
    </row>
    <row r="3797">
      <c r="B3797" s="11">
        <f>IFERROR(__xludf.DUMMYFUNCTION("""COMPUTED_VALUE"""),40710.0)</f>
        <v>40710</v>
      </c>
      <c r="C3797" s="9">
        <f>IFERROR(__xludf.DUMMYFUNCTION("""COMPUTED_VALUE"""),2.93)</f>
        <v>2.93</v>
      </c>
      <c r="H3797" s="17"/>
      <c r="K3797" s="17"/>
      <c r="N3797" s="17"/>
    </row>
    <row r="3798">
      <c r="B3798" s="11">
        <f>IFERROR(__xludf.DUMMYFUNCTION("""COMPUTED_VALUE"""),40709.0)</f>
        <v>40709</v>
      </c>
      <c r="C3798" s="9">
        <f>IFERROR(__xludf.DUMMYFUNCTION("""COMPUTED_VALUE"""),2.98)</f>
        <v>2.98</v>
      </c>
      <c r="H3798" s="17"/>
      <c r="K3798" s="17"/>
      <c r="N3798" s="17"/>
    </row>
    <row r="3799">
      <c r="B3799" s="11">
        <f>IFERROR(__xludf.DUMMYFUNCTION("""COMPUTED_VALUE"""),40708.0)</f>
        <v>40708</v>
      </c>
      <c r="C3799" s="9">
        <f>IFERROR(__xludf.DUMMYFUNCTION("""COMPUTED_VALUE"""),3.11)</f>
        <v>3.11</v>
      </c>
      <c r="H3799" s="17"/>
      <c r="K3799" s="17"/>
      <c r="N3799" s="17"/>
    </row>
    <row r="3800">
      <c r="B3800" s="11">
        <f>IFERROR(__xludf.DUMMYFUNCTION("""COMPUTED_VALUE"""),40707.0)</f>
        <v>40707</v>
      </c>
      <c r="C3800" s="9">
        <f>IFERROR(__xludf.DUMMYFUNCTION("""COMPUTED_VALUE"""),3.0)</f>
        <v>3</v>
      </c>
      <c r="H3800" s="17"/>
      <c r="K3800" s="17"/>
      <c r="N3800" s="17"/>
    </row>
    <row r="3801">
      <c r="B3801" s="11">
        <f>IFERROR(__xludf.DUMMYFUNCTION("""COMPUTED_VALUE"""),40704.0)</f>
        <v>40704</v>
      </c>
      <c r="C3801" s="9">
        <f>IFERROR(__xludf.DUMMYFUNCTION("""COMPUTED_VALUE"""),2.99)</f>
        <v>2.99</v>
      </c>
      <c r="H3801" s="17"/>
      <c r="K3801" s="17"/>
      <c r="N3801" s="17"/>
    </row>
    <row r="3802">
      <c r="B3802" s="11">
        <f>IFERROR(__xludf.DUMMYFUNCTION("""COMPUTED_VALUE"""),40703.0)</f>
        <v>40703</v>
      </c>
      <c r="C3802" s="9">
        <f>IFERROR(__xludf.DUMMYFUNCTION("""COMPUTED_VALUE"""),3.01)</f>
        <v>3.01</v>
      </c>
      <c r="H3802" s="17"/>
      <c r="K3802" s="17"/>
      <c r="N3802" s="17"/>
    </row>
    <row r="3803">
      <c r="B3803" s="11">
        <f>IFERROR(__xludf.DUMMYFUNCTION("""COMPUTED_VALUE"""),40702.0)</f>
        <v>40702</v>
      </c>
      <c r="C3803" s="9">
        <f>IFERROR(__xludf.DUMMYFUNCTION("""COMPUTED_VALUE"""),2.98)</f>
        <v>2.98</v>
      </c>
      <c r="H3803" s="17"/>
      <c r="K3803" s="17"/>
      <c r="N3803" s="17"/>
    </row>
    <row r="3804">
      <c r="B3804" s="11">
        <f>IFERROR(__xludf.DUMMYFUNCTION("""COMPUTED_VALUE"""),40701.0)</f>
        <v>40701</v>
      </c>
      <c r="C3804" s="9">
        <f>IFERROR(__xludf.DUMMYFUNCTION("""COMPUTED_VALUE"""),3.01)</f>
        <v>3.01</v>
      </c>
      <c r="H3804" s="17"/>
      <c r="K3804" s="17"/>
      <c r="N3804" s="17"/>
    </row>
    <row r="3805">
      <c r="B3805" s="11">
        <f>IFERROR(__xludf.DUMMYFUNCTION("""COMPUTED_VALUE"""),40700.0)</f>
        <v>40700</v>
      </c>
      <c r="C3805" s="9">
        <f>IFERROR(__xludf.DUMMYFUNCTION("""COMPUTED_VALUE"""),3.01)</f>
        <v>3.01</v>
      </c>
      <c r="H3805" s="17"/>
      <c r="K3805" s="17"/>
      <c r="N3805" s="17"/>
    </row>
    <row r="3806">
      <c r="B3806" s="11">
        <f>IFERROR(__xludf.DUMMYFUNCTION("""COMPUTED_VALUE"""),40697.0)</f>
        <v>40697</v>
      </c>
      <c r="C3806" s="9">
        <f>IFERROR(__xludf.DUMMYFUNCTION("""COMPUTED_VALUE"""),2.99)</f>
        <v>2.99</v>
      </c>
      <c r="H3806" s="17"/>
      <c r="K3806" s="17"/>
      <c r="N3806" s="17"/>
    </row>
    <row r="3807">
      <c r="B3807" s="11">
        <f>IFERROR(__xludf.DUMMYFUNCTION("""COMPUTED_VALUE"""),40696.0)</f>
        <v>40696</v>
      </c>
      <c r="C3807" s="9">
        <f>IFERROR(__xludf.DUMMYFUNCTION("""COMPUTED_VALUE"""),3.04)</f>
        <v>3.04</v>
      </c>
      <c r="H3807" s="17"/>
      <c r="K3807" s="17"/>
      <c r="N3807" s="17"/>
    </row>
    <row r="3808">
      <c r="B3808" s="11">
        <f>IFERROR(__xludf.DUMMYFUNCTION("""COMPUTED_VALUE"""),40695.0)</f>
        <v>40695</v>
      </c>
      <c r="C3808" s="9">
        <f>IFERROR(__xludf.DUMMYFUNCTION("""COMPUTED_VALUE"""),2.96)</f>
        <v>2.96</v>
      </c>
      <c r="H3808" s="17"/>
      <c r="K3808" s="17"/>
      <c r="N3808" s="17"/>
    </row>
    <row r="3809">
      <c r="B3809" s="11">
        <f>IFERROR(__xludf.DUMMYFUNCTION("""COMPUTED_VALUE"""),40694.0)</f>
        <v>40694</v>
      </c>
      <c r="C3809" s="9">
        <f>IFERROR(__xludf.DUMMYFUNCTION("""COMPUTED_VALUE"""),3.05)</f>
        <v>3.05</v>
      </c>
      <c r="H3809" s="17"/>
      <c r="K3809" s="17"/>
      <c r="N3809" s="17"/>
    </row>
    <row r="3810">
      <c r="B3810" s="11">
        <f>IFERROR(__xludf.DUMMYFUNCTION("""COMPUTED_VALUE"""),40693.0)</f>
        <v>40693</v>
      </c>
      <c r="C3810" s="9"/>
      <c r="H3810" s="17"/>
      <c r="K3810" s="17"/>
      <c r="N3810" s="17"/>
    </row>
    <row r="3811">
      <c r="B3811" s="11">
        <f>IFERROR(__xludf.DUMMYFUNCTION("""COMPUTED_VALUE"""),40690.0)</f>
        <v>40690</v>
      </c>
      <c r="C3811" s="9">
        <f>IFERROR(__xludf.DUMMYFUNCTION("""COMPUTED_VALUE"""),3.07)</f>
        <v>3.07</v>
      </c>
      <c r="H3811" s="17"/>
      <c r="K3811" s="17"/>
      <c r="N3811" s="17"/>
    </row>
    <row r="3812">
      <c r="B3812" s="11">
        <f>IFERROR(__xludf.DUMMYFUNCTION("""COMPUTED_VALUE"""),40689.0)</f>
        <v>40689</v>
      </c>
      <c r="C3812" s="9">
        <f>IFERROR(__xludf.DUMMYFUNCTION("""COMPUTED_VALUE"""),3.07)</f>
        <v>3.07</v>
      </c>
      <c r="H3812" s="17"/>
      <c r="K3812" s="17"/>
      <c r="N3812" s="17"/>
    </row>
    <row r="3813">
      <c r="B3813" s="11">
        <f>IFERROR(__xludf.DUMMYFUNCTION("""COMPUTED_VALUE"""),40688.0)</f>
        <v>40688</v>
      </c>
      <c r="C3813" s="9">
        <f>IFERROR(__xludf.DUMMYFUNCTION("""COMPUTED_VALUE"""),3.13)</f>
        <v>3.13</v>
      </c>
      <c r="H3813" s="17"/>
      <c r="K3813" s="17"/>
      <c r="N3813" s="17"/>
    </row>
    <row r="3814">
      <c r="B3814" s="11">
        <f>IFERROR(__xludf.DUMMYFUNCTION("""COMPUTED_VALUE"""),40687.0)</f>
        <v>40687</v>
      </c>
      <c r="C3814" s="9">
        <f>IFERROR(__xludf.DUMMYFUNCTION("""COMPUTED_VALUE"""),3.12)</f>
        <v>3.12</v>
      </c>
      <c r="H3814" s="17"/>
      <c r="K3814" s="17"/>
      <c r="N3814" s="17"/>
    </row>
    <row r="3815">
      <c r="B3815" s="11">
        <f>IFERROR(__xludf.DUMMYFUNCTION("""COMPUTED_VALUE"""),40686.0)</f>
        <v>40686</v>
      </c>
      <c r="C3815" s="9">
        <f>IFERROR(__xludf.DUMMYFUNCTION("""COMPUTED_VALUE"""),3.13)</f>
        <v>3.13</v>
      </c>
      <c r="H3815" s="17"/>
      <c r="K3815" s="17"/>
      <c r="N3815" s="17"/>
    </row>
    <row r="3816">
      <c r="B3816" s="11">
        <f>IFERROR(__xludf.DUMMYFUNCTION("""COMPUTED_VALUE"""),40683.0)</f>
        <v>40683</v>
      </c>
      <c r="C3816" s="9">
        <f>IFERROR(__xludf.DUMMYFUNCTION("""COMPUTED_VALUE"""),3.15)</f>
        <v>3.15</v>
      </c>
      <c r="H3816" s="17"/>
      <c r="K3816" s="17"/>
      <c r="N3816" s="17"/>
    </row>
    <row r="3817">
      <c r="B3817" s="11">
        <f>IFERROR(__xludf.DUMMYFUNCTION("""COMPUTED_VALUE"""),40682.0)</f>
        <v>40682</v>
      </c>
      <c r="C3817" s="9">
        <f>IFERROR(__xludf.DUMMYFUNCTION("""COMPUTED_VALUE"""),3.17)</f>
        <v>3.17</v>
      </c>
      <c r="H3817" s="17"/>
      <c r="K3817" s="17"/>
      <c r="N3817" s="17"/>
    </row>
    <row r="3818">
      <c r="B3818" s="11">
        <f>IFERROR(__xludf.DUMMYFUNCTION("""COMPUTED_VALUE"""),40681.0)</f>
        <v>40681</v>
      </c>
      <c r="C3818" s="9">
        <f>IFERROR(__xludf.DUMMYFUNCTION("""COMPUTED_VALUE"""),3.18)</f>
        <v>3.18</v>
      </c>
      <c r="H3818" s="17"/>
      <c r="K3818" s="17"/>
      <c r="N3818" s="17"/>
    </row>
    <row r="3819">
      <c r="B3819" s="11">
        <f>IFERROR(__xludf.DUMMYFUNCTION("""COMPUTED_VALUE"""),40680.0)</f>
        <v>40680</v>
      </c>
      <c r="C3819" s="9">
        <f>IFERROR(__xludf.DUMMYFUNCTION("""COMPUTED_VALUE"""),3.12)</f>
        <v>3.12</v>
      </c>
      <c r="H3819" s="17"/>
      <c r="K3819" s="17"/>
      <c r="N3819" s="17"/>
    </row>
    <row r="3820">
      <c r="B3820" s="11">
        <f>IFERROR(__xludf.DUMMYFUNCTION("""COMPUTED_VALUE"""),40679.0)</f>
        <v>40679</v>
      </c>
      <c r="C3820" s="9">
        <f>IFERROR(__xludf.DUMMYFUNCTION("""COMPUTED_VALUE"""),3.15)</f>
        <v>3.15</v>
      </c>
      <c r="H3820" s="17"/>
      <c r="K3820" s="17"/>
      <c r="N3820" s="17"/>
    </row>
    <row r="3821">
      <c r="B3821" s="11">
        <f>IFERROR(__xludf.DUMMYFUNCTION("""COMPUTED_VALUE"""),40676.0)</f>
        <v>40676</v>
      </c>
      <c r="C3821" s="9">
        <f>IFERROR(__xludf.DUMMYFUNCTION("""COMPUTED_VALUE"""),3.18)</f>
        <v>3.18</v>
      </c>
      <c r="H3821" s="17"/>
      <c r="K3821" s="17"/>
      <c r="N3821" s="17"/>
    </row>
    <row r="3822">
      <c r="B3822" s="11">
        <f>IFERROR(__xludf.DUMMYFUNCTION("""COMPUTED_VALUE"""),40675.0)</f>
        <v>40675</v>
      </c>
      <c r="C3822" s="9">
        <f>IFERROR(__xludf.DUMMYFUNCTION("""COMPUTED_VALUE"""),3.22)</f>
        <v>3.22</v>
      </c>
      <c r="H3822" s="17"/>
      <c r="K3822" s="17"/>
      <c r="N3822" s="17"/>
    </row>
    <row r="3823">
      <c r="B3823" s="11">
        <f>IFERROR(__xludf.DUMMYFUNCTION("""COMPUTED_VALUE"""),40674.0)</f>
        <v>40674</v>
      </c>
      <c r="C3823" s="9">
        <f>IFERROR(__xludf.DUMMYFUNCTION("""COMPUTED_VALUE"""),3.19)</f>
        <v>3.19</v>
      </c>
      <c r="H3823" s="17"/>
      <c r="K3823" s="17"/>
      <c r="N3823" s="17"/>
    </row>
    <row r="3824">
      <c r="B3824" s="11">
        <f>IFERROR(__xludf.DUMMYFUNCTION("""COMPUTED_VALUE"""),40673.0)</f>
        <v>40673</v>
      </c>
      <c r="C3824" s="9">
        <f>IFERROR(__xludf.DUMMYFUNCTION("""COMPUTED_VALUE"""),3.23)</f>
        <v>3.23</v>
      </c>
      <c r="H3824" s="17"/>
      <c r="K3824" s="17"/>
      <c r="N3824" s="17"/>
    </row>
    <row r="3825">
      <c r="B3825" s="11">
        <f>IFERROR(__xludf.DUMMYFUNCTION("""COMPUTED_VALUE"""),40672.0)</f>
        <v>40672</v>
      </c>
      <c r="C3825" s="9">
        <f>IFERROR(__xludf.DUMMYFUNCTION("""COMPUTED_VALUE"""),3.17)</f>
        <v>3.17</v>
      </c>
      <c r="H3825" s="17"/>
      <c r="K3825" s="17"/>
      <c r="N3825" s="17"/>
    </row>
    <row r="3826">
      <c r="B3826" s="11">
        <f>IFERROR(__xludf.DUMMYFUNCTION("""COMPUTED_VALUE"""),40669.0)</f>
        <v>40669</v>
      </c>
      <c r="C3826" s="9">
        <f>IFERROR(__xludf.DUMMYFUNCTION("""COMPUTED_VALUE"""),3.19)</f>
        <v>3.19</v>
      </c>
      <c r="H3826" s="17"/>
      <c r="K3826" s="17"/>
      <c r="N3826" s="17"/>
    </row>
    <row r="3827">
      <c r="B3827" s="11">
        <f>IFERROR(__xludf.DUMMYFUNCTION("""COMPUTED_VALUE"""),40668.0)</f>
        <v>40668</v>
      </c>
      <c r="C3827" s="9">
        <f>IFERROR(__xludf.DUMMYFUNCTION("""COMPUTED_VALUE"""),3.18)</f>
        <v>3.18</v>
      </c>
      <c r="H3827" s="17"/>
      <c r="K3827" s="17"/>
      <c r="N3827" s="17"/>
    </row>
    <row r="3828">
      <c r="B3828" s="11">
        <f>IFERROR(__xludf.DUMMYFUNCTION("""COMPUTED_VALUE"""),40667.0)</f>
        <v>40667</v>
      </c>
      <c r="C3828" s="9">
        <f>IFERROR(__xludf.DUMMYFUNCTION("""COMPUTED_VALUE"""),3.25)</f>
        <v>3.25</v>
      </c>
      <c r="H3828" s="17"/>
      <c r="K3828" s="17"/>
      <c r="N3828" s="17"/>
    </row>
    <row r="3829">
      <c r="B3829" s="11">
        <f>IFERROR(__xludf.DUMMYFUNCTION("""COMPUTED_VALUE"""),40666.0)</f>
        <v>40666</v>
      </c>
      <c r="C3829" s="9">
        <f>IFERROR(__xludf.DUMMYFUNCTION("""COMPUTED_VALUE"""),3.28)</f>
        <v>3.28</v>
      </c>
      <c r="H3829" s="17"/>
      <c r="K3829" s="17"/>
      <c r="N3829" s="17"/>
    </row>
    <row r="3830">
      <c r="B3830" s="11">
        <f>IFERROR(__xludf.DUMMYFUNCTION("""COMPUTED_VALUE"""),40665.0)</f>
        <v>40665</v>
      </c>
      <c r="C3830" s="9">
        <f>IFERROR(__xludf.DUMMYFUNCTION("""COMPUTED_VALUE"""),3.31)</f>
        <v>3.31</v>
      </c>
      <c r="H3830" s="17"/>
      <c r="K3830" s="17"/>
      <c r="N3830" s="17"/>
    </row>
    <row r="3831">
      <c r="B3831" s="11">
        <f>IFERROR(__xludf.DUMMYFUNCTION("""COMPUTED_VALUE"""),40662.0)</f>
        <v>40662</v>
      </c>
      <c r="C3831" s="9">
        <f>IFERROR(__xludf.DUMMYFUNCTION("""COMPUTED_VALUE"""),3.32)</f>
        <v>3.32</v>
      </c>
      <c r="H3831" s="17"/>
      <c r="K3831" s="17"/>
      <c r="N3831" s="17"/>
    </row>
    <row r="3832">
      <c r="B3832" s="11">
        <f>IFERROR(__xludf.DUMMYFUNCTION("""COMPUTED_VALUE"""),40661.0)</f>
        <v>40661</v>
      </c>
      <c r="C3832" s="9">
        <f>IFERROR(__xludf.DUMMYFUNCTION("""COMPUTED_VALUE"""),3.34)</f>
        <v>3.34</v>
      </c>
      <c r="H3832" s="17"/>
      <c r="K3832" s="17"/>
      <c r="N3832" s="17"/>
    </row>
    <row r="3833">
      <c r="B3833" s="11">
        <f>IFERROR(__xludf.DUMMYFUNCTION("""COMPUTED_VALUE"""),40660.0)</f>
        <v>40660</v>
      </c>
      <c r="C3833" s="9">
        <f>IFERROR(__xludf.DUMMYFUNCTION("""COMPUTED_VALUE"""),3.39)</f>
        <v>3.39</v>
      </c>
      <c r="H3833" s="17"/>
      <c r="K3833" s="17"/>
      <c r="N3833" s="17"/>
    </row>
    <row r="3834">
      <c r="B3834" s="11">
        <f>IFERROR(__xludf.DUMMYFUNCTION("""COMPUTED_VALUE"""),40659.0)</f>
        <v>40659</v>
      </c>
      <c r="C3834" s="9">
        <f>IFERROR(__xludf.DUMMYFUNCTION("""COMPUTED_VALUE"""),3.34)</f>
        <v>3.34</v>
      </c>
      <c r="H3834" s="17"/>
      <c r="K3834" s="17"/>
      <c r="N3834" s="17"/>
    </row>
    <row r="3835">
      <c r="B3835" s="11">
        <f>IFERROR(__xludf.DUMMYFUNCTION("""COMPUTED_VALUE"""),40658.0)</f>
        <v>40658</v>
      </c>
      <c r="C3835" s="9">
        <f>IFERROR(__xludf.DUMMYFUNCTION("""COMPUTED_VALUE"""),3.39)</f>
        <v>3.39</v>
      </c>
      <c r="H3835" s="17"/>
      <c r="K3835" s="17"/>
      <c r="N3835" s="17"/>
    </row>
    <row r="3836">
      <c r="B3836" s="11">
        <f>IFERROR(__xludf.DUMMYFUNCTION("""COMPUTED_VALUE"""),40655.0)</f>
        <v>40655</v>
      </c>
      <c r="C3836" s="9"/>
      <c r="H3836" s="17"/>
      <c r="K3836" s="17"/>
      <c r="N3836" s="17"/>
    </row>
    <row r="3837">
      <c r="B3837" s="11">
        <f>IFERROR(__xludf.DUMMYFUNCTION("""COMPUTED_VALUE"""),40654.0)</f>
        <v>40654</v>
      </c>
      <c r="C3837" s="9">
        <f>IFERROR(__xludf.DUMMYFUNCTION("""COMPUTED_VALUE"""),3.42)</f>
        <v>3.42</v>
      </c>
      <c r="H3837" s="17"/>
      <c r="K3837" s="17"/>
      <c r="N3837" s="17"/>
    </row>
    <row r="3838">
      <c r="B3838" s="11">
        <f>IFERROR(__xludf.DUMMYFUNCTION("""COMPUTED_VALUE"""),40653.0)</f>
        <v>40653</v>
      </c>
      <c r="C3838" s="9">
        <f>IFERROR(__xludf.DUMMYFUNCTION("""COMPUTED_VALUE"""),3.43)</f>
        <v>3.43</v>
      </c>
      <c r="H3838" s="17"/>
      <c r="K3838" s="17"/>
      <c r="N3838" s="17"/>
    </row>
    <row r="3839">
      <c r="B3839" s="11">
        <f>IFERROR(__xludf.DUMMYFUNCTION("""COMPUTED_VALUE"""),40652.0)</f>
        <v>40652</v>
      </c>
      <c r="C3839" s="9">
        <f>IFERROR(__xludf.DUMMYFUNCTION("""COMPUTED_VALUE"""),3.39)</f>
        <v>3.39</v>
      </c>
      <c r="H3839" s="17"/>
      <c r="K3839" s="17"/>
      <c r="N3839" s="17"/>
    </row>
    <row r="3840">
      <c r="B3840" s="11">
        <f>IFERROR(__xludf.DUMMYFUNCTION("""COMPUTED_VALUE"""),40651.0)</f>
        <v>40651</v>
      </c>
      <c r="C3840" s="9">
        <f>IFERROR(__xludf.DUMMYFUNCTION("""COMPUTED_VALUE"""),3.4)</f>
        <v>3.4</v>
      </c>
      <c r="H3840" s="17"/>
      <c r="K3840" s="17"/>
      <c r="N3840" s="17"/>
    </row>
    <row r="3841">
      <c r="B3841" s="11">
        <f>IFERROR(__xludf.DUMMYFUNCTION("""COMPUTED_VALUE"""),40648.0)</f>
        <v>40648</v>
      </c>
      <c r="C3841" s="9">
        <f>IFERROR(__xludf.DUMMYFUNCTION("""COMPUTED_VALUE"""),3.43)</f>
        <v>3.43</v>
      </c>
      <c r="H3841" s="17"/>
      <c r="K3841" s="17"/>
      <c r="N3841" s="17"/>
    </row>
    <row r="3842">
      <c r="B3842" s="11">
        <f>IFERROR(__xludf.DUMMYFUNCTION("""COMPUTED_VALUE"""),40647.0)</f>
        <v>40647</v>
      </c>
      <c r="C3842" s="9">
        <f>IFERROR(__xludf.DUMMYFUNCTION("""COMPUTED_VALUE"""),3.51)</f>
        <v>3.51</v>
      </c>
      <c r="H3842" s="17"/>
      <c r="K3842" s="17"/>
      <c r="N3842" s="17"/>
    </row>
    <row r="3843">
      <c r="B3843" s="11">
        <f>IFERROR(__xludf.DUMMYFUNCTION("""COMPUTED_VALUE"""),40646.0)</f>
        <v>40646</v>
      </c>
      <c r="C3843" s="9">
        <f>IFERROR(__xludf.DUMMYFUNCTION("""COMPUTED_VALUE"""),3.49)</f>
        <v>3.49</v>
      </c>
      <c r="H3843" s="17"/>
      <c r="K3843" s="17"/>
      <c r="N3843" s="17"/>
    </row>
    <row r="3844">
      <c r="B3844" s="11">
        <f>IFERROR(__xludf.DUMMYFUNCTION("""COMPUTED_VALUE"""),40645.0)</f>
        <v>40645</v>
      </c>
      <c r="C3844" s="9">
        <f>IFERROR(__xludf.DUMMYFUNCTION("""COMPUTED_VALUE"""),3.52)</f>
        <v>3.52</v>
      </c>
      <c r="H3844" s="17"/>
      <c r="K3844" s="17"/>
      <c r="N3844" s="17"/>
    </row>
    <row r="3845">
      <c r="B3845" s="11">
        <f>IFERROR(__xludf.DUMMYFUNCTION("""COMPUTED_VALUE"""),40644.0)</f>
        <v>40644</v>
      </c>
      <c r="C3845" s="9">
        <f>IFERROR(__xludf.DUMMYFUNCTION("""COMPUTED_VALUE"""),3.59)</f>
        <v>3.59</v>
      </c>
      <c r="H3845" s="17"/>
      <c r="K3845" s="17"/>
      <c r="N3845" s="17"/>
    </row>
    <row r="3846">
      <c r="B3846" s="11">
        <f>IFERROR(__xludf.DUMMYFUNCTION("""COMPUTED_VALUE"""),40641.0)</f>
        <v>40641</v>
      </c>
      <c r="C3846" s="9">
        <f>IFERROR(__xludf.DUMMYFUNCTION("""COMPUTED_VALUE"""),3.59)</f>
        <v>3.59</v>
      </c>
      <c r="H3846" s="17"/>
      <c r="K3846" s="17"/>
      <c r="N3846" s="17"/>
    </row>
    <row r="3847">
      <c r="B3847" s="11">
        <f>IFERROR(__xludf.DUMMYFUNCTION("""COMPUTED_VALUE"""),40640.0)</f>
        <v>40640</v>
      </c>
      <c r="C3847" s="9">
        <f>IFERROR(__xludf.DUMMYFUNCTION("""COMPUTED_VALUE"""),3.58)</f>
        <v>3.58</v>
      </c>
      <c r="H3847" s="17"/>
      <c r="K3847" s="17"/>
      <c r="N3847" s="17"/>
    </row>
    <row r="3848">
      <c r="B3848" s="11">
        <f>IFERROR(__xludf.DUMMYFUNCTION("""COMPUTED_VALUE"""),40639.0)</f>
        <v>40639</v>
      </c>
      <c r="C3848" s="9">
        <f>IFERROR(__xludf.DUMMYFUNCTION("""COMPUTED_VALUE"""),3.56)</f>
        <v>3.56</v>
      </c>
      <c r="H3848" s="17"/>
      <c r="K3848" s="17"/>
      <c r="N3848" s="17"/>
    </row>
    <row r="3849">
      <c r="B3849" s="11">
        <f>IFERROR(__xludf.DUMMYFUNCTION("""COMPUTED_VALUE"""),40638.0)</f>
        <v>40638</v>
      </c>
      <c r="C3849" s="9">
        <f>IFERROR(__xludf.DUMMYFUNCTION("""COMPUTED_VALUE"""),3.5)</f>
        <v>3.5</v>
      </c>
      <c r="H3849" s="17"/>
      <c r="K3849" s="17"/>
      <c r="N3849" s="17"/>
    </row>
    <row r="3850">
      <c r="B3850" s="11">
        <f>IFERROR(__xludf.DUMMYFUNCTION("""COMPUTED_VALUE"""),40637.0)</f>
        <v>40637</v>
      </c>
      <c r="C3850" s="9">
        <f>IFERROR(__xludf.DUMMYFUNCTION("""COMPUTED_VALUE"""),3.45)</f>
        <v>3.45</v>
      </c>
      <c r="H3850" s="17"/>
      <c r="K3850" s="17"/>
      <c r="N3850" s="17"/>
    </row>
    <row r="3851">
      <c r="B3851" s="11">
        <f>IFERROR(__xludf.DUMMYFUNCTION("""COMPUTED_VALUE"""),40634.0)</f>
        <v>40634</v>
      </c>
      <c r="C3851" s="9">
        <f>IFERROR(__xludf.DUMMYFUNCTION("""COMPUTED_VALUE"""),3.46)</f>
        <v>3.46</v>
      </c>
      <c r="H3851" s="17"/>
      <c r="K3851" s="17"/>
      <c r="N3851" s="17"/>
    </row>
    <row r="3852">
      <c r="B3852" s="11">
        <f>IFERROR(__xludf.DUMMYFUNCTION("""COMPUTED_VALUE"""),40633.0)</f>
        <v>40633</v>
      </c>
      <c r="C3852" s="9">
        <f>IFERROR(__xludf.DUMMYFUNCTION("""COMPUTED_VALUE"""),3.47)</f>
        <v>3.47</v>
      </c>
      <c r="H3852" s="17"/>
      <c r="K3852" s="17"/>
      <c r="N3852" s="17"/>
    </row>
    <row r="3853">
      <c r="B3853" s="11">
        <f>IFERROR(__xludf.DUMMYFUNCTION("""COMPUTED_VALUE"""),40632.0)</f>
        <v>40632</v>
      </c>
      <c r="C3853" s="9">
        <f>IFERROR(__xludf.DUMMYFUNCTION("""COMPUTED_VALUE"""),3.47)</f>
        <v>3.47</v>
      </c>
      <c r="H3853" s="17"/>
      <c r="K3853" s="17"/>
      <c r="N3853" s="17"/>
    </row>
    <row r="3854">
      <c r="B3854" s="11">
        <f>IFERROR(__xludf.DUMMYFUNCTION("""COMPUTED_VALUE"""),40631.0)</f>
        <v>40631</v>
      </c>
      <c r="C3854" s="9">
        <f>IFERROR(__xludf.DUMMYFUNCTION("""COMPUTED_VALUE"""),3.5)</f>
        <v>3.5</v>
      </c>
      <c r="H3854" s="17"/>
      <c r="K3854" s="17"/>
      <c r="N3854" s="17"/>
    </row>
    <row r="3855">
      <c r="B3855" s="11">
        <f>IFERROR(__xludf.DUMMYFUNCTION("""COMPUTED_VALUE"""),40630.0)</f>
        <v>40630</v>
      </c>
      <c r="C3855" s="9">
        <f>IFERROR(__xludf.DUMMYFUNCTION("""COMPUTED_VALUE"""),3.47)</f>
        <v>3.47</v>
      </c>
      <c r="H3855" s="17"/>
      <c r="K3855" s="17"/>
      <c r="N3855" s="17"/>
    </row>
    <row r="3856">
      <c r="B3856" s="11">
        <f>IFERROR(__xludf.DUMMYFUNCTION("""COMPUTED_VALUE"""),40627.0)</f>
        <v>40627</v>
      </c>
      <c r="C3856" s="9">
        <f>IFERROR(__xludf.DUMMYFUNCTION("""COMPUTED_VALUE"""),3.46)</f>
        <v>3.46</v>
      </c>
      <c r="H3856" s="17"/>
      <c r="K3856" s="17"/>
      <c r="N3856" s="17"/>
    </row>
    <row r="3857">
      <c r="B3857" s="11">
        <f>IFERROR(__xludf.DUMMYFUNCTION("""COMPUTED_VALUE"""),40626.0)</f>
        <v>40626</v>
      </c>
      <c r="C3857" s="9">
        <f>IFERROR(__xludf.DUMMYFUNCTION("""COMPUTED_VALUE"""),3.42)</f>
        <v>3.42</v>
      </c>
      <c r="H3857" s="17"/>
      <c r="K3857" s="17"/>
      <c r="N3857" s="17"/>
    </row>
    <row r="3858">
      <c r="B3858" s="11">
        <f>IFERROR(__xludf.DUMMYFUNCTION("""COMPUTED_VALUE"""),40625.0)</f>
        <v>40625</v>
      </c>
      <c r="C3858" s="9">
        <f>IFERROR(__xludf.DUMMYFUNCTION("""COMPUTED_VALUE"""),3.36)</f>
        <v>3.36</v>
      </c>
      <c r="H3858" s="17"/>
      <c r="K3858" s="17"/>
      <c r="N3858" s="17"/>
    </row>
    <row r="3859">
      <c r="B3859" s="11">
        <f>IFERROR(__xludf.DUMMYFUNCTION("""COMPUTED_VALUE"""),40624.0)</f>
        <v>40624</v>
      </c>
      <c r="C3859" s="9">
        <f>IFERROR(__xludf.DUMMYFUNCTION("""COMPUTED_VALUE"""),3.34)</f>
        <v>3.34</v>
      </c>
      <c r="H3859" s="17"/>
      <c r="K3859" s="17"/>
      <c r="N3859" s="17"/>
    </row>
    <row r="3860">
      <c r="B3860" s="11">
        <f>IFERROR(__xludf.DUMMYFUNCTION("""COMPUTED_VALUE"""),40623.0)</f>
        <v>40623</v>
      </c>
      <c r="C3860" s="9">
        <f>IFERROR(__xludf.DUMMYFUNCTION("""COMPUTED_VALUE"""),3.34)</f>
        <v>3.34</v>
      </c>
      <c r="H3860" s="17"/>
      <c r="K3860" s="17"/>
      <c r="N3860" s="17"/>
    </row>
    <row r="3861">
      <c r="B3861" s="11">
        <f>IFERROR(__xludf.DUMMYFUNCTION("""COMPUTED_VALUE"""),40620.0)</f>
        <v>40620</v>
      </c>
      <c r="C3861" s="9">
        <f>IFERROR(__xludf.DUMMYFUNCTION("""COMPUTED_VALUE"""),3.28)</f>
        <v>3.28</v>
      </c>
      <c r="H3861" s="17"/>
      <c r="K3861" s="17"/>
      <c r="N3861" s="17"/>
    </row>
    <row r="3862">
      <c r="B3862" s="11">
        <f>IFERROR(__xludf.DUMMYFUNCTION("""COMPUTED_VALUE"""),40619.0)</f>
        <v>40619</v>
      </c>
      <c r="C3862" s="9">
        <f>IFERROR(__xludf.DUMMYFUNCTION("""COMPUTED_VALUE"""),3.25)</f>
        <v>3.25</v>
      </c>
      <c r="H3862" s="17"/>
      <c r="K3862" s="17"/>
      <c r="N3862" s="17"/>
    </row>
    <row r="3863">
      <c r="B3863" s="11">
        <f>IFERROR(__xludf.DUMMYFUNCTION("""COMPUTED_VALUE"""),40618.0)</f>
        <v>40618</v>
      </c>
      <c r="C3863" s="9">
        <f>IFERROR(__xludf.DUMMYFUNCTION("""COMPUTED_VALUE"""),3.22)</f>
        <v>3.22</v>
      </c>
      <c r="H3863" s="17"/>
      <c r="K3863" s="17"/>
      <c r="N3863" s="17"/>
    </row>
    <row r="3864">
      <c r="B3864" s="11">
        <f>IFERROR(__xludf.DUMMYFUNCTION("""COMPUTED_VALUE"""),40617.0)</f>
        <v>40617</v>
      </c>
      <c r="C3864" s="9">
        <f>IFERROR(__xludf.DUMMYFUNCTION("""COMPUTED_VALUE"""),3.33)</f>
        <v>3.33</v>
      </c>
      <c r="H3864" s="17"/>
      <c r="K3864" s="17"/>
      <c r="N3864" s="17"/>
    </row>
    <row r="3865">
      <c r="B3865" s="11">
        <f>IFERROR(__xludf.DUMMYFUNCTION("""COMPUTED_VALUE"""),40616.0)</f>
        <v>40616</v>
      </c>
      <c r="C3865" s="9">
        <f>IFERROR(__xludf.DUMMYFUNCTION("""COMPUTED_VALUE"""),3.36)</f>
        <v>3.36</v>
      </c>
      <c r="H3865" s="17"/>
      <c r="K3865" s="17"/>
      <c r="N3865" s="17"/>
    </row>
    <row r="3866">
      <c r="B3866" s="11">
        <f>IFERROR(__xludf.DUMMYFUNCTION("""COMPUTED_VALUE"""),40613.0)</f>
        <v>40613</v>
      </c>
      <c r="C3866" s="9">
        <f>IFERROR(__xludf.DUMMYFUNCTION("""COMPUTED_VALUE"""),3.4)</f>
        <v>3.4</v>
      </c>
      <c r="H3866" s="17"/>
      <c r="K3866" s="17"/>
      <c r="N3866" s="17"/>
    </row>
    <row r="3867">
      <c r="B3867" s="11">
        <f>IFERROR(__xludf.DUMMYFUNCTION("""COMPUTED_VALUE"""),40612.0)</f>
        <v>40612</v>
      </c>
      <c r="C3867" s="9">
        <f>IFERROR(__xludf.DUMMYFUNCTION("""COMPUTED_VALUE"""),3.37)</f>
        <v>3.37</v>
      </c>
      <c r="H3867" s="17"/>
      <c r="K3867" s="17"/>
      <c r="N3867" s="17"/>
    </row>
    <row r="3868">
      <c r="B3868" s="11">
        <f>IFERROR(__xludf.DUMMYFUNCTION("""COMPUTED_VALUE"""),40611.0)</f>
        <v>40611</v>
      </c>
      <c r="C3868" s="9">
        <f>IFERROR(__xludf.DUMMYFUNCTION("""COMPUTED_VALUE"""),3.48)</f>
        <v>3.48</v>
      </c>
      <c r="H3868" s="17"/>
      <c r="K3868" s="17"/>
      <c r="N3868" s="17"/>
    </row>
    <row r="3869">
      <c r="B3869" s="11">
        <f>IFERROR(__xludf.DUMMYFUNCTION("""COMPUTED_VALUE"""),40610.0)</f>
        <v>40610</v>
      </c>
      <c r="C3869" s="9">
        <f>IFERROR(__xludf.DUMMYFUNCTION("""COMPUTED_VALUE"""),3.56)</f>
        <v>3.56</v>
      </c>
      <c r="H3869" s="17"/>
      <c r="K3869" s="17"/>
      <c r="N3869" s="17"/>
    </row>
    <row r="3870">
      <c r="B3870" s="11">
        <f>IFERROR(__xludf.DUMMYFUNCTION("""COMPUTED_VALUE"""),40609.0)</f>
        <v>40609</v>
      </c>
      <c r="C3870" s="9">
        <f>IFERROR(__xludf.DUMMYFUNCTION("""COMPUTED_VALUE"""),3.51)</f>
        <v>3.51</v>
      </c>
      <c r="H3870" s="17"/>
      <c r="K3870" s="17"/>
      <c r="N3870" s="17"/>
    </row>
    <row r="3871">
      <c r="B3871" s="11">
        <f>IFERROR(__xludf.DUMMYFUNCTION("""COMPUTED_VALUE"""),40606.0)</f>
        <v>40606</v>
      </c>
      <c r="C3871" s="9">
        <f>IFERROR(__xludf.DUMMYFUNCTION("""COMPUTED_VALUE"""),3.49)</f>
        <v>3.49</v>
      </c>
      <c r="H3871" s="17"/>
      <c r="K3871" s="17"/>
      <c r="N3871" s="17"/>
    </row>
    <row r="3872">
      <c r="B3872" s="11">
        <f>IFERROR(__xludf.DUMMYFUNCTION("""COMPUTED_VALUE"""),40605.0)</f>
        <v>40605</v>
      </c>
      <c r="C3872" s="9">
        <f>IFERROR(__xludf.DUMMYFUNCTION("""COMPUTED_VALUE"""),3.58)</f>
        <v>3.58</v>
      </c>
      <c r="H3872" s="17"/>
      <c r="K3872" s="17"/>
      <c r="N3872" s="17"/>
    </row>
    <row r="3873">
      <c r="B3873" s="11">
        <f>IFERROR(__xludf.DUMMYFUNCTION("""COMPUTED_VALUE"""),40604.0)</f>
        <v>40604</v>
      </c>
      <c r="C3873" s="9">
        <f>IFERROR(__xludf.DUMMYFUNCTION("""COMPUTED_VALUE"""),3.46)</f>
        <v>3.46</v>
      </c>
      <c r="H3873" s="17"/>
      <c r="K3873" s="17"/>
      <c r="N3873" s="17"/>
    </row>
    <row r="3874">
      <c r="B3874" s="11">
        <f>IFERROR(__xludf.DUMMYFUNCTION("""COMPUTED_VALUE"""),40603.0)</f>
        <v>40603</v>
      </c>
      <c r="C3874" s="9">
        <f>IFERROR(__xludf.DUMMYFUNCTION("""COMPUTED_VALUE"""),3.41)</f>
        <v>3.41</v>
      </c>
      <c r="H3874" s="17"/>
      <c r="K3874" s="17"/>
      <c r="N3874" s="17"/>
    </row>
    <row r="3875">
      <c r="B3875" s="11">
        <f>IFERROR(__xludf.DUMMYFUNCTION("""COMPUTED_VALUE"""),40602.0)</f>
        <v>40602</v>
      </c>
      <c r="C3875" s="9">
        <f>IFERROR(__xludf.DUMMYFUNCTION("""COMPUTED_VALUE"""),3.42)</f>
        <v>3.42</v>
      </c>
      <c r="H3875" s="17"/>
      <c r="K3875" s="17"/>
      <c r="N3875" s="17"/>
    </row>
    <row r="3876">
      <c r="B3876" s="11">
        <f>IFERROR(__xludf.DUMMYFUNCTION("""COMPUTED_VALUE"""),40599.0)</f>
        <v>40599</v>
      </c>
      <c r="C3876" s="9">
        <f>IFERROR(__xludf.DUMMYFUNCTION("""COMPUTED_VALUE"""),3.42)</f>
        <v>3.42</v>
      </c>
      <c r="H3876" s="17"/>
      <c r="K3876" s="17"/>
      <c r="N3876" s="17"/>
    </row>
    <row r="3877">
      <c r="B3877" s="11">
        <f>IFERROR(__xludf.DUMMYFUNCTION("""COMPUTED_VALUE"""),40598.0)</f>
        <v>40598</v>
      </c>
      <c r="C3877" s="9">
        <f>IFERROR(__xludf.DUMMYFUNCTION("""COMPUTED_VALUE"""),3.46)</f>
        <v>3.46</v>
      </c>
      <c r="H3877" s="17"/>
      <c r="K3877" s="17"/>
      <c r="N3877" s="17"/>
    </row>
    <row r="3878">
      <c r="B3878" s="11">
        <f>IFERROR(__xludf.DUMMYFUNCTION("""COMPUTED_VALUE"""),40597.0)</f>
        <v>40597</v>
      </c>
      <c r="C3878" s="9">
        <f>IFERROR(__xludf.DUMMYFUNCTION("""COMPUTED_VALUE"""),3.49)</f>
        <v>3.49</v>
      </c>
      <c r="H3878" s="17"/>
      <c r="K3878" s="17"/>
      <c r="N3878" s="17"/>
    </row>
    <row r="3879">
      <c r="B3879" s="11">
        <f>IFERROR(__xludf.DUMMYFUNCTION("""COMPUTED_VALUE"""),40596.0)</f>
        <v>40596</v>
      </c>
      <c r="C3879" s="9">
        <f>IFERROR(__xludf.DUMMYFUNCTION("""COMPUTED_VALUE"""),3.46)</f>
        <v>3.46</v>
      </c>
      <c r="H3879" s="17"/>
      <c r="K3879" s="17"/>
      <c r="N3879" s="17"/>
    </row>
    <row r="3880">
      <c r="B3880" s="11">
        <f>IFERROR(__xludf.DUMMYFUNCTION("""COMPUTED_VALUE"""),40595.0)</f>
        <v>40595</v>
      </c>
      <c r="C3880" s="9"/>
      <c r="H3880" s="17"/>
      <c r="K3880" s="17"/>
      <c r="N3880" s="17"/>
    </row>
    <row r="3881">
      <c r="B3881" s="11">
        <f>IFERROR(__xludf.DUMMYFUNCTION("""COMPUTED_VALUE"""),40592.0)</f>
        <v>40592</v>
      </c>
      <c r="C3881" s="9">
        <f>IFERROR(__xludf.DUMMYFUNCTION("""COMPUTED_VALUE"""),3.59)</f>
        <v>3.59</v>
      </c>
      <c r="H3881" s="17"/>
      <c r="K3881" s="17"/>
      <c r="N3881" s="17"/>
    </row>
    <row r="3882">
      <c r="B3882" s="11">
        <f>IFERROR(__xludf.DUMMYFUNCTION("""COMPUTED_VALUE"""),40591.0)</f>
        <v>40591</v>
      </c>
      <c r="C3882" s="9">
        <f>IFERROR(__xludf.DUMMYFUNCTION("""COMPUTED_VALUE"""),3.58)</f>
        <v>3.58</v>
      </c>
      <c r="H3882" s="17"/>
      <c r="K3882" s="17"/>
      <c r="N3882" s="17"/>
    </row>
    <row r="3883">
      <c r="B3883" s="11">
        <f>IFERROR(__xludf.DUMMYFUNCTION("""COMPUTED_VALUE"""),40590.0)</f>
        <v>40590</v>
      </c>
      <c r="C3883" s="9">
        <f>IFERROR(__xludf.DUMMYFUNCTION("""COMPUTED_VALUE"""),3.62)</f>
        <v>3.62</v>
      </c>
      <c r="H3883" s="17"/>
      <c r="K3883" s="17"/>
      <c r="N3883" s="17"/>
    </row>
    <row r="3884">
      <c r="B3884" s="11">
        <f>IFERROR(__xludf.DUMMYFUNCTION("""COMPUTED_VALUE"""),40589.0)</f>
        <v>40589</v>
      </c>
      <c r="C3884" s="9">
        <f>IFERROR(__xludf.DUMMYFUNCTION("""COMPUTED_VALUE"""),3.61)</f>
        <v>3.61</v>
      </c>
      <c r="H3884" s="17"/>
      <c r="K3884" s="17"/>
      <c r="N3884" s="17"/>
    </row>
    <row r="3885">
      <c r="B3885" s="11">
        <f>IFERROR(__xludf.DUMMYFUNCTION("""COMPUTED_VALUE"""),40588.0)</f>
        <v>40588</v>
      </c>
      <c r="C3885" s="9">
        <f>IFERROR(__xludf.DUMMYFUNCTION("""COMPUTED_VALUE"""),3.62)</f>
        <v>3.62</v>
      </c>
      <c r="H3885" s="17"/>
      <c r="K3885" s="17"/>
      <c r="N3885" s="17"/>
    </row>
    <row r="3886">
      <c r="B3886" s="11">
        <f>IFERROR(__xludf.DUMMYFUNCTION("""COMPUTED_VALUE"""),40585.0)</f>
        <v>40585</v>
      </c>
      <c r="C3886" s="9">
        <f>IFERROR(__xludf.DUMMYFUNCTION("""COMPUTED_VALUE"""),3.64)</f>
        <v>3.64</v>
      </c>
      <c r="H3886" s="17"/>
      <c r="K3886" s="17"/>
      <c r="N3886" s="17"/>
    </row>
    <row r="3887">
      <c r="B3887" s="11">
        <f>IFERROR(__xludf.DUMMYFUNCTION("""COMPUTED_VALUE"""),40584.0)</f>
        <v>40584</v>
      </c>
      <c r="C3887" s="9">
        <f>IFERROR(__xludf.DUMMYFUNCTION("""COMPUTED_VALUE"""),3.7)</f>
        <v>3.7</v>
      </c>
      <c r="H3887" s="17"/>
      <c r="K3887" s="17"/>
      <c r="N3887" s="17"/>
    </row>
    <row r="3888">
      <c r="B3888" s="11">
        <f>IFERROR(__xludf.DUMMYFUNCTION("""COMPUTED_VALUE"""),40583.0)</f>
        <v>40583</v>
      </c>
      <c r="C3888" s="9">
        <f>IFERROR(__xludf.DUMMYFUNCTION("""COMPUTED_VALUE"""),3.65)</f>
        <v>3.65</v>
      </c>
      <c r="H3888" s="17"/>
      <c r="K3888" s="17"/>
      <c r="N3888" s="17"/>
    </row>
    <row r="3889">
      <c r="B3889" s="11">
        <f>IFERROR(__xludf.DUMMYFUNCTION("""COMPUTED_VALUE"""),40582.0)</f>
        <v>40582</v>
      </c>
      <c r="C3889" s="9">
        <f>IFERROR(__xludf.DUMMYFUNCTION("""COMPUTED_VALUE"""),3.75)</f>
        <v>3.75</v>
      </c>
      <c r="H3889" s="17"/>
      <c r="K3889" s="17"/>
      <c r="N3889" s="17"/>
    </row>
    <row r="3890">
      <c r="B3890" s="11">
        <f>IFERROR(__xludf.DUMMYFUNCTION("""COMPUTED_VALUE"""),40581.0)</f>
        <v>40581</v>
      </c>
      <c r="C3890" s="9">
        <f>IFERROR(__xludf.DUMMYFUNCTION("""COMPUTED_VALUE"""),3.68)</f>
        <v>3.68</v>
      </c>
      <c r="H3890" s="17"/>
      <c r="K3890" s="17"/>
      <c r="N3890" s="17"/>
    </row>
    <row r="3891">
      <c r="B3891" s="11">
        <f>IFERROR(__xludf.DUMMYFUNCTION("""COMPUTED_VALUE"""),40578.0)</f>
        <v>40578</v>
      </c>
      <c r="C3891" s="9">
        <f>IFERROR(__xludf.DUMMYFUNCTION("""COMPUTED_VALUE"""),3.68)</f>
        <v>3.68</v>
      </c>
      <c r="H3891" s="17"/>
      <c r="K3891" s="17"/>
      <c r="N3891" s="17"/>
    </row>
    <row r="3892">
      <c r="B3892" s="11">
        <f>IFERROR(__xludf.DUMMYFUNCTION("""COMPUTED_VALUE"""),40577.0)</f>
        <v>40577</v>
      </c>
      <c r="C3892" s="9">
        <f>IFERROR(__xludf.DUMMYFUNCTION("""COMPUTED_VALUE"""),3.58)</f>
        <v>3.58</v>
      </c>
      <c r="H3892" s="17"/>
      <c r="K3892" s="17"/>
      <c r="N3892" s="17"/>
    </row>
    <row r="3893">
      <c r="B3893" s="11">
        <f>IFERROR(__xludf.DUMMYFUNCTION("""COMPUTED_VALUE"""),40576.0)</f>
        <v>40576</v>
      </c>
      <c r="C3893" s="9">
        <f>IFERROR(__xludf.DUMMYFUNCTION("""COMPUTED_VALUE"""),3.52)</f>
        <v>3.52</v>
      </c>
      <c r="H3893" s="17"/>
      <c r="K3893" s="17"/>
      <c r="N3893" s="17"/>
    </row>
    <row r="3894">
      <c r="B3894" s="11">
        <f>IFERROR(__xludf.DUMMYFUNCTION("""COMPUTED_VALUE"""),40575.0)</f>
        <v>40575</v>
      </c>
      <c r="C3894" s="9">
        <f>IFERROR(__xludf.DUMMYFUNCTION("""COMPUTED_VALUE"""),3.48)</f>
        <v>3.48</v>
      </c>
      <c r="H3894" s="17"/>
      <c r="K3894" s="17"/>
      <c r="N3894" s="17"/>
    </row>
    <row r="3895">
      <c r="B3895" s="11">
        <f>IFERROR(__xludf.DUMMYFUNCTION("""COMPUTED_VALUE"""),40574.0)</f>
        <v>40574</v>
      </c>
      <c r="C3895" s="9">
        <f>IFERROR(__xludf.DUMMYFUNCTION("""COMPUTED_VALUE"""),3.42)</f>
        <v>3.42</v>
      </c>
      <c r="H3895" s="17"/>
      <c r="K3895" s="17"/>
      <c r="N3895" s="17"/>
    </row>
    <row r="3896">
      <c r="B3896" s="11">
        <f>IFERROR(__xludf.DUMMYFUNCTION("""COMPUTED_VALUE"""),40571.0)</f>
        <v>40571</v>
      </c>
      <c r="C3896" s="9">
        <f>IFERROR(__xludf.DUMMYFUNCTION("""COMPUTED_VALUE"""),3.36)</f>
        <v>3.36</v>
      </c>
      <c r="H3896" s="17"/>
      <c r="K3896" s="17"/>
      <c r="N3896" s="17"/>
    </row>
    <row r="3897">
      <c r="B3897" s="11">
        <f>IFERROR(__xludf.DUMMYFUNCTION("""COMPUTED_VALUE"""),40570.0)</f>
        <v>40570</v>
      </c>
      <c r="C3897" s="9">
        <f>IFERROR(__xludf.DUMMYFUNCTION("""COMPUTED_VALUE"""),3.42)</f>
        <v>3.42</v>
      </c>
      <c r="H3897" s="17"/>
      <c r="K3897" s="17"/>
      <c r="N3897" s="17"/>
    </row>
    <row r="3898">
      <c r="B3898" s="11">
        <f>IFERROR(__xludf.DUMMYFUNCTION("""COMPUTED_VALUE"""),40569.0)</f>
        <v>40569</v>
      </c>
      <c r="C3898" s="9">
        <f>IFERROR(__xludf.DUMMYFUNCTION("""COMPUTED_VALUE"""),3.45)</f>
        <v>3.45</v>
      </c>
      <c r="H3898" s="17"/>
      <c r="K3898" s="17"/>
      <c r="N3898" s="17"/>
    </row>
    <row r="3899">
      <c r="B3899" s="11">
        <f>IFERROR(__xludf.DUMMYFUNCTION("""COMPUTED_VALUE"""),40568.0)</f>
        <v>40568</v>
      </c>
      <c r="C3899" s="9">
        <f>IFERROR(__xludf.DUMMYFUNCTION("""COMPUTED_VALUE"""),3.35)</f>
        <v>3.35</v>
      </c>
      <c r="H3899" s="17"/>
      <c r="K3899" s="17"/>
      <c r="N3899" s="17"/>
    </row>
    <row r="3900">
      <c r="B3900" s="11">
        <f>IFERROR(__xludf.DUMMYFUNCTION("""COMPUTED_VALUE"""),40567.0)</f>
        <v>40567</v>
      </c>
      <c r="C3900" s="9">
        <f>IFERROR(__xludf.DUMMYFUNCTION("""COMPUTED_VALUE"""),3.43)</f>
        <v>3.43</v>
      </c>
      <c r="H3900" s="17"/>
      <c r="K3900" s="17"/>
      <c r="N3900" s="17"/>
    </row>
    <row r="3901">
      <c r="B3901" s="11">
        <f>IFERROR(__xludf.DUMMYFUNCTION("""COMPUTED_VALUE"""),40564.0)</f>
        <v>40564</v>
      </c>
      <c r="C3901" s="9">
        <f>IFERROR(__xludf.DUMMYFUNCTION("""COMPUTED_VALUE"""),3.44)</f>
        <v>3.44</v>
      </c>
      <c r="H3901" s="17"/>
      <c r="K3901" s="17"/>
      <c r="N3901" s="17"/>
    </row>
    <row r="3902">
      <c r="B3902" s="11">
        <f>IFERROR(__xludf.DUMMYFUNCTION("""COMPUTED_VALUE"""),40563.0)</f>
        <v>40563</v>
      </c>
      <c r="C3902" s="9">
        <f>IFERROR(__xludf.DUMMYFUNCTION("""COMPUTED_VALUE"""),3.47)</f>
        <v>3.47</v>
      </c>
      <c r="H3902" s="17"/>
      <c r="K3902" s="17"/>
      <c r="N3902" s="17"/>
    </row>
    <row r="3903">
      <c r="B3903" s="11">
        <f>IFERROR(__xludf.DUMMYFUNCTION("""COMPUTED_VALUE"""),40562.0)</f>
        <v>40562</v>
      </c>
      <c r="C3903" s="9">
        <f>IFERROR(__xludf.DUMMYFUNCTION("""COMPUTED_VALUE"""),3.37)</f>
        <v>3.37</v>
      </c>
      <c r="H3903" s="17"/>
      <c r="K3903" s="17"/>
      <c r="N3903" s="17"/>
    </row>
    <row r="3904">
      <c r="B3904" s="11">
        <f>IFERROR(__xludf.DUMMYFUNCTION("""COMPUTED_VALUE"""),40561.0)</f>
        <v>40561</v>
      </c>
      <c r="C3904" s="9">
        <f>IFERROR(__xludf.DUMMYFUNCTION("""COMPUTED_VALUE"""),3.39)</f>
        <v>3.39</v>
      </c>
      <c r="H3904" s="17"/>
      <c r="K3904" s="17"/>
      <c r="N3904" s="17"/>
    </row>
    <row r="3905">
      <c r="B3905" s="11">
        <f>IFERROR(__xludf.DUMMYFUNCTION("""COMPUTED_VALUE"""),40560.0)</f>
        <v>40560</v>
      </c>
      <c r="C3905" s="9"/>
      <c r="H3905" s="17"/>
      <c r="K3905" s="17"/>
      <c r="N3905" s="17"/>
    </row>
    <row r="3906">
      <c r="B3906" s="11">
        <f>IFERROR(__xludf.DUMMYFUNCTION("""COMPUTED_VALUE"""),40557.0)</f>
        <v>40557</v>
      </c>
      <c r="C3906" s="9">
        <f>IFERROR(__xludf.DUMMYFUNCTION("""COMPUTED_VALUE"""),3.35)</f>
        <v>3.35</v>
      </c>
      <c r="H3906" s="17"/>
      <c r="K3906" s="17"/>
      <c r="N3906" s="17"/>
    </row>
    <row r="3907">
      <c r="B3907" s="11">
        <f>IFERROR(__xludf.DUMMYFUNCTION("""COMPUTED_VALUE"""),40556.0)</f>
        <v>40556</v>
      </c>
      <c r="C3907" s="9">
        <f>IFERROR(__xludf.DUMMYFUNCTION("""COMPUTED_VALUE"""),3.34)</f>
        <v>3.34</v>
      </c>
      <c r="H3907" s="17"/>
      <c r="K3907" s="17"/>
      <c r="N3907" s="17"/>
    </row>
    <row r="3908">
      <c r="B3908" s="11">
        <f>IFERROR(__xludf.DUMMYFUNCTION("""COMPUTED_VALUE"""),40555.0)</f>
        <v>40555</v>
      </c>
      <c r="C3908" s="9">
        <f>IFERROR(__xludf.DUMMYFUNCTION("""COMPUTED_VALUE"""),3.4)</f>
        <v>3.4</v>
      </c>
      <c r="H3908" s="17"/>
      <c r="K3908" s="17"/>
      <c r="N3908" s="17"/>
    </row>
    <row r="3909">
      <c r="B3909" s="11">
        <f>IFERROR(__xludf.DUMMYFUNCTION("""COMPUTED_VALUE"""),40554.0)</f>
        <v>40554</v>
      </c>
      <c r="C3909" s="9">
        <f>IFERROR(__xludf.DUMMYFUNCTION("""COMPUTED_VALUE"""),3.37)</f>
        <v>3.37</v>
      </c>
      <c r="H3909" s="17"/>
      <c r="K3909" s="17"/>
      <c r="N3909" s="17"/>
    </row>
    <row r="3910">
      <c r="B3910" s="11">
        <f>IFERROR(__xludf.DUMMYFUNCTION("""COMPUTED_VALUE"""),40553.0)</f>
        <v>40553</v>
      </c>
      <c r="C3910" s="9">
        <f>IFERROR(__xludf.DUMMYFUNCTION("""COMPUTED_VALUE"""),3.32)</f>
        <v>3.32</v>
      </c>
      <c r="H3910" s="17"/>
      <c r="K3910" s="17"/>
      <c r="N3910" s="17"/>
    </row>
    <row r="3911">
      <c r="B3911" s="11">
        <f>IFERROR(__xludf.DUMMYFUNCTION("""COMPUTED_VALUE"""),40550.0)</f>
        <v>40550</v>
      </c>
      <c r="C3911" s="9">
        <f>IFERROR(__xludf.DUMMYFUNCTION("""COMPUTED_VALUE"""),3.34)</f>
        <v>3.34</v>
      </c>
      <c r="H3911" s="17"/>
      <c r="K3911" s="17"/>
      <c r="N3911" s="17"/>
    </row>
    <row r="3912">
      <c r="B3912" s="11">
        <f>IFERROR(__xludf.DUMMYFUNCTION("""COMPUTED_VALUE"""),40549.0)</f>
        <v>40549</v>
      </c>
      <c r="C3912" s="9">
        <f>IFERROR(__xludf.DUMMYFUNCTION("""COMPUTED_VALUE"""),3.44)</f>
        <v>3.44</v>
      </c>
      <c r="H3912" s="17"/>
      <c r="K3912" s="17"/>
      <c r="N3912" s="17"/>
    </row>
    <row r="3913">
      <c r="B3913" s="11">
        <f>IFERROR(__xludf.DUMMYFUNCTION("""COMPUTED_VALUE"""),40548.0)</f>
        <v>40548</v>
      </c>
      <c r="C3913" s="9">
        <f>IFERROR(__xludf.DUMMYFUNCTION("""COMPUTED_VALUE"""),3.5)</f>
        <v>3.5</v>
      </c>
      <c r="H3913" s="17"/>
      <c r="K3913" s="17"/>
      <c r="N3913" s="17"/>
    </row>
    <row r="3914">
      <c r="B3914" s="11">
        <f>IFERROR(__xludf.DUMMYFUNCTION("""COMPUTED_VALUE"""),40547.0)</f>
        <v>40547</v>
      </c>
      <c r="C3914" s="9">
        <f>IFERROR(__xludf.DUMMYFUNCTION("""COMPUTED_VALUE"""),3.36)</f>
        <v>3.36</v>
      </c>
      <c r="H3914" s="17"/>
      <c r="K3914" s="17"/>
      <c r="N3914" s="17"/>
    </row>
    <row r="3915">
      <c r="B3915" s="11">
        <f>IFERROR(__xludf.DUMMYFUNCTION("""COMPUTED_VALUE"""),40546.0)</f>
        <v>40546</v>
      </c>
      <c r="C3915" s="9">
        <f>IFERROR(__xludf.DUMMYFUNCTION("""COMPUTED_VALUE"""),3.36)</f>
        <v>3.36</v>
      </c>
      <c r="H3915" s="17"/>
      <c r="K3915" s="17"/>
      <c r="N3915" s="17"/>
    </row>
    <row r="3916">
      <c r="B3916" s="11">
        <f>IFERROR(__xludf.DUMMYFUNCTION("""COMPUTED_VALUE"""),40543.0)</f>
        <v>40543</v>
      </c>
      <c r="C3916" s="9">
        <f>IFERROR(__xludf.DUMMYFUNCTION("""COMPUTED_VALUE"""),3.3)</f>
        <v>3.3</v>
      </c>
      <c r="H3916" s="17"/>
      <c r="K3916" s="17"/>
      <c r="N3916" s="17"/>
    </row>
    <row r="3917">
      <c r="B3917" s="11">
        <f>IFERROR(__xludf.DUMMYFUNCTION("""COMPUTED_VALUE"""),40542.0)</f>
        <v>40542</v>
      </c>
      <c r="C3917" s="9">
        <f>IFERROR(__xludf.DUMMYFUNCTION("""COMPUTED_VALUE"""),3.38)</f>
        <v>3.38</v>
      </c>
      <c r="H3917" s="17"/>
      <c r="K3917" s="17"/>
      <c r="N3917" s="17"/>
    </row>
    <row r="3918">
      <c r="B3918" s="11">
        <f>IFERROR(__xludf.DUMMYFUNCTION("""COMPUTED_VALUE"""),40541.0)</f>
        <v>40541</v>
      </c>
      <c r="C3918" s="9">
        <f>IFERROR(__xludf.DUMMYFUNCTION("""COMPUTED_VALUE"""),3.35)</f>
        <v>3.35</v>
      </c>
      <c r="H3918" s="17"/>
      <c r="K3918" s="17"/>
      <c r="N3918" s="17"/>
    </row>
    <row r="3919">
      <c r="B3919" s="11">
        <f>IFERROR(__xludf.DUMMYFUNCTION("""COMPUTED_VALUE"""),40540.0)</f>
        <v>40540</v>
      </c>
      <c r="C3919" s="9">
        <f>IFERROR(__xludf.DUMMYFUNCTION("""COMPUTED_VALUE"""),3.5)</f>
        <v>3.5</v>
      </c>
      <c r="H3919" s="17"/>
      <c r="K3919" s="17"/>
      <c r="N3919" s="17"/>
    </row>
    <row r="3920">
      <c r="B3920" s="11">
        <f>IFERROR(__xludf.DUMMYFUNCTION("""COMPUTED_VALUE"""),40539.0)</f>
        <v>40539</v>
      </c>
      <c r="C3920" s="9">
        <f>IFERROR(__xludf.DUMMYFUNCTION("""COMPUTED_VALUE"""),3.36)</f>
        <v>3.36</v>
      </c>
      <c r="H3920" s="17"/>
      <c r="K3920" s="17"/>
      <c r="N3920" s="17"/>
    </row>
    <row r="3921">
      <c r="B3921" s="11">
        <f>IFERROR(__xludf.DUMMYFUNCTION("""COMPUTED_VALUE"""),40536.0)</f>
        <v>40536</v>
      </c>
      <c r="C3921" s="9"/>
      <c r="H3921" s="17"/>
      <c r="K3921" s="17"/>
      <c r="N3921" s="17"/>
    </row>
    <row r="3922">
      <c r="B3922" s="11">
        <f>IFERROR(__xludf.DUMMYFUNCTION("""COMPUTED_VALUE"""),40535.0)</f>
        <v>40535</v>
      </c>
      <c r="C3922" s="9">
        <f>IFERROR(__xludf.DUMMYFUNCTION("""COMPUTED_VALUE"""),3.41)</f>
        <v>3.41</v>
      </c>
      <c r="H3922" s="17"/>
      <c r="K3922" s="17"/>
      <c r="N3922" s="17"/>
    </row>
    <row r="3923">
      <c r="B3923" s="11">
        <f>IFERROR(__xludf.DUMMYFUNCTION("""COMPUTED_VALUE"""),40534.0)</f>
        <v>40534</v>
      </c>
      <c r="C3923" s="9">
        <f>IFERROR(__xludf.DUMMYFUNCTION("""COMPUTED_VALUE"""),3.36)</f>
        <v>3.36</v>
      </c>
      <c r="H3923" s="17"/>
      <c r="K3923" s="17"/>
      <c r="N3923" s="17"/>
    </row>
    <row r="3924">
      <c r="B3924" s="11">
        <f>IFERROR(__xludf.DUMMYFUNCTION("""COMPUTED_VALUE"""),40533.0)</f>
        <v>40533</v>
      </c>
      <c r="C3924" s="9">
        <f>IFERROR(__xludf.DUMMYFUNCTION("""COMPUTED_VALUE"""),3.35)</f>
        <v>3.35</v>
      </c>
      <c r="H3924" s="17"/>
      <c r="K3924" s="17"/>
      <c r="N3924" s="17"/>
    </row>
    <row r="3925">
      <c r="B3925" s="11">
        <f>IFERROR(__xludf.DUMMYFUNCTION("""COMPUTED_VALUE"""),40532.0)</f>
        <v>40532</v>
      </c>
      <c r="C3925" s="9">
        <f>IFERROR(__xludf.DUMMYFUNCTION("""COMPUTED_VALUE"""),3.36)</f>
        <v>3.36</v>
      </c>
      <c r="H3925" s="17"/>
      <c r="K3925" s="17"/>
      <c r="N3925" s="17"/>
    </row>
    <row r="3926">
      <c r="B3926" s="11">
        <f>IFERROR(__xludf.DUMMYFUNCTION("""COMPUTED_VALUE"""),40529.0)</f>
        <v>40529</v>
      </c>
      <c r="C3926" s="9">
        <f>IFERROR(__xludf.DUMMYFUNCTION("""COMPUTED_VALUE"""),3.33)</f>
        <v>3.33</v>
      </c>
      <c r="H3926" s="17"/>
      <c r="K3926" s="17"/>
      <c r="N3926" s="17"/>
    </row>
    <row r="3927">
      <c r="B3927" s="11">
        <f>IFERROR(__xludf.DUMMYFUNCTION("""COMPUTED_VALUE"""),40528.0)</f>
        <v>40528</v>
      </c>
      <c r="C3927" s="9">
        <f>IFERROR(__xludf.DUMMYFUNCTION("""COMPUTED_VALUE"""),3.47)</f>
        <v>3.47</v>
      </c>
      <c r="H3927" s="17"/>
      <c r="K3927" s="17"/>
      <c r="N3927" s="17"/>
    </row>
    <row r="3928">
      <c r="B3928" s="11">
        <f>IFERROR(__xludf.DUMMYFUNCTION("""COMPUTED_VALUE"""),40527.0)</f>
        <v>40527</v>
      </c>
      <c r="C3928" s="9">
        <f>IFERROR(__xludf.DUMMYFUNCTION("""COMPUTED_VALUE"""),3.53)</f>
        <v>3.53</v>
      </c>
      <c r="H3928" s="17"/>
      <c r="K3928" s="17"/>
      <c r="N3928" s="17"/>
    </row>
    <row r="3929">
      <c r="B3929" s="11">
        <f>IFERROR(__xludf.DUMMYFUNCTION("""COMPUTED_VALUE"""),40526.0)</f>
        <v>40526</v>
      </c>
      <c r="C3929" s="9">
        <f>IFERROR(__xludf.DUMMYFUNCTION("""COMPUTED_VALUE"""),3.49)</f>
        <v>3.49</v>
      </c>
      <c r="H3929" s="17"/>
      <c r="K3929" s="17"/>
      <c r="N3929" s="17"/>
    </row>
    <row r="3930">
      <c r="B3930" s="11">
        <f>IFERROR(__xludf.DUMMYFUNCTION("""COMPUTED_VALUE"""),40525.0)</f>
        <v>40525</v>
      </c>
      <c r="C3930" s="9">
        <f>IFERROR(__xludf.DUMMYFUNCTION("""COMPUTED_VALUE"""),3.29)</f>
        <v>3.29</v>
      </c>
      <c r="H3930" s="17"/>
      <c r="K3930" s="17"/>
      <c r="N3930" s="17"/>
    </row>
    <row r="3931">
      <c r="B3931" s="11">
        <f>IFERROR(__xludf.DUMMYFUNCTION("""COMPUTED_VALUE"""),40522.0)</f>
        <v>40522</v>
      </c>
      <c r="C3931" s="9">
        <f>IFERROR(__xludf.DUMMYFUNCTION("""COMPUTED_VALUE"""),3.32)</f>
        <v>3.32</v>
      </c>
      <c r="H3931" s="17"/>
      <c r="K3931" s="17"/>
      <c r="N3931" s="17"/>
    </row>
    <row r="3932">
      <c r="B3932" s="11">
        <f>IFERROR(__xludf.DUMMYFUNCTION("""COMPUTED_VALUE"""),40521.0)</f>
        <v>40521</v>
      </c>
      <c r="C3932" s="9">
        <f>IFERROR(__xludf.DUMMYFUNCTION("""COMPUTED_VALUE"""),3.23)</f>
        <v>3.23</v>
      </c>
      <c r="H3932" s="17"/>
      <c r="K3932" s="17"/>
      <c r="N3932" s="17"/>
    </row>
    <row r="3933">
      <c r="B3933" s="11">
        <f>IFERROR(__xludf.DUMMYFUNCTION("""COMPUTED_VALUE"""),40520.0)</f>
        <v>40520</v>
      </c>
      <c r="C3933" s="9">
        <f>IFERROR(__xludf.DUMMYFUNCTION("""COMPUTED_VALUE"""),3.26)</f>
        <v>3.26</v>
      </c>
      <c r="H3933" s="17"/>
      <c r="K3933" s="17"/>
      <c r="N3933" s="17"/>
    </row>
    <row r="3934">
      <c r="B3934" s="11">
        <f>IFERROR(__xludf.DUMMYFUNCTION("""COMPUTED_VALUE"""),40519.0)</f>
        <v>40519</v>
      </c>
      <c r="C3934" s="9">
        <f>IFERROR(__xludf.DUMMYFUNCTION("""COMPUTED_VALUE"""),3.15)</f>
        <v>3.15</v>
      </c>
      <c r="H3934" s="17"/>
      <c r="K3934" s="17"/>
      <c r="N3934" s="17"/>
    </row>
    <row r="3935">
      <c r="B3935" s="11">
        <f>IFERROR(__xludf.DUMMYFUNCTION("""COMPUTED_VALUE"""),40518.0)</f>
        <v>40518</v>
      </c>
      <c r="C3935" s="9">
        <f>IFERROR(__xludf.DUMMYFUNCTION("""COMPUTED_VALUE"""),2.95)</f>
        <v>2.95</v>
      </c>
      <c r="H3935" s="17"/>
      <c r="K3935" s="17"/>
      <c r="N3935" s="17"/>
    </row>
    <row r="3936">
      <c r="B3936" s="11">
        <f>IFERROR(__xludf.DUMMYFUNCTION("""COMPUTED_VALUE"""),40515.0)</f>
        <v>40515</v>
      </c>
      <c r="C3936" s="9">
        <f>IFERROR(__xludf.DUMMYFUNCTION("""COMPUTED_VALUE"""),3.03)</f>
        <v>3.03</v>
      </c>
      <c r="H3936" s="17"/>
      <c r="K3936" s="17"/>
      <c r="N3936" s="17"/>
    </row>
    <row r="3937">
      <c r="B3937" s="11">
        <f>IFERROR(__xludf.DUMMYFUNCTION("""COMPUTED_VALUE"""),40514.0)</f>
        <v>40514</v>
      </c>
      <c r="C3937" s="9">
        <f>IFERROR(__xludf.DUMMYFUNCTION("""COMPUTED_VALUE"""),3.01)</f>
        <v>3.01</v>
      </c>
      <c r="H3937" s="17"/>
      <c r="K3937" s="17"/>
      <c r="N3937" s="17"/>
    </row>
    <row r="3938">
      <c r="B3938" s="11">
        <f>IFERROR(__xludf.DUMMYFUNCTION("""COMPUTED_VALUE"""),40513.0)</f>
        <v>40513</v>
      </c>
      <c r="C3938" s="9">
        <f>IFERROR(__xludf.DUMMYFUNCTION("""COMPUTED_VALUE"""),2.97)</f>
        <v>2.97</v>
      </c>
      <c r="H3938" s="17"/>
      <c r="K3938" s="17"/>
      <c r="N3938" s="17"/>
    </row>
    <row r="3939">
      <c r="B3939" s="11">
        <f>IFERROR(__xludf.DUMMYFUNCTION("""COMPUTED_VALUE"""),40512.0)</f>
        <v>40512</v>
      </c>
      <c r="C3939" s="9">
        <f>IFERROR(__xludf.DUMMYFUNCTION("""COMPUTED_VALUE"""),2.81)</f>
        <v>2.81</v>
      </c>
      <c r="H3939" s="17"/>
      <c r="K3939" s="17"/>
      <c r="N3939" s="17"/>
    </row>
    <row r="3940">
      <c r="B3940" s="11">
        <f>IFERROR(__xludf.DUMMYFUNCTION("""COMPUTED_VALUE"""),40511.0)</f>
        <v>40511</v>
      </c>
      <c r="C3940" s="9">
        <f>IFERROR(__xludf.DUMMYFUNCTION("""COMPUTED_VALUE"""),2.84)</f>
        <v>2.84</v>
      </c>
      <c r="H3940" s="17"/>
      <c r="K3940" s="17"/>
      <c r="N3940" s="17"/>
    </row>
    <row r="3941">
      <c r="B3941" s="11">
        <f>IFERROR(__xludf.DUMMYFUNCTION("""COMPUTED_VALUE"""),40508.0)</f>
        <v>40508</v>
      </c>
      <c r="C3941" s="9">
        <f>IFERROR(__xludf.DUMMYFUNCTION("""COMPUTED_VALUE"""),2.87)</f>
        <v>2.87</v>
      </c>
      <c r="H3941" s="17"/>
      <c r="K3941" s="17"/>
      <c r="N3941" s="17"/>
    </row>
    <row r="3942">
      <c r="B3942" s="11">
        <f>IFERROR(__xludf.DUMMYFUNCTION("""COMPUTED_VALUE"""),40507.0)</f>
        <v>40507</v>
      </c>
      <c r="C3942" s="9"/>
      <c r="H3942" s="17"/>
      <c r="K3942" s="17"/>
      <c r="N3942" s="17"/>
    </row>
    <row r="3943">
      <c r="B3943" s="11">
        <f>IFERROR(__xludf.DUMMYFUNCTION("""COMPUTED_VALUE"""),40506.0)</f>
        <v>40506</v>
      </c>
      <c r="C3943" s="9">
        <f>IFERROR(__xludf.DUMMYFUNCTION("""COMPUTED_VALUE"""),2.93)</f>
        <v>2.93</v>
      </c>
      <c r="H3943" s="17"/>
      <c r="K3943" s="17"/>
      <c r="N3943" s="17"/>
    </row>
    <row r="3944">
      <c r="B3944" s="11">
        <f>IFERROR(__xludf.DUMMYFUNCTION("""COMPUTED_VALUE"""),40505.0)</f>
        <v>40505</v>
      </c>
      <c r="C3944" s="9">
        <f>IFERROR(__xludf.DUMMYFUNCTION("""COMPUTED_VALUE"""),2.77)</f>
        <v>2.77</v>
      </c>
      <c r="H3944" s="17"/>
      <c r="K3944" s="17"/>
      <c r="N3944" s="17"/>
    </row>
    <row r="3945">
      <c r="B3945" s="11">
        <f>IFERROR(__xludf.DUMMYFUNCTION("""COMPUTED_VALUE"""),40504.0)</f>
        <v>40504</v>
      </c>
      <c r="C3945" s="9">
        <f>IFERROR(__xludf.DUMMYFUNCTION("""COMPUTED_VALUE"""),2.8)</f>
        <v>2.8</v>
      </c>
      <c r="H3945" s="17"/>
      <c r="K3945" s="17"/>
      <c r="N3945" s="17"/>
    </row>
    <row r="3946">
      <c r="B3946" s="11">
        <f>IFERROR(__xludf.DUMMYFUNCTION("""COMPUTED_VALUE"""),40501.0)</f>
        <v>40501</v>
      </c>
      <c r="C3946" s="9">
        <f>IFERROR(__xludf.DUMMYFUNCTION("""COMPUTED_VALUE"""),2.88)</f>
        <v>2.88</v>
      </c>
      <c r="H3946" s="17"/>
      <c r="K3946" s="17"/>
      <c r="N3946" s="17"/>
    </row>
    <row r="3947">
      <c r="B3947" s="11">
        <f>IFERROR(__xludf.DUMMYFUNCTION("""COMPUTED_VALUE"""),40500.0)</f>
        <v>40500</v>
      </c>
      <c r="C3947" s="9">
        <f>IFERROR(__xludf.DUMMYFUNCTION("""COMPUTED_VALUE"""),2.9)</f>
        <v>2.9</v>
      </c>
      <c r="H3947" s="17"/>
      <c r="K3947" s="17"/>
      <c r="N3947" s="17"/>
    </row>
    <row r="3948">
      <c r="B3948" s="11">
        <f>IFERROR(__xludf.DUMMYFUNCTION("""COMPUTED_VALUE"""),40499.0)</f>
        <v>40499</v>
      </c>
      <c r="C3948" s="9">
        <f>IFERROR(__xludf.DUMMYFUNCTION("""COMPUTED_VALUE"""),2.89)</f>
        <v>2.89</v>
      </c>
      <c r="H3948" s="17"/>
      <c r="K3948" s="17"/>
      <c r="N3948" s="17"/>
    </row>
    <row r="3949">
      <c r="B3949" s="11">
        <f>IFERROR(__xludf.DUMMYFUNCTION("""COMPUTED_VALUE"""),40498.0)</f>
        <v>40498</v>
      </c>
      <c r="C3949" s="9">
        <f>IFERROR(__xludf.DUMMYFUNCTION("""COMPUTED_VALUE"""),2.85)</f>
        <v>2.85</v>
      </c>
      <c r="H3949" s="17"/>
      <c r="K3949" s="17"/>
      <c r="N3949" s="17"/>
    </row>
    <row r="3950">
      <c r="B3950" s="11">
        <f>IFERROR(__xludf.DUMMYFUNCTION("""COMPUTED_VALUE"""),40497.0)</f>
        <v>40497</v>
      </c>
      <c r="C3950" s="9">
        <f>IFERROR(__xludf.DUMMYFUNCTION("""COMPUTED_VALUE"""),2.92)</f>
        <v>2.92</v>
      </c>
      <c r="H3950" s="17"/>
      <c r="K3950" s="17"/>
      <c r="N3950" s="17"/>
    </row>
    <row r="3951">
      <c r="B3951" s="11">
        <f>IFERROR(__xludf.DUMMYFUNCTION("""COMPUTED_VALUE"""),40494.0)</f>
        <v>40494</v>
      </c>
      <c r="C3951" s="9">
        <f>IFERROR(__xludf.DUMMYFUNCTION("""COMPUTED_VALUE"""),2.76)</f>
        <v>2.76</v>
      </c>
      <c r="H3951" s="17"/>
      <c r="K3951" s="17"/>
      <c r="N3951" s="17"/>
    </row>
    <row r="3952">
      <c r="B3952" s="11">
        <f>IFERROR(__xludf.DUMMYFUNCTION("""COMPUTED_VALUE"""),40493.0)</f>
        <v>40493</v>
      </c>
      <c r="C3952" s="9"/>
      <c r="H3952" s="17"/>
      <c r="K3952" s="17"/>
      <c r="N3952" s="17"/>
    </row>
    <row r="3953">
      <c r="B3953" s="11">
        <f>IFERROR(__xludf.DUMMYFUNCTION("""COMPUTED_VALUE"""),40492.0)</f>
        <v>40492</v>
      </c>
      <c r="C3953" s="9">
        <f>IFERROR(__xludf.DUMMYFUNCTION("""COMPUTED_VALUE"""),2.65)</f>
        <v>2.65</v>
      </c>
      <c r="H3953" s="17"/>
      <c r="K3953" s="17"/>
      <c r="N3953" s="17"/>
    </row>
    <row r="3954">
      <c r="B3954" s="11">
        <f>IFERROR(__xludf.DUMMYFUNCTION("""COMPUTED_VALUE"""),40491.0)</f>
        <v>40491</v>
      </c>
      <c r="C3954" s="9">
        <f>IFERROR(__xludf.DUMMYFUNCTION("""COMPUTED_VALUE"""),2.72)</f>
        <v>2.72</v>
      </c>
      <c r="H3954" s="17"/>
      <c r="K3954" s="17"/>
      <c r="N3954" s="17"/>
    </row>
    <row r="3955">
      <c r="B3955" s="11">
        <f>IFERROR(__xludf.DUMMYFUNCTION("""COMPUTED_VALUE"""),40490.0)</f>
        <v>40490</v>
      </c>
      <c r="C3955" s="9">
        <f>IFERROR(__xludf.DUMMYFUNCTION("""COMPUTED_VALUE"""),2.6)</f>
        <v>2.6</v>
      </c>
      <c r="H3955" s="17"/>
      <c r="K3955" s="17"/>
      <c r="N3955" s="17"/>
    </row>
    <row r="3956">
      <c r="B3956" s="11">
        <f>IFERROR(__xludf.DUMMYFUNCTION("""COMPUTED_VALUE"""),40487.0)</f>
        <v>40487</v>
      </c>
      <c r="C3956" s="9">
        <f>IFERROR(__xludf.DUMMYFUNCTION("""COMPUTED_VALUE"""),2.58)</f>
        <v>2.58</v>
      </c>
      <c r="H3956" s="17"/>
      <c r="K3956" s="17"/>
      <c r="N3956" s="17"/>
    </row>
    <row r="3957">
      <c r="B3957" s="11">
        <f>IFERROR(__xludf.DUMMYFUNCTION("""COMPUTED_VALUE"""),40486.0)</f>
        <v>40486</v>
      </c>
      <c r="C3957" s="9">
        <f>IFERROR(__xludf.DUMMYFUNCTION("""COMPUTED_VALUE"""),2.53)</f>
        <v>2.53</v>
      </c>
      <c r="H3957" s="17"/>
      <c r="K3957" s="17"/>
      <c r="N3957" s="17"/>
    </row>
    <row r="3958">
      <c r="B3958" s="11">
        <f>IFERROR(__xludf.DUMMYFUNCTION("""COMPUTED_VALUE"""),40485.0)</f>
        <v>40485</v>
      </c>
      <c r="C3958" s="9">
        <f>IFERROR(__xludf.DUMMYFUNCTION("""COMPUTED_VALUE"""),2.67)</f>
        <v>2.67</v>
      </c>
      <c r="H3958" s="17"/>
      <c r="K3958" s="17"/>
      <c r="N3958" s="17"/>
    </row>
    <row r="3959">
      <c r="B3959" s="11">
        <f>IFERROR(__xludf.DUMMYFUNCTION("""COMPUTED_VALUE"""),40484.0)</f>
        <v>40484</v>
      </c>
      <c r="C3959" s="9">
        <f>IFERROR(__xludf.DUMMYFUNCTION("""COMPUTED_VALUE"""),2.63)</f>
        <v>2.63</v>
      </c>
      <c r="H3959" s="17"/>
      <c r="K3959" s="17"/>
      <c r="N3959" s="17"/>
    </row>
    <row r="3960">
      <c r="B3960" s="11">
        <f>IFERROR(__xludf.DUMMYFUNCTION("""COMPUTED_VALUE"""),40483.0)</f>
        <v>40483</v>
      </c>
      <c r="C3960" s="9">
        <f>IFERROR(__xludf.DUMMYFUNCTION("""COMPUTED_VALUE"""),2.66)</f>
        <v>2.66</v>
      </c>
      <c r="H3960" s="17"/>
      <c r="K3960" s="17"/>
      <c r="N3960" s="17"/>
    </row>
    <row r="3961">
      <c r="B3961" s="11">
        <f>IFERROR(__xludf.DUMMYFUNCTION("""COMPUTED_VALUE"""),40480.0)</f>
        <v>40480</v>
      </c>
      <c r="C3961" s="9">
        <f>IFERROR(__xludf.DUMMYFUNCTION("""COMPUTED_VALUE"""),2.63)</f>
        <v>2.63</v>
      </c>
      <c r="H3961" s="17"/>
      <c r="K3961" s="17"/>
      <c r="N3961" s="17"/>
    </row>
    <row r="3962">
      <c r="B3962" s="11">
        <f>IFERROR(__xludf.DUMMYFUNCTION("""COMPUTED_VALUE"""),40479.0)</f>
        <v>40479</v>
      </c>
      <c r="C3962" s="9">
        <f>IFERROR(__xludf.DUMMYFUNCTION("""COMPUTED_VALUE"""),2.69)</f>
        <v>2.69</v>
      </c>
      <c r="H3962" s="17"/>
      <c r="K3962" s="17"/>
      <c r="N3962" s="17"/>
    </row>
    <row r="3963">
      <c r="B3963" s="11">
        <f>IFERROR(__xludf.DUMMYFUNCTION("""COMPUTED_VALUE"""),40478.0)</f>
        <v>40478</v>
      </c>
      <c r="C3963" s="9">
        <f>IFERROR(__xludf.DUMMYFUNCTION("""COMPUTED_VALUE"""),2.75)</f>
        <v>2.75</v>
      </c>
      <c r="H3963" s="17"/>
      <c r="K3963" s="17"/>
      <c r="N3963" s="17"/>
    </row>
    <row r="3964">
      <c r="B3964" s="11">
        <f>IFERROR(__xludf.DUMMYFUNCTION("""COMPUTED_VALUE"""),40477.0)</f>
        <v>40477</v>
      </c>
      <c r="C3964" s="9">
        <f>IFERROR(__xludf.DUMMYFUNCTION("""COMPUTED_VALUE"""),2.67)</f>
        <v>2.67</v>
      </c>
      <c r="H3964" s="17"/>
      <c r="K3964" s="17"/>
      <c r="N3964" s="17"/>
    </row>
    <row r="3965">
      <c r="B3965" s="11">
        <f>IFERROR(__xludf.DUMMYFUNCTION("""COMPUTED_VALUE"""),40476.0)</f>
        <v>40476</v>
      </c>
      <c r="C3965" s="9">
        <f>IFERROR(__xludf.DUMMYFUNCTION("""COMPUTED_VALUE"""),2.59)</f>
        <v>2.59</v>
      </c>
      <c r="H3965" s="17"/>
      <c r="K3965" s="17"/>
      <c r="N3965" s="17"/>
    </row>
    <row r="3966">
      <c r="B3966" s="11">
        <f>IFERROR(__xludf.DUMMYFUNCTION("""COMPUTED_VALUE"""),40473.0)</f>
        <v>40473</v>
      </c>
      <c r="C3966" s="9">
        <f>IFERROR(__xludf.DUMMYFUNCTION("""COMPUTED_VALUE"""),2.59)</f>
        <v>2.59</v>
      </c>
      <c r="H3966" s="17"/>
      <c r="K3966" s="17"/>
      <c r="N3966" s="17"/>
    </row>
    <row r="3967">
      <c r="B3967" s="11">
        <f>IFERROR(__xludf.DUMMYFUNCTION("""COMPUTED_VALUE"""),40472.0)</f>
        <v>40472</v>
      </c>
      <c r="C3967" s="9">
        <f>IFERROR(__xludf.DUMMYFUNCTION("""COMPUTED_VALUE"""),2.57)</f>
        <v>2.57</v>
      </c>
      <c r="H3967" s="17"/>
      <c r="K3967" s="17"/>
      <c r="N3967" s="17"/>
    </row>
    <row r="3968">
      <c r="B3968" s="11">
        <f>IFERROR(__xludf.DUMMYFUNCTION("""COMPUTED_VALUE"""),40471.0)</f>
        <v>40471</v>
      </c>
      <c r="C3968" s="9">
        <f>IFERROR(__xludf.DUMMYFUNCTION("""COMPUTED_VALUE"""),2.51)</f>
        <v>2.51</v>
      </c>
      <c r="H3968" s="17"/>
      <c r="K3968" s="17"/>
      <c r="N3968" s="17"/>
    </row>
    <row r="3969">
      <c r="B3969" s="11">
        <f>IFERROR(__xludf.DUMMYFUNCTION("""COMPUTED_VALUE"""),40470.0)</f>
        <v>40470</v>
      </c>
      <c r="C3969" s="9">
        <f>IFERROR(__xludf.DUMMYFUNCTION("""COMPUTED_VALUE"""),2.5)</f>
        <v>2.5</v>
      </c>
      <c r="H3969" s="17"/>
      <c r="K3969" s="17"/>
      <c r="N3969" s="17"/>
    </row>
    <row r="3970">
      <c r="B3970" s="11">
        <f>IFERROR(__xludf.DUMMYFUNCTION("""COMPUTED_VALUE"""),40469.0)</f>
        <v>40469</v>
      </c>
      <c r="C3970" s="9">
        <f>IFERROR(__xludf.DUMMYFUNCTION("""COMPUTED_VALUE"""),2.52)</f>
        <v>2.52</v>
      </c>
      <c r="H3970" s="17"/>
      <c r="K3970" s="17"/>
      <c r="N3970" s="17"/>
    </row>
    <row r="3971">
      <c r="B3971" s="11">
        <f>IFERROR(__xludf.DUMMYFUNCTION("""COMPUTED_VALUE"""),40466.0)</f>
        <v>40466</v>
      </c>
      <c r="C3971" s="9">
        <f>IFERROR(__xludf.DUMMYFUNCTION("""COMPUTED_VALUE"""),2.59)</f>
        <v>2.59</v>
      </c>
      <c r="H3971" s="17"/>
      <c r="K3971" s="17"/>
      <c r="N3971" s="17"/>
    </row>
    <row r="3972">
      <c r="B3972" s="11">
        <f>IFERROR(__xludf.DUMMYFUNCTION("""COMPUTED_VALUE"""),40465.0)</f>
        <v>40465</v>
      </c>
      <c r="C3972" s="9">
        <f>IFERROR(__xludf.DUMMYFUNCTION("""COMPUTED_VALUE"""),2.52)</f>
        <v>2.52</v>
      </c>
      <c r="H3972" s="17"/>
      <c r="K3972" s="17"/>
      <c r="N3972" s="17"/>
    </row>
    <row r="3973">
      <c r="B3973" s="11">
        <f>IFERROR(__xludf.DUMMYFUNCTION("""COMPUTED_VALUE"""),40464.0)</f>
        <v>40464</v>
      </c>
      <c r="C3973" s="9">
        <f>IFERROR(__xludf.DUMMYFUNCTION("""COMPUTED_VALUE"""),2.46)</f>
        <v>2.46</v>
      </c>
      <c r="H3973" s="17"/>
      <c r="K3973" s="17"/>
      <c r="N3973" s="17"/>
    </row>
    <row r="3974">
      <c r="B3974" s="11">
        <f>IFERROR(__xludf.DUMMYFUNCTION("""COMPUTED_VALUE"""),40463.0)</f>
        <v>40463</v>
      </c>
      <c r="C3974" s="9">
        <f>IFERROR(__xludf.DUMMYFUNCTION("""COMPUTED_VALUE"""),2.44)</f>
        <v>2.44</v>
      </c>
      <c r="H3974" s="17"/>
      <c r="K3974" s="17"/>
      <c r="N3974" s="17"/>
    </row>
    <row r="3975">
      <c r="B3975" s="11">
        <f>IFERROR(__xludf.DUMMYFUNCTION("""COMPUTED_VALUE"""),40462.0)</f>
        <v>40462</v>
      </c>
      <c r="C3975" s="9"/>
      <c r="H3975" s="17"/>
      <c r="K3975" s="17"/>
      <c r="N3975" s="17"/>
    </row>
    <row r="3976">
      <c r="B3976" s="11">
        <f>IFERROR(__xludf.DUMMYFUNCTION("""COMPUTED_VALUE"""),40459.0)</f>
        <v>40459</v>
      </c>
      <c r="C3976" s="9">
        <f>IFERROR(__xludf.DUMMYFUNCTION("""COMPUTED_VALUE"""),2.41)</f>
        <v>2.41</v>
      </c>
      <c r="H3976" s="17"/>
      <c r="K3976" s="17"/>
      <c r="N3976" s="17"/>
    </row>
    <row r="3977">
      <c r="B3977" s="11">
        <f>IFERROR(__xludf.DUMMYFUNCTION("""COMPUTED_VALUE"""),40458.0)</f>
        <v>40458</v>
      </c>
      <c r="C3977" s="9">
        <f>IFERROR(__xludf.DUMMYFUNCTION("""COMPUTED_VALUE"""),2.41)</f>
        <v>2.41</v>
      </c>
      <c r="H3977" s="17"/>
      <c r="K3977" s="17"/>
      <c r="N3977" s="17"/>
    </row>
    <row r="3978">
      <c r="B3978" s="11">
        <f>IFERROR(__xludf.DUMMYFUNCTION("""COMPUTED_VALUE"""),40457.0)</f>
        <v>40457</v>
      </c>
      <c r="C3978" s="9">
        <f>IFERROR(__xludf.DUMMYFUNCTION("""COMPUTED_VALUE"""),2.41)</f>
        <v>2.41</v>
      </c>
      <c r="H3978" s="17"/>
      <c r="K3978" s="17"/>
      <c r="N3978" s="17"/>
    </row>
    <row r="3979">
      <c r="B3979" s="11">
        <f>IFERROR(__xludf.DUMMYFUNCTION("""COMPUTED_VALUE"""),40456.0)</f>
        <v>40456</v>
      </c>
      <c r="C3979" s="9">
        <f>IFERROR(__xludf.DUMMYFUNCTION("""COMPUTED_VALUE"""),2.5)</f>
        <v>2.5</v>
      </c>
      <c r="H3979" s="17"/>
      <c r="K3979" s="17"/>
      <c r="N3979" s="17"/>
    </row>
    <row r="3980">
      <c r="B3980" s="11">
        <f>IFERROR(__xludf.DUMMYFUNCTION("""COMPUTED_VALUE"""),40455.0)</f>
        <v>40455</v>
      </c>
      <c r="C3980" s="9">
        <f>IFERROR(__xludf.DUMMYFUNCTION("""COMPUTED_VALUE"""),2.5)</f>
        <v>2.5</v>
      </c>
      <c r="H3980" s="17"/>
      <c r="K3980" s="17"/>
      <c r="N3980" s="17"/>
    </row>
    <row r="3981">
      <c r="B3981" s="11">
        <f>IFERROR(__xludf.DUMMYFUNCTION("""COMPUTED_VALUE"""),40452.0)</f>
        <v>40452</v>
      </c>
      <c r="C3981" s="9">
        <f>IFERROR(__xludf.DUMMYFUNCTION("""COMPUTED_VALUE"""),2.54)</f>
        <v>2.54</v>
      </c>
      <c r="H3981" s="17"/>
      <c r="K3981" s="17"/>
      <c r="N3981" s="17"/>
    </row>
    <row r="3982">
      <c r="B3982" s="11">
        <f>IFERROR(__xludf.DUMMYFUNCTION("""COMPUTED_VALUE"""),40451.0)</f>
        <v>40451</v>
      </c>
      <c r="C3982" s="9">
        <f>IFERROR(__xludf.DUMMYFUNCTION("""COMPUTED_VALUE"""),2.53)</f>
        <v>2.53</v>
      </c>
      <c r="H3982" s="17"/>
      <c r="K3982" s="17"/>
      <c r="N3982" s="17"/>
    </row>
    <row r="3983">
      <c r="B3983" s="11">
        <f>IFERROR(__xludf.DUMMYFUNCTION("""COMPUTED_VALUE"""),40450.0)</f>
        <v>40450</v>
      </c>
      <c r="C3983" s="9">
        <f>IFERROR(__xludf.DUMMYFUNCTION("""COMPUTED_VALUE"""),2.52)</f>
        <v>2.52</v>
      </c>
      <c r="H3983" s="17"/>
      <c r="K3983" s="17"/>
      <c r="N3983" s="17"/>
    </row>
    <row r="3984">
      <c r="B3984" s="11">
        <f>IFERROR(__xludf.DUMMYFUNCTION("""COMPUTED_VALUE"""),40449.0)</f>
        <v>40449</v>
      </c>
      <c r="C3984" s="9">
        <f>IFERROR(__xludf.DUMMYFUNCTION("""COMPUTED_VALUE"""),2.48)</f>
        <v>2.48</v>
      </c>
      <c r="H3984" s="17"/>
      <c r="K3984" s="17"/>
      <c r="N3984" s="17"/>
    </row>
    <row r="3985">
      <c r="B3985" s="11">
        <f>IFERROR(__xludf.DUMMYFUNCTION("""COMPUTED_VALUE"""),40448.0)</f>
        <v>40448</v>
      </c>
      <c r="C3985" s="9">
        <f>IFERROR(__xludf.DUMMYFUNCTION("""COMPUTED_VALUE"""),2.54)</f>
        <v>2.54</v>
      </c>
      <c r="H3985" s="17"/>
      <c r="K3985" s="17"/>
      <c r="N3985" s="17"/>
    </row>
    <row r="3986">
      <c r="B3986" s="11">
        <f>IFERROR(__xludf.DUMMYFUNCTION("""COMPUTED_VALUE"""),40445.0)</f>
        <v>40445</v>
      </c>
      <c r="C3986" s="9">
        <f>IFERROR(__xludf.DUMMYFUNCTION("""COMPUTED_VALUE"""),2.62)</f>
        <v>2.62</v>
      </c>
      <c r="H3986" s="17"/>
      <c r="K3986" s="17"/>
      <c r="N3986" s="17"/>
    </row>
    <row r="3987">
      <c r="B3987" s="11">
        <f>IFERROR(__xludf.DUMMYFUNCTION("""COMPUTED_VALUE"""),40444.0)</f>
        <v>40444</v>
      </c>
      <c r="C3987" s="9">
        <f>IFERROR(__xludf.DUMMYFUNCTION("""COMPUTED_VALUE"""),2.56)</f>
        <v>2.56</v>
      </c>
      <c r="H3987" s="17"/>
      <c r="K3987" s="17"/>
      <c r="N3987" s="17"/>
    </row>
    <row r="3988">
      <c r="B3988" s="11">
        <f>IFERROR(__xludf.DUMMYFUNCTION("""COMPUTED_VALUE"""),40443.0)</f>
        <v>40443</v>
      </c>
      <c r="C3988" s="9">
        <f>IFERROR(__xludf.DUMMYFUNCTION("""COMPUTED_VALUE"""),2.56)</f>
        <v>2.56</v>
      </c>
      <c r="H3988" s="17"/>
      <c r="K3988" s="17"/>
      <c r="N3988" s="17"/>
    </row>
    <row r="3989">
      <c r="B3989" s="11">
        <f>IFERROR(__xludf.DUMMYFUNCTION("""COMPUTED_VALUE"""),40442.0)</f>
        <v>40442</v>
      </c>
      <c r="C3989" s="9">
        <f>IFERROR(__xludf.DUMMYFUNCTION("""COMPUTED_VALUE"""),2.61)</f>
        <v>2.61</v>
      </c>
      <c r="H3989" s="17"/>
      <c r="K3989" s="17"/>
      <c r="N3989" s="17"/>
    </row>
    <row r="3990">
      <c r="B3990" s="11">
        <f>IFERROR(__xludf.DUMMYFUNCTION("""COMPUTED_VALUE"""),40441.0)</f>
        <v>40441</v>
      </c>
      <c r="C3990" s="9">
        <f>IFERROR(__xludf.DUMMYFUNCTION("""COMPUTED_VALUE"""),2.72)</f>
        <v>2.72</v>
      </c>
      <c r="H3990" s="17"/>
      <c r="K3990" s="17"/>
      <c r="N3990" s="17"/>
    </row>
    <row r="3991">
      <c r="B3991" s="11">
        <f>IFERROR(__xludf.DUMMYFUNCTION("""COMPUTED_VALUE"""),40438.0)</f>
        <v>40438</v>
      </c>
      <c r="C3991" s="9">
        <f>IFERROR(__xludf.DUMMYFUNCTION("""COMPUTED_VALUE"""),2.75)</f>
        <v>2.75</v>
      </c>
      <c r="H3991" s="17"/>
      <c r="K3991" s="17"/>
      <c r="N3991" s="17"/>
    </row>
    <row r="3992">
      <c r="B3992" s="11">
        <f>IFERROR(__xludf.DUMMYFUNCTION("""COMPUTED_VALUE"""),40437.0)</f>
        <v>40437</v>
      </c>
      <c r="C3992" s="9">
        <f>IFERROR(__xludf.DUMMYFUNCTION("""COMPUTED_VALUE"""),2.77)</f>
        <v>2.77</v>
      </c>
      <c r="H3992" s="17"/>
      <c r="K3992" s="17"/>
      <c r="N3992" s="17"/>
    </row>
    <row r="3993">
      <c r="B3993" s="11">
        <f>IFERROR(__xludf.DUMMYFUNCTION("""COMPUTED_VALUE"""),40436.0)</f>
        <v>40436</v>
      </c>
      <c r="C3993" s="9">
        <f>IFERROR(__xludf.DUMMYFUNCTION("""COMPUTED_VALUE"""),2.74)</f>
        <v>2.74</v>
      </c>
      <c r="H3993" s="17"/>
      <c r="K3993" s="17"/>
      <c r="N3993" s="17"/>
    </row>
    <row r="3994">
      <c r="B3994" s="11">
        <f>IFERROR(__xludf.DUMMYFUNCTION("""COMPUTED_VALUE"""),40435.0)</f>
        <v>40435</v>
      </c>
      <c r="C3994" s="9">
        <f>IFERROR(__xludf.DUMMYFUNCTION("""COMPUTED_VALUE"""),2.68)</f>
        <v>2.68</v>
      </c>
      <c r="H3994" s="17"/>
      <c r="K3994" s="17"/>
      <c r="N3994" s="17"/>
    </row>
    <row r="3995">
      <c r="B3995" s="11">
        <f>IFERROR(__xludf.DUMMYFUNCTION("""COMPUTED_VALUE"""),40434.0)</f>
        <v>40434</v>
      </c>
      <c r="C3995" s="9">
        <f>IFERROR(__xludf.DUMMYFUNCTION("""COMPUTED_VALUE"""),2.74)</f>
        <v>2.74</v>
      </c>
      <c r="H3995" s="17"/>
      <c r="K3995" s="17"/>
      <c r="N3995" s="17"/>
    </row>
    <row r="3996">
      <c r="B3996" s="11">
        <f>IFERROR(__xludf.DUMMYFUNCTION("""COMPUTED_VALUE"""),40431.0)</f>
        <v>40431</v>
      </c>
      <c r="C3996" s="9">
        <f>IFERROR(__xludf.DUMMYFUNCTION("""COMPUTED_VALUE"""),2.81)</f>
        <v>2.81</v>
      </c>
      <c r="H3996" s="17"/>
      <c r="K3996" s="17"/>
      <c r="N3996" s="17"/>
    </row>
    <row r="3997">
      <c r="B3997" s="11">
        <f>IFERROR(__xludf.DUMMYFUNCTION("""COMPUTED_VALUE"""),40430.0)</f>
        <v>40430</v>
      </c>
      <c r="C3997" s="9">
        <f>IFERROR(__xludf.DUMMYFUNCTION("""COMPUTED_VALUE"""),2.77)</f>
        <v>2.77</v>
      </c>
      <c r="H3997" s="17"/>
      <c r="K3997" s="17"/>
      <c r="N3997" s="17"/>
    </row>
    <row r="3998">
      <c r="B3998" s="11">
        <f>IFERROR(__xludf.DUMMYFUNCTION("""COMPUTED_VALUE"""),40429.0)</f>
        <v>40429</v>
      </c>
      <c r="C3998" s="9">
        <f>IFERROR(__xludf.DUMMYFUNCTION("""COMPUTED_VALUE"""),2.66)</f>
        <v>2.66</v>
      </c>
      <c r="H3998" s="17"/>
      <c r="K3998" s="17"/>
      <c r="N3998" s="17"/>
    </row>
    <row r="3999">
      <c r="B3999" s="11">
        <f>IFERROR(__xludf.DUMMYFUNCTION("""COMPUTED_VALUE"""),40428.0)</f>
        <v>40428</v>
      </c>
      <c r="C3999" s="9">
        <f>IFERROR(__xludf.DUMMYFUNCTION("""COMPUTED_VALUE"""),2.61)</f>
        <v>2.61</v>
      </c>
      <c r="H3999" s="17"/>
      <c r="K3999" s="17"/>
      <c r="N3999" s="17"/>
    </row>
    <row r="4000">
      <c r="B4000" s="11">
        <f>IFERROR(__xludf.DUMMYFUNCTION("""COMPUTED_VALUE"""),40427.0)</f>
        <v>40427</v>
      </c>
      <c r="C4000" s="9"/>
      <c r="H4000" s="17"/>
      <c r="K4000" s="17"/>
      <c r="N4000" s="17"/>
    </row>
    <row r="4001">
      <c r="B4001" s="11">
        <f>IFERROR(__xludf.DUMMYFUNCTION("""COMPUTED_VALUE"""),40424.0)</f>
        <v>40424</v>
      </c>
      <c r="C4001" s="9">
        <f>IFERROR(__xludf.DUMMYFUNCTION("""COMPUTED_VALUE"""),2.72)</f>
        <v>2.72</v>
      </c>
      <c r="H4001" s="17"/>
      <c r="K4001" s="17"/>
      <c r="N4001" s="17"/>
    </row>
    <row r="4002">
      <c r="B4002" s="11">
        <f>IFERROR(__xludf.DUMMYFUNCTION("""COMPUTED_VALUE"""),40423.0)</f>
        <v>40423</v>
      </c>
      <c r="C4002" s="9">
        <f>IFERROR(__xludf.DUMMYFUNCTION("""COMPUTED_VALUE"""),2.63)</f>
        <v>2.63</v>
      </c>
      <c r="H4002" s="17"/>
      <c r="K4002" s="17"/>
      <c r="N4002" s="17"/>
    </row>
    <row r="4003">
      <c r="B4003" s="11">
        <f>IFERROR(__xludf.DUMMYFUNCTION("""COMPUTED_VALUE"""),40422.0)</f>
        <v>40422</v>
      </c>
      <c r="C4003" s="9">
        <f>IFERROR(__xludf.DUMMYFUNCTION("""COMPUTED_VALUE"""),2.58)</f>
        <v>2.58</v>
      </c>
      <c r="H4003" s="17"/>
      <c r="K4003" s="17"/>
      <c r="N4003" s="17"/>
    </row>
    <row r="4004">
      <c r="B4004" s="11">
        <f>IFERROR(__xludf.DUMMYFUNCTION("""COMPUTED_VALUE"""),40421.0)</f>
        <v>40421</v>
      </c>
      <c r="C4004" s="9">
        <f>IFERROR(__xludf.DUMMYFUNCTION("""COMPUTED_VALUE"""),2.47)</f>
        <v>2.47</v>
      </c>
      <c r="H4004" s="17"/>
      <c r="K4004" s="17"/>
      <c r="N4004" s="17"/>
    </row>
    <row r="4005">
      <c r="B4005" s="11">
        <f>IFERROR(__xludf.DUMMYFUNCTION("""COMPUTED_VALUE"""),40420.0)</f>
        <v>40420</v>
      </c>
      <c r="C4005" s="9">
        <f>IFERROR(__xludf.DUMMYFUNCTION("""COMPUTED_VALUE"""),2.54)</f>
        <v>2.54</v>
      </c>
      <c r="H4005" s="17"/>
      <c r="K4005" s="17"/>
      <c r="N4005" s="17"/>
    </row>
    <row r="4006">
      <c r="B4006" s="11">
        <f>IFERROR(__xludf.DUMMYFUNCTION("""COMPUTED_VALUE"""),40417.0)</f>
        <v>40417</v>
      </c>
      <c r="C4006" s="9">
        <f>IFERROR(__xludf.DUMMYFUNCTION("""COMPUTED_VALUE"""),2.66)</f>
        <v>2.66</v>
      </c>
      <c r="H4006" s="17"/>
      <c r="K4006" s="17"/>
      <c r="N4006" s="17"/>
    </row>
    <row r="4007">
      <c r="B4007" s="11">
        <f>IFERROR(__xludf.DUMMYFUNCTION("""COMPUTED_VALUE"""),40416.0)</f>
        <v>40416</v>
      </c>
      <c r="C4007" s="9">
        <f>IFERROR(__xludf.DUMMYFUNCTION("""COMPUTED_VALUE"""),2.5)</f>
        <v>2.5</v>
      </c>
      <c r="H4007" s="17"/>
      <c r="K4007" s="17"/>
      <c r="N4007" s="17"/>
    </row>
    <row r="4008">
      <c r="B4008" s="11">
        <f>IFERROR(__xludf.DUMMYFUNCTION("""COMPUTED_VALUE"""),40415.0)</f>
        <v>40415</v>
      </c>
      <c r="C4008" s="9">
        <f>IFERROR(__xludf.DUMMYFUNCTION("""COMPUTED_VALUE"""),2.54)</f>
        <v>2.54</v>
      </c>
      <c r="H4008" s="17"/>
      <c r="K4008" s="17"/>
      <c r="N4008" s="17"/>
    </row>
    <row r="4009">
      <c r="B4009" s="11">
        <f>IFERROR(__xludf.DUMMYFUNCTION("""COMPUTED_VALUE"""),40414.0)</f>
        <v>40414</v>
      </c>
      <c r="C4009" s="9">
        <f>IFERROR(__xludf.DUMMYFUNCTION("""COMPUTED_VALUE"""),2.5)</f>
        <v>2.5</v>
      </c>
      <c r="H4009" s="17"/>
      <c r="K4009" s="17"/>
      <c r="N4009" s="17"/>
    </row>
    <row r="4010">
      <c r="B4010" s="11">
        <f>IFERROR(__xludf.DUMMYFUNCTION("""COMPUTED_VALUE"""),40413.0)</f>
        <v>40413</v>
      </c>
      <c r="C4010" s="9">
        <f>IFERROR(__xludf.DUMMYFUNCTION("""COMPUTED_VALUE"""),2.6)</f>
        <v>2.6</v>
      </c>
      <c r="H4010" s="17"/>
      <c r="K4010" s="17"/>
      <c r="N4010" s="17"/>
    </row>
    <row r="4011">
      <c r="B4011" s="11">
        <f>IFERROR(__xludf.DUMMYFUNCTION("""COMPUTED_VALUE"""),40410.0)</f>
        <v>40410</v>
      </c>
      <c r="C4011" s="9">
        <f>IFERROR(__xludf.DUMMYFUNCTION("""COMPUTED_VALUE"""),2.62)</f>
        <v>2.62</v>
      </c>
      <c r="H4011" s="17"/>
      <c r="K4011" s="17"/>
      <c r="N4011" s="17"/>
    </row>
    <row r="4012">
      <c r="B4012" s="11">
        <f>IFERROR(__xludf.DUMMYFUNCTION("""COMPUTED_VALUE"""),40409.0)</f>
        <v>40409</v>
      </c>
      <c r="C4012" s="9">
        <f>IFERROR(__xludf.DUMMYFUNCTION("""COMPUTED_VALUE"""),2.58)</f>
        <v>2.58</v>
      </c>
      <c r="H4012" s="17"/>
      <c r="K4012" s="17"/>
      <c r="N4012" s="17"/>
    </row>
    <row r="4013">
      <c r="B4013" s="11">
        <f>IFERROR(__xludf.DUMMYFUNCTION("""COMPUTED_VALUE"""),40408.0)</f>
        <v>40408</v>
      </c>
      <c r="C4013" s="9">
        <f>IFERROR(__xludf.DUMMYFUNCTION("""COMPUTED_VALUE"""),2.64)</f>
        <v>2.64</v>
      </c>
      <c r="H4013" s="17"/>
      <c r="K4013" s="17"/>
      <c r="N4013" s="17"/>
    </row>
    <row r="4014">
      <c r="B4014" s="11">
        <f>IFERROR(__xludf.DUMMYFUNCTION("""COMPUTED_VALUE"""),40407.0)</f>
        <v>40407</v>
      </c>
      <c r="C4014" s="9">
        <f>IFERROR(__xludf.DUMMYFUNCTION("""COMPUTED_VALUE"""),2.64)</f>
        <v>2.64</v>
      </c>
      <c r="H4014" s="17"/>
      <c r="K4014" s="17"/>
      <c r="N4014" s="17"/>
    </row>
    <row r="4015">
      <c r="B4015" s="11">
        <f>IFERROR(__xludf.DUMMYFUNCTION("""COMPUTED_VALUE"""),40406.0)</f>
        <v>40406</v>
      </c>
      <c r="C4015" s="9">
        <f>IFERROR(__xludf.DUMMYFUNCTION("""COMPUTED_VALUE"""),2.58)</f>
        <v>2.58</v>
      </c>
      <c r="H4015" s="17"/>
      <c r="K4015" s="17"/>
      <c r="N4015" s="17"/>
    </row>
    <row r="4016">
      <c r="B4016" s="11">
        <f>IFERROR(__xludf.DUMMYFUNCTION("""COMPUTED_VALUE"""),40403.0)</f>
        <v>40403</v>
      </c>
      <c r="C4016" s="9">
        <f>IFERROR(__xludf.DUMMYFUNCTION("""COMPUTED_VALUE"""),2.68)</f>
        <v>2.68</v>
      </c>
      <c r="H4016" s="17"/>
      <c r="K4016" s="17"/>
      <c r="N4016" s="17"/>
    </row>
    <row r="4017">
      <c r="B4017" s="11">
        <f>IFERROR(__xludf.DUMMYFUNCTION("""COMPUTED_VALUE"""),40402.0)</f>
        <v>40402</v>
      </c>
      <c r="C4017" s="9">
        <f>IFERROR(__xludf.DUMMYFUNCTION("""COMPUTED_VALUE"""),2.74)</f>
        <v>2.74</v>
      </c>
      <c r="H4017" s="17"/>
      <c r="K4017" s="17"/>
      <c r="N4017" s="17"/>
    </row>
    <row r="4018">
      <c r="B4018" s="11">
        <f>IFERROR(__xludf.DUMMYFUNCTION("""COMPUTED_VALUE"""),40401.0)</f>
        <v>40401</v>
      </c>
      <c r="C4018" s="9">
        <f>IFERROR(__xludf.DUMMYFUNCTION("""COMPUTED_VALUE"""),2.72)</f>
        <v>2.72</v>
      </c>
      <c r="H4018" s="17"/>
      <c r="K4018" s="17"/>
      <c r="N4018" s="17"/>
    </row>
    <row r="4019">
      <c r="B4019" s="11">
        <f>IFERROR(__xludf.DUMMYFUNCTION("""COMPUTED_VALUE"""),40400.0)</f>
        <v>40400</v>
      </c>
      <c r="C4019" s="9">
        <f>IFERROR(__xludf.DUMMYFUNCTION("""COMPUTED_VALUE"""),2.79)</f>
        <v>2.79</v>
      </c>
      <c r="H4019" s="17"/>
      <c r="K4019" s="17"/>
      <c r="N4019" s="17"/>
    </row>
    <row r="4020">
      <c r="B4020" s="11">
        <f>IFERROR(__xludf.DUMMYFUNCTION("""COMPUTED_VALUE"""),40399.0)</f>
        <v>40399</v>
      </c>
      <c r="C4020" s="9">
        <f>IFERROR(__xludf.DUMMYFUNCTION("""COMPUTED_VALUE"""),2.86)</f>
        <v>2.86</v>
      </c>
      <c r="H4020" s="17"/>
      <c r="K4020" s="17"/>
      <c r="N4020" s="17"/>
    </row>
    <row r="4021">
      <c r="B4021" s="11">
        <f>IFERROR(__xludf.DUMMYFUNCTION("""COMPUTED_VALUE"""),40396.0)</f>
        <v>40396</v>
      </c>
      <c r="C4021" s="9">
        <f>IFERROR(__xludf.DUMMYFUNCTION("""COMPUTED_VALUE"""),2.86)</f>
        <v>2.86</v>
      </c>
      <c r="H4021" s="17"/>
      <c r="K4021" s="17"/>
      <c r="N4021" s="17"/>
    </row>
    <row r="4022">
      <c r="B4022" s="11">
        <f>IFERROR(__xludf.DUMMYFUNCTION("""COMPUTED_VALUE"""),40395.0)</f>
        <v>40395</v>
      </c>
      <c r="C4022" s="9">
        <f>IFERROR(__xludf.DUMMYFUNCTION("""COMPUTED_VALUE"""),2.94)</f>
        <v>2.94</v>
      </c>
      <c r="H4022" s="17"/>
      <c r="K4022" s="17"/>
      <c r="N4022" s="17"/>
    </row>
    <row r="4023">
      <c r="B4023" s="11">
        <f>IFERROR(__xludf.DUMMYFUNCTION("""COMPUTED_VALUE"""),40394.0)</f>
        <v>40394</v>
      </c>
      <c r="C4023" s="9">
        <f>IFERROR(__xludf.DUMMYFUNCTION("""COMPUTED_VALUE"""),2.98)</f>
        <v>2.98</v>
      </c>
      <c r="H4023" s="17"/>
      <c r="K4023" s="17"/>
      <c r="N4023" s="17"/>
    </row>
    <row r="4024">
      <c r="B4024" s="11">
        <f>IFERROR(__xludf.DUMMYFUNCTION("""COMPUTED_VALUE"""),40393.0)</f>
        <v>40393</v>
      </c>
      <c r="C4024" s="9">
        <f>IFERROR(__xludf.DUMMYFUNCTION("""COMPUTED_VALUE"""),2.94)</f>
        <v>2.94</v>
      </c>
      <c r="H4024" s="17"/>
      <c r="K4024" s="17"/>
      <c r="N4024" s="17"/>
    </row>
    <row r="4025">
      <c r="B4025" s="11">
        <f>IFERROR(__xludf.DUMMYFUNCTION("""COMPUTED_VALUE"""),40392.0)</f>
        <v>40392</v>
      </c>
      <c r="C4025" s="9">
        <f>IFERROR(__xludf.DUMMYFUNCTION("""COMPUTED_VALUE"""),2.99)</f>
        <v>2.99</v>
      </c>
      <c r="H4025" s="17"/>
      <c r="K4025" s="17"/>
      <c r="N4025" s="17"/>
    </row>
    <row r="4026">
      <c r="B4026" s="11">
        <f>IFERROR(__xludf.DUMMYFUNCTION("""COMPUTED_VALUE"""),40389.0)</f>
        <v>40389</v>
      </c>
      <c r="C4026" s="9">
        <f>IFERROR(__xludf.DUMMYFUNCTION("""COMPUTED_VALUE"""),2.94)</f>
        <v>2.94</v>
      </c>
      <c r="H4026" s="17"/>
      <c r="K4026" s="17"/>
      <c r="N4026" s="17"/>
    </row>
    <row r="4027">
      <c r="B4027" s="11">
        <f>IFERROR(__xludf.DUMMYFUNCTION("""COMPUTED_VALUE"""),40388.0)</f>
        <v>40388</v>
      </c>
      <c r="C4027" s="9">
        <f>IFERROR(__xludf.DUMMYFUNCTION("""COMPUTED_VALUE"""),3.03)</f>
        <v>3.03</v>
      </c>
      <c r="H4027" s="17"/>
      <c r="K4027" s="17"/>
      <c r="N4027" s="17"/>
    </row>
    <row r="4028">
      <c r="B4028" s="11">
        <f>IFERROR(__xludf.DUMMYFUNCTION("""COMPUTED_VALUE"""),40387.0)</f>
        <v>40387</v>
      </c>
      <c r="C4028" s="9">
        <f>IFERROR(__xludf.DUMMYFUNCTION("""COMPUTED_VALUE"""),3.03)</f>
        <v>3.03</v>
      </c>
      <c r="H4028" s="17"/>
      <c r="K4028" s="17"/>
      <c r="N4028" s="17"/>
    </row>
    <row r="4029">
      <c r="B4029" s="11">
        <f>IFERROR(__xludf.DUMMYFUNCTION("""COMPUTED_VALUE"""),40386.0)</f>
        <v>40386</v>
      </c>
      <c r="C4029" s="9">
        <f>IFERROR(__xludf.DUMMYFUNCTION("""COMPUTED_VALUE"""),3.08)</f>
        <v>3.08</v>
      </c>
      <c r="H4029" s="17"/>
      <c r="K4029" s="17"/>
      <c r="N4029" s="17"/>
    </row>
    <row r="4030">
      <c r="B4030" s="11">
        <f>IFERROR(__xludf.DUMMYFUNCTION("""COMPUTED_VALUE"""),40385.0)</f>
        <v>40385</v>
      </c>
      <c r="C4030" s="9">
        <f>IFERROR(__xludf.DUMMYFUNCTION("""COMPUTED_VALUE"""),3.03)</f>
        <v>3.03</v>
      </c>
      <c r="H4030" s="17"/>
      <c r="K4030" s="17"/>
      <c r="N4030" s="17"/>
    </row>
    <row r="4031">
      <c r="B4031" s="11">
        <f>IFERROR(__xludf.DUMMYFUNCTION("""COMPUTED_VALUE"""),40382.0)</f>
        <v>40382</v>
      </c>
      <c r="C4031" s="9">
        <f>IFERROR(__xludf.DUMMYFUNCTION("""COMPUTED_VALUE"""),3.02)</f>
        <v>3.02</v>
      </c>
      <c r="H4031" s="17"/>
      <c r="K4031" s="17"/>
      <c r="N4031" s="17"/>
    </row>
    <row r="4032">
      <c r="B4032" s="11">
        <f>IFERROR(__xludf.DUMMYFUNCTION("""COMPUTED_VALUE"""),40381.0)</f>
        <v>40381</v>
      </c>
      <c r="C4032" s="9">
        <f>IFERROR(__xludf.DUMMYFUNCTION("""COMPUTED_VALUE"""),2.96)</f>
        <v>2.96</v>
      </c>
      <c r="H4032" s="17"/>
      <c r="K4032" s="17"/>
      <c r="N4032" s="17"/>
    </row>
    <row r="4033">
      <c r="B4033" s="11">
        <f>IFERROR(__xludf.DUMMYFUNCTION("""COMPUTED_VALUE"""),40380.0)</f>
        <v>40380</v>
      </c>
      <c r="C4033" s="9">
        <f>IFERROR(__xludf.DUMMYFUNCTION("""COMPUTED_VALUE"""),2.9)</f>
        <v>2.9</v>
      </c>
      <c r="H4033" s="17"/>
      <c r="K4033" s="17"/>
      <c r="N4033" s="17"/>
    </row>
    <row r="4034">
      <c r="B4034" s="11">
        <f>IFERROR(__xludf.DUMMYFUNCTION("""COMPUTED_VALUE"""),40379.0)</f>
        <v>40379</v>
      </c>
      <c r="C4034" s="9">
        <f>IFERROR(__xludf.DUMMYFUNCTION("""COMPUTED_VALUE"""),2.98)</f>
        <v>2.98</v>
      </c>
      <c r="H4034" s="17"/>
      <c r="K4034" s="17"/>
      <c r="N4034" s="17"/>
    </row>
    <row r="4035">
      <c r="B4035" s="11">
        <f>IFERROR(__xludf.DUMMYFUNCTION("""COMPUTED_VALUE"""),40378.0)</f>
        <v>40378</v>
      </c>
      <c r="C4035" s="9">
        <f>IFERROR(__xludf.DUMMYFUNCTION("""COMPUTED_VALUE"""),2.99)</f>
        <v>2.99</v>
      </c>
      <c r="H4035" s="17"/>
      <c r="K4035" s="17"/>
      <c r="N4035" s="17"/>
    </row>
    <row r="4036">
      <c r="B4036" s="11">
        <f>IFERROR(__xludf.DUMMYFUNCTION("""COMPUTED_VALUE"""),40375.0)</f>
        <v>40375</v>
      </c>
      <c r="C4036" s="9">
        <f>IFERROR(__xludf.DUMMYFUNCTION("""COMPUTED_VALUE"""),2.96)</f>
        <v>2.96</v>
      </c>
      <c r="H4036" s="17"/>
      <c r="K4036" s="17"/>
      <c r="N4036" s="17"/>
    </row>
    <row r="4037">
      <c r="B4037" s="11">
        <f>IFERROR(__xludf.DUMMYFUNCTION("""COMPUTED_VALUE"""),40374.0)</f>
        <v>40374</v>
      </c>
      <c r="C4037" s="9">
        <f>IFERROR(__xludf.DUMMYFUNCTION("""COMPUTED_VALUE"""),3.0)</f>
        <v>3</v>
      </c>
      <c r="H4037" s="17"/>
      <c r="K4037" s="17"/>
      <c r="N4037" s="17"/>
    </row>
    <row r="4038">
      <c r="B4038" s="11">
        <f>IFERROR(__xludf.DUMMYFUNCTION("""COMPUTED_VALUE"""),40373.0)</f>
        <v>40373</v>
      </c>
      <c r="C4038" s="9">
        <f>IFERROR(__xludf.DUMMYFUNCTION("""COMPUTED_VALUE"""),3.07)</f>
        <v>3.07</v>
      </c>
      <c r="H4038" s="17"/>
      <c r="K4038" s="17"/>
      <c r="N4038" s="17"/>
    </row>
    <row r="4039">
      <c r="B4039" s="11">
        <f>IFERROR(__xludf.DUMMYFUNCTION("""COMPUTED_VALUE"""),40372.0)</f>
        <v>40372</v>
      </c>
      <c r="C4039" s="9">
        <f>IFERROR(__xludf.DUMMYFUNCTION("""COMPUTED_VALUE"""),3.15)</f>
        <v>3.15</v>
      </c>
      <c r="H4039" s="17"/>
      <c r="K4039" s="17"/>
      <c r="N4039" s="17"/>
    </row>
    <row r="4040">
      <c r="B4040" s="11">
        <f>IFERROR(__xludf.DUMMYFUNCTION("""COMPUTED_VALUE"""),40371.0)</f>
        <v>40371</v>
      </c>
      <c r="C4040" s="9">
        <f>IFERROR(__xludf.DUMMYFUNCTION("""COMPUTED_VALUE"""),3.08)</f>
        <v>3.08</v>
      </c>
      <c r="H4040" s="17"/>
      <c r="K4040" s="17"/>
      <c r="N4040" s="17"/>
    </row>
    <row r="4041">
      <c r="B4041" s="11">
        <f>IFERROR(__xludf.DUMMYFUNCTION("""COMPUTED_VALUE"""),40368.0)</f>
        <v>40368</v>
      </c>
      <c r="C4041" s="9">
        <f>IFERROR(__xludf.DUMMYFUNCTION("""COMPUTED_VALUE"""),3.07)</f>
        <v>3.07</v>
      </c>
      <c r="H4041" s="17"/>
      <c r="K4041" s="17"/>
      <c r="N4041" s="17"/>
    </row>
    <row r="4042">
      <c r="B4042" s="11">
        <f>IFERROR(__xludf.DUMMYFUNCTION("""COMPUTED_VALUE"""),40367.0)</f>
        <v>40367</v>
      </c>
      <c r="C4042" s="9">
        <f>IFERROR(__xludf.DUMMYFUNCTION("""COMPUTED_VALUE"""),3.04)</f>
        <v>3.04</v>
      </c>
      <c r="H4042" s="17"/>
      <c r="K4042" s="17"/>
      <c r="N4042" s="17"/>
    </row>
    <row r="4043">
      <c r="B4043" s="11">
        <f>IFERROR(__xludf.DUMMYFUNCTION("""COMPUTED_VALUE"""),40366.0)</f>
        <v>40366</v>
      </c>
      <c r="C4043" s="9">
        <f>IFERROR(__xludf.DUMMYFUNCTION("""COMPUTED_VALUE"""),3.0)</f>
        <v>3</v>
      </c>
      <c r="H4043" s="17"/>
      <c r="K4043" s="17"/>
      <c r="N4043" s="17"/>
    </row>
    <row r="4044">
      <c r="B4044" s="11">
        <f>IFERROR(__xludf.DUMMYFUNCTION("""COMPUTED_VALUE"""),40365.0)</f>
        <v>40365</v>
      </c>
      <c r="C4044" s="9">
        <f>IFERROR(__xludf.DUMMYFUNCTION("""COMPUTED_VALUE"""),2.95)</f>
        <v>2.95</v>
      </c>
      <c r="H4044" s="17"/>
      <c r="K4044" s="17"/>
      <c r="N4044" s="17"/>
    </row>
    <row r="4045">
      <c r="B4045" s="11">
        <f>IFERROR(__xludf.DUMMYFUNCTION("""COMPUTED_VALUE"""),40364.0)</f>
        <v>40364</v>
      </c>
      <c r="C4045" s="9"/>
      <c r="H4045" s="17"/>
      <c r="K4045" s="17"/>
      <c r="N4045" s="17"/>
    </row>
    <row r="4046">
      <c r="B4046" s="11">
        <f>IFERROR(__xludf.DUMMYFUNCTION("""COMPUTED_VALUE"""),40361.0)</f>
        <v>40361</v>
      </c>
      <c r="C4046" s="9">
        <f>IFERROR(__xludf.DUMMYFUNCTION("""COMPUTED_VALUE"""),3.0)</f>
        <v>3</v>
      </c>
      <c r="H4046" s="17"/>
      <c r="K4046" s="17"/>
      <c r="N4046" s="17"/>
    </row>
    <row r="4047">
      <c r="B4047" s="11">
        <f>IFERROR(__xludf.DUMMYFUNCTION("""COMPUTED_VALUE"""),40360.0)</f>
        <v>40360</v>
      </c>
      <c r="C4047" s="9">
        <f>IFERROR(__xludf.DUMMYFUNCTION("""COMPUTED_VALUE"""),2.96)</f>
        <v>2.96</v>
      </c>
      <c r="H4047" s="17"/>
      <c r="K4047" s="17"/>
      <c r="N4047" s="17"/>
    </row>
    <row r="4048">
      <c r="B4048" s="11">
        <f>IFERROR(__xludf.DUMMYFUNCTION("""COMPUTED_VALUE"""),40359.0)</f>
        <v>40359</v>
      </c>
      <c r="C4048" s="9">
        <f>IFERROR(__xludf.DUMMYFUNCTION("""COMPUTED_VALUE"""),2.97)</f>
        <v>2.97</v>
      </c>
      <c r="H4048" s="17"/>
      <c r="K4048" s="17"/>
      <c r="N4048" s="17"/>
    </row>
    <row r="4049">
      <c r="B4049" s="11">
        <f>IFERROR(__xludf.DUMMYFUNCTION("""COMPUTED_VALUE"""),40358.0)</f>
        <v>40358</v>
      </c>
      <c r="C4049" s="9">
        <f>IFERROR(__xludf.DUMMYFUNCTION("""COMPUTED_VALUE"""),2.97)</f>
        <v>2.97</v>
      </c>
      <c r="H4049" s="17"/>
      <c r="K4049" s="17"/>
      <c r="N4049" s="17"/>
    </row>
    <row r="4050">
      <c r="B4050" s="11">
        <f>IFERROR(__xludf.DUMMYFUNCTION("""COMPUTED_VALUE"""),40357.0)</f>
        <v>40357</v>
      </c>
      <c r="C4050" s="9">
        <f>IFERROR(__xludf.DUMMYFUNCTION("""COMPUTED_VALUE"""),3.05)</f>
        <v>3.05</v>
      </c>
      <c r="H4050" s="17"/>
      <c r="K4050" s="17"/>
      <c r="N4050" s="17"/>
    </row>
    <row r="4051">
      <c r="B4051" s="11">
        <f>IFERROR(__xludf.DUMMYFUNCTION("""COMPUTED_VALUE"""),40354.0)</f>
        <v>40354</v>
      </c>
      <c r="C4051" s="9">
        <f>IFERROR(__xludf.DUMMYFUNCTION("""COMPUTED_VALUE"""),3.12)</f>
        <v>3.12</v>
      </c>
      <c r="H4051" s="17"/>
      <c r="K4051" s="17"/>
      <c r="N4051" s="17"/>
    </row>
    <row r="4052">
      <c r="B4052" s="11">
        <f>IFERROR(__xludf.DUMMYFUNCTION("""COMPUTED_VALUE"""),40353.0)</f>
        <v>40353</v>
      </c>
      <c r="C4052" s="9">
        <f>IFERROR(__xludf.DUMMYFUNCTION("""COMPUTED_VALUE"""),3.14)</f>
        <v>3.14</v>
      </c>
      <c r="H4052" s="17"/>
      <c r="K4052" s="17"/>
      <c r="N4052" s="17"/>
    </row>
    <row r="4053">
      <c r="B4053" s="11">
        <f>IFERROR(__xludf.DUMMYFUNCTION("""COMPUTED_VALUE"""),40352.0)</f>
        <v>40352</v>
      </c>
      <c r="C4053" s="9">
        <f>IFERROR(__xludf.DUMMYFUNCTION("""COMPUTED_VALUE"""),3.13)</f>
        <v>3.13</v>
      </c>
      <c r="H4053" s="17"/>
      <c r="K4053" s="17"/>
      <c r="N4053" s="17"/>
    </row>
    <row r="4054">
      <c r="B4054" s="11">
        <f>IFERROR(__xludf.DUMMYFUNCTION("""COMPUTED_VALUE"""),40351.0)</f>
        <v>40351</v>
      </c>
      <c r="C4054" s="9">
        <f>IFERROR(__xludf.DUMMYFUNCTION("""COMPUTED_VALUE"""),3.18)</f>
        <v>3.18</v>
      </c>
      <c r="H4054" s="17"/>
      <c r="K4054" s="17"/>
      <c r="N4054" s="17"/>
    </row>
    <row r="4055">
      <c r="B4055" s="11">
        <f>IFERROR(__xludf.DUMMYFUNCTION("""COMPUTED_VALUE"""),40350.0)</f>
        <v>40350</v>
      </c>
      <c r="C4055" s="9">
        <f>IFERROR(__xludf.DUMMYFUNCTION("""COMPUTED_VALUE"""),3.26)</f>
        <v>3.26</v>
      </c>
      <c r="H4055" s="17"/>
      <c r="K4055" s="17"/>
      <c r="N4055" s="17"/>
    </row>
    <row r="4056">
      <c r="B4056" s="11">
        <f>IFERROR(__xludf.DUMMYFUNCTION("""COMPUTED_VALUE"""),40347.0)</f>
        <v>40347</v>
      </c>
      <c r="C4056" s="9">
        <f>IFERROR(__xludf.DUMMYFUNCTION("""COMPUTED_VALUE"""),3.24)</f>
        <v>3.24</v>
      </c>
      <c r="H4056" s="17"/>
      <c r="K4056" s="17"/>
      <c r="N4056" s="17"/>
    </row>
    <row r="4057">
      <c r="B4057" s="11">
        <f>IFERROR(__xludf.DUMMYFUNCTION("""COMPUTED_VALUE"""),40346.0)</f>
        <v>40346</v>
      </c>
      <c r="C4057" s="9">
        <f>IFERROR(__xludf.DUMMYFUNCTION("""COMPUTED_VALUE"""),3.21)</f>
        <v>3.21</v>
      </c>
      <c r="H4057" s="17"/>
      <c r="K4057" s="17"/>
      <c r="N4057" s="17"/>
    </row>
    <row r="4058">
      <c r="B4058" s="11">
        <f>IFERROR(__xludf.DUMMYFUNCTION("""COMPUTED_VALUE"""),40345.0)</f>
        <v>40345</v>
      </c>
      <c r="C4058" s="9">
        <f>IFERROR(__xludf.DUMMYFUNCTION("""COMPUTED_VALUE"""),3.27)</f>
        <v>3.27</v>
      </c>
      <c r="H4058" s="17"/>
      <c r="K4058" s="17"/>
      <c r="N4058" s="17"/>
    </row>
    <row r="4059">
      <c r="B4059" s="11">
        <f>IFERROR(__xludf.DUMMYFUNCTION("""COMPUTED_VALUE"""),40344.0)</f>
        <v>40344</v>
      </c>
      <c r="C4059" s="9">
        <f>IFERROR(__xludf.DUMMYFUNCTION("""COMPUTED_VALUE"""),3.32)</f>
        <v>3.32</v>
      </c>
      <c r="H4059" s="17"/>
      <c r="K4059" s="17"/>
      <c r="N4059" s="17"/>
    </row>
    <row r="4060">
      <c r="B4060" s="11">
        <f>IFERROR(__xludf.DUMMYFUNCTION("""COMPUTED_VALUE"""),40343.0)</f>
        <v>40343</v>
      </c>
      <c r="C4060" s="9">
        <f>IFERROR(__xludf.DUMMYFUNCTION("""COMPUTED_VALUE"""),3.28)</f>
        <v>3.28</v>
      </c>
      <c r="H4060" s="17"/>
      <c r="K4060" s="17"/>
      <c r="N4060" s="17"/>
    </row>
    <row r="4061">
      <c r="B4061" s="11">
        <f>IFERROR(__xludf.DUMMYFUNCTION("""COMPUTED_VALUE"""),40340.0)</f>
        <v>40340</v>
      </c>
      <c r="C4061" s="9">
        <f>IFERROR(__xludf.DUMMYFUNCTION("""COMPUTED_VALUE"""),3.24)</f>
        <v>3.24</v>
      </c>
      <c r="H4061" s="17"/>
      <c r="K4061" s="17"/>
      <c r="N4061" s="17"/>
    </row>
    <row r="4062">
      <c r="B4062" s="11">
        <f>IFERROR(__xludf.DUMMYFUNCTION("""COMPUTED_VALUE"""),40339.0)</f>
        <v>40339</v>
      </c>
      <c r="C4062" s="9">
        <f>IFERROR(__xludf.DUMMYFUNCTION("""COMPUTED_VALUE"""),3.33)</f>
        <v>3.33</v>
      </c>
      <c r="H4062" s="17"/>
      <c r="K4062" s="17"/>
      <c r="N4062" s="17"/>
    </row>
    <row r="4063">
      <c r="B4063" s="11">
        <f>IFERROR(__xludf.DUMMYFUNCTION("""COMPUTED_VALUE"""),40338.0)</f>
        <v>40338</v>
      </c>
      <c r="C4063" s="9">
        <f>IFERROR(__xludf.DUMMYFUNCTION("""COMPUTED_VALUE"""),3.2)</f>
        <v>3.2</v>
      </c>
      <c r="H4063" s="17"/>
      <c r="K4063" s="17"/>
      <c r="N4063" s="17"/>
    </row>
    <row r="4064">
      <c r="B4064" s="11">
        <f>IFERROR(__xludf.DUMMYFUNCTION("""COMPUTED_VALUE"""),40337.0)</f>
        <v>40337</v>
      </c>
      <c r="C4064" s="9">
        <f>IFERROR(__xludf.DUMMYFUNCTION("""COMPUTED_VALUE"""),3.18)</f>
        <v>3.18</v>
      </c>
      <c r="H4064" s="17"/>
      <c r="K4064" s="17"/>
      <c r="N4064" s="17"/>
    </row>
    <row r="4065">
      <c r="B4065" s="11">
        <f>IFERROR(__xludf.DUMMYFUNCTION("""COMPUTED_VALUE"""),40336.0)</f>
        <v>40336</v>
      </c>
      <c r="C4065" s="9">
        <f>IFERROR(__xludf.DUMMYFUNCTION("""COMPUTED_VALUE"""),3.17)</f>
        <v>3.17</v>
      </c>
      <c r="H4065" s="17"/>
      <c r="K4065" s="17"/>
      <c r="N4065" s="17"/>
    </row>
    <row r="4066">
      <c r="B4066" s="11">
        <f>IFERROR(__xludf.DUMMYFUNCTION("""COMPUTED_VALUE"""),40333.0)</f>
        <v>40333</v>
      </c>
      <c r="C4066" s="9">
        <f>IFERROR(__xludf.DUMMYFUNCTION("""COMPUTED_VALUE"""),3.2)</f>
        <v>3.2</v>
      </c>
      <c r="H4066" s="17"/>
      <c r="K4066" s="17"/>
      <c r="N4066" s="17"/>
    </row>
    <row r="4067">
      <c r="B4067" s="11">
        <f>IFERROR(__xludf.DUMMYFUNCTION("""COMPUTED_VALUE"""),40332.0)</f>
        <v>40332</v>
      </c>
      <c r="C4067" s="9">
        <f>IFERROR(__xludf.DUMMYFUNCTION("""COMPUTED_VALUE"""),3.39)</f>
        <v>3.39</v>
      </c>
      <c r="H4067" s="17"/>
      <c r="K4067" s="17"/>
      <c r="N4067" s="17"/>
    </row>
    <row r="4068">
      <c r="B4068" s="11">
        <f>IFERROR(__xludf.DUMMYFUNCTION("""COMPUTED_VALUE"""),40331.0)</f>
        <v>40331</v>
      </c>
      <c r="C4068" s="9">
        <f>IFERROR(__xludf.DUMMYFUNCTION("""COMPUTED_VALUE"""),3.35)</f>
        <v>3.35</v>
      </c>
      <c r="H4068" s="17"/>
      <c r="K4068" s="17"/>
      <c r="N4068" s="17"/>
    </row>
    <row r="4069">
      <c r="B4069" s="11">
        <f>IFERROR(__xludf.DUMMYFUNCTION("""COMPUTED_VALUE"""),40330.0)</f>
        <v>40330</v>
      </c>
      <c r="C4069" s="9">
        <f>IFERROR(__xludf.DUMMYFUNCTION("""COMPUTED_VALUE"""),3.29)</f>
        <v>3.29</v>
      </c>
      <c r="H4069" s="17"/>
      <c r="K4069" s="17"/>
      <c r="N4069" s="17"/>
    </row>
    <row r="4070">
      <c r="B4070" s="11">
        <f>IFERROR(__xludf.DUMMYFUNCTION("""COMPUTED_VALUE"""),40329.0)</f>
        <v>40329</v>
      </c>
      <c r="C4070" s="9"/>
      <c r="H4070" s="17"/>
      <c r="K4070" s="17"/>
      <c r="N4070" s="17"/>
    </row>
    <row r="4071">
      <c r="B4071" s="11">
        <f>IFERROR(__xludf.DUMMYFUNCTION("""COMPUTED_VALUE"""),40326.0)</f>
        <v>40326</v>
      </c>
      <c r="C4071" s="9">
        <f>IFERROR(__xludf.DUMMYFUNCTION("""COMPUTED_VALUE"""),3.31)</f>
        <v>3.31</v>
      </c>
      <c r="H4071" s="17"/>
      <c r="K4071" s="17"/>
      <c r="N4071" s="17"/>
    </row>
    <row r="4072">
      <c r="B4072" s="11">
        <f>IFERROR(__xludf.DUMMYFUNCTION("""COMPUTED_VALUE"""),40325.0)</f>
        <v>40325</v>
      </c>
      <c r="C4072" s="9">
        <f>IFERROR(__xludf.DUMMYFUNCTION("""COMPUTED_VALUE"""),3.34)</f>
        <v>3.34</v>
      </c>
      <c r="H4072" s="17"/>
      <c r="K4072" s="17"/>
      <c r="N4072" s="17"/>
    </row>
    <row r="4073">
      <c r="B4073" s="11">
        <f>IFERROR(__xludf.DUMMYFUNCTION("""COMPUTED_VALUE"""),40324.0)</f>
        <v>40324</v>
      </c>
      <c r="C4073" s="9">
        <f>IFERROR(__xludf.DUMMYFUNCTION("""COMPUTED_VALUE"""),3.21)</f>
        <v>3.21</v>
      </c>
      <c r="H4073" s="17"/>
      <c r="K4073" s="17"/>
      <c r="N4073" s="17"/>
    </row>
    <row r="4074">
      <c r="B4074" s="11">
        <f>IFERROR(__xludf.DUMMYFUNCTION("""COMPUTED_VALUE"""),40323.0)</f>
        <v>40323</v>
      </c>
      <c r="C4074" s="9">
        <f>IFERROR(__xludf.DUMMYFUNCTION("""COMPUTED_VALUE"""),3.18)</f>
        <v>3.18</v>
      </c>
      <c r="H4074" s="17"/>
      <c r="K4074" s="17"/>
      <c r="N4074" s="17"/>
    </row>
    <row r="4075">
      <c r="B4075" s="11">
        <f>IFERROR(__xludf.DUMMYFUNCTION("""COMPUTED_VALUE"""),40322.0)</f>
        <v>40322</v>
      </c>
      <c r="C4075" s="9">
        <f>IFERROR(__xludf.DUMMYFUNCTION("""COMPUTED_VALUE"""),3.23)</f>
        <v>3.23</v>
      </c>
      <c r="H4075" s="17"/>
      <c r="K4075" s="17"/>
      <c r="N4075" s="17"/>
    </row>
    <row r="4076">
      <c r="B4076" s="11">
        <f>IFERROR(__xludf.DUMMYFUNCTION("""COMPUTED_VALUE"""),40319.0)</f>
        <v>40319</v>
      </c>
      <c r="C4076" s="9">
        <f>IFERROR(__xludf.DUMMYFUNCTION("""COMPUTED_VALUE"""),3.2)</f>
        <v>3.2</v>
      </c>
      <c r="H4076" s="17"/>
      <c r="K4076" s="17"/>
      <c r="N4076" s="17"/>
    </row>
    <row r="4077">
      <c r="B4077" s="11">
        <f>IFERROR(__xludf.DUMMYFUNCTION("""COMPUTED_VALUE"""),40318.0)</f>
        <v>40318</v>
      </c>
      <c r="C4077" s="9">
        <f>IFERROR(__xludf.DUMMYFUNCTION("""COMPUTED_VALUE"""),3.25)</f>
        <v>3.25</v>
      </c>
      <c r="H4077" s="17"/>
      <c r="K4077" s="17"/>
      <c r="N4077" s="17"/>
    </row>
    <row r="4078">
      <c r="B4078" s="11">
        <f>IFERROR(__xludf.DUMMYFUNCTION("""COMPUTED_VALUE"""),40317.0)</f>
        <v>40317</v>
      </c>
      <c r="C4078" s="9">
        <f>IFERROR(__xludf.DUMMYFUNCTION("""COMPUTED_VALUE"""),3.36)</f>
        <v>3.36</v>
      </c>
      <c r="H4078" s="17"/>
      <c r="K4078" s="17"/>
      <c r="N4078" s="17"/>
    </row>
    <row r="4079">
      <c r="B4079" s="11">
        <f>IFERROR(__xludf.DUMMYFUNCTION("""COMPUTED_VALUE"""),40316.0)</f>
        <v>40316</v>
      </c>
      <c r="C4079" s="9">
        <f>IFERROR(__xludf.DUMMYFUNCTION("""COMPUTED_VALUE"""),3.38)</f>
        <v>3.38</v>
      </c>
      <c r="H4079" s="17"/>
      <c r="K4079" s="17"/>
      <c r="N4079" s="17"/>
    </row>
    <row r="4080">
      <c r="B4080" s="11">
        <f>IFERROR(__xludf.DUMMYFUNCTION("""COMPUTED_VALUE"""),40315.0)</f>
        <v>40315</v>
      </c>
      <c r="C4080" s="9">
        <f>IFERROR(__xludf.DUMMYFUNCTION("""COMPUTED_VALUE"""),3.47)</f>
        <v>3.47</v>
      </c>
      <c r="H4080" s="17"/>
      <c r="K4080" s="17"/>
      <c r="N4080" s="17"/>
    </row>
    <row r="4081">
      <c r="B4081" s="11">
        <f>IFERROR(__xludf.DUMMYFUNCTION("""COMPUTED_VALUE"""),40312.0)</f>
        <v>40312</v>
      </c>
      <c r="C4081" s="9">
        <f>IFERROR(__xludf.DUMMYFUNCTION("""COMPUTED_VALUE"""),3.44)</f>
        <v>3.44</v>
      </c>
      <c r="H4081" s="17"/>
      <c r="K4081" s="17"/>
      <c r="N4081" s="17"/>
    </row>
    <row r="4082">
      <c r="B4082" s="11">
        <f>IFERROR(__xludf.DUMMYFUNCTION("""COMPUTED_VALUE"""),40311.0)</f>
        <v>40311</v>
      </c>
      <c r="C4082" s="9">
        <f>IFERROR(__xludf.DUMMYFUNCTION("""COMPUTED_VALUE"""),3.55)</f>
        <v>3.55</v>
      </c>
      <c r="H4082" s="17"/>
      <c r="K4082" s="17"/>
      <c r="N4082" s="17"/>
    </row>
    <row r="4083">
      <c r="B4083" s="11">
        <f>IFERROR(__xludf.DUMMYFUNCTION("""COMPUTED_VALUE"""),40310.0)</f>
        <v>40310</v>
      </c>
      <c r="C4083" s="9">
        <f>IFERROR(__xludf.DUMMYFUNCTION("""COMPUTED_VALUE"""),3.56)</f>
        <v>3.56</v>
      </c>
      <c r="H4083" s="17"/>
      <c r="K4083" s="17"/>
      <c r="N4083" s="17"/>
    </row>
    <row r="4084">
      <c r="B4084" s="11">
        <f>IFERROR(__xludf.DUMMYFUNCTION("""COMPUTED_VALUE"""),40309.0)</f>
        <v>40309</v>
      </c>
      <c r="C4084" s="9">
        <f>IFERROR(__xludf.DUMMYFUNCTION("""COMPUTED_VALUE"""),3.56)</f>
        <v>3.56</v>
      </c>
      <c r="H4084" s="17"/>
      <c r="K4084" s="17"/>
      <c r="N4084" s="17"/>
    </row>
    <row r="4085">
      <c r="B4085" s="11">
        <f>IFERROR(__xludf.DUMMYFUNCTION("""COMPUTED_VALUE"""),40308.0)</f>
        <v>40308</v>
      </c>
      <c r="C4085" s="9">
        <f>IFERROR(__xludf.DUMMYFUNCTION("""COMPUTED_VALUE"""),3.57)</f>
        <v>3.57</v>
      </c>
      <c r="H4085" s="17"/>
      <c r="K4085" s="17"/>
      <c r="N4085" s="17"/>
    </row>
    <row r="4086">
      <c r="B4086" s="11">
        <f>IFERROR(__xludf.DUMMYFUNCTION("""COMPUTED_VALUE"""),40305.0)</f>
        <v>40305</v>
      </c>
      <c r="C4086" s="9">
        <f>IFERROR(__xludf.DUMMYFUNCTION("""COMPUTED_VALUE"""),3.45)</f>
        <v>3.45</v>
      </c>
      <c r="H4086" s="17"/>
      <c r="K4086" s="17"/>
      <c r="N4086" s="17"/>
    </row>
    <row r="4087">
      <c r="B4087" s="11">
        <f>IFERROR(__xludf.DUMMYFUNCTION("""COMPUTED_VALUE"""),40304.0)</f>
        <v>40304</v>
      </c>
      <c r="C4087" s="9">
        <f>IFERROR(__xludf.DUMMYFUNCTION("""COMPUTED_VALUE"""),3.41)</f>
        <v>3.41</v>
      </c>
      <c r="H4087" s="17"/>
      <c r="K4087" s="17"/>
      <c r="N4087" s="17"/>
    </row>
    <row r="4088">
      <c r="B4088" s="11">
        <f>IFERROR(__xludf.DUMMYFUNCTION("""COMPUTED_VALUE"""),40303.0)</f>
        <v>40303</v>
      </c>
      <c r="C4088" s="9">
        <f>IFERROR(__xludf.DUMMYFUNCTION("""COMPUTED_VALUE"""),3.58)</f>
        <v>3.58</v>
      </c>
      <c r="H4088" s="17"/>
      <c r="K4088" s="17"/>
      <c r="N4088" s="17"/>
    </row>
    <row r="4089">
      <c r="B4089" s="11">
        <f>IFERROR(__xludf.DUMMYFUNCTION("""COMPUTED_VALUE"""),40302.0)</f>
        <v>40302</v>
      </c>
      <c r="C4089" s="9">
        <f>IFERROR(__xludf.DUMMYFUNCTION("""COMPUTED_VALUE"""),3.63)</f>
        <v>3.63</v>
      </c>
      <c r="H4089" s="17"/>
      <c r="K4089" s="17"/>
      <c r="N4089" s="17"/>
    </row>
    <row r="4090">
      <c r="B4090" s="11">
        <f>IFERROR(__xludf.DUMMYFUNCTION("""COMPUTED_VALUE"""),40301.0)</f>
        <v>40301</v>
      </c>
      <c r="C4090" s="9">
        <f>IFERROR(__xludf.DUMMYFUNCTION("""COMPUTED_VALUE"""),3.72)</f>
        <v>3.72</v>
      </c>
      <c r="H4090" s="17"/>
      <c r="K4090" s="17"/>
      <c r="N4090" s="17"/>
    </row>
    <row r="4091">
      <c r="B4091" s="11">
        <f>IFERROR(__xludf.DUMMYFUNCTION("""COMPUTED_VALUE"""),40298.0)</f>
        <v>40298</v>
      </c>
      <c r="C4091" s="9">
        <f>IFERROR(__xludf.DUMMYFUNCTION("""COMPUTED_VALUE"""),3.69)</f>
        <v>3.69</v>
      </c>
      <c r="H4091" s="17"/>
      <c r="K4091" s="17"/>
      <c r="N4091" s="17"/>
    </row>
    <row r="4092">
      <c r="B4092" s="11">
        <f>IFERROR(__xludf.DUMMYFUNCTION("""COMPUTED_VALUE"""),40297.0)</f>
        <v>40297</v>
      </c>
      <c r="C4092" s="9">
        <f>IFERROR(__xludf.DUMMYFUNCTION("""COMPUTED_VALUE"""),3.76)</f>
        <v>3.76</v>
      </c>
      <c r="H4092" s="17"/>
      <c r="K4092" s="17"/>
      <c r="N4092" s="17"/>
    </row>
    <row r="4093">
      <c r="B4093" s="11">
        <f>IFERROR(__xludf.DUMMYFUNCTION("""COMPUTED_VALUE"""),40296.0)</f>
        <v>40296</v>
      </c>
      <c r="C4093" s="9">
        <f>IFERROR(__xludf.DUMMYFUNCTION("""COMPUTED_VALUE"""),3.8)</f>
        <v>3.8</v>
      </c>
      <c r="H4093" s="17"/>
      <c r="K4093" s="17"/>
      <c r="N4093" s="17"/>
    </row>
    <row r="4094">
      <c r="B4094" s="11">
        <f>IFERROR(__xludf.DUMMYFUNCTION("""COMPUTED_VALUE"""),40295.0)</f>
        <v>40295</v>
      </c>
      <c r="C4094" s="9">
        <f>IFERROR(__xludf.DUMMYFUNCTION("""COMPUTED_VALUE"""),3.71)</f>
        <v>3.71</v>
      </c>
      <c r="H4094" s="17"/>
      <c r="K4094" s="17"/>
      <c r="N4094" s="17"/>
    </row>
    <row r="4095">
      <c r="B4095" s="11">
        <f>IFERROR(__xludf.DUMMYFUNCTION("""COMPUTED_VALUE"""),40294.0)</f>
        <v>40294</v>
      </c>
      <c r="C4095" s="9">
        <f>IFERROR(__xludf.DUMMYFUNCTION("""COMPUTED_VALUE"""),3.83)</f>
        <v>3.83</v>
      </c>
      <c r="H4095" s="17"/>
      <c r="K4095" s="17"/>
      <c r="N4095" s="17"/>
    </row>
    <row r="4096">
      <c r="B4096" s="11">
        <f>IFERROR(__xludf.DUMMYFUNCTION("""COMPUTED_VALUE"""),40291.0)</f>
        <v>40291</v>
      </c>
      <c r="C4096" s="9">
        <f>IFERROR(__xludf.DUMMYFUNCTION("""COMPUTED_VALUE"""),3.84)</f>
        <v>3.84</v>
      </c>
      <c r="H4096" s="17"/>
      <c r="K4096" s="17"/>
      <c r="N4096" s="17"/>
    </row>
    <row r="4097">
      <c r="B4097" s="11">
        <f>IFERROR(__xludf.DUMMYFUNCTION("""COMPUTED_VALUE"""),40290.0)</f>
        <v>40290</v>
      </c>
      <c r="C4097" s="9">
        <f>IFERROR(__xludf.DUMMYFUNCTION("""COMPUTED_VALUE"""),3.8)</f>
        <v>3.8</v>
      </c>
      <c r="H4097" s="17"/>
      <c r="K4097" s="17"/>
      <c r="N4097" s="17"/>
    </row>
    <row r="4098">
      <c r="B4098" s="11">
        <f>IFERROR(__xludf.DUMMYFUNCTION("""COMPUTED_VALUE"""),40289.0)</f>
        <v>40289</v>
      </c>
      <c r="C4098" s="9">
        <f>IFERROR(__xludf.DUMMYFUNCTION("""COMPUTED_VALUE"""),3.77)</f>
        <v>3.77</v>
      </c>
      <c r="H4098" s="17"/>
      <c r="K4098" s="17"/>
      <c r="N4098" s="17"/>
    </row>
    <row r="4099">
      <c r="B4099" s="11">
        <f>IFERROR(__xludf.DUMMYFUNCTION("""COMPUTED_VALUE"""),40288.0)</f>
        <v>40288</v>
      </c>
      <c r="C4099" s="9">
        <f>IFERROR(__xludf.DUMMYFUNCTION("""COMPUTED_VALUE"""),3.82)</f>
        <v>3.82</v>
      </c>
      <c r="H4099" s="17"/>
      <c r="K4099" s="17"/>
      <c r="N4099" s="17"/>
    </row>
    <row r="4100">
      <c r="B4100" s="11">
        <f>IFERROR(__xludf.DUMMYFUNCTION("""COMPUTED_VALUE"""),40287.0)</f>
        <v>40287</v>
      </c>
      <c r="C4100" s="9">
        <f>IFERROR(__xludf.DUMMYFUNCTION("""COMPUTED_VALUE"""),3.83)</f>
        <v>3.83</v>
      </c>
      <c r="H4100" s="17"/>
      <c r="K4100" s="17"/>
      <c r="N4100" s="17"/>
    </row>
    <row r="4101">
      <c r="B4101" s="11">
        <f>IFERROR(__xludf.DUMMYFUNCTION("""COMPUTED_VALUE"""),40284.0)</f>
        <v>40284</v>
      </c>
      <c r="C4101" s="9">
        <f>IFERROR(__xludf.DUMMYFUNCTION("""COMPUTED_VALUE"""),3.79)</f>
        <v>3.79</v>
      </c>
      <c r="H4101" s="17"/>
      <c r="K4101" s="17"/>
      <c r="N4101" s="17"/>
    </row>
    <row r="4102">
      <c r="B4102" s="11">
        <f>IFERROR(__xludf.DUMMYFUNCTION("""COMPUTED_VALUE"""),40283.0)</f>
        <v>40283</v>
      </c>
      <c r="C4102" s="9">
        <f>IFERROR(__xludf.DUMMYFUNCTION("""COMPUTED_VALUE"""),3.86)</f>
        <v>3.86</v>
      </c>
      <c r="H4102" s="17"/>
      <c r="K4102" s="17"/>
      <c r="N4102" s="17"/>
    </row>
    <row r="4103">
      <c r="B4103" s="11">
        <f>IFERROR(__xludf.DUMMYFUNCTION("""COMPUTED_VALUE"""),40282.0)</f>
        <v>40282</v>
      </c>
      <c r="C4103" s="9">
        <f>IFERROR(__xludf.DUMMYFUNCTION("""COMPUTED_VALUE"""),3.88)</f>
        <v>3.88</v>
      </c>
      <c r="H4103" s="17"/>
      <c r="K4103" s="17"/>
      <c r="N4103" s="17"/>
    </row>
    <row r="4104">
      <c r="B4104" s="11">
        <f>IFERROR(__xludf.DUMMYFUNCTION("""COMPUTED_VALUE"""),40281.0)</f>
        <v>40281</v>
      </c>
      <c r="C4104" s="9">
        <f>IFERROR(__xludf.DUMMYFUNCTION("""COMPUTED_VALUE"""),3.84)</f>
        <v>3.84</v>
      </c>
      <c r="H4104" s="17"/>
      <c r="K4104" s="17"/>
      <c r="N4104" s="17"/>
    </row>
    <row r="4105">
      <c r="B4105" s="11">
        <f>IFERROR(__xludf.DUMMYFUNCTION("""COMPUTED_VALUE"""),40280.0)</f>
        <v>40280</v>
      </c>
      <c r="C4105" s="9">
        <f>IFERROR(__xludf.DUMMYFUNCTION("""COMPUTED_VALUE"""),3.87)</f>
        <v>3.87</v>
      </c>
      <c r="H4105" s="17"/>
      <c r="K4105" s="17"/>
      <c r="N4105" s="17"/>
    </row>
    <row r="4106">
      <c r="B4106" s="11">
        <f>IFERROR(__xludf.DUMMYFUNCTION("""COMPUTED_VALUE"""),40277.0)</f>
        <v>40277</v>
      </c>
      <c r="C4106" s="9">
        <f>IFERROR(__xludf.DUMMYFUNCTION("""COMPUTED_VALUE"""),3.9)</f>
        <v>3.9</v>
      </c>
      <c r="H4106" s="17"/>
      <c r="K4106" s="17"/>
      <c r="N4106" s="17"/>
    </row>
    <row r="4107">
      <c r="B4107" s="11">
        <f>IFERROR(__xludf.DUMMYFUNCTION("""COMPUTED_VALUE"""),40276.0)</f>
        <v>40276</v>
      </c>
      <c r="C4107" s="9">
        <f>IFERROR(__xludf.DUMMYFUNCTION("""COMPUTED_VALUE"""),3.91)</f>
        <v>3.91</v>
      </c>
      <c r="H4107" s="17"/>
      <c r="K4107" s="17"/>
      <c r="N4107" s="17"/>
    </row>
    <row r="4108">
      <c r="B4108" s="11">
        <f>IFERROR(__xludf.DUMMYFUNCTION("""COMPUTED_VALUE"""),40275.0)</f>
        <v>40275</v>
      </c>
      <c r="C4108" s="9">
        <f>IFERROR(__xludf.DUMMYFUNCTION("""COMPUTED_VALUE"""),3.89)</f>
        <v>3.89</v>
      </c>
      <c r="H4108" s="17"/>
      <c r="K4108" s="17"/>
      <c r="N4108" s="17"/>
    </row>
    <row r="4109">
      <c r="B4109" s="11">
        <f>IFERROR(__xludf.DUMMYFUNCTION("""COMPUTED_VALUE"""),40274.0)</f>
        <v>40274</v>
      </c>
      <c r="C4109" s="9">
        <f>IFERROR(__xludf.DUMMYFUNCTION("""COMPUTED_VALUE"""),3.98)</f>
        <v>3.98</v>
      </c>
      <c r="H4109" s="17"/>
      <c r="K4109" s="17"/>
      <c r="N4109" s="17"/>
    </row>
    <row r="4110">
      <c r="B4110" s="11">
        <f>IFERROR(__xludf.DUMMYFUNCTION("""COMPUTED_VALUE"""),40273.0)</f>
        <v>40273</v>
      </c>
      <c r="C4110" s="9">
        <f>IFERROR(__xludf.DUMMYFUNCTION("""COMPUTED_VALUE"""),4.01)</f>
        <v>4.01</v>
      </c>
      <c r="H4110" s="17"/>
      <c r="K4110" s="17"/>
      <c r="N4110" s="17"/>
    </row>
    <row r="4111">
      <c r="B4111" s="11">
        <f>IFERROR(__xludf.DUMMYFUNCTION("""COMPUTED_VALUE"""),40270.0)</f>
        <v>40270</v>
      </c>
      <c r="C4111" s="9">
        <f>IFERROR(__xludf.DUMMYFUNCTION("""COMPUTED_VALUE"""),3.96)</f>
        <v>3.96</v>
      </c>
      <c r="H4111" s="17"/>
      <c r="K4111" s="17"/>
      <c r="N4111" s="17"/>
    </row>
    <row r="4112">
      <c r="B4112" s="11">
        <f>IFERROR(__xludf.DUMMYFUNCTION("""COMPUTED_VALUE"""),40269.0)</f>
        <v>40269</v>
      </c>
      <c r="C4112" s="9">
        <f>IFERROR(__xludf.DUMMYFUNCTION("""COMPUTED_VALUE"""),3.89)</f>
        <v>3.89</v>
      </c>
      <c r="H4112" s="17"/>
      <c r="K4112" s="17"/>
      <c r="N4112" s="17"/>
    </row>
    <row r="4113">
      <c r="B4113" s="11">
        <f>IFERROR(__xludf.DUMMYFUNCTION("""COMPUTED_VALUE"""),40268.0)</f>
        <v>40268</v>
      </c>
      <c r="C4113" s="9">
        <f>IFERROR(__xludf.DUMMYFUNCTION("""COMPUTED_VALUE"""),3.84)</f>
        <v>3.84</v>
      </c>
      <c r="H4113" s="17"/>
      <c r="K4113" s="17"/>
      <c r="N4113" s="17"/>
    </row>
    <row r="4114">
      <c r="B4114" s="11">
        <f>IFERROR(__xludf.DUMMYFUNCTION("""COMPUTED_VALUE"""),40267.0)</f>
        <v>40267</v>
      </c>
      <c r="C4114" s="9">
        <f>IFERROR(__xludf.DUMMYFUNCTION("""COMPUTED_VALUE"""),3.88)</f>
        <v>3.88</v>
      </c>
      <c r="H4114" s="17"/>
      <c r="K4114" s="17"/>
      <c r="N4114" s="17"/>
    </row>
    <row r="4115">
      <c r="B4115" s="11">
        <f>IFERROR(__xludf.DUMMYFUNCTION("""COMPUTED_VALUE"""),40266.0)</f>
        <v>40266</v>
      </c>
      <c r="C4115" s="9">
        <f>IFERROR(__xludf.DUMMYFUNCTION("""COMPUTED_VALUE"""),3.88)</f>
        <v>3.88</v>
      </c>
      <c r="H4115" s="17"/>
      <c r="K4115" s="17"/>
      <c r="N4115" s="17"/>
    </row>
    <row r="4116">
      <c r="B4116" s="11">
        <f>IFERROR(__xludf.DUMMYFUNCTION("""COMPUTED_VALUE"""),40263.0)</f>
        <v>40263</v>
      </c>
      <c r="C4116" s="9">
        <f>IFERROR(__xludf.DUMMYFUNCTION("""COMPUTED_VALUE"""),3.86)</f>
        <v>3.86</v>
      </c>
      <c r="H4116" s="17"/>
      <c r="K4116" s="17"/>
      <c r="N4116" s="17"/>
    </row>
    <row r="4117">
      <c r="B4117" s="11">
        <f>IFERROR(__xludf.DUMMYFUNCTION("""COMPUTED_VALUE"""),40262.0)</f>
        <v>40262</v>
      </c>
      <c r="C4117" s="9">
        <f>IFERROR(__xludf.DUMMYFUNCTION("""COMPUTED_VALUE"""),3.91)</f>
        <v>3.91</v>
      </c>
      <c r="H4117" s="17"/>
      <c r="K4117" s="17"/>
      <c r="N4117" s="17"/>
    </row>
    <row r="4118">
      <c r="B4118" s="11">
        <f>IFERROR(__xludf.DUMMYFUNCTION("""COMPUTED_VALUE"""),40261.0)</f>
        <v>40261</v>
      </c>
      <c r="C4118" s="9">
        <f>IFERROR(__xludf.DUMMYFUNCTION("""COMPUTED_VALUE"""),3.84)</f>
        <v>3.84</v>
      </c>
      <c r="H4118" s="17"/>
      <c r="K4118" s="17"/>
      <c r="N4118" s="17"/>
    </row>
    <row r="4119">
      <c r="B4119" s="11">
        <f>IFERROR(__xludf.DUMMYFUNCTION("""COMPUTED_VALUE"""),40260.0)</f>
        <v>40260</v>
      </c>
      <c r="C4119" s="9">
        <f>IFERROR(__xludf.DUMMYFUNCTION("""COMPUTED_VALUE"""),3.69)</f>
        <v>3.69</v>
      </c>
      <c r="H4119" s="17"/>
      <c r="K4119" s="17"/>
      <c r="N4119" s="17"/>
    </row>
    <row r="4120">
      <c r="B4120" s="11">
        <f>IFERROR(__xludf.DUMMYFUNCTION("""COMPUTED_VALUE"""),40259.0)</f>
        <v>40259</v>
      </c>
      <c r="C4120" s="9">
        <f>IFERROR(__xludf.DUMMYFUNCTION("""COMPUTED_VALUE"""),3.67)</f>
        <v>3.67</v>
      </c>
      <c r="H4120" s="17"/>
      <c r="K4120" s="17"/>
      <c r="N4120" s="17"/>
    </row>
    <row r="4121">
      <c r="B4121" s="11">
        <f>IFERROR(__xludf.DUMMYFUNCTION("""COMPUTED_VALUE"""),40256.0)</f>
        <v>40256</v>
      </c>
      <c r="C4121" s="9">
        <f>IFERROR(__xludf.DUMMYFUNCTION("""COMPUTED_VALUE"""),3.7)</f>
        <v>3.7</v>
      </c>
      <c r="H4121" s="17"/>
      <c r="K4121" s="17"/>
      <c r="N4121" s="17"/>
    </row>
    <row r="4122">
      <c r="B4122" s="11">
        <f>IFERROR(__xludf.DUMMYFUNCTION("""COMPUTED_VALUE"""),40255.0)</f>
        <v>40255</v>
      </c>
      <c r="C4122" s="9">
        <f>IFERROR(__xludf.DUMMYFUNCTION("""COMPUTED_VALUE"""),3.68)</f>
        <v>3.68</v>
      </c>
      <c r="H4122" s="17"/>
      <c r="K4122" s="17"/>
      <c r="N4122" s="17"/>
    </row>
    <row r="4123">
      <c r="B4123" s="11">
        <f>IFERROR(__xludf.DUMMYFUNCTION("""COMPUTED_VALUE"""),40254.0)</f>
        <v>40254</v>
      </c>
      <c r="C4123" s="9">
        <f>IFERROR(__xludf.DUMMYFUNCTION("""COMPUTED_VALUE"""),3.65)</f>
        <v>3.65</v>
      </c>
      <c r="H4123" s="17"/>
      <c r="K4123" s="17"/>
      <c r="N4123" s="17"/>
    </row>
    <row r="4124">
      <c r="B4124" s="11">
        <f>IFERROR(__xludf.DUMMYFUNCTION("""COMPUTED_VALUE"""),40253.0)</f>
        <v>40253</v>
      </c>
      <c r="C4124" s="9">
        <f>IFERROR(__xludf.DUMMYFUNCTION("""COMPUTED_VALUE"""),3.66)</f>
        <v>3.66</v>
      </c>
      <c r="H4124" s="17"/>
      <c r="K4124" s="17"/>
      <c r="N4124" s="17"/>
    </row>
    <row r="4125">
      <c r="B4125" s="11">
        <f>IFERROR(__xludf.DUMMYFUNCTION("""COMPUTED_VALUE"""),40252.0)</f>
        <v>40252</v>
      </c>
      <c r="C4125" s="9">
        <f>IFERROR(__xludf.DUMMYFUNCTION("""COMPUTED_VALUE"""),3.71)</f>
        <v>3.71</v>
      </c>
      <c r="H4125" s="17"/>
      <c r="K4125" s="17"/>
      <c r="N4125" s="17"/>
    </row>
    <row r="4126">
      <c r="B4126" s="11">
        <f>IFERROR(__xludf.DUMMYFUNCTION("""COMPUTED_VALUE"""),40249.0)</f>
        <v>40249</v>
      </c>
      <c r="C4126" s="9">
        <f>IFERROR(__xludf.DUMMYFUNCTION("""COMPUTED_VALUE"""),3.71)</f>
        <v>3.71</v>
      </c>
      <c r="H4126" s="17"/>
      <c r="K4126" s="17"/>
      <c r="N4126" s="17"/>
    </row>
    <row r="4127">
      <c r="B4127" s="11">
        <f>IFERROR(__xludf.DUMMYFUNCTION("""COMPUTED_VALUE"""),40248.0)</f>
        <v>40248</v>
      </c>
      <c r="C4127" s="9">
        <f>IFERROR(__xludf.DUMMYFUNCTION("""COMPUTED_VALUE"""),3.73)</f>
        <v>3.73</v>
      </c>
      <c r="H4127" s="17"/>
      <c r="K4127" s="17"/>
      <c r="N4127" s="17"/>
    </row>
    <row r="4128">
      <c r="B4128" s="11">
        <f>IFERROR(__xludf.DUMMYFUNCTION("""COMPUTED_VALUE"""),40247.0)</f>
        <v>40247</v>
      </c>
      <c r="C4128" s="9">
        <f>IFERROR(__xludf.DUMMYFUNCTION("""COMPUTED_VALUE"""),3.73)</f>
        <v>3.73</v>
      </c>
      <c r="H4128" s="17"/>
      <c r="K4128" s="17"/>
      <c r="N4128" s="17"/>
    </row>
    <row r="4129">
      <c r="B4129" s="11">
        <f>IFERROR(__xludf.DUMMYFUNCTION("""COMPUTED_VALUE"""),40246.0)</f>
        <v>40246</v>
      </c>
      <c r="C4129" s="9">
        <f>IFERROR(__xludf.DUMMYFUNCTION("""COMPUTED_VALUE"""),3.71)</f>
        <v>3.71</v>
      </c>
      <c r="H4129" s="17"/>
      <c r="K4129" s="17"/>
      <c r="N4129" s="17"/>
    </row>
    <row r="4130">
      <c r="B4130" s="11">
        <f>IFERROR(__xludf.DUMMYFUNCTION("""COMPUTED_VALUE"""),40245.0)</f>
        <v>40245</v>
      </c>
      <c r="C4130" s="9">
        <f>IFERROR(__xludf.DUMMYFUNCTION("""COMPUTED_VALUE"""),3.72)</f>
        <v>3.72</v>
      </c>
      <c r="H4130" s="17"/>
      <c r="K4130" s="17"/>
      <c r="N4130" s="17"/>
    </row>
    <row r="4131">
      <c r="B4131" s="11">
        <f>IFERROR(__xludf.DUMMYFUNCTION("""COMPUTED_VALUE"""),40242.0)</f>
        <v>40242</v>
      </c>
      <c r="C4131" s="9">
        <f>IFERROR(__xludf.DUMMYFUNCTION("""COMPUTED_VALUE"""),3.69)</f>
        <v>3.69</v>
      </c>
      <c r="H4131" s="17"/>
      <c r="K4131" s="17"/>
      <c r="N4131" s="17"/>
    </row>
    <row r="4132">
      <c r="B4132" s="11">
        <f>IFERROR(__xludf.DUMMYFUNCTION("""COMPUTED_VALUE"""),40241.0)</f>
        <v>40241</v>
      </c>
      <c r="C4132" s="9">
        <f>IFERROR(__xludf.DUMMYFUNCTION("""COMPUTED_VALUE"""),3.61)</f>
        <v>3.61</v>
      </c>
      <c r="H4132" s="17"/>
      <c r="K4132" s="17"/>
      <c r="N4132" s="17"/>
    </row>
    <row r="4133">
      <c r="B4133" s="11">
        <f>IFERROR(__xludf.DUMMYFUNCTION("""COMPUTED_VALUE"""),40240.0)</f>
        <v>40240</v>
      </c>
      <c r="C4133" s="9">
        <f>IFERROR(__xludf.DUMMYFUNCTION("""COMPUTED_VALUE"""),3.63)</f>
        <v>3.63</v>
      </c>
      <c r="H4133" s="17"/>
      <c r="K4133" s="17"/>
      <c r="N4133" s="17"/>
    </row>
    <row r="4134">
      <c r="B4134" s="11">
        <f>IFERROR(__xludf.DUMMYFUNCTION("""COMPUTED_VALUE"""),40239.0)</f>
        <v>40239</v>
      </c>
      <c r="C4134" s="9">
        <f>IFERROR(__xludf.DUMMYFUNCTION("""COMPUTED_VALUE"""),3.62)</f>
        <v>3.62</v>
      </c>
      <c r="H4134" s="17"/>
      <c r="K4134" s="17"/>
      <c r="N4134" s="17"/>
    </row>
    <row r="4135">
      <c r="B4135" s="11">
        <f>IFERROR(__xludf.DUMMYFUNCTION("""COMPUTED_VALUE"""),40238.0)</f>
        <v>40238</v>
      </c>
      <c r="C4135" s="9">
        <f>IFERROR(__xludf.DUMMYFUNCTION("""COMPUTED_VALUE"""),3.61)</f>
        <v>3.61</v>
      </c>
      <c r="H4135" s="17"/>
      <c r="K4135" s="17"/>
      <c r="N4135" s="17"/>
    </row>
    <row r="4136">
      <c r="B4136" s="11">
        <f>IFERROR(__xludf.DUMMYFUNCTION("""COMPUTED_VALUE"""),40235.0)</f>
        <v>40235</v>
      </c>
      <c r="C4136" s="9">
        <f>IFERROR(__xludf.DUMMYFUNCTION("""COMPUTED_VALUE"""),3.61)</f>
        <v>3.61</v>
      </c>
      <c r="H4136" s="17"/>
      <c r="K4136" s="17"/>
      <c r="N4136" s="17"/>
    </row>
    <row r="4137">
      <c r="B4137" s="11">
        <f>IFERROR(__xludf.DUMMYFUNCTION("""COMPUTED_VALUE"""),40234.0)</f>
        <v>40234</v>
      </c>
      <c r="C4137" s="9">
        <f>IFERROR(__xludf.DUMMYFUNCTION("""COMPUTED_VALUE"""),3.64)</f>
        <v>3.64</v>
      </c>
      <c r="H4137" s="17"/>
      <c r="K4137" s="17"/>
      <c r="N4137" s="17"/>
    </row>
    <row r="4138">
      <c r="B4138" s="11">
        <f>IFERROR(__xludf.DUMMYFUNCTION("""COMPUTED_VALUE"""),40233.0)</f>
        <v>40233</v>
      </c>
      <c r="C4138" s="9">
        <f>IFERROR(__xludf.DUMMYFUNCTION("""COMPUTED_VALUE"""),3.7)</f>
        <v>3.7</v>
      </c>
      <c r="H4138" s="17"/>
      <c r="K4138" s="17"/>
      <c r="N4138" s="17"/>
    </row>
    <row r="4139">
      <c r="B4139" s="11">
        <f>IFERROR(__xludf.DUMMYFUNCTION("""COMPUTED_VALUE"""),40232.0)</f>
        <v>40232</v>
      </c>
      <c r="C4139" s="9">
        <f>IFERROR(__xludf.DUMMYFUNCTION("""COMPUTED_VALUE"""),3.69)</f>
        <v>3.69</v>
      </c>
      <c r="H4139" s="17"/>
      <c r="K4139" s="17"/>
      <c r="N4139" s="17"/>
    </row>
    <row r="4140">
      <c r="B4140" s="11">
        <f>IFERROR(__xludf.DUMMYFUNCTION("""COMPUTED_VALUE"""),40231.0)</f>
        <v>40231</v>
      </c>
      <c r="C4140" s="9">
        <f>IFERROR(__xludf.DUMMYFUNCTION("""COMPUTED_VALUE"""),3.8)</f>
        <v>3.8</v>
      </c>
      <c r="H4140" s="17"/>
      <c r="K4140" s="17"/>
      <c r="N4140" s="17"/>
    </row>
    <row r="4141">
      <c r="B4141" s="11">
        <f>IFERROR(__xludf.DUMMYFUNCTION("""COMPUTED_VALUE"""),40228.0)</f>
        <v>40228</v>
      </c>
      <c r="C4141" s="9">
        <f>IFERROR(__xludf.DUMMYFUNCTION("""COMPUTED_VALUE"""),3.78)</f>
        <v>3.78</v>
      </c>
      <c r="H4141" s="17"/>
      <c r="K4141" s="17"/>
      <c r="N4141" s="17"/>
    </row>
    <row r="4142">
      <c r="B4142" s="11">
        <f>IFERROR(__xludf.DUMMYFUNCTION("""COMPUTED_VALUE"""),40227.0)</f>
        <v>40227</v>
      </c>
      <c r="C4142" s="9">
        <f>IFERROR(__xludf.DUMMYFUNCTION("""COMPUTED_VALUE"""),3.79)</f>
        <v>3.79</v>
      </c>
      <c r="H4142" s="17"/>
      <c r="K4142" s="17"/>
      <c r="N4142" s="17"/>
    </row>
    <row r="4143">
      <c r="B4143" s="11">
        <f>IFERROR(__xludf.DUMMYFUNCTION("""COMPUTED_VALUE"""),40226.0)</f>
        <v>40226</v>
      </c>
      <c r="C4143" s="9">
        <f>IFERROR(__xludf.DUMMYFUNCTION("""COMPUTED_VALUE"""),3.74)</f>
        <v>3.74</v>
      </c>
      <c r="H4143" s="17"/>
      <c r="K4143" s="17"/>
      <c r="N4143" s="17"/>
    </row>
    <row r="4144">
      <c r="B4144" s="11">
        <f>IFERROR(__xludf.DUMMYFUNCTION("""COMPUTED_VALUE"""),40225.0)</f>
        <v>40225</v>
      </c>
      <c r="C4144" s="9">
        <f>IFERROR(__xludf.DUMMYFUNCTION("""COMPUTED_VALUE"""),3.66)</f>
        <v>3.66</v>
      </c>
      <c r="H4144" s="17"/>
      <c r="K4144" s="17"/>
      <c r="N4144" s="17"/>
    </row>
    <row r="4145">
      <c r="B4145" s="11">
        <f>IFERROR(__xludf.DUMMYFUNCTION("""COMPUTED_VALUE"""),40224.0)</f>
        <v>40224</v>
      </c>
      <c r="C4145" s="9"/>
      <c r="H4145" s="17"/>
      <c r="K4145" s="17"/>
      <c r="N4145" s="17"/>
    </row>
    <row r="4146">
      <c r="B4146" s="11">
        <f>IFERROR(__xludf.DUMMYFUNCTION("""COMPUTED_VALUE"""),40221.0)</f>
        <v>40221</v>
      </c>
      <c r="C4146" s="9">
        <f>IFERROR(__xludf.DUMMYFUNCTION("""COMPUTED_VALUE"""),3.69)</f>
        <v>3.69</v>
      </c>
      <c r="H4146" s="17"/>
      <c r="K4146" s="17"/>
      <c r="N4146" s="17"/>
    </row>
    <row r="4147">
      <c r="B4147" s="11">
        <f>IFERROR(__xludf.DUMMYFUNCTION("""COMPUTED_VALUE"""),40220.0)</f>
        <v>40220</v>
      </c>
      <c r="C4147" s="9">
        <f>IFERROR(__xludf.DUMMYFUNCTION("""COMPUTED_VALUE"""),3.73)</f>
        <v>3.73</v>
      </c>
      <c r="H4147" s="17"/>
      <c r="K4147" s="17"/>
      <c r="N4147" s="17"/>
    </row>
    <row r="4148">
      <c r="B4148" s="11">
        <f>IFERROR(__xludf.DUMMYFUNCTION("""COMPUTED_VALUE"""),40219.0)</f>
        <v>40219</v>
      </c>
      <c r="C4148" s="9">
        <f>IFERROR(__xludf.DUMMYFUNCTION("""COMPUTED_VALUE"""),3.72)</f>
        <v>3.72</v>
      </c>
      <c r="H4148" s="17"/>
      <c r="K4148" s="17"/>
      <c r="N4148" s="17"/>
    </row>
    <row r="4149">
      <c r="B4149" s="11">
        <f>IFERROR(__xludf.DUMMYFUNCTION("""COMPUTED_VALUE"""),40218.0)</f>
        <v>40218</v>
      </c>
      <c r="C4149" s="9">
        <f>IFERROR(__xludf.DUMMYFUNCTION("""COMPUTED_VALUE"""),3.67)</f>
        <v>3.67</v>
      </c>
      <c r="H4149" s="17"/>
      <c r="K4149" s="17"/>
      <c r="N4149" s="17"/>
    </row>
    <row r="4150">
      <c r="B4150" s="11">
        <f>IFERROR(__xludf.DUMMYFUNCTION("""COMPUTED_VALUE"""),40217.0)</f>
        <v>40217</v>
      </c>
      <c r="C4150" s="9">
        <f>IFERROR(__xludf.DUMMYFUNCTION("""COMPUTED_VALUE"""),3.62)</f>
        <v>3.62</v>
      </c>
      <c r="H4150" s="17"/>
      <c r="K4150" s="17"/>
      <c r="N4150" s="17"/>
    </row>
    <row r="4151">
      <c r="B4151" s="11">
        <f>IFERROR(__xludf.DUMMYFUNCTION("""COMPUTED_VALUE"""),40214.0)</f>
        <v>40214</v>
      </c>
      <c r="C4151" s="9">
        <f>IFERROR(__xludf.DUMMYFUNCTION("""COMPUTED_VALUE"""),3.59)</f>
        <v>3.59</v>
      </c>
      <c r="H4151" s="17"/>
      <c r="K4151" s="17"/>
      <c r="N4151" s="17"/>
    </row>
    <row r="4152">
      <c r="B4152" s="11">
        <f>IFERROR(__xludf.DUMMYFUNCTION("""COMPUTED_VALUE"""),40213.0)</f>
        <v>40213</v>
      </c>
      <c r="C4152" s="9">
        <f>IFERROR(__xludf.DUMMYFUNCTION("""COMPUTED_VALUE"""),3.62)</f>
        <v>3.62</v>
      </c>
      <c r="H4152" s="17"/>
      <c r="K4152" s="17"/>
      <c r="N4152" s="17"/>
    </row>
    <row r="4153">
      <c r="B4153" s="11">
        <f>IFERROR(__xludf.DUMMYFUNCTION("""COMPUTED_VALUE"""),40212.0)</f>
        <v>40212</v>
      </c>
      <c r="C4153" s="9">
        <f>IFERROR(__xludf.DUMMYFUNCTION("""COMPUTED_VALUE"""),3.73)</f>
        <v>3.73</v>
      </c>
      <c r="H4153" s="17"/>
      <c r="K4153" s="17"/>
      <c r="N4153" s="17"/>
    </row>
    <row r="4154">
      <c r="B4154" s="11">
        <f>IFERROR(__xludf.DUMMYFUNCTION("""COMPUTED_VALUE"""),40211.0)</f>
        <v>40211</v>
      </c>
      <c r="C4154" s="9">
        <f>IFERROR(__xludf.DUMMYFUNCTION("""COMPUTED_VALUE"""),3.67)</f>
        <v>3.67</v>
      </c>
      <c r="H4154" s="17"/>
      <c r="K4154" s="17"/>
      <c r="N4154" s="17"/>
    </row>
    <row r="4155">
      <c r="B4155" s="11">
        <f>IFERROR(__xludf.DUMMYFUNCTION("""COMPUTED_VALUE"""),40210.0)</f>
        <v>40210</v>
      </c>
      <c r="C4155" s="9">
        <f>IFERROR(__xludf.DUMMYFUNCTION("""COMPUTED_VALUE"""),3.68)</f>
        <v>3.68</v>
      </c>
      <c r="H4155" s="17"/>
      <c r="K4155" s="17"/>
      <c r="N4155" s="17"/>
    </row>
    <row r="4156">
      <c r="B4156" s="11">
        <f>IFERROR(__xludf.DUMMYFUNCTION("""COMPUTED_VALUE"""),40207.0)</f>
        <v>40207</v>
      </c>
      <c r="C4156" s="9">
        <f>IFERROR(__xludf.DUMMYFUNCTION("""COMPUTED_VALUE"""),3.63)</f>
        <v>3.63</v>
      </c>
      <c r="H4156" s="17"/>
      <c r="K4156" s="17"/>
      <c r="N4156" s="17"/>
    </row>
    <row r="4157">
      <c r="B4157" s="11">
        <f>IFERROR(__xludf.DUMMYFUNCTION("""COMPUTED_VALUE"""),40206.0)</f>
        <v>40206</v>
      </c>
      <c r="C4157" s="9">
        <f>IFERROR(__xludf.DUMMYFUNCTION("""COMPUTED_VALUE"""),3.68)</f>
        <v>3.68</v>
      </c>
      <c r="H4157" s="17"/>
      <c r="K4157" s="17"/>
      <c r="N4157" s="17"/>
    </row>
    <row r="4158">
      <c r="B4158" s="11">
        <f>IFERROR(__xludf.DUMMYFUNCTION("""COMPUTED_VALUE"""),40205.0)</f>
        <v>40205</v>
      </c>
      <c r="C4158" s="9">
        <f>IFERROR(__xludf.DUMMYFUNCTION("""COMPUTED_VALUE"""),3.66)</f>
        <v>3.66</v>
      </c>
      <c r="H4158" s="17"/>
      <c r="K4158" s="17"/>
      <c r="N4158" s="17"/>
    </row>
    <row r="4159">
      <c r="B4159" s="11">
        <f>IFERROR(__xludf.DUMMYFUNCTION("""COMPUTED_VALUE"""),40204.0)</f>
        <v>40204</v>
      </c>
      <c r="C4159" s="9">
        <f>IFERROR(__xludf.DUMMYFUNCTION("""COMPUTED_VALUE"""),3.65)</f>
        <v>3.65</v>
      </c>
      <c r="H4159" s="17"/>
      <c r="K4159" s="17"/>
      <c r="N4159" s="17"/>
    </row>
    <row r="4160">
      <c r="B4160" s="11">
        <f>IFERROR(__xludf.DUMMYFUNCTION("""COMPUTED_VALUE"""),40203.0)</f>
        <v>40203</v>
      </c>
      <c r="C4160" s="9">
        <f>IFERROR(__xludf.DUMMYFUNCTION("""COMPUTED_VALUE"""),3.66)</f>
        <v>3.66</v>
      </c>
      <c r="H4160" s="17"/>
      <c r="K4160" s="17"/>
      <c r="N4160" s="17"/>
    </row>
    <row r="4161">
      <c r="B4161" s="11">
        <f>IFERROR(__xludf.DUMMYFUNCTION("""COMPUTED_VALUE"""),40200.0)</f>
        <v>40200</v>
      </c>
      <c r="C4161" s="9">
        <f>IFERROR(__xludf.DUMMYFUNCTION("""COMPUTED_VALUE"""),3.62)</f>
        <v>3.62</v>
      </c>
      <c r="H4161" s="17"/>
      <c r="K4161" s="17"/>
      <c r="N4161" s="17"/>
    </row>
    <row r="4162">
      <c r="B4162" s="11">
        <f>IFERROR(__xludf.DUMMYFUNCTION("""COMPUTED_VALUE"""),40199.0)</f>
        <v>40199</v>
      </c>
      <c r="C4162" s="9">
        <f>IFERROR(__xludf.DUMMYFUNCTION("""COMPUTED_VALUE"""),3.62)</f>
        <v>3.62</v>
      </c>
      <c r="H4162" s="17"/>
      <c r="K4162" s="17"/>
      <c r="N4162" s="17"/>
    </row>
    <row r="4163">
      <c r="B4163" s="11">
        <f>IFERROR(__xludf.DUMMYFUNCTION("""COMPUTED_VALUE"""),40198.0)</f>
        <v>40198</v>
      </c>
      <c r="C4163" s="9">
        <f>IFERROR(__xludf.DUMMYFUNCTION("""COMPUTED_VALUE"""),3.68)</f>
        <v>3.68</v>
      </c>
      <c r="H4163" s="17"/>
      <c r="K4163" s="17"/>
      <c r="N4163" s="17"/>
    </row>
    <row r="4164">
      <c r="B4164" s="11">
        <f>IFERROR(__xludf.DUMMYFUNCTION("""COMPUTED_VALUE"""),40197.0)</f>
        <v>40197</v>
      </c>
      <c r="C4164" s="9">
        <f>IFERROR(__xludf.DUMMYFUNCTION("""COMPUTED_VALUE"""),3.73)</f>
        <v>3.73</v>
      </c>
      <c r="H4164" s="17"/>
      <c r="K4164" s="17"/>
      <c r="N4164" s="17"/>
    </row>
    <row r="4165">
      <c r="B4165" s="11">
        <f>IFERROR(__xludf.DUMMYFUNCTION("""COMPUTED_VALUE"""),40196.0)</f>
        <v>40196</v>
      </c>
      <c r="C4165" s="9"/>
      <c r="H4165" s="17"/>
      <c r="K4165" s="17"/>
      <c r="N4165" s="17"/>
    </row>
    <row r="4166">
      <c r="B4166" s="11">
        <f>IFERROR(__xludf.DUMMYFUNCTION("""COMPUTED_VALUE"""),40193.0)</f>
        <v>40193</v>
      </c>
      <c r="C4166" s="9">
        <f>IFERROR(__xludf.DUMMYFUNCTION("""COMPUTED_VALUE"""),3.7)</f>
        <v>3.7</v>
      </c>
      <c r="H4166" s="17"/>
      <c r="K4166" s="17"/>
      <c r="N4166" s="17"/>
    </row>
    <row r="4167">
      <c r="B4167" s="11">
        <f>IFERROR(__xludf.DUMMYFUNCTION("""COMPUTED_VALUE"""),40192.0)</f>
        <v>40192</v>
      </c>
      <c r="C4167" s="9">
        <f>IFERROR(__xludf.DUMMYFUNCTION("""COMPUTED_VALUE"""),3.76)</f>
        <v>3.76</v>
      </c>
      <c r="H4167" s="17"/>
      <c r="K4167" s="17"/>
      <c r="N4167" s="17"/>
    </row>
    <row r="4168">
      <c r="B4168" s="11">
        <f>IFERROR(__xludf.DUMMYFUNCTION("""COMPUTED_VALUE"""),40191.0)</f>
        <v>40191</v>
      </c>
      <c r="C4168" s="9">
        <f>IFERROR(__xludf.DUMMYFUNCTION("""COMPUTED_VALUE"""),3.8)</f>
        <v>3.8</v>
      </c>
      <c r="H4168" s="17"/>
      <c r="K4168" s="17"/>
      <c r="N4168" s="17"/>
    </row>
    <row r="4169">
      <c r="B4169" s="11">
        <f>IFERROR(__xludf.DUMMYFUNCTION("""COMPUTED_VALUE"""),40190.0)</f>
        <v>40190</v>
      </c>
      <c r="C4169" s="9">
        <f>IFERROR(__xludf.DUMMYFUNCTION("""COMPUTED_VALUE"""),3.74)</f>
        <v>3.74</v>
      </c>
      <c r="H4169" s="17"/>
      <c r="K4169" s="17"/>
      <c r="N4169" s="17"/>
    </row>
    <row r="4170">
      <c r="B4170" s="11">
        <f>IFERROR(__xludf.DUMMYFUNCTION("""COMPUTED_VALUE"""),40189.0)</f>
        <v>40189</v>
      </c>
      <c r="C4170" s="9">
        <f>IFERROR(__xludf.DUMMYFUNCTION("""COMPUTED_VALUE"""),3.85)</f>
        <v>3.85</v>
      </c>
      <c r="H4170" s="17"/>
      <c r="K4170" s="17"/>
      <c r="N4170" s="17"/>
    </row>
    <row r="4171">
      <c r="B4171" s="11">
        <f>IFERROR(__xludf.DUMMYFUNCTION("""COMPUTED_VALUE"""),40186.0)</f>
        <v>40186</v>
      </c>
      <c r="C4171" s="9">
        <f>IFERROR(__xludf.DUMMYFUNCTION("""COMPUTED_VALUE"""),3.83)</f>
        <v>3.83</v>
      </c>
      <c r="H4171" s="17"/>
      <c r="K4171" s="17"/>
      <c r="N4171" s="17"/>
    </row>
    <row r="4172">
      <c r="B4172" s="11">
        <f>IFERROR(__xludf.DUMMYFUNCTION("""COMPUTED_VALUE"""),40185.0)</f>
        <v>40185</v>
      </c>
      <c r="C4172" s="9">
        <f>IFERROR(__xludf.DUMMYFUNCTION("""COMPUTED_VALUE"""),3.85)</f>
        <v>3.85</v>
      </c>
      <c r="H4172" s="17"/>
      <c r="K4172" s="17"/>
      <c r="N4172" s="17"/>
    </row>
    <row r="4173">
      <c r="B4173" s="11">
        <f>IFERROR(__xludf.DUMMYFUNCTION("""COMPUTED_VALUE"""),40184.0)</f>
        <v>40184</v>
      </c>
      <c r="C4173" s="9">
        <f>IFERROR(__xludf.DUMMYFUNCTION("""COMPUTED_VALUE"""),3.85)</f>
        <v>3.85</v>
      </c>
      <c r="H4173" s="17"/>
      <c r="K4173" s="17"/>
      <c r="N4173" s="17"/>
    </row>
    <row r="4174">
      <c r="B4174" s="11">
        <f>IFERROR(__xludf.DUMMYFUNCTION("""COMPUTED_VALUE"""),40183.0)</f>
        <v>40183</v>
      </c>
      <c r="C4174" s="9">
        <f>IFERROR(__xludf.DUMMYFUNCTION("""COMPUTED_VALUE"""),3.77)</f>
        <v>3.77</v>
      </c>
      <c r="H4174" s="17"/>
      <c r="K4174" s="17"/>
      <c r="N4174" s="17"/>
    </row>
    <row r="4175">
      <c r="B4175" s="11">
        <f>IFERROR(__xludf.DUMMYFUNCTION("""COMPUTED_VALUE"""),40182.0)</f>
        <v>40182</v>
      </c>
      <c r="C4175" s="9">
        <f>IFERROR(__xludf.DUMMYFUNCTION("""COMPUTED_VALUE"""),3.85)</f>
        <v>3.85</v>
      </c>
      <c r="H4175" s="17"/>
      <c r="K4175" s="17"/>
      <c r="N4175" s="17"/>
    </row>
    <row r="4176">
      <c r="B4176" s="11">
        <f>IFERROR(__xludf.DUMMYFUNCTION("""COMPUTED_VALUE"""),40179.0)</f>
        <v>40179</v>
      </c>
      <c r="C4176" s="9"/>
      <c r="H4176" s="17"/>
      <c r="K4176" s="17"/>
      <c r="N4176" s="17"/>
    </row>
    <row r="4177">
      <c r="B4177" s="11">
        <f>IFERROR(__xludf.DUMMYFUNCTION("""COMPUTED_VALUE"""),40178.0)</f>
        <v>40178</v>
      </c>
      <c r="C4177" s="9">
        <f>IFERROR(__xludf.DUMMYFUNCTION("""COMPUTED_VALUE"""),3.85)</f>
        <v>3.85</v>
      </c>
      <c r="H4177" s="17"/>
      <c r="K4177" s="17"/>
      <c r="N4177" s="17"/>
    </row>
    <row r="4178">
      <c r="B4178" s="11">
        <f>IFERROR(__xludf.DUMMYFUNCTION("""COMPUTED_VALUE"""),40177.0)</f>
        <v>40177</v>
      </c>
      <c r="C4178" s="9">
        <f>IFERROR(__xludf.DUMMYFUNCTION("""COMPUTED_VALUE"""),3.8)</f>
        <v>3.8</v>
      </c>
      <c r="H4178" s="17"/>
      <c r="K4178" s="17"/>
      <c r="N4178" s="17"/>
    </row>
    <row r="4179">
      <c r="B4179" s="11">
        <f>IFERROR(__xludf.DUMMYFUNCTION("""COMPUTED_VALUE"""),40176.0)</f>
        <v>40176</v>
      </c>
      <c r="C4179" s="9">
        <f>IFERROR(__xludf.DUMMYFUNCTION("""COMPUTED_VALUE"""),3.82)</f>
        <v>3.82</v>
      </c>
      <c r="H4179" s="17"/>
      <c r="K4179" s="17"/>
      <c r="N4179" s="17"/>
    </row>
    <row r="4180">
      <c r="B4180" s="11">
        <f>IFERROR(__xludf.DUMMYFUNCTION("""COMPUTED_VALUE"""),40175.0)</f>
        <v>40175</v>
      </c>
      <c r="C4180" s="9">
        <f>IFERROR(__xludf.DUMMYFUNCTION("""COMPUTED_VALUE"""),3.85)</f>
        <v>3.85</v>
      </c>
      <c r="H4180" s="17"/>
      <c r="K4180" s="17"/>
      <c r="N4180" s="17"/>
    </row>
    <row r="4181">
      <c r="B4181" s="11">
        <f>IFERROR(__xludf.DUMMYFUNCTION("""COMPUTED_VALUE"""),40172.0)</f>
        <v>40172</v>
      </c>
      <c r="C4181" s="9"/>
      <c r="H4181" s="17"/>
      <c r="K4181" s="17"/>
      <c r="N4181" s="17"/>
    </row>
    <row r="4182">
      <c r="B4182" s="11">
        <f>IFERROR(__xludf.DUMMYFUNCTION("""COMPUTED_VALUE"""),40171.0)</f>
        <v>40171</v>
      </c>
      <c r="C4182" s="9">
        <f>IFERROR(__xludf.DUMMYFUNCTION("""COMPUTED_VALUE"""),3.82)</f>
        <v>3.82</v>
      </c>
      <c r="H4182" s="17"/>
      <c r="K4182" s="17"/>
      <c r="N4182" s="17"/>
    </row>
    <row r="4183">
      <c r="B4183" s="11">
        <f>IFERROR(__xludf.DUMMYFUNCTION("""COMPUTED_VALUE"""),40170.0)</f>
        <v>40170</v>
      </c>
      <c r="C4183" s="9">
        <f>IFERROR(__xludf.DUMMYFUNCTION("""COMPUTED_VALUE"""),3.77)</f>
        <v>3.77</v>
      </c>
      <c r="H4183" s="17"/>
      <c r="K4183" s="17"/>
      <c r="N4183" s="17"/>
    </row>
    <row r="4184">
      <c r="B4184" s="11">
        <f>IFERROR(__xludf.DUMMYFUNCTION("""COMPUTED_VALUE"""),40169.0)</f>
        <v>40169</v>
      </c>
      <c r="C4184" s="9">
        <f>IFERROR(__xludf.DUMMYFUNCTION("""COMPUTED_VALUE"""),3.76)</f>
        <v>3.76</v>
      </c>
      <c r="H4184" s="17"/>
      <c r="K4184" s="17"/>
      <c r="N4184" s="17"/>
    </row>
    <row r="4185">
      <c r="B4185" s="11">
        <f>IFERROR(__xludf.DUMMYFUNCTION("""COMPUTED_VALUE"""),40168.0)</f>
        <v>40168</v>
      </c>
      <c r="C4185" s="9">
        <f>IFERROR(__xludf.DUMMYFUNCTION("""COMPUTED_VALUE"""),3.69)</f>
        <v>3.69</v>
      </c>
      <c r="H4185" s="17"/>
      <c r="K4185" s="17"/>
      <c r="N4185" s="17"/>
    </row>
    <row r="4186">
      <c r="B4186" s="11">
        <f>IFERROR(__xludf.DUMMYFUNCTION("""COMPUTED_VALUE"""),40165.0)</f>
        <v>40165</v>
      </c>
      <c r="C4186" s="9">
        <f>IFERROR(__xludf.DUMMYFUNCTION("""COMPUTED_VALUE"""),3.55)</f>
        <v>3.55</v>
      </c>
      <c r="H4186" s="17"/>
      <c r="K4186" s="17"/>
      <c r="N4186" s="17"/>
    </row>
    <row r="4187">
      <c r="B4187" s="11">
        <f>IFERROR(__xludf.DUMMYFUNCTION("""COMPUTED_VALUE"""),40164.0)</f>
        <v>40164</v>
      </c>
      <c r="C4187" s="9">
        <f>IFERROR(__xludf.DUMMYFUNCTION("""COMPUTED_VALUE"""),3.5)</f>
        <v>3.5</v>
      </c>
      <c r="H4187" s="17"/>
      <c r="K4187" s="17"/>
      <c r="N4187" s="17"/>
    </row>
    <row r="4188">
      <c r="B4188" s="11">
        <f>IFERROR(__xludf.DUMMYFUNCTION("""COMPUTED_VALUE"""),40163.0)</f>
        <v>40163</v>
      </c>
      <c r="C4188" s="9">
        <f>IFERROR(__xludf.DUMMYFUNCTION("""COMPUTED_VALUE"""),3.61)</f>
        <v>3.61</v>
      </c>
      <c r="H4188" s="17"/>
      <c r="K4188" s="17"/>
      <c r="N4188" s="17"/>
    </row>
    <row r="4189">
      <c r="B4189" s="11">
        <f>IFERROR(__xludf.DUMMYFUNCTION("""COMPUTED_VALUE"""),40162.0)</f>
        <v>40162</v>
      </c>
      <c r="C4189" s="9">
        <f>IFERROR(__xludf.DUMMYFUNCTION("""COMPUTED_VALUE"""),3.6)</f>
        <v>3.6</v>
      </c>
      <c r="H4189" s="17"/>
      <c r="K4189" s="17"/>
      <c r="N4189" s="17"/>
    </row>
    <row r="4190">
      <c r="B4190" s="11">
        <f>IFERROR(__xludf.DUMMYFUNCTION("""COMPUTED_VALUE"""),40161.0)</f>
        <v>40161</v>
      </c>
      <c r="C4190" s="9">
        <f>IFERROR(__xludf.DUMMYFUNCTION("""COMPUTED_VALUE"""),3.56)</f>
        <v>3.56</v>
      </c>
      <c r="H4190" s="17"/>
      <c r="K4190" s="17"/>
      <c r="N4190" s="17"/>
    </row>
    <row r="4191">
      <c r="B4191" s="11">
        <f>IFERROR(__xludf.DUMMYFUNCTION("""COMPUTED_VALUE"""),40158.0)</f>
        <v>40158</v>
      </c>
      <c r="C4191" s="9">
        <f>IFERROR(__xludf.DUMMYFUNCTION("""COMPUTED_VALUE"""),3.55)</f>
        <v>3.55</v>
      </c>
      <c r="H4191" s="17"/>
      <c r="K4191" s="17"/>
      <c r="N4191" s="17"/>
    </row>
    <row r="4192">
      <c r="B4192" s="11">
        <f>IFERROR(__xludf.DUMMYFUNCTION("""COMPUTED_VALUE"""),40157.0)</f>
        <v>40157</v>
      </c>
      <c r="C4192" s="9">
        <f>IFERROR(__xludf.DUMMYFUNCTION("""COMPUTED_VALUE"""),3.49)</f>
        <v>3.49</v>
      </c>
      <c r="H4192" s="17"/>
      <c r="K4192" s="17"/>
      <c r="N4192" s="17"/>
    </row>
    <row r="4193">
      <c r="B4193" s="11">
        <f>IFERROR(__xludf.DUMMYFUNCTION("""COMPUTED_VALUE"""),40156.0)</f>
        <v>40156</v>
      </c>
      <c r="C4193" s="9">
        <f>IFERROR(__xludf.DUMMYFUNCTION("""COMPUTED_VALUE"""),3.45)</f>
        <v>3.45</v>
      </c>
      <c r="H4193" s="17"/>
      <c r="K4193" s="17"/>
      <c r="N4193" s="17"/>
    </row>
    <row r="4194">
      <c r="B4194" s="11">
        <f>IFERROR(__xludf.DUMMYFUNCTION("""COMPUTED_VALUE"""),40155.0)</f>
        <v>40155</v>
      </c>
      <c r="C4194" s="9">
        <f>IFERROR(__xludf.DUMMYFUNCTION("""COMPUTED_VALUE"""),3.4)</f>
        <v>3.4</v>
      </c>
      <c r="H4194" s="17"/>
      <c r="K4194" s="17"/>
      <c r="N4194" s="17"/>
    </row>
    <row r="4195">
      <c r="B4195" s="11">
        <f>IFERROR(__xludf.DUMMYFUNCTION("""COMPUTED_VALUE"""),40154.0)</f>
        <v>40154</v>
      </c>
      <c r="C4195" s="9">
        <f>IFERROR(__xludf.DUMMYFUNCTION("""COMPUTED_VALUE"""),3.44)</f>
        <v>3.44</v>
      </c>
      <c r="H4195" s="17"/>
      <c r="K4195" s="17"/>
      <c r="N4195" s="17"/>
    </row>
    <row r="4196">
      <c r="B4196" s="11">
        <f>IFERROR(__xludf.DUMMYFUNCTION("""COMPUTED_VALUE"""),40151.0)</f>
        <v>40151</v>
      </c>
      <c r="C4196" s="9">
        <f>IFERROR(__xludf.DUMMYFUNCTION("""COMPUTED_VALUE"""),3.48)</f>
        <v>3.48</v>
      </c>
      <c r="H4196" s="17"/>
      <c r="K4196" s="17"/>
      <c r="N4196" s="17"/>
    </row>
    <row r="4197">
      <c r="B4197" s="11">
        <f>IFERROR(__xludf.DUMMYFUNCTION("""COMPUTED_VALUE"""),40150.0)</f>
        <v>40150</v>
      </c>
      <c r="C4197" s="9">
        <f>IFERROR(__xludf.DUMMYFUNCTION("""COMPUTED_VALUE"""),3.39)</f>
        <v>3.39</v>
      </c>
      <c r="H4197" s="17"/>
      <c r="K4197" s="17"/>
      <c r="N4197" s="17"/>
    </row>
    <row r="4198">
      <c r="B4198" s="11">
        <f>IFERROR(__xludf.DUMMYFUNCTION("""COMPUTED_VALUE"""),40149.0)</f>
        <v>40149</v>
      </c>
      <c r="C4198" s="9">
        <f>IFERROR(__xludf.DUMMYFUNCTION("""COMPUTED_VALUE"""),3.32)</f>
        <v>3.32</v>
      </c>
      <c r="H4198" s="17"/>
      <c r="K4198" s="17"/>
      <c r="N4198" s="17"/>
    </row>
    <row r="4199">
      <c r="B4199" s="11">
        <f>IFERROR(__xludf.DUMMYFUNCTION("""COMPUTED_VALUE"""),40148.0)</f>
        <v>40148</v>
      </c>
      <c r="C4199" s="9">
        <f>IFERROR(__xludf.DUMMYFUNCTION("""COMPUTED_VALUE"""),3.28)</f>
        <v>3.28</v>
      </c>
      <c r="H4199" s="17"/>
      <c r="K4199" s="17"/>
      <c r="N4199" s="17"/>
    </row>
    <row r="4200">
      <c r="B4200" s="11">
        <f>IFERROR(__xludf.DUMMYFUNCTION("""COMPUTED_VALUE"""),40147.0)</f>
        <v>40147</v>
      </c>
      <c r="C4200" s="9">
        <f>IFERROR(__xludf.DUMMYFUNCTION("""COMPUTED_VALUE"""),3.21)</f>
        <v>3.21</v>
      </c>
      <c r="H4200" s="17"/>
      <c r="K4200" s="17"/>
      <c r="N4200" s="17"/>
    </row>
    <row r="4201">
      <c r="B4201" s="11">
        <f>IFERROR(__xludf.DUMMYFUNCTION("""COMPUTED_VALUE"""),40144.0)</f>
        <v>40144</v>
      </c>
      <c r="C4201" s="9">
        <f>IFERROR(__xludf.DUMMYFUNCTION("""COMPUTED_VALUE"""),3.21)</f>
        <v>3.21</v>
      </c>
      <c r="H4201" s="17"/>
      <c r="K4201" s="17"/>
      <c r="N4201" s="17"/>
    </row>
    <row r="4202">
      <c r="B4202" s="11">
        <f>IFERROR(__xludf.DUMMYFUNCTION("""COMPUTED_VALUE"""),40143.0)</f>
        <v>40143</v>
      </c>
      <c r="C4202" s="9"/>
      <c r="H4202" s="17"/>
      <c r="K4202" s="17"/>
      <c r="N4202" s="17"/>
    </row>
    <row r="4203">
      <c r="B4203" s="11">
        <f>IFERROR(__xludf.DUMMYFUNCTION("""COMPUTED_VALUE"""),40142.0)</f>
        <v>40142</v>
      </c>
      <c r="C4203" s="9">
        <f>IFERROR(__xludf.DUMMYFUNCTION("""COMPUTED_VALUE"""),3.28)</f>
        <v>3.28</v>
      </c>
      <c r="H4203" s="17"/>
      <c r="K4203" s="17"/>
      <c r="N4203" s="17"/>
    </row>
    <row r="4204">
      <c r="B4204" s="11">
        <f>IFERROR(__xludf.DUMMYFUNCTION("""COMPUTED_VALUE"""),40141.0)</f>
        <v>40141</v>
      </c>
      <c r="C4204" s="9">
        <f>IFERROR(__xludf.DUMMYFUNCTION("""COMPUTED_VALUE"""),3.32)</f>
        <v>3.32</v>
      </c>
      <c r="H4204" s="17"/>
      <c r="K4204" s="17"/>
      <c r="N4204" s="17"/>
    </row>
    <row r="4205">
      <c r="B4205" s="11">
        <f>IFERROR(__xludf.DUMMYFUNCTION("""COMPUTED_VALUE"""),40140.0)</f>
        <v>40140</v>
      </c>
      <c r="C4205" s="9">
        <f>IFERROR(__xludf.DUMMYFUNCTION("""COMPUTED_VALUE"""),3.37)</f>
        <v>3.37</v>
      </c>
      <c r="H4205" s="17"/>
      <c r="K4205" s="17"/>
      <c r="N4205" s="17"/>
    </row>
    <row r="4206">
      <c r="B4206" s="11">
        <f>IFERROR(__xludf.DUMMYFUNCTION("""COMPUTED_VALUE"""),40137.0)</f>
        <v>40137</v>
      </c>
      <c r="C4206" s="9">
        <f>IFERROR(__xludf.DUMMYFUNCTION("""COMPUTED_VALUE"""),3.36)</f>
        <v>3.36</v>
      </c>
      <c r="H4206" s="17"/>
      <c r="K4206" s="17"/>
      <c r="N4206" s="17"/>
    </row>
    <row r="4207">
      <c r="B4207" s="11">
        <f>IFERROR(__xludf.DUMMYFUNCTION("""COMPUTED_VALUE"""),40136.0)</f>
        <v>40136</v>
      </c>
      <c r="C4207" s="9">
        <f>IFERROR(__xludf.DUMMYFUNCTION("""COMPUTED_VALUE"""),3.35)</f>
        <v>3.35</v>
      </c>
      <c r="H4207" s="17"/>
      <c r="K4207" s="17"/>
      <c r="N4207" s="17"/>
    </row>
    <row r="4208">
      <c r="B4208" s="11">
        <f>IFERROR(__xludf.DUMMYFUNCTION("""COMPUTED_VALUE"""),40135.0)</f>
        <v>40135</v>
      </c>
      <c r="C4208" s="9">
        <f>IFERROR(__xludf.DUMMYFUNCTION("""COMPUTED_VALUE"""),3.36)</f>
        <v>3.36</v>
      </c>
      <c r="H4208" s="17"/>
      <c r="K4208" s="17"/>
      <c r="N4208" s="17"/>
    </row>
    <row r="4209">
      <c r="B4209" s="11">
        <f>IFERROR(__xludf.DUMMYFUNCTION("""COMPUTED_VALUE"""),40134.0)</f>
        <v>40134</v>
      </c>
      <c r="C4209" s="9">
        <f>IFERROR(__xludf.DUMMYFUNCTION("""COMPUTED_VALUE"""),3.33)</f>
        <v>3.33</v>
      </c>
      <c r="H4209" s="17"/>
      <c r="K4209" s="17"/>
      <c r="N4209" s="17"/>
    </row>
    <row r="4210">
      <c r="B4210" s="11">
        <f>IFERROR(__xludf.DUMMYFUNCTION("""COMPUTED_VALUE"""),40133.0)</f>
        <v>40133</v>
      </c>
      <c r="C4210" s="9">
        <f>IFERROR(__xludf.DUMMYFUNCTION("""COMPUTED_VALUE"""),3.33)</f>
        <v>3.33</v>
      </c>
      <c r="H4210" s="17"/>
      <c r="K4210" s="17"/>
      <c r="N4210" s="17"/>
    </row>
    <row r="4211">
      <c r="B4211" s="11">
        <f>IFERROR(__xludf.DUMMYFUNCTION("""COMPUTED_VALUE"""),40130.0)</f>
        <v>40130</v>
      </c>
      <c r="C4211" s="9">
        <f>IFERROR(__xludf.DUMMYFUNCTION("""COMPUTED_VALUE"""),3.43)</f>
        <v>3.43</v>
      </c>
      <c r="H4211" s="17"/>
      <c r="K4211" s="17"/>
      <c r="N4211" s="17"/>
    </row>
    <row r="4212">
      <c r="B4212" s="11">
        <f>IFERROR(__xludf.DUMMYFUNCTION("""COMPUTED_VALUE"""),40129.0)</f>
        <v>40129</v>
      </c>
      <c r="C4212" s="9">
        <f>IFERROR(__xludf.DUMMYFUNCTION("""COMPUTED_VALUE"""),3.45)</f>
        <v>3.45</v>
      </c>
      <c r="H4212" s="17"/>
      <c r="K4212" s="17"/>
      <c r="N4212" s="17"/>
    </row>
    <row r="4213">
      <c r="B4213" s="11">
        <f>IFERROR(__xludf.DUMMYFUNCTION("""COMPUTED_VALUE"""),40128.0)</f>
        <v>40128</v>
      </c>
      <c r="C4213" s="9"/>
      <c r="H4213" s="17"/>
      <c r="K4213" s="17"/>
      <c r="N4213" s="17"/>
    </row>
    <row r="4214">
      <c r="B4214" s="11">
        <f>IFERROR(__xludf.DUMMYFUNCTION("""COMPUTED_VALUE"""),40127.0)</f>
        <v>40127</v>
      </c>
      <c r="C4214" s="9">
        <f>IFERROR(__xludf.DUMMYFUNCTION("""COMPUTED_VALUE"""),3.5)</f>
        <v>3.5</v>
      </c>
      <c r="H4214" s="17"/>
      <c r="K4214" s="17"/>
      <c r="N4214" s="17"/>
    </row>
    <row r="4215">
      <c r="B4215" s="11">
        <f>IFERROR(__xludf.DUMMYFUNCTION("""COMPUTED_VALUE"""),40126.0)</f>
        <v>40126</v>
      </c>
      <c r="C4215" s="9">
        <f>IFERROR(__xludf.DUMMYFUNCTION("""COMPUTED_VALUE"""),3.52)</f>
        <v>3.52</v>
      </c>
      <c r="H4215" s="17"/>
      <c r="K4215" s="17"/>
      <c r="N4215" s="17"/>
    </row>
    <row r="4216">
      <c r="B4216" s="11">
        <f>IFERROR(__xludf.DUMMYFUNCTION("""COMPUTED_VALUE"""),40123.0)</f>
        <v>40123</v>
      </c>
      <c r="C4216" s="9">
        <f>IFERROR(__xludf.DUMMYFUNCTION("""COMPUTED_VALUE"""),3.54)</f>
        <v>3.54</v>
      </c>
      <c r="H4216" s="17"/>
      <c r="K4216" s="17"/>
      <c r="N4216" s="17"/>
    </row>
    <row r="4217">
      <c r="B4217" s="11">
        <f>IFERROR(__xludf.DUMMYFUNCTION("""COMPUTED_VALUE"""),40122.0)</f>
        <v>40122</v>
      </c>
      <c r="C4217" s="9">
        <f>IFERROR(__xludf.DUMMYFUNCTION("""COMPUTED_VALUE"""),3.57)</f>
        <v>3.57</v>
      </c>
      <c r="H4217" s="17"/>
      <c r="K4217" s="17"/>
      <c r="N4217" s="17"/>
    </row>
    <row r="4218">
      <c r="B4218" s="11">
        <f>IFERROR(__xludf.DUMMYFUNCTION("""COMPUTED_VALUE"""),40121.0)</f>
        <v>40121</v>
      </c>
      <c r="C4218" s="9">
        <f>IFERROR(__xludf.DUMMYFUNCTION("""COMPUTED_VALUE"""),3.57)</f>
        <v>3.57</v>
      </c>
      <c r="H4218" s="17"/>
      <c r="K4218" s="17"/>
      <c r="N4218" s="17"/>
    </row>
    <row r="4219">
      <c r="B4219" s="11">
        <f>IFERROR(__xludf.DUMMYFUNCTION("""COMPUTED_VALUE"""),40120.0)</f>
        <v>40120</v>
      </c>
      <c r="C4219" s="9">
        <f>IFERROR(__xludf.DUMMYFUNCTION("""COMPUTED_VALUE"""),3.5)</f>
        <v>3.5</v>
      </c>
      <c r="H4219" s="17"/>
      <c r="K4219" s="17"/>
      <c r="N4219" s="17"/>
    </row>
    <row r="4220">
      <c r="B4220" s="11">
        <f>IFERROR(__xludf.DUMMYFUNCTION("""COMPUTED_VALUE"""),40119.0)</f>
        <v>40119</v>
      </c>
      <c r="C4220" s="9">
        <f>IFERROR(__xludf.DUMMYFUNCTION("""COMPUTED_VALUE"""),3.45)</f>
        <v>3.45</v>
      </c>
      <c r="H4220" s="17"/>
      <c r="K4220" s="17"/>
      <c r="N4220" s="17"/>
    </row>
    <row r="4221">
      <c r="B4221" s="11">
        <f>IFERROR(__xludf.DUMMYFUNCTION("""COMPUTED_VALUE"""),40116.0)</f>
        <v>40116</v>
      </c>
      <c r="C4221" s="9">
        <f>IFERROR(__xludf.DUMMYFUNCTION("""COMPUTED_VALUE"""),3.41)</f>
        <v>3.41</v>
      </c>
      <c r="H4221" s="17"/>
      <c r="K4221" s="17"/>
      <c r="N4221" s="17"/>
    </row>
    <row r="4222">
      <c r="B4222" s="11">
        <f>IFERROR(__xludf.DUMMYFUNCTION("""COMPUTED_VALUE"""),40115.0)</f>
        <v>40115</v>
      </c>
      <c r="C4222" s="9">
        <f>IFERROR(__xludf.DUMMYFUNCTION("""COMPUTED_VALUE"""),3.53)</f>
        <v>3.53</v>
      </c>
      <c r="H4222" s="17"/>
      <c r="K4222" s="17"/>
      <c r="N4222" s="17"/>
    </row>
    <row r="4223">
      <c r="B4223" s="11">
        <f>IFERROR(__xludf.DUMMYFUNCTION("""COMPUTED_VALUE"""),40114.0)</f>
        <v>40114</v>
      </c>
      <c r="C4223" s="9">
        <f>IFERROR(__xludf.DUMMYFUNCTION("""COMPUTED_VALUE"""),3.44)</f>
        <v>3.44</v>
      </c>
      <c r="H4223" s="17"/>
      <c r="K4223" s="17"/>
      <c r="N4223" s="17"/>
    </row>
    <row r="4224">
      <c r="B4224" s="11">
        <f>IFERROR(__xludf.DUMMYFUNCTION("""COMPUTED_VALUE"""),40113.0)</f>
        <v>40113</v>
      </c>
      <c r="C4224" s="9">
        <f>IFERROR(__xludf.DUMMYFUNCTION("""COMPUTED_VALUE"""),3.49)</f>
        <v>3.49</v>
      </c>
      <c r="H4224" s="17"/>
      <c r="K4224" s="17"/>
      <c r="N4224" s="17"/>
    </row>
    <row r="4225">
      <c r="B4225" s="11">
        <f>IFERROR(__xludf.DUMMYFUNCTION("""COMPUTED_VALUE"""),40112.0)</f>
        <v>40112</v>
      </c>
      <c r="C4225" s="9">
        <f>IFERROR(__xludf.DUMMYFUNCTION("""COMPUTED_VALUE"""),3.59)</f>
        <v>3.59</v>
      </c>
      <c r="H4225" s="17"/>
      <c r="K4225" s="17"/>
      <c r="N4225" s="17"/>
    </row>
    <row r="4226">
      <c r="B4226" s="11">
        <f>IFERROR(__xludf.DUMMYFUNCTION("""COMPUTED_VALUE"""),40109.0)</f>
        <v>40109</v>
      </c>
      <c r="C4226" s="9">
        <f>IFERROR(__xludf.DUMMYFUNCTION("""COMPUTED_VALUE"""),3.51)</f>
        <v>3.51</v>
      </c>
      <c r="H4226" s="17"/>
      <c r="K4226" s="17"/>
      <c r="N4226" s="17"/>
    </row>
    <row r="4227">
      <c r="B4227" s="11">
        <f>IFERROR(__xludf.DUMMYFUNCTION("""COMPUTED_VALUE"""),40108.0)</f>
        <v>40108</v>
      </c>
      <c r="C4227" s="9">
        <f>IFERROR(__xludf.DUMMYFUNCTION("""COMPUTED_VALUE"""),3.44)</f>
        <v>3.44</v>
      </c>
      <c r="H4227" s="17"/>
      <c r="K4227" s="17"/>
      <c r="N4227" s="17"/>
    </row>
    <row r="4228">
      <c r="B4228" s="11">
        <f>IFERROR(__xludf.DUMMYFUNCTION("""COMPUTED_VALUE"""),40107.0)</f>
        <v>40107</v>
      </c>
      <c r="C4228" s="9">
        <f>IFERROR(__xludf.DUMMYFUNCTION("""COMPUTED_VALUE"""),3.42)</f>
        <v>3.42</v>
      </c>
      <c r="H4228" s="17"/>
      <c r="K4228" s="17"/>
      <c r="N4228" s="17"/>
    </row>
    <row r="4229">
      <c r="B4229" s="11">
        <f>IFERROR(__xludf.DUMMYFUNCTION("""COMPUTED_VALUE"""),40106.0)</f>
        <v>40106</v>
      </c>
      <c r="C4229" s="9">
        <f>IFERROR(__xludf.DUMMYFUNCTION("""COMPUTED_VALUE"""),3.35)</f>
        <v>3.35</v>
      </c>
      <c r="H4229" s="17"/>
      <c r="K4229" s="17"/>
      <c r="N4229" s="17"/>
    </row>
    <row r="4230">
      <c r="B4230" s="11">
        <f>IFERROR(__xludf.DUMMYFUNCTION("""COMPUTED_VALUE"""),40105.0)</f>
        <v>40105</v>
      </c>
      <c r="C4230" s="9">
        <f>IFERROR(__xludf.DUMMYFUNCTION("""COMPUTED_VALUE"""),3.41)</f>
        <v>3.41</v>
      </c>
      <c r="H4230" s="17"/>
      <c r="K4230" s="17"/>
      <c r="N4230" s="17"/>
    </row>
    <row r="4231">
      <c r="B4231" s="11">
        <f>IFERROR(__xludf.DUMMYFUNCTION("""COMPUTED_VALUE"""),40102.0)</f>
        <v>40102</v>
      </c>
      <c r="C4231" s="9">
        <f>IFERROR(__xludf.DUMMYFUNCTION("""COMPUTED_VALUE"""),3.43)</f>
        <v>3.43</v>
      </c>
      <c r="H4231" s="17"/>
      <c r="K4231" s="17"/>
      <c r="N4231" s="17"/>
    </row>
    <row r="4232">
      <c r="B4232" s="11">
        <f>IFERROR(__xludf.DUMMYFUNCTION("""COMPUTED_VALUE"""),40101.0)</f>
        <v>40101</v>
      </c>
      <c r="C4232" s="9">
        <f>IFERROR(__xludf.DUMMYFUNCTION("""COMPUTED_VALUE"""),3.49)</f>
        <v>3.49</v>
      </c>
      <c r="H4232" s="17"/>
      <c r="K4232" s="17"/>
      <c r="N4232" s="17"/>
    </row>
    <row r="4233">
      <c r="B4233" s="11">
        <f>IFERROR(__xludf.DUMMYFUNCTION("""COMPUTED_VALUE"""),40100.0)</f>
        <v>40100</v>
      </c>
      <c r="C4233" s="9">
        <f>IFERROR(__xludf.DUMMYFUNCTION("""COMPUTED_VALUE"""),3.45)</f>
        <v>3.45</v>
      </c>
      <c r="H4233" s="17"/>
      <c r="K4233" s="17"/>
      <c r="N4233" s="17"/>
    </row>
    <row r="4234">
      <c r="B4234" s="11">
        <f>IFERROR(__xludf.DUMMYFUNCTION("""COMPUTED_VALUE"""),40099.0)</f>
        <v>40099</v>
      </c>
      <c r="C4234" s="9">
        <f>IFERROR(__xludf.DUMMYFUNCTION("""COMPUTED_VALUE"""),3.34)</f>
        <v>3.34</v>
      </c>
      <c r="H4234" s="17"/>
      <c r="K4234" s="17"/>
      <c r="N4234" s="17"/>
    </row>
    <row r="4235">
      <c r="B4235" s="11">
        <f>IFERROR(__xludf.DUMMYFUNCTION("""COMPUTED_VALUE"""),40098.0)</f>
        <v>40098</v>
      </c>
      <c r="C4235" s="9"/>
      <c r="H4235" s="17"/>
      <c r="K4235" s="17"/>
      <c r="N4235" s="17"/>
    </row>
    <row r="4236">
      <c r="B4236" s="11">
        <f>IFERROR(__xludf.DUMMYFUNCTION("""COMPUTED_VALUE"""),40095.0)</f>
        <v>40095</v>
      </c>
      <c r="C4236" s="9">
        <f>IFERROR(__xludf.DUMMYFUNCTION("""COMPUTED_VALUE"""),3.4)</f>
        <v>3.4</v>
      </c>
      <c r="H4236" s="17"/>
      <c r="K4236" s="17"/>
      <c r="N4236" s="17"/>
    </row>
    <row r="4237">
      <c r="B4237" s="11">
        <f>IFERROR(__xludf.DUMMYFUNCTION("""COMPUTED_VALUE"""),40094.0)</f>
        <v>40094</v>
      </c>
      <c r="C4237" s="9">
        <f>IFERROR(__xludf.DUMMYFUNCTION("""COMPUTED_VALUE"""),3.27)</f>
        <v>3.27</v>
      </c>
      <c r="H4237" s="17"/>
      <c r="K4237" s="17"/>
      <c r="N4237" s="17"/>
    </row>
    <row r="4238">
      <c r="B4238" s="11">
        <f>IFERROR(__xludf.DUMMYFUNCTION("""COMPUTED_VALUE"""),40093.0)</f>
        <v>40093</v>
      </c>
      <c r="C4238" s="9">
        <f>IFERROR(__xludf.DUMMYFUNCTION("""COMPUTED_VALUE"""),3.21)</f>
        <v>3.21</v>
      </c>
      <c r="H4238" s="17"/>
      <c r="K4238" s="17"/>
      <c r="N4238" s="17"/>
    </row>
    <row r="4239">
      <c r="B4239" s="11">
        <f>IFERROR(__xludf.DUMMYFUNCTION("""COMPUTED_VALUE"""),40092.0)</f>
        <v>40092</v>
      </c>
      <c r="C4239" s="9">
        <f>IFERROR(__xludf.DUMMYFUNCTION("""COMPUTED_VALUE"""),3.27)</f>
        <v>3.27</v>
      </c>
      <c r="H4239" s="17"/>
      <c r="K4239" s="17"/>
      <c r="N4239" s="17"/>
    </row>
    <row r="4240">
      <c r="B4240" s="11">
        <f>IFERROR(__xludf.DUMMYFUNCTION("""COMPUTED_VALUE"""),40091.0)</f>
        <v>40091</v>
      </c>
      <c r="C4240" s="9">
        <f>IFERROR(__xludf.DUMMYFUNCTION("""COMPUTED_VALUE"""),3.24)</f>
        <v>3.24</v>
      </c>
      <c r="H4240" s="17"/>
      <c r="K4240" s="17"/>
      <c r="N4240" s="17"/>
    </row>
    <row r="4241">
      <c r="B4241" s="11">
        <f>IFERROR(__xludf.DUMMYFUNCTION("""COMPUTED_VALUE"""),40088.0)</f>
        <v>40088</v>
      </c>
      <c r="C4241" s="9">
        <f>IFERROR(__xludf.DUMMYFUNCTION("""COMPUTED_VALUE"""),3.24)</f>
        <v>3.24</v>
      </c>
      <c r="H4241" s="17"/>
      <c r="K4241" s="17"/>
      <c r="N4241" s="17"/>
    </row>
    <row r="4242">
      <c r="B4242" s="11">
        <f>IFERROR(__xludf.DUMMYFUNCTION("""COMPUTED_VALUE"""),40087.0)</f>
        <v>40087</v>
      </c>
      <c r="C4242" s="9">
        <f>IFERROR(__xludf.DUMMYFUNCTION("""COMPUTED_VALUE"""),3.21)</f>
        <v>3.21</v>
      </c>
      <c r="H4242" s="17"/>
      <c r="K4242" s="17"/>
      <c r="N4242" s="17"/>
    </row>
    <row r="4243">
      <c r="B4243" s="11">
        <f>IFERROR(__xludf.DUMMYFUNCTION("""COMPUTED_VALUE"""),40086.0)</f>
        <v>40086</v>
      </c>
      <c r="C4243" s="9">
        <f>IFERROR(__xludf.DUMMYFUNCTION("""COMPUTED_VALUE"""),3.31)</f>
        <v>3.31</v>
      </c>
      <c r="H4243" s="17"/>
      <c r="K4243" s="17"/>
      <c r="N4243" s="17"/>
    </row>
    <row r="4244">
      <c r="B4244" s="11">
        <f>IFERROR(__xludf.DUMMYFUNCTION("""COMPUTED_VALUE"""),40085.0)</f>
        <v>40085</v>
      </c>
      <c r="C4244" s="9">
        <f>IFERROR(__xludf.DUMMYFUNCTION("""COMPUTED_VALUE"""),3.31)</f>
        <v>3.31</v>
      </c>
      <c r="H4244" s="17"/>
      <c r="K4244" s="17"/>
      <c r="N4244" s="17"/>
    </row>
    <row r="4245">
      <c r="B4245" s="11">
        <f>IFERROR(__xludf.DUMMYFUNCTION("""COMPUTED_VALUE"""),40084.0)</f>
        <v>40084</v>
      </c>
      <c r="C4245" s="9">
        <f>IFERROR(__xludf.DUMMYFUNCTION("""COMPUTED_VALUE"""),3.31)</f>
        <v>3.31</v>
      </c>
      <c r="H4245" s="17"/>
      <c r="K4245" s="17"/>
      <c r="N4245" s="17"/>
    </row>
    <row r="4246">
      <c r="B4246" s="11">
        <f>IFERROR(__xludf.DUMMYFUNCTION("""COMPUTED_VALUE"""),40081.0)</f>
        <v>40081</v>
      </c>
      <c r="C4246" s="9">
        <f>IFERROR(__xludf.DUMMYFUNCTION("""COMPUTED_VALUE"""),3.34)</f>
        <v>3.34</v>
      </c>
      <c r="H4246" s="17"/>
      <c r="K4246" s="17"/>
      <c r="N4246" s="17"/>
    </row>
    <row r="4247">
      <c r="B4247" s="11">
        <f>IFERROR(__xludf.DUMMYFUNCTION("""COMPUTED_VALUE"""),40080.0)</f>
        <v>40080</v>
      </c>
      <c r="C4247" s="9">
        <f>IFERROR(__xludf.DUMMYFUNCTION("""COMPUTED_VALUE"""),3.4)</f>
        <v>3.4</v>
      </c>
      <c r="H4247" s="17"/>
      <c r="K4247" s="17"/>
      <c r="N4247" s="17"/>
    </row>
    <row r="4248">
      <c r="B4248" s="11">
        <f>IFERROR(__xludf.DUMMYFUNCTION("""COMPUTED_VALUE"""),40079.0)</f>
        <v>40079</v>
      </c>
      <c r="C4248" s="9">
        <f>IFERROR(__xludf.DUMMYFUNCTION("""COMPUTED_VALUE"""),3.44)</f>
        <v>3.44</v>
      </c>
      <c r="H4248" s="17"/>
      <c r="K4248" s="17"/>
      <c r="N4248" s="17"/>
    </row>
    <row r="4249">
      <c r="B4249" s="11">
        <f>IFERROR(__xludf.DUMMYFUNCTION("""COMPUTED_VALUE"""),40078.0)</f>
        <v>40078</v>
      </c>
      <c r="C4249" s="9">
        <f>IFERROR(__xludf.DUMMYFUNCTION("""COMPUTED_VALUE"""),3.46)</f>
        <v>3.46</v>
      </c>
      <c r="H4249" s="17"/>
      <c r="K4249" s="17"/>
      <c r="N4249" s="17"/>
    </row>
    <row r="4250">
      <c r="B4250" s="11">
        <f>IFERROR(__xludf.DUMMYFUNCTION("""COMPUTED_VALUE"""),40077.0)</f>
        <v>40077</v>
      </c>
      <c r="C4250" s="9">
        <f>IFERROR(__xludf.DUMMYFUNCTION("""COMPUTED_VALUE"""),3.49)</f>
        <v>3.49</v>
      </c>
      <c r="H4250" s="17"/>
      <c r="K4250" s="17"/>
      <c r="N4250" s="17"/>
    </row>
    <row r="4251">
      <c r="B4251" s="11">
        <f>IFERROR(__xludf.DUMMYFUNCTION("""COMPUTED_VALUE"""),40074.0)</f>
        <v>40074</v>
      </c>
      <c r="C4251" s="9">
        <f>IFERROR(__xludf.DUMMYFUNCTION("""COMPUTED_VALUE"""),3.49)</f>
        <v>3.49</v>
      </c>
      <c r="H4251" s="17"/>
      <c r="K4251" s="17"/>
      <c r="N4251" s="17"/>
    </row>
    <row r="4252">
      <c r="B4252" s="11">
        <f>IFERROR(__xludf.DUMMYFUNCTION("""COMPUTED_VALUE"""),40073.0)</f>
        <v>40073</v>
      </c>
      <c r="C4252" s="9">
        <f>IFERROR(__xludf.DUMMYFUNCTION("""COMPUTED_VALUE"""),3.42)</f>
        <v>3.42</v>
      </c>
      <c r="H4252" s="17"/>
      <c r="K4252" s="17"/>
      <c r="N4252" s="17"/>
    </row>
    <row r="4253">
      <c r="B4253" s="11">
        <f>IFERROR(__xludf.DUMMYFUNCTION("""COMPUTED_VALUE"""),40072.0)</f>
        <v>40072</v>
      </c>
      <c r="C4253" s="9">
        <f>IFERROR(__xludf.DUMMYFUNCTION("""COMPUTED_VALUE"""),3.48)</f>
        <v>3.48</v>
      </c>
      <c r="H4253" s="17"/>
      <c r="K4253" s="17"/>
      <c r="N4253" s="17"/>
    </row>
    <row r="4254">
      <c r="B4254" s="11">
        <f>IFERROR(__xludf.DUMMYFUNCTION("""COMPUTED_VALUE"""),40071.0)</f>
        <v>40071</v>
      </c>
      <c r="C4254" s="9">
        <f>IFERROR(__xludf.DUMMYFUNCTION("""COMPUTED_VALUE"""),3.47)</f>
        <v>3.47</v>
      </c>
      <c r="H4254" s="17"/>
      <c r="K4254" s="17"/>
      <c r="N4254" s="17"/>
    </row>
    <row r="4255">
      <c r="B4255" s="11">
        <f>IFERROR(__xludf.DUMMYFUNCTION("""COMPUTED_VALUE"""),40070.0)</f>
        <v>40070</v>
      </c>
      <c r="C4255" s="9">
        <f>IFERROR(__xludf.DUMMYFUNCTION("""COMPUTED_VALUE"""),3.42)</f>
        <v>3.42</v>
      </c>
      <c r="H4255" s="17"/>
      <c r="K4255" s="17"/>
      <c r="N4255" s="17"/>
    </row>
    <row r="4256">
      <c r="B4256" s="11">
        <f>IFERROR(__xludf.DUMMYFUNCTION("""COMPUTED_VALUE"""),40067.0)</f>
        <v>40067</v>
      </c>
      <c r="C4256" s="9">
        <f>IFERROR(__xludf.DUMMYFUNCTION("""COMPUTED_VALUE"""),3.34)</f>
        <v>3.34</v>
      </c>
      <c r="H4256" s="17"/>
      <c r="K4256" s="17"/>
      <c r="N4256" s="17"/>
    </row>
    <row r="4257">
      <c r="B4257" s="11">
        <f>IFERROR(__xludf.DUMMYFUNCTION("""COMPUTED_VALUE"""),40066.0)</f>
        <v>40066</v>
      </c>
      <c r="C4257" s="9">
        <f>IFERROR(__xludf.DUMMYFUNCTION("""COMPUTED_VALUE"""),3.36)</f>
        <v>3.36</v>
      </c>
      <c r="H4257" s="17"/>
      <c r="K4257" s="17"/>
      <c r="N4257" s="17"/>
    </row>
    <row r="4258">
      <c r="B4258" s="11">
        <f>IFERROR(__xludf.DUMMYFUNCTION("""COMPUTED_VALUE"""),40065.0)</f>
        <v>40065</v>
      </c>
      <c r="C4258" s="9">
        <f>IFERROR(__xludf.DUMMYFUNCTION("""COMPUTED_VALUE"""),3.48)</f>
        <v>3.48</v>
      </c>
      <c r="H4258" s="17"/>
      <c r="K4258" s="17"/>
      <c r="N4258" s="17"/>
    </row>
    <row r="4259">
      <c r="B4259" s="11">
        <f>IFERROR(__xludf.DUMMYFUNCTION("""COMPUTED_VALUE"""),40064.0)</f>
        <v>40064</v>
      </c>
      <c r="C4259" s="9">
        <f>IFERROR(__xludf.DUMMYFUNCTION("""COMPUTED_VALUE"""),3.47)</f>
        <v>3.47</v>
      </c>
      <c r="H4259" s="17"/>
      <c r="K4259" s="17"/>
      <c r="N4259" s="17"/>
    </row>
    <row r="4260">
      <c r="B4260" s="11">
        <f>IFERROR(__xludf.DUMMYFUNCTION("""COMPUTED_VALUE"""),40063.0)</f>
        <v>40063</v>
      </c>
      <c r="C4260" s="9"/>
      <c r="H4260" s="17"/>
      <c r="K4260" s="17"/>
      <c r="N4260" s="17"/>
    </row>
    <row r="4261">
      <c r="B4261" s="11">
        <f>IFERROR(__xludf.DUMMYFUNCTION("""COMPUTED_VALUE"""),40060.0)</f>
        <v>40060</v>
      </c>
      <c r="C4261" s="9">
        <f>IFERROR(__xludf.DUMMYFUNCTION("""COMPUTED_VALUE"""),3.45)</f>
        <v>3.45</v>
      </c>
      <c r="H4261" s="17"/>
      <c r="K4261" s="17"/>
      <c r="N4261" s="17"/>
    </row>
    <row r="4262">
      <c r="B4262" s="11">
        <f>IFERROR(__xludf.DUMMYFUNCTION("""COMPUTED_VALUE"""),40059.0)</f>
        <v>40059</v>
      </c>
      <c r="C4262" s="9">
        <f>IFERROR(__xludf.DUMMYFUNCTION("""COMPUTED_VALUE"""),3.33)</f>
        <v>3.33</v>
      </c>
      <c r="H4262" s="17"/>
      <c r="K4262" s="17"/>
      <c r="N4262" s="17"/>
    </row>
    <row r="4263">
      <c r="B4263" s="11">
        <f>IFERROR(__xludf.DUMMYFUNCTION("""COMPUTED_VALUE"""),40058.0)</f>
        <v>40058</v>
      </c>
      <c r="C4263" s="9">
        <f>IFERROR(__xludf.DUMMYFUNCTION("""COMPUTED_VALUE"""),3.29)</f>
        <v>3.29</v>
      </c>
      <c r="H4263" s="17"/>
      <c r="K4263" s="17"/>
      <c r="N4263" s="17"/>
    </row>
    <row r="4264">
      <c r="B4264" s="11">
        <f>IFERROR(__xludf.DUMMYFUNCTION("""COMPUTED_VALUE"""),40057.0)</f>
        <v>40057</v>
      </c>
      <c r="C4264" s="9">
        <f>IFERROR(__xludf.DUMMYFUNCTION("""COMPUTED_VALUE"""),3.38)</f>
        <v>3.38</v>
      </c>
      <c r="H4264" s="17"/>
      <c r="K4264" s="17"/>
      <c r="N4264" s="17"/>
    </row>
    <row r="4265">
      <c r="B4265" s="11">
        <f>IFERROR(__xludf.DUMMYFUNCTION("""COMPUTED_VALUE"""),40056.0)</f>
        <v>40056</v>
      </c>
      <c r="C4265" s="9">
        <f>IFERROR(__xludf.DUMMYFUNCTION("""COMPUTED_VALUE"""),3.4)</f>
        <v>3.4</v>
      </c>
      <c r="H4265" s="17"/>
      <c r="K4265" s="17"/>
      <c r="N4265" s="17"/>
    </row>
    <row r="4266">
      <c r="B4266" s="11">
        <f>IFERROR(__xludf.DUMMYFUNCTION("""COMPUTED_VALUE"""),40053.0)</f>
        <v>40053</v>
      </c>
      <c r="C4266" s="9">
        <f>IFERROR(__xludf.DUMMYFUNCTION("""COMPUTED_VALUE"""),3.46)</f>
        <v>3.46</v>
      </c>
      <c r="H4266" s="17"/>
      <c r="K4266" s="17"/>
      <c r="N4266" s="17"/>
    </row>
    <row r="4267">
      <c r="B4267" s="11">
        <f>IFERROR(__xludf.DUMMYFUNCTION("""COMPUTED_VALUE"""),40052.0)</f>
        <v>40052</v>
      </c>
      <c r="C4267" s="9">
        <f>IFERROR(__xludf.DUMMYFUNCTION("""COMPUTED_VALUE"""),3.47)</f>
        <v>3.47</v>
      </c>
      <c r="H4267" s="17"/>
      <c r="K4267" s="17"/>
      <c r="N4267" s="17"/>
    </row>
    <row r="4268">
      <c r="B4268" s="11">
        <f>IFERROR(__xludf.DUMMYFUNCTION("""COMPUTED_VALUE"""),40051.0)</f>
        <v>40051</v>
      </c>
      <c r="C4268" s="9">
        <f>IFERROR(__xludf.DUMMYFUNCTION("""COMPUTED_VALUE"""),3.44)</f>
        <v>3.44</v>
      </c>
      <c r="H4268" s="17"/>
      <c r="K4268" s="17"/>
      <c r="N4268" s="17"/>
    </row>
    <row r="4269">
      <c r="B4269" s="11">
        <f>IFERROR(__xludf.DUMMYFUNCTION("""COMPUTED_VALUE"""),40050.0)</f>
        <v>40050</v>
      </c>
      <c r="C4269" s="9">
        <f>IFERROR(__xludf.DUMMYFUNCTION("""COMPUTED_VALUE"""),3.45)</f>
        <v>3.45</v>
      </c>
      <c r="H4269" s="17"/>
      <c r="K4269" s="17"/>
      <c r="N4269" s="17"/>
    </row>
    <row r="4270">
      <c r="B4270" s="11">
        <f>IFERROR(__xludf.DUMMYFUNCTION("""COMPUTED_VALUE"""),40049.0)</f>
        <v>40049</v>
      </c>
      <c r="C4270" s="9">
        <f>IFERROR(__xludf.DUMMYFUNCTION("""COMPUTED_VALUE"""),3.48)</f>
        <v>3.48</v>
      </c>
      <c r="H4270" s="17"/>
      <c r="K4270" s="17"/>
      <c r="N4270" s="17"/>
    </row>
    <row r="4271">
      <c r="B4271" s="11">
        <f>IFERROR(__xludf.DUMMYFUNCTION("""COMPUTED_VALUE"""),40046.0)</f>
        <v>40046</v>
      </c>
      <c r="C4271" s="9">
        <f>IFERROR(__xludf.DUMMYFUNCTION("""COMPUTED_VALUE"""),3.56)</f>
        <v>3.56</v>
      </c>
      <c r="H4271" s="17"/>
      <c r="K4271" s="17"/>
      <c r="N4271" s="17"/>
    </row>
    <row r="4272">
      <c r="B4272" s="11">
        <f>IFERROR(__xludf.DUMMYFUNCTION("""COMPUTED_VALUE"""),40045.0)</f>
        <v>40045</v>
      </c>
      <c r="C4272" s="9">
        <f>IFERROR(__xludf.DUMMYFUNCTION("""COMPUTED_VALUE"""),3.42)</f>
        <v>3.42</v>
      </c>
      <c r="H4272" s="17"/>
      <c r="K4272" s="17"/>
      <c r="N4272" s="17"/>
    </row>
    <row r="4273">
      <c r="B4273" s="11">
        <f>IFERROR(__xludf.DUMMYFUNCTION("""COMPUTED_VALUE"""),40044.0)</f>
        <v>40044</v>
      </c>
      <c r="C4273" s="9">
        <f>IFERROR(__xludf.DUMMYFUNCTION("""COMPUTED_VALUE"""),3.45)</f>
        <v>3.45</v>
      </c>
      <c r="H4273" s="17"/>
      <c r="K4273" s="17"/>
      <c r="N4273" s="17"/>
    </row>
    <row r="4274">
      <c r="B4274" s="11">
        <f>IFERROR(__xludf.DUMMYFUNCTION("""COMPUTED_VALUE"""),40043.0)</f>
        <v>40043</v>
      </c>
      <c r="C4274" s="9">
        <f>IFERROR(__xludf.DUMMYFUNCTION("""COMPUTED_VALUE"""),3.51)</f>
        <v>3.51</v>
      </c>
      <c r="H4274" s="17"/>
      <c r="K4274" s="17"/>
      <c r="N4274" s="17"/>
    </row>
    <row r="4275">
      <c r="B4275" s="11">
        <f>IFERROR(__xludf.DUMMYFUNCTION("""COMPUTED_VALUE"""),40042.0)</f>
        <v>40042</v>
      </c>
      <c r="C4275" s="9">
        <f>IFERROR(__xludf.DUMMYFUNCTION("""COMPUTED_VALUE"""),3.48)</f>
        <v>3.48</v>
      </c>
      <c r="H4275" s="17"/>
      <c r="K4275" s="17"/>
      <c r="N4275" s="17"/>
    </row>
    <row r="4276">
      <c r="B4276" s="11">
        <f>IFERROR(__xludf.DUMMYFUNCTION("""COMPUTED_VALUE"""),40039.0)</f>
        <v>40039</v>
      </c>
      <c r="C4276" s="9">
        <f>IFERROR(__xludf.DUMMYFUNCTION("""COMPUTED_VALUE"""),3.55)</f>
        <v>3.55</v>
      </c>
      <c r="H4276" s="17"/>
      <c r="K4276" s="17"/>
      <c r="N4276" s="17"/>
    </row>
    <row r="4277">
      <c r="B4277" s="11">
        <f>IFERROR(__xludf.DUMMYFUNCTION("""COMPUTED_VALUE"""),40038.0)</f>
        <v>40038</v>
      </c>
      <c r="C4277" s="9">
        <f>IFERROR(__xludf.DUMMYFUNCTION("""COMPUTED_VALUE"""),3.59)</f>
        <v>3.59</v>
      </c>
      <c r="H4277" s="17"/>
      <c r="K4277" s="17"/>
      <c r="N4277" s="17"/>
    </row>
    <row r="4278">
      <c r="B4278" s="11">
        <f>IFERROR(__xludf.DUMMYFUNCTION("""COMPUTED_VALUE"""),40037.0)</f>
        <v>40037</v>
      </c>
      <c r="C4278" s="9">
        <f>IFERROR(__xludf.DUMMYFUNCTION("""COMPUTED_VALUE"""),3.72)</f>
        <v>3.72</v>
      </c>
      <c r="H4278" s="17"/>
      <c r="K4278" s="17"/>
      <c r="N4278" s="17"/>
    </row>
    <row r="4279">
      <c r="B4279" s="11">
        <f>IFERROR(__xludf.DUMMYFUNCTION("""COMPUTED_VALUE"""),40036.0)</f>
        <v>40036</v>
      </c>
      <c r="C4279" s="9">
        <f>IFERROR(__xludf.DUMMYFUNCTION("""COMPUTED_VALUE"""),3.71)</f>
        <v>3.71</v>
      </c>
      <c r="H4279" s="17"/>
      <c r="K4279" s="17"/>
      <c r="N4279" s="17"/>
    </row>
    <row r="4280">
      <c r="B4280" s="11">
        <f>IFERROR(__xludf.DUMMYFUNCTION("""COMPUTED_VALUE"""),40035.0)</f>
        <v>40035</v>
      </c>
      <c r="C4280" s="9">
        <f>IFERROR(__xludf.DUMMYFUNCTION("""COMPUTED_VALUE"""),3.8)</f>
        <v>3.8</v>
      </c>
      <c r="H4280" s="17"/>
      <c r="K4280" s="17"/>
      <c r="N4280" s="17"/>
    </row>
    <row r="4281">
      <c r="B4281" s="11">
        <f>IFERROR(__xludf.DUMMYFUNCTION("""COMPUTED_VALUE"""),40032.0)</f>
        <v>40032</v>
      </c>
      <c r="C4281" s="9">
        <f>IFERROR(__xludf.DUMMYFUNCTION("""COMPUTED_VALUE"""),3.89)</f>
        <v>3.89</v>
      </c>
      <c r="H4281" s="17"/>
      <c r="K4281" s="17"/>
      <c r="N4281" s="17"/>
    </row>
    <row r="4282">
      <c r="B4282" s="11">
        <f>IFERROR(__xludf.DUMMYFUNCTION("""COMPUTED_VALUE"""),40031.0)</f>
        <v>40031</v>
      </c>
      <c r="C4282" s="9">
        <f>IFERROR(__xludf.DUMMYFUNCTION("""COMPUTED_VALUE"""),3.79)</f>
        <v>3.79</v>
      </c>
      <c r="H4282" s="17"/>
      <c r="K4282" s="17"/>
      <c r="N4282" s="17"/>
    </row>
    <row r="4283">
      <c r="B4283" s="11">
        <f>IFERROR(__xludf.DUMMYFUNCTION("""COMPUTED_VALUE"""),40030.0)</f>
        <v>40030</v>
      </c>
      <c r="C4283" s="9">
        <f>IFERROR(__xludf.DUMMYFUNCTION("""COMPUTED_VALUE"""),3.8)</f>
        <v>3.8</v>
      </c>
      <c r="H4283" s="17"/>
      <c r="K4283" s="17"/>
      <c r="N4283" s="17"/>
    </row>
    <row r="4284">
      <c r="B4284" s="11">
        <f>IFERROR(__xludf.DUMMYFUNCTION("""COMPUTED_VALUE"""),40029.0)</f>
        <v>40029</v>
      </c>
      <c r="C4284" s="9">
        <f>IFERROR(__xludf.DUMMYFUNCTION("""COMPUTED_VALUE"""),3.7)</f>
        <v>3.7</v>
      </c>
      <c r="H4284" s="17"/>
      <c r="K4284" s="17"/>
      <c r="N4284" s="17"/>
    </row>
    <row r="4285">
      <c r="B4285" s="11">
        <f>IFERROR(__xludf.DUMMYFUNCTION("""COMPUTED_VALUE"""),40028.0)</f>
        <v>40028</v>
      </c>
      <c r="C4285" s="9">
        <f>IFERROR(__xludf.DUMMYFUNCTION("""COMPUTED_VALUE"""),3.66)</f>
        <v>3.66</v>
      </c>
      <c r="H4285" s="17"/>
      <c r="K4285" s="17"/>
      <c r="N4285" s="17"/>
    </row>
    <row r="4286">
      <c r="B4286" s="11">
        <f>IFERROR(__xludf.DUMMYFUNCTION("""COMPUTED_VALUE"""),40025.0)</f>
        <v>40025</v>
      </c>
      <c r="C4286" s="9">
        <f>IFERROR(__xludf.DUMMYFUNCTION("""COMPUTED_VALUE"""),3.52)</f>
        <v>3.52</v>
      </c>
      <c r="H4286" s="17"/>
      <c r="K4286" s="17"/>
      <c r="N4286" s="17"/>
    </row>
    <row r="4287">
      <c r="B4287" s="11">
        <f>IFERROR(__xludf.DUMMYFUNCTION("""COMPUTED_VALUE"""),40024.0)</f>
        <v>40024</v>
      </c>
      <c r="C4287" s="9">
        <f>IFERROR(__xludf.DUMMYFUNCTION("""COMPUTED_VALUE"""),3.67)</f>
        <v>3.67</v>
      </c>
      <c r="H4287" s="17"/>
      <c r="K4287" s="17"/>
      <c r="N4287" s="17"/>
    </row>
    <row r="4288">
      <c r="B4288" s="11">
        <f>IFERROR(__xludf.DUMMYFUNCTION("""COMPUTED_VALUE"""),40023.0)</f>
        <v>40023</v>
      </c>
      <c r="C4288" s="9">
        <f>IFERROR(__xludf.DUMMYFUNCTION("""COMPUTED_VALUE"""),3.69)</f>
        <v>3.69</v>
      </c>
      <c r="H4288" s="17"/>
      <c r="K4288" s="17"/>
      <c r="N4288" s="17"/>
    </row>
    <row r="4289">
      <c r="B4289" s="11">
        <f>IFERROR(__xludf.DUMMYFUNCTION("""COMPUTED_VALUE"""),40022.0)</f>
        <v>40022</v>
      </c>
      <c r="C4289" s="9">
        <f>IFERROR(__xludf.DUMMYFUNCTION("""COMPUTED_VALUE"""),3.72)</f>
        <v>3.72</v>
      </c>
      <c r="H4289" s="17"/>
      <c r="K4289" s="17"/>
      <c r="N4289" s="17"/>
    </row>
    <row r="4290">
      <c r="B4290" s="11">
        <f>IFERROR(__xludf.DUMMYFUNCTION("""COMPUTED_VALUE"""),40021.0)</f>
        <v>40021</v>
      </c>
      <c r="C4290" s="9">
        <f>IFERROR(__xludf.DUMMYFUNCTION("""COMPUTED_VALUE"""),3.75)</f>
        <v>3.75</v>
      </c>
      <c r="H4290" s="17"/>
      <c r="K4290" s="17"/>
      <c r="N4290" s="17"/>
    </row>
    <row r="4291">
      <c r="B4291" s="11">
        <f>IFERROR(__xludf.DUMMYFUNCTION("""COMPUTED_VALUE"""),40018.0)</f>
        <v>40018</v>
      </c>
      <c r="C4291" s="9">
        <f>IFERROR(__xludf.DUMMYFUNCTION("""COMPUTED_VALUE"""),3.7)</f>
        <v>3.7</v>
      </c>
      <c r="H4291" s="17"/>
      <c r="K4291" s="17"/>
      <c r="N4291" s="17"/>
    </row>
    <row r="4292">
      <c r="B4292" s="11">
        <f>IFERROR(__xludf.DUMMYFUNCTION("""COMPUTED_VALUE"""),40017.0)</f>
        <v>40017</v>
      </c>
      <c r="C4292" s="9">
        <f>IFERROR(__xludf.DUMMYFUNCTION("""COMPUTED_VALUE"""),3.72)</f>
        <v>3.72</v>
      </c>
      <c r="H4292" s="17"/>
      <c r="K4292" s="17"/>
      <c r="N4292" s="17"/>
    </row>
    <row r="4293">
      <c r="B4293" s="11">
        <f>IFERROR(__xludf.DUMMYFUNCTION("""COMPUTED_VALUE"""),40016.0)</f>
        <v>40016</v>
      </c>
      <c r="C4293" s="9">
        <f>IFERROR(__xludf.DUMMYFUNCTION("""COMPUTED_VALUE"""),3.58)</f>
        <v>3.58</v>
      </c>
      <c r="H4293" s="17"/>
      <c r="K4293" s="17"/>
      <c r="N4293" s="17"/>
    </row>
    <row r="4294">
      <c r="B4294" s="11">
        <f>IFERROR(__xludf.DUMMYFUNCTION("""COMPUTED_VALUE"""),40015.0)</f>
        <v>40015</v>
      </c>
      <c r="C4294" s="9">
        <f>IFERROR(__xludf.DUMMYFUNCTION("""COMPUTED_VALUE"""),3.5)</f>
        <v>3.5</v>
      </c>
      <c r="H4294" s="17"/>
      <c r="K4294" s="17"/>
      <c r="N4294" s="17"/>
    </row>
    <row r="4295">
      <c r="B4295" s="11">
        <f>IFERROR(__xludf.DUMMYFUNCTION("""COMPUTED_VALUE"""),40014.0)</f>
        <v>40014</v>
      </c>
      <c r="C4295" s="9">
        <f>IFERROR(__xludf.DUMMYFUNCTION("""COMPUTED_VALUE"""),3.61)</f>
        <v>3.61</v>
      </c>
      <c r="H4295" s="17"/>
      <c r="K4295" s="17"/>
      <c r="N4295" s="17"/>
    </row>
    <row r="4296">
      <c r="B4296" s="11">
        <f>IFERROR(__xludf.DUMMYFUNCTION("""COMPUTED_VALUE"""),40011.0)</f>
        <v>40011</v>
      </c>
      <c r="C4296" s="9">
        <f>IFERROR(__xludf.DUMMYFUNCTION("""COMPUTED_VALUE"""),3.67)</f>
        <v>3.67</v>
      </c>
      <c r="H4296" s="17"/>
      <c r="K4296" s="17"/>
      <c r="N4296" s="17"/>
    </row>
    <row r="4297">
      <c r="B4297" s="11">
        <f>IFERROR(__xludf.DUMMYFUNCTION("""COMPUTED_VALUE"""),40010.0)</f>
        <v>40010</v>
      </c>
      <c r="C4297" s="9">
        <f>IFERROR(__xludf.DUMMYFUNCTION("""COMPUTED_VALUE"""),3.59)</f>
        <v>3.59</v>
      </c>
      <c r="H4297" s="17"/>
      <c r="K4297" s="17"/>
      <c r="N4297" s="17"/>
    </row>
    <row r="4298">
      <c r="B4298" s="11">
        <f>IFERROR(__xludf.DUMMYFUNCTION("""COMPUTED_VALUE"""),40009.0)</f>
        <v>40009</v>
      </c>
      <c r="C4298" s="9">
        <f>IFERROR(__xludf.DUMMYFUNCTION("""COMPUTED_VALUE"""),3.63)</f>
        <v>3.63</v>
      </c>
      <c r="H4298" s="17"/>
      <c r="K4298" s="17"/>
      <c r="N4298" s="17"/>
    </row>
    <row r="4299">
      <c r="B4299" s="11">
        <f>IFERROR(__xludf.DUMMYFUNCTION("""COMPUTED_VALUE"""),40008.0)</f>
        <v>40008</v>
      </c>
      <c r="C4299" s="9">
        <f>IFERROR(__xludf.DUMMYFUNCTION("""COMPUTED_VALUE"""),3.5)</f>
        <v>3.5</v>
      </c>
      <c r="H4299" s="17"/>
      <c r="K4299" s="17"/>
      <c r="N4299" s="17"/>
    </row>
    <row r="4300">
      <c r="B4300" s="11">
        <f>IFERROR(__xludf.DUMMYFUNCTION("""COMPUTED_VALUE"""),40007.0)</f>
        <v>40007</v>
      </c>
      <c r="C4300" s="9">
        <f>IFERROR(__xludf.DUMMYFUNCTION("""COMPUTED_VALUE"""),3.38)</f>
        <v>3.38</v>
      </c>
      <c r="H4300" s="17"/>
      <c r="K4300" s="17"/>
      <c r="N4300" s="17"/>
    </row>
    <row r="4301">
      <c r="B4301" s="11">
        <f>IFERROR(__xludf.DUMMYFUNCTION("""COMPUTED_VALUE"""),40004.0)</f>
        <v>40004</v>
      </c>
      <c r="C4301" s="9">
        <f>IFERROR(__xludf.DUMMYFUNCTION("""COMPUTED_VALUE"""),3.32)</f>
        <v>3.32</v>
      </c>
      <c r="H4301" s="17"/>
      <c r="K4301" s="17"/>
      <c r="N4301" s="17"/>
    </row>
    <row r="4302">
      <c r="B4302" s="11">
        <f>IFERROR(__xludf.DUMMYFUNCTION("""COMPUTED_VALUE"""),40003.0)</f>
        <v>40003</v>
      </c>
      <c r="C4302" s="9">
        <f>IFERROR(__xludf.DUMMYFUNCTION("""COMPUTED_VALUE"""),3.44)</f>
        <v>3.44</v>
      </c>
      <c r="H4302" s="17"/>
      <c r="K4302" s="17"/>
      <c r="N4302" s="17"/>
    </row>
    <row r="4303">
      <c r="B4303" s="11">
        <f>IFERROR(__xludf.DUMMYFUNCTION("""COMPUTED_VALUE"""),40002.0)</f>
        <v>40002</v>
      </c>
      <c r="C4303" s="9">
        <f>IFERROR(__xludf.DUMMYFUNCTION("""COMPUTED_VALUE"""),3.33)</f>
        <v>3.33</v>
      </c>
      <c r="H4303" s="17"/>
      <c r="K4303" s="17"/>
      <c r="N4303" s="17"/>
    </row>
    <row r="4304">
      <c r="B4304" s="11">
        <f>IFERROR(__xludf.DUMMYFUNCTION("""COMPUTED_VALUE"""),40001.0)</f>
        <v>40001</v>
      </c>
      <c r="C4304" s="9">
        <f>IFERROR(__xludf.DUMMYFUNCTION("""COMPUTED_VALUE"""),3.47)</f>
        <v>3.47</v>
      </c>
      <c r="H4304" s="17"/>
      <c r="K4304" s="17"/>
      <c r="N4304" s="17"/>
    </row>
    <row r="4305">
      <c r="B4305" s="11">
        <f>IFERROR(__xludf.DUMMYFUNCTION("""COMPUTED_VALUE"""),40000.0)</f>
        <v>40000</v>
      </c>
      <c r="C4305" s="9">
        <f>IFERROR(__xludf.DUMMYFUNCTION("""COMPUTED_VALUE"""),3.52)</f>
        <v>3.52</v>
      </c>
      <c r="H4305" s="17"/>
      <c r="K4305" s="17"/>
      <c r="N4305" s="17"/>
    </row>
    <row r="4306">
      <c r="B4306" s="11">
        <f>IFERROR(__xludf.DUMMYFUNCTION("""COMPUTED_VALUE"""),39997.0)</f>
        <v>39997</v>
      </c>
      <c r="C4306" s="9"/>
      <c r="H4306" s="17"/>
      <c r="K4306" s="17"/>
      <c r="N4306" s="17"/>
    </row>
    <row r="4307">
      <c r="B4307" s="11">
        <f>IFERROR(__xludf.DUMMYFUNCTION("""COMPUTED_VALUE"""),39996.0)</f>
        <v>39996</v>
      </c>
      <c r="C4307" s="9">
        <f>IFERROR(__xludf.DUMMYFUNCTION("""COMPUTED_VALUE"""),3.51)</f>
        <v>3.51</v>
      </c>
      <c r="H4307" s="17"/>
      <c r="K4307" s="17"/>
      <c r="N4307" s="17"/>
    </row>
    <row r="4308">
      <c r="B4308" s="11">
        <f>IFERROR(__xludf.DUMMYFUNCTION("""COMPUTED_VALUE"""),39995.0)</f>
        <v>39995</v>
      </c>
      <c r="C4308" s="9">
        <f>IFERROR(__xludf.DUMMYFUNCTION("""COMPUTED_VALUE"""),3.55)</f>
        <v>3.55</v>
      </c>
      <c r="H4308" s="17"/>
      <c r="K4308" s="17"/>
      <c r="N4308" s="17"/>
    </row>
    <row r="4309">
      <c r="B4309" s="11">
        <f>IFERROR(__xludf.DUMMYFUNCTION("""COMPUTED_VALUE"""),39994.0)</f>
        <v>39994</v>
      </c>
      <c r="C4309" s="9">
        <f>IFERROR(__xludf.DUMMYFUNCTION("""COMPUTED_VALUE"""),3.53)</f>
        <v>3.53</v>
      </c>
      <c r="H4309" s="17"/>
      <c r="K4309" s="17"/>
      <c r="N4309" s="17"/>
    </row>
    <row r="4310">
      <c r="B4310" s="11">
        <f>IFERROR(__xludf.DUMMYFUNCTION("""COMPUTED_VALUE"""),39993.0)</f>
        <v>39993</v>
      </c>
      <c r="C4310" s="9">
        <f>IFERROR(__xludf.DUMMYFUNCTION("""COMPUTED_VALUE"""),3.51)</f>
        <v>3.51</v>
      </c>
      <c r="H4310" s="17"/>
      <c r="K4310" s="17"/>
      <c r="N4310" s="17"/>
    </row>
    <row r="4311">
      <c r="B4311" s="11">
        <f>IFERROR(__xludf.DUMMYFUNCTION("""COMPUTED_VALUE"""),39990.0)</f>
        <v>39990</v>
      </c>
      <c r="C4311" s="9">
        <f>IFERROR(__xludf.DUMMYFUNCTION("""COMPUTED_VALUE"""),3.52)</f>
        <v>3.52</v>
      </c>
      <c r="H4311" s="17"/>
      <c r="K4311" s="17"/>
      <c r="N4311" s="17"/>
    </row>
    <row r="4312">
      <c r="B4312" s="11">
        <f>IFERROR(__xludf.DUMMYFUNCTION("""COMPUTED_VALUE"""),39989.0)</f>
        <v>39989</v>
      </c>
      <c r="C4312" s="9">
        <f>IFERROR(__xludf.DUMMYFUNCTION("""COMPUTED_VALUE"""),3.55)</f>
        <v>3.55</v>
      </c>
      <c r="H4312" s="17"/>
      <c r="K4312" s="17"/>
      <c r="N4312" s="17"/>
    </row>
    <row r="4313">
      <c r="B4313" s="11">
        <f>IFERROR(__xludf.DUMMYFUNCTION("""COMPUTED_VALUE"""),39988.0)</f>
        <v>39988</v>
      </c>
      <c r="C4313" s="9">
        <f>IFERROR(__xludf.DUMMYFUNCTION("""COMPUTED_VALUE"""),3.72)</f>
        <v>3.72</v>
      </c>
      <c r="H4313" s="17"/>
      <c r="K4313" s="17"/>
      <c r="N4313" s="17"/>
    </row>
    <row r="4314">
      <c r="B4314" s="11">
        <f>IFERROR(__xludf.DUMMYFUNCTION("""COMPUTED_VALUE"""),39987.0)</f>
        <v>39987</v>
      </c>
      <c r="C4314" s="9">
        <f>IFERROR(__xludf.DUMMYFUNCTION("""COMPUTED_VALUE"""),3.65)</f>
        <v>3.65</v>
      </c>
      <c r="H4314" s="17"/>
      <c r="K4314" s="17"/>
      <c r="N4314" s="17"/>
    </row>
    <row r="4315">
      <c r="B4315" s="11">
        <f>IFERROR(__xludf.DUMMYFUNCTION("""COMPUTED_VALUE"""),39986.0)</f>
        <v>39986</v>
      </c>
      <c r="C4315" s="9">
        <f>IFERROR(__xludf.DUMMYFUNCTION("""COMPUTED_VALUE"""),3.72)</f>
        <v>3.72</v>
      </c>
      <c r="H4315" s="17"/>
      <c r="K4315" s="17"/>
      <c r="N4315" s="17"/>
    </row>
    <row r="4316">
      <c r="B4316" s="11">
        <f>IFERROR(__xludf.DUMMYFUNCTION("""COMPUTED_VALUE"""),39983.0)</f>
        <v>39983</v>
      </c>
      <c r="C4316" s="9">
        <f>IFERROR(__xludf.DUMMYFUNCTION("""COMPUTED_VALUE"""),3.79)</f>
        <v>3.79</v>
      </c>
      <c r="H4316" s="17"/>
      <c r="K4316" s="17"/>
      <c r="N4316" s="17"/>
    </row>
    <row r="4317">
      <c r="B4317" s="11">
        <f>IFERROR(__xludf.DUMMYFUNCTION("""COMPUTED_VALUE"""),39982.0)</f>
        <v>39982</v>
      </c>
      <c r="C4317" s="9">
        <f>IFERROR(__xludf.DUMMYFUNCTION("""COMPUTED_VALUE"""),3.86)</f>
        <v>3.86</v>
      </c>
      <c r="H4317" s="17"/>
      <c r="K4317" s="17"/>
      <c r="N4317" s="17"/>
    </row>
    <row r="4318">
      <c r="B4318" s="11">
        <f>IFERROR(__xludf.DUMMYFUNCTION("""COMPUTED_VALUE"""),39981.0)</f>
        <v>39981</v>
      </c>
      <c r="C4318" s="9">
        <f>IFERROR(__xludf.DUMMYFUNCTION("""COMPUTED_VALUE"""),3.68)</f>
        <v>3.68</v>
      </c>
      <c r="H4318" s="17"/>
      <c r="K4318" s="17"/>
      <c r="N4318" s="17"/>
    </row>
    <row r="4319">
      <c r="B4319" s="11">
        <f>IFERROR(__xludf.DUMMYFUNCTION("""COMPUTED_VALUE"""),39980.0)</f>
        <v>39980</v>
      </c>
      <c r="C4319" s="9">
        <f>IFERROR(__xludf.DUMMYFUNCTION("""COMPUTED_VALUE"""),3.67)</f>
        <v>3.67</v>
      </c>
      <c r="H4319" s="17"/>
      <c r="K4319" s="17"/>
      <c r="N4319" s="17"/>
    </row>
    <row r="4320">
      <c r="B4320" s="11">
        <f>IFERROR(__xludf.DUMMYFUNCTION("""COMPUTED_VALUE"""),39979.0)</f>
        <v>39979</v>
      </c>
      <c r="C4320" s="9">
        <f>IFERROR(__xludf.DUMMYFUNCTION("""COMPUTED_VALUE"""),3.76)</f>
        <v>3.76</v>
      </c>
      <c r="H4320" s="17"/>
      <c r="K4320" s="17"/>
      <c r="N4320" s="17"/>
    </row>
    <row r="4321">
      <c r="B4321" s="11">
        <f>IFERROR(__xludf.DUMMYFUNCTION("""COMPUTED_VALUE"""),39976.0)</f>
        <v>39976</v>
      </c>
      <c r="C4321" s="9">
        <f>IFERROR(__xludf.DUMMYFUNCTION("""COMPUTED_VALUE"""),3.81)</f>
        <v>3.81</v>
      </c>
      <c r="H4321" s="17"/>
      <c r="K4321" s="17"/>
      <c r="N4321" s="17"/>
    </row>
    <row r="4322">
      <c r="B4322" s="11">
        <f>IFERROR(__xludf.DUMMYFUNCTION("""COMPUTED_VALUE"""),39975.0)</f>
        <v>39975</v>
      </c>
      <c r="C4322" s="9">
        <f>IFERROR(__xludf.DUMMYFUNCTION("""COMPUTED_VALUE"""),3.88)</f>
        <v>3.88</v>
      </c>
      <c r="H4322" s="17"/>
      <c r="K4322" s="17"/>
      <c r="N4322" s="17"/>
    </row>
    <row r="4323">
      <c r="B4323" s="11">
        <f>IFERROR(__xludf.DUMMYFUNCTION("""COMPUTED_VALUE"""),39974.0)</f>
        <v>39974</v>
      </c>
      <c r="C4323" s="9">
        <f>IFERROR(__xludf.DUMMYFUNCTION("""COMPUTED_VALUE"""),3.98)</f>
        <v>3.98</v>
      </c>
      <c r="H4323" s="17"/>
      <c r="K4323" s="17"/>
      <c r="N4323" s="17"/>
    </row>
    <row r="4324">
      <c r="B4324" s="11">
        <f>IFERROR(__xludf.DUMMYFUNCTION("""COMPUTED_VALUE"""),39973.0)</f>
        <v>39973</v>
      </c>
      <c r="C4324" s="9">
        <f>IFERROR(__xludf.DUMMYFUNCTION("""COMPUTED_VALUE"""),3.86)</f>
        <v>3.86</v>
      </c>
      <c r="H4324" s="17"/>
      <c r="K4324" s="17"/>
      <c r="N4324" s="17"/>
    </row>
    <row r="4325">
      <c r="B4325" s="11">
        <f>IFERROR(__xludf.DUMMYFUNCTION("""COMPUTED_VALUE"""),39972.0)</f>
        <v>39972</v>
      </c>
      <c r="C4325" s="9">
        <f>IFERROR(__xludf.DUMMYFUNCTION("""COMPUTED_VALUE"""),3.91)</f>
        <v>3.91</v>
      </c>
      <c r="H4325" s="17"/>
      <c r="K4325" s="17"/>
      <c r="N4325" s="17"/>
    </row>
    <row r="4326">
      <c r="B4326" s="11">
        <f>IFERROR(__xludf.DUMMYFUNCTION("""COMPUTED_VALUE"""),39969.0)</f>
        <v>39969</v>
      </c>
      <c r="C4326" s="9">
        <f>IFERROR(__xludf.DUMMYFUNCTION("""COMPUTED_VALUE"""),3.84)</f>
        <v>3.84</v>
      </c>
      <c r="H4326" s="17"/>
      <c r="K4326" s="17"/>
      <c r="N4326" s="17"/>
    </row>
    <row r="4327">
      <c r="B4327" s="11">
        <f>IFERROR(__xludf.DUMMYFUNCTION("""COMPUTED_VALUE"""),39968.0)</f>
        <v>39968</v>
      </c>
      <c r="C4327" s="9">
        <f>IFERROR(__xludf.DUMMYFUNCTION("""COMPUTED_VALUE"""),3.72)</f>
        <v>3.72</v>
      </c>
      <c r="H4327" s="17"/>
      <c r="K4327" s="17"/>
      <c r="N4327" s="17"/>
    </row>
    <row r="4328">
      <c r="B4328" s="11">
        <f>IFERROR(__xludf.DUMMYFUNCTION("""COMPUTED_VALUE"""),39967.0)</f>
        <v>39967</v>
      </c>
      <c r="C4328" s="9">
        <f>IFERROR(__xludf.DUMMYFUNCTION("""COMPUTED_VALUE"""),3.56)</f>
        <v>3.56</v>
      </c>
      <c r="H4328" s="17"/>
      <c r="K4328" s="17"/>
      <c r="N4328" s="17"/>
    </row>
    <row r="4329">
      <c r="B4329" s="11">
        <f>IFERROR(__xludf.DUMMYFUNCTION("""COMPUTED_VALUE"""),39966.0)</f>
        <v>39966</v>
      </c>
      <c r="C4329" s="9">
        <f>IFERROR(__xludf.DUMMYFUNCTION("""COMPUTED_VALUE"""),3.65)</f>
        <v>3.65</v>
      </c>
      <c r="H4329" s="17"/>
      <c r="K4329" s="17"/>
      <c r="N4329" s="17"/>
    </row>
    <row r="4330">
      <c r="B4330" s="11">
        <f>IFERROR(__xludf.DUMMYFUNCTION("""COMPUTED_VALUE"""),39965.0)</f>
        <v>39965</v>
      </c>
      <c r="C4330" s="9">
        <f>IFERROR(__xludf.DUMMYFUNCTION("""COMPUTED_VALUE"""),3.71)</f>
        <v>3.71</v>
      </c>
      <c r="H4330" s="17"/>
      <c r="K4330" s="17"/>
      <c r="N4330" s="17"/>
    </row>
    <row r="4331">
      <c r="B4331" s="11">
        <f>IFERROR(__xludf.DUMMYFUNCTION("""COMPUTED_VALUE"""),39962.0)</f>
        <v>39962</v>
      </c>
      <c r="C4331" s="9">
        <f>IFERROR(__xludf.DUMMYFUNCTION("""COMPUTED_VALUE"""),3.47)</f>
        <v>3.47</v>
      </c>
      <c r="H4331" s="17"/>
      <c r="K4331" s="17"/>
      <c r="N4331" s="17"/>
    </row>
    <row r="4332">
      <c r="B4332" s="11">
        <f>IFERROR(__xludf.DUMMYFUNCTION("""COMPUTED_VALUE"""),39961.0)</f>
        <v>39961</v>
      </c>
      <c r="C4332" s="9">
        <f>IFERROR(__xludf.DUMMYFUNCTION("""COMPUTED_VALUE"""),3.67)</f>
        <v>3.67</v>
      </c>
      <c r="H4332" s="17"/>
      <c r="K4332" s="17"/>
      <c r="N4332" s="17"/>
    </row>
    <row r="4333">
      <c r="B4333" s="11">
        <f>IFERROR(__xludf.DUMMYFUNCTION("""COMPUTED_VALUE"""),39960.0)</f>
        <v>39960</v>
      </c>
      <c r="C4333" s="9">
        <f>IFERROR(__xludf.DUMMYFUNCTION("""COMPUTED_VALUE"""),3.71)</f>
        <v>3.71</v>
      </c>
      <c r="H4333" s="17"/>
      <c r="K4333" s="17"/>
      <c r="N4333" s="17"/>
    </row>
    <row r="4334">
      <c r="B4334" s="11">
        <f>IFERROR(__xludf.DUMMYFUNCTION("""COMPUTED_VALUE"""),39959.0)</f>
        <v>39959</v>
      </c>
      <c r="C4334" s="9">
        <f>IFERROR(__xludf.DUMMYFUNCTION("""COMPUTED_VALUE"""),3.5)</f>
        <v>3.5</v>
      </c>
      <c r="H4334" s="17"/>
      <c r="K4334" s="17"/>
      <c r="N4334" s="17"/>
    </row>
    <row r="4335">
      <c r="B4335" s="11">
        <f>IFERROR(__xludf.DUMMYFUNCTION("""COMPUTED_VALUE"""),39958.0)</f>
        <v>39958</v>
      </c>
      <c r="C4335" s="9"/>
      <c r="H4335" s="17"/>
      <c r="K4335" s="17"/>
      <c r="N4335" s="17"/>
    </row>
    <row r="4336">
      <c r="B4336" s="11">
        <f>IFERROR(__xludf.DUMMYFUNCTION("""COMPUTED_VALUE"""),39955.0)</f>
        <v>39955</v>
      </c>
      <c r="C4336" s="9">
        <f>IFERROR(__xludf.DUMMYFUNCTION("""COMPUTED_VALUE"""),3.45)</f>
        <v>3.45</v>
      </c>
      <c r="H4336" s="17"/>
      <c r="K4336" s="17"/>
      <c r="N4336" s="17"/>
    </row>
    <row r="4337">
      <c r="B4337" s="11">
        <f>IFERROR(__xludf.DUMMYFUNCTION("""COMPUTED_VALUE"""),39954.0)</f>
        <v>39954</v>
      </c>
      <c r="C4337" s="9">
        <f>IFERROR(__xludf.DUMMYFUNCTION("""COMPUTED_VALUE"""),3.35)</f>
        <v>3.35</v>
      </c>
      <c r="H4337" s="17"/>
      <c r="K4337" s="17"/>
      <c r="N4337" s="17"/>
    </row>
    <row r="4338">
      <c r="B4338" s="11">
        <f>IFERROR(__xludf.DUMMYFUNCTION("""COMPUTED_VALUE"""),39953.0)</f>
        <v>39953</v>
      </c>
      <c r="C4338" s="9">
        <f>IFERROR(__xludf.DUMMYFUNCTION("""COMPUTED_VALUE"""),3.19)</f>
        <v>3.19</v>
      </c>
      <c r="H4338" s="17"/>
      <c r="K4338" s="17"/>
      <c r="N4338" s="17"/>
    </row>
    <row r="4339">
      <c r="B4339" s="11">
        <f>IFERROR(__xludf.DUMMYFUNCTION("""COMPUTED_VALUE"""),39952.0)</f>
        <v>39952</v>
      </c>
      <c r="C4339" s="9">
        <f>IFERROR(__xludf.DUMMYFUNCTION("""COMPUTED_VALUE"""),3.25)</f>
        <v>3.25</v>
      </c>
      <c r="H4339" s="17"/>
      <c r="K4339" s="17"/>
      <c r="N4339" s="17"/>
    </row>
    <row r="4340">
      <c r="B4340" s="11">
        <f>IFERROR(__xludf.DUMMYFUNCTION("""COMPUTED_VALUE"""),39951.0)</f>
        <v>39951</v>
      </c>
      <c r="C4340" s="9">
        <f>IFERROR(__xludf.DUMMYFUNCTION("""COMPUTED_VALUE"""),3.22)</f>
        <v>3.22</v>
      </c>
      <c r="H4340" s="17"/>
      <c r="K4340" s="17"/>
      <c r="N4340" s="17"/>
    </row>
    <row r="4341">
      <c r="B4341" s="11">
        <f>IFERROR(__xludf.DUMMYFUNCTION("""COMPUTED_VALUE"""),39948.0)</f>
        <v>39948</v>
      </c>
      <c r="C4341" s="9">
        <f>IFERROR(__xludf.DUMMYFUNCTION("""COMPUTED_VALUE"""),3.14)</f>
        <v>3.14</v>
      </c>
      <c r="H4341" s="17"/>
      <c r="K4341" s="17"/>
      <c r="N4341" s="17"/>
    </row>
    <row r="4342">
      <c r="B4342" s="11">
        <f>IFERROR(__xludf.DUMMYFUNCTION("""COMPUTED_VALUE"""),39947.0)</f>
        <v>39947</v>
      </c>
      <c r="C4342" s="9">
        <f>IFERROR(__xludf.DUMMYFUNCTION("""COMPUTED_VALUE"""),3.1)</f>
        <v>3.1</v>
      </c>
      <c r="H4342" s="17"/>
      <c r="K4342" s="17"/>
      <c r="N4342" s="17"/>
    </row>
    <row r="4343">
      <c r="B4343" s="11">
        <f>IFERROR(__xludf.DUMMYFUNCTION("""COMPUTED_VALUE"""),39946.0)</f>
        <v>39946</v>
      </c>
      <c r="C4343" s="9">
        <f>IFERROR(__xludf.DUMMYFUNCTION("""COMPUTED_VALUE"""),3.11)</f>
        <v>3.11</v>
      </c>
      <c r="H4343" s="17"/>
      <c r="K4343" s="17"/>
      <c r="N4343" s="17"/>
    </row>
    <row r="4344">
      <c r="B4344" s="11">
        <f>IFERROR(__xludf.DUMMYFUNCTION("""COMPUTED_VALUE"""),39945.0)</f>
        <v>39945</v>
      </c>
      <c r="C4344" s="9">
        <f>IFERROR(__xludf.DUMMYFUNCTION("""COMPUTED_VALUE"""),3.17)</f>
        <v>3.17</v>
      </c>
      <c r="H4344" s="17"/>
      <c r="K4344" s="17"/>
      <c r="N4344" s="17"/>
    </row>
    <row r="4345">
      <c r="B4345" s="11">
        <f>IFERROR(__xludf.DUMMYFUNCTION("""COMPUTED_VALUE"""),39944.0)</f>
        <v>39944</v>
      </c>
      <c r="C4345" s="9">
        <f>IFERROR(__xludf.DUMMYFUNCTION("""COMPUTED_VALUE"""),3.17)</f>
        <v>3.17</v>
      </c>
      <c r="H4345" s="17"/>
      <c r="K4345" s="17"/>
      <c r="N4345" s="17"/>
    </row>
    <row r="4346">
      <c r="B4346" s="11">
        <f>IFERROR(__xludf.DUMMYFUNCTION("""COMPUTED_VALUE"""),39941.0)</f>
        <v>39941</v>
      </c>
      <c r="C4346" s="9">
        <f>IFERROR(__xludf.DUMMYFUNCTION("""COMPUTED_VALUE"""),3.29)</f>
        <v>3.29</v>
      </c>
      <c r="H4346" s="17"/>
      <c r="K4346" s="17"/>
      <c r="N4346" s="17"/>
    </row>
    <row r="4347">
      <c r="B4347" s="11">
        <f>IFERROR(__xludf.DUMMYFUNCTION("""COMPUTED_VALUE"""),39940.0)</f>
        <v>39940</v>
      </c>
      <c r="C4347" s="9">
        <f>IFERROR(__xludf.DUMMYFUNCTION("""COMPUTED_VALUE"""),3.29)</f>
        <v>3.29</v>
      </c>
      <c r="H4347" s="17"/>
      <c r="K4347" s="17"/>
      <c r="N4347" s="17"/>
    </row>
    <row r="4348">
      <c r="B4348" s="11">
        <f>IFERROR(__xludf.DUMMYFUNCTION("""COMPUTED_VALUE"""),39939.0)</f>
        <v>39939</v>
      </c>
      <c r="C4348" s="9">
        <f>IFERROR(__xludf.DUMMYFUNCTION("""COMPUTED_VALUE"""),3.18)</f>
        <v>3.18</v>
      </c>
      <c r="H4348" s="17"/>
      <c r="K4348" s="17"/>
      <c r="N4348" s="17"/>
    </row>
    <row r="4349">
      <c r="B4349" s="11">
        <f>IFERROR(__xludf.DUMMYFUNCTION("""COMPUTED_VALUE"""),39938.0)</f>
        <v>39938</v>
      </c>
      <c r="C4349" s="9">
        <f>IFERROR(__xludf.DUMMYFUNCTION("""COMPUTED_VALUE"""),3.2)</f>
        <v>3.2</v>
      </c>
      <c r="H4349" s="17"/>
      <c r="K4349" s="17"/>
      <c r="N4349" s="17"/>
    </row>
    <row r="4350">
      <c r="B4350" s="11">
        <f>IFERROR(__xludf.DUMMYFUNCTION("""COMPUTED_VALUE"""),39937.0)</f>
        <v>39937</v>
      </c>
      <c r="C4350" s="9">
        <f>IFERROR(__xludf.DUMMYFUNCTION("""COMPUTED_VALUE"""),3.19)</f>
        <v>3.19</v>
      </c>
      <c r="H4350" s="17"/>
      <c r="K4350" s="17"/>
      <c r="N4350" s="17"/>
    </row>
    <row r="4351">
      <c r="B4351" s="11">
        <f>IFERROR(__xludf.DUMMYFUNCTION("""COMPUTED_VALUE"""),39934.0)</f>
        <v>39934</v>
      </c>
      <c r="C4351" s="9">
        <f>IFERROR(__xludf.DUMMYFUNCTION("""COMPUTED_VALUE"""),3.21)</f>
        <v>3.21</v>
      </c>
      <c r="H4351" s="17"/>
      <c r="K4351" s="17"/>
      <c r="N4351" s="17"/>
    </row>
    <row r="4352">
      <c r="B4352" s="11">
        <f>IFERROR(__xludf.DUMMYFUNCTION("""COMPUTED_VALUE"""),39933.0)</f>
        <v>39933</v>
      </c>
      <c r="C4352" s="9">
        <f>IFERROR(__xludf.DUMMYFUNCTION("""COMPUTED_VALUE"""),3.16)</f>
        <v>3.16</v>
      </c>
      <c r="H4352" s="17"/>
      <c r="K4352" s="17"/>
      <c r="N4352" s="17"/>
    </row>
    <row r="4353">
      <c r="B4353" s="11">
        <f>IFERROR(__xludf.DUMMYFUNCTION("""COMPUTED_VALUE"""),39932.0)</f>
        <v>39932</v>
      </c>
      <c r="C4353" s="9">
        <f>IFERROR(__xludf.DUMMYFUNCTION("""COMPUTED_VALUE"""),3.12)</f>
        <v>3.12</v>
      </c>
      <c r="H4353" s="17"/>
      <c r="K4353" s="17"/>
      <c r="N4353" s="17"/>
    </row>
    <row r="4354">
      <c r="B4354" s="11">
        <f>IFERROR(__xludf.DUMMYFUNCTION("""COMPUTED_VALUE"""),39931.0)</f>
        <v>39931</v>
      </c>
      <c r="C4354" s="9">
        <f>IFERROR(__xludf.DUMMYFUNCTION("""COMPUTED_VALUE"""),3.05)</f>
        <v>3.05</v>
      </c>
      <c r="H4354" s="17"/>
      <c r="K4354" s="17"/>
      <c r="N4354" s="17"/>
    </row>
    <row r="4355">
      <c r="B4355" s="11">
        <f>IFERROR(__xludf.DUMMYFUNCTION("""COMPUTED_VALUE"""),39930.0)</f>
        <v>39930</v>
      </c>
      <c r="C4355" s="9">
        <f>IFERROR(__xludf.DUMMYFUNCTION("""COMPUTED_VALUE"""),2.95)</f>
        <v>2.95</v>
      </c>
      <c r="H4355" s="17"/>
      <c r="K4355" s="17"/>
      <c r="N4355" s="17"/>
    </row>
    <row r="4356">
      <c r="B4356" s="11">
        <f>IFERROR(__xludf.DUMMYFUNCTION("""COMPUTED_VALUE"""),39927.0)</f>
        <v>39927</v>
      </c>
      <c r="C4356" s="9">
        <f>IFERROR(__xludf.DUMMYFUNCTION("""COMPUTED_VALUE"""),3.03)</f>
        <v>3.03</v>
      </c>
      <c r="H4356" s="17"/>
      <c r="K4356" s="17"/>
      <c r="N4356" s="17"/>
    </row>
    <row r="4357">
      <c r="B4357" s="11">
        <f>IFERROR(__xludf.DUMMYFUNCTION("""COMPUTED_VALUE"""),39926.0)</f>
        <v>39926</v>
      </c>
      <c r="C4357" s="9">
        <f>IFERROR(__xludf.DUMMYFUNCTION("""COMPUTED_VALUE"""),2.96)</f>
        <v>2.96</v>
      </c>
      <c r="H4357" s="17"/>
      <c r="K4357" s="17"/>
      <c r="N4357" s="17"/>
    </row>
    <row r="4358">
      <c r="B4358" s="11">
        <f>IFERROR(__xludf.DUMMYFUNCTION("""COMPUTED_VALUE"""),39925.0)</f>
        <v>39925</v>
      </c>
      <c r="C4358" s="9">
        <f>IFERROR(__xludf.DUMMYFUNCTION("""COMPUTED_VALUE"""),2.98)</f>
        <v>2.98</v>
      </c>
      <c r="H4358" s="17"/>
      <c r="K4358" s="17"/>
      <c r="N4358" s="17"/>
    </row>
    <row r="4359">
      <c r="B4359" s="11">
        <f>IFERROR(__xludf.DUMMYFUNCTION("""COMPUTED_VALUE"""),39924.0)</f>
        <v>39924</v>
      </c>
      <c r="C4359" s="9">
        <f>IFERROR(__xludf.DUMMYFUNCTION("""COMPUTED_VALUE"""),2.94)</f>
        <v>2.94</v>
      </c>
      <c r="H4359" s="17"/>
      <c r="K4359" s="17"/>
      <c r="N4359" s="17"/>
    </row>
    <row r="4360">
      <c r="B4360" s="11">
        <f>IFERROR(__xludf.DUMMYFUNCTION("""COMPUTED_VALUE"""),39923.0)</f>
        <v>39923</v>
      </c>
      <c r="C4360" s="9">
        <f>IFERROR(__xludf.DUMMYFUNCTION("""COMPUTED_VALUE"""),2.88)</f>
        <v>2.88</v>
      </c>
      <c r="H4360" s="17"/>
      <c r="K4360" s="17"/>
      <c r="N4360" s="17"/>
    </row>
    <row r="4361">
      <c r="B4361" s="11">
        <f>IFERROR(__xludf.DUMMYFUNCTION("""COMPUTED_VALUE"""),39920.0)</f>
        <v>39920</v>
      </c>
      <c r="C4361" s="9">
        <f>IFERROR(__xludf.DUMMYFUNCTION("""COMPUTED_VALUE"""),2.98)</f>
        <v>2.98</v>
      </c>
      <c r="H4361" s="17"/>
      <c r="K4361" s="17"/>
      <c r="N4361" s="17"/>
    </row>
    <row r="4362">
      <c r="B4362" s="11">
        <f>IFERROR(__xludf.DUMMYFUNCTION("""COMPUTED_VALUE"""),39919.0)</f>
        <v>39919</v>
      </c>
      <c r="C4362" s="9">
        <f>IFERROR(__xludf.DUMMYFUNCTION("""COMPUTED_VALUE"""),2.86)</f>
        <v>2.86</v>
      </c>
      <c r="H4362" s="17"/>
      <c r="K4362" s="17"/>
      <c r="N4362" s="17"/>
    </row>
    <row r="4363">
      <c r="B4363" s="11">
        <f>IFERROR(__xludf.DUMMYFUNCTION("""COMPUTED_VALUE"""),39918.0)</f>
        <v>39918</v>
      </c>
      <c r="C4363" s="9">
        <f>IFERROR(__xludf.DUMMYFUNCTION("""COMPUTED_VALUE"""),2.82)</f>
        <v>2.82</v>
      </c>
      <c r="H4363" s="17"/>
      <c r="K4363" s="17"/>
      <c r="N4363" s="17"/>
    </row>
    <row r="4364">
      <c r="B4364" s="11">
        <f>IFERROR(__xludf.DUMMYFUNCTION("""COMPUTED_VALUE"""),39917.0)</f>
        <v>39917</v>
      </c>
      <c r="C4364" s="9">
        <f>IFERROR(__xludf.DUMMYFUNCTION("""COMPUTED_VALUE"""),2.8)</f>
        <v>2.8</v>
      </c>
      <c r="H4364" s="17"/>
      <c r="K4364" s="17"/>
      <c r="N4364" s="17"/>
    </row>
    <row r="4365">
      <c r="B4365" s="11">
        <f>IFERROR(__xludf.DUMMYFUNCTION("""COMPUTED_VALUE"""),39916.0)</f>
        <v>39916</v>
      </c>
      <c r="C4365" s="9">
        <f>IFERROR(__xludf.DUMMYFUNCTION("""COMPUTED_VALUE"""),2.88)</f>
        <v>2.88</v>
      </c>
      <c r="H4365" s="17"/>
      <c r="K4365" s="17"/>
      <c r="N4365" s="17"/>
    </row>
    <row r="4366">
      <c r="B4366" s="11">
        <f>IFERROR(__xludf.DUMMYFUNCTION("""COMPUTED_VALUE"""),39913.0)</f>
        <v>39913</v>
      </c>
      <c r="C4366" s="9"/>
      <c r="H4366" s="17"/>
      <c r="K4366" s="17"/>
      <c r="N4366" s="17"/>
    </row>
    <row r="4367">
      <c r="B4367" s="11">
        <f>IFERROR(__xludf.DUMMYFUNCTION("""COMPUTED_VALUE"""),39912.0)</f>
        <v>39912</v>
      </c>
      <c r="C4367" s="9">
        <f>IFERROR(__xludf.DUMMYFUNCTION("""COMPUTED_VALUE"""),2.96)</f>
        <v>2.96</v>
      </c>
      <c r="H4367" s="17"/>
      <c r="K4367" s="17"/>
      <c r="N4367" s="17"/>
    </row>
    <row r="4368">
      <c r="B4368" s="11">
        <f>IFERROR(__xludf.DUMMYFUNCTION("""COMPUTED_VALUE"""),39911.0)</f>
        <v>39911</v>
      </c>
      <c r="C4368" s="9">
        <f>IFERROR(__xludf.DUMMYFUNCTION("""COMPUTED_VALUE"""),2.86)</f>
        <v>2.86</v>
      </c>
      <c r="H4368" s="17"/>
      <c r="K4368" s="17"/>
      <c r="N4368" s="17"/>
    </row>
    <row r="4369">
      <c r="B4369" s="11">
        <f>IFERROR(__xludf.DUMMYFUNCTION("""COMPUTED_VALUE"""),39910.0)</f>
        <v>39910</v>
      </c>
      <c r="C4369" s="9">
        <f>IFERROR(__xludf.DUMMYFUNCTION("""COMPUTED_VALUE"""),2.93)</f>
        <v>2.93</v>
      </c>
      <c r="H4369" s="17"/>
      <c r="K4369" s="17"/>
      <c r="N4369" s="17"/>
    </row>
    <row r="4370">
      <c r="B4370" s="11">
        <f>IFERROR(__xludf.DUMMYFUNCTION("""COMPUTED_VALUE"""),39909.0)</f>
        <v>39909</v>
      </c>
      <c r="C4370" s="9">
        <f>IFERROR(__xludf.DUMMYFUNCTION("""COMPUTED_VALUE"""),2.95)</f>
        <v>2.95</v>
      </c>
      <c r="H4370" s="17"/>
      <c r="K4370" s="17"/>
      <c r="N4370" s="17"/>
    </row>
    <row r="4371">
      <c r="B4371" s="11">
        <f>IFERROR(__xludf.DUMMYFUNCTION("""COMPUTED_VALUE"""),39906.0)</f>
        <v>39906</v>
      </c>
      <c r="C4371" s="9">
        <f>IFERROR(__xludf.DUMMYFUNCTION("""COMPUTED_VALUE"""),2.91)</f>
        <v>2.91</v>
      </c>
      <c r="H4371" s="17"/>
      <c r="K4371" s="17"/>
      <c r="N4371" s="17"/>
    </row>
    <row r="4372">
      <c r="B4372" s="11">
        <f>IFERROR(__xludf.DUMMYFUNCTION("""COMPUTED_VALUE"""),39905.0)</f>
        <v>39905</v>
      </c>
      <c r="C4372" s="9">
        <f>IFERROR(__xludf.DUMMYFUNCTION("""COMPUTED_VALUE"""),2.77)</f>
        <v>2.77</v>
      </c>
      <c r="H4372" s="17"/>
      <c r="K4372" s="17"/>
      <c r="N4372" s="17"/>
    </row>
    <row r="4373">
      <c r="B4373" s="11">
        <f>IFERROR(__xludf.DUMMYFUNCTION("""COMPUTED_VALUE"""),39904.0)</f>
        <v>39904</v>
      </c>
      <c r="C4373" s="9">
        <f>IFERROR(__xludf.DUMMYFUNCTION("""COMPUTED_VALUE"""),2.68)</f>
        <v>2.68</v>
      </c>
      <c r="H4373" s="17"/>
      <c r="K4373" s="17"/>
      <c r="N4373" s="17"/>
    </row>
    <row r="4374">
      <c r="B4374" s="11">
        <f>IFERROR(__xludf.DUMMYFUNCTION("""COMPUTED_VALUE"""),39903.0)</f>
        <v>39903</v>
      </c>
      <c r="C4374" s="9">
        <f>IFERROR(__xludf.DUMMYFUNCTION("""COMPUTED_VALUE"""),2.71)</f>
        <v>2.71</v>
      </c>
      <c r="H4374" s="17"/>
      <c r="K4374" s="17"/>
      <c r="N4374" s="17"/>
    </row>
    <row r="4375">
      <c r="B4375" s="11">
        <f>IFERROR(__xludf.DUMMYFUNCTION("""COMPUTED_VALUE"""),39902.0)</f>
        <v>39902</v>
      </c>
      <c r="C4375" s="9">
        <f>IFERROR(__xludf.DUMMYFUNCTION("""COMPUTED_VALUE"""),2.73)</f>
        <v>2.73</v>
      </c>
      <c r="H4375" s="17"/>
      <c r="K4375" s="17"/>
      <c r="N4375" s="17"/>
    </row>
    <row r="4376">
      <c r="B4376" s="11">
        <f>IFERROR(__xludf.DUMMYFUNCTION("""COMPUTED_VALUE"""),39899.0)</f>
        <v>39899</v>
      </c>
      <c r="C4376" s="9">
        <f>IFERROR(__xludf.DUMMYFUNCTION("""COMPUTED_VALUE"""),2.78)</f>
        <v>2.78</v>
      </c>
      <c r="H4376" s="17"/>
      <c r="K4376" s="17"/>
      <c r="N4376" s="17"/>
    </row>
    <row r="4377">
      <c r="B4377" s="11">
        <f>IFERROR(__xludf.DUMMYFUNCTION("""COMPUTED_VALUE"""),39898.0)</f>
        <v>39898</v>
      </c>
      <c r="C4377" s="9">
        <f>IFERROR(__xludf.DUMMYFUNCTION("""COMPUTED_VALUE"""),2.76)</f>
        <v>2.76</v>
      </c>
      <c r="H4377" s="17"/>
      <c r="K4377" s="17"/>
      <c r="N4377" s="17"/>
    </row>
    <row r="4378">
      <c r="B4378" s="11">
        <f>IFERROR(__xludf.DUMMYFUNCTION("""COMPUTED_VALUE"""),39897.0)</f>
        <v>39897</v>
      </c>
      <c r="C4378" s="9">
        <f>IFERROR(__xludf.DUMMYFUNCTION("""COMPUTED_VALUE"""),2.81)</f>
        <v>2.81</v>
      </c>
      <c r="H4378" s="17"/>
      <c r="K4378" s="17"/>
      <c r="N4378" s="17"/>
    </row>
    <row r="4379">
      <c r="B4379" s="11">
        <f>IFERROR(__xludf.DUMMYFUNCTION("""COMPUTED_VALUE"""),39896.0)</f>
        <v>39896</v>
      </c>
      <c r="C4379" s="9">
        <f>IFERROR(__xludf.DUMMYFUNCTION("""COMPUTED_VALUE"""),2.68)</f>
        <v>2.68</v>
      </c>
      <c r="H4379" s="17"/>
      <c r="K4379" s="17"/>
      <c r="N4379" s="17"/>
    </row>
    <row r="4380">
      <c r="B4380" s="11">
        <f>IFERROR(__xludf.DUMMYFUNCTION("""COMPUTED_VALUE"""),39895.0)</f>
        <v>39895</v>
      </c>
      <c r="C4380" s="9">
        <f>IFERROR(__xludf.DUMMYFUNCTION("""COMPUTED_VALUE"""),2.68)</f>
        <v>2.68</v>
      </c>
      <c r="H4380" s="17"/>
      <c r="K4380" s="17"/>
      <c r="N4380" s="17"/>
    </row>
    <row r="4381">
      <c r="B4381" s="11">
        <f>IFERROR(__xludf.DUMMYFUNCTION("""COMPUTED_VALUE"""),39892.0)</f>
        <v>39892</v>
      </c>
      <c r="C4381" s="9">
        <f>IFERROR(__xludf.DUMMYFUNCTION("""COMPUTED_VALUE"""),2.65)</f>
        <v>2.65</v>
      </c>
      <c r="H4381" s="17"/>
      <c r="K4381" s="17"/>
      <c r="N4381" s="17"/>
    </row>
    <row r="4382">
      <c r="B4382" s="11">
        <f>IFERROR(__xludf.DUMMYFUNCTION("""COMPUTED_VALUE"""),39891.0)</f>
        <v>39891</v>
      </c>
      <c r="C4382" s="9">
        <f>IFERROR(__xludf.DUMMYFUNCTION("""COMPUTED_VALUE"""),2.61)</f>
        <v>2.61</v>
      </c>
      <c r="H4382" s="17"/>
      <c r="K4382" s="17"/>
      <c r="N4382" s="17"/>
    </row>
    <row r="4383">
      <c r="B4383" s="11">
        <f>IFERROR(__xludf.DUMMYFUNCTION("""COMPUTED_VALUE"""),39890.0)</f>
        <v>39890</v>
      </c>
      <c r="C4383" s="9">
        <f>IFERROR(__xludf.DUMMYFUNCTION("""COMPUTED_VALUE"""),2.51)</f>
        <v>2.51</v>
      </c>
      <c r="H4383" s="17"/>
      <c r="K4383" s="17"/>
      <c r="N4383" s="17"/>
    </row>
    <row r="4384">
      <c r="B4384" s="11">
        <f>IFERROR(__xludf.DUMMYFUNCTION("""COMPUTED_VALUE"""),39889.0)</f>
        <v>39889</v>
      </c>
      <c r="C4384" s="9">
        <f>IFERROR(__xludf.DUMMYFUNCTION("""COMPUTED_VALUE"""),3.02)</f>
        <v>3.02</v>
      </c>
      <c r="H4384" s="17"/>
      <c r="K4384" s="17"/>
      <c r="N4384" s="17"/>
    </row>
    <row r="4385">
      <c r="B4385" s="11">
        <f>IFERROR(__xludf.DUMMYFUNCTION("""COMPUTED_VALUE"""),39888.0)</f>
        <v>39888</v>
      </c>
      <c r="C4385" s="9">
        <f>IFERROR(__xludf.DUMMYFUNCTION("""COMPUTED_VALUE"""),2.97)</f>
        <v>2.97</v>
      </c>
      <c r="H4385" s="17"/>
      <c r="K4385" s="17"/>
      <c r="N4385" s="17"/>
    </row>
    <row r="4386">
      <c r="B4386" s="11">
        <f>IFERROR(__xludf.DUMMYFUNCTION("""COMPUTED_VALUE"""),39885.0)</f>
        <v>39885</v>
      </c>
      <c r="C4386" s="9">
        <f>IFERROR(__xludf.DUMMYFUNCTION("""COMPUTED_VALUE"""),2.89)</f>
        <v>2.89</v>
      </c>
      <c r="H4386" s="17"/>
      <c r="K4386" s="17"/>
      <c r="N4386" s="17"/>
    </row>
    <row r="4387">
      <c r="B4387" s="11">
        <f>IFERROR(__xludf.DUMMYFUNCTION("""COMPUTED_VALUE"""),39884.0)</f>
        <v>39884</v>
      </c>
      <c r="C4387" s="9">
        <f>IFERROR(__xludf.DUMMYFUNCTION("""COMPUTED_VALUE"""),2.89)</f>
        <v>2.89</v>
      </c>
      <c r="H4387" s="17"/>
      <c r="K4387" s="17"/>
      <c r="N4387" s="17"/>
    </row>
    <row r="4388">
      <c r="B4388" s="11">
        <f>IFERROR(__xludf.DUMMYFUNCTION("""COMPUTED_VALUE"""),39883.0)</f>
        <v>39883</v>
      </c>
      <c r="C4388" s="9">
        <f>IFERROR(__xludf.DUMMYFUNCTION("""COMPUTED_VALUE"""),2.95)</f>
        <v>2.95</v>
      </c>
      <c r="H4388" s="17"/>
      <c r="K4388" s="17"/>
      <c r="N4388" s="17"/>
    </row>
    <row r="4389">
      <c r="B4389" s="11">
        <f>IFERROR(__xludf.DUMMYFUNCTION("""COMPUTED_VALUE"""),39882.0)</f>
        <v>39882</v>
      </c>
      <c r="C4389" s="9">
        <f>IFERROR(__xludf.DUMMYFUNCTION("""COMPUTED_VALUE"""),2.99)</f>
        <v>2.99</v>
      </c>
      <c r="H4389" s="17"/>
      <c r="K4389" s="17"/>
      <c r="N4389" s="17"/>
    </row>
    <row r="4390">
      <c r="B4390" s="11">
        <f>IFERROR(__xludf.DUMMYFUNCTION("""COMPUTED_VALUE"""),39881.0)</f>
        <v>39881</v>
      </c>
      <c r="C4390" s="9">
        <f>IFERROR(__xludf.DUMMYFUNCTION("""COMPUTED_VALUE"""),2.89)</f>
        <v>2.89</v>
      </c>
      <c r="H4390" s="17"/>
      <c r="K4390" s="17"/>
      <c r="N4390" s="17"/>
    </row>
    <row r="4391">
      <c r="B4391" s="11">
        <f>IFERROR(__xludf.DUMMYFUNCTION("""COMPUTED_VALUE"""),39878.0)</f>
        <v>39878</v>
      </c>
      <c r="C4391" s="9">
        <f>IFERROR(__xludf.DUMMYFUNCTION("""COMPUTED_VALUE"""),2.83)</f>
        <v>2.83</v>
      </c>
      <c r="H4391" s="17"/>
      <c r="K4391" s="17"/>
      <c r="N4391" s="17"/>
    </row>
    <row r="4392">
      <c r="B4392" s="11">
        <f>IFERROR(__xludf.DUMMYFUNCTION("""COMPUTED_VALUE"""),39877.0)</f>
        <v>39877</v>
      </c>
      <c r="C4392" s="9">
        <f>IFERROR(__xludf.DUMMYFUNCTION("""COMPUTED_VALUE"""),2.83)</f>
        <v>2.83</v>
      </c>
      <c r="H4392" s="17"/>
      <c r="K4392" s="17"/>
      <c r="N4392" s="17"/>
    </row>
    <row r="4393">
      <c r="B4393" s="11">
        <f>IFERROR(__xludf.DUMMYFUNCTION("""COMPUTED_VALUE"""),39876.0)</f>
        <v>39876</v>
      </c>
      <c r="C4393" s="9">
        <f>IFERROR(__xludf.DUMMYFUNCTION("""COMPUTED_VALUE"""),3.01)</f>
        <v>3.01</v>
      </c>
      <c r="H4393" s="17"/>
      <c r="K4393" s="17"/>
      <c r="N4393" s="17"/>
    </row>
    <row r="4394">
      <c r="B4394" s="11">
        <f>IFERROR(__xludf.DUMMYFUNCTION("""COMPUTED_VALUE"""),39875.0)</f>
        <v>39875</v>
      </c>
      <c r="C4394" s="9">
        <f>IFERROR(__xludf.DUMMYFUNCTION("""COMPUTED_VALUE"""),2.93)</f>
        <v>2.93</v>
      </c>
      <c r="H4394" s="17"/>
      <c r="K4394" s="17"/>
      <c r="N4394" s="17"/>
    </row>
    <row r="4395">
      <c r="B4395" s="11">
        <f>IFERROR(__xludf.DUMMYFUNCTION("""COMPUTED_VALUE"""),39874.0)</f>
        <v>39874</v>
      </c>
      <c r="C4395" s="9">
        <f>IFERROR(__xludf.DUMMYFUNCTION("""COMPUTED_VALUE"""),2.91)</f>
        <v>2.91</v>
      </c>
      <c r="H4395" s="17"/>
      <c r="K4395" s="17"/>
      <c r="N4395" s="17"/>
    </row>
    <row r="4396">
      <c r="B4396" s="11">
        <f>IFERROR(__xludf.DUMMYFUNCTION("""COMPUTED_VALUE"""),39871.0)</f>
        <v>39871</v>
      </c>
      <c r="C4396" s="9">
        <f>IFERROR(__xludf.DUMMYFUNCTION("""COMPUTED_VALUE"""),3.02)</f>
        <v>3.02</v>
      </c>
      <c r="H4396" s="17"/>
      <c r="K4396" s="17"/>
      <c r="N4396" s="17"/>
    </row>
    <row r="4397">
      <c r="B4397" s="11">
        <f>IFERROR(__xludf.DUMMYFUNCTION("""COMPUTED_VALUE"""),39870.0)</f>
        <v>39870</v>
      </c>
      <c r="C4397" s="9">
        <f>IFERROR(__xludf.DUMMYFUNCTION("""COMPUTED_VALUE"""),2.98)</f>
        <v>2.98</v>
      </c>
      <c r="H4397" s="17"/>
      <c r="K4397" s="17"/>
      <c r="N4397" s="17"/>
    </row>
    <row r="4398">
      <c r="B4398" s="11">
        <f>IFERROR(__xludf.DUMMYFUNCTION("""COMPUTED_VALUE"""),39869.0)</f>
        <v>39869</v>
      </c>
      <c r="C4398" s="9">
        <f>IFERROR(__xludf.DUMMYFUNCTION("""COMPUTED_VALUE"""),2.95)</f>
        <v>2.95</v>
      </c>
      <c r="H4398" s="17"/>
      <c r="K4398" s="17"/>
      <c r="N4398" s="17"/>
    </row>
    <row r="4399">
      <c r="B4399" s="11">
        <f>IFERROR(__xludf.DUMMYFUNCTION("""COMPUTED_VALUE"""),39868.0)</f>
        <v>39868</v>
      </c>
      <c r="C4399" s="9">
        <f>IFERROR(__xludf.DUMMYFUNCTION("""COMPUTED_VALUE"""),2.8)</f>
        <v>2.8</v>
      </c>
      <c r="H4399" s="17"/>
      <c r="K4399" s="17"/>
      <c r="N4399" s="17"/>
    </row>
    <row r="4400">
      <c r="B4400" s="11">
        <f>IFERROR(__xludf.DUMMYFUNCTION("""COMPUTED_VALUE"""),39867.0)</f>
        <v>39867</v>
      </c>
      <c r="C4400" s="9">
        <f>IFERROR(__xludf.DUMMYFUNCTION("""COMPUTED_VALUE"""),2.78)</f>
        <v>2.78</v>
      </c>
      <c r="H4400" s="17"/>
      <c r="K4400" s="17"/>
      <c r="N4400" s="17"/>
    </row>
    <row r="4401">
      <c r="B4401" s="11">
        <f>IFERROR(__xludf.DUMMYFUNCTION("""COMPUTED_VALUE"""),39864.0)</f>
        <v>39864</v>
      </c>
      <c r="C4401" s="9">
        <f>IFERROR(__xludf.DUMMYFUNCTION("""COMPUTED_VALUE"""),2.78)</f>
        <v>2.78</v>
      </c>
      <c r="H4401" s="17"/>
      <c r="K4401" s="17"/>
      <c r="N4401" s="17"/>
    </row>
    <row r="4402">
      <c r="B4402" s="11">
        <f>IFERROR(__xludf.DUMMYFUNCTION("""COMPUTED_VALUE"""),39863.0)</f>
        <v>39863</v>
      </c>
      <c r="C4402" s="9">
        <f>IFERROR(__xludf.DUMMYFUNCTION("""COMPUTED_VALUE"""),2.85)</f>
        <v>2.85</v>
      </c>
      <c r="H4402" s="17"/>
      <c r="K4402" s="17"/>
      <c r="N4402" s="17"/>
    </row>
    <row r="4403">
      <c r="B4403" s="11">
        <f>IFERROR(__xludf.DUMMYFUNCTION("""COMPUTED_VALUE"""),39862.0)</f>
        <v>39862</v>
      </c>
      <c r="C4403" s="9">
        <f>IFERROR(__xludf.DUMMYFUNCTION("""COMPUTED_VALUE"""),2.74)</f>
        <v>2.74</v>
      </c>
      <c r="H4403" s="17"/>
      <c r="K4403" s="17"/>
      <c r="N4403" s="17"/>
    </row>
    <row r="4404">
      <c r="B4404" s="11">
        <f>IFERROR(__xludf.DUMMYFUNCTION("""COMPUTED_VALUE"""),39861.0)</f>
        <v>39861</v>
      </c>
      <c r="C4404" s="9">
        <f>IFERROR(__xludf.DUMMYFUNCTION("""COMPUTED_VALUE"""),2.64)</f>
        <v>2.64</v>
      </c>
      <c r="H4404" s="17"/>
      <c r="K4404" s="17"/>
      <c r="N4404" s="17"/>
    </row>
    <row r="4405">
      <c r="B4405" s="11">
        <f>IFERROR(__xludf.DUMMYFUNCTION("""COMPUTED_VALUE"""),39860.0)</f>
        <v>39860</v>
      </c>
      <c r="C4405" s="9"/>
      <c r="H4405" s="17"/>
      <c r="K4405" s="17"/>
      <c r="N4405" s="17"/>
    </row>
    <row r="4406">
      <c r="B4406" s="11">
        <f>IFERROR(__xludf.DUMMYFUNCTION("""COMPUTED_VALUE"""),39857.0)</f>
        <v>39857</v>
      </c>
      <c r="C4406" s="9">
        <f>IFERROR(__xludf.DUMMYFUNCTION("""COMPUTED_VALUE"""),2.89)</f>
        <v>2.89</v>
      </c>
      <c r="H4406" s="17"/>
      <c r="K4406" s="17"/>
      <c r="N4406" s="17"/>
    </row>
    <row r="4407">
      <c r="B4407" s="11">
        <f>IFERROR(__xludf.DUMMYFUNCTION("""COMPUTED_VALUE"""),39856.0)</f>
        <v>39856</v>
      </c>
      <c r="C4407" s="9">
        <f>IFERROR(__xludf.DUMMYFUNCTION("""COMPUTED_VALUE"""),2.75)</f>
        <v>2.75</v>
      </c>
      <c r="H4407" s="17"/>
      <c r="K4407" s="17"/>
      <c r="N4407" s="17"/>
    </row>
    <row r="4408">
      <c r="B4408" s="11">
        <f>IFERROR(__xludf.DUMMYFUNCTION("""COMPUTED_VALUE"""),39855.0)</f>
        <v>39855</v>
      </c>
      <c r="C4408" s="9">
        <f>IFERROR(__xludf.DUMMYFUNCTION("""COMPUTED_VALUE"""),2.78)</f>
        <v>2.78</v>
      </c>
      <c r="H4408" s="17"/>
      <c r="K4408" s="17"/>
      <c r="N4408" s="17"/>
    </row>
    <row r="4409">
      <c r="B4409" s="11">
        <f>IFERROR(__xludf.DUMMYFUNCTION("""COMPUTED_VALUE"""),39854.0)</f>
        <v>39854</v>
      </c>
      <c r="C4409" s="9">
        <f>IFERROR(__xludf.DUMMYFUNCTION("""COMPUTED_VALUE"""),2.9)</f>
        <v>2.9</v>
      </c>
      <c r="H4409" s="17"/>
      <c r="K4409" s="17"/>
      <c r="N4409" s="17"/>
    </row>
    <row r="4410">
      <c r="B4410" s="11">
        <f>IFERROR(__xludf.DUMMYFUNCTION("""COMPUTED_VALUE"""),39853.0)</f>
        <v>39853</v>
      </c>
      <c r="C4410" s="9">
        <f>IFERROR(__xludf.DUMMYFUNCTION("""COMPUTED_VALUE"""),3.07)</f>
        <v>3.07</v>
      </c>
      <c r="H4410" s="17"/>
      <c r="K4410" s="17"/>
      <c r="N4410" s="17"/>
    </row>
    <row r="4411">
      <c r="B4411" s="11">
        <f>IFERROR(__xludf.DUMMYFUNCTION("""COMPUTED_VALUE"""),39850.0)</f>
        <v>39850</v>
      </c>
      <c r="C4411" s="9">
        <f>IFERROR(__xludf.DUMMYFUNCTION("""COMPUTED_VALUE"""),3.05)</f>
        <v>3.05</v>
      </c>
      <c r="H4411" s="17"/>
      <c r="K4411" s="17"/>
      <c r="N4411" s="17"/>
    </row>
    <row r="4412">
      <c r="B4412" s="11">
        <f>IFERROR(__xludf.DUMMYFUNCTION("""COMPUTED_VALUE"""),39849.0)</f>
        <v>39849</v>
      </c>
      <c r="C4412" s="9">
        <f>IFERROR(__xludf.DUMMYFUNCTION("""COMPUTED_VALUE"""),2.95)</f>
        <v>2.95</v>
      </c>
      <c r="H4412" s="17"/>
      <c r="K4412" s="17"/>
      <c r="N4412" s="17"/>
    </row>
    <row r="4413">
      <c r="B4413" s="11">
        <f>IFERROR(__xludf.DUMMYFUNCTION("""COMPUTED_VALUE"""),39848.0)</f>
        <v>39848</v>
      </c>
      <c r="C4413" s="9">
        <f>IFERROR(__xludf.DUMMYFUNCTION("""COMPUTED_VALUE"""),2.95)</f>
        <v>2.95</v>
      </c>
      <c r="H4413" s="17"/>
      <c r="K4413" s="17"/>
      <c r="N4413" s="17"/>
    </row>
    <row r="4414">
      <c r="B4414" s="11">
        <f>IFERROR(__xludf.DUMMYFUNCTION("""COMPUTED_VALUE"""),39847.0)</f>
        <v>39847</v>
      </c>
      <c r="C4414" s="9">
        <f>IFERROR(__xludf.DUMMYFUNCTION("""COMPUTED_VALUE"""),2.89)</f>
        <v>2.89</v>
      </c>
      <c r="H4414" s="17"/>
      <c r="K4414" s="17"/>
      <c r="N4414" s="17"/>
    </row>
    <row r="4415">
      <c r="B4415" s="11">
        <f>IFERROR(__xludf.DUMMYFUNCTION("""COMPUTED_VALUE"""),39846.0)</f>
        <v>39846</v>
      </c>
      <c r="C4415" s="9">
        <f>IFERROR(__xludf.DUMMYFUNCTION("""COMPUTED_VALUE"""),2.76)</f>
        <v>2.76</v>
      </c>
      <c r="H4415" s="17"/>
      <c r="K4415" s="17"/>
      <c r="N4415" s="17"/>
    </row>
    <row r="4416">
      <c r="B4416" s="11">
        <f>IFERROR(__xludf.DUMMYFUNCTION("""COMPUTED_VALUE"""),39843.0)</f>
        <v>39843</v>
      </c>
      <c r="C4416" s="9">
        <f>IFERROR(__xludf.DUMMYFUNCTION("""COMPUTED_VALUE"""),2.87)</f>
        <v>2.87</v>
      </c>
      <c r="H4416" s="17"/>
      <c r="K4416" s="17"/>
      <c r="N4416" s="17"/>
    </row>
    <row r="4417">
      <c r="B4417" s="11">
        <f>IFERROR(__xludf.DUMMYFUNCTION("""COMPUTED_VALUE"""),39842.0)</f>
        <v>39842</v>
      </c>
      <c r="C4417" s="9">
        <f>IFERROR(__xludf.DUMMYFUNCTION("""COMPUTED_VALUE"""),2.87)</f>
        <v>2.87</v>
      </c>
      <c r="H4417" s="17"/>
      <c r="K4417" s="17"/>
      <c r="N4417" s="17"/>
    </row>
    <row r="4418">
      <c r="B4418" s="11">
        <f>IFERROR(__xludf.DUMMYFUNCTION("""COMPUTED_VALUE"""),39841.0)</f>
        <v>39841</v>
      </c>
      <c r="C4418" s="9">
        <f>IFERROR(__xludf.DUMMYFUNCTION("""COMPUTED_VALUE"""),2.71)</f>
        <v>2.71</v>
      </c>
      <c r="H4418" s="17"/>
      <c r="K4418" s="17"/>
      <c r="N4418" s="17"/>
    </row>
    <row r="4419">
      <c r="B4419" s="11">
        <f>IFERROR(__xludf.DUMMYFUNCTION("""COMPUTED_VALUE"""),39840.0)</f>
        <v>39840</v>
      </c>
      <c r="C4419" s="9">
        <f>IFERROR(__xludf.DUMMYFUNCTION("""COMPUTED_VALUE"""),2.59)</f>
        <v>2.59</v>
      </c>
      <c r="H4419" s="17"/>
      <c r="K4419" s="17"/>
      <c r="N4419" s="17"/>
    </row>
    <row r="4420">
      <c r="B4420" s="11">
        <f>IFERROR(__xludf.DUMMYFUNCTION("""COMPUTED_VALUE"""),39839.0)</f>
        <v>39839</v>
      </c>
      <c r="C4420" s="9">
        <f>IFERROR(__xludf.DUMMYFUNCTION("""COMPUTED_VALUE"""),2.7)</f>
        <v>2.7</v>
      </c>
      <c r="H4420" s="17"/>
      <c r="K4420" s="17"/>
      <c r="N4420" s="17"/>
    </row>
    <row r="4421">
      <c r="B4421" s="11">
        <f>IFERROR(__xludf.DUMMYFUNCTION("""COMPUTED_VALUE"""),39836.0)</f>
        <v>39836</v>
      </c>
      <c r="C4421" s="9">
        <f>IFERROR(__xludf.DUMMYFUNCTION("""COMPUTED_VALUE"""),2.65)</f>
        <v>2.65</v>
      </c>
      <c r="H4421" s="17"/>
      <c r="K4421" s="17"/>
      <c r="N4421" s="17"/>
    </row>
    <row r="4422">
      <c r="B4422" s="11">
        <f>IFERROR(__xludf.DUMMYFUNCTION("""COMPUTED_VALUE"""),39835.0)</f>
        <v>39835</v>
      </c>
      <c r="C4422" s="9">
        <f>IFERROR(__xludf.DUMMYFUNCTION("""COMPUTED_VALUE"""),2.62)</f>
        <v>2.62</v>
      </c>
      <c r="H4422" s="17"/>
      <c r="K4422" s="17"/>
      <c r="N4422" s="17"/>
    </row>
    <row r="4423">
      <c r="B4423" s="11">
        <f>IFERROR(__xludf.DUMMYFUNCTION("""COMPUTED_VALUE"""),39834.0)</f>
        <v>39834</v>
      </c>
      <c r="C4423" s="9">
        <f>IFERROR(__xludf.DUMMYFUNCTION("""COMPUTED_VALUE"""),2.56)</f>
        <v>2.56</v>
      </c>
      <c r="H4423" s="17"/>
      <c r="K4423" s="17"/>
      <c r="N4423" s="17"/>
    </row>
    <row r="4424">
      <c r="B4424" s="11">
        <f>IFERROR(__xludf.DUMMYFUNCTION("""COMPUTED_VALUE"""),39833.0)</f>
        <v>39833</v>
      </c>
      <c r="C4424" s="9">
        <f>IFERROR(__xludf.DUMMYFUNCTION("""COMPUTED_VALUE"""),2.4)</f>
        <v>2.4</v>
      </c>
      <c r="H4424" s="17"/>
      <c r="K4424" s="17"/>
      <c r="N4424" s="17"/>
    </row>
    <row r="4425">
      <c r="B4425" s="11">
        <f>IFERROR(__xludf.DUMMYFUNCTION("""COMPUTED_VALUE"""),39832.0)</f>
        <v>39832</v>
      </c>
      <c r="C4425" s="9"/>
      <c r="H4425" s="17"/>
      <c r="K4425" s="17"/>
      <c r="N4425" s="17"/>
    </row>
    <row r="4426">
      <c r="B4426" s="11">
        <f>IFERROR(__xludf.DUMMYFUNCTION("""COMPUTED_VALUE"""),39829.0)</f>
        <v>39829</v>
      </c>
      <c r="C4426" s="9">
        <f>IFERROR(__xludf.DUMMYFUNCTION("""COMPUTED_VALUE"""),2.36)</f>
        <v>2.36</v>
      </c>
      <c r="H4426" s="17"/>
      <c r="K4426" s="17"/>
      <c r="N4426" s="17"/>
    </row>
    <row r="4427">
      <c r="B4427" s="11">
        <f>IFERROR(__xludf.DUMMYFUNCTION("""COMPUTED_VALUE"""),39828.0)</f>
        <v>39828</v>
      </c>
      <c r="C4427" s="9">
        <f>IFERROR(__xludf.DUMMYFUNCTION("""COMPUTED_VALUE"""),2.23)</f>
        <v>2.23</v>
      </c>
      <c r="H4427" s="17"/>
      <c r="K4427" s="17"/>
      <c r="N4427" s="17"/>
    </row>
    <row r="4428">
      <c r="B4428" s="11">
        <f>IFERROR(__xludf.DUMMYFUNCTION("""COMPUTED_VALUE"""),39827.0)</f>
        <v>39827</v>
      </c>
      <c r="C4428" s="9">
        <f>IFERROR(__xludf.DUMMYFUNCTION("""COMPUTED_VALUE"""),2.24)</f>
        <v>2.24</v>
      </c>
      <c r="H4428" s="17"/>
      <c r="K4428" s="17"/>
      <c r="N4428" s="17"/>
    </row>
    <row r="4429">
      <c r="B4429" s="11">
        <f>IFERROR(__xludf.DUMMYFUNCTION("""COMPUTED_VALUE"""),39826.0)</f>
        <v>39826</v>
      </c>
      <c r="C4429" s="9">
        <f>IFERROR(__xludf.DUMMYFUNCTION("""COMPUTED_VALUE"""),2.33)</f>
        <v>2.33</v>
      </c>
      <c r="H4429" s="17"/>
      <c r="K4429" s="17"/>
      <c r="N4429" s="17"/>
    </row>
    <row r="4430">
      <c r="B4430" s="11">
        <f>IFERROR(__xludf.DUMMYFUNCTION("""COMPUTED_VALUE"""),39825.0)</f>
        <v>39825</v>
      </c>
      <c r="C4430" s="9">
        <f>IFERROR(__xludf.DUMMYFUNCTION("""COMPUTED_VALUE"""),2.34)</f>
        <v>2.34</v>
      </c>
      <c r="H4430" s="17"/>
      <c r="K4430" s="17"/>
      <c r="N4430" s="17"/>
    </row>
    <row r="4431">
      <c r="B4431" s="11">
        <f>IFERROR(__xludf.DUMMYFUNCTION("""COMPUTED_VALUE"""),39822.0)</f>
        <v>39822</v>
      </c>
      <c r="C4431" s="9">
        <f>IFERROR(__xludf.DUMMYFUNCTION("""COMPUTED_VALUE"""),2.43)</f>
        <v>2.43</v>
      </c>
      <c r="H4431" s="17"/>
      <c r="K4431" s="17"/>
      <c r="N4431" s="17"/>
    </row>
    <row r="4432">
      <c r="B4432" s="11">
        <f>IFERROR(__xludf.DUMMYFUNCTION("""COMPUTED_VALUE"""),39821.0)</f>
        <v>39821</v>
      </c>
      <c r="C4432" s="9">
        <f>IFERROR(__xludf.DUMMYFUNCTION("""COMPUTED_VALUE"""),2.47)</f>
        <v>2.47</v>
      </c>
      <c r="H4432" s="17"/>
      <c r="K4432" s="17"/>
      <c r="N4432" s="17"/>
    </row>
    <row r="4433">
      <c r="B4433" s="11">
        <f>IFERROR(__xludf.DUMMYFUNCTION("""COMPUTED_VALUE"""),39820.0)</f>
        <v>39820</v>
      </c>
      <c r="C4433" s="9">
        <f>IFERROR(__xludf.DUMMYFUNCTION("""COMPUTED_VALUE"""),2.52)</f>
        <v>2.52</v>
      </c>
      <c r="H4433" s="17"/>
      <c r="K4433" s="17"/>
      <c r="N4433" s="17"/>
    </row>
    <row r="4434">
      <c r="B4434" s="11">
        <f>IFERROR(__xludf.DUMMYFUNCTION("""COMPUTED_VALUE"""),39819.0)</f>
        <v>39819</v>
      </c>
      <c r="C4434" s="9">
        <f>IFERROR(__xludf.DUMMYFUNCTION("""COMPUTED_VALUE"""),2.51)</f>
        <v>2.51</v>
      </c>
      <c r="H4434" s="17"/>
      <c r="K4434" s="17"/>
      <c r="N4434" s="17"/>
    </row>
    <row r="4435">
      <c r="B4435" s="11">
        <f>IFERROR(__xludf.DUMMYFUNCTION("""COMPUTED_VALUE"""),39818.0)</f>
        <v>39818</v>
      </c>
      <c r="C4435" s="9">
        <f>IFERROR(__xludf.DUMMYFUNCTION("""COMPUTED_VALUE"""),2.49)</f>
        <v>2.49</v>
      </c>
      <c r="H4435" s="17"/>
      <c r="K4435" s="17"/>
      <c r="N4435" s="17"/>
    </row>
    <row r="4436">
      <c r="B4436" s="11">
        <f>IFERROR(__xludf.DUMMYFUNCTION("""COMPUTED_VALUE"""),39815.0)</f>
        <v>39815</v>
      </c>
      <c r="C4436" s="9">
        <f>IFERROR(__xludf.DUMMYFUNCTION("""COMPUTED_VALUE"""),2.46)</f>
        <v>2.46</v>
      </c>
      <c r="H4436" s="17"/>
      <c r="K4436" s="17"/>
      <c r="N4436" s="17"/>
    </row>
    <row r="4437">
      <c r="B4437" s="11">
        <f>IFERROR(__xludf.DUMMYFUNCTION("""COMPUTED_VALUE"""),39814.0)</f>
        <v>39814</v>
      </c>
      <c r="C4437" s="9"/>
      <c r="H4437" s="17"/>
      <c r="K4437" s="17"/>
      <c r="N4437" s="17"/>
    </row>
    <row r="4438">
      <c r="B4438" s="11">
        <f>IFERROR(__xludf.DUMMYFUNCTION("""COMPUTED_VALUE"""),39813.0)</f>
        <v>39813</v>
      </c>
      <c r="C4438" s="9">
        <f>IFERROR(__xludf.DUMMYFUNCTION("""COMPUTED_VALUE"""),2.25)</f>
        <v>2.25</v>
      </c>
      <c r="H4438" s="17"/>
      <c r="K4438" s="17"/>
      <c r="N4438" s="17"/>
    </row>
    <row r="4439">
      <c r="B4439" s="11">
        <f>IFERROR(__xludf.DUMMYFUNCTION("""COMPUTED_VALUE"""),39812.0)</f>
        <v>39812</v>
      </c>
      <c r="C4439" s="9">
        <f>IFERROR(__xludf.DUMMYFUNCTION("""COMPUTED_VALUE"""),2.11)</f>
        <v>2.11</v>
      </c>
      <c r="H4439" s="17"/>
      <c r="K4439" s="17"/>
      <c r="N4439" s="17"/>
    </row>
    <row r="4440">
      <c r="B4440" s="11">
        <f>IFERROR(__xludf.DUMMYFUNCTION("""COMPUTED_VALUE"""),39811.0)</f>
        <v>39811</v>
      </c>
      <c r="C4440" s="9">
        <f>IFERROR(__xludf.DUMMYFUNCTION("""COMPUTED_VALUE"""),2.13)</f>
        <v>2.13</v>
      </c>
      <c r="H4440" s="17"/>
      <c r="K4440" s="17"/>
      <c r="N4440" s="17"/>
    </row>
    <row r="4441">
      <c r="B4441" s="11">
        <f>IFERROR(__xludf.DUMMYFUNCTION("""COMPUTED_VALUE"""),39808.0)</f>
        <v>39808</v>
      </c>
      <c r="C4441" s="9">
        <f>IFERROR(__xludf.DUMMYFUNCTION("""COMPUTED_VALUE"""),2.16)</f>
        <v>2.16</v>
      </c>
      <c r="H4441" s="17"/>
      <c r="K4441" s="17"/>
      <c r="N4441" s="17"/>
    </row>
    <row r="4442">
      <c r="B4442" s="11">
        <f>IFERROR(__xludf.DUMMYFUNCTION("""COMPUTED_VALUE"""),39807.0)</f>
        <v>39807</v>
      </c>
      <c r="C4442" s="9"/>
      <c r="H4442" s="17"/>
      <c r="K4442" s="17"/>
      <c r="N4442" s="17"/>
    </row>
    <row r="4443">
      <c r="B4443" s="11">
        <f>IFERROR(__xludf.DUMMYFUNCTION("""COMPUTED_VALUE"""),39806.0)</f>
        <v>39806</v>
      </c>
      <c r="C4443" s="9">
        <f>IFERROR(__xludf.DUMMYFUNCTION("""COMPUTED_VALUE"""),2.2)</f>
        <v>2.2</v>
      </c>
      <c r="H4443" s="17"/>
      <c r="K4443" s="17"/>
      <c r="N4443" s="17"/>
    </row>
    <row r="4444">
      <c r="B4444" s="11">
        <f>IFERROR(__xludf.DUMMYFUNCTION("""COMPUTED_VALUE"""),39805.0)</f>
        <v>39805</v>
      </c>
      <c r="C4444" s="9">
        <f>IFERROR(__xludf.DUMMYFUNCTION("""COMPUTED_VALUE"""),2.18)</f>
        <v>2.18</v>
      </c>
      <c r="H4444" s="17"/>
      <c r="K4444" s="17"/>
      <c r="N4444" s="17"/>
    </row>
    <row r="4445">
      <c r="B4445" s="11">
        <f>IFERROR(__xludf.DUMMYFUNCTION("""COMPUTED_VALUE"""),39804.0)</f>
        <v>39804</v>
      </c>
      <c r="C4445" s="9">
        <f>IFERROR(__xludf.DUMMYFUNCTION("""COMPUTED_VALUE"""),2.16)</f>
        <v>2.16</v>
      </c>
      <c r="H4445" s="17"/>
      <c r="K4445" s="17"/>
      <c r="N4445" s="17"/>
    </row>
    <row r="4446">
      <c r="B4446" s="11">
        <f>IFERROR(__xludf.DUMMYFUNCTION("""COMPUTED_VALUE"""),39801.0)</f>
        <v>39801</v>
      </c>
      <c r="C4446" s="9">
        <f>IFERROR(__xludf.DUMMYFUNCTION("""COMPUTED_VALUE"""),2.13)</f>
        <v>2.13</v>
      </c>
      <c r="H4446" s="17"/>
      <c r="K4446" s="17"/>
      <c r="N4446" s="17"/>
    </row>
    <row r="4447">
      <c r="B4447" s="11">
        <f>IFERROR(__xludf.DUMMYFUNCTION("""COMPUTED_VALUE"""),39800.0)</f>
        <v>39800</v>
      </c>
      <c r="C4447" s="9">
        <f>IFERROR(__xludf.DUMMYFUNCTION("""COMPUTED_VALUE"""),2.08)</f>
        <v>2.08</v>
      </c>
      <c r="H4447" s="17"/>
      <c r="K4447" s="17"/>
      <c r="N4447" s="17"/>
    </row>
    <row r="4448">
      <c r="B4448" s="11">
        <f>IFERROR(__xludf.DUMMYFUNCTION("""COMPUTED_VALUE"""),39799.0)</f>
        <v>39799</v>
      </c>
      <c r="C4448" s="9">
        <f>IFERROR(__xludf.DUMMYFUNCTION("""COMPUTED_VALUE"""),2.2)</f>
        <v>2.2</v>
      </c>
      <c r="H4448" s="17"/>
      <c r="K4448" s="17"/>
      <c r="N4448" s="17"/>
    </row>
    <row r="4449">
      <c r="B4449" s="11">
        <f>IFERROR(__xludf.DUMMYFUNCTION("""COMPUTED_VALUE"""),39798.0)</f>
        <v>39798</v>
      </c>
      <c r="C4449" s="9">
        <f>IFERROR(__xludf.DUMMYFUNCTION("""COMPUTED_VALUE"""),2.37)</f>
        <v>2.37</v>
      </c>
      <c r="H4449" s="17"/>
      <c r="K4449" s="17"/>
      <c r="N4449" s="17"/>
    </row>
    <row r="4450">
      <c r="B4450" s="11">
        <f>IFERROR(__xludf.DUMMYFUNCTION("""COMPUTED_VALUE"""),39797.0)</f>
        <v>39797</v>
      </c>
      <c r="C4450" s="9">
        <f>IFERROR(__xludf.DUMMYFUNCTION("""COMPUTED_VALUE"""),2.53)</f>
        <v>2.53</v>
      </c>
      <c r="H4450" s="17"/>
      <c r="K4450" s="17"/>
      <c r="N4450" s="17"/>
    </row>
    <row r="4451">
      <c r="B4451" s="11">
        <f>IFERROR(__xludf.DUMMYFUNCTION("""COMPUTED_VALUE"""),39794.0)</f>
        <v>39794</v>
      </c>
      <c r="C4451" s="9">
        <f>IFERROR(__xludf.DUMMYFUNCTION("""COMPUTED_VALUE"""),2.6)</f>
        <v>2.6</v>
      </c>
      <c r="H4451" s="17"/>
      <c r="K4451" s="17"/>
      <c r="N4451" s="17"/>
    </row>
    <row r="4452">
      <c r="B4452" s="11">
        <f>IFERROR(__xludf.DUMMYFUNCTION("""COMPUTED_VALUE"""),39793.0)</f>
        <v>39793</v>
      </c>
      <c r="C4452" s="9">
        <f>IFERROR(__xludf.DUMMYFUNCTION("""COMPUTED_VALUE"""),2.64)</f>
        <v>2.64</v>
      </c>
      <c r="H4452" s="17"/>
      <c r="K4452" s="17"/>
      <c r="N4452" s="17"/>
    </row>
    <row r="4453">
      <c r="B4453" s="11">
        <f>IFERROR(__xludf.DUMMYFUNCTION("""COMPUTED_VALUE"""),39792.0)</f>
        <v>39792</v>
      </c>
      <c r="C4453" s="9">
        <f>IFERROR(__xludf.DUMMYFUNCTION("""COMPUTED_VALUE"""),2.69)</f>
        <v>2.69</v>
      </c>
      <c r="H4453" s="17"/>
      <c r="K4453" s="17"/>
      <c r="N4453" s="17"/>
    </row>
    <row r="4454">
      <c r="B4454" s="11">
        <f>IFERROR(__xludf.DUMMYFUNCTION("""COMPUTED_VALUE"""),39791.0)</f>
        <v>39791</v>
      </c>
      <c r="C4454" s="9">
        <f>IFERROR(__xludf.DUMMYFUNCTION("""COMPUTED_VALUE"""),2.67)</f>
        <v>2.67</v>
      </c>
      <c r="H4454" s="17"/>
      <c r="K4454" s="17"/>
      <c r="N4454" s="17"/>
    </row>
    <row r="4455">
      <c r="B4455" s="11">
        <f>IFERROR(__xludf.DUMMYFUNCTION("""COMPUTED_VALUE"""),39790.0)</f>
        <v>39790</v>
      </c>
      <c r="C4455" s="9">
        <f>IFERROR(__xludf.DUMMYFUNCTION("""COMPUTED_VALUE"""),2.77)</f>
        <v>2.77</v>
      </c>
      <c r="H4455" s="17"/>
      <c r="K4455" s="17"/>
      <c r="N4455" s="17"/>
    </row>
    <row r="4456">
      <c r="B4456" s="11">
        <f>IFERROR(__xludf.DUMMYFUNCTION("""COMPUTED_VALUE"""),39787.0)</f>
        <v>39787</v>
      </c>
      <c r="C4456" s="9">
        <f>IFERROR(__xludf.DUMMYFUNCTION("""COMPUTED_VALUE"""),2.67)</f>
        <v>2.67</v>
      </c>
      <c r="H4456" s="17"/>
      <c r="K4456" s="17"/>
      <c r="N4456" s="17"/>
    </row>
    <row r="4457">
      <c r="B4457" s="11">
        <f>IFERROR(__xludf.DUMMYFUNCTION("""COMPUTED_VALUE"""),39786.0)</f>
        <v>39786</v>
      </c>
      <c r="C4457" s="9">
        <f>IFERROR(__xludf.DUMMYFUNCTION("""COMPUTED_VALUE"""),2.55)</f>
        <v>2.55</v>
      </c>
      <c r="H4457" s="17"/>
      <c r="K4457" s="17"/>
      <c r="N4457" s="17"/>
    </row>
    <row r="4458">
      <c r="B4458" s="11">
        <f>IFERROR(__xludf.DUMMYFUNCTION("""COMPUTED_VALUE"""),39785.0)</f>
        <v>39785</v>
      </c>
      <c r="C4458" s="9">
        <f>IFERROR(__xludf.DUMMYFUNCTION("""COMPUTED_VALUE"""),2.67)</f>
        <v>2.67</v>
      </c>
      <c r="H4458" s="17"/>
      <c r="K4458" s="17"/>
      <c r="N4458" s="17"/>
    </row>
    <row r="4459">
      <c r="B4459" s="11">
        <f>IFERROR(__xludf.DUMMYFUNCTION("""COMPUTED_VALUE"""),39784.0)</f>
        <v>39784</v>
      </c>
      <c r="C4459" s="9">
        <f>IFERROR(__xludf.DUMMYFUNCTION("""COMPUTED_VALUE"""),2.68)</f>
        <v>2.68</v>
      </c>
      <c r="H4459" s="17"/>
      <c r="K4459" s="17"/>
      <c r="N4459" s="17"/>
    </row>
    <row r="4460">
      <c r="B4460" s="11">
        <f>IFERROR(__xludf.DUMMYFUNCTION("""COMPUTED_VALUE"""),39783.0)</f>
        <v>39783</v>
      </c>
      <c r="C4460" s="9">
        <f>IFERROR(__xludf.DUMMYFUNCTION("""COMPUTED_VALUE"""),2.72)</f>
        <v>2.72</v>
      </c>
      <c r="H4460" s="17"/>
      <c r="K4460" s="17"/>
      <c r="N4460" s="17"/>
    </row>
    <row r="4461">
      <c r="B4461" s="11">
        <f>IFERROR(__xludf.DUMMYFUNCTION("""COMPUTED_VALUE"""),39780.0)</f>
        <v>39780</v>
      </c>
      <c r="C4461" s="9">
        <f>IFERROR(__xludf.DUMMYFUNCTION("""COMPUTED_VALUE"""),2.93)</f>
        <v>2.93</v>
      </c>
      <c r="H4461" s="17"/>
      <c r="K4461" s="17"/>
      <c r="N4461" s="17"/>
    </row>
    <row r="4462">
      <c r="B4462" s="11">
        <f>IFERROR(__xludf.DUMMYFUNCTION("""COMPUTED_VALUE"""),39779.0)</f>
        <v>39779</v>
      </c>
      <c r="C4462" s="9"/>
      <c r="H4462" s="17"/>
      <c r="K4462" s="17"/>
      <c r="N4462" s="17"/>
    </row>
    <row r="4463">
      <c r="B4463" s="11">
        <f>IFERROR(__xludf.DUMMYFUNCTION("""COMPUTED_VALUE"""),39778.0)</f>
        <v>39778</v>
      </c>
      <c r="C4463" s="9">
        <f>IFERROR(__xludf.DUMMYFUNCTION("""COMPUTED_VALUE"""),2.99)</f>
        <v>2.99</v>
      </c>
      <c r="H4463" s="17"/>
      <c r="K4463" s="17"/>
      <c r="N4463" s="17"/>
    </row>
    <row r="4464">
      <c r="B4464" s="11">
        <f>IFERROR(__xludf.DUMMYFUNCTION("""COMPUTED_VALUE"""),39777.0)</f>
        <v>39777</v>
      </c>
      <c r="C4464" s="9">
        <f>IFERROR(__xludf.DUMMYFUNCTION("""COMPUTED_VALUE"""),3.11)</f>
        <v>3.11</v>
      </c>
      <c r="H4464" s="17"/>
      <c r="K4464" s="17"/>
      <c r="N4464" s="17"/>
    </row>
    <row r="4465">
      <c r="B4465" s="11">
        <f>IFERROR(__xludf.DUMMYFUNCTION("""COMPUTED_VALUE"""),39776.0)</f>
        <v>39776</v>
      </c>
      <c r="C4465" s="9">
        <f>IFERROR(__xludf.DUMMYFUNCTION("""COMPUTED_VALUE"""),3.35)</f>
        <v>3.35</v>
      </c>
      <c r="H4465" s="17"/>
      <c r="K4465" s="17"/>
      <c r="N4465" s="17"/>
    </row>
    <row r="4466">
      <c r="B4466" s="11">
        <f>IFERROR(__xludf.DUMMYFUNCTION("""COMPUTED_VALUE"""),39773.0)</f>
        <v>39773</v>
      </c>
      <c r="C4466" s="9">
        <f>IFERROR(__xludf.DUMMYFUNCTION("""COMPUTED_VALUE"""),3.2)</f>
        <v>3.2</v>
      </c>
      <c r="H4466" s="17"/>
      <c r="K4466" s="17"/>
      <c r="N4466" s="17"/>
    </row>
    <row r="4467">
      <c r="B4467" s="11">
        <f>IFERROR(__xludf.DUMMYFUNCTION("""COMPUTED_VALUE"""),39772.0)</f>
        <v>39772</v>
      </c>
      <c r="C4467" s="9">
        <f>IFERROR(__xludf.DUMMYFUNCTION("""COMPUTED_VALUE"""),3.1)</f>
        <v>3.1</v>
      </c>
      <c r="H4467" s="17"/>
      <c r="K4467" s="17"/>
      <c r="N4467" s="17"/>
    </row>
    <row r="4468">
      <c r="B4468" s="11">
        <f>IFERROR(__xludf.DUMMYFUNCTION("""COMPUTED_VALUE"""),39771.0)</f>
        <v>39771</v>
      </c>
      <c r="C4468" s="9">
        <f>IFERROR(__xludf.DUMMYFUNCTION("""COMPUTED_VALUE"""),3.38)</f>
        <v>3.38</v>
      </c>
      <c r="H4468" s="17"/>
      <c r="K4468" s="17"/>
      <c r="N4468" s="17"/>
    </row>
    <row r="4469">
      <c r="B4469" s="11">
        <f>IFERROR(__xludf.DUMMYFUNCTION("""COMPUTED_VALUE"""),39770.0)</f>
        <v>39770</v>
      </c>
      <c r="C4469" s="9">
        <f>IFERROR(__xludf.DUMMYFUNCTION("""COMPUTED_VALUE"""),3.53)</f>
        <v>3.53</v>
      </c>
      <c r="H4469" s="17"/>
      <c r="K4469" s="17"/>
      <c r="N4469" s="17"/>
    </row>
    <row r="4470">
      <c r="B4470" s="11">
        <f>IFERROR(__xludf.DUMMYFUNCTION("""COMPUTED_VALUE"""),39769.0)</f>
        <v>39769</v>
      </c>
      <c r="C4470" s="9">
        <f>IFERROR(__xludf.DUMMYFUNCTION("""COMPUTED_VALUE"""),3.68)</f>
        <v>3.68</v>
      </c>
      <c r="H4470" s="17"/>
      <c r="K4470" s="17"/>
      <c r="N4470" s="17"/>
    </row>
    <row r="4471">
      <c r="B4471" s="11">
        <f>IFERROR(__xludf.DUMMYFUNCTION("""COMPUTED_VALUE"""),39766.0)</f>
        <v>39766</v>
      </c>
      <c r="C4471" s="9">
        <f>IFERROR(__xludf.DUMMYFUNCTION("""COMPUTED_VALUE"""),3.72)</f>
        <v>3.72</v>
      </c>
      <c r="H4471" s="17"/>
      <c r="K4471" s="17"/>
      <c r="N4471" s="17"/>
    </row>
    <row r="4472">
      <c r="B4472" s="11">
        <f>IFERROR(__xludf.DUMMYFUNCTION("""COMPUTED_VALUE"""),39765.0)</f>
        <v>39765</v>
      </c>
      <c r="C4472" s="9">
        <f>IFERROR(__xludf.DUMMYFUNCTION("""COMPUTED_VALUE"""),3.84)</f>
        <v>3.84</v>
      </c>
      <c r="H4472" s="17"/>
      <c r="K4472" s="17"/>
      <c r="N4472" s="17"/>
    </row>
    <row r="4473">
      <c r="B4473" s="11">
        <f>IFERROR(__xludf.DUMMYFUNCTION("""COMPUTED_VALUE"""),39764.0)</f>
        <v>39764</v>
      </c>
      <c r="C4473" s="9">
        <f>IFERROR(__xludf.DUMMYFUNCTION("""COMPUTED_VALUE"""),3.75)</f>
        <v>3.75</v>
      </c>
      <c r="H4473" s="17"/>
      <c r="K4473" s="17"/>
      <c r="N4473" s="17"/>
    </row>
    <row r="4474">
      <c r="B4474" s="11">
        <f>IFERROR(__xludf.DUMMYFUNCTION("""COMPUTED_VALUE"""),39763.0)</f>
        <v>39763</v>
      </c>
      <c r="C4474" s="9"/>
      <c r="H4474" s="17"/>
      <c r="K4474" s="17"/>
      <c r="N4474" s="17"/>
    </row>
    <row r="4475">
      <c r="B4475" s="11">
        <f>IFERROR(__xludf.DUMMYFUNCTION("""COMPUTED_VALUE"""),39762.0)</f>
        <v>39762</v>
      </c>
      <c r="C4475" s="9">
        <f>IFERROR(__xludf.DUMMYFUNCTION("""COMPUTED_VALUE"""),3.82)</f>
        <v>3.82</v>
      </c>
      <c r="H4475" s="17"/>
      <c r="K4475" s="17"/>
      <c r="N4475" s="17"/>
    </row>
    <row r="4476">
      <c r="B4476" s="11">
        <f>IFERROR(__xludf.DUMMYFUNCTION("""COMPUTED_VALUE"""),39759.0)</f>
        <v>39759</v>
      </c>
      <c r="C4476" s="9">
        <f>IFERROR(__xludf.DUMMYFUNCTION("""COMPUTED_VALUE"""),3.83)</f>
        <v>3.83</v>
      </c>
      <c r="H4476" s="17"/>
      <c r="K4476" s="17"/>
      <c r="N4476" s="17"/>
    </row>
    <row r="4477">
      <c r="B4477" s="11">
        <f>IFERROR(__xludf.DUMMYFUNCTION("""COMPUTED_VALUE"""),39758.0)</f>
        <v>39758</v>
      </c>
      <c r="C4477" s="9">
        <f>IFERROR(__xludf.DUMMYFUNCTION("""COMPUTED_VALUE"""),3.75)</f>
        <v>3.75</v>
      </c>
      <c r="H4477" s="17"/>
      <c r="K4477" s="17"/>
      <c r="N4477" s="17"/>
    </row>
    <row r="4478">
      <c r="B4478" s="11">
        <f>IFERROR(__xludf.DUMMYFUNCTION("""COMPUTED_VALUE"""),39757.0)</f>
        <v>39757</v>
      </c>
      <c r="C4478" s="9">
        <f>IFERROR(__xludf.DUMMYFUNCTION("""COMPUTED_VALUE"""),3.73)</f>
        <v>3.73</v>
      </c>
      <c r="H4478" s="17"/>
      <c r="K4478" s="17"/>
      <c r="N4478" s="17"/>
    </row>
    <row r="4479">
      <c r="B4479" s="11">
        <f>IFERROR(__xludf.DUMMYFUNCTION("""COMPUTED_VALUE"""),39756.0)</f>
        <v>39756</v>
      </c>
      <c r="C4479" s="9">
        <f>IFERROR(__xludf.DUMMYFUNCTION("""COMPUTED_VALUE"""),3.81)</f>
        <v>3.81</v>
      </c>
      <c r="H4479" s="17"/>
      <c r="K4479" s="17"/>
      <c r="N4479" s="17"/>
    </row>
    <row r="4480">
      <c r="B4480" s="11">
        <f>IFERROR(__xludf.DUMMYFUNCTION("""COMPUTED_VALUE"""),39755.0)</f>
        <v>39755</v>
      </c>
      <c r="C4480" s="9">
        <f>IFERROR(__xludf.DUMMYFUNCTION("""COMPUTED_VALUE"""),3.96)</f>
        <v>3.96</v>
      </c>
      <c r="H4480" s="17"/>
      <c r="K4480" s="17"/>
      <c r="N4480" s="17"/>
    </row>
    <row r="4481">
      <c r="B4481" s="11">
        <f>IFERROR(__xludf.DUMMYFUNCTION("""COMPUTED_VALUE"""),39752.0)</f>
        <v>39752</v>
      </c>
      <c r="C4481" s="9">
        <f>IFERROR(__xludf.DUMMYFUNCTION("""COMPUTED_VALUE"""),4.01)</f>
        <v>4.01</v>
      </c>
      <c r="H4481" s="17"/>
      <c r="K4481" s="17"/>
      <c r="N4481" s="17"/>
    </row>
    <row r="4482">
      <c r="B4482" s="11">
        <f>IFERROR(__xludf.DUMMYFUNCTION("""COMPUTED_VALUE"""),39751.0)</f>
        <v>39751</v>
      </c>
      <c r="C4482" s="9">
        <f>IFERROR(__xludf.DUMMYFUNCTION("""COMPUTED_VALUE"""),4.0)</f>
        <v>4</v>
      </c>
      <c r="H4482" s="17"/>
      <c r="K4482" s="17"/>
      <c r="N4482" s="17"/>
    </row>
    <row r="4483">
      <c r="B4483" s="11">
        <f>IFERROR(__xludf.DUMMYFUNCTION("""COMPUTED_VALUE"""),39750.0)</f>
        <v>39750</v>
      </c>
      <c r="C4483" s="9">
        <f>IFERROR(__xludf.DUMMYFUNCTION("""COMPUTED_VALUE"""),3.93)</f>
        <v>3.93</v>
      </c>
      <c r="H4483" s="17"/>
      <c r="K4483" s="17"/>
      <c r="N4483" s="17"/>
    </row>
    <row r="4484">
      <c r="B4484" s="11">
        <f>IFERROR(__xludf.DUMMYFUNCTION("""COMPUTED_VALUE"""),39749.0)</f>
        <v>39749</v>
      </c>
      <c r="C4484" s="9">
        <f>IFERROR(__xludf.DUMMYFUNCTION("""COMPUTED_VALUE"""),3.89)</f>
        <v>3.89</v>
      </c>
      <c r="H4484" s="17"/>
      <c r="K4484" s="17"/>
      <c r="N4484" s="17"/>
    </row>
    <row r="4485">
      <c r="B4485" s="11">
        <f>IFERROR(__xludf.DUMMYFUNCTION("""COMPUTED_VALUE"""),39748.0)</f>
        <v>39748</v>
      </c>
      <c r="C4485" s="9">
        <f>IFERROR(__xludf.DUMMYFUNCTION("""COMPUTED_VALUE"""),3.79)</f>
        <v>3.79</v>
      </c>
      <c r="H4485" s="17"/>
      <c r="K4485" s="17"/>
      <c r="N4485" s="17"/>
    </row>
    <row r="4486">
      <c r="B4486" s="11">
        <f>IFERROR(__xludf.DUMMYFUNCTION("""COMPUTED_VALUE"""),39745.0)</f>
        <v>39745</v>
      </c>
      <c r="C4486" s="9">
        <f>IFERROR(__xludf.DUMMYFUNCTION("""COMPUTED_VALUE"""),3.76)</f>
        <v>3.76</v>
      </c>
      <c r="H4486" s="17"/>
      <c r="K4486" s="17"/>
      <c r="N4486" s="17"/>
    </row>
    <row r="4487">
      <c r="B4487" s="11">
        <f>IFERROR(__xludf.DUMMYFUNCTION("""COMPUTED_VALUE"""),39744.0)</f>
        <v>39744</v>
      </c>
      <c r="C4487" s="9">
        <f>IFERROR(__xludf.DUMMYFUNCTION("""COMPUTED_VALUE"""),3.63)</f>
        <v>3.63</v>
      </c>
      <c r="H4487" s="17"/>
      <c r="K4487" s="17"/>
      <c r="N4487" s="17"/>
    </row>
    <row r="4488">
      <c r="B4488" s="11">
        <f>IFERROR(__xludf.DUMMYFUNCTION("""COMPUTED_VALUE"""),39743.0)</f>
        <v>39743</v>
      </c>
      <c r="C4488" s="9">
        <f>IFERROR(__xludf.DUMMYFUNCTION("""COMPUTED_VALUE"""),3.65)</f>
        <v>3.65</v>
      </c>
      <c r="H4488" s="17"/>
      <c r="K4488" s="17"/>
      <c r="N4488" s="17"/>
    </row>
    <row r="4489">
      <c r="B4489" s="11">
        <f>IFERROR(__xludf.DUMMYFUNCTION("""COMPUTED_VALUE"""),39742.0)</f>
        <v>39742</v>
      </c>
      <c r="C4489" s="9">
        <f>IFERROR(__xludf.DUMMYFUNCTION("""COMPUTED_VALUE"""),3.76)</f>
        <v>3.76</v>
      </c>
      <c r="H4489" s="17"/>
      <c r="K4489" s="17"/>
      <c r="N4489" s="17"/>
    </row>
    <row r="4490">
      <c r="B4490" s="11">
        <f>IFERROR(__xludf.DUMMYFUNCTION("""COMPUTED_VALUE"""),39741.0)</f>
        <v>39741</v>
      </c>
      <c r="C4490" s="9">
        <f>IFERROR(__xludf.DUMMYFUNCTION("""COMPUTED_VALUE"""),3.91)</f>
        <v>3.91</v>
      </c>
      <c r="H4490" s="17"/>
      <c r="K4490" s="17"/>
      <c r="N4490" s="17"/>
    </row>
    <row r="4491">
      <c r="B4491" s="11">
        <f>IFERROR(__xludf.DUMMYFUNCTION("""COMPUTED_VALUE"""),39738.0)</f>
        <v>39738</v>
      </c>
      <c r="C4491" s="9">
        <f>IFERROR(__xludf.DUMMYFUNCTION("""COMPUTED_VALUE"""),3.98)</f>
        <v>3.98</v>
      </c>
      <c r="H4491" s="17"/>
      <c r="K4491" s="17"/>
      <c r="N4491" s="17"/>
    </row>
    <row r="4492">
      <c r="B4492" s="11">
        <f>IFERROR(__xludf.DUMMYFUNCTION("""COMPUTED_VALUE"""),39737.0)</f>
        <v>39737</v>
      </c>
      <c r="C4492" s="9">
        <f>IFERROR(__xludf.DUMMYFUNCTION("""COMPUTED_VALUE"""),3.99)</f>
        <v>3.99</v>
      </c>
      <c r="H4492" s="17"/>
      <c r="K4492" s="17"/>
      <c r="N4492" s="17"/>
    </row>
    <row r="4493">
      <c r="B4493" s="11">
        <f>IFERROR(__xludf.DUMMYFUNCTION("""COMPUTED_VALUE"""),39736.0)</f>
        <v>39736</v>
      </c>
      <c r="C4493" s="9">
        <f>IFERROR(__xludf.DUMMYFUNCTION("""COMPUTED_VALUE"""),4.04)</f>
        <v>4.04</v>
      </c>
      <c r="H4493" s="17"/>
      <c r="K4493" s="17"/>
      <c r="N4493" s="17"/>
    </row>
    <row r="4494">
      <c r="B4494" s="11">
        <f>IFERROR(__xludf.DUMMYFUNCTION("""COMPUTED_VALUE"""),39735.0)</f>
        <v>39735</v>
      </c>
      <c r="C4494" s="9">
        <f>IFERROR(__xludf.DUMMYFUNCTION("""COMPUTED_VALUE"""),4.08)</f>
        <v>4.08</v>
      </c>
      <c r="H4494" s="17"/>
      <c r="K4494" s="17"/>
      <c r="N4494" s="17"/>
    </row>
    <row r="4495">
      <c r="B4495" s="11">
        <f>IFERROR(__xludf.DUMMYFUNCTION("""COMPUTED_VALUE"""),39734.0)</f>
        <v>39734</v>
      </c>
      <c r="C4495" s="9"/>
      <c r="H4495" s="17"/>
      <c r="K4495" s="17"/>
      <c r="N4495" s="17"/>
    </row>
    <row r="4496">
      <c r="B4496" s="11">
        <f>IFERROR(__xludf.DUMMYFUNCTION("""COMPUTED_VALUE"""),39731.0)</f>
        <v>39731</v>
      </c>
      <c r="C4496" s="9">
        <f>IFERROR(__xludf.DUMMYFUNCTION("""COMPUTED_VALUE"""),3.89)</f>
        <v>3.89</v>
      </c>
      <c r="H4496" s="17"/>
      <c r="K4496" s="17"/>
      <c r="N4496" s="17"/>
    </row>
    <row r="4497">
      <c r="B4497" s="11">
        <f>IFERROR(__xludf.DUMMYFUNCTION("""COMPUTED_VALUE"""),39730.0)</f>
        <v>39730</v>
      </c>
      <c r="C4497" s="9">
        <f>IFERROR(__xludf.DUMMYFUNCTION("""COMPUTED_VALUE"""),3.84)</f>
        <v>3.84</v>
      </c>
      <c r="H4497" s="17"/>
      <c r="K4497" s="17"/>
      <c r="N4497" s="17"/>
    </row>
    <row r="4498">
      <c r="B4498" s="11">
        <f>IFERROR(__xludf.DUMMYFUNCTION("""COMPUTED_VALUE"""),39729.0)</f>
        <v>39729</v>
      </c>
      <c r="C4498" s="9">
        <f>IFERROR(__xludf.DUMMYFUNCTION("""COMPUTED_VALUE"""),3.72)</f>
        <v>3.72</v>
      </c>
      <c r="H4498" s="17"/>
      <c r="K4498" s="17"/>
      <c r="N4498" s="17"/>
    </row>
    <row r="4499">
      <c r="B4499" s="11">
        <f>IFERROR(__xludf.DUMMYFUNCTION("""COMPUTED_VALUE"""),39728.0)</f>
        <v>39728</v>
      </c>
      <c r="C4499" s="9">
        <f>IFERROR(__xludf.DUMMYFUNCTION("""COMPUTED_VALUE"""),3.5)</f>
        <v>3.5</v>
      </c>
      <c r="H4499" s="17"/>
      <c r="K4499" s="17"/>
      <c r="N4499" s="17"/>
    </row>
    <row r="4500">
      <c r="B4500" s="11">
        <f>IFERROR(__xludf.DUMMYFUNCTION("""COMPUTED_VALUE"""),39727.0)</f>
        <v>39727</v>
      </c>
      <c r="C4500" s="9">
        <f>IFERROR(__xludf.DUMMYFUNCTION("""COMPUTED_VALUE"""),3.48)</f>
        <v>3.48</v>
      </c>
      <c r="H4500" s="17"/>
      <c r="K4500" s="17"/>
      <c r="N4500" s="17"/>
    </row>
    <row r="4501">
      <c r="B4501" s="11">
        <f>IFERROR(__xludf.DUMMYFUNCTION("""COMPUTED_VALUE"""),39724.0)</f>
        <v>39724</v>
      </c>
      <c r="C4501" s="9">
        <f>IFERROR(__xludf.DUMMYFUNCTION("""COMPUTED_VALUE"""),3.63)</f>
        <v>3.63</v>
      </c>
      <c r="H4501" s="17"/>
      <c r="K4501" s="17"/>
      <c r="N4501" s="17"/>
    </row>
    <row r="4502">
      <c r="B4502" s="11">
        <f>IFERROR(__xludf.DUMMYFUNCTION("""COMPUTED_VALUE"""),39723.0)</f>
        <v>39723</v>
      </c>
      <c r="C4502" s="9">
        <f>IFERROR(__xludf.DUMMYFUNCTION("""COMPUTED_VALUE"""),3.66)</f>
        <v>3.66</v>
      </c>
      <c r="H4502" s="17"/>
      <c r="K4502" s="17"/>
      <c r="N4502" s="17"/>
    </row>
    <row r="4503">
      <c r="B4503" s="11">
        <f>IFERROR(__xludf.DUMMYFUNCTION("""COMPUTED_VALUE"""),39722.0)</f>
        <v>39722</v>
      </c>
      <c r="C4503" s="9">
        <f>IFERROR(__xludf.DUMMYFUNCTION("""COMPUTED_VALUE"""),3.77)</f>
        <v>3.77</v>
      </c>
      <c r="H4503" s="17"/>
      <c r="K4503" s="17"/>
      <c r="N4503" s="17"/>
    </row>
    <row r="4504">
      <c r="B4504" s="11">
        <f>IFERROR(__xludf.DUMMYFUNCTION("""COMPUTED_VALUE"""),39721.0)</f>
        <v>39721</v>
      </c>
      <c r="C4504" s="9">
        <f>IFERROR(__xludf.DUMMYFUNCTION("""COMPUTED_VALUE"""),3.85)</f>
        <v>3.85</v>
      </c>
      <c r="H4504" s="17"/>
      <c r="K4504" s="17"/>
      <c r="N4504" s="17"/>
    </row>
    <row r="4505">
      <c r="B4505" s="11">
        <f>IFERROR(__xludf.DUMMYFUNCTION("""COMPUTED_VALUE"""),39720.0)</f>
        <v>39720</v>
      </c>
      <c r="C4505" s="9">
        <f>IFERROR(__xludf.DUMMYFUNCTION("""COMPUTED_VALUE"""),3.61)</f>
        <v>3.61</v>
      </c>
      <c r="H4505" s="17"/>
      <c r="K4505" s="17"/>
      <c r="N4505" s="17"/>
    </row>
    <row r="4506">
      <c r="B4506" s="11">
        <f>IFERROR(__xludf.DUMMYFUNCTION("""COMPUTED_VALUE"""),39717.0)</f>
        <v>39717</v>
      </c>
      <c r="C4506" s="9">
        <f>IFERROR(__xludf.DUMMYFUNCTION("""COMPUTED_VALUE"""),3.85)</f>
        <v>3.85</v>
      </c>
      <c r="H4506" s="17"/>
      <c r="K4506" s="17"/>
      <c r="N4506" s="17"/>
    </row>
    <row r="4507">
      <c r="B4507" s="11">
        <f>IFERROR(__xludf.DUMMYFUNCTION("""COMPUTED_VALUE"""),39716.0)</f>
        <v>39716</v>
      </c>
      <c r="C4507" s="9">
        <f>IFERROR(__xludf.DUMMYFUNCTION("""COMPUTED_VALUE"""),3.88)</f>
        <v>3.88</v>
      </c>
      <c r="H4507" s="17"/>
      <c r="K4507" s="17"/>
      <c r="N4507" s="17"/>
    </row>
    <row r="4508">
      <c r="B4508" s="11">
        <f>IFERROR(__xludf.DUMMYFUNCTION("""COMPUTED_VALUE"""),39715.0)</f>
        <v>39715</v>
      </c>
      <c r="C4508" s="9">
        <f>IFERROR(__xludf.DUMMYFUNCTION("""COMPUTED_VALUE"""),3.8)</f>
        <v>3.8</v>
      </c>
      <c r="H4508" s="17"/>
      <c r="K4508" s="17"/>
      <c r="N4508" s="17"/>
    </row>
    <row r="4509">
      <c r="B4509" s="11">
        <f>IFERROR(__xludf.DUMMYFUNCTION("""COMPUTED_VALUE"""),39714.0)</f>
        <v>39714</v>
      </c>
      <c r="C4509" s="9">
        <f>IFERROR(__xludf.DUMMYFUNCTION("""COMPUTED_VALUE"""),3.85)</f>
        <v>3.85</v>
      </c>
      <c r="H4509" s="17"/>
      <c r="K4509" s="17"/>
      <c r="N4509" s="17"/>
    </row>
    <row r="4510">
      <c r="B4510" s="11">
        <f>IFERROR(__xludf.DUMMYFUNCTION("""COMPUTED_VALUE"""),39713.0)</f>
        <v>39713</v>
      </c>
      <c r="C4510" s="9">
        <f>IFERROR(__xludf.DUMMYFUNCTION("""COMPUTED_VALUE"""),3.83)</f>
        <v>3.83</v>
      </c>
      <c r="H4510" s="17"/>
      <c r="K4510" s="17"/>
      <c r="N4510" s="17"/>
    </row>
    <row r="4511">
      <c r="B4511" s="11">
        <f>IFERROR(__xludf.DUMMYFUNCTION("""COMPUTED_VALUE"""),39710.0)</f>
        <v>39710</v>
      </c>
      <c r="C4511" s="9">
        <f>IFERROR(__xludf.DUMMYFUNCTION("""COMPUTED_VALUE"""),3.78)</f>
        <v>3.78</v>
      </c>
      <c r="H4511" s="17"/>
      <c r="K4511" s="17"/>
      <c r="N4511" s="17"/>
    </row>
    <row r="4512">
      <c r="B4512" s="11">
        <f>IFERROR(__xludf.DUMMYFUNCTION("""COMPUTED_VALUE"""),39709.0)</f>
        <v>39709</v>
      </c>
      <c r="C4512" s="9">
        <f>IFERROR(__xludf.DUMMYFUNCTION("""COMPUTED_VALUE"""),3.54)</f>
        <v>3.54</v>
      </c>
      <c r="H4512" s="17"/>
      <c r="K4512" s="17"/>
      <c r="N4512" s="17"/>
    </row>
    <row r="4513">
      <c r="B4513" s="11">
        <f>IFERROR(__xludf.DUMMYFUNCTION("""COMPUTED_VALUE"""),39708.0)</f>
        <v>39708</v>
      </c>
      <c r="C4513" s="9">
        <f>IFERROR(__xludf.DUMMYFUNCTION("""COMPUTED_VALUE"""),3.41)</f>
        <v>3.41</v>
      </c>
      <c r="H4513" s="17"/>
      <c r="K4513" s="17"/>
      <c r="N4513" s="17"/>
    </row>
    <row r="4514">
      <c r="B4514" s="11">
        <f>IFERROR(__xludf.DUMMYFUNCTION("""COMPUTED_VALUE"""),39707.0)</f>
        <v>39707</v>
      </c>
      <c r="C4514" s="9">
        <f>IFERROR(__xludf.DUMMYFUNCTION("""COMPUTED_VALUE"""),3.48)</f>
        <v>3.48</v>
      </c>
      <c r="H4514" s="17"/>
      <c r="K4514" s="17"/>
      <c r="N4514" s="17"/>
    </row>
    <row r="4515">
      <c r="B4515" s="11">
        <f>IFERROR(__xludf.DUMMYFUNCTION("""COMPUTED_VALUE"""),39706.0)</f>
        <v>39706</v>
      </c>
      <c r="C4515" s="9">
        <f>IFERROR(__xludf.DUMMYFUNCTION("""COMPUTED_VALUE"""),3.47)</f>
        <v>3.47</v>
      </c>
      <c r="H4515" s="17"/>
      <c r="K4515" s="17"/>
      <c r="N4515" s="17"/>
    </row>
    <row r="4516">
      <c r="B4516" s="11">
        <f>IFERROR(__xludf.DUMMYFUNCTION("""COMPUTED_VALUE"""),39703.0)</f>
        <v>39703</v>
      </c>
      <c r="C4516" s="9">
        <f>IFERROR(__xludf.DUMMYFUNCTION("""COMPUTED_VALUE"""),3.74)</f>
        <v>3.74</v>
      </c>
      <c r="H4516" s="17"/>
      <c r="K4516" s="17"/>
      <c r="N4516" s="17"/>
    </row>
    <row r="4517">
      <c r="B4517" s="11">
        <f>IFERROR(__xludf.DUMMYFUNCTION("""COMPUTED_VALUE"""),39702.0)</f>
        <v>39702</v>
      </c>
      <c r="C4517" s="9">
        <f>IFERROR(__xludf.DUMMYFUNCTION("""COMPUTED_VALUE"""),3.64)</f>
        <v>3.64</v>
      </c>
      <c r="H4517" s="17"/>
      <c r="K4517" s="17"/>
      <c r="N4517" s="17"/>
    </row>
    <row r="4518">
      <c r="B4518" s="11">
        <f>IFERROR(__xludf.DUMMYFUNCTION("""COMPUTED_VALUE"""),39701.0)</f>
        <v>39701</v>
      </c>
      <c r="C4518" s="9">
        <f>IFERROR(__xludf.DUMMYFUNCTION("""COMPUTED_VALUE"""),3.65)</f>
        <v>3.65</v>
      </c>
      <c r="H4518" s="17"/>
      <c r="K4518" s="17"/>
      <c r="N4518" s="17"/>
    </row>
    <row r="4519">
      <c r="B4519" s="11">
        <f>IFERROR(__xludf.DUMMYFUNCTION("""COMPUTED_VALUE"""),39700.0)</f>
        <v>39700</v>
      </c>
      <c r="C4519" s="9">
        <f>IFERROR(__xludf.DUMMYFUNCTION("""COMPUTED_VALUE"""),3.62)</f>
        <v>3.62</v>
      </c>
      <c r="H4519" s="17"/>
      <c r="K4519" s="17"/>
      <c r="N4519" s="17"/>
    </row>
    <row r="4520">
      <c r="B4520" s="11">
        <f>IFERROR(__xludf.DUMMYFUNCTION("""COMPUTED_VALUE"""),39699.0)</f>
        <v>39699</v>
      </c>
      <c r="C4520" s="9">
        <f>IFERROR(__xludf.DUMMYFUNCTION("""COMPUTED_VALUE"""),3.66)</f>
        <v>3.66</v>
      </c>
      <c r="H4520" s="17"/>
      <c r="K4520" s="17"/>
      <c r="N4520" s="17"/>
    </row>
    <row r="4521">
      <c r="B4521" s="11">
        <f>IFERROR(__xludf.DUMMYFUNCTION("""COMPUTED_VALUE"""),39696.0)</f>
        <v>39696</v>
      </c>
      <c r="C4521" s="9">
        <f>IFERROR(__xludf.DUMMYFUNCTION("""COMPUTED_VALUE"""),3.66)</f>
        <v>3.66</v>
      </c>
      <c r="H4521" s="17"/>
      <c r="K4521" s="17"/>
      <c r="N4521" s="17"/>
    </row>
    <row r="4522">
      <c r="B4522" s="11">
        <f>IFERROR(__xludf.DUMMYFUNCTION("""COMPUTED_VALUE"""),39695.0)</f>
        <v>39695</v>
      </c>
      <c r="C4522" s="9">
        <f>IFERROR(__xludf.DUMMYFUNCTION("""COMPUTED_VALUE"""),3.64)</f>
        <v>3.64</v>
      </c>
      <c r="H4522" s="17"/>
      <c r="K4522" s="17"/>
      <c r="N4522" s="17"/>
    </row>
    <row r="4523">
      <c r="B4523" s="11">
        <f>IFERROR(__xludf.DUMMYFUNCTION("""COMPUTED_VALUE"""),39694.0)</f>
        <v>39694</v>
      </c>
      <c r="C4523" s="9">
        <f>IFERROR(__xludf.DUMMYFUNCTION("""COMPUTED_VALUE"""),3.71)</f>
        <v>3.71</v>
      </c>
      <c r="H4523" s="17"/>
      <c r="K4523" s="17"/>
      <c r="N4523" s="17"/>
    </row>
    <row r="4524">
      <c r="B4524" s="11">
        <f>IFERROR(__xludf.DUMMYFUNCTION("""COMPUTED_VALUE"""),39693.0)</f>
        <v>39693</v>
      </c>
      <c r="C4524" s="9">
        <f>IFERROR(__xludf.DUMMYFUNCTION("""COMPUTED_VALUE"""),3.74)</f>
        <v>3.74</v>
      </c>
      <c r="H4524" s="17"/>
      <c r="K4524" s="17"/>
      <c r="N4524" s="17"/>
    </row>
    <row r="4525">
      <c r="B4525" s="11">
        <f>IFERROR(__xludf.DUMMYFUNCTION("""COMPUTED_VALUE"""),39692.0)</f>
        <v>39692</v>
      </c>
      <c r="C4525" s="9"/>
      <c r="H4525" s="17"/>
      <c r="K4525" s="17"/>
      <c r="N4525" s="17"/>
    </row>
    <row r="4526">
      <c r="B4526" s="11">
        <f>IFERROR(__xludf.DUMMYFUNCTION("""COMPUTED_VALUE"""),39689.0)</f>
        <v>39689</v>
      </c>
      <c r="C4526" s="9">
        <f>IFERROR(__xludf.DUMMYFUNCTION("""COMPUTED_VALUE"""),3.83)</f>
        <v>3.83</v>
      </c>
      <c r="H4526" s="17"/>
      <c r="K4526" s="17"/>
      <c r="N4526" s="17"/>
    </row>
    <row r="4527">
      <c r="B4527" s="11">
        <f>IFERROR(__xludf.DUMMYFUNCTION("""COMPUTED_VALUE"""),39688.0)</f>
        <v>39688</v>
      </c>
      <c r="C4527" s="9">
        <f>IFERROR(__xludf.DUMMYFUNCTION("""COMPUTED_VALUE"""),3.79)</f>
        <v>3.79</v>
      </c>
      <c r="H4527" s="17"/>
      <c r="K4527" s="17"/>
      <c r="N4527" s="17"/>
    </row>
    <row r="4528">
      <c r="B4528" s="11">
        <f>IFERROR(__xludf.DUMMYFUNCTION("""COMPUTED_VALUE"""),39687.0)</f>
        <v>39687</v>
      </c>
      <c r="C4528" s="9">
        <f>IFERROR(__xludf.DUMMYFUNCTION("""COMPUTED_VALUE"""),3.77)</f>
        <v>3.77</v>
      </c>
      <c r="H4528" s="17"/>
      <c r="K4528" s="17"/>
      <c r="N4528" s="17"/>
    </row>
    <row r="4529">
      <c r="B4529" s="11">
        <f>IFERROR(__xludf.DUMMYFUNCTION("""COMPUTED_VALUE"""),39686.0)</f>
        <v>39686</v>
      </c>
      <c r="C4529" s="9">
        <f>IFERROR(__xludf.DUMMYFUNCTION("""COMPUTED_VALUE"""),3.79)</f>
        <v>3.79</v>
      </c>
      <c r="H4529" s="17"/>
      <c r="K4529" s="17"/>
      <c r="N4529" s="17"/>
    </row>
    <row r="4530">
      <c r="B4530" s="11">
        <f>IFERROR(__xludf.DUMMYFUNCTION("""COMPUTED_VALUE"""),39685.0)</f>
        <v>39685</v>
      </c>
      <c r="C4530" s="9">
        <f>IFERROR(__xludf.DUMMYFUNCTION("""COMPUTED_VALUE"""),3.79)</f>
        <v>3.79</v>
      </c>
      <c r="H4530" s="17"/>
      <c r="K4530" s="17"/>
      <c r="N4530" s="17"/>
    </row>
    <row r="4531">
      <c r="B4531" s="11">
        <f>IFERROR(__xludf.DUMMYFUNCTION("""COMPUTED_VALUE"""),39682.0)</f>
        <v>39682</v>
      </c>
      <c r="C4531" s="9">
        <f>IFERROR(__xludf.DUMMYFUNCTION("""COMPUTED_VALUE"""),3.87)</f>
        <v>3.87</v>
      </c>
      <c r="H4531" s="17"/>
      <c r="K4531" s="17"/>
      <c r="N4531" s="17"/>
    </row>
    <row r="4532">
      <c r="B4532" s="11">
        <f>IFERROR(__xludf.DUMMYFUNCTION("""COMPUTED_VALUE"""),39681.0)</f>
        <v>39681</v>
      </c>
      <c r="C4532" s="9">
        <f>IFERROR(__xludf.DUMMYFUNCTION("""COMPUTED_VALUE"""),3.84)</f>
        <v>3.84</v>
      </c>
      <c r="H4532" s="17"/>
      <c r="K4532" s="17"/>
      <c r="N4532" s="17"/>
    </row>
    <row r="4533">
      <c r="B4533" s="11">
        <f>IFERROR(__xludf.DUMMYFUNCTION("""COMPUTED_VALUE"""),39680.0)</f>
        <v>39680</v>
      </c>
      <c r="C4533" s="9">
        <f>IFERROR(__xludf.DUMMYFUNCTION("""COMPUTED_VALUE"""),3.79)</f>
        <v>3.79</v>
      </c>
      <c r="H4533" s="17"/>
      <c r="K4533" s="17"/>
      <c r="N4533" s="17"/>
    </row>
    <row r="4534">
      <c r="B4534" s="11">
        <f>IFERROR(__xludf.DUMMYFUNCTION("""COMPUTED_VALUE"""),39679.0)</f>
        <v>39679</v>
      </c>
      <c r="C4534" s="9">
        <f>IFERROR(__xludf.DUMMYFUNCTION("""COMPUTED_VALUE"""),3.83)</f>
        <v>3.83</v>
      </c>
      <c r="H4534" s="17"/>
      <c r="K4534" s="17"/>
      <c r="N4534" s="17"/>
    </row>
    <row r="4535">
      <c r="B4535" s="11">
        <f>IFERROR(__xludf.DUMMYFUNCTION("""COMPUTED_VALUE"""),39678.0)</f>
        <v>39678</v>
      </c>
      <c r="C4535" s="9">
        <f>IFERROR(__xludf.DUMMYFUNCTION("""COMPUTED_VALUE"""),3.82)</f>
        <v>3.82</v>
      </c>
      <c r="H4535" s="17"/>
      <c r="K4535" s="17"/>
      <c r="N4535" s="17"/>
    </row>
    <row r="4536">
      <c r="B4536" s="11">
        <f>IFERROR(__xludf.DUMMYFUNCTION("""COMPUTED_VALUE"""),39675.0)</f>
        <v>39675</v>
      </c>
      <c r="C4536" s="9">
        <f>IFERROR(__xludf.DUMMYFUNCTION("""COMPUTED_VALUE"""),3.84)</f>
        <v>3.84</v>
      </c>
      <c r="H4536" s="17"/>
      <c r="K4536" s="17"/>
      <c r="N4536" s="17"/>
    </row>
    <row r="4537">
      <c r="B4537" s="11">
        <f>IFERROR(__xludf.DUMMYFUNCTION("""COMPUTED_VALUE"""),39674.0)</f>
        <v>39674</v>
      </c>
      <c r="C4537" s="9">
        <f>IFERROR(__xludf.DUMMYFUNCTION("""COMPUTED_VALUE"""),3.89)</f>
        <v>3.89</v>
      </c>
      <c r="H4537" s="17"/>
      <c r="K4537" s="17"/>
      <c r="N4537" s="17"/>
    </row>
    <row r="4538">
      <c r="B4538" s="11">
        <f>IFERROR(__xludf.DUMMYFUNCTION("""COMPUTED_VALUE"""),39673.0)</f>
        <v>39673</v>
      </c>
      <c r="C4538" s="9">
        <f>IFERROR(__xludf.DUMMYFUNCTION("""COMPUTED_VALUE"""),3.94)</f>
        <v>3.94</v>
      </c>
      <c r="H4538" s="17"/>
      <c r="K4538" s="17"/>
      <c r="N4538" s="17"/>
    </row>
    <row r="4539">
      <c r="B4539" s="11">
        <f>IFERROR(__xludf.DUMMYFUNCTION("""COMPUTED_VALUE"""),39672.0)</f>
        <v>39672</v>
      </c>
      <c r="C4539" s="9">
        <f>IFERROR(__xludf.DUMMYFUNCTION("""COMPUTED_VALUE"""),3.91)</f>
        <v>3.91</v>
      </c>
      <c r="H4539" s="17"/>
      <c r="K4539" s="17"/>
      <c r="N4539" s="17"/>
    </row>
    <row r="4540">
      <c r="B4540" s="11">
        <f>IFERROR(__xludf.DUMMYFUNCTION("""COMPUTED_VALUE"""),39671.0)</f>
        <v>39671</v>
      </c>
      <c r="C4540" s="9">
        <f>IFERROR(__xludf.DUMMYFUNCTION("""COMPUTED_VALUE"""),3.99)</f>
        <v>3.99</v>
      </c>
      <c r="H4540" s="17"/>
      <c r="K4540" s="17"/>
      <c r="N4540" s="17"/>
    </row>
    <row r="4541">
      <c r="B4541" s="11">
        <f>IFERROR(__xludf.DUMMYFUNCTION("""COMPUTED_VALUE"""),39668.0)</f>
        <v>39668</v>
      </c>
      <c r="C4541" s="9">
        <f>IFERROR(__xludf.DUMMYFUNCTION("""COMPUTED_VALUE"""),3.94)</f>
        <v>3.94</v>
      </c>
      <c r="H4541" s="17"/>
      <c r="K4541" s="17"/>
      <c r="N4541" s="17"/>
    </row>
    <row r="4542">
      <c r="B4542" s="11">
        <f>IFERROR(__xludf.DUMMYFUNCTION("""COMPUTED_VALUE"""),39667.0)</f>
        <v>39667</v>
      </c>
      <c r="C4542" s="9">
        <f>IFERROR(__xludf.DUMMYFUNCTION("""COMPUTED_VALUE"""),3.92)</f>
        <v>3.92</v>
      </c>
      <c r="H4542" s="17"/>
      <c r="K4542" s="17"/>
      <c r="N4542" s="17"/>
    </row>
    <row r="4543">
      <c r="B4543" s="11">
        <f>IFERROR(__xludf.DUMMYFUNCTION("""COMPUTED_VALUE"""),39666.0)</f>
        <v>39666</v>
      </c>
      <c r="C4543" s="9">
        <f>IFERROR(__xludf.DUMMYFUNCTION("""COMPUTED_VALUE"""),4.06)</f>
        <v>4.06</v>
      </c>
      <c r="H4543" s="17"/>
      <c r="K4543" s="17"/>
      <c r="N4543" s="17"/>
    </row>
    <row r="4544">
      <c r="B4544" s="11">
        <f>IFERROR(__xludf.DUMMYFUNCTION("""COMPUTED_VALUE"""),39665.0)</f>
        <v>39665</v>
      </c>
      <c r="C4544" s="9">
        <f>IFERROR(__xludf.DUMMYFUNCTION("""COMPUTED_VALUE"""),4.04)</f>
        <v>4.04</v>
      </c>
      <c r="H4544" s="17"/>
      <c r="K4544" s="17"/>
      <c r="N4544" s="17"/>
    </row>
    <row r="4545">
      <c r="B4545" s="11">
        <f>IFERROR(__xludf.DUMMYFUNCTION("""COMPUTED_VALUE"""),39664.0)</f>
        <v>39664</v>
      </c>
      <c r="C4545" s="9">
        <f>IFERROR(__xludf.DUMMYFUNCTION("""COMPUTED_VALUE"""),3.98)</f>
        <v>3.98</v>
      </c>
      <c r="H4545" s="17"/>
      <c r="K4545" s="17"/>
      <c r="N4545" s="17"/>
    </row>
    <row r="4546">
      <c r="B4546" s="11">
        <f>IFERROR(__xludf.DUMMYFUNCTION("""COMPUTED_VALUE"""),39661.0)</f>
        <v>39661</v>
      </c>
      <c r="C4546" s="9">
        <f>IFERROR(__xludf.DUMMYFUNCTION("""COMPUTED_VALUE"""),3.97)</f>
        <v>3.97</v>
      </c>
      <c r="H4546" s="17"/>
      <c r="K4546" s="17"/>
      <c r="N4546" s="17"/>
    </row>
    <row r="4547">
      <c r="B4547" s="11">
        <f>IFERROR(__xludf.DUMMYFUNCTION("""COMPUTED_VALUE"""),39660.0)</f>
        <v>39660</v>
      </c>
      <c r="C4547" s="9">
        <f>IFERROR(__xludf.DUMMYFUNCTION("""COMPUTED_VALUE"""),3.99)</f>
        <v>3.99</v>
      </c>
      <c r="H4547" s="17"/>
      <c r="K4547" s="17"/>
      <c r="N4547" s="17"/>
    </row>
    <row r="4548">
      <c r="B4548" s="11">
        <f>IFERROR(__xludf.DUMMYFUNCTION("""COMPUTED_VALUE"""),39659.0)</f>
        <v>39659</v>
      </c>
      <c r="C4548" s="9">
        <f>IFERROR(__xludf.DUMMYFUNCTION("""COMPUTED_VALUE"""),4.07)</f>
        <v>4.07</v>
      </c>
      <c r="H4548" s="17"/>
      <c r="K4548" s="17"/>
      <c r="N4548" s="17"/>
    </row>
    <row r="4549">
      <c r="B4549" s="11">
        <f>IFERROR(__xludf.DUMMYFUNCTION("""COMPUTED_VALUE"""),39658.0)</f>
        <v>39658</v>
      </c>
      <c r="C4549" s="9">
        <f>IFERROR(__xludf.DUMMYFUNCTION("""COMPUTED_VALUE"""),4.09)</f>
        <v>4.09</v>
      </c>
      <c r="H4549" s="17"/>
      <c r="K4549" s="17"/>
      <c r="N4549" s="17"/>
    </row>
    <row r="4550">
      <c r="B4550" s="11">
        <f>IFERROR(__xludf.DUMMYFUNCTION("""COMPUTED_VALUE"""),39657.0)</f>
        <v>39657</v>
      </c>
      <c r="C4550" s="9">
        <f>IFERROR(__xludf.DUMMYFUNCTION("""COMPUTED_VALUE"""),4.06)</f>
        <v>4.06</v>
      </c>
      <c r="H4550" s="17"/>
      <c r="K4550" s="17"/>
      <c r="N4550" s="17"/>
    </row>
    <row r="4551">
      <c r="B4551" s="11">
        <f>IFERROR(__xludf.DUMMYFUNCTION("""COMPUTED_VALUE"""),39654.0)</f>
        <v>39654</v>
      </c>
      <c r="C4551" s="9">
        <f>IFERROR(__xludf.DUMMYFUNCTION("""COMPUTED_VALUE"""),4.13)</f>
        <v>4.13</v>
      </c>
      <c r="H4551" s="17"/>
      <c r="K4551" s="17"/>
      <c r="N4551" s="17"/>
    </row>
    <row r="4552">
      <c r="B4552" s="11">
        <f>IFERROR(__xludf.DUMMYFUNCTION("""COMPUTED_VALUE"""),39653.0)</f>
        <v>39653</v>
      </c>
      <c r="C4552" s="9">
        <f>IFERROR(__xludf.DUMMYFUNCTION("""COMPUTED_VALUE"""),4.03)</f>
        <v>4.03</v>
      </c>
      <c r="H4552" s="17"/>
      <c r="K4552" s="17"/>
      <c r="N4552" s="17"/>
    </row>
    <row r="4553">
      <c r="B4553" s="11">
        <f>IFERROR(__xludf.DUMMYFUNCTION("""COMPUTED_VALUE"""),39652.0)</f>
        <v>39652</v>
      </c>
      <c r="C4553" s="9">
        <f>IFERROR(__xludf.DUMMYFUNCTION("""COMPUTED_VALUE"""),4.16)</f>
        <v>4.16</v>
      </c>
      <c r="H4553" s="17"/>
      <c r="K4553" s="17"/>
      <c r="N4553" s="17"/>
    </row>
    <row r="4554">
      <c r="B4554" s="11">
        <f>IFERROR(__xludf.DUMMYFUNCTION("""COMPUTED_VALUE"""),39651.0)</f>
        <v>39651</v>
      </c>
      <c r="C4554" s="9">
        <f>IFERROR(__xludf.DUMMYFUNCTION("""COMPUTED_VALUE"""),4.14)</f>
        <v>4.14</v>
      </c>
      <c r="H4554" s="17"/>
      <c r="K4554" s="17"/>
      <c r="N4554" s="17"/>
    </row>
    <row r="4555">
      <c r="B4555" s="11">
        <f>IFERROR(__xludf.DUMMYFUNCTION("""COMPUTED_VALUE"""),39650.0)</f>
        <v>39650</v>
      </c>
      <c r="C4555" s="9">
        <f>IFERROR(__xludf.DUMMYFUNCTION("""COMPUTED_VALUE"""),4.09)</f>
        <v>4.09</v>
      </c>
      <c r="H4555" s="17"/>
      <c r="K4555" s="17"/>
      <c r="N4555" s="17"/>
    </row>
    <row r="4556">
      <c r="B4556" s="11">
        <f>IFERROR(__xludf.DUMMYFUNCTION("""COMPUTED_VALUE"""),39647.0)</f>
        <v>39647</v>
      </c>
      <c r="C4556" s="9">
        <f>IFERROR(__xludf.DUMMYFUNCTION("""COMPUTED_VALUE"""),4.11)</f>
        <v>4.11</v>
      </c>
      <c r="H4556" s="17"/>
      <c r="K4556" s="17"/>
      <c r="N4556" s="17"/>
    </row>
    <row r="4557">
      <c r="B4557" s="11">
        <f>IFERROR(__xludf.DUMMYFUNCTION("""COMPUTED_VALUE"""),39646.0)</f>
        <v>39646</v>
      </c>
      <c r="C4557" s="9">
        <f>IFERROR(__xludf.DUMMYFUNCTION("""COMPUTED_VALUE"""),4.07)</f>
        <v>4.07</v>
      </c>
      <c r="H4557" s="17"/>
      <c r="K4557" s="17"/>
      <c r="N4557" s="17"/>
    </row>
    <row r="4558">
      <c r="B4558" s="11">
        <f>IFERROR(__xludf.DUMMYFUNCTION("""COMPUTED_VALUE"""),39645.0)</f>
        <v>39645</v>
      </c>
      <c r="C4558" s="9">
        <f>IFERROR(__xludf.DUMMYFUNCTION("""COMPUTED_VALUE"""),3.97)</f>
        <v>3.97</v>
      </c>
      <c r="H4558" s="17"/>
      <c r="K4558" s="17"/>
      <c r="N4558" s="17"/>
    </row>
    <row r="4559">
      <c r="B4559" s="11">
        <f>IFERROR(__xludf.DUMMYFUNCTION("""COMPUTED_VALUE"""),39644.0)</f>
        <v>39644</v>
      </c>
      <c r="C4559" s="9">
        <f>IFERROR(__xludf.DUMMYFUNCTION("""COMPUTED_VALUE"""),3.87)</f>
        <v>3.87</v>
      </c>
      <c r="H4559" s="17"/>
      <c r="K4559" s="17"/>
      <c r="N4559" s="17"/>
    </row>
    <row r="4560">
      <c r="B4560" s="11">
        <f>IFERROR(__xludf.DUMMYFUNCTION("""COMPUTED_VALUE"""),39643.0)</f>
        <v>39643</v>
      </c>
      <c r="C4560" s="9">
        <f>IFERROR(__xludf.DUMMYFUNCTION("""COMPUTED_VALUE"""),3.9)</f>
        <v>3.9</v>
      </c>
      <c r="H4560" s="17"/>
      <c r="K4560" s="17"/>
      <c r="N4560" s="17"/>
    </row>
    <row r="4561">
      <c r="B4561" s="11">
        <f>IFERROR(__xludf.DUMMYFUNCTION("""COMPUTED_VALUE"""),39640.0)</f>
        <v>39640</v>
      </c>
      <c r="C4561" s="9">
        <f>IFERROR(__xludf.DUMMYFUNCTION("""COMPUTED_VALUE"""),3.96)</f>
        <v>3.96</v>
      </c>
      <c r="H4561" s="17"/>
      <c r="K4561" s="17"/>
      <c r="N4561" s="17"/>
    </row>
    <row r="4562">
      <c r="B4562" s="11">
        <f>IFERROR(__xludf.DUMMYFUNCTION("""COMPUTED_VALUE"""),39639.0)</f>
        <v>39639</v>
      </c>
      <c r="C4562" s="9">
        <f>IFERROR(__xludf.DUMMYFUNCTION("""COMPUTED_VALUE"""),3.83)</f>
        <v>3.83</v>
      </c>
      <c r="H4562" s="17"/>
      <c r="K4562" s="17"/>
      <c r="N4562" s="17"/>
    </row>
    <row r="4563">
      <c r="B4563" s="11">
        <f>IFERROR(__xludf.DUMMYFUNCTION("""COMPUTED_VALUE"""),39638.0)</f>
        <v>39638</v>
      </c>
      <c r="C4563" s="9">
        <f>IFERROR(__xludf.DUMMYFUNCTION("""COMPUTED_VALUE"""),3.85)</f>
        <v>3.85</v>
      </c>
      <c r="H4563" s="17"/>
      <c r="K4563" s="17"/>
      <c r="N4563" s="17"/>
    </row>
    <row r="4564">
      <c r="B4564" s="11">
        <f>IFERROR(__xludf.DUMMYFUNCTION("""COMPUTED_VALUE"""),39637.0)</f>
        <v>39637</v>
      </c>
      <c r="C4564" s="9">
        <f>IFERROR(__xludf.DUMMYFUNCTION("""COMPUTED_VALUE"""),3.91)</f>
        <v>3.91</v>
      </c>
      <c r="H4564" s="17"/>
      <c r="K4564" s="17"/>
      <c r="N4564" s="17"/>
    </row>
    <row r="4565">
      <c r="B4565" s="11">
        <f>IFERROR(__xludf.DUMMYFUNCTION("""COMPUTED_VALUE"""),39636.0)</f>
        <v>39636</v>
      </c>
      <c r="C4565" s="9">
        <f>IFERROR(__xludf.DUMMYFUNCTION("""COMPUTED_VALUE"""),3.95)</f>
        <v>3.95</v>
      </c>
      <c r="H4565" s="17"/>
      <c r="K4565" s="17"/>
      <c r="N4565" s="17"/>
    </row>
    <row r="4566">
      <c r="B4566" s="11">
        <f>IFERROR(__xludf.DUMMYFUNCTION("""COMPUTED_VALUE"""),39633.0)</f>
        <v>39633</v>
      </c>
      <c r="C4566" s="9"/>
      <c r="H4566" s="17"/>
      <c r="K4566" s="17"/>
      <c r="N4566" s="17"/>
    </row>
    <row r="4567">
      <c r="B4567" s="11">
        <f>IFERROR(__xludf.DUMMYFUNCTION("""COMPUTED_VALUE"""),39632.0)</f>
        <v>39632</v>
      </c>
      <c r="C4567" s="9">
        <f>IFERROR(__xludf.DUMMYFUNCTION("""COMPUTED_VALUE"""),3.99)</f>
        <v>3.99</v>
      </c>
      <c r="H4567" s="17"/>
      <c r="K4567" s="17"/>
      <c r="N4567" s="17"/>
    </row>
    <row r="4568">
      <c r="B4568" s="11">
        <f>IFERROR(__xludf.DUMMYFUNCTION("""COMPUTED_VALUE"""),39631.0)</f>
        <v>39631</v>
      </c>
      <c r="C4568" s="9">
        <f>IFERROR(__xludf.DUMMYFUNCTION("""COMPUTED_VALUE"""),3.99)</f>
        <v>3.99</v>
      </c>
      <c r="H4568" s="17"/>
      <c r="K4568" s="17"/>
      <c r="N4568" s="17"/>
    </row>
    <row r="4569">
      <c r="B4569" s="11">
        <f>IFERROR(__xludf.DUMMYFUNCTION("""COMPUTED_VALUE"""),39630.0)</f>
        <v>39630</v>
      </c>
      <c r="C4569" s="9">
        <f>IFERROR(__xludf.DUMMYFUNCTION("""COMPUTED_VALUE"""),4.01)</f>
        <v>4.01</v>
      </c>
      <c r="H4569" s="17"/>
      <c r="K4569" s="17"/>
      <c r="N4569" s="17"/>
    </row>
    <row r="4570">
      <c r="B4570" s="11">
        <f>IFERROR(__xludf.DUMMYFUNCTION("""COMPUTED_VALUE"""),39629.0)</f>
        <v>39629</v>
      </c>
      <c r="C4570" s="9">
        <f>IFERROR(__xludf.DUMMYFUNCTION("""COMPUTED_VALUE"""),3.99)</f>
        <v>3.99</v>
      </c>
      <c r="H4570" s="17"/>
      <c r="K4570" s="17"/>
      <c r="N4570" s="17"/>
    </row>
    <row r="4571">
      <c r="B4571" s="11">
        <f>IFERROR(__xludf.DUMMYFUNCTION("""COMPUTED_VALUE"""),39626.0)</f>
        <v>39626</v>
      </c>
      <c r="C4571" s="9">
        <f>IFERROR(__xludf.DUMMYFUNCTION("""COMPUTED_VALUE"""),3.99)</f>
        <v>3.99</v>
      </c>
      <c r="H4571" s="17"/>
      <c r="K4571" s="17"/>
      <c r="N4571" s="17"/>
    </row>
    <row r="4572">
      <c r="B4572" s="11">
        <f>IFERROR(__xludf.DUMMYFUNCTION("""COMPUTED_VALUE"""),39625.0)</f>
        <v>39625</v>
      </c>
      <c r="C4572" s="9">
        <f>IFERROR(__xludf.DUMMYFUNCTION("""COMPUTED_VALUE"""),4.07)</f>
        <v>4.07</v>
      </c>
      <c r="H4572" s="17"/>
      <c r="K4572" s="17"/>
      <c r="N4572" s="17"/>
    </row>
    <row r="4573">
      <c r="B4573" s="11">
        <f>IFERROR(__xludf.DUMMYFUNCTION("""COMPUTED_VALUE"""),39624.0)</f>
        <v>39624</v>
      </c>
      <c r="C4573" s="9">
        <f>IFERROR(__xludf.DUMMYFUNCTION("""COMPUTED_VALUE"""),4.12)</f>
        <v>4.12</v>
      </c>
      <c r="H4573" s="17"/>
      <c r="K4573" s="17"/>
      <c r="N4573" s="17"/>
    </row>
    <row r="4574">
      <c r="B4574" s="11">
        <f>IFERROR(__xludf.DUMMYFUNCTION("""COMPUTED_VALUE"""),39623.0)</f>
        <v>39623</v>
      </c>
      <c r="C4574" s="9">
        <f>IFERROR(__xludf.DUMMYFUNCTION("""COMPUTED_VALUE"""),4.1)</f>
        <v>4.1</v>
      </c>
      <c r="H4574" s="17"/>
      <c r="K4574" s="17"/>
      <c r="N4574" s="17"/>
    </row>
    <row r="4575">
      <c r="B4575" s="11">
        <f>IFERROR(__xludf.DUMMYFUNCTION("""COMPUTED_VALUE"""),39622.0)</f>
        <v>39622</v>
      </c>
      <c r="C4575" s="9">
        <f>IFERROR(__xludf.DUMMYFUNCTION("""COMPUTED_VALUE"""),4.19)</f>
        <v>4.19</v>
      </c>
      <c r="H4575" s="17"/>
      <c r="K4575" s="17"/>
      <c r="N4575" s="17"/>
    </row>
    <row r="4576">
      <c r="B4576" s="11">
        <f>IFERROR(__xludf.DUMMYFUNCTION("""COMPUTED_VALUE"""),39619.0)</f>
        <v>39619</v>
      </c>
      <c r="C4576" s="9">
        <f>IFERROR(__xludf.DUMMYFUNCTION("""COMPUTED_VALUE"""),4.16)</f>
        <v>4.16</v>
      </c>
      <c r="H4576" s="17"/>
      <c r="K4576" s="17"/>
      <c r="N4576" s="17"/>
    </row>
    <row r="4577">
      <c r="B4577" s="11">
        <f>IFERROR(__xludf.DUMMYFUNCTION("""COMPUTED_VALUE"""),39618.0)</f>
        <v>39618</v>
      </c>
      <c r="C4577" s="9">
        <f>IFERROR(__xludf.DUMMYFUNCTION("""COMPUTED_VALUE"""),4.22)</f>
        <v>4.22</v>
      </c>
      <c r="H4577" s="17"/>
      <c r="K4577" s="17"/>
      <c r="N4577" s="17"/>
    </row>
    <row r="4578">
      <c r="B4578" s="11">
        <f>IFERROR(__xludf.DUMMYFUNCTION("""COMPUTED_VALUE"""),39617.0)</f>
        <v>39617</v>
      </c>
      <c r="C4578" s="9">
        <f>IFERROR(__xludf.DUMMYFUNCTION("""COMPUTED_VALUE"""),4.16)</f>
        <v>4.16</v>
      </c>
      <c r="H4578" s="17"/>
      <c r="K4578" s="17"/>
      <c r="N4578" s="17"/>
    </row>
    <row r="4579">
      <c r="B4579" s="11">
        <f>IFERROR(__xludf.DUMMYFUNCTION("""COMPUTED_VALUE"""),39616.0)</f>
        <v>39616</v>
      </c>
      <c r="C4579" s="9">
        <f>IFERROR(__xludf.DUMMYFUNCTION("""COMPUTED_VALUE"""),4.23)</f>
        <v>4.23</v>
      </c>
      <c r="H4579" s="17"/>
      <c r="K4579" s="17"/>
      <c r="N4579" s="17"/>
    </row>
    <row r="4580">
      <c r="B4580" s="11">
        <f>IFERROR(__xludf.DUMMYFUNCTION("""COMPUTED_VALUE"""),39615.0)</f>
        <v>39615</v>
      </c>
      <c r="C4580" s="9">
        <f>IFERROR(__xludf.DUMMYFUNCTION("""COMPUTED_VALUE"""),4.25)</f>
        <v>4.25</v>
      </c>
      <c r="H4580" s="17"/>
      <c r="K4580" s="17"/>
      <c r="N4580" s="17"/>
    </row>
    <row r="4581">
      <c r="B4581" s="11">
        <f>IFERROR(__xludf.DUMMYFUNCTION("""COMPUTED_VALUE"""),39612.0)</f>
        <v>39612</v>
      </c>
      <c r="C4581" s="9">
        <f>IFERROR(__xludf.DUMMYFUNCTION("""COMPUTED_VALUE"""),4.27)</f>
        <v>4.27</v>
      </c>
      <c r="H4581" s="17"/>
      <c r="K4581" s="17"/>
      <c r="N4581" s="17"/>
    </row>
    <row r="4582">
      <c r="B4582" s="11">
        <f>IFERROR(__xludf.DUMMYFUNCTION("""COMPUTED_VALUE"""),39611.0)</f>
        <v>39611</v>
      </c>
      <c r="C4582" s="9">
        <f>IFERROR(__xludf.DUMMYFUNCTION("""COMPUTED_VALUE"""),4.23)</f>
        <v>4.23</v>
      </c>
      <c r="H4582" s="17"/>
      <c r="K4582" s="17"/>
      <c r="N4582" s="17"/>
    </row>
    <row r="4583">
      <c r="B4583" s="11">
        <f>IFERROR(__xludf.DUMMYFUNCTION("""COMPUTED_VALUE"""),39610.0)</f>
        <v>39610</v>
      </c>
      <c r="C4583" s="9">
        <f>IFERROR(__xludf.DUMMYFUNCTION("""COMPUTED_VALUE"""),4.1)</f>
        <v>4.1</v>
      </c>
      <c r="H4583" s="17"/>
      <c r="K4583" s="17"/>
      <c r="N4583" s="17"/>
    </row>
    <row r="4584">
      <c r="B4584" s="11">
        <f>IFERROR(__xludf.DUMMYFUNCTION("""COMPUTED_VALUE"""),39609.0)</f>
        <v>39609</v>
      </c>
      <c r="C4584" s="9">
        <f>IFERROR(__xludf.DUMMYFUNCTION("""COMPUTED_VALUE"""),4.11)</f>
        <v>4.11</v>
      </c>
      <c r="H4584" s="17"/>
      <c r="K4584" s="17"/>
      <c r="N4584" s="17"/>
    </row>
    <row r="4585">
      <c r="B4585" s="11">
        <f>IFERROR(__xludf.DUMMYFUNCTION("""COMPUTED_VALUE"""),39608.0)</f>
        <v>39608</v>
      </c>
      <c r="C4585" s="9">
        <f>IFERROR(__xludf.DUMMYFUNCTION("""COMPUTED_VALUE"""),4.02)</f>
        <v>4.02</v>
      </c>
      <c r="H4585" s="17"/>
      <c r="K4585" s="17"/>
      <c r="N4585" s="17"/>
    </row>
    <row r="4586">
      <c r="B4586" s="11">
        <f>IFERROR(__xludf.DUMMYFUNCTION("""COMPUTED_VALUE"""),39605.0)</f>
        <v>39605</v>
      </c>
      <c r="C4586" s="9">
        <f>IFERROR(__xludf.DUMMYFUNCTION("""COMPUTED_VALUE"""),3.94)</f>
        <v>3.94</v>
      </c>
      <c r="H4586" s="17"/>
      <c r="K4586" s="17"/>
      <c r="N4586" s="17"/>
    </row>
    <row r="4587">
      <c r="B4587" s="11">
        <f>IFERROR(__xludf.DUMMYFUNCTION("""COMPUTED_VALUE"""),39604.0)</f>
        <v>39604</v>
      </c>
      <c r="C4587" s="9">
        <f>IFERROR(__xludf.DUMMYFUNCTION("""COMPUTED_VALUE"""),4.06)</f>
        <v>4.06</v>
      </c>
      <c r="H4587" s="17"/>
      <c r="K4587" s="17"/>
      <c r="N4587" s="17"/>
    </row>
    <row r="4588">
      <c r="B4588" s="11">
        <f>IFERROR(__xludf.DUMMYFUNCTION("""COMPUTED_VALUE"""),39603.0)</f>
        <v>39603</v>
      </c>
      <c r="C4588" s="9">
        <f>IFERROR(__xludf.DUMMYFUNCTION("""COMPUTED_VALUE"""),3.98)</f>
        <v>3.98</v>
      </c>
      <c r="H4588" s="17"/>
      <c r="K4588" s="17"/>
      <c r="N4588" s="17"/>
    </row>
    <row r="4589">
      <c r="B4589" s="11">
        <f>IFERROR(__xludf.DUMMYFUNCTION("""COMPUTED_VALUE"""),39602.0)</f>
        <v>39602</v>
      </c>
      <c r="C4589" s="9">
        <f>IFERROR(__xludf.DUMMYFUNCTION("""COMPUTED_VALUE"""),3.92)</f>
        <v>3.92</v>
      </c>
      <c r="H4589" s="17"/>
      <c r="K4589" s="17"/>
      <c r="N4589" s="17"/>
    </row>
    <row r="4590">
      <c r="B4590" s="11">
        <f>IFERROR(__xludf.DUMMYFUNCTION("""COMPUTED_VALUE"""),39601.0)</f>
        <v>39601</v>
      </c>
      <c r="C4590" s="9">
        <f>IFERROR(__xludf.DUMMYFUNCTION("""COMPUTED_VALUE"""),3.98)</f>
        <v>3.98</v>
      </c>
      <c r="H4590" s="17"/>
      <c r="K4590" s="17"/>
      <c r="N4590" s="17"/>
    </row>
    <row r="4591">
      <c r="B4591" s="11">
        <f>IFERROR(__xludf.DUMMYFUNCTION("""COMPUTED_VALUE"""),39598.0)</f>
        <v>39598</v>
      </c>
      <c r="C4591" s="9">
        <f>IFERROR(__xludf.DUMMYFUNCTION("""COMPUTED_VALUE"""),4.06)</f>
        <v>4.06</v>
      </c>
      <c r="H4591" s="17"/>
      <c r="K4591" s="17"/>
      <c r="N4591" s="17"/>
    </row>
    <row r="4592">
      <c r="B4592" s="11">
        <f>IFERROR(__xludf.DUMMYFUNCTION("""COMPUTED_VALUE"""),39597.0)</f>
        <v>39597</v>
      </c>
      <c r="C4592" s="9">
        <f>IFERROR(__xludf.DUMMYFUNCTION("""COMPUTED_VALUE"""),4.08)</f>
        <v>4.08</v>
      </c>
      <c r="H4592" s="17"/>
      <c r="K4592" s="17"/>
      <c r="N4592" s="17"/>
    </row>
    <row r="4593">
      <c r="B4593" s="11">
        <f>IFERROR(__xludf.DUMMYFUNCTION("""COMPUTED_VALUE"""),39596.0)</f>
        <v>39596</v>
      </c>
      <c r="C4593" s="9">
        <f>IFERROR(__xludf.DUMMYFUNCTION("""COMPUTED_VALUE"""),4.03)</f>
        <v>4.03</v>
      </c>
      <c r="H4593" s="17"/>
      <c r="K4593" s="17"/>
      <c r="N4593" s="17"/>
    </row>
    <row r="4594">
      <c r="B4594" s="11">
        <f>IFERROR(__xludf.DUMMYFUNCTION("""COMPUTED_VALUE"""),39595.0)</f>
        <v>39595</v>
      </c>
      <c r="C4594" s="9">
        <f>IFERROR(__xludf.DUMMYFUNCTION("""COMPUTED_VALUE"""),3.93)</f>
        <v>3.93</v>
      </c>
      <c r="H4594" s="17"/>
      <c r="K4594" s="17"/>
      <c r="N4594" s="17"/>
    </row>
    <row r="4595">
      <c r="B4595" s="11">
        <f>IFERROR(__xludf.DUMMYFUNCTION("""COMPUTED_VALUE"""),39594.0)</f>
        <v>39594</v>
      </c>
      <c r="C4595" s="9"/>
      <c r="H4595" s="17"/>
      <c r="K4595" s="17"/>
      <c r="N4595" s="17"/>
    </row>
    <row r="4596">
      <c r="B4596" s="11">
        <f>IFERROR(__xludf.DUMMYFUNCTION("""COMPUTED_VALUE"""),39591.0)</f>
        <v>39591</v>
      </c>
      <c r="C4596" s="9">
        <f>IFERROR(__xludf.DUMMYFUNCTION("""COMPUTED_VALUE"""),3.85)</f>
        <v>3.85</v>
      </c>
      <c r="H4596" s="17"/>
      <c r="K4596" s="17"/>
      <c r="N4596" s="17"/>
    </row>
    <row r="4597">
      <c r="B4597" s="11">
        <f>IFERROR(__xludf.DUMMYFUNCTION("""COMPUTED_VALUE"""),39590.0)</f>
        <v>39590</v>
      </c>
      <c r="C4597" s="9">
        <f>IFERROR(__xludf.DUMMYFUNCTION("""COMPUTED_VALUE"""),3.92)</f>
        <v>3.92</v>
      </c>
      <c r="H4597" s="17"/>
      <c r="K4597" s="17"/>
      <c r="N4597" s="17"/>
    </row>
    <row r="4598">
      <c r="B4598" s="11">
        <f>IFERROR(__xludf.DUMMYFUNCTION("""COMPUTED_VALUE"""),39589.0)</f>
        <v>39589</v>
      </c>
      <c r="C4598" s="9">
        <f>IFERROR(__xludf.DUMMYFUNCTION("""COMPUTED_VALUE"""),3.81)</f>
        <v>3.81</v>
      </c>
      <c r="H4598" s="17"/>
      <c r="K4598" s="17"/>
      <c r="N4598" s="17"/>
    </row>
    <row r="4599">
      <c r="B4599" s="11">
        <f>IFERROR(__xludf.DUMMYFUNCTION("""COMPUTED_VALUE"""),39588.0)</f>
        <v>39588</v>
      </c>
      <c r="C4599" s="9">
        <f>IFERROR(__xludf.DUMMYFUNCTION("""COMPUTED_VALUE"""),3.78)</f>
        <v>3.78</v>
      </c>
      <c r="H4599" s="17"/>
      <c r="K4599" s="17"/>
      <c r="N4599" s="17"/>
    </row>
    <row r="4600">
      <c r="B4600" s="11">
        <f>IFERROR(__xludf.DUMMYFUNCTION("""COMPUTED_VALUE"""),39587.0)</f>
        <v>39587</v>
      </c>
      <c r="C4600" s="9">
        <f>IFERROR(__xludf.DUMMYFUNCTION("""COMPUTED_VALUE"""),3.83)</f>
        <v>3.83</v>
      </c>
      <c r="H4600" s="17"/>
      <c r="K4600" s="17"/>
      <c r="N4600" s="17"/>
    </row>
    <row r="4601">
      <c r="B4601" s="11">
        <f>IFERROR(__xludf.DUMMYFUNCTION("""COMPUTED_VALUE"""),39584.0)</f>
        <v>39584</v>
      </c>
      <c r="C4601" s="9">
        <f>IFERROR(__xludf.DUMMYFUNCTION("""COMPUTED_VALUE"""),3.85)</f>
        <v>3.85</v>
      </c>
      <c r="H4601" s="17"/>
      <c r="K4601" s="17"/>
      <c r="N4601" s="17"/>
    </row>
    <row r="4602">
      <c r="B4602" s="11">
        <f>IFERROR(__xludf.DUMMYFUNCTION("""COMPUTED_VALUE"""),39583.0)</f>
        <v>39583</v>
      </c>
      <c r="C4602" s="9">
        <f>IFERROR(__xludf.DUMMYFUNCTION("""COMPUTED_VALUE"""),3.83)</f>
        <v>3.83</v>
      </c>
      <c r="H4602" s="17"/>
      <c r="K4602" s="17"/>
      <c r="N4602" s="17"/>
    </row>
    <row r="4603">
      <c r="B4603" s="11">
        <f>IFERROR(__xludf.DUMMYFUNCTION("""COMPUTED_VALUE"""),39582.0)</f>
        <v>39582</v>
      </c>
      <c r="C4603" s="9">
        <f>IFERROR(__xludf.DUMMYFUNCTION("""COMPUTED_VALUE"""),3.92)</f>
        <v>3.92</v>
      </c>
      <c r="H4603" s="17"/>
      <c r="K4603" s="17"/>
      <c r="N4603" s="17"/>
    </row>
    <row r="4604">
      <c r="B4604" s="11">
        <f>IFERROR(__xludf.DUMMYFUNCTION("""COMPUTED_VALUE"""),39581.0)</f>
        <v>39581</v>
      </c>
      <c r="C4604" s="9">
        <f>IFERROR(__xludf.DUMMYFUNCTION("""COMPUTED_VALUE"""),3.9)</f>
        <v>3.9</v>
      </c>
      <c r="H4604" s="17"/>
      <c r="K4604" s="17"/>
      <c r="N4604" s="17"/>
    </row>
    <row r="4605">
      <c r="B4605" s="11">
        <f>IFERROR(__xludf.DUMMYFUNCTION("""COMPUTED_VALUE"""),39580.0)</f>
        <v>39580</v>
      </c>
      <c r="C4605" s="9">
        <f>IFERROR(__xludf.DUMMYFUNCTION("""COMPUTED_VALUE"""),3.78)</f>
        <v>3.78</v>
      </c>
      <c r="H4605" s="17"/>
      <c r="K4605" s="17"/>
      <c r="N4605" s="17"/>
    </row>
    <row r="4606">
      <c r="B4606" s="11">
        <f>IFERROR(__xludf.DUMMYFUNCTION("""COMPUTED_VALUE"""),39577.0)</f>
        <v>39577</v>
      </c>
      <c r="C4606" s="9">
        <f>IFERROR(__xludf.DUMMYFUNCTION("""COMPUTED_VALUE"""),3.77)</f>
        <v>3.77</v>
      </c>
      <c r="H4606" s="17"/>
      <c r="K4606" s="17"/>
      <c r="N4606" s="17"/>
    </row>
    <row r="4607">
      <c r="B4607" s="11">
        <f>IFERROR(__xludf.DUMMYFUNCTION("""COMPUTED_VALUE"""),39576.0)</f>
        <v>39576</v>
      </c>
      <c r="C4607" s="9">
        <f>IFERROR(__xludf.DUMMYFUNCTION("""COMPUTED_VALUE"""),3.79)</f>
        <v>3.79</v>
      </c>
      <c r="H4607" s="17"/>
      <c r="K4607" s="17"/>
      <c r="N4607" s="17"/>
    </row>
    <row r="4608">
      <c r="B4608" s="11">
        <f>IFERROR(__xludf.DUMMYFUNCTION("""COMPUTED_VALUE"""),39575.0)</f>
        <v>39575</v>
      </c>
      <c r="C4608" s="9">
        <f>IFERROR(__xludf.DUMMYFUNCTION("""COMPUTED_VALUE"""),3.87)</f>
        <v>3.87</v>
      </c>
      <c r="H4608" s="17"/>
      <c r="K4608" s="17"/>
      <c r="N4608" s="17"/>
    </row>
    <row r="4609">
      <c r="B4609" s="11">
        <f>IFERROR(__xludf.DUMMYFUNCTION("""COMPUTED_VALUE"""),39574.0)</f>
        <v>39574</v>
      </c>
      <c r="C4609" s="9">
        <f>IFERROR(__xludf.DUMMYFUNCTION("""COMPUTED_VALUE"""),3.93)</f>
        <v>3.93</v>
      </c>
      <c r="H4609" s="17"/>
      <c r="K4609" s="17"/>
      <c r="N4609" s="17"/>
    </row>
    <row r="4610">
      <c r="B4610" s="11">
        <f>IFERROR(__xludf.DUMMYFUNCTION("""COMPUTED_VALUE"""),39573.0)</f>
        <v>39573</v>
      </c>
      <c r="C4610" s="9">
        <f>IFERROR(__xludf.DUMMYFUNCTION("""COMPUTED_VALUE"""),3.88)</f>
        <v>3.88</v>
      </c>
      <c r="H4610" s="17"/>
      <c r="K4610" s="17"/>
      <c r="N4610" s="17"/>
    </row>
    <row r="4611">
      <c r="B4611" s="11">
        <f>IFERROR(__xludf.DUMMYFUNCTION("""COMPUTED_VALUE"""),39570.0)</f>
        <v>39570</v>
      </c>
      <c r="C4611" s="9">
        <f>IFERROR(__xludf.DUMMYFUNCTION("""COMPUTED_VALUE"""),3.89)</f>
        <v>3.89</v>
      </c>
      <c r="H4611" s="17"/>
      <c r="K4611" s="17"/>
      <c r="N4611" s="17"/>
    </row>
    <row r="4612">
      <c r="B4612" s="11">
        <f>IFERROR(__xludf.DUMMYFUNCTION("""COMPUTED_VALUE"""),39569.0)</f>
        <v>39569</v>
      </c>
      <c r="C4612" s="9">
        <f>IFERROR(__xludf.DUMMYFUNCTION("""COMPUTED_VALUE"""),3.78)</f>
        <v>3.78</v>
      </c>
      <c r="H4612" s="17"/>
      <c r="K4612" s="17"/>
      <c r="N4612" s="17"/>
    </row>
    <row r="4613">
      <c r="B4613" s="11">
        <f>IFERROR(__xludf.DUMMYFUNCTION("""COMPUTED_VALUE"""),39568.0)</f>
        <v>39568</v>
      </c>
      <c r="C4613" s="9">
        <f>IFERROR(__xludf.DUMMYFUNCTION("""COMPUTED_VALUE"""),3.77)</f>
        <v>3.77</v>
      </c>
      <c r="H4613" s="17"/>
      <c r="K4613" s="17"/>
      <c r="N4613" s="17"/>
    </row>
    <row r="4614">
      <c r="B4614" s="11">
        <f>IFERROR(__xludf.DUMMYFUNCTION("""COMPUTED_VALUE"""),39567.0)</f>
        <v>39567</v>
      </c>
      <c r="C4614" s="9">
        <f>IFERROR(__xludf.DUMMYFUNCTION("""COMPUTED_VALUE"""),3.85)</f>
        <v>3.85</v>
      </c>
      <c r="H4614" s="17"/>
      <c r="K4614" s="17"/>
      <c r="N4614" s="17"/>
    </row>
    <row r="4615">
      <c r="B4615" s="11">
        <f>IFERROR(__xludf.DUMMYFUNCTION("""COMPUTED_VALUE"""),39566.0)</f>
        <v>39566</v>
      </c>
      <c r="C4615" s="9">
        <f>IFERROR(__xludf.DUMMYFUNCTION("""COMPUTED_VALUE"""),3.86)</f>
        <v>3.86</v>
      </c>
      <c r="H4615" s="17"/>
      <c r="K4615" s="17"/>
      <c r="N4615" s="17"/>
    </row>
    <row r="4616">
      <c r="B4616" s="11">
        <f>IFERROR(__xludf.DUMMYFUNCTION("""COMPUTED_VALUE"""),39563.0)</f>
        <v>39563</v>
      </c>
      <c r="C4616" s="9">
        <f>IFERROR(__xludf.DUMMYFUNCTION("""COMPUTED_VALUE"""),3.91)</f>
        <v>3.91</v>
      </c>
      <c r="H4616" s="17"/>
      <c r="K4616" s="17"/>
      <c r="N4616" s="17"/>
    </row>
    <row r="4617">
      <c r="B4617" s="11">
        <f>IFERROR(__xludf.DUMMYFUNCTION("""COMPUTED_VALUE"""),39562.0)</f>
        <v>39562</v>
      </c>
      <c r="C4617" s="9">
        <f>IFERROR(__xludf.DUMMYFUNCTION("""COMPUTED_VALUE"""),3.87)</f>
        <v>3.87</v>
      </c>
      <c r="H4617" s="17"/>
      <c r="K4617" s="17"/>
      <c r="N4617" s="17"/>
    </row>
    <row r="4618">
      <c r="B4618" s="11">
        <f>IFERROR(__xludf.DUMMYFUNCTION("""COMPUTED_VALUE"""),39561.0)</f>
        <v>39561</v>
      </c>
      <c r="C4618" s="9">
        <f>IFERROR(__xludf.DUMMYFUNCTION("""COMPUTED_VALUE"""),3.77)</f>
        <v>3.77</v>
      </c>
      <c r="H4618" s="17"/>
      <c r="K4618" s="17"/>
      <c r="N4618" s="17"/>
    </row>
    <row r="4619">
      <c r="B4619" s="11">
        <f>IFERROR(__xludf.DUMMYFUNCTION("""COMPUTED_VALUE"""),39560.0)</f>
        <v>39560</v>
      </c>
      <c r="C4619" s="9">
        <f>IFERROR(__xludf.DUMMYFUNCTION("""COMPUTED_VALUE"""),3.74)</f>
        <v>3.74</v>
      </c>
      <c r="H4619" s="17"/>
      <c r="K4619" s="17"/>
      <c r="N4619" s="17"/>
    </row>
    <row r="4620">
      <c r="B4620" s="11">
        <f>IFERROR(__xludf.DUMMYFUNCTION("""COMPUTED_VALUE"""),39559.0)</f>
        <v>39559</v>
      </c>
      <c r="C4620" s="9">
        <f>IFERROR(__xludf.DUMMYFUNCTION("""COMPUTED_VALUE"""),3.75)</f>
        <v>3.75</v>
      </c>
      <c r="H4620" s="17"/>
      <c r="K4620" s="17"/>
      <c r="N4620" s="17"/>
    </row>
    <row r="4621">
      <c r="B4621" s="11">
        <f>IFERROR(__xludf.DUMMYFUNCTION("""COMPUTED_VALUE"""),39556.0)</f>
        <v>39556</v>
      </c>
      <c r="C4621" s="9">
        <f>IFERROR(__xludf.DUMMYFUNCTION("""COMPUTED_VALUE"""),3.77)</f>
        <v>3.77</v>
      </c>
      <c r="H4621" s="17"/>
      <c r="K4621" s="17"/>
      <c r="N4621" s="17"/>
    </row>
    <row r="4622">
      <c r="B4622" s="11">
        <f>IFERROR(__xludf.DUMMYFUNCTION("""COMPUTED_VALUE"""),39555.0)</f>
        <v>39555</v>
      </c>
      <c r="C4622" s="9">
        <f>IFERROR(__xludf.DUMMYFUNCTION("""COMPUTED_VALUE"""),3.75)</f>
        <v>3.75</v>
      </c>
      <c r="H4622" s="17"/>
      <c r="K4622" s="17"/>
      <c r="N4622" s="17"/>
    </row>
    <row r="4623">
      <c r="B4623" s="11">
        <f>IFERROR(__xludf.DUMMYFUNCTION("""COMPUTED_VALUE"""),39554.0)</f>
        <v>39554</v>
      </c>
      <c r="C4623" s="9">
        <f>IFERROR(__xludf.DUMMYFUNCTION("""COMPUTED_VALUE"""),3.72)</f>
        <v>3.72</v>
      </c>
      <c r="H4623" s="17"/>
      <c r="K4623" s="17"/>
      <c r="N4623" s="17"/>
    </row>
    <row r="4624">
      <c r="B4624" s="11">
        <f>IFERROR(__xludf.DUMMYFUNCTION("""COMPUTED_VALUE"""),39553.0)</f>
        <v>39553</v>
      </c>
      <c r="C4624" s="9">
        <f>IFERROR(__xludf.DUMMYFUNCTION("""COMPUTED_VALUE"""),3.6)</f>
        <v>3.6</v>
      </c>
      <c r="H4624" s="17"/>
      <c r="K4624" s="17"/>
      <c r="N4624" s="17"/>
    </row>
    <row r="4625">
      <c r="B4625" s="11">
        <f>IFERROR(__xludf.DUMMYFUNCTION("""COMPUTED_VALUE"""),39552.0)</f>
        <v>39552</v>
      </c>
      <c r="C4625" s="9">
        <f>IFERROR(__xludf.DUMMYFUNCTION("""COMPUTED_VALUE"""),3.53)</f>
        <v>3.53</v>
      </c>
      <c r="H4625" s="17"/>
      <c r="K4625" s="17"/>
      <c r="N4625" s="17"/>
    </row>
    <row r="4626">
      <c r="B4626" s="11">
        <f>IFERROR(__xludf.DUMMYFUNCTION("""COMPUTED_VALUE"""),39549.0)</f>
        <v>39549</v>
      </c>
      <c r="C4626" s="9">
        <f>IFERROR(__xludf.DUMMYFUNCTION("""COMPUTED_VALUE"""),3.49)</f>
        <v>3.49</v>
      </c>
      <c r="H4626" s="17"/>
      <c r="K4626" s="17"/>
      <c r="N4626" s="17"/>
    </row>
    <row r="4627">
      <c r="B4627" s="11">
        <f>IFERROR(__xludf.DUMMYFUNCTION("""COMPUTED_VALUE"""),39548.0)</f>
        <v>39548</v>
      </c>
      <c r="C4627" s="9">
        <f>IFERROR(__xludf.DUMMYFUNCTION("""COMPUTED_VALUE"""),3.55)</f>
        <v>3.55</v>
      </c>
      <c r="H4627" s="17"/>
      <c r="K4627" s="17"/>
      <c r="N4627" s="17"/>
    </row>
    <row r="4628">
      <c r="B4628" s="11">
        <f>IFERROR(__xludf.DUMMYFUNCTION("""COMPUTED_VALUE"""),39547.0)</f>
        <v>39547</v>
      </c>
      <c r="C4628" s="9">
        <f>IFERROR(__xludf.DUMMYFUNCTION("""COMPUTED_VALUE"""),3.49)</f>
        <v>3.49</v>
      </c>
      <c r="H4628" s="17"/>
      <c r="K4628" s="17"/>
      <c r="N4628" s="17"/>
    </row>
    <row r="4629">
      <c r="B4629" s="11">
        <f>IFERROR(__xludf.DUMMYFUNCTION("""COMPUTED_VALUE"""),39546.0)</f>
        <v>39546</v>
      </c>
      <c r="C4629" s="9">
        <f>IFERROR(__xludf.DUMMYFUNCTION("""COMPUTED_VALUE"""),3.58)</f>
        <v>3.58</v>
      </c>
      <c r="H4629" s="17"/>
      <c r="K4629" s="17"/>
      <c r="N4629" s="17"/>
    </row>
    <row r="4630">
      <c r="B4630" s="11">
        <f>IFERROR(__xludf.DUMMYFUNCTION("""COMPUTED_VALUE"""),39545.0)</f>
        <v>39545</v>
      </c>
      <c r="C4630" s="9">
        <f>IFERROR(__xludf.DUMMYFUNCTION("""COMPUTED_VALUE"""),3.57)</f>
        <v>3.57</v>
      </c>
      <c r="H4630" s="17"/>
      <c r="K4630" s="17"/>
      <c r="N4630" s="17"/>
    </row>
    <row r="4631">
      <c r="B4631" s="11">
        <f>IFERROR(__xludf.DUMMYFUNCTION("""COMPUTED_VALUE"""),39542.0)</f>
        <v>39542</v>
      </c>
      <c r="C4631" s="9">
        <f>IFERROR(__xludf.DUMMYFUNCTION("""COMPUTED_VALUE"""),3.5)</f>
        <v>3.5</v>
      </c>
      <c r="H4631" s="17"/>
      <c r="K4631" s="17"/>
      <c r="N4631" s="17"/>
    </row>
    <row r="4632">
      <c r="B4632" s="11">
        <f>IFERROR(__xludf.DUMMYFUNCTION("""COMPUTED_VALUE"""),39541.0)</f>
        <v>39541</v>
      </c>
      <c r="C4632" s="9">
        <f>IFERROR(__xludf.DUMMYFUNCTION("""COMPUTED_VALUE"""),3.61)</f>
        <v>3.61</v>
      </c>
      <c r="H4632" s="17"/>
      <c r="K4632" s="17"/>
      <c r="N4632" s="17"/>
    </row>
    <row r="4633">
      <c r="B4633" s="11">
        <f>IFERROR(__xludf.DUMMYFUNCTION("""COMPUTED_VALUE"""),39540.0)</f>
        <v>39540</v>
      </c>
      <c r="C4633" s="9">
        <f>IFERROR(__xludf.DUMMYFUNCTION("""COMPUTED_VALUE"""),3.6)</f>
        <v>3.6</v>
      </c>
      <c r="H4633" s="17"/>
      <c r="K4633" s="17"/>
      <c r="N4633" s="17"/>
    </row>
    <row r="4634">
      <c r="B4634" s="11">
        <f>IFERROR(__xludf.DUMMYFUNCTION("""COMPUTED_VALUE"""),39539.0)</f>
        <v>39539</v>
      </c>
      <c r="C4634" s="9">
        <f>IFERROR(__xludf.DUMMYFUNCTION("""COMPUTED_VALUE"""),3.57)</f>
        <v>3.57</v>
      </c>
      <c r="H4634" s="17"/>
      <c r="K4634" s="17"/>
      <c r="N4634" s="17"/>
    </row>
    <row r="4635">
      <c r="B4635" s="11">
        <f>IFERROR(__xludf.DUMMYFUNCTION("""COMPUTED_VALUE"""),39538.0)</f>
        <v>39538</v>
      </c>
      <c r="C4635" s="9">
        <f>IFERROR(__xludf.DUMMYFUNCTION("""COMPUTED_VALUE"""),3.45)</f>
        <v>3.45</v>
      </c>
      <c r="H4635" s="17"/>
      <c r="K4635" s="17"/>
      <c r="N4635" s="17"/>
    </row>
    <row r="4636">
      <c r="B4636" s="11">
        <f>IFERROR(__xludf.DUMMYFUNCTION("""COMPUTED_VALUE"""),39535.0)</f>
        <v>39535</v>
      </c>
      <c r="C4636" s="9">
        <f>IFERROR(__xludf.DUMMYFUNCTION("""COMPUTED_VALUE"""),3.47)</f>
        <v>3.47</v>
      </c>
      <c r="H4636" s="17"/>
      <c r="K4636" s="17"/>
      <c r="N4636" s="17"/>
    </row>
    <row r="4637">
      <c r="B4637" s="11">
        <f>IFERROR(__xludf.DUMMYFUNCTION("""COMPUTED_VALUE"""),39534.0)</f>
        <v>39534</v>
      </c>
      <c r="C4637" s="9">
        <f>IFERROR(__xludf.DUMMYFUNCTION("""COMPUTED_VALUE"""),3.56)</f>
        <v>3.56</v>
      </c>
      <c r="H4637" s="17"/>
      <c r="K4637" s="17"/>
      <c r="N4637" s="17"/>
    </row>
    <row r="4638">
      <c r="B4638" s="11">
        <f>IFERROR(__xludf.DUMMYFUNCTION("""COMPUTED_VALUE"""),39533.0)</f>
        <v>39533</v>
      </c>
      <c r="C4638" s="9">
        <f>IFERROR(__xludf.DUMMYFUNCTION("""COMPUTED_VALUE"""),3.51)</f>
        <v>3.51</v>
      </c>
      <c r="H4638" s="17"/>
      <c r="K4638" s="17"/>
      <c r="N4638" s="17"/>
    </row>
    <row r="4639">
      <c r="B4639" s="11">
        <f>IFERROR(__xludf.DUMMYFUNCTION("""COMPUTED_VALUE"""),39532.0)</f>
        <v>39532</v>
      </c>
      <c r="C4639" s="9">
        <f>IFERROR(__xludf.DUMMYFUNCTION("""COMPUTED_VALUE"""),3.51)</f>
        <v>3.51</v>
      </c>
      <c r="H4639" s="17"/>
      <c r="K4639" s="17"/>
      <c r="N4639" s="17"/>
    </row>
    <row r="4640">
      <c r="B4640" s="11">
        <f>IFERROR(__xludf.DUMMYFUNCTION("""COMPUTED_VALUE"""),39531.0)</f>
        <v>39531</v>
      </c>
      <c r="C4640" s="9">
        <f>IFERROR(__xludf.DUMMYFUNCTION("""COMPUTED_VALUE"""),3.56)</f>
        <v>3.56</v>
      </c>
      <c r="H4640" s="17"/>
      <c r="K4640" s="17"/>
      <c r="N4640" s="17"/>
    </row>
    <row r="4641">
      <c r="B4641" s="11">
        <f>IFERROR(__xludf.DUMMYFUNCTION("""COMPUTED_VALUE"""),39528.0)</f>
        <v>39528</v>
      </c>
      <c r="C4641" s="9"/>
      <c r="H4641" s="17"/>
      <c r="K4641" s="17"/>
      <c r="N4641" s="17"/>
    </row>
    <row r="4642">
      <c r="B4642" s="11">
        <f>IFERROR(__xludf.DUMMYFUNCTION("""COMPUTED_VALUE"""),39527.0)</f>
        <v>39527</v>
      </c>
      <c r="C4642" s="9">
        <f>IFERROR(__xludf.DUMMYFUNCTION("""COMPUTED_VALUE"""),3.34)</f>
        <v>3.34</v>
      </c>
      <c r="H4642" s="17"/>
      <c r="K4642" s="17"/>
      <c r="N4642" s="17"/>
    </row>
    <row r="4643">
      <c r="B4643" s="11">
        <f>IFERROR(__xludf.DUMMYFUNCTION("""COMPUTED_VALUE"""),39526.0)</f>
        <v>39526</v>
      </c>
      <c r="C4643" s="9">
        <f>IFERROR(__xludf.DUMMYFUNCTION("""COMPUTED_VALUE"""),3.38)</f>
        <v>3.38</v>
      </c>
      <c r="H4643" s="17"/>
      <c r="K4643" s="17"/>
      <c r="N4643" s="17"/>
    </row>
    <row r="4644">
      <c r="B4644" s="11">
        <f>IFERROR(__xludf.DUMMYFUNCTION("""COMPUTED_VALUE"""),39525.0)</f>
        <v>39525</v>
      </c>
      <c r="C4644" s="9">
        <f>IFERROR(__xludf.DUMMYFUNCTION("""COMPUTED_VALUE"""),3.48)</f>
        <v>3.48</v>
      </c>
      <c r="H4644" s="17"/>
      <c r="K4644" s="17"/>
      <c r="N4644" s="17"/>
    </row>
    <row r="4645">
      <c r="B4645" s="11">
        <f>IFERROR(__xludf.DUMMYFUNCTION("""COMPUTED_VALUE"""),39524.0)</f>
        <v>39524</v>
      </c>
      <c r="C4645" s="9">
        <f>IFERROR(__xludf.DUMMYFUNCTION("""COMPUTED_VALUE"""),3.34)</f>
        <v>3.34</v>
      </c>
      <c r="H4645" s="17"/>
      <c r="K4645" s="17"/>
      <c r="N4645" s="17"/>
    </row>
    <row r="4646">
      <c r="B4646" s="11">
        <f>IFERROR(__xludf.DUMMYFUNCTION("""COMPUTED_VALUE"""),39521.0)</f>
        <v>39521</v>
      </c>
      <c r="C4646" s="9">
        <f>IFERROR(__xludf.DUMMYFUNCTION("""COMPUTED_VALUE"""),3.44)</f>
        <v>3.44</v>
      </c>
      <c r="H4646" s="17"/>
      <c r="K4646" s="17"/>
      <c r="N4646" s="17"/>
    </row>
    <row r="4647">
      <c r="B4647" s="11">
        <f>IFERROR(__xludf.DUMMYFUNCTION("""COMPUTED_VALUE"""),39520.0)</f>
        <v>39520</v>
      </c>
      <c r="C4647" s="9">
        <f>IFERROR(__xludf.DUMMYFUNCTION("""COMPUTED_VALUE"""),3.56)</f>
        <v>3.56</v>
      </c>
      <c r="H4647" s="17"/>
      <c r="K4647" s="17"/>
      <c r="N4647" s="17"/>
    </row>
    <row r="4648">
      <c r="B4648" s="11">
        <f>IFERROR(__xludf.DUMMYFUNCTION("""COMPUTED_VALUE"""),39519.0)</f>
        <v>39519</v>
      </c>
      <c r="C4648" s="9">
        <f>IFERROR(__xludf.DUMMYFUNCTION("""COMPUTED_VALUE"""),3.49)</f>
        <v>3.49</v>
      </c>
      <c r="H4648" s="17"/>
      <c r="K4648" s="17"/>
      <c r="N4648" s="17"/>
    </row>
    <row r="4649">
      <c r="B4649" s="11">
        <f>IFERROR(__xludf.DUMMYFUNCTION("""COMPUTED_VALUE"""),39518.0)</f>
        <v>39518</v>
      </c>
      <c r="C4649" s="9">
        <f>IFERROR(__xludf.DUMMYFUNCTION("""COMPUTED_VALUE"""),3.6)</f>
        <v>3.6</v>
      </c>
      <c r="H4649" s="17"/>
      <c r="K4649" s="17"/>
      <c r="N4649" s="17"/>
    </row>
    <row r="4650">
      <c r="B4650" s="11">
        <f>IFERROR(__xludf.DUMMYFUNCTION("""COMPUTED_VALUE"""),39517.0)</f>
        <v>39517</v>
      </c>
      <c r="C4650" s="9">
        <f>IFERROR(__xludf.DUMMYFUNCTION("""COMPUTED_VALUE"""),3.46)</f>
        <v>3.46</v>
      </c>
      <c r="H4650" s="17"/>
      <c r="K4650" s="17"/>
      <c r="N4650" s="17"/>
    </row>
    <row r="4651">
      <c r="B4651" s="11">
        <f>IFERROR(__xludf.DUMMYFUNCTION("""COMPUTED_VALUE"""),39514.0)</f>
        <v>39514</v>
      </c>
      <c r="C4651" s="9">
        <f>IFERROR(__xludf.DUMMYFUNCTION("""COMPUTED_VALUE"""),3.56)</f>
        <v>3.56</v>
      </c>
      <c r="H4651" s="17"/>
      <c r="K4651" s="17"/>
      <c r="N4651" s="17"/>
    </row>
    <row r="4652">
      <c r="B4652" s="11">
        <f>IFERROR(__xludf.DUMMYFUNCTION("""COMPUTED_VALUE"""),39513.0)</f>
        <v>39513</v>
      </c>
      <c r="C4652" s="9">
        <f>IFERROR(__xludf.DUMMYFUNCTION("""COMPUTED_VALUE"""),3.62)</f>
        <v>3.62</v>
      </c>
      <c r="H4652" s="17"/>
      <c r="K4652" s="17"/>
      <c r="N4652" s="17"/>
    </row>
    <row r="4653">
      <c r="B4653" s="11">
        <f>IFERROR(__xludf.DUMMYFUNCTION("""COMPUTED_VALUE"""),39512.0)</f>
        <v>39512</v>
      </c>
      <c r="C4653" s="9">
        <f>IFERROR(__xludf.DUMMYFUNCTION("""COMPUTED_VALUE"""),3.7)</f>
        <v>3.7</v>
      </c>
      <c r="H4653" s="17"/>
      <c r="K4653" s="17"/>
      <c r="N4653" s="17"/>
    </row>
    <row r="4654">
      <c r="B4654" s="11">
        <f>IFERROR(__xludf.DUMMYFUNCTION("""COMPUTED_VALUE"""),39511.0)</f>
        <v>39511</v>
      </c>
      <c r="C4654" s="9">
        <f>IFERROR(__xludf.DUMMYFUNCTION("""COMPUTED_VALUE"""),3.63)</f>
        <v>3.63</v>
      </c>
      <c r="H4654" s="17"/>
      <c r="K4654" s="17"/>
      <c r="N4654" s="17"/>
    </row>
    <row r="4655">
      <c r="B4655" s="11">
        <f>IFERROR(__xludf.DUMMYFUNCTION("""COMPUTED_VALUE"""),39510.0)</f>
        <v>39510</v>
      </c>
      <c r="C4655" s="9">
        <f>IFERROR(__xludf.DUMMYFUNCTION("""COMPUTED_VALUE"""),3.54)</f>
        <v>3.54</v>
      </c>
      <c r="H4655" s="17"/>
      <c r="K4655" s="17"/>
      <c r="N4655" s="17"/>
    </row>
    <row r="4656">
      <c r="B4656" s="11">
        <f>IFERROR(__xludf.DUMMYFUNCTION("""COMPUTED_VALUE"""),39507.0)</f>
        <v>39507</v>
      </c>
      <c r="C4656" s="9">
        <f>IFERROR(__xludf.DUMMYFUNCTION("""COMPUTED_VALUE"""),3.53)</f>
        <v>3.53</v>
      </c>
      <c r="H4656" s="17"/>
      <c r="K4656" s="17"/>
      <c r="N4656" s="17"/>
    </row>
    <row r="4657">
      <c r="B4657" s="11">
        <f>IFERROR(__xludf.DUMMYFUNCTION("""COMPUTED_VALUE"""),39506.0)</f>
        <v>39506</v>
      </c>
      <c r="C4657" s="9">
        <f>IFERROR(__xludf.DUMMYFUNCTION("""COMPUTED_VALUE"""),3.71)</f>
        <v>3.71</v>
      </c>
      <c r="H4657" s="17"/>
      <c r="K4657" s="17"/>
      <c r="N4657" s="17"/>
    </row>
    <row r="4658">
      <c r="B4658" s="11">
        <f>IFERROR(__xludf.DUMMYFUNCTION("""COMPUTED_VALUE"""),39505.0)</f>
        <v>39505</v>
      </c>
      <c r="C4658" s="9">
        <f>IFERROR(__xludf.DUMMYFUNCTION("""COMPUTED_VALUE"""),3.85)</f>
        <v>3.85</v>
      </c>
      <c r="H4658" s="17"/>
      <c r="K4658" s="17"/>
      <c r="N4658" s="17"/>
    </row>
    <row r="4659">
      <c r="B4659" s="11">
        <f>IFERROR(__xludf.DUMMYFUNCTION("""COMPUTED_VALUE"""),39504.0)</f>
        <v>39504</v>
      </c>
      <c r="C4659" s="9">
        <f>IFERROR(__xludf.DUMMYFUNCTION("""COMPUTED_VALUE"""),3.88)</f>
        <v>3.88</v>
      </c>
      <c r="H4659" s="17"/>
      <c r="K4659" s="17"/>
      <c r="N4659" s="17"/>
    </row>
    <row r="4660">
      <c r="B4660" s="11">
        <f>IFERROR(__xludf.DUMMYFUNCTION("""COMPUTED_VALUE"""),39503.0)</f>
        <v>39503</v>
      </c>
      <c r="C4660" s="9">
        <f>IFERROR(__xludf.DUMMYFUNCTION("""COMPUTED_VALUE"""),3.91)</f>
        <v>3.91</v>
      </c>
      <c r="H4660" s="17"/>
      <c r="K4660" s="17"/>
      <c r="N4660" s="17"/>
    </row>
    <row r="4661">
      <c r="B4661" s="11">
        <f>IFERROR(__xludf.DUMMYFUNCTION("""COMPUTED_VALUE"""),39500.0)</f>
        <v>39500</v>
      </c>
      <c r="C4661" s="9">
        <f>IFERROR(__xludf.DUMMYFUNCTION("""COMPUTED_VALUE"""),3.79)</f>
        <v>3.79</v>
      </c>
      <c r="H4661" s="17"/>
      <c r="K4661" s="17"/>
      <c r="N4661" s="17"/>
    </row>
    <row r="4662">
      <c r="B4662" s="11">
        <f>IFERROR(__xludf.DUMMYFUNCTION("""COMPUTED_VALUE"""),39499.0)</f>
        <v>39499</v>
      </c>
      <c r="C4662" s="9">
        <f>IFERROR(__xludf.DUMMYFUNCTION("""COMPUTED_VALUE"""),3.77)</f>
        <v>3.77</v>
      </c>
      <c r="H4662" s="17"/>
      <c r="K4662" s="17"/>
      <c r="N4662" s="17"/>
    </row>
    <row r="4663">
      <c r="B4663" s="11">
        <f>IFERROR(__xludf.DUMMYFUNCTION("""COMPUTED_VALUE"""),39498.0)</f>
        <v>39498</v>
      </c>
      <c r="C4663" s="9">
        <f>IFERROR(__xludf.DUMMYFUNCTION("""COMPUTED_VALUE"""),3.93)</f>
        <v>3.93</v>
      </c>
      <c r="H4663" s="17"/>
      <c r="K4663" s="17"/>
      <c r="N4663" s="17"/>
    </row>
    <row r="4664">
      <c r="B4664" s="11">
        <f>IFERROR(__xludf.DUMMYFUNCTION("""COMPUTED_VALUE"""),39497.0)</f>
        <v>39497</v>
      </c>
      <c r="C4664" s="9">
        <f>IFERROR(__xludf.DUMMYFUNCTION("""COMPUTED_VALUE"""),3.89)</f>
        <v>3.89</v>
      </c>
      <c r="H4664" s="17"/>
      <c r="K4664" s="17"/>
      <c r="N4664" s="17"/>
    </row>
    <row r="4665">
      <c r="B4665" s="11">
        <f>IFERROR(__xludf.DUMMYFUNCTION("""COMPUTED_VALUE"""),39496.0)</f>
        <v>39496</v>
      </c>
      <c r="C4665" s="9"/>
      <c r="H4665" s="17"/>
      <c r="K4665" s="17"/>
      <c r="N4665" s="17"/>
    </row>
    <row r="4666">
      <c r="B4666" s="11">
        <f>IFERROR(__xludf.DUMMYFUNCTION("""COMPUTED_VALUE"""),39493.0)</f>
        <v>39493</v>
      </c>
      <c r="C4666" s="9">
        <f>IFERROR(__xludf.DUMMYFUNCTION("""COMPUTED_VALUE"""),3.76)</f>
        <v>3.76</v>
      </c>
      <c r="H4666" s="17"/>
      <c r="K4666" s="17"/>
      <c r="N4666" s="17"/>
    </row>
    <row r="4667">
      <c r="B4667" s="11">
        <f>IFERROR(__xludf.DUMMYFUNCTION("""COMPUTED_VALUE"""),39492.0)</f>
        <v>39492</v>
      </c>
      <c r="C4667" s="9">
        <f>IFERROR(__xludf.DUMMYFUNCTION("""COMPUTED_VALUE"""),3.85)</f>
        <v>3.85</v>
      </c>
      <c r="H4667" s="17"/>
      <c r="K4667" s="17"/>
      <c r="N4667" s="17"/>
    </row>
    <row r="4668">
      <c r="B4668" s="11">
        <f>IFERROR(__xludf.DUMMYFUNCTION("""COMPUTED_VALUE"""),39491.0)</f>
        <v>39491</v>
      </c>
      <c r="C4668" s="9">
        <f>IFERROR(__xludf.DUMMYFUNCTION("""COMPUTED_VALUE"""),3.7)</f>
        <v>3.7</v>
      </c>
      <c r="H4668" s="17"/>
      <c r="K4668" s="17"/>
      <c r="N4668" s="17"/>
    </row>
    <row r="4669">
      <c r="B4669" s="11">
        <f>IFERROR(__xludf.DUMMYFUNCTION("""COMPUTED_VALUE"""),39490.0)</f>
        <v>39490</v>
      </c>
      <c r="C4669" s="9">
        <f>IFERROR(__xludf.DUMMYFUNCTION("""COMPUTED_VALUE"""),3.66)</f>
        <v>3.66</v>
      </c>
      <c r="H4669" s="17"/>
      <c r="K4669" s="17"/>
      <c r="N4669" s="17"/>
    </row>
    <row r="4670">
      <c r="B4670" s="11">
        <f>IFERROR(__xludf.DUMMYFUNCTION("""COMPUTED_VALUE"""),39489.0)</f>
        <v>39489</v>
      </c>
      <c r="C4670" s="9">
        <f>IFERROR(__xludf.DUMMYFUNCTION("""COMPUTED_VALUE"""),3.62)</f>
        <v>3.62</v>
      </c>
      <c r="H4670" s="17"/>
      <c r="K4670" s="17"/>
      <c r="N4670" s="17"/>
    </row>
    <row r="4671">
      <c r="B4671" s="11">
        <f>IFERROR(__xludf.DUMMYFUNCTION("""COMPUTED_VALUE"""),39486.0)</f>
        <v>39486</v>
      </c>
      <c r="C4671" s="9">
        <f>IFERROR(__xludf.DUMMYFUNCTION("""COMPUTED_VALUE"""),3.64)</f>
        <v>3.64</v>
      </c>
      <c r="H4671" s="17"/>
      <c r="K4671" s="17"/>
      <c r="N4671" s="17"/>
    </row>
    <row r="4672">
      <c r="B4672" s="11">
        <f>IFERROR(__xludf.DUMMYFUNCTION("""COMPUTED_VALUE"""),39485.0)</f>
        <v>39485</v>
      </c>
      <c r="C4672" s="9">
        <f>IFERROR(__xludf.DUMMYFUNCTION("""COMPUTED_VALUE"""),3.74)</f>
        <v>3.74</v>
      </c>
      <c r="H4672" s="17"/>
      <c r="K4672" s="17"/>
      <c r="N4672" s="17"/>
    </row>
    <row r="4673">
      <c r="B4673" s="11">
        <f>IFERROR(__xludf.DUMMYFUNCTION("""COMPUTED_VALUE"""),39484.0)</f>
        <v>39484</v>
      </c>
      <c r="C4673" s="9">
        <f>IFERROR(__xludf.DUMMYFUNCTION("""COMPUTED_VALUE"""),3.61)</f>
        <v>3.61</v>
      </c>
      <c r="H4673" s="17"/>
      <c r="K4673" s="17"/>
      <c r="N4673" s="17"/>
    </row>
    <row r="4674">
      <c r="B4674" s="11">
        <f>IFERROR(__xludf.DUMMYFUNCTION("""COMPUTED_VALUE"""),39483.0)</f>
        <v>39483</v>
      </c>
      <c r="C4674" s="9">
        <f>IFERROR(__xludf.DUMMYFUNCTION("""COMPUTED_VALUE"""),3.61)</f>
        <v>3.61</v>
      </c>
      <c r="H4674" s="17"/>
      <c r="K4674" s="17"/>
      <c r="N4674" s="17"/>
    </row>
    <row r="4675">
      <c r="B4675" s="11">
        <f>IFERROR(__xludf.DUMMYFUNCTION("""COMPUTED_VALUE"""),39482.0)</f>
        <v>39482</v>
      </c>
      <c r="C4675" s="9">
        <f>IFERROR(__xludf.DUMMYFUNCTION("""COMPUTED_VALUE"""),3.68)</f>
        <v>3.68</v>
      </c>
      <c r="H4675" s="17"/>
      <c r="K4675" s="17"/>
      <c r="N4675" s="17"/>
    </row>
    <row r="4676">
      <c r="B4676" s="11">
        <f>IFERROR(__xludf.DUMMYFUNCTION("""COMPUTED_VALUE"""),39479.0)</f>
        <v>39479</v>
      </c>
      <c r="C4676" s="9">
        <f>IFERROR(__xludf.DUMMYFUNCTION("""COMPUTED_VALUE"""),3.62)</f>
        <v>3.62</v>
      </c>
      <c r="H4676" s="17"/>
      <c r="K4676" s="17"/>
      <c r="N4676" s="17"/>
    </row>
    <row r="4677">
      <c r="B4677" s="11">
        <f>IFERROR(__xludf.DUMMYFUNCTION("""COMPUTED_VALUE"""),39478.0)</f>
        <v>39478</v>
      </c>
      <c r="C4677" s="9">
        <f>IFERROR(__xludf.DUMMYFUNCTION("""COMPUTED_VALUE"""),3.67)</f>
        <v>3.67</v>
      </c>
      <c r="H4677" s="17"/>
      <c r="K4677" s="17"/>
      <c r="N4677" s="17"/>
    </row>
    <row r="4678">
      <c r="B4678" s="11">
        <f>IFERROR(__xludf.DUMMYFUNCTION("""COMPUTED_VALUE"""),39477.0)</f>
        <v>39477</v>
      </c>
      <c r="C4678" s="9">
        <f>IFERROR(__xludf.DUMMYFUNCTION("""COMPUTED_VALUE"""),3.78)</f>
        <v>3.78</v>
      </c>
      <c r="H4678" s="17"/>
      <c r="K4678" s="17"/>
      <c r="N4678" s="17"/>
    </row>
    <row r="4679">
      <c r="B4679" s="11">
        <f>IFERROR(__xludf.DUMMYFUNCTION("""COMPUTED_VALUE"""),39476.0)</f>
        <v>39476</v>
      </c>
      <c r="C4679" s="9">
        <f>IFERROR(__xludf.DUMMYFUNCTION("""COMPUTED_VALUE"""),3.69)</f>
        <v>3.69</v>
      </c>
      <c r="H4679" s="17"/>
      <c r="K4679" s="17"/>
      <c r="N4679" s="17"/>
    </row>
    <row r="4680">
      <c r="B4680" s="11">
        <f>IFERROR(__xludf.DUMMYFUNCTION("""COMPUTED_VALUE"""),39475.0)</f>
        <v>39475</v>
      </c>
      <c r="C4680" s="9">
        <f>IFERROR(__xludf.DUMMYFUNCTION("""COMPUTED_VALUE"""),3.61)</f>
        <v>3.61</v>
      </c>
      <c r="H4680" s="17"/>
      <c r="K4680" s="17"/>
      <c r="N4680" s="17"/>
    </row>
    <row r="4681">
      <c r="B4681" s="11">
        <f>IFERROR(__xludf.DUMMYFUNCTION("""COMPUTED_VALUE"""),39472.0)</f>
        <v>39472</v>
      </c>
      <c r="C4681" s="9">
        <f>IFERROR(__xludf.DUMMYFUNCTION("""COMPUTED_VALUE"""),3.61)</f>
        <v>3.61</v>
      </c>
      <c r="H4681" s="17"/>
      <c r="K4681" s="17"/>
      <c r="N4681" s="17"/>
    </row>
    <row r="4682">
      <c r="B4682" s="11">
        <f>IFERROR(__xludf.DUMMYFUNCTION("""COMPUTED_VALUE"""),39471.0)</f>
        <v>39471</v>
      </c>
      <c r="C4682" s="9">
        <f>IFERROR(__xludf.DUMMYFUNCTION("""COMPUTED_VALUE"""),3.68)</f>
        <v>3.68</v>
      </c>
      <c r="H4682" s="17"/>
      <c r="K4682" s="17"/>
      <c r="N4682" s="17"/>
    </row>
    <row r="4683">
      <c r="B4683" s="11">
        <f>IFERROR(__xludf.DUMMYFUNCTION("""COMPUTED_VALUE"""),39470.0)</f>
        <v>39470</v>
      </c>
      <c r="C4683" s="9">
        <f>IFERROR(__xludf.DUMMYFUNCTION("""COMPUTED_VALUE"""),3.51)</f>
        <v>3.51</v>
      </c>
      <c r="H4683" s="17"/>
      <c r="K4683" s="17"/>
      <c r="N4683" s="17"/>
    </row>
    <row r="4684">
      <c r="B4684" s="11">
        <f>IFERROR(__xludf.DUMMYFUNCTION("""COMPUTED_VALUE"""),39469.0)</f>
        <v>39469</v>
      </c>
      <c r="C4684" s="9">
        <f>IFERROR(__xludf.DUMMYFUNCTION("""COMPUTED_VALUE"""),3.52)</f>
        <v>3.52</v>
      </c>
      <c r="H4684" s="17"/>
      <c r="K4684" s="17"/>
      <c r="N4684" s="17"/>
    </row>
    <row r="4685">
      <c r="B4685" s="11">
        <f>IFERROR(__xludf.DUMMYFUNCTION("""COMPUTED_VALUE"""),39468.0)</f>
        <v>39468</v>
      </c>
      <c r="C4685" s="9"/>
      <c r="H4685" s="17"/>
      <c r="K4685" s="17"/>
      <c r="N4685" s="17"/>
    </row>
    <row r="4686">
      <c r="B4686" s="11">
        <f>IFERROR(__xludf.DUMMYFUNCTION("""COMPUTED_VALUE"""),39465.0)</f>
        <v>39465</v>
      </c>
      <c r="C4686" s="9">
        <f>IFERROR(__xludf.DUMMYFUNCTION("""COMPUTED_VALUE"""),3.66)</f>
        <v>3.66</v>
      </c>
      <c r="H4686" s="17"/>
      <c r="K4686" s="17"/>
      <c r="N4686" s="17"/>
    </row>
    <row r="4687">
      <c r="B4687" s="11">
        <f>IFERROR(__xludf.DUMMYFUNCTION("""COMPUTED_VALUE"""),39464.0)</f>
        <v>39464</v>
      </c>
      <c r="C4687" s="9">
        <f>IFERROR(__xludf.DUMMYFUNCTION("""COMPUTED_VALUE"""),3.66)</f>
        <v>3.66</v>
      </c>
      <c r="H4687" s="17"/>
      <c r="K4687" s="17"/>
      <c r="N4687" s="17"/>
    </row>
    <row r="4688">
      <c r="B4688" s="11">
        <f>IFERROR(__xludf.DUMMYFUNCTION("""COMPUTED_VALUE"""),39463.0)</f>
        <v>39463</v>
      </c>
      <c r="C4688" s="9">
        <f>IFERROR(__xludf.DUMMYFUNCTION("""COMPUTED_VALUE"""),3.74)</f>
        <v>3.74</v>
      </c>
      <c r="H4688" s="17"/>
      <c r="K4688" s="17"/>
      <c r="N4688" s="17"/>
    </row>
    <row r="4689">
      <c r="B4689" s="11">
        <f>IFERROR(__xludf.DUMMYFUNCTION("""COMPUTED_VALUE"""),39462.0)</f>
        <v>39462</v>
      </c>
      <c r="C4689" s="9">
        <f>IFERROR(__xludf.DUMMYFUNCTION("""COMPUTED_VALUE"""),3.72)</f>
        <v>3.72</v>
      </c>
      <c r="H4689" s="17"/>
      <c r="K4689" s="17"/>
      <c r="N4689" s="17"/>
    </row>
    <row r="4690">
      <c r="B4690" s="11">
        <f>IFERROR(__xludf.DUMMYFUNCTION("""COMPUTED_VALUE"""),39461.0)</f>
        <v>39461</v>
      </c>
      <c r="C4690" s="9">
        <f>IFERROR(__xludf.DUMMYFUNCTION("""COMPUTED_VALUE"""),3.81)</f>
        <v>3.81</v>
      </c>
      <c r="H4690" s="17"/>
      <c r="K4690" s="17"/>
      <c r="N4690" s="17"/>
    </row>
    <row r="4691">
      <c r="B4691" s="11">
        <f>IFERROR(__xludf.DUMMYFUNCTION("""COMPUTED_VALUE"""),39458.0)</f>
        <v>39458</v>
      </c>
      <c r="C4691" s="9">
        <f>IFERROR(__xludf.DUMMYFUNCTION("""COMPUTED_VALUE"""),3.82)</f>
        <v>3.82</v>
      </c>
      <c r="H4691" s="17"/>
      <c r="K4691" s="17"/>
      <c r="N4691" s="17"/>
    </row>
    <row r="4692">
      <c r="B4692" s="11">
        <f>IFERROR(__xludf.DUMMYFUNCTION("""COMPUTED_VALUE"""),39457.0)</f>
        <v>39457</v>
      </c>
      <c r="C4692" s="9">
        <f>IFERROR(__xludf.DUMMYFUNCTION("""COMPUTED_VALUE"""),3.91)</f>
        <v>3.91</v>
      </c>
      <c r="H4692" s="17"/>
      <c r="K4692" s="17"/>
      <c r="N4692" s="17"/>
    </row>
    <row r="4693">
      <c r="B4693" s="11">
        <f>IFERROR(__xludf.DUMMYFUNCTION("""COMPUTED_VALUE"""),39456.0)</f>
        <v>39456</v>
      </c>
      <c r="C4693" s="9">
        <f>IFERROR(__xludf.DUMMYFUNCTION("""COMPUTED_VALUE"""),3.82)</f>
        <v>3.82</v>
      </c>
      <c r="H4693" s="17"/>
      <c r="K4693" s="17"/>
      <c r="N4693" s="17"/>
    </row>
    <row r="4694">
      <c r="B4694" s="11">
        <f>IFERROR(__xludf.DUMMYFUNCTION("""COMPUTED_VALUE"""),39455.0)</f>
        <v>39455</v>
      </c>
      <c r="C4694" s="9">
        <f>IFERROR(__xludf.DUMMYFUNCTION("""COMPUTED_VALUE"""),3.86)</f>
        <v>3.86</v>
      </c>
      <c r="H4694" s="17"/>
      <c r="K4694" s="17"/>
      <c r="N4694" s="17"/>
    </row>
    <row r="4695">
      <c r="B4695" s="11">
        <f>IFERROR(__xludf.DUMMYFUNCTION("""COMPUTED_VALUE"""),39454.0)</f>
        <v>39454</v>
      </c>
      <c r="C4695" s="9">
        <f>IFERROR(__xludf.DUMMYFUNCTION("""COMPUTED_VALUE"""),3.86)</f>
        <v>3.86</v>
      </c>
      <c r="H4695" s="17"/>
      <c r="K4695" s="17"/>
      <c r="N4695" s="17"/>
    </row>
    <row r="4696">
      <c r="B4696" s="11">
        <f>IFERROR(__xludf.DUMMYFUNCTION("""COMPUTED_VALUE"""),39451.0)</f>
        <v>39451</v>
      </c>
      <c r="C4696" s="9">
        <f>IFERROR(__xludf.DUMMYFUNCTION("""COMPUTED_VALUE"""),3.88)</f>
        <v>3.88</v>
      </c>
      <c r="H4696" s="17"/>
      <c r="K4696" s="17"/>
      <c r="N4696" s="17"/>
    </row>
    <row r="4697">
      <c r="B4697" s="11">
        <f>IFERROR(__xludf.DUMMYFUNCTION("""COMPUTED_VALUE"""),39450.0)</f>
        <v>39450</v>
      </c>
      <c r="C4697" s="9">
        <f>IFERROR(__xludf.DUMMYFUNCTION("""COMPUTED_VALUE"""),3.91)</f>
        <v>3.91</v>
      </c>
      <c r="H4697" s="17"/>
      <c r="K4697" s="17"/>
      <c r="N4697" s="17"/>
    </row>
    <row r="4698">
      <c r="B4698" s="11">
        <f>IFERROR(__xludf.DUMMYFUNCTION("""COMPUTED_VALUE"""),39449.0)</f>
        <v>39449</v>
      </c>
      <c r="C4698" s="9">
        <f>IFERROR(__xludf.DUMMYFUNCTION("""COMPUTED_VALUE"""),3.91)</f>
        <v>3.91</v>
      </c>
      <c r="H4698" s="17"/>
      <c r="K4698" s="17"/>
      <c r="N4698" s="17"/>
    </row>
    <row r="4699">
      <c r="B4699" s="11">
        <f>IFERROR(__xludf.DUMMYFUNCTION("""COMPUTED_VALUE"""),39448.0)</f>
        <v>39448</v>
      </c>
      <c r="C4699" s="9"/>
      <c r="H4699" s="17"/>
      <c r="K4699" s="17"/>
      <c r="N4699" s="17"/>
    </row>
    <row r="4700">
      <c r="B4700" s="11">
        <f>IFERROR(__xludf.DUMMYFUNCTION("""COMPUTED_VALUE"""),39447.0)</f>
        <v>39447</v>
      </c>
      <c r="C4700" s="9">
        <f>IFERROR(__xludf.DUMMYFUNCTION("""COMPUTED_VALUE"""),4.04)</f>
        <v>4.04</v>
      </c>
      <c r="H4700" s="17"/>
      <c r="K4700" s="17"/>
      <c r="N4700" s="17"/>
    </row>
    <row r="4701">
      <c r="B4701" s="11">
        <f>IFERROR(__xludf.DUMMYFUNCTION("""COMPUTED_VALUE"""),39444.0)</f>
        <v>39444</v>
      </c>
      <c r="C4701" s="9">
        <f>IFERROR(__xludf.DUMMYFUNCTION("""COMPUTED_VALUE"""),4.11)</f>
        <v>4.11</v>
      </c>
      <c r="H4701" s="17"/>
      <c r="K4701" s="17"/>
      <c r="N4701" s="17"/>
    </row>
    <row r="4702">
      <c r="B4702" s="11">
        <f>IFERROR(__xludf.DUMMYFUNCTION("""COMPUTED_VALUE"""),39443.0)</f>
        <v>39443</v>
      </c>
      <c r="C4702" s="9">
        <f>IFERROR(__xludf.DUMMYFUNCTION("""COMPUTED_VALUE"""),4.21)</f>
        <v>4.21</v>
      </c>
      <c r="H4702" s="17"/>
      <c r="K4702" s="17"/>
      <c r="N4702" s="17"/>
    </row>
    <row r="4703">
      <c r="B4703" s="11">
        <f>IFERROR(__xludf.DUMMYFUNCTION("""COMPUTED_VALUE"""),39442.0)</f>
        <v>39442</v>
      </c>
      <c r="C4703" s="9">
        <f>IFERROR(__xludf.DUMMYFUNCTION("""COMPUTED_VALUE"""),4.3)</f>
        <v>4.3</v>
      </c>
      <c r="H4703" s="17"/>
      <c r="K4703" s="17"/>
      <c r="N4703" s="17"/>
    </row>
    <row r="4704">
      <c r="B4704" s="11">
        <f>IFERROR(__xludf.DUMMYFUNCTION("""COMPUTED_VALUE"""),39441.0)</f>
        <v>39441</v>
      </c>
      <c r="C4704" s="9"/>
      <c r="H4704" s="17"/>
      <c r="K4704" s="17"/>
      <c r="N4704" s="17"/>
    </row>
    <row r="4705">
      <c r="B4705" s="11">
        <f>IFERROR(__xludf.DUMMYFUNCTION("""COMPUTED_VALUE"""),39440.0)</f>
        <v>39440</v>
      </c>
      <c r="C4705" s="9">
        <f>IFERROR(__xludf.DUMMYFUNCTION("""COMPUTED_VALUE"""),4.23)</f>
        <v>4.23</v>
      </c>
      <c r="H4705" s="17"/>
      <c r="K4705" s="17"/>
      <c r="N4705" s="17"/>
    </row>
    <row r="4706">
      <c r="B4706" s="11">
        <f>IFERROR(__xludf.DUMMYFUNCTION("""COMPUTED_VALUE"""),39437.0)</f>
        <v>39437</v>
      </c>
      <c r="C4706" s="9">
        <f>IFERROR(__xludf.DUMMYFUNCTION("""COMPUTED_VALUE"""),4.18)</f>
        <v>4.18</v>
      </c>
      <c r="H4706" s="17"/>
      <c r="K4706" s="17"/>
      <c r="N4706" s="17"/>
    </row>
    <row r="4707">
      <c r="B4707" s="11">
        <f>IFERROR(__xludf.DUMMYFUNCTION("""COMPUTED_VALUE"""),39436.0)</f>
        <v>39436</v>
      </c>
      <c r="C4707" s="9">
        <f>IFERROR(__xludf.DUMMYFUNCTION("""COMPUTED_VALUE"""),4.04)</f>
        <v>4.04</v>
      </c>
      <c r="H4707" s="17"/>
      <c r="K4707" s="17"/>
      <c r="N4707" s="17"/>
    </row>
    <row r="4708">
      <c r="B4708" s="11">
        <f>IFERROR(__xludf.DUMMYFUNCTION("""COMPUTED_VALUE"""),39435.0)</f>
        <v>39435</v>
      </c>
      <c r="C4708" s="9">
        <f>IFERROR(__xludf.DUMMYFUNCTION("""COMPUTED_VALUE"""),4.06)</f>
        <v>4.06</v>
      </c>
      <c r="H4708" s="17"/>
      <c r="K4708" s="17"/>
      <c r="N4708" s="17"/>
    </row>
    <row r="4709">
      <c r="B4709" s="11">
        <f>IFERROR(__xludf.DUMMYFUNCTION("""COMPUTED_VALUE"""),39434.0)</f>
        <v>39434</v>
      </c>
      <c r="C4709" s="9">
        <f>IFERROR(__xludf.DUMMYFUNCTION("""COMPUTED_VALUE"""),4.14)</f>
        <v>4.14</v>
      </c>
      <c r="H4709" s="17"/>
      <c r="K4709" s="17"/>
      <c r="N4709" s="17"/>
    </row>
    <row r="4710">
      <c r="B4710" s="11">
        <f>IFERROR(__xludf.DUMMYFUNCTION("""COMPUTED_VALUE"""),39433.0)</f>
        <v>39433</v>
      </c>
      <c r="C4710" s="9">
        <f>IFERROR(__xludf.DUMMYFUNCTION("""COMPUTED_VALUE"""),4.2)</f>
        <v>4.2</v>
      </c>
      <c r="H4710" s="17"/>
      <c r="K4710" s="17"/>
      <c r="N4710" s="17"/>
    </row>
    <row r="4711">
      <c r="B4711" s="11">
        <f>IFERROR(__xludf.DUMMYFUNCTION("""COMPUTED_VALUE"""),39430.0)</f>
        <v>39430</v>
      </c>
      <c r="C4711" s="9">
        <f>IFERROR(__xludf.DUMMYFUNCTION("""COMPUTED_VALUE"""),4.24)</f>
        <v>4.24</v>
      </c>
      <c r="H4711" s="17"/>
      <c r="K4711" s="17"/>
      <c r="N4711" s="17"/>
    </row>
    <row r="4712">
      <c r="B4712" s="11">
        <f>IFERROR(__xludf.DUMMYFUNCTION("""COMPUTED_VALUE"""),39429.0)</f>
        <v>39429</v>
      </c>
      <c r="C4712" s="9">
        <f>IFERROR(__xludf.DUMMYFUNCTION("""COMPUTED_VALUE"""),4.18)</f>
        <v>4.18</v>
      </c>
      <c r="H4712" s="17"/>
      <c r="K4712" s="17"/>
      <c r="N4712" s="17"/>
    </row>
    <row r="4713">
      <c r="B4713" s="11">
        <f>IFERROR(__xludf.DUMMYFUNCTION("""COMPUTED_VALUE"""),39428.0)</f>
        <v>39428</v>
      </c>
      <c r="C4713" s="9">
        <f>IFERROR(__xludf.DUMMYFUNCTION("""COMPUTED_VALUE"""),4.05)</f>
        <v>4.05</v>
      </c>
      <c r="H4713" s="17"/>
      <c r="K4713" s="17"/>
      <c r="N4713" s="17"/>
    </row>
    <row r="4714">
      <c r="B4714" s="11">
        <f>IFERROR(__xludf.DUMMYFUNCTION("""COMPUTED_VALUE"""),39427.0)</f>
        <v>39427</v>
      </c>
      <c r="C4714" s="9">
        <f>IFERROR(__xludf.DUMMYFUNCTION("""COMPUTED_VALUE"""),3.98)</f>
        <v>3.98</v>
      </c>
      <c r="H4714" s="17"/>
      <c r="K4714" s="17"/>
      <c r="N4714" s="17"/>
    </row>
    <row r="4715">
      <c r="B4715" s="11">
        <f>IFERROR(__xludf.DUMMYFUNCTION("""COMPUTED_VALUE"""),39426.0)</f>
        <v>39426</v>
      </c>
      <c r="C4715" s="9">
        <f>IFERROR(__xludf.DUMMYFUNCTION("""COMPUTED_VALUE"""),4.15)</f>
        <v>4.15</v>
      </c>
      <c r="H4715" s="17"/>
      <c r="K4715" s="17"/>
      <c r="N4715" s="17"/>
    </row>
    <row r="4716">
      <c r="B4716" s="11">
        <f>IFERROR(__xludf.DUMMYFUNCTION("""COMPUTED_VALUE"""),39423.0)</f>
        <v>39423</v>
      </c>
      <c r="C4716" s="9">
        <f>IFERROR(__xludf.DUMMYFUNCTION("""COMPUTED_VALUE"""),4.12)</f>
        <v>4.12</v>
      </c>
      <c r="H4716" s="17"/>
      <c r="K4716" s="17"/>
      <c r="N4716" s="17"/>
    </row>
    <row r="4717">
      <c r="B4717" s="11">
        <f>IFERROR(__xludf.DUMMYFUNCTION("""COMPUTED_VALUE"""),39422.0)</f>
        <v>39422</v>
      </c>
      <c r="C4717" s="9">
        <f>IFERROR(__xludf.DUMMYFUNCTION("""COMPUTED_VALUE"""),4.02)</f>
        <v>4.02</v>
      </c>
      <c r="H4717" s="17"/>
      <c r="K4717" s="17"/>
      <c r="N4717" s="17"/>
    </row>
    <row r="4718">
      <c r="B4718" s="11">
        <f>IFERROR(__xludf.DUMMYFUNCTION("""COMPUTED_VALUE"""),39421.0)</f>
        <v>39421</v>
      </c>
      <c r="C4718" s="9">
        <f>IFERROR(__xludf.DUMMYFUNCTION("""COMPUTED_VALUE"""),3.92)</f>
        <v>3.92</v>
      </c>
      <c r="H4718" s="17"/>
      <c r="K4718" s="17"/>
      <c r="N4718" s="17"/>
    </row>
    <row r="4719">
      <c r="B4719" s="11">
        <f>IFERROR(__xludf.DUMMYFUNCTION("""COMPUTED_VALUE"""),39420.0)</f>
        <v>39420</v>
      </c>
      <c r="C4719" s="9">
        <f>IFERROR(__xludf.DUMMYFUNCTION("""COMPUTED_VALUE"""),3.89)</f>
        <v>3.89</v>
      </c>
      <c r="H4719" s="17"/>
      <c r="K4719" s="17"/>
      <c r="N4719" s="17"/>
    </row>
    <row r="4720">
      <c r="B4720" s="11">
        <f>IFERROR(__xludf.DUMMYFUNCTION("""COMPUTED_VALUE"""),39419.0)</f>
        <v>39419</v>
      </c>
      <c r="C4720" s="9">
        <f>IFERROR(__xludf.DUMMYFUNCTION("""COMPUTED_VALUE"""),3.89)</f>
        <v>3.89</v>
      </c>
      <c r="H4720" s="17"/>
      <c r="K4720" s="17"/>
      <c r="N4720" s="17"/>
    </row>
    <row r="4721">
      <c r="B4721" s="11">
        <f>IFERROR(__xludf.DUMMYFUNCTION("""COMPUTED_VALUE"""),39416.0)</f>
        <v>39416</v>
      </c>
      <c r="C4721" s="9">
        <f>IFERROR(__xludf.DUMMYFUNCTION("""COMPUTED_VALUE"""),3.97)</f>
        <v>3.97</v>
      </c>
      <c r="H4721" s="17"/>
      <c r="K4721" s="17"/>
      <c r="N4721" s="17"/>
    </row>
    <row r="4722">
      <c r="B4722" s="11">
        <f>IFERROR(__xludf.DUMMYFUNCTION("""COMPUTED_VALUE"""),39415.0)</f>
        <v>39415</v>
      </c>
      <c r="C4722" s="9">
        <f>IFERROR(__xludf.DUMMYFUNCTION("""COMPUTED_VALUE"""),3.94)</f>
        <v>3.94</v>
      </c>
      <c r="H4722" s="17"/>
      <c r="K4722" s="17"/>
      <c r="N4722" s="17"/>
    </row>
    <row r="4723">
      <c r="B4723" s="11">
        <f>IFERROR(__xludf.DUMMYFUNCTION("""COMPUTED_VALUE"""),39414.0)</f>
        <v>39414</v>
      </c>
      <c r="C4723" s="9">
        <f>IFERROR(__xludf.DUMMYFUNCTION("""COMPUTED_VALUE"""),4.03)</f>
        <v>4.03</v>
      </c>
      <c r="H4723" s="17"/>
      <c r="K4723" s="17"/>
      <c r="N4723" s="17"/>
    </row>
    <row r="4724">
      <c r="B4724" s="11">
        <f>IFERROR(__xludf.DUMMYFUNCTION("""COMPUTED_VALUE"""),39413.0)</f>
        <v>39413</v>
      </c>
      <c r="C4724" s="9">
        <f>IFERROR(__xludf.DUMMYFUNCTION("""COMPUTED_VALUE"""),3.95)</f>
        <v>3.95</v>
      </c>
      <c r="H4724" s="17"/>
      <c r="K4724" s="17"/>
      <c r="N4724" s="17"/>
    </row>
    <row r="4725">
      <c r="B4725" s="11">
        <f>IFERROR(__xludf.DUMMYFUNCTION("""COMPUTED_VALUE"""),39412.0)</f>
        <v>39412</v>
      </c>
      <c r="C4725" s="9">
        <f>IFERROR(__xludf.DUMMYFUNCTION("""COMPUTED_VALUE"""),3.83)</f>
        <v>3.83</v>
      </c>
      <c r="H4725" s="17"/>
      <c r="K4725" s="17"/>
      <c r="N4725" s="17"/>
    </row>
    <row r="4726">
      <c r="B4726" s="11">
        <f>IFERROR(__xludf.DUMMYFUNCTION("""COMPUTED_VALUE"""),39409.0)</f>
        <v>39409</v>
      </c>
      <c r="C4726" s="9">
        <f>IFERROR(__xludf.DUMMYFUNCTION("""COMPUTED_VALUE"""),4.01)</f>
        <v>4.01</v>
      </c>
      <c r="H4726" s="17"/>
      <c r="K4726" s="17"/>
      <c r="N4726" s="17"/>
    </row>
    <row r="4727">
      <c r="B4727" s="11">
        <f>IFERROR(__xludf.DUMMYFUNCTION("""COMPUTED_VALUE"""),39408.0)</f>
        <v>39408</v>
      </c>
      <c r="C4727" s="9"/>
      <c r="H4727" s="17"/>
      <c r="K4727" s="17"/>
      <c r="N4727" s="17"/>
    </row>
    <row r="4728">
      <c r="B4728" s="11">
        <f>IFERROR(__xludf.DUMMYFUNCTION("""COMPUTED_VALUE"""),39407.0)</f>
        <v>39407</v>
      </c>
      <c r="C4728" s="9">
        <f>IFERROR(__xludf.DUMMYFUNCTION("""COMPUTED_VALUE"""),4.0)</f>
        <v>4</v>
      </c>
      <c r="H4728" s="17"/>
      <c r="K4728" s="17"/>
      <c r="N4728" s="17"/>
    </row>
    <row r="4729">
      <c r="B4729" s="11">
        <f>IFERROR(__xludf.DUMMYFUNCTION("""COMPUTED_VALUE"""),39406.0)</f>
        <v>39406</v>
      </c>
      <c r="C4729" s="9">
        <f>IFERROR(__xludf.DUMMYFUNCTION("""COMPUTED_VALUE"""),4.06)</f>
        <v>4.06</v>
      </c>
      <c r="H4729" s="17"/>
      <c r="K4729" s="17"/>
      <c r="N4729" s="17"/>
    </row>
    <row r="4730">
      <c r="B4730" s="11">
        <f>IFERROR(__xludf.DUMMYFUNCTION("""COMPUTED_VALUE"""),39405.0)</f>
        <v>39405</v>
      </c>
      <c r="C4730" s="9">
        <f>IFERROR(__xludf.DUMMYFUNCTION("""COMPUTED_VALUE"""),4.07)</f>
        <v>4.07</v>
      </c>
      <c r="H4730" s="17"/>
      <c r="K4730" s="17"/>
      <c r="N4730" s="17"/>
    </row>
    <row r="4731">
      <c r="B4731" s="11">
        <f>IFERROR(__xludf.DUMMYFUNCTION("""COMPUTED_VALUE"""),39402.0)</f>
        <v>39402</v>
      </c>
      <c r="C4731" s="9">
        <f>IFERROR(__xludf.DUMMYFUNCTION("""COMPUTED_VALUE"""),4.15)</f>
        <v>4.15</v>
      </c>
      <c r="H4731" s="17"/>
      <c r="K4731" s="17"/>
      <c r="N4731" s="17"/>
    </row>
    <row r="4732">
      <c r="B4732" s="11">
        <f>IFERROR(__xludf.DUMMYFUNCTION("""COMPUTED_VALUE"""),39401.0)</f>
        <v>39401</v>
      </c>
      <c r="C4732" s="9">
        <f>IFERROR(__xludf.DUMMYFUNCTION("""COMPUTED_VALUE"""),4.17)</f>
        <v>4.17</v>
      </c>
      <c r="H4732" s="17"/>
      <c r="K4732" s="17"/>
      <c r="N4732" s="17"/>
    </row>
    <row r="4733">
      <c r="B4733" s="11">
        <f>IFERROR(__xludf.DUMMYFUNCTION("""COMPUTED_VALUE"""),39400.0)</f>
        <v>39400</v>
      </c>
      <c r="C4733" s="9">
        <f>IFERROR(__xludf.DUMMYFUNCTION("""COMPUTED_VALUE"""),4.28)</f>
        <v>4.28</v>
      </c>
      <c r="H4733" s="17"/>
      <c r="K4733" s="17"/>
      <c r="N4733" s="17"/>
    </row>
    <row r="4734">
      <c r="B4734" s="11">
        <f>IFERROR(__xludf.DUMMYFUNCTION("""COMPUTED_VALUE"""),39399.0)</f>
        <v>39399</v>
      </c>
      <c r="C4734" s="9">
        <f>IFERROR(__xludf.DUMMYFUNCTION("""COMPUTED_VALUE"""),4.26)</f>
        <v>4.26</v>
      </c>
      <c r="H4734" s="17"/>
      <c r="K4734" s="17"/>
      <c r="N4734" s="17"/>
    </row>
    <row r="4735">
      <c r="B4735" s="11">
        <f>IFERROR(__xludf.DUMMYFUNCTION("""COMPUTED_VALUE"""),39398.0)</f>
        <v>39398</v>
      </c>
      <c r="C4735" s="9"/>
      <c r="H4735" s="17"/>
      <c r="K4735" s="17"/>
      <c r="N4735" s="17"/>
    </row>
    <row r="4736">
      <c r="B4736" s="11">
        <f>IFERROR(__xludf.DUMMYFUNCTION("""COMPUTED_VALUE"""),39395.0)</f>
        <v>39395</v>
      </c>
      <c r="C4736" s="9">
        <f>IFERROR(__xludf.DUMMYFUNCTION("""COMPUTED_VALUE"""),4.23)</f>
        <v>4.23</v>
      </c>
      <c r="H4736" s="17"/>
      <c r="K4736" s="17"/>
      <c r="N4736" s="17"/>
    </row>
    <row r="4737">
      <c r="B4737" s="11">
        <f>IFERROR(__xludf.DUMMYFUNCTION("""COMPUTED_VALUE"""),39394.0)</f>
        <v>39394</v>
      </c>
      <c r="C4737" s="9">
        <f>IFERROR(__xludf.DUMMYFUNCTION("""COMPUTED_VALUE"""),4.28)</f>
        <v>4.28</v>
      </c>
      <c r="H4737" s="17"/>
      <c r="K4737" s="17"/>
      <c r="N4737" s="17"/>
    </row>
    <row r="4738">
      <c r="B4738" s="11">
        <f>IFERROR(__xludf.DUMMYFUNCTION("""COMPUTED_VALUE"""),39393.0)</f>
        <v>39393</v>
      </c>
      <c r="C4738" s="9">
        <f>IFERROR(__xludf.DUMMYFUNCTION("""COMPUTED_VALUE"""),4.34)</f>
        <v>4.34</v>
      </c>
      <c r="H4738" s="17"/>
      <c r="K4738" s="17"/>
      <c r="N4738" s="17"/>
    </row>
    <row r="4739">
      <c r="B4739" s="11">
        <f>IFERROR(__xludf.DUMMYFUNCTION("""COMPUTED_VALUE"""),39392.0)</f>
        <v>39392</v>
      </c>
      <c r="C4739" s="9">
        <f>IFERROR(__xludf.DUMMYFUNCTION("""COMPUTED_VALUE"""),4.38)</f>
        <v>4.38</v>
      </c>
      <c r="H4739" s="17"/>
      <c r="K4739" s="17"/>
      <c r="N4739" s="17"/>
    </row>
    <row r="4740">
      <c r="B4740" s="11">
        <f>IFERROR(__xludf.DUMMYFUNCTION("""COMPUTED_VALUE"""),39391.0)</f>
        <v>39391</v>
      </c>
      <c r="C4740" s="9">
        <f>IFERROR(__xludf.DUMMYFUNCTION("""COMPUTED_VALUE"""),4.35)</f>
        <v>4.35</v>
      </c>
      <c r="H4740" s="17"/>
      <c r="K4740" s="17"/>
      <c r="N4740" s="17"/>
    </row>
    <row r="4741">
      <c r="B4741" s="11">
        <f>IFERROR(__xludf.DUMMYFUNCTION("""COMPUTED_VALUE"""),39388.0)</f>
        <v>39388</v>
      </c>
      <c r="C4741" s="9">
        <f>IFERROR(__xludf.DUMMYFUNCTION("""COMPUTED_VALUE"""),4.31)</f>
        <v>4.31</v>
      </c>
      <c r="H4741" s="17"/>
      <c r="K4741" s="17"/>
      <c r="N4741" s="17"/>
    </row>
    <row r="4742">
      <c r="B4742" s="11">
        <f>IFERROR(__xludf.DUMMYFUNCTION("""COMPUTED_VALUE"""),39387.0)</f>
        <v>39387</v>
      </c>
      <c r="C4742" s="9">
        <f>IFERROR(__xludf.DUMMYFUNCTION("""COMPUTED_VALUE"""),4.36)</f>
        <v>4.36</v>
      </c>
      <c r="H4742" s="17"/>
      <c r="K4742" s="17"/>
      <c r="N4742" s="17"/>
    </row>
    <row r="4743">
      <c r="B4743" s="11">
        <f>IFERROR(__xludf.DUMMYFUNCTION("""COMPUTED_VALUE"""),39386.0)</f>
        <v>39386</v>
      </c>
      <c r="C4743" s="9">
        <f>IFERROR(__xludf.DUMMYFUNCTION("""COMPUTED_VALUE"""),4.48)</f>
        <v>4.48</v>
      </c>
      <c r="H4743" s="17"/>
      <c r="K4743" s="17"/>
      <c r="N4743" s="17"/>
    </row>
    <row r="4744">
      <c r="B4744" s="11">
        <f>IFERROR(__xludf.DUMMYFUNCTION("""COMPUTED_VALUE"""),39385.0)</f>
        <v>39385</v>
      </c>
      <c r="C4744" s="9">
        <f>IFERROR(__xludf.DUMMYFUNCTION("""COMPUTED_VALUE"""),4.4)</f>
        <v>4.4</v>
      </c>
      <c r="H4744" s="17"/>
      <c r="K4744" s="17"/>
      <c r="N4744" s="17"/>
    </row>
    <row r="4745">
      <c r="B4745" s="11">
        <f>IFERROR(__xludf.DUMMYFUNCTION("""COMPUTED_VALUE"""),39384.0)</f>
        <v>39384</v>
      </c>
      <c r="C4745" s="9">
        <f>IFERROR(__xludf.DUMMYFUNCTION("""COMPUTED_VALUE"""),4.39)</f>
        <v>4.39</v>
      </c>
      <c r="H4745" s="17"/>
      <c r="K4745" s="17"/>
      <c r="N4745" s="17"/>
    </row>
    <row r="4746">
      <c r="B4746" s="11">
        <f>IFERROR(__xludf.DUMMYFUNCTION("""COMPUTED_VALUE"""),39381.0)</f>
        <v>39381</v>
      </c>
      <c r="C4746" s="9">
        <f>IFERROR(__xludf.DUMMYFUNCTION("""COMPUTED_VALUE"""),4.41)</f>
        <v>4.41</v>
      </c>
      <c r="H4746" s="17"/>
      <c r="K4746" s="17"/>
      <c r="N4746" s="17"/>
    </row>
    <row r="4747">
      <c r="B4747" s="11">
        <f>IFERROR(__xludf.DUMMYFUNCTION("""COMPUTED_VALUE"""),39380.0)</f>
        <v>39380</v>
      </c>
      <c r="C4747" s="9">
        <f>IFERROR(__xludf.DUMMYFUNCTION("""COMPUTED_VALUE"""),4.37)</f>
        <v>4.37</v>
      </c>
      <c r="H4747" s="17"/>
      <c r="K4747" s="17"/>
      <c r="N4747" s="17"/>
    </row>
    <row r="4748">
      <c r="B4748" s="11">
        <f>IFERROR(__xludf.DUMMYFUNCTION("""COMPUTED_VALUE"""),39379.0)</f>
        <v>39379</v>
      </c>
      <c r="C4748" s="9">
        <f>IFERROR(__xludf.DUMMYFUNCTION("""COMPUTED_VALUE"""),4.36)</f>
        <v>4.36</v>
      </c>
      <c r="H4748" s="17"/>
      <c r="K4748" s="17"/>
      <c r="N4748" s="17"/>
    </row>
    <row r="4749">
      <c r="B4749" s="11">
        <f>IFERROR(__xludf.DUMMYFUNCTION("""COMPUTED_VALUE"""),39378.0)</f>
        <v>39378</v>
      </c>
      <c r="C4749" s="9">
        <f>IFERROR(__xludf.DUMMYFUNCTION("""COMPUTED_VALUE"""),4.41)</f>
        <v>4.41</v>
      </c>
      <c r="H4749" s="17"/>
      <c r="K4749" s="17"/>
      <c r="N4749" s="17"/>
    </row>
    <row r="4750">
      <c r="B4750" s="11">
        <f>IFERROR(__xludf.DUMMYFUNCTION("""COMPUTED_VALUE"""),39377.0)</f>
        <v>39377</v>
      </c>
      <c r="C4750" s="9">
        <f>IFERROR(__xludf.DUMMYFUNCTION("""COMPUTED_VALUE"""),4.42)</f>
        <v>4.42</v>
      </c>
      <c r="H4750" s="17"/>
      <c r="K4750" s="17"/>
      <c r="N4750" s="17"/>
    </row>
    <row r="4751">
      <c r="B4751" s="11">
        <f>IFERROR(__xludf.DUMMYFUNCTION("""COMPUTED_VALUE"""),39374.0)</f>
        <v>39374</v>
      </c>
      <c r="C4751" s="9">
        <f>IFERROR(__xludf.DUMMYFUNCTION("""COMPUTED_VALUE"""),4.41)</f>
        <v>4.41</v>
      </c>
      <c r="H4751" s="17"/>
      <c r="K4751" s="17"/>
      <c r="N4751" s="17"/>
    </row>
    <row r="4752">
      <c r="B4752" s="11">
        <f>IFERROR(__xludf.DUMMYFUNCTION("""COMPUTED_VALUE"""),39373.0)</f>
        <v>39373</v>
      </c>
      <c r="C4752" s="9">
        <f>IFERROR(__xludf.DUMMYFUNCTION("""COMPUTED_VALUE"""),4.52)</f>
        <v>4.52</v>
      </c>
      <c r="H4752" s="17"/>
      <c r="K4752" s="17"/>
      <c r="N4752" s="17"/>
    </row>
    <row r="4753">
      <c r="B4753" s="11">
        <f>IFERROR(__xludf.DUMMYFUNCTION("""COMPUTED_VALUE"""),39372.0)</f>
        <v>39372</v>
      </c>
      <c r="C4753" s="9">
        <f>IFERROR(__xludf.DUMMYFUNCTION("""COMPUTED_VALUE"""),4.57)</f>
        <v>4.57</v>
      </c>
      <c r="H4753" s="17"/>
      <c r="K4753" s="17"/>
      <c r="N4753" s="17"/>
    </row>
    <row r="4754">
      <c r="B4754" s="11">
        <f>IFERROR(__xludf.DUMMYFUNCTION("""COMPUTED_VALUE"""),39371.0)</f>
        <v>39371</v>
      </c>
      <c r="C4754" s="9">
        <f>IFERROR(__xludf.DUMMYFUNCTION("""COMPUTED_VALUE"""),4.66)</f>
        <v>4.66</v>
      </c>
      <c r="H4754" s="17"/>
      <c r="K4754" s="17"/>
      <c r="N4754" s="17"/>
    </row>
    <row r="4755">
      <c r="B4755" s="11">
        <f>IFERROR(__xludf.DUMMYFUNCTION("""COMPUTED_VALUE"""),39370.0)</f>
        <v>39370</v>
      </c>
      <c r="C4755" s="9">
        <f>IFERROR(__xludf.DUMMYFUNCTION("""COMPUTED_VALUE"""),4.69)</f>
        <v>4.69</v>
      </c>
      <c r="H4755" s="17"/>
      <c r="K4755" s="17"/>
      <c r="N4755" s="17"/>
    </row>
    <row r="4756">
      <c r="B4756" s="11">
        <f>IFERROR(__xludf.DUMMYFUNCTION("""COMPUTED_VALUE"""),39367.0)</f>
        <v>39367</v>
      </c>
      <c r="C4756" s="9">
        <f>IFERROR(__xludf.DUMMYFUNCTION("""COMPUTED_VALUE"""),4.7)</f>
        <v>4.7</v>
      </c>
      <c r="H4756" s="17"/>
      <c r="K4756" s="17"/>
      <c r="N4756" s="17"/>
    </row>
    <row r="4757">
      <c r="B4757" s="11">
        <f>IFERROR(__xludf.DUMMYFUNCTION("""COMPUTED_VALUE"""),39366.0)</f>
        <v>39366</v>
      </c>
      <c r="C4757" s="9">
        <f>IFERROR(__xludf.DUMMYFUNCTION("""COMPUTED_VALUE"""),4.66)</f>
        <v>4.66</v>
      </c>
      <c r="H4757" s="17"/>
      <c r="K4757" s="17"/>
      <c r="N4757" s="17"/>
    </row>
    <row r="4758">
      <c r="B4758" s="11">
        <f>IFERROR(__xludf.DUMMYFUNCTION("""COMPUTED_VALUE"""),39365.0)</f>
        <v>39365</v>
      </c>
      <c r="C4758" s="9">
        <f>IFERROR(__xludf.DUMMYFUNCTION("""COMPUTED_VALUE"""),4.65)</f>
        <v>4.65</v>
      </c>
      <c r="H4758" s="17"/>
      <c r="K4758" s="17"/>
      <c r="N4758" s="17"/>
    </row>
    <row r="4759">
      <c r="B4759" s="11">
        <f>IFERROR(__xludf.DUMMYFUNCTION("""COMPUTED_VALUE"""),39364.0)</f>
        <v>39364</v>
      </c>
      <c r="C4759" s="9">
        <f>IFERROR(__xludf.DUMMYFUNCTION("""COMPUTED_VALUE"""),4.67)</f>
        <v>4.67</v>
      </c>
      <c r="H4759" s="17"/>
      <c r="K4759" s="17"/>
      <c r="N4759" s="17"/>
    </row>
    <row r="4760">
      <c r="B4760" s="11">
        <f>IFERROR(__xludf.DUMMYFUNCTION("""COMPUTED_VALUE"""),39363.0)</f>
        <v>39363</v>
      </c>
      <c r="C4760" s="9"/>
      <c r="H4760" s="17"/>
      <c r="K4760" s="17"/>
      <c r="N4760" s="17"/>
    </row>
    <row r="4761">
      <c r="B4761" s="11">
        <f>IFERROR(__xludf.DUMMYFUNCTION("""COMPUTED_VALUE"""),39360.0)</f>
        <v>39360</v>
      </c>
      <c r="C4761" s="9">
        <f>IFERROR(__xludf.DUMMYFUNCTION("""COMPUTED_VALUE"""),4.65)</f>
        <v>4.65</v>
      </c>
      <c r="H4761" s="17"/>
      <c r="K4761" s="17"/>
      <c r="N4761" s="17"/>
    </row>
    <row r="4762">
      <c r="B4762" s="11">
        <f>IFERROR(__xludf.DUMMYFUNCTION("""COMPUTED_VALUE"""),39359.0)</f>
        <v>39359</v>
      </c>
      <c r="C4762" s="9">
        <f>IFERROR(__xludf.DUMMYFUNCTION("""COMPUTED_VALUE"""),4.54)</f>
        <v>4.54</v>
      </c>
      <c r="H4762" s="17"/>
      <c r="K4762" s="17"/>
      <c r="N4762" s="17"/>
    </row>
    <row r="4763">
      <c r="B4763" s="11">
        <f>IFERROR(__xludf.DUMMYFUNCTION("""COMPUTED_VALUE"""),39358.0)</f>
        <v>39358</v>
      </c>
      <c r="C4763" s="9">
        <f>IFERROR(__xludf.DUMMYFUNCTION("""COMPUTED_VALUE"""),4.55)</f>
        <v>4.55</v>
      </c>
      <c r="H4763" s="17"/>
      <c r="K4763" s="17"/>
      <c r="N4763" s="17"/>
    </row>
    <row r="4764">
      <c r="B4764" s="11">
        <f>IFERROR(__xludf.DUMMYFUNCTION("""COMPUTED_VALUE"""),39357.0)</f>
        <v>39357</v>
      </c>
      <c r="C4764" s="9">
        <f>IFERROR(__xludf.DUMMYFUNCTION("""COMPUTED_VALUE"""),4.54)</f>
        <v>4.54</v>
      </c>
      <c r="H4764" s="17"/>
      <c r="K4764" s="17"/>
      <c r="N4764" s="17"/>
    </row>
    <row r="4765">
      <c r="B4765" s="11">
        <f>IFERROR(__xludf.DUMMYFUNCTION("""COMPUTED_VALUE"""),39356.0)</f>
        <v>39356</v>
      </c>
      <c r="C4765" s="9">
        <f>IFERROR(__xludf.DUMMYFUNCTION("""COMPUTED_VALUE"""),4.56)</f>
        <v>4.56</v>
      </c>
      <c r="H4765" s="17"/>
      <c r="K4765" s="17"/>
      <c r="N4765" s="17"/>
    </row>
    <row r="4766">
      <c r="B4766" s="11">
        <f>IFERROR(__xludf.DUMMYFUNCTION("""COMPUTED_VALUE"""),39353.0)</f>
        <v>39353</v>
      </c>
      <c r="C4766" s="9">
        <f>IFERROR(__xludf.DUMMYFUNCTION("""COMPUTED_VALUE"""),4.59)</f>
        <v>4.59</v>
      </c>
      <c r="H4766" s="17"/>
      <c r="K4766" s="17"/>
      <c r="N4766" s="17"/>
    </row>
    <row r="4767">
      <c r="B4767" s="11">
        <f>IFERROR(__xludf.DUMMYFUNCTION("""COMPUTED_VALUE"""),39352.0)</f>
        <v>39352</v>
      </c>
      <c r="C4767" s="9">
        <f>IFERROR(__xludf.DUMMYFUNCTION("""COMPUTED_VALUE"""),4.58)</f>
        <v>4.58</v>
      </c>
      <c r="H4767" s="17"/>
      <c r="K4767" s="17"/>
      <c r="N4767" s="17"/>
    </row>
    <row r="4768">
      <c r="B4768" s="11">
        <f>IFERROR(__xludf.DUMMYFUNCTION("""COMPUTED_VALUE"""),39351.0)</f>
        <v>39351</v>
      </c>
      <c r="C4768" s="9">
        <f>IFERROR(__xludf.DUMMYFUNCTION("""COMPUTED_VALUE"""),4.63)</f>
        <v>4.63</v>
      </c>
      <c r="H4768" s="17"/>
      <c r="K4768" s="17"/>
      <c r="N4768" s="17"/>
    </row>
    <row r="4769">
      <c r="B4769" s="11">
        <f>IFERROR(__xludf.DUMMYFUNCTION("""COMPUTED_VALUE"""),39350.0)</f>
        <v>39350</v>
      </c>
      <c r="C4769" s="9">
        <f>IFERROR(__xludf.DUMMYFUNCTION("""COMPUTED_VALUE"""),4.63)</f>
        <v>4.63</v>
      </c>
      <c r="H4769" s="17"/>
      <c r="K4769" s="17"/>
      <c r="N4769" s="17"/>
    </row>
    <row r="4770">
      <c r="B4770" s="11">
        <f>IFERROR(__xludf.DUMMYFUNCTION("""COMPUTED_VALUE"""),39349.0)</f>
        <v>39349</v>
      </c>
      <c r="C4770" s="9">
        <f>IFERROR(__xludf.DUMMYFUNCTION("""COMPUTED_VALUE"""),4.63)</f>
        <v>4.63</v>
      </c>
      <c r="H4770" s="17"/>
      <c r="K4770" s="17"/>
      <c r="N4770" s="17"/>
    </row>
    <row r="4771">
      <c r="B4771" s="11">
        <f>IFERROR(__xludf.DUMMYFUNCTION("""COMPUTED_VALUE"""),39346.0)</f>
        <v>39346</v>
      </c>
      <c r="C4771" s="9">
        <f>IFERROR(__xludf.DUMMYFUNCTION("""COMPUTED_VALUE"""),4.64)</f>
        <v>4.64</v>
      </c>
      <c r="H4771" s="17"/>
      <c r="K4771" s="17"/>
      <c r="N4771" s="17"/>
    </row>
    <row r="4772">
      <c r="B4772" s="11">
        <f>IFERROR(__xludf.DUMMYFUNCTION("""COMPUTED_VALUE"""),39345.0)</f>
        <v>39345</v>
      </c>
      <c r="C4772" s="9">
        <f>IFERROR(__xludf.DUMMYFUNCTION("""COMPUTED_VALUE"""),4.69)</f>
        <v>4.69</v>
      </c>
      <c r="H4772" s="17"/>
      <c r="K4772" s="17"/>
      <c r="N4772" s="17"/>
    </row>
    <row r="4773">
      <c r="B4773" s="11">
        <f>IFERROR(__xludf.DUMMYFUNCTION("""COMPUTED_VALUE"""),39344.0)</f>
        <v>39344</v>
      </c>
      <c r="C4773" s="9">
        <f>IFERROR(__xludf.DUMMYFUNCTION("""COMPUTED_VALUE"""),4.53)</f>
        <v>4.53</v>
      </c>
      <c r="H4773" s="17"/>
      <c r="K4773" s="17"/>
      <c r="N4773" s="17"/>
    </row>
    <row r="4774">
      <c r="B4774" s="11">
        <f>IFERROR(__xludf.DUMMYFUNCTION("""COMPUTED_VALUE"""),39343.0)</f>
        <v>39343</v>
      </c>
      <c r="C4774" s="9">
        <f>IFERROR(__xludf.DUMMYFUNCTION("""COMPUTED_VALUE"""),4.5)</f>
        <v>4.5</v>
      </c>
      <c r="H4774" s="17"/>
      <c r="K4774" s="17"/>
      <c r="N4774" s="17"/>
    </row>
    <row r="4775">
      <c r="B4775" s="11">
        <f>IFERROR(__xludf.DUMMYFUNCTION("""COMPUTED_VALUE"""),39342.0)</f>
        <v>39342</v>
      </c>
      <c r="C4775" s="9">
        <f>IFERROR(__xludf.DUMMYFUNCTION("""COMPUTED_VALUE"""),4.48)</f>
        <v>4.48</v>
      </c>
      <c r="H4775" s="17"/>
      <c r="K4775" s="17"/>
      <c r="N4775" s="17"/>
    </row>
    <row r="4776">
      <c r="B4776" s="11">
        <f>IFERROR(__xludf.DUMMYFUNCTION("""COMPUTED_VALUE"""),39339.0)</f>
        <v>39339</v>
      </c>
      <c r="C4776" s="9">
        <f>IFERROR(__xludf.DUMMYFUNCTION("""COMPUTED_VALUE"""),4.47)</f>
        <v>4.47</v>
      </c>
      <c r="H4776" s="17"/>
      <c r="K4776" s="17"/>
      <c r="N4776" s="17"/>
    </row>
    <row r="4777">
      <c r="B4777" s="11">
        <f>IFERROR(__xludf.DUMMYFUNCTION("""COMPUTED_VALUE"""),39338.0)</f>
        <v>39338</v>
      </c>
      <c r="C4777" s="9">
        <f>IFERROR(__xludf.DUMMYFUNCTION("""COMPUTED_VALUE"""),4.49)</f>
        <v>4.49</v>
      </c>
      <c r="H4777" s="17"/>
      <c r="K4777" s="17"/>
      <c r="N4777" s="17"/>
    </row>
    <row r="4778">
      <c r="B4778" s="11">
        <f>IFERROR(__xludf.DUMMYFUNCTION("""COMPUTED_VALUE"""),39337.0)</f>
        <v>39337</v>
      </c>
      <c r="C4778" s="9">
        <f>IFERROR(__xludf.DUMMYFUNCTION("""COMPUTED_VALUE"""),4.41)</f>
        <v>4.41</v>
      </c>
      <c r="H4778" s="17"/>
      <c r="K4778" s="17"/>
      <c r="N4778" s="17"/>
    </row>
    <row r="4779">
      <c r="B4779" s="11">
        <f>IFERROR(__xludf.DUMMYFUNCTION("""COMPUTED_VALUE"""),39336.0)</f>
        <v>39336</v>
      </c>
      <c r="C4779" s="9">
        <f>IFERROR(__xludf.DUMMYFUNCTION("""COMPUTED_VALUE"""),4.37)</f>
        <v>4.37</v>
      </c>
      <c r="H4779" s="17"/>
      <c r="K4779" s="17"/>
      <c r="N4779" s="17"/>
    </row>
    <row r="4780">
      <c r="B4780" s="11">
        <f>IFERROR(__xludf.DUMMYFUNCTION("""COMPUTED_VALUE"""),39335.0)</f>
        <v>39335</v>
      </c>
      <c r="C4780" s="9">
        <f>IFERROR(__xludf.DUMMYFUNCTION("""COMPUTED_VALUE"""),4.34)</f>
        <v>4.34</v>
      </c>
      <c r="H4780" s="17"/>
      <c r="K4780" s="17"/>
      <c r="N4780" s="17"/>
    </row>
    <row r="4781">
      <c r="B4781" s="11">
        <f>IFERROR(__xludf.DUMMYFUNCTION("""COMPUTED_VALUE"""),39332.0)</f>
        <v>39332</v>
      </c>
      <c r="C4781" s="9">
        <f>IFERROR(__xludf.DUMMYFUNCTION("""COMPUTED_VALUE"""),4.38)</f>
        <v>4.38</v>
      </c>
      <c r="H4781" s="17"/>
      <c r="K4781" s="17"/>
      <c r="N4781" s="17"/>
    </row>
    <row r="4782">
      <c r="B4782" s="11">
        <f>IFERROR(__xludf.DUMMYFUNCTION("""COMPUTED_VALUE"""),39331.0)</f>
        <v>39331</v>
      </c>
      <c r="C4782" s="9">
        <f>IFERROR(__xludf.DUMMYFUNCTION("""COMPUTED_VALUE"""),4.51)</f>
        <v>4.51</v>
      </c>
      <c r="H4782" s="17"/>
      <c r="K4782" s="17"/>
      <c r="N4782" s="17"/>
    </row>
    <row r="4783">
      <c r="B4783" s="11">
        <f>IFERROR(__xludf.DUMMYFUNCTION("""COMPUTED_VALUE"""),39330.0)</f>
        <v>39330</v>
      </c>
      <c r="C4783" s="9">
        <f>IFERROR(__xludf.DUMMYFUNCTION("""COMPUTED_VALUE"""),4.48)</f>
        <v>4.48</v>
      </c>
      <c r="H4783" s="17"/>
      <c r="K4783" s="17"/>
      <c r="N4783" s="17"/>
    </row>
    <row r="4784">
      <c r="B4784" s="11">
        <f>IFERROR(__xludf.DUMMYFUNCTION("""COMPUTED_VALUE"""),39329.0)</f>
        <v>39329</v>
      </c>
      <c r="C4784" s="9">
        <f>IFERROR(__xludf.DUMMYFUNCTION("""COMPUTED_VALUE"""),4.56)</f>
        <v>4.56</v>
      </c>
      <c r="H4784" s="17"/>
      <c r="K4784" s="17"/>
      <c r="N4784" s="17"/>
    </row>
    <row r="4785">
      <c r="B4785" s="11">
        <f>IFERROR(__xludf.DUMMYFUNCTION("""COMPUTED_VALUE"""),39328.0)</f>
        <v>39328</v>
      </c>
      <c r="C4785" s="9"/>
      <c r="H4785" s="17"/>
      <c r="K4785" s="17"/>
      <c r="N4785" s="17"/>
    </row>
    <row r="4786">
      <c r="B4786" s="11">
        <f>IFERROR(__xludf.DUMMYFUNCTION("""COMPUTED_VALUE"""),39325.0)</f>
        <v>39325</v>
      </c>
      <c r="C4786" s="9">
        <f>IFERROR(__xludf.DUMMYFUNCTION("""COMPUTED_VALUE"""),4.54)</f>
        <v>4.54</v>
      </c>
      <c r="H4786" s="17"/>
      <c r="K4786" s="17"/>
      <c r="N4786" s="17"/>
    </row>
    <row r="4787">
      <c r="B4787" s="11">
        <f>IFERROR(__xludf.DUMMYFUNCTION("""COMPUTED_VALUE"""),39324.0)</f>
        <v>39324</v>
      </c>
      <c r="C4787" s="9">
        <f>IFERROR(__xludf.DUMMYFUNCTION("""COMPUTED_VALUE"""),4.51)</f>
        <v>4.51</v>
      </c>
      <c r="H4787" s="17"/>
      <c r="K4787" s="17"/>
      <c r="N4787" s="17"/>
    </row>
    <row r="4788">
      <c r="B4788" s="11">
        <f>IFERROR(__xludf.DUMMYFUNCTION("""COMPUTED_VALUE"""),39323.0)</f>
        <v>39323</v>
      </c>
      <c r="C4788" s="9">
        <f>IFERROR(__xludf.DUMMYFUNCTION("""COMPUTED_VALUE"""),4.57)</f>
        <v>4.57</v>
      </c>
      <c r="H4788" s="17"/>
      <c r="K4788" s="17"/>
      <c r="N4788" s="17"/>
    </row>
    <row r="4789">
      <c r="B4789" s="11">
        <f>IFERROR(__xludf.DUMMYFUNCTION("""COMPUTED_VALUE"""),39322.0)</f>
        <v>39322</v>
      </c>
      <c r="C4789" s="9">
        <f>IFERROR(__xludf.DUMMYFUNCTION("""COMPUTED_VALUE"""),4.53)</f>
        <v>4.53</v>
      </c>
      <c r="H4789" s="17"/>
      <c r="K4789" s="17"/>
      <c r="N4789" s="17"/>
    </row>
    <row r="4790">
      <c r="B4790" s="11">
        <f>IFERROR(__xludf.DUMMYFUNCTION("""COMPUTED_VALUE"""),39321.0)</f>
        <v>39321</v>
      </c>
      <c r="C4790" s="9">
        <f>IFERROR(__xludf.DUMMYFUNCTION("""COMPUTED_VALUE"""),4.6)</f>
        <v>4.6</v>
      </c>
      <c r="H4790" s="17"/>
      <c r="K4790" s="17"/>
      <c r="N4790" s="17"/>
    </row>
    <row r="4791">
      <c r="B4791" s="11">
        <f>IFERROR(__xludf.DUMMYFUNCTION("""COMPUTED_VALUE"""),39318.0)</f>
        <v>39318</v>
      </c>
      <c r="C4791" s="9">
        <f>IFERROR(__xludf.DUMMYFUNCTION("""COMPUTED_VALUE"""),4.63)</f>
        <v>4.63</v>
      </c>
      <c r="H4791" s="17"/>
      <c r="K4791" s="17"/>
      <c r="N4791" s="17"/>
    </row>
    <row r="4792">
      <c r="B4792" s="11">
        <f>IFERROR(__xludf.DUMMYFUNCTION("""COMPUTED_VALUE"""),39317.0)</f>
        <v>39317</v>
      </c>
      <c r="C4792" s="9">
        <f>IFERROR(__xludf.DUMMYFUNCTION("""COMPUTED_VALUE"""),4.62)</f>
        <v>4.62</v>
      </c>
      <c r="H4792" s="17"/>
      <c r="K4792" s="17"/>
      <c r="N4792" s="17"/>
    </row>
    <row r="4793">
      <c r="B4793" s="11">
        <f>IFERROR(__xludf.DUMMYFUNCTION("""COMPUTED_VALUE"""),39316.0)</f>
        <v>39316</v>
      </c>
      <c r="C4793" s="9">
        <f>IFERROR(__xludf.DUMMYFUNCTION("""COMPUTED_VALUE"""),4.63)</f>
        <v>4.63</v>
      </c>
      <c r="H4793" s="17"/>
      <c r="K4793" s="17"/>
      <c r="N4793" s="17"/>
    </row>
    <row r="4794">
      <c r="B4794" s="11">
        <f>IFERROR(__xludf.DUMMYFUNCTION("""COMPUTED_VALUE"""),39315.0)</f>
        <v>39315</v>
      </c>
      <c r="C4794" s="9">
        <f>IFERROR(__xludf.DUMMYFUNCTION("""COMPUTED_VALUE"""),4.6)</f>
        <v>4.6</v>
      </c>
      <c r="H4794" s="17"/>
      <c r="K4794" s="17"/>
      <c r="N4794" s="17"/>
    </row>
    <row r="4795">
      <c r="B4795" s="11">
        <f>IFERROR(__xludf.DUMMYFUNCTION("""COMPUTED_VALUE"""),39314.0)</f>
        <v>39314</v>
      </c>
      <c r="C4795" s="9">
        <f>IFERROR(__xludf.DUMMYFUNCTION("""COMPUTED_VALUE"""),4.64)</f>
        <v>4.64</v>
      </c>
      <c r="H4795" s="17"/>
      <c r="K4795" s="17"/>
      <c r="N4795" s="17"/>
    </row>
    <row r="4796">
      <c r="B4796" s="11">
        <f>IFERROR(__xludf.DUMMYFUNCTION("""COMPUTED_VALUE"""),39311.0)</f>
        <v>39311</v>
      </c>
      <c r="C4796" s="9">
        <f>IFERROR(__xludf.DUMMYFUNCTION("""COMPUTED_VALUE"""),4.68)</f>
        <v>4.68</v>
      </c>
      <c r="H4796" s="17"/>
      <c r="K4796" s="17"/>
      <c r="N4796" s="17"/>
    </row>
    <row r="4797">
      <c r="B4797" s="11">
        <f>IFERROR(__xludf.DUMMYFUNCTION("""COMPUTED_VALUE"""),39310.0)</f>
        <v>39310</v>
      </c>
      <c r="C4797" s="9">
        <f>IFERROR(__xludf.DUMMYFUNCTION("""COMPUTED_VALUE"""),4.6)</f>
        <v>4.6</v>
      </c>
      <c r="H4797" s="17"/>
      <c r="K4797" s="17"/>
      <c r="N4797" s="17"/>
    </row>
    <row r="4798">
      <c r="B4798" s="11">
        <f>IFERROR(__xludf.DUMMYFUNCTION("""COMPUTED_VALUE"""),39309.0)</f>
        <v>39309</v>
      </c>
      <c r="C4798" s="9">
        <f>IFERROR(__xludf.DUMMYFUNCTION("""COMPUTED_VALUE"""),4.69)</f>
        <v>4.69</v>
      </c>
      <c r="H4798" s="17"/>
      <c r="K4798" s="17"/>
      <c r="N4798" s="17"/>
    </row>
    <row r="4799">
      <c r="B4799" s="11">
        <f>IFERROR(__xludf.DUMMYFUNCTION("""COMPUTED_VALUE"""),39308.0)</f>
        <v>39308</v>
      </c>
      <c r="C4799" s="9">
        <f>IFERROR(__xludf.DUMMYFUNCTION("""COMPUTED_VALUE"""),4.73)</f>
        <v>4.73</v>
      </c>
      <c r="H4799" s="17"/>
      <c r="K4799" s="17"/>
      <c r="N4799" s="17"/>
    </row>
    <row r="4800">
      <c r="B4800" s="11">
        <f>IFERROR(__xludf.DUMMYFUNCTION("""COMPUTED_VALUE"""),39307.0)</f>
        <v>39307</v>
      </c>
      <c r="C4800" s="9">
        <f>IFERROR(__xludf.DUMMYFUNCTION("""COMPUTED_VALUE"""),4.78)</f>
        <v>4.78</v>
      </c>
      <c r="H4800" s="17"/>
      <c r="K4800" s="17"/>
      <c r="N4800" s="17"/>
    </row>
    <row r="4801">
      <c r="B4801" s="11">
        <f>IFERROR(__xludf.DUMMYFUNCTION("""COMPUTED_VALUE"""),39304.0)</f>
        <v>39304</v>
      </c>
      <c r="C4801" s="9">
        <f>IFERROR(__xludf.DUMMYFUNCTION("""COMPUTED_VALUE"""),4.81)</f>
        <v>4.81</v>
      </c>
      <c r="H4801" s="17"/>
      <c r="K4801" s="17"/>
      <c r="N4801" s="17"/>
    </row>
    <row r="4802">
      <c r="B4802" s="11">
        <f>IFERROR(__xludf.DUMMYFUNCTION("""COMPUTED_VALUE"""),39303.0)</f>
        <v>39303</v>
      </c>
      <c r="C4802" s="9">
        <f>IFERROR(__xludf.DUMMYFUNCTION("""COMPUTED_VALUE"""),4.79)</f>
        <v>4.79</v>
      </c>
      <c r="H4802" s="17"/>
      <c r="K4802" s="17"/>
      <c r="N4802" s="17"/>
    </row>
    <row r="4803">
      <c r="B4803" s="11">
        <f>IFERROR(__xludf.DUMMYFUNCTION("""COMPUTED_VALUE"""),39302.0)</f>
        <v>39302</v>
      </c>
      <c r="C4803" s="9">
        <f>IFERROR(__xludf.DUMMYFUNCTION("""COMPUTED_VALUE"""),4.84)</f>
        <v>4.84</v>
      </c>
      <c r="H4803" s="17"/>
      <c r="K4803" s="17"/>
      <c r="N4803" s="17"/>
    </row>
    <row r="4804">
      <c r="B4804" s="11">
        <f>IFERROR(__xludf.DUMMYFUNCTION("""COMPUTED_VALUE"""),39301.0)</f>
        <v>39301</v>
      </c>
      <c r="C4804" s="9">
        <f>IFERROR(__xludf.DUMMYFUNCTION("""COMPUTED_VALUE"""),4.77)</f>
        <v>4.77</v>
      </c>
      <c r="H4804" s="17"/>
      <c r="K4804" s="17"/>
      <c r="N4804" s="17"/>
    </row>
    <row r="4805">
      <c r="B4805" s="11">
        <f>IFERROR(__xludf.DUMMYFUNCTION("""COMPUTED_VALUE"""),39300.0)</f>
        <v>39300</v>
      </c>
      <c r="C4805" s="9">
        <f>IFERROR(__xludf.DUMMYFUNCTION("""COMPUTED_VALUE"""),4.72)</f>
        <v>4.72</v>
      </c>
      <c r="H4805" s="17"/>
      <c r="K4805" s="17"/>
      <c r="N4805" s="17"/>
    </row>
    <row r="4806">
      <c r="B4806" s="11">
        <f>IFERROR(__xludf.DUMMYFUNCTION("""COMPUTED_VALUE"""),39297.0)</f>
        <v>39297</v>
      </c>
      <c r="C4806" s="9">
        <f>IFERROR(__xludf.DUMMYFUNCTION("""COMPUTED_VALUE"""),4.71)</f>
        <v>4.71</v>
      </c>
      <c r="H4806" s="17"/>
      <c r="K4806" s="17"/>
      <c r="N4806" s="17"/>
    </row>
    <row r="4807">
      <c r="B4807" s="11">
        <f>IFERROR(__xludf.DUMMYFUNCTION("""COMPUTED_VALUE"""),39296.0)</f>
        <v>39296</v>
      </c>
      <c r="C4807" s="9">
        <f>IFERROR(__xludf.DUMMYFUNCTION("""COMPUTED_VALUE"""),4.77)</f>
        <v>4.77</v>
      </c>
      <c r="H4807" s="17"/>
      <c r="K4807" s="17"/>
      <c r="N4807" s="17"/>
    </row>
    <row r="4808">
      <c r="B4808" s="11">
        <f>IFERROR(__xludf.DUMMYFUNCTION("""COMPUTED_VALUE"""),39295.0)</f>
        <v>39295</v>
      </c>
      <c r="C4808" s="9">
        <f>IFERROR(__xludf.DUMMYFUNCTION("""COMPUTED_VALUE"""),4.76)</f>
        <v>4.76</v>
      </c>
      <c r="H4808" s="17"/>
      <c r="K4808" s="17"/>
      <c r="N4808" s="17"/>
    </row>
    <row r="4809">
      <c r="B4809" s="11">
        <f>IFERROR(__xludf.DUMMYFUNCTION("""COMPUTED_VALUE"""),39294.0)</f>
        <v>39294</v>
      </c>
      <c r="C4809" s="9">
        <f>IFERROR(__xludf.DUMMYFUNCTION("""COMPUTED_VALUE"""),4.78)</f>
        <v>4.78</v>
      </c>
      <c r="H4809" s="17"/>
      <c r="K4809" s="17"/>
      <c r="N4809" s="17"/>
    </row>
    <row r="4810">
      <c r="B4810" s="11">
        <f>IFERROR(__xludf.DUMMYFUNCTION("""COMPUTED_VALUE"""),39293.0)</f>
        <v>39293</v>
      </c>
      <c r="C4810" s="9">
        <f>IFERROR(__xludf.DUMMYFUNCTION("""COMPUTED_VALUE"""),4.82)</f>
        <v>4.82</v>
      </c>
      <c r="H4810" s="17"/>
      <c r="K4810" s="17"/>
      <c r="N4810" s="17"/>
    </row>
    <row r="4811">
      <c r="B4811" s="11">
        <f>IFERROR(__xludf.DUMMYFUNCTION("""COMPUTED_VALUE"""),39290.0)</f>
        <v>39290</v>
      </c>
      <c r="C4811" s="9">
        <f>IFERROR(__xludf.DUMMYFUNCTION("""COMPUTED_VALUE"""),4.8)</f>
        <v>4.8</v>
      </c>
      <c r="H4811" s="17"/>
      <c r="K4811" s="17"/>
      <c r="N4811" s="17"/>
    </row>
    <row r="4812">
      <c r="B4812" s="11">
        <f>IFERROR(__xludf.DUMMYFUNCTION("""COMPUTED_VALUE"""),39289.0)</f>
        <v>39289</v>
      </c>
      <c r="C4812" s="9">
        <f>IFERROR(__xludf.DUMMYFUNCTION("""COMPUTED_VALUE"""),4.79)</f>
        <v>4.79</v>
      </c>
      <c r="H4812" s="17"/>
      <c r="K4812" s="17"/>
      <c r="N4812" s="17"/>
    </row>
    <row r="4813">
      <c r="B4813" s="11">
        <f>IFERROR(__xludf.DUMMYFUNCTION("""COMPUTED_VALUE"""),39288.0)</f>
        <v>39288</v>
      </c>
      <c r="C4813" s="9">
        <f>IFERROR(__xludf.DUMMYFUNCTION("""COMPUTED_VALUE"""),4.92)</f>
        <v>4.92</v>
      </c>
      <c r="H4813" s="17"/>
      <c r="K4813" s="17"/>
      <c r="N4813" s="17"/>
    </row>
    <row r="4814">
      <c r="B4814" s="11">
        <f>IFERROR(__xludf.DUMMYFUNCTION("""COMPUTED_VALUE"""),39287.0)</f>
        <v>39287</v>
      </c>
      <c r="C4814" s="9">
        <f>IFERROR(__xludf.DUMMYFUNCTION("""COMPUTED_VALUE"""),4.94)</f>
        <v>4.94</v>
      </c>
      <c r="H4814" s="17"/>
      <c r="K4814" s="17"/>
      <c r="N4814" s="17"/>
    </row>
    <row r="4815">
      <c r="B4815" s="11">
        <f>IFERROR(__xludf.DUMMYFUNCTION("""COMPUTED_VALUE"""),39286.0)</f>
        <v>39286</v>
      </c>
      <c r="C4815" s="9">
        <f>IFERROR(__xludf.DUMMYFUNCTION("""COMPUTED_VALUE"""),4.97)</f>
        <v>4.97</v>
      </c>
      <c r="H4815" s="17"/>
      <c r="K4815" s="17"/>
      <c r="N4815" s="17"/>
    </row>
    <row r="4816">
      <c r="B4816" s="11">
        <f>IFERROR(__xludf.DUMMYFUNCTION("""COMPUTED_VALUE"""),39283.0)</f>
        <v>39283</v>
      </c>
      <c r="C4816" s="9">
        <f>IFERROR(__xludf.DUMMYFUNCTION("""COMPUTED_VALUE"""),4.96)</f>
        <v>4.96</v>
      </c>
      <c r="H4816" s="17"/>
      <c r="K4816" s="17"/>
      <c r="N4816" s="17"/>
    </row>
    <row r="4817">
      <c r="B4817" s="11">
        <f>IFERROR(__xludf.DUMMYFUNCTION("""COMPUTED_VALUE"""),39282.0)</f>
        <v>39282</v>
      </c>
      <c r="C4817" s="9">
        <f>IFERROR(__xludf.DUMMYFUNCTION("""COMPUTED_VALUE"""),5.04)</f>
        <v>5.04</v>
      </c>
      <c r="H4817" s="17"/>
      <c r="K4817" s="17"/>
      <c r="N4817" s="17"/>
    </row>
    <row r="4818">
      <c r="B4818" s="11">
        <f>IFERROR(__xludf.DUMMYFUNCTION("""COMPUTED_VALUE"""),39281.0)</f>
        <v>39281</v>
      </c>
      <c r="C4818" s="9">
        <f>IFERROR(__xludf.DUMMYFUNCTION("""COMPUTED_VALUE"""),5.02)</f>
        <v>5.02</v>
      </c>
      <c r="H4818" s="17"/>
      <c r="K4818" s="17"/>
      <c r="N4818" s="17"/>
    </row>
    <row r="4819">
      <c r="B4819" s="11">
        <f>IFERROR(__xludf.DUMMYFUNCTION("""COMPUTED_VALUE"""),39280.0)</f>
        <v>39280</v>
      </c>
      <c r="C4819" s="9">
        <f>IFERROR(__xludf.DUMMYFUNCTION("""COMPUTED_VALUE"""),5.08)</f>
        <v>5.08</v>
      </c>
      <c r="H4819" s="17"/>
      <c r="K4819" s="17"/>
      <c r="N4819" s="17"/>
    </row>
    <row r="4820">
      <c r="B4820" s="11">
        <f>IFERROR(__xludf.DUMMYFUNCTION("""COMPUTED_VALUE"""),39279.0)</f>
        <v>39279</v>
      </c>
      <c r="C4820" s="9">
        <f>IFERROR(__xludf.DUMMYFUNCTION("""COMPUTED_VALUE"""),5.05)</f>
        <v>5.05</v>
      </c>
      <c r="H4820" s="17"/>
      <c r="K4820" s="17"/>
      <c r="N4820" s="17"/>
    </row>
    <row r="4821">
      <c r="B4821" s="11">
        <f>IFERROR(__xludf.DUMMYFUNCTION("""COMPUTED_VALUE"""),39276.0)</f>
        <v>39276</v>
      </c>
      <c r="C4821" s="9">
        <f>IFERROR(__xludf.DUMMYFUNCTION("""COMPUTED_VALUE"""),5.11)</f>
        <v>5.11</v>
      </c>
      <c r="H4821" s="17"/>
      <c r="K4821" s="17"/>
      <c r="N4821" s="17"/>
    </row>
    <row r="4822">
      <c r="B4822" s="11">
        <f>IFERROR(__xludf.DUMMYFUNCTION("""COMPUTED_VALUE"""),39275.0)</f>
        <v>39275</v>
      </c>
      <c r="C4822" s="9">
        <f>IFERROR(__xludf.DUMMYFUNCTION("""COMPUTED_VALUE"""),5.13)</f>
        <v>5.13</v>
      </c>
      <c r="H4822" s="17"/>
      <c r="K4822" s="17"/>
      <c r="N4822" s="17"/>
    </row>
    <row r="4823">
      <c r="B4823" s="11">
        <f>IFERROR(__xludf.DUMMYFUNCTION("""COMPUTED_VALUE"""),39274.0)</f>
        <v>39274</v>
      </c>
      <c r="C4823" s="9">
        <f>IFERROR(__xludf.DUMMYFUNCTION("""COMPUTED_VALUE"""),5.09)</f>
        <v>5.09</v>
      </c>
      <c r="H4823" s="17"/>
      <c r="K4823" s="17"/>
      <c r="N4823" s="17"/>
    </row>
    <row r="4824">
      <c r="B4824" s="11">
        <f>IFERROR(__xludf.DUMMYFUNCTION("""COMPUTED_VALUE"""),39273.0)</f>
        <v>39273</v>
      </c>
      <c r="C4824" s="9">
        <f>IFERROR(__xludf.DUMMYFUNCTION("""COMPUTED_VALUE"""),5.03)</f>
        <v>5.03</v>
      </c>
      <c r="H4824" s="17"/>
      <c r="K4824" s="17"/>
      <c r="N4824" s="17"/>
    </row>
    <row r="4825">
      <c r="B4825" s="11">
        <f>IFERROR(__xludf.DUMMYFUNCTION("""COMPUTED_VALUE"""),39272.0)</f>
        <v>39272</v>
      </c>
      <c r="C4825" s="9">
        <f>IFERROR(__xludf.DUMMYFUNCTION("""COMPUTED_VALUE"""),5.16)</f>
        <v>5.16</v>
      </c>
      <c r="H4825" s="17"/>
      <c r="K4825" s="17"/>
      <c r="N4825" s="17"/>
    </row>
    <row r="4826">
      <c r="B4826" s="11">
        <f>IFERROR(__xludf.DUMMYFUNCTION("""COMPUTED_VALUE"""),39269.0)</f>
        <v>39269</v>
      </c>
      <c r="C4826" s="9">
        <f>IFERROR(__xludf.DUMMYFUNCTION("""COMPUTED_VALUE"""),5.19)</f>
        <v>5.19</v>
      </c>
      <c r="H4826" s="17"/>
      <c r="K4826" s="17"/>
      <c r="N4826" s="17"/>
    </row>
    <row r="4827">
      <c r="B4827" s="11">
        <f>IFERROR(__xludf.DUMMYFUNCTION("""COMPUTED_VALUE"""),39268.0)</f>
        <v>39268</v>
      </c>
      <c r="C4827" s="9">
        <f>IFERROR(__xludf.DUMMYFUNCTION("""COMPUTED_VALUE"""),5.16)</f>
        <v>5.16</v>
      </c>
      <c r="H4827" s="17"/>
      <c r="K4827" s="17"/>
      <c r="N4827" s="17"/>
    </row>
    <row r="4828">
      <c r="B4828" s="11">
        <f>IFERROR(__xludf.DUMMYFUNCTION("""COMPUTED_VALUE"""),39267.0)</f>
        <v>39267</v>
      </c>
      <c r="C4828" s="9"/>
      <c r="H4828" s="17"/>
      <c r="K4828" s="17"/>
      <c r="N4828" s="17"/>
    </row>
    <row r="4829">
      <c r="B4829" s="11">
        <f>IFERROR(__xludf.DUMMYFUNCTION("""COMPUTED_VALUE"""),39266.0)</f>
        <v>39266</v>
      </c>
      <c r="C4829" s="9">
        <f>IFERROR(__xludf.DUMMYFUNCTION("""COMPUTED_VALUE"""),5.05)</f>
        <v>5.05</v>
      </c>
      <c r="H4829" s="17"/>
      <c r="K4829" s="17"/>
      <c r="N4829" s="17"/>
    </row>
    <row r="4830">
      <c r="B4830" s="11">
        <f>IFERROR(__xludf.DUMMYFUNCTION("""COMPUTED_VALUE"""),39265.0)</f>
        <v>39265</v>
      </c>
      <c r="C4830" s="9">
        <f>IFERROR(__xludf.DUMMYFUNCTION("""COMPUTED_VALUE"""),5.0)</f>
        <v>5</v>
      </c>
      <c r="H4830" s="17"/>
      <c r="K4830" s="17"/>
      <c r="N4830" s="17"/>
    </row>
    <row r="4831">
      <c r="B4831" s="11">
        <f>IFERROR(__xludf.DUMMYFUNCTION("""COMPUTED_VALUE"""),39262.0)</f>
        <v>39262</v>
      </c>
      <c r="C4831" s="9">
        <f>IFERROR(__xludf.DUMMYFUNCTION("""COMPUTED_VALUE"""),5.03)</f>
        <v>5.03</v>
      </c>
      <c r="H4831" s="17"/>
      <c r="K4831" s="17"/>
      <c r="N4831" s="17"/>
    </row>
    <row r="4832">
      <c r="B4832" s="11">
        <f>IFERROR(__xludf.DUMMYFUNCTION("""COMPUTED_VALUE"""),39261.0)</f>
        <v>39261</v>
      </c>
      <c r="C4832" s="9">
        <f>IFERROR(__xludf.DUMMYFUNCTION("""COMPUTED_VALUE"""),5.12)</f>
        <v>5.12</v>
      </c>
      <c r="H4832" s="17"/>
      <c r="K4832" s="17"/>
      <c r="N4832" s="17"/>
    </row>
    <row r="4833">
      <c r="B4833" s="11">
        <f>IFERROR(__xludf.DUMMYFUNCTION("""COMPUTED_VALUE"""),39260.0)</f>
        <v>39260</v>
      </c>
      <c r="C4833" s="9">
        <f>IFERROR(__xludf.DUMMYFUNCTION("""COMPUTED_VALUE"""),5.09)</f>
        <v>5.09</v>
      </c>
      <c r="H4833" s="17"/>
      <c r="K4833" s="17"/>
      <c r="N4833" s="17"/>
    </row>
    <row r="4834">
      <c r="B4834" s="11">
        <f>IFERROR(__xludf.DUMMYFUNCTION("""COMPUTED_VALUE"""),39259.0)</f>
        <v>39259</v>
      </c>
      <c r="C4834" s="9">
        <f>IFERROR(__xludf.DUMMYFUNCTION("""COMPUTED_VALUE"""),5.1)</f>
        <v>5.1</v>
      </c>
      <c r="H4834" s="17"/>
      <c r="K4834" s="17"/>
      <c r="N4834" s="17"/>
    </row>
    <row r="4835">
      <c r="B4835" s="11">
        <f>IFERROR(__xludf.DUMMYFUNCTION("""COMPUTED_VALUE"""),39258.0)</f>
        <v>39258</v>
      </c>
      <c r="C4835" s="9">
        <f>IFERROR(__xludf.DUMMYFUNCTION("""COMPUTED_VALUE"""),5.09)</f>
        <v>5.09</v>
      </c>
      <c r="H4835" s="17"/>
      <c r="K4835" s="17"/>
      <c r="N4835" s="17"/>
    </row>
    <row r="4836">
      <c r="B4836" s="11">
        <f>IFERROR(__xludf.DUMMYFUNCTION("""COMPUTED_VALUE"""),39255.0)</f>
        <v>39255</v>
      </c>
      <c r="C4836" s="9">
        <f>IFERROR(__xludf.DUMMYFUNCTION("""COMPUTED_VALUE"""),5.14)</f>
        <v>5.14</v>
      </c>
      <c r="H4836" s="17"/>
      <c r="K4836" s="17"/>
      <c r="N4836" s="17"/>
    </row>
    <row r="4837">
      <c r="B4837" s="11">
        <f>IFERROR(__xludf.DUMMYFUNCTION("""COMPUTED_VALUE"""),39254.0)</f>
        <v>39254</v>
      </c>
      <c r="C4837" s="9">
        <f>IFERROR(__xludf.DUMMYFUNCTION("""COMPUTED_VALUE"""),5.16)</f>
        <v>5.16</v>
      </c>
      <c r="H4837" s="17"/>
      <c r="K4837" s="17"/>
      <c r="N4837" s="17"/>
    </row>
    <row r="4838">
      <c r="B4838" s="11">
        <f>IFERROR(__xludf.DUMMYFUNCTION("""COMPUTED_VALUE"""),39253.0)</f>
        <v>39253</v>
      </c>
      <c r="C4838" s="9">
        <f>IFERROR(__xludf.DUMMYFUNCTION("""COMPUTED_VALUE"""),5.14)</f>
        <v>5.14</v>
      </c>
      <c r="H4838" s="17"/>
      <c r="K4838" s="17"/>
      <c r="N4838" s="17"/>
    </row>
    <row r="4839">
      <c r="B4839" s="11">
        <f>IFERROR(__xludf.DUMMYFUNCTION("""COMPUTED_VALUE"""),39252.0)</f>
        <v>39252</v>
      </c>
      <c r="C4839" s="9">
        <f>IFERROR(__xludf.DUMMYFUNCTION("""COMPUTED_VALUE"""),5.09)</f>
        <v>5.09</v>
      </c>
      <c r="H4839" s="17"/>
      <c r="K4839" s="17"/>
      <c r="N4839" s="17"/>
    </row>
    <row r="4840">
      <c r="B4840" s="11">
        <f>IFERROR(__xludf.DUMMYFUNCTION("""COMPUTED_VALUE"""),39251.0)</f>
        <v>39251</v>
      </c>
      <c r="C4840" s="9">
        <f>IFERROR(__xludf.DUMMYFUNCTION("""COMPUTED_VALUE"""),5.15)</f>
        <v>5.15</v>
      </c>
      <c r="H4840" s="17"/>
      <c r="K4840" s="17"/>
      <c r="N4840" s="17"/>
    </row>
    <row r="4841">
      <c r="B4841" s="11">
        <f>IFERROR(__xludf.DUMMYFUNCTION("""COMPUTED_VALUE"""),39248.0)</f>
        <v>39248</v>
      </c>
      <c r="C4841" s="9">
        <f>IFERROR(__xludf.DUMMYFUNCTION("""COMPUTED_VALUE"""),5.16)</f>
        <v>5.16</v>
      </c>
      <c r="H4841" s="17"/>
      <c r="K4841" s="17"/>
      <c r="N4841" s="17"/>
    </row>
    <row r="4842">
      <c r="B4842" s="11">
        <f>IFERROR(__xludf.DUMMYFUNCTION("""COMPUTED_VALUE"""),39247.0)</f>
        <v>39247</v>
      </c>
      <c r="C4842" s="9">
        <f>IFERROR(__xludf.DUMMYFUNCTION("""COMPUTED_VALUE"""),5.23)</f>
        <v>5.23</v>
      </c>
      <c r="H4842" s="17"/>
      <c r="K4842" s="17"/>
      <c r="N4842" s="17"/>
    </row>
    <row r="4843">
      <c r="B4843" s="11">
        <f>IFERROR(__xludf.DUMMYFUNCTION("""COMPUTED_VALUE"""),39246.0)</f>
        <v>39246</v>
      </c>
      <c r="C4843" s="9">
        <f>IFERROR(__xludf.DUMMYFUNCTION("""COMPUTED_VALUE"""),5.2)</f>
        <v>5.2</v>
      </c>
      <c r="H4843" s="17"/>
      <c r="K4843" s="17"/>
      <c r="N4843" s="17"/>
    </row>
    <row r="4844">
      <c r="B4844" s="11">
        <f>IFERROR(__xludf.DUMMYFUNCTION("""COMPUTED_VALUE"""),39245.0)</f>
        <v>39245</v>
      </c>
      <c r="C4844" s="9">
        <f>IFERROR(__xludf.DUMMYFUNCTION("""COMPUTED_VALUE"""),5.26)</f>
        <v>5.26</v>
      </c>
      <c r="H4844" s="17"/>
      <c r="K4844" s="17"/>
      <c r="N4844" s="17"/>
    </row>
    <row r="4845">
      <c r="B4845" s="11">
        <f>IFERROR(__xludf.DUMMYFUNCTION("""COMPUTED_VALUE"""),39244.0)</f>
        <v>39244</v>
      </c>
      <c r="C4845" s="9">
        <f>IFERROR(__xludf.DUMMYFUNCTION("""COMPUTED_VALUE"""),5.14)</f>
        <v>5.14</v>
      </c>
      <c r="H4845" s="17"/>
      <c r="K4845" s="17"/>
      <c r="N4845" s="17"/>
    </row>
    <row r="4846">
      <c r="B4846" s="11">
        <f>IFERROR(__xludf.DUMMYFUNCTION("""COMPUTED_VALUE"""),39241.0)</f>
        <v>39241</v>
      </c>
      <c r="C4846" s="9">
        <f>IFERROR(__xludf.DUMMYFUNCTION("""COMPUTED_VALUE"""),5.12)</f>
        <v>5.12</v>
      </c>
      <c r="H4846" s="17"/>
      <c r="K4846" s="17"/>
      <c r="N4846" s="17"/>
    </row>
    <row r="4847">
      <c r="B4847" s="11">
        <f>IFERROR(__xludf.DUMMYFUNCTION("""COMPUTED_VALUE"""),39240.0)</f>
        <v>39240</v>
      </c>
      <c r="C4847" s="9">
        <f>IFERROR(__xludf.DUMMYFUNCTION("""COMPUTED_VALUE"""),5.11)</f>
        <v>5.11</v>
      </c>
      <c r="H4847" s="17"/>
      <c r="K4847" s="17"/>
      <c r="N4847" s="17"/>
    </row>
    <row r="4848">
      <c r="B4848" s="11">
        <f>IFERROR(__xludf.DUMMYFUNCTION("""COMPUTED_VALUE"""),39239.0)</f>
        <v>39239</v>
      </c>
      <c r="C4848" s="9">
        <f>IFERROR(__xludf.DUMMYFUNCTION("""COMPUTED_VALUE"""),4.97)</f>
        <v>4.97</v>
      </c>
      <c r="H4848" s="17"/>
      <c r="K4848" s="17"/>
      <c r="N4848" s="17"/>
    </row>
    <row r="4849">
      <c r="B4849" s="11">
        <f>IFERROR(__xludf.DUMMYFUNCTION("""COMPUTED_VALUE"""),39238.0)</f>
        <v>39238</v>
      </c>
      <c r="C4849" s="9">
        <f>IFERROR(__xludf.DUMMYFUNCTION("""COMPUTED_VALUE"""),4.98)</f>
        <v>4.98</v>
      </c>
      <c r="H4849" s="17"/>
      <c r="K4849" s="17"/>
      <c r="N4849" s="17"/>
    </row>
    <row r="4850">
      <c r="B4850" s="11">
        <f>IFERROR(__xludf.DUMMYFUNCTION("""COMPUTED_VALUE"""),39237.0)</f>
        <v>39237</v>
      </c>
      <c r="C4850" s="9">
        <f>IFERROR(__xludf.DUMMYFUNCTION("""COMPUTED_VALUE"""),4.93)</f>
        <v>4.93</v>
      </c>
      <c r="H4850" s="17"/>
      <c r="K4850" s="17"/>
      <c r="N4850" s="17"/>
    </row>
    <row r="4851">
      <c r="B4851" s="11">
        <f>IFERROR(__xludf.DUMMYFUNCTION("""COMPUTED_VALUE"""),39234.0)</f>
        <v>39234</v>
      </c>
      <c r="C4851" s="9">
        <f>IFERROR(__xludf.DUMMYFUNCTION("""COMPUTED_VALUE"""),4.95)</f>
        <v>4.95</v>
      </c>
      <c r="H4851" s="17"/>
      <c r="K4851" s="17"/>
      <c r="N4851" s="17"/>
    </row>
    <row r="4852">
      <c r="B4852" s="11">
        <f>IFERROR(__xludf.DUMMYFUNCTION("""COMPUTED_VALUE"""),39233.0)</f>
        <v>39233</v>
      </c>
      <c r="C4852" s="9">
        <f>IFERROR(__xludf.DUMMYFUNCTION("""COMPUTED_VALUE"""),4.9)</f>
        <v>4.9</v>
      </c>
      <c r="H4852" s="17"/>
      <c r="K4852" s="17"/>
      <c r="N4852" s="17"/>
    </row>
    <row r="4853">
      <c r="B4853" s="11">
        <f>IFERROR(__xludf.DUMMYFUNCTION("""COMPUTED_VALUE"""),39232.0)</f>
        <v>39232</v>
      </c>
      <c r="C4853" s="9">
        <f>IFERROR(__xludf.DUMMYFUNCTION("""COMPUTED_VALUE"""),4.88)</f>
        <v>4.88</v>
      </c>
      <c r="H4853" s="17"/>
      <c r="K4853" s="17"/>
      <c r="N4853" s="17"/>
    </row>
    <row r="4854">
      <c r="B4854" s="11">
        <f>IFERROR(__xludf.DUMMYFUNCTION("""COMPUTED_VALUE"""),39231.0)</f>
        <v>39231</v>
      </c>
      <c r="C4854" s="9">
        <f>IFERROR(__xludf.DUMMYFUNCTION("""COMPUTED_VALUE"""),4.88)</f>
        <v>4.88</v>
      </c>
      <c r="H4854" s="17"/>
      <c r="K4854" s="17"/>
      <c r="N4854" s="17"/>
    </row>
    <row r="4855">
      <c r="B4855" s="11">
        <f>IFERROR(__xludf.DUMMYFUNCTION("""COMPUTED_VALUE"""),39230.0)</f>
        <v>39230</v>
      </c>
      <c r="C4855" s="9"/>
      <c r="H4855" s="17"/>
      <c r="K4855" s="17"/>
      <c r="N4855" s="17"/>
    </row>
    <row r="4856">
      <c r="B4856" s="11">
        <f>IFERROR(__xludf.DUMMYFUNCTION("""COMPUTED_VALUE"""),39227.0)</f>
        <v>39227</v>
      </c>
      <c r="C4856" s="9">
        <f>IFERROR(__xludf.DUMMYFUNCTION("""COMPUTED_VALUE"""),4.86)</f>
        <v>4.86</v>
      </c>
      <c r="H4856" s="17"/>
      <c r="K4856" s="17"/>
      <c r="N4856" s="17"/>
    </row>
    <row r="4857">
      <c r="B4857" s="11">
        <f>IFERROR(__xludf.DUMMYFUNCTION("""COMPUTED_VALUE"""),39226.0)</f>
        <v>39226</v>
      </c>
      <c r="C4857" s="9">
        <f>IFERROR(__xludf.DUMMYFUNCTION("""COMPUTED_VALUE"""),4.86)</f>
        <v>4.86</v>
      </c>
      <c r="H4857" s="17"/>
      <c r="K4857" s="17"/>
      <c r="N4857" s="17"/>
    </row>
    <row r="4858">
      <c r="B4858" s="11">
        <f>IFERROR(__xludf.DUMMYFUNCTION("""COMPUTED_VALUE"""),39225.0)</f>
        <v>39225</v>
      </c>
      <c r="C4858" s="9">
        <f>IFERROR(__xludf.DUMMYFUNCTION("""COMPUTED_VALUE"""),4.86)</f>
        <v>4.86</v>
      </c>
      <c r="H4858" s="17"/>
      <c r="K4858" s="17"/>
      <c r="N4858" s="17"/>
    </row>
    <row r="4859">
      <c r="B4859" s="11">
        <f>IFERROR(__xludf.DUMMYFUNCTION("""COMPUTED_VALUE"""),39224.0)</f>
        <v>39224</v>
      </c>
      <c r="C4859" s="9">
        <f>IFERROR(__xludf.DUMMYFUNCTION("""COMPUTED_VALUE"""),4.83)</f>
        <v>4.83</v>
      </c>
      <c r="H4859" s="17"/>
      <c r="K4859" s="17"/>
      <c r="N4859" s="17"/>
    </row>
    <row r="4860">
      <c r="B4860" s="11">
        <f>IFERROR(__xludf.DUMMYFUNCTION("""COMPUTED_VALUE"""),39223.0)</f>
        <v>39223</v>
      </c>
      <c r="C4860" s="9">
        <f>IFERROR(__xludf.DUMMYFUNCTION("""COMPUTED_VALUE"""),4.79)</f>
        <v>4.79</v>
      </c>
      <c r="H4860" s="17"/>
      <c r="K4860" s="17"/>
      <c r="N4860" s="17"/>
    </row>
    <row r="4861">
      <c r="B4861" s="11">
        <f>IFERROR(__xludf.DUMMYFUNCTION("""COMPUTED_VALUE"""),39220.0)</f>
        <v>39220</v>
      </c>
      <c r="C4861" s="9">
        <f>IFERROR(__xludf.DUMMYFUNCTION("""COMPUTED_VALUE"""),4.81)</f>
        <v>4.81</v>
      </c>
      <c r="H4861" s="17"/>
      <c r="K4861" s="17"/>
      <c r="N4861" s="17"/>
    </row>
    <row r="4862">
      <c r="B4862" s="11">
        <f>IFERROR(__xludf.DUMMYFUNCTION("""COMPUTED_VALUE"""),39219.0)</f>
        <v>39219</v>
      </c>
      <c r="C4862" s="9">
        <f>IFERROR(__xludf.DUMMYFUNCTION("""COMPUTED_VALUE"""),4.76)</f>
        <v>4.76</v>
      </c>
      <c r="H4862" s="17"/>
      <c r="K4862" s="17"/>
      <c r="N4862" s="17"/>
    </row>
    <row r="4863">
      <c r="B4863" s="11">
        <f>IFERROR(__xludf.DUMMYFUNCTION("""COMPUTED_VALUE"""),39218.0)</f>
        <v>39218</v>
      </c>
      <c r="C4863" s="9">
        <f>IFERROR(__xludf.DUMMYFUNCTION("""COMPUTED_VALUE"""),4.71)</f>
        <v>4.71</v>
      </c>
      <c r="H4863" s="17"/>
      <c r="K4863" s="17"/>
      <c r="N4863" s="17"/>
    </row>
    <row r="4864">
      <c r="B4864" s="11">
        <f>IFERROR(__xludf.DUMMYFUNCTION("""COMPUTED_VALUE"""),39217.0)</f>
        <v>39217</v>
      </c>
      <c r="C4864" s="9">
        <f>IFERROR(__xludf.DUMMYFUNCTION("""COMPUTED_VALUE"""),4.71)</f>
        <v>4.71</v>
      </c>
      <c r="H4864" s="17"/>
      <c r="K4864" s="17"/>
      <c r="N4864" s="17"/>
    </row>
    <row r="4865">
      <c r="B4865" s="11">
        <f>IFERROR(__xludf.DUMMYFUNCTION("""COMPUTED_VALUE"""),39216.0)</f>
        <v>39216</v>
      </c>
      <c r="C4865" s="9">
        <f>IFERROR(__xludf.DUMMYFUNCTION("""COMPUTED_VALUE"""),4.69)</f>
        <v>4.69</v>
      </c>
      <c r="H4865" s="17"/>
      <c r="K4865" s="17"/>
      <c r="N4865" s="17"/>
    </row>
    <row r="4866">
      <c r="B4866" s="11">
        <f>IFERROR(__xludf.DUMMYFUNCTION("""COMPUTED_VALUE"""),39213.0)</f>
        <v>39213</v>
      </c>
      <c r="C4866" s="9">
        <f>IFERROR(__xludf.DUMMYFUNCTION("""COMPUTED_VALUE"""),4.67)</f>
        <v>4.67</v>
      </c>
      <c r="H4866" s="17"/>
      <c r="K4866" s="17"/>
      <c r="N4866" s="17"/>
    </row>
    <row r="4867">
      <c r="B4867" s="11">
        <f>IFERROR(__xludf.DUMMYFUNCTION("""COMPUTED_VALUE"""),39212.0)</f>
        <v>39212</v>
      </c>
      <c r="C4867" s="9">
        <f>IFERROR(__xludf.DUMMYFUNCTION("""COMPUTED_VALUE"""),4.65)</f>
        <v>4.65</v>
      </c>
      <c r="H4867" s="17"/>
      <c r="K4867" s="17"/>
      <c r="N4867" s="17"/>
    </row>
    <row r="4868">
      <c r="B4868" s="11">
        <f>IFERROR(__xludf.DUMMYFUNCTION("""COMPUTED_VALUE"""),39211.0)</f>
        <v>39211</v>
      </c>
      <c r="C4868" s="9">
        <f>IFERROR(__xludf.DUMMYFUNCTION("""COMPUTED_VALUE"""),4.67)</f>
        <v>4.67</v>
      </c>
      <c r="H4868" s="17"/>
      <c r="K4868" s="17"/>
      <c r="N4868" s="17"/>
    </row>
    <row r="4869">
      <c r="B4869" s="11">
        <f>IFERROR(__xludf.DUMMYFUNCTION("""COMPUTED_VALUE"""),39210.0)</f>
        <v>39210</v>
      </c>
      <c r="C4869" s="9">
        <f>IFERROR(__xludf.DUMMYFUNCTION("""COMPUTED_VALUE"""),4.63)</f>
        <v>4.63</v>
      </c>
      <c r="H4869" s="17"/>
      <c r="K4869" s="17"/>
      <c r="N4869" s="17"/>
    </row>
    <row r="4870">
      <c r="B4870" s="11">
        <f>IFERROR(__xludf.DUMMYFUNCTION("""COMPUTED_VALUE"""),39209.0)</f>
        <v>39209</v>
      </c>
      <c r="C4870" s="9">
        <f>IFERROR(__xludf.DUMMYFUNCTION("""COMPUTED_VALUE"""),4.64)</f>
        <v>4.64</v>
      </c>
      <c r="H4870" s="17"/>
      <c r="K4870" s="17"/>
      <c r="N4870" s="17"/>
    </row>
    <row r="4871">
      <c r="B4871" s="11">
        <f>IFERROR(__xludf.DUMMYFUNCTION("""COMPUTED_VALUE"""),39206.0)</f>
        <v>39206</v>
      </c>
      <c r="C4871" s="9">
        <f>IFERROR(__xludf.DUMMYFUNCTION("""COMPUTED_VALUE"""),4.65)</f>
        <v>4.65</v>
      </c>
      <c r="H4871" s="17"/>
      <c r="K4871" s="17"/>
      <c r="N4871" s="17"/>
    </row>
    <row r="4872">
      <c r="B4872" s="11">
        <f>IFERROR(__xludf.DUMMYFUNCTION("""COMPUTED_VALUE"""),39205.0)</f>
        <v>39205</v>
      </c>
      <c r="C4872" s="9">
        <f>IFERROR(__xludf.DUMMYFUNCTION("""COMPUTED_VALUE"""),4.68)</f>
        <v>4.68</v>
      </c>
      <c r="H4872" s="17"/>
      <c r="K4872" s="17"/>
      <c r="N4872" s="17"/>
    </row>
    <row r="4873">
      <c r="B4873" s="11">
        <f>IFERROR(__xludf.DUMMYFUNCTION("""COMPUTED_VALUE"""),39204.0)</f>
        <v>39204</v>
      </c>
      <c r="C4873" s="9">
        <f>IFERROR(__xludf.DUMMYFUNCTION("""COMPUTED_VALUE"""),4.65)</f>
        <v>4.65</v>
      </c>
      <c r="H4873" s="17"/>
      <c r="K4873" s="17"/>
      <c r="N4873" s="17"/>
    </row>
    <row r="4874">
      <c r="B4874" s="11">
        <f>IFERROR(__xludf.DUMMYFUNCTION("""COMPUTED_VALUE"""),39203.0)</f>
        <v>39203</v>
      </c>
      <c r="C4874" s="9">
        <f>IFERROR(__xludf.DUMMYFUNCTION("""COMPUTED_VALUE"""),4.64)</f>
        <v>4.64</v>
      </c>
      <c r="H4874" s="17"/>
      <c r="K4874" s="17"/>
      <c r="N4874" s="17"/>
    </row>
    <row r="4875">
      <c r="B4875" s="11">
        <f>IFERROR(__xludf.DUMMYFUNCTION("""COMPUTED_VALUE"""),39202.0)</f>
        <v>39202</v>
      </c>
      <c r="C4875" s="9">
        <f>IFERROR(__xludf.DUMMYFUNCTION("""COMPUTED_VALUE"""),4.63)</f>
        <v>4.63</v>
      </c>
      <c r="H4875" s="17"/>
      <c r="K4875" s="17"/>
      <c r="N4875" s="17"/>
    </row>
    <row r="4876">
      <c r="B4876" s="11">
        <f>IFERROR(__xludf.DUMMYFUNCTION("""COMPUTED_VALUE"""),39199.0)</f>
        <v>39199</v>
      </c>
      <c r="C4876" s="9">
        <f>IFERROR(__xludf.DUMMYFUNCTION("""COMPUTED_VALUE"""),4.71)</f>
        <v>4.71</v>
      </c>
      <c r="H4876" s="17"/>
      <c r="K4876" s="17"/>
      <c r="N4876" s="17"/>
    </row>
    <row r="4877">
      <c r="B4877" s="11">
        <f>IFERROR(__xludf.DUMMYFUNCTION("""COMPUTED_VALUE"""),39198.0)</f>
        <v>39198</v>
      </c>
      <c r="C4877" s="9">
        <f>IFERROR(__xludf.DUMMYFUNCTION("""COMPUTED_VALUE"""),4.69)</f>
        <v>4.69</v>
      </c>
      <c r="H4877" s="17"/>
      <c r="K4877" s="17"/>
      <c r="N4877" s="17"/>
    </row>
    <row r="4878">
      <c r="B4878" s="11">
        <f>IFERROR(__xludf.DUMMYFUNCTION("""COMPUTED_VALUE"""),39197.0)</f>
        <v>39197</v>
      </c>
      <c r="C4878" s="9">
        <f>IFERROR(__xludf.DUMMYFUNCTION("""COMPUTED_VALUE"""),4.66)</f>
        <v>4.66</v>
      </c>
      <c r="H4878" s="17"/>
      <c r="K4878" s="17"/>
      <c r="N4878" s="17"/>
    </row>
    <row r="4879">
      <c r="B4879" s="11">
        <f>IFERROR(__xludf.DUMMYFUNCTION("""COMPUTED_VALUE"""),39196.0)</f>
        <v>39196</v>
      </c>
      <c r="C4879" s="9">
        <f>IFERROR(__xludf.DUMMYFUNCTION("""COMPUTED_VALUE"""),4.63)</f>
        <v>4.63</v>
      </c>
      <c r="H4879" s="17"/>
      <c r="K4879" s="17"/>
      <c r="N4879" s="17"/>
    </row>
    <row r="4880">
      <c r="B4880" s="11">
        <f>IFERROR(__xludf.DUMMYFUNCTION("""COMPUTED_VALUE"""),39195.0)</f>
        <v>39195</v>
      </c>
      <c r="C4880" s="9">
        <f>IFERROR(__xludf.DUMMYFUNCTION("""COMPUTED_VALUE"""),4.66)</f>
        <v>4.66</v>
      </c>
      <c r="H4880" s="17"/>
      <c r="K4880" s="17"/>
      <c r="N4880" s="17"/>
    </row>
    <row r="4881">
      <c r="B4881" s="11">
        <f>IFERROR(__xludf.DUMMYFUNCTION("""COMPUTED_VALUE"""),39192.0)</f>
        <v>39192</v>
      </c>
      <c r="C4881" s="9">
        <f>IFERROR(__xludf.DUMMYFUNCTION("""COMPUTED_VALUE"""),4.68)</f>
        <v>4.68</v>
      </c>
      <c r="H4881" s="17"/>
      <c r="K4881" s="17"/>
      <c r="N4881" s="17"/>
    </row>
    <row r="4882">
      <c r="B4882" s="11">
        <f>IFERROR(__xludf.DUMMYFUNCTION("""COMPUTED_VALUE"""),39191.0)</f>
        <v>39191</v>
      </c>
      <c r="C4882" s="9">
        <f>IFERROR(__xludf.DUMMYFUNCTION("""COMPUTED_VALUE"""),4.68)</f>
        <v>4.68</v>
      </c>
      <c r="H4882" s="17"/>
      <c r="K4882" s="17"/>
      <c r="N4882" s="17"/>
    </row>
    <row r="4883">
      <c r="B4883" s="11">
        <f>IFERROR(__xludf.DUMMYFUNCTION("""COMPUTED_VALUE"""),39190.0)</f>
        <v>39190</v>
      </c>
      <c r="C4883" s="9">
        <f>IFERROR(__xludf.DUMMYFUNCTION("""COMPUTED_VALUE"""),4.66)</f>
        <v>4.66</v>
      </c>
      <c r="H4883" s="17"/>
      <c r="K4883" s="17"/>
      <c r="N4883" s="17"/>
    </row>
    <row r="4884">
      <c r="B4884" s="11">
        <f>IFERROR(__xludf.DUMMYFUNCTION("""COMPUTED_VALUE"""),39189.0)</f>
        <v>39189</v>
      </c>
      <c r="C4884" s="9">
        <f>IFERROR(__xludf.DUMMYFUNCTION("""COMPUTED_VALUE"""),4.69)</f>
        <v>4.69</v>
      </c>
      <c r="H4884" s="17"/>
      <c r="K4884" s="17"/>
      <c r="N4884" s="17"/>
    </row>
    <row r="4885">
      <c r="B4885" s="11">
        <f>IFERROR(__xludf.DUMMYFUNCTION("""COMPUTED_VALUE"""),39188.0)</f>
        <v>39188</v>
      </c>
      <c r="C4885" s="9">
        <f>IFERROR(__xludf.DUMMYFUNCTION("""COMPUTED_VALUE"""),4.74)</f>
        <v>4.74</v>
      </c>
      <c r="H4885" s="17"/>
      <c r="K4885" s="17"/>
      <c r="N4885" s="17"/>
    </row>
    <row r="4886">
      <c r="B4886" s="11">
        <f>IFERROR(__xludf.DUMMYFUNCTION("""COMPUTED_VALUE"""),39185.0)</f>
        <v>39185</v>
      </c>
      <c r="C4886" s="9">
        <f>IFERROR(__xludf.DUMMYFUNCTION("""COMPUTED_VALUE"""),4.76)</f>
        <v>4.76</v>
      </c>
      <c r="H4886" s="17"/>
      <c r="K4886" s="17"/>
      <c r="N4886" s="17"/>
    </row>
    <row r="4887">
      <c r="B4887" s="11">
        <f>IFERROR(__xludf.DUMMYFUNCTION("""COMPUTED_VALUE"""),39184.0)</f>
        <v>39184</v>
      </c>
      <c r="C4887" s="9">
        <f>IFERROR(__xludf.DUMMYFUNCTION("""COMPUTED_VALUE"""),4.74)</f>
        <v>4.74</v>
      </c>
      <c r="H4887" s="17"/>
      <c r="K4887" s="17"/>
      <c r="N4887" s="17"/>
    </row>
    <row r="4888">
      <c r="B4888" s="11">
        <f>IFERROR(__xludf.DUMMYFUNCTION("""COMPUTED_VALUE"""),39183.0)</f>
        <v>39183</v>
      </c>
      <c r="C4888" s="9">
        <f>IFERROR(__xludf.DUMMYFUNCTION("""COMPUTED_VALUE"""),4.74)</f>
        <v>4.74</v>
      </c>
      <c r="H4888" s="17"/>
      <c r="K4888" s="17"/>
      <c r="N4888" s="17"/>
    </row>
    <row r="4889">
      <c r="B4889" s="11">
        <f>IFERROR(__xludf.DUMMYFUNCTION("""COMPUTED_VALUE"""),39182.0)</f>
        <v>39182</v>
      </c>
      <c r="C4889" s="9">
        <f>IFERROR(__xludf.DUMMYFUNCTION("""COMPUTED_VALUE"""),4.73)</f>
        <v>4.73</v>
      </c>
      <c r="H4889" s="17"/>
      <c r="K4889" s="17"/>
      <c r="N4889" s="17"/>
    </row>
    <row r="4890">
      <c r="B4890" s="11">
        <f>IFERROR(__xludf.DUMMYFUNCTION("""COMPUTED_VALUE"""),39181.0)</f>
        <v>39181</v>
      </c>
      <c r="C4890" s="9">
        <f>IFERROR(__xludf.DUMMYFUNCTION("""COMPUTED_VALUE"""),4.75)</f>
        <v>4.75</v>
      </c>
      <c r="H4890" s="17"/>
      <c r="K4890" s="17"/>
      <c r="N4890" s="17"/>
    </row>
    <row r="4891">
      <c r="B4891" s="11">
        <f>IFERROR(__xludf.DUMMYFUNCTION("""COMPUTED_VALUE"""),39178.0)</f>
        <v>39178</v>
      </c>
      <c r="C4891" s="9">
        <f>IFERROR(__xludf.DUMMYFUNCTION("""COMPUTED_VALUE"""),4.76)</f>
        <v>4.76</v>
      </c>
      <c r="H4891" s="17"/>
      <c r="K4891" s="17"/>
      <c r="N4891" s="17"/>
    </row>
    <row r="4892">
      <c r="B4892" s="11">
        <f>IFERROR(__xludf.DUMMYFUNCTION("""COMPUTED_VALUE"""),39177.0)</f>
        <v>39177</v>
      </c>
      <c r="C4892" s="9">
        <f>IFERROR(__xludf.DUMMYFUNCTION("""COMPUTED_VALUE"""),4.68)</f>
        <v>4.68</v>
      </c>
      <c r="H4892" s="17"/>
      <c r="K4892" s="17"/>
      <c r="N4892" s="17"/>
    </row>
    <row r="4893">
      <c r="B4893" s="11">
        <f>IFERROR(__xludf.DUMMYFUNCTION("""COMPUTED_VALUE"""),39176.0)</f>
        <v>39176</v>
      </c>
      <c r="C4893" s="9">
        <f>IFERROR(__xludf.DUMMYFUNCTION("""COMPUTED_VALUE"""),4.66)</f>
        <v>4.66</v>
      </c>
      <c r="H4893" s="17"/>
      <c r="K4893" s="17"/>
      <c r="N4893" s="17"/>
    </row>
    <row r="4894">
      <c r="B4894" s="11">
        <f>IFERROR(__xludf.DUMMYFUNCTION("""COMPUTED_VALUE"""),39175.0)</f>
        <v>39175</v>
      </c>
      <c r="C4894" s="9">
        <f>IFERROR(__xludf.DUMMYFUNCTION("""COMPUTED_VALUE"""),4.67)</f>
        <v>4.67</v>
      </c>
      <c r="H4894" s="17"/>
      <c r="K4894" s="17"/>
      <c r="N4894" s="17"/>
    </row>
    <row r="4895">
      <c r="B4895" s="11">
        <f>IFERROR(__xludf.DUMMYFUNCTION("""COMPUTED_VALUE"""),39174.0)</f>
        <v>39174</v>
      </c>
      <c r="C4895" s="9">
        <f>IFERROR(__xludf.DUMMYFUNCTION("""COMPUTED_VALUE"""),4.65)</f>
        <v>4.65</v>
      </c>
      <c r="H4895" s="17"/>
      <c r="K4895" s="17"/>
      <c r="N4895" s="17"/>
    </row>
    <row r="4896">
      <c r="B4896" s="11">
        <f>IFERROR(__xludf.DUMMYFUNCTION("""COMPUTED_VALUE"""),39171.0)</f>
        <v>39171</v>
      </c>
      <c r="C4896" s="9">
        <f>IFERROR(__xludf.DUMMYFUNCTION("""COMPUTED_VALUE"""),4.65)</f>
        <v>4.65</v>
      </c>
      <c r="H4896" s="17"/>
      <c r="K4896" s="17"/>
      <c r="N4896" s="17"/>
    </row>
    <row r="4897">
      <c r="B4897" s="11">
        <f>IFERROR(__xludf.DUMMYFUNCTION("""COMPUTED_VALUE"""),39170.0)</f>
        <v>39170</v>
      </c>
      <c r="C4897" s="9">
        <f>IFERROR(__xludf.DUMMYFUNCTION("""COMPUTED_VALUE"""),4.64)</f>
        <v>4.64</v>
      </c>
      <c r="H4897" s="17"/>
      <c r="K4897" s="17"/>
      <c r="N4897" s="17"/>
    </row>
    <row r="4898">
      <c r="B4898" s="11">
        <f>IFERROR(__xludf.DUMMYFUNCTION("""COMPUTED_VALUE"""),39169.0)</f>
        <v>39169</v>
      </c>
      <c r="C4898" s="9">
        <f>IFERROR(__xludf.DUMMYFUNCTION("""COMPUTED_VALUE"""),4.62)</f>
        <v>4.62</v>
      </c>
      <c r="H4898" s="17"/>
      <c r="K4898" s="17"/>
      <c r="N4898" s="17"/>
    </row>
    <row r="4899">
      <c r="B4899" s="11">
        <f>IFERROR(__xludf.DUMMYFUNCTION("""COMPUTED_VALUE"""),39168.0)</f>
        <v>39168</v>
      </c>
      <c r="C4899" s="9">
        <f>IFERROR(__xludf.DUMMYFUNCTION("""COMPUTED_VALUE"""),4.62)</f>
        <v>4.62</v>
      </c>
      <c r="H4899" s="17"/>
      <c r="K4899" s="17"/>
      <c r="N4899" s="17"/>
    </row>
    <row r="4900">
      <c r="B4900" s="11">
        <f>IFERROR(__xludf.DUMMYFUNCTION("""COMPUTED_VALUE"""),39167.0)</f>
        <v>39167</v>
      </c>
      <c r="C4900" s="9">
        <f>IFERROR(__xludf.DUMMYFUNCTION("""COMPUTED_VALUE"""),4.6)</f>
        <v>4.6</v>
      </c>
      <c r="H4900" s="17"/>
      <c r="K4900" s="17"/>
      <c r="N4900" s="17"/>
    </row>
    <row r="4901">
      <c r="B4901" s="11">
        <f>IFERROR(__xludf.DUMMYFUNCTION("""COMPUTED_VALUE"""),39164.0)</f>
        <v>39164</v>
      </c>
      <c r="C4901" s="9">
        <f>IFERROR(__xludf.DUMMYFUNCTION("""COMPUTED_VALUE"""),4.62)</f>
        <v>4.62</v>
      </c>
      <c r="H4901" s="17"/>
      <c r="K4901" s="17"/>
      <c r="N4901" s="17"/>
    </row>
    <row r="4902">
      <c r="B4902" s="11">
        <f>IFERROR(__xludf.DUMMYFUNCTION("""COMPUTED_VALUE"""),39163.0)</f>
        <v>39163</v>
      </c>
      <c r="C4902" s="9">
        <f>IFERROR(__xludf.DUMMYFUNCTION("""COMPUTED_VALUE"""),4.6)</f>
        <v>4.6</v>
      </c>
      <c r="H4902" s="17"/>
      <c r="K4902" s="17"/>
      <c r="N4902" s="17"/>
    </row>
    <row r="4903">
      <c r="B4903" s="11">
        <f>IFERROR(__xludf.DUMMYFUNCTION("""COMPUTED_VALUE"""),39162.0)</f>
        <v>39162</v>
      </c>
      <c r="C4903" s="9">
        <f>IFERROR(__xludf.DUMMYFUNCTION("""COMPUTED_VALUE"""),4.53)</f>
        <v>4.53</v>
      </c>
      <c r="H4903" s="17"/>
      <c r="K4903" s="17"/>
      <c r="N4903" s="17"/>
    </row>
    <row r="4904">
      <c r="B4904" s="11">
        <f>IFERROR(__xludf.DUMMYFUNCTION("""COMPUTED_VALUE"""),39161.0)</f>
        <v>39161</v>
      </c>
      <c r="C4904" s="9">
        <f>IFERROR(__xludf.DUMMYFUNCTION("""COMPUTED_VALUE"""),4.56)</f>
        <v>4.56</v>
      </c>
      <c r="H4904" s="17"/>
      <c r="K4904" s="17"/>
      <c r="N4904" s="17"/>
    </row>
    <row r="4905">
      <c r="B4905" s="11">
        <f>IFERROR(__xludf.DUMMYFUNCTION("""COMPUTED_VALUE"""),39160.0)</f>
        <v>39160</v>
      </c>
      <c r="C4905" s="9">
        <f>IFERROR(__xludf.DUMMYFUNCTION("""COMPUTED_VALUE"""),4.58)</f>
        <v>4.58</v>
      </c>
      <c r="H4905" s="17"/>
      <c r="K4905" s="17"/>
      <c r="N4905" s="17"/>
    </row>
    <row r="4906">
      <c r="B4906" s="11">
        <f>IFERROR(__xludf.DUMMYFUNCTION("""COMPUTED_VALUE"""),39157.0)</f>
        <v>39157</v>
      </c>
      <c r="C4906" s="9">
        <f>IFERROR(__xludf.DUMMYFUNCTION("""COMPUTED_VALUE"""),4.55)</f>
        <v>4.55</v>
      </c>
      <c r="H4906" s="17"/>
      <c r="K4906" s="17"/>
      <c r="N4906" s="17"/>
    </row>
    <row r="4907">
      <c r="B4907" s="11">
        <f>IFERROR(__xludf.DUMMYFUNCTION("""COMPUTED_VALUE"""),39156.0)</f>
        <v>39156</v>
      </c>
      <c r="C4907" s="9">
        <f>IFERROR(__xludf.DUMMYFUNCTION("""COMPUTED_VALUE"""),4.54)</f>
        <v>4.54</v>
      </c>
      <c r="H4907" s="17"/>
      <c r="K4907" s="17"/>
      <c r="N4907" s="17"/>
    </row>
    <row r="4908">
      <c r="B4908" s="11">
        <f>IFERROR(__xludf.DUMMYFUNCTION("""COMPUTED_VALUE"""),39155.0)</f>
        <v>39155</v>
      </c>
      <c r="C4908" s="9">
        <f>IFERROR(__xludf.DUMMYFUNCTION("""COMPUTED_VALUE"""),4.53)</f>
        <v>4.53</v>
      </c>
      <c r="H4908" s="17"/>
      <c r="K4908" s="17"/>
      <c r="N4908" s="17"/>
    </row>
    <row r="4909">
      <c r="B4909" s="11">
        <f>IFERROR(__xludf.DUMMYFUNCTION("""COMPUTED_VALUE"""),39154.0)</f>
        <v>39154</v>
      </c>
      <c r="C4909" s="9">
        <f>IFERROR(__xludf.DUMMYFUNCTION("""COMPUTED_VALUE"""),4.5)</f>
        <v>4.5</v>
      </c>
      <c r="H4909" s="17"/>
      <c r="K4909" s="17"/>
      <c r="N4909" s="17"/>
    </row>
    <row r="4910">
      <c r="B4910" s="11">
        <f>IFERROR(__xludf.DUMMYFUNCTION("""COMPUTED_VALUE"""),39153.0)</f>
        <v>39153</v>
      </c>
      <c r="C4910" s="9">
        <f>IFERROR(__xludf.DUMMYFUNCTION("""COMPUTED_VALUE"""),4.56)</f>
        <v>4.56</v>
      </c>
      <c r="H4910" s="17"/>
      <c r="K4910" s="17"/>
      <c r="N4910" s="17"/>
    </row>
    <row r="4911">
      <c r="B4911" s="11">
        <f>IFERROR(__xludf.DUMMYFUNCTION("""COMPUTED_VALUE"""),39150.0)</f>
        <v>39150</v>
      </c>
      <c r="C4911" s="9">
        <f>IFERROR(__xludf.DUMMYFUNCTION("""COMPUTED_VALUE"""),4.59)</f>
        <v>4.59</v>
      </c>
      <c r="H4911" s="17"/>
      <c r="K4911" s="17"/>
      <c r="N4911" s="17"/>
    </row>
    <row r="4912">
      <c r="B4912" s="11">
        <f>IFERROR(__xludf.DUMMYFUNCTION("""COMPUTED_VALUE"""),39149.0)</f>
        <v>39149</v>
      </c>
      <c r="C4912" s="9">
        <f>IFERROR(__xludf.DUMMYFUNCTION("""COMPUTED_VALUE"""),4.51)</f>
        <v>4.51</v>
      </c>
      <c r="H4912" s="17"/>
      <c r="K4912" s="17"/>
      <c r="N4912" s="17"/>
    </row>
    <row r="4913">
      <c r="B4913" s="11">
        <f>IFERROR(__xludf.DUMMYFUNCTION("""COMPUTED_VALUE"""),39148.0)</f>
        <v>39148</v>
      </c>
      <c r="C4913" s="9">
        <f>IFERROR(__xludf.DUMMYFUNCTION("""COMPUTED_VALUE"""),4.5)</f>
        <v>4.5</v>
      </c>
      <c r="H4913" s="17"/>
      <c r="K4913" s="17"/>
      <c r="N4913" s="17"/>
    </row>
    <row r="4914">
      <c r="B4914" s="11">
        <f>IFERROR(__xludf.DUMMYFUNCTION("""COMPUTED_VALUE"""),39147.0)</f>
        <v>39147</v>
      </c>
      <c r="C4914" s="9">
        <f>IFERROR(__xludf.DUMMYFUNCTION("""COMPUTED_VALUE"""),4.53)</f>
        <v>4.53</v>
      </c>
      <c r="H4914" s="17"/>
      <c r="K4914" s="17"/>
      <c r="N4914" s="17"/>
    </row>
    <row r="4915">
      <c r="B4915" s="11">
        <f>IFERROR(__xludf.DUMMYFUNCTION("""COMPUTED_VALUE"""),39146.0)</f>
        <v>39146</v>
      </c>
      <c r="C4915" s="9">
        <f>IFERROR(__xludf.DUMMYFUNCTION("""COMPUTED_VALUE"""),4.51)</f>
        <v>4.51</v>
      </c>
      <c r="H4915" s="17"/>
      <c r="K4915" s="17"/>
      <c r="N4915" s="17"/>
    </row>
    <row r="4916">
      <c r="B4916" s="11">
        <f>IFERROR(__xludf.DUMMYFUNCTION("""COMPUTED_VALUE"""),39143.0)</f>
        <v>39143</v>
      </c>
      <c r="C4916" s="9">
        <f>IFERROR(__xludf.DUMMYFUNCTION("""COMPUTED_VALUE"""),4.52)</f>
        <v>4.52</v>
      </c>
      <c r="H4916" s="17"/>
      <c r="K4916" s="17"/>
      <c r="N4916" s="17"/>
    </row>
    <row r="4917">
      <c r="B4917" s="11">
        <f>IFERROR(__xludf.DUMMYFUNCTION("""COMPUTED_VALUE"""),39142.0)</f>
        <v>39142</v>
      </c>
      <c r="C4917" s="9">
        <f>IFERROR(__xludf.DUMMYFUNCTION("""COMPUTED_VALUE"""),4.56)</f>
        <v>4.56</v>
      </c>
      <c r="H4917" s="17"/>
      <c r="K4917" s="17"/>
      <c r="N4917" s="17"/>
    </row>
    <row r="4918">
      <c r="B4918" s="11">
        <f>IFERROR(__xludf.DUMMYFUNCTION("""COMPUTED_VALUE"""),39141.0)</f>
        <v>39141</v>
      </c>
      <c r="C4918" s="9">
        <f>IFERROR(__xludf.DUMMYFUNCTION("""COMPUTED_VALUE"""),4.56)</f>
        <v>4.56</v>
      </c>
      <c r="H4918" s="17"/>
      <c r="K4918" s="17"/>
      <c r="N4918" s="17"/>
    </row>
    <row r="4919">
      <c r="B4919" s="11">
        <f>IFERROR(__xludf.DUMMYFUNCTION("""COMPUTED_VALUE"""),39140.0)</f>
        <v>39140</v>
      </c>
      <c r="C4919" s="9">
        <f>IFERROR(__xludf.DUMMYFUNCTION("""COMPUTED_VALUE"""),4.5)</f>
        <v>4.5</v>
      </c>
      <c r="H4919" s="17"/>
      <c r="K4919" s="17"/>
      <c r="N4919" s="17"/>
    </row>
    <row r="4920">
      <c r="B4920" s="11">
        <f>IFERROR(__xludf.DUMMYFUNCTION("""COMPUTED_VALUE"""),39139.0)</f>
        <v>39139</v>
      </c>
      <c r="C4920" s="9">
        <f>IFERROR(__xludf.DUMMYFUNCTION("""COMPUTED_VALUE"""),4.63)</f>
        <v>4.63</v>
      </c>
      <c r="H4920" s="17"/>
      <c r="K4920" s="17"/>
      <c r="N4920" s="17"/>
    </row>
    <row r="4921">
      <c r="B4921" s="11">
        <f>IFERROR(__xludf.DUMMYFUNCTION("""COMPUTED_VALUE"""),39136.0)</f>
        <v>39136</v>
      </c>
      <c r="C4921" s="9">
        <f>IFERROR(__xludf.DUMMYFUNCTION("""COMPUTED_VALUE"""),4.68)</f>
        <v>4.68</v>
      </c>
      <c r="H4921" s="17"/>
      <c r="K4921" s="17"/>
      <c r="N4921" s="17"/>
    </row>
    <row r="4922">
      <c r="B4922" s="11">
        <f>IFERROR(__xludf.DUMMYFUNCTION("""COMPUTED_VALUE"""),39135.0)</f>
        <v>39135</v>
      </c>
      <c r="C4922" s="9">
        <f>IFERROR(__xludf.DUMMYFUNCTION("""COMPUTED_VALUE"""),4.73)</f>
        <v>4.73</v>
      </c>
      <c r="H4922" s="17"/>
      <c r="K4922" s="17"/>
      <c r="N4922" s="17"/>
    </row>
    <row r="4923">
      <c r="B4923" s="11">
        <f>IFERROR(__xludf.DUMMYFUNCTION("""COMPUTED_VALUE"""),39134.0)</f>
        <v>39134</v>
      </c>
      <c r="C4923" s="9">
        <f>IFERROR(__xludf.DUMMYFUNCTION("""COMPUTED_VALUE"""),4.69)</f>
        <v>4.69</v>
      </c>
      <c r="H4923" s="17"/>
      <c r="K4923" s="17"/>
      <c r="N4923" s="17"/>
    </row>
    <row r="4924">
      <c r="B4924" s="11">
        <f>IFERROR(__xludf.DUMMYFUNCTION("""COMPUTED_VALUE"""),39133.0)</f>
        <v>39133</v>
      </c>
      <c r="C4924" s="9">
        <f>IFERROR(__xludf.DUMMYFUNCTION("""COMPUTED_VALUE"""),4.68)</f>
        <v>4.68</v>
      </c>
      <c r="H4924" s="17"/>
      <c r="K4924" s="17"/>
      <c r="N4924" s="17"/>
    </row>
    <row r="4925">
      <c r="B4925" s="11">
        <f>IFERROR(__xludf.DUMMYFUNCTION("""COMPUTED_VALUE"""),39132.0)</f>
        <v>39132</v>
      </c>
      <c r="C4925" s="9"/>
      <c r="H4925" s="17"/>
      <c r="K4925" s="17"/>
      <c r="N4925" s="17"/>
    </row>
    <row r="4926">
      <c r="B4926" s="11">
        <f>IFERROR(__xludf.DUMMYFUNCTION("""COMPUTED_VALUE"""),39129.0)</f>
        <v>39129</v>
      </c>
      <c r="C4926" s="9">
        <f>IFERROR(__xludf.DUMMYFUNCTION("""COMPUTED_VALUE"""),4.69)</f>
        <v>4.69</v>
      </c>
      <c r="H4926" s="17"/>
      <c r="K4926" s="17"/>
      <c r="N4926" s="17"/>
    </row>
    <row r="4927">
      <c r="B4927" s="11">
        <f>IFERROR(__xludf.DUMMYFUNCTION("""COMPUTED_VALUE"""),39128.0)</f>
        <v>39128</v>
      </c>
      <c r="C4927" s="9">
        <f>IFERROR(__xludf.DUMMYFUNCTION("""COMPUTED_VALUE"""),4.7)</f>
        <v>4.7</v>
      </c>
      <c r="H4927" s="17"/>
      <c r="K4927" s="17"/>
      <c r="N4927" s="17"/>
    </row>
    <row r="4928">
      <c r="B4928" s="11">
        <f>IFERROR(__xludf.DUMMYFUNCTION("""COMPUTED_VALUE"""),39127.0)</f>
        <v>39127</v>
      </c>
      <c r="C4928" s="9">
        <f>IFERROR(__xludf.DUMMYFUNCTION("""COMPUTED_VALUE"""),4.74)</f>
        <v>4.74</v>
      </c>
      <c r="H4928" s="17"/>
      <c r="K4928" s="17"/>
      <c r="N4928" s="17"/>
    </row>
    <row r="4929">
      <c r="B4929" s="11">
        <f>IFERROR(__xludf.DUMMYFUNCTION("""COMPUTED_VALUE"""),39126.0)</f>
        <v>39126</v>
      </c>
      <c r="C4929" s="9">
        <f>IFERROR(__xludf.DUMMYFUNCTION("""COMPUTED_VALUE"""),4.82)</f>
        <v>4.82</v>
      </c>
      <c r="H4929" s="17"/>
      <c r="K4929" s="17"/>
      <c r="N4929" s="17"/>
    </row>
    <row r="4930">
      <c r="B4930" s="11">
        <f>IFERROR(__xludf.DUMMYFUNCTION("""COMPUTED_VALUE"""),39125.0)</f>
        <v>39125</v>
      </c>
      <c r="C4930" s="9">
        <f>IFERROR(__xludf.DUMMYFUNCTION("""COMPUTED_VALUE"""),4.8)</f>
        <v>4.8</v>
      </c>
      <c r="H4930" s="17"/>
      <c r="K4930" s="17"/>
      <c r="N4930" s="17"/>
    </row>
    <row r="4931">
      <c r="B4931" s="11">
        <f>IFERROR(__xludf.DUMMYFUNCTION("""COMPUTED_VALUE"""),39122.0)</f>
        <v>39122</v>
      </c>
      <c r="C4931" s="9">
        <f>IFERROR(__xludf.DUMMYFUNCTION("""COMPUTED_VALUE"""),4.79)</f>
        <v>4.79</v>
      </c>
      <c r="H4931" s="17"/>
      <c r="K4931" s="17"/>
      <c r="N4931" s="17"/>
    </row>
    <row r="4932">
      <c r="B4932" s="11">
        <f>IFERROR(__xludf.DUMMYFUNCTION("""COMPUTED_VALUE"""),39121.0)</f>
        <v>39121</v>
      </c>
      <c r="C4932" s="9">
        <f>IFERROR(__xludf.DUMMYFUNCTION("""COMPUTED_VALUE"""),4.73)</f>
        <v>4.73</v>
      </c>
      <c r="H4932" s="17"/>
      <c r="K4932" s="17"/>
      <c r="N4932" s="17"/>
    </row>
    <row r="4933">
      <c r="B4933" s="11">
        <f>IFERROR(__xludf.DUMMYFUNCTION("""COMPUTED_VALUE"""),39120.0)</f>
        <v>39120</v>
      </c>
      <c r="C4933" s="9">
        <f>IFERROR(__xludf.DUMMYFUNCTION("""COMPUTED_VALUE"""),4.74)</f>
        <v>4.74</v>
      </c>
      <c r="H4933" s="17"/>
      <c r="K4933" s="17"/>
      <c r="N4933" s="17"/>
    </row>
    <row r="4934">
      <c r="B4934" s="11">
        <f>IFERROR(__xludf.DUMMYFUNCTION("""COMPUTED_VALUE"""),39119.0)</f>
        <v>39119</v>
      </c>
      <c r="C4934" s="9">
        <f>IFERROR(__xludf.DUMMYFUNCTION("""COMPUTED_VALUE"""),4.77)</f>
        <v>4.77</v>
      </c>
      <c r="H4934" s="17"/>
      <c r="K4934" s="17"/>
      <c r="N4934" s="17"/>
    </row>
    <row r="4935">
      <c r="B4935" s="11">
        <f>IFERROR(__xludf.DUMMYFUNCTION("""COMPUTED_VALUE"""),39118.0)</f>
        <v>39118</v>
      </c>
      <c r="C4935" s="9">
        <f>IFERROR(__xludf.DUMMYFUNCTION("""COMPUTED_VALUE"""),4.81)</f>
        <v>4.81</v>
      </c>
      <c r="H4935" s="17"/>
      <c r="K4935" s="17"/>
      <c r="N4935" s="17"/>
    </row>
    <row r="4936">
      <c r="B4936" s="11">
        <f>IFERROR(__xludf.DUMMYFUNCTION("""COMPUTED_VALUE"""),39115.0)</f>
        <v>39115</v>
      </c>
      <c r="C4936" s="9">
        <f>IFERROR(__xludf.DUMMYFUNCTION("""COMPUTED_VALUE"""),4.83)</f>
        <v>4.83</v>
      </c>
      <c r="H4936" s="17"/>
      <c r="K4936" s="17"/>
      <c r="N4936" s="17"/>
    </row>
    <row r="4937">
      <c r="B4937" s="11">
        <f>IFERROR(__xludf.DUMMYFUNCTION("""COMPUTED_VALUE"""),39114.0)</f>
        <v>39114</v>
      </c>
      <c r="C4937" s="9">
        <f>IFERROR(__xludf.DUMMYFUNCTION("""COMPUTED_VALUE"""),4.84)</f>
        <v>4.84</v>
      </c>
      <c r="H4937" s="17"/>
      <c r="K4937" s="17"/>
      <c r="N4937" s="17"/>
    </row>
    <row r="4938">
      <c r="B4938" s="11">
        <f>IFERROR(__xludf.DUMMYFUNCTION("""COMPUTED_VALUE"""),39113.0)</f>
        <v>39113</v>
      </c>
      <c r="C4938" s="9">
        <f>IFERROR(__xludf.DUMMYFUNCTION("""COMPUTED_VALUE"""),4.83)</f>
        <v>4.83</v>
      </c>
      <c r="H4938" s="17"/>
      <c r="K4938" s="17"/>
      <c r="N4938" s="17"/>
    </row>
    <row r="4939">
      <c r="B4939" s="11">
        <f>IFERROR(__xludf.DUMMYFUNCTION("""COMPUTED_VALUE"""),39112.0)</f>
        <v>39112</v>
      </c>
      <c r="C4939" s="9">
        <f>IFERROR(__xludf.DUMMYFUNCTION("""COMPUTED_VALUE"""),4.88)</f>
        <v>4.88</v>
      </c>
      <c r="H4939" s="17"/>
      <c r="K4939" s="17"/>
      <c r="N4939" s="17"/>
    </row>
    <row r="4940">
      <c r="B4940" s="11">
        <f>IFERROR(__xludf.DUMMYFUNCTION("""COMPUTED_VALUE"""),39111.0)</f>
        <v>39111</v>
      </c>
      <c r="C4940" s="9">
        <f>IFERROR(__xludf.DUMMYFUNCTION("""COMPUTED_VALUE"""),4.9)</f>
        <v>4.9</v>
      </c>
      <c r="H4940" s="17"/>
      <c r="K4940" s="17"/>
      <c r="N4940" s="17"/>
    </row>
    <row r="4941">
      <c r="B4941" s="11">
        <f>IFERROR(__xludf.DUMMYFUNCTION("""COMPUTED_VALUE"""),39108.0)</f>
        <v>39108</v>
      </c>
      <c r="C4941" s="9">
        <f>IFERROR(__xludf.DUMMYFUNCTION("""COMPUTED_VALUE"""),4.88)</f>
        <v>4.88</v>
      </c>
      <c r="H4941" s="17"/>
      <c r="K4941" s="17"/>
      <c r="N4941" s="17"/>
    </row>
    <row r="4942">
      <c r="B4942" s="11">
        <f>IFERROR(__xludf.DUMMYFUNCTION("""COMPUTED_VALUE"""),39107.0)</f>
        <v>39107</v>
      </c>
      <c r="C4942" s="9">
        <f>IFERROR(__xludf.DUMMYFUNCTION("""COMPUTED_VALUE"""),4.87)</f>
        <v>4.87</v>
      </c>
      <c r="H4942" s="17"/>
      <c r="K4942" s="17"/>
      <c r="N4942" s="17"/>
    </row>
    <row r="4943">
      <c r="B4943" s="11">
        <f>IFERROR(__xludf.DUMMYFUNCTION("""COMPUTED_VALUE"""),39106.0)</f>
        <v>39106</v>
      </c>
      <c r="C4943" s="9">
        <f>IFERROR(__xludf.DUMMYFUNCTION("""COMPUTED_VALUE"""),4.81)</f>
        <v>4.81</v>
      </c>
      <c r="H4943" s="17"/>
      <c r="K4943" s="17"/>
      <c r="N4943" s="17"/>
    </row>
    <row r="4944">
      <c r="B4944" s="11">
        <f>IFERROR(__xludf.DUMMYFUNCTION("""COMPUTED_VALUE"""),39105.0)</f>
        <v>39105</v>
      </c>
      <c r="C4944" s="9">
        <f>IFERROR(__xludf.DUMMYFUNCTION("""COMPUTED_VALUE"""),4.81)</f>
        <v>4.81</v>
      </c>
      <c r="H4944" s="17"/>
      <c r="K4944" s="17"/>
      <c r="N4944" s="17"/>
    </row>
    <row r="4945">
      <c r="B4945" s="11">
        <f>IFERROR(__xludf.DUMMYFUNCTION("""COMPUTED_VALUE"""),39104.0)</f>
        <v>39104</v>
      </c>
      <c r="C4945" s="9">
        <f>IFERROR(__xludf.DUMMYFUNCTION("""COMPUTED_VALUE"""),4.76)</f>
        <v>4.76</v>
      </c>
      <c r="H4945" s="17"/>
      <c r="K4945" s="17"/>
      <c r="N4945" s="17"/>
    </row>
    <row r="4946">
      <c r="B4946" s="11">
        <f>IFERROR(__xludf.DUMMYFUNCTION("""COMPUTED_VALUE"""),39101.0)</f>
        <v>39101</v>
      </c>
      <c r="C4946" s="9">
        <f>IFERROR(__xludf.DUMMYFUNCTION("""COMPUTED_VALUE"""),4.78)</f>
        <v>4.78</v>
      </c>
      <c r="H4946" s="17"/>
      <c r="K4946" s="17"/>
      <c r="N4946" s="17"/>
    </row>
    <row r="4947">
      <c r="B4947" s="11">
        <f>IFERROR(__xludf.DUMMYFUNCTION("""COMPUTED_VALUE"""),39100.0)</f>
        <v>39100</v>
      </c>
      <c r="C4947" s="9">
        <f>IFERROR(__xludf.DUMMYFUNCTION("""COMPUTED_VALUE"""),4.75)</f>
        <v>4.75</v>
      </c>
      <c r="H4947" s="17"/>
      <c r="K4947" s="17"/>
      <c r="N4947" s="17"/>
    </row>
    <row r="4948">
      <c r="B4948" s="11">
        <f>IFERROR(__xludf.DUMMYFUNCTION("""COMPUTED_VALUE"""),39099.0)</f>
        <v>39099</v>
      </c>
      <c r="C4948" s="9">
        <f>IFERROR(__xludf.DUMMYFUNCTION("""COMPUTED_VALUE"""),4.79)</f>
        <v>4.79</v>
      </c>
      <c r="H4948" s="17"/>
      <c r="K4948" s="17"/>
      <c r="N4948" s="17"/>
    </row>
    <row r="4949">
      <c r="B4949" s="11">
        <f>IFERROR(__xludf.DUMMYFUNCTION("""COMPUTED_VALUE"""),39098.0)</f>
        <v>39098</v>
      </c>
      <c r="C4949" s="9">
        <f>IFERROR(__xludf.DUMMYFUNCTION("""COMPUTED_VALUE"""),4.75)</f>
        <v>4.75</v>
      </c>
      <c r="H4949" s="17"/>
      <c r="K4949" s="17"/>
      <c r="N4949" s="17"/>
    </row>
    <row r="4950">
      <c r="B4950" s="11">
        <f>IFERROR(__xludf.DUMMYFUNCTION("""COMPUTED_VALUE"""),39097.0)</f>
        <v>39097</v>
      </c>
      <c r="C4950" s="9"/>
      <c r="H4950" s="17"/>
      <c r="K4950" s="17"/>
      <c r="N4950" s="17"/>
    </row>
    <row r="4951">
      <c r="B4951" s="11">
        <f>IFERROR(__xludf.DUMMYFUNCTION("""COMPUTED_VALUE"""),39094.0)</f>
        <v>39094</v>
      </c>
      <c r="C4951" s="9">
        <f>IFERROR(__xludf.DUMMYFUNCTION("""COMPUTED_VALUE"""),4.77)</f>
        <v>4.77</v>
      </c>
      <c r="H4951" s="17"/>
      <c r="K4951" s="17"/>
      <c r="N4951" s="17"/>
    </row>
    <row r="4952">
      <c r="B4952" s="11">
        <f>IFERROR(__xludf.DUMMYFUNCTION("""COMPUTED_VALUE"""),39093.0)</f>
        <v>39093</v>
      </c>
      <c r="C4952" s="9">
        <f>IFERROR(__xludf.DUMMYFUNCTION("""COMPUTED_VALUE"""),4.74)</f>
        <v>4.74</v>
      </c>
      <c r="H4952" s="17"/>
      <c r="K4952" s="17"/>
      <c r="N4952" s="17"/>
    </row>
    <row r="4953">
      <c r="B4953" s="11">
        <f>IFERROR(__xludf.DUMMYFUNCTION("""COMPUTED_VALUE"""),39092.0)</f>
        <v>39092</v>
      </c>
      <c r="C4953" s="9">
        <f>IFERROR(__xludf.DUMMYFUNCTION("""COMPUTED_VALUE"""),4.69)</f>
        <v>4.69</v>
      </c>
      <c r="H4953" s="17"/>
      <c r="K4953" s="17"/>
      <c r="N4953" s="17"/>
    </row>
    <row r="4954">
      <c r="B4954" s="11">
        <f>IFERROR(__xludf.DUMMYFUNCTION("""COMPUTED_VALUE"""),39091.0)</f>
        <v>39091</v>
      </c>
      <c r="C4954" s="9">
        <f>IFERROR(__xludf.DUMMYFUNCTION("""COMPUTED_VALUE"""),4.66)</f>
        <v>4.66</v>
      </c>
      <c r="H4954" s="17"/>
      <c r="K4954" s="17"/>
      <c r="N4954" s="17"/>
    </row>
    <row r="4955">
      <c r="B4955" s="11">
        <f>IFERROR(__xludf.DUMMYFUNCTION("""COMPUTED_VALUE"""),39090.0)</f>
        <v>39090</v>
      </c>
      <c r="C4955" s="9">
        <f>IFERROR(__xludf.DUMMYFUNCTION("""COMPUTED_VALUE"""),4.66)</f>
        <v>4.66</v>
      </c>
      <c r="H4955" s="17"/>
      <c r="K4955" s="17"/>
      <c r="N4955" s="17"/>
    </row>
    <row r="4956">
      <c r="B4956" s="11">
        <f>IFERROR(__xludf.DUMMYFUNCTION("""COMPUTED_VALUE"""),39087.0)</f>
        <v>39087</v>
      </c>
      <c r="C4956" s="9">
        <f>IFERROR(__xludf.DUMMYFUNCTION("""COMPUTED_VALUE"""),4.65)</f>
        <v>4.65</v>
      </c>
      <c r="H4956" s="17"/>
      <c r="K4956" s="17"/>
      <c r="N4956" s="17"/>
    </row>
    <row r="4957">
      <c r="B4957" s="11">
        <f>IFERROR(__xludf.DUMMYFUNCTION("""COMPUTED_VALUE"""),39086.0)</f>
        <v>39086</v>
      </c>
      <c r="C4957" s="9">
        <f>IFERROR(__xludf.DUMMYFUNCTION("""COMPUTED_VALUE"""),4.62)</f>
        <v>4.62</v>
      </c>
      <c r="H4957" s="17"/>
      <c r="K4957" s="17"/>
      <c r="N4957" s="17"/>
    </row>
    <row r="4958">
      <c r="B4958" s="11">
        <f>IFERROR(__xludf.DUMMYFUNCTION("""COMPUTED_VALUE"""),39085.0)</f>
        <v>39085</v>
      </c>
      <c r="C4958" s="9">
        <f>IFERROR(__xludf.DUMMYFUNCTION("""COMPUTED_VALUE"""),4.67)</f>
        <v>4.67</v>
      </c>
      <c r="H4958" s="17"/>
      <c r="K4958" s="17"/>
      <c r="N4958" s="17"/>
    </row>
    <row r="4959">
      <c r="B4959" s="11">
        <f>IFERROR(__xludf.DUMMYFUNCTION("""COMPUTED_VALUE"""),39084.0)</f>
        <v>39084</v>
      </c>
      <c r="C4959" s="9">
        <f>IFERROR(__xludf.DUMMYFUNCTION("""COMPUTED_VALUE"""),4.68)</f>
        <v>4.68</v>
      </c>
      <c r="H4959" s="17"/>
      <c r="K4959" s="17"/>
      <c r="N4959" s="17"/>
    </row>
    <row r="4960">
      <c r="B4960" s="11">
        <f>IFERROR(__xludf.DUMMYFUNCTION("""COMPUTED_VALUE"""),39083.0)</f>
        <v>39083</v>
      </c>
      <c r="C4960" s="9"/>
      <c r="H4960" s="17"/>
      <c r="K4960" s="17"/>
      <c r="N4960" s="17"/>
    </row>
    <row r="4961">
      <c r="B4961" s="11">
        <f>IFERROR(__xludf.DUMMYFUNCTION("""COMPUTED_VALUE"""),39080.0)</f>
        <v>39080</v>
      </c>
      <c r="C4961" s="9">
        <f>IFERROR(__xludf.DUMMYFUNCTION("""COMPUTED_VALUE"""),4.71)</f>
        <v>4.71</v>
      </c>
      <c r="H4961" s="17"/>
      <c r="K4961" s="17"/>
      <c r="N4961" s="17"/>
    </row>
    <row r="4962">
      <c r="B4962" s="11">
        <f>IFERROR(__xludf.DUMMYFUNCTION("""COMPUTED_VALUE"""),39079.0)</f>
        <v>39079</v>
      </c>
      <c r="C4962" s="9">
        <f>IFERROR(__xludf.DUMMYFUNCTION("""COMPUTED_VALUE"""),4.7)</f>
        <v>4.7</v>
      </c>
      <c r="H4962" s="17"/>
      <c r="K4962" s="17"/>
      <c r="N4962" s="17"/>
    </row>
    <row r="4963">
      <c r="B4963" s="11">
        <f>IFERROR(__xludf.DUMMYFUNCTION("""COMPUTED_VALUE"""),39078.0)</f>
        <v>39078</v>
      </c>
      <c r="C4963" s="9">
        <f>IFERROR(__xludf.DUMMYFUNCTION("""COMPUTED_VALUE"""),4.66)</f>
        <v>4.66</v>
      </c>
      <c r="H4963" s="17"/>
      <c r="K4963" s="17"/>
      <c r="N4963" s="17"/>
    </row>
    <row r="4964">
      <c r="B4964" s="11">
        <f>IFERROR(__xludf.DUMMYFUNCTION("""COMPUTED_VALUE"""),39077.0)</f>
        <v>39077</v>
      </c>
      <c r="C4964" s="9">
        <f>IFERROR(__xludf.DUMMYFUNCTION("""COMPUTED_VALUE"""),4.61)</f>
        <v>4.61</v>
      </c>
      <c r="H4964" s="17"/>
      <c r="K4964" s="17"/>
      <c r="N4964" s="17"/>
    </row>
    <row r="4965">
      <c r="B4965" s="11">
        <f>IFERROR(__xludf.DUMMYFUNCTION("""COMPUTED_VALUE"""),39076.0)</f>
        <v>39076</v>
      </c>
      <c r="C4965" s="9"/>
      <c r="H4965" s="17"/>
      <c r="K4965" s="17"/>
      <c r="N4965" s="17"/>
    </row>
    <row r="4966">
      <c r="B4966" s="11">
        <f>IFERROR(__xludf.DUMMYFUNCTION("""COMPUTED_VALUE"""),39073.0)</f>
        <v>39073</v>
      </c>
      <c r="C4966" s="9">
        <f>IFERROR(__xludf.DUMMYFUNCTION("""COMPUTED_VALUE"""),4.63)</f>
        <v>4.63</v>
      </c>
      <c r="H4966" s="17"/>
      <c r="K4966" s="17"/>
      <c r="N4966" s="17"/>
    </row>
    <row r="4967">
      <c r="B4967" s="11">
        <f>IFERROR(__xludf.DUMMYFUNCTION("""COMPUTED_VALUE"""),39072.0)</f>
        <v>39072</v>
      </c>
      <c r="C4967" s="9">
        <f>IFERROR(__xludf.DUMMYFUNCTION("""COMPUTED_VALUE"""),4.55)</f>
        <v>4.55</v>
      </c>
      <c r="H4967" s="17"/>
      <c r="K4967" s="17"/>
      <c r="N4967" s="17"/>
    </row>
    <row r="4968">
      <c r="B4968" s="11">
        <f>IFERROR(__xludf.DUMMYFUNCTION("""COMPUTED_VALUE"""),39071.0)</f>
        <v>39071</v>
      </c>
      <c r="C4968" s="9">
        <f>IFERROR(__xludf.DUMMYFUNCTION("""COMPUTED_VALUE"""),4.6)</f>
        <v>4.6</v>
      </c>
      <c r="H4968" s="17"/>
      <c r="K4968" s="17"/>
      <c r="N4968" s="17"/>
    </row>
    <row r="4969">
      <c r="B4969" s="11">
        <f>IFERROR(__xludf.DUMMYFUNCTION("""COMPUTED_VALUE"""),39070.0)</f>
        <v>39070</v>
      </c>
      <c r="C4969" s="9">
        <f>IFERROR(__xludf.DUMMYFUNCTION("""COMPUTED_VALUE"""),4.6)</f>
        <v>4.6</v>
      </c>
      <c r="H4969" s="17"/>
      <c r="K4969" s="17"/>
      <c r="N4969" s="17"/>
    </row>
    <row r="4970">
      <c r="B4970" s="11">
        <f>IFERROR(__xludf.DUMMYFUNCTION("""COMPUTED_VALUE"""),39069.0)</f>
        <v>39069</v>
      </c>
      <c r="C4970" s="9">
        <f>IFERROR(__xludf.DUMMYFUNCTION("""COMPUTED_VALUE"""),4.6)</f>
        <v>4.6</v>
      </c>
      <c r="H4970" s="17"/>
      <c r="K4970" s="17"/>
      <c r="N4970" s="17"/>
    </row>
    <row r="4971">
      <c r="B4971" s="11">
        <f>IFERROR(__xludf.DUMMYFUNCTION("""COMPUTED_VALUE"""),39066.0)</f>
        <v>39066</v>
      </c>
      <c r="C4971" s="9">
        <f>IFERROR(__xludf.DUMMYFUNCTION("""COMPUTED_VALUE"""),4.6)</f>
        <v>4.6</v>
      </c>
      <c r="H4971" s="17"/>
      <c r="K4971" s="17"/>
      <c r="N4971" s="17"/>
    </row>
    <row r="4972">
      <c r="B4972" s="11">
        <f>IFERROR(__xludf.DUMMYFUNCTION("""COMPUTED_VALUE"""),39065.0)</f>
        <v>39065</v>
      </c>
      <c r="C4972" s="9">
        <f>IFERROR(__xludf.DUMMYFUNCTION("""COMPUTED_VALUE"""),4.6)</f>
        <v>4.6</v>
      </c>
      <c r="H4972" s="17"/>
      <c r="K4972" s="17"/>
      <c r="N4972" s="17"/>
    </row>
    <row r="4973">
      <c r="B4973" s="11">
        <f>IFERROR(__xludf.DUMMYFUNCTION("""COMPUTED_VALUE"""),39064.0)</f>
        <v>39064</v>
      </c>
      <c r="C4973" s="9">
        <f>IFERROR(__xludf.DUMMYFUNCTION("""COMPUTED_VALUE"""),4.58)</f>
        <v>4.58</v>
      </c>
      <c r="H4973" s="17"/>
      <c r="K4973" s="17"/>
      <c r="N4973" s="17"/>
    </row>
    <row r="4974">
      <c r="B4974" s="11">
        <f>IFERROR(__xludf.DUMMYFUNCTION("""COMPUTED_VALUE"""),39063.0)</f>
        <v>39063</v>
      </c>
      <c r="C4974" s="9">
        <f>IFERROR(__xludf.DUMMYFUNCTION("""COMPUTED_VALUE"""),4.49)</f>
        <v>4.49</v>
      </c>
      <c r="H4974" s="17"/>
      <c r="K4974" s="17"/>
      <c r="N4974" s="17"/>
    </row>
    <row r="4975">
      <c r="B4975" s="11">
        <f>IFERROR(__xludf.DUMMYFUNCTION("""COMPUTED_VALUE"""),39062.0)</f>
        <v>39062</v>
      </c>
      <c r="C4975" s="9">
        <f>IFERROR(__xludf.DUMMYFUNCTION("""COMPUTED_VALUE"""),4.52)</f>
        <v>4.52</v>
      </c>
      <c r="H4975" s="17"/>
      <c r="K4975" s="17"/>
      <c r="N4975" s="17"/>
    </row>
    <row r="4976">
      <c r="B4976" s="11">
        <f>IFERROR(__xludf.DUMMYFUNCTION("""COMPUTED_VALUE"""),39059.0)</f>
        <v>39059</v>
      </c>
      <c r="C4976" s="9">
        <f>IFERROR(__xludf.DUMMYFUNCTION("""COMPUTED_VALUE"""),4.56)</f>
        <v>4.56</v>
      </c>
      <c r="H4976" s="17"/>
      <c r="K4976" s="17"/>
      <c r="N4976" s="17"/>
    </row>
    <row r="4977">
      <c r="B4977" s="11">
        <f>IFERROR(__xludf.DUMMYFUNCTION("""COMPUTED_VALUE"""),39058.0)</f>
        <v>39058</v>
      </c>
      <c r="C4977" s="9">
        <f>IFERROR(__xludf.DUMMYFUNCTION("""COMPUTED_VALUE"""),4.49)</f>
        <v>4.49</v>
      </c>
      <c r="H4977" s="17"/>
      <c r="K4977" s="17"/>
      <c r="N4977" s="17"/>
    </row>
    <row r="4978">
      <c r="B4978" s="11">
        <f>IFERROR(__xludf.DUMMYFUNCTION("""COMPUTED_VALUE"""),39057.0)</f>
        <v>39057</v>
      </c>
      <c r="C4978" s="9">
        <f>IFERROR(__xludf.DUMMYFUNCTION("""COMPUTED_VALUE"""),4.48)</f>
        <v>4.48</v>
      </c>
      <c r="H4978" s="17"/>
      <c r="K4978" s="17"/>
      <c r="N4978" s="17"/>
    </row>
    <row r="4979">
      <c r="B4979" s="11">
        <f>IFERROR(__xludf.DUMMYFUNCTION("""COMPUTED_VALUE"""),39056.0)</f>
        <v>39056</v>
      </c>
      <c r="C4979" s="9">
        <f>IFERROR(__xludf.DUMMYFUNCTION("""COMPUTED_VALUE"""),4.45)</f>
        <v>4.45</v>
      </c>
      <c r="H4979" s="17"/>
      <c r="K4979" s="17"/>
      <c r="N4979" s="17"/>
    </row>
    <row r="4980">
      <c r="B4980" s="11">
        <f>IFERROR(__xludf.DUMMYFUNCTION("""COMPUTED_VALUE"""),39055.0)</f>
        <v>39055</v>
      </c>
      <c r="C4980" s="9">
        <f>IFERROR(__xludf.DUMMYFUNCTION("""COMPUTED_VALUE"""),4.43)</f>
        <v>4.43</v>
      </c>
      <c r="H4980" s="17"/>
      <c r="K4980" s="17"/>
      <c r="N4980" s="17"/>
    </row>
    <row r="4981">
      <c r="B4981" s="11">
        <f>IFERROR(__xludf.DUMMYFUNCTION("""COMPUTED_VALUE"""),39052.0)</f>
        <v>39052</v>
      </c>
      <c r="C4981" s="9">
        <f>IFERROR(__xludf.DUMMYFUNCTION("""COMPUTED_VALUE"""),4.43)</f>
        <v>4.43</v>
      </c>
      <c r="H4981" s="17"/>
      <c r="K4981" s="17"/>
      <c r="N4981" s="17"/>
    </row>
    <row r="4982">
      <c r="B4982" s="11">
        <f>IFERROR(__xludf.DUMMYFUNCTION("""COMPUTED_VALUE"""),39051.0)</f>
        <v>39051</v>
      </c>
      <c r="C4982" s="9">
        <f>IFERROR(__xludf.DUMMYFUNCTION("""COMPUTED_VALUE"""),4.46)</f>
        <v>4.46</v>
      </c>
      <c r="H4982" s="17"/>
      <c r="K4982" s="17"/>
      <c r="N4982" s="17"/>
    </row>
    <row r="4983">
      <c r="B4983" s="11">
        <f>IFERROR(__xludf.DUMMYFUNCTION("""COMPUTED_VALUE"""),39050.0)</f>
        <v>39050</v>
      </c>
      <c r="C4983" s="9">
        <f>IFERROR(__xludf.DUMMYFUNCTION("""COMPUTED_VALUE"""),4.52)</f>
        <v>4.52</v>
      </c>
      <c r="H4983" s="17"/>
      <c r="K4983" s="17"/>
      <c r="N4983" s="17"/>
    </row>
    <row r="4984">
      <c r="B4984" s="11">
        <f>IFERROR(__xludf.DUMMYFUNCTION("""COMPUTED_VALUE"""),39049.0)</f>
        <v>39049</v>
      </c>
      <c r="C4984" s="9">
        <f>IFERROR(__xludf.DUMMYFUNCTION("""COMPUTED_VALUE"""),4.51)</f>
        <v>4.51</v>
      </c>
      <c r="H4984" s="17"/>
      <c r="K4984" s="17"/>
      <c r="N4984" s="17"/>
    </row>
    <row r="4985">
      <c r="B4985" s="11">
        <f>IFERROR(__xludf.DUMMYFUNCTION("""COMPUTED_VALUE"""),39048.0)</f>
        <v>39048</v>
      </c>
      <c r="C4985" s="9">
        <f>IFERROR(__xludf.DUMMYFUNCTION("""COMPUTED_VALUE"""),4.54)</f>
        <v>4.54</v>
      </c>
      <c r="H4985" s="17"/>
      <c r="K4985" s="17"/>
      <c r="N4985" s="17"/>
    </row>
    <row r="4986">
      <c r="B4986" s="11">
        <f>IFERROR(__xludf.DUMMYFUNCTION("""COMPUTED_VALUE"""),39045.0)</f>
        <v>39045</v>
      </c>
      <c r="C4986" s="9">
        <f>IFERROR(__xludf.DUMMYFUNCTION("""COMPUTED_VALUE"""),4.55)</f>
        <v>4.55</v>
      </c>
      <c r="H4986" s="17"/>
      <c r="K4986" s="17"/>
      <c r="N4986" s="17"/>
    </row>
    <row r="4987">
      <c r="B4987" s="11">
        <f>IFERROR(__xludf.DUMMYFUNCTION("""COMPUTED_VALUE"""),39044.0)</f>
        <v>39044</v>
      </c>
      <c r="C4987" s="9"/>
      <c r="H4987" s="17"/>
      <c r="K4987" s="17"/>
      <c r="N4987" s="17"/>
    </row>
    <row r="4988">
      <c r="B4988" s="11">
        <f>IFERROR(__xludf.DUMMYFUNCTION("""COMPUTED_VALUE"""),39043.0)</f>
        <v>39043</v>
      </c>
      <c r="C4988" s="9">
        <f>IFERROR(__xludf.DUMMYFUNCTION("""COMPUTED_VALUE"""),4.57)</f>
        <v>4.57</v>
      </c>
      <c r="H4988" s="17"/>
      <c r="K4988" s="17"/>
      <c r="N4988" s="17"/>
    </row>
    <row r="4989">
      <c r="B4989" s="11">
        <f>IFERROR(__xludf.DUMMYFUNCTION("""COMPUTED_VALUE"""),39042.0)</f>
        <v>39042</v>
      </c>
      <c r="C4989" s="9">
        <f>IFERROR(__xludf.DUMMYFUNCTION("""COMPUTED_VALUE"""),4.58)</f>
        <v>4.58</v>
      </c>
      <c r="H4989" s="17"/>
      <c r="K4989" s="17"/>
      <c r="N4989" s="17"/>
    </row>
    <row r="4990">
      <c r="B4990" s="11">
        <f>IFERROR(__xludf.DUMMYFUNCTION("""COMPUTED_VALUE"""),39041.0)</f>
        <v>39041</v>
      </c>
      <c r="C4990" s="9">
        <f>IFERROR(__xludf.DUMMYFUNCTION("""COMPUTED_VALUE"""),4.6)</f>
        <v>4.6</v>
      </c>
      <c r="H4990" s="17"/>
      <c r="K4990" s="17"/>
      <c r="N4990" s="17"/>
    </row>
    <row r="4991">
      <c r="B4991" s="11">
        <f>IFERROR(__xludf.DUMMYFUNCTION("""COMPUTED_VALUE"""),39038.0)</f>
        <v>39038</v>
      </c>
      <c r="C4991" s="9">
        <f>IFERROR(__xludf.DUMMYFUNCTION("""COMPUTED_VALUE"""),4.61)</f>
        <v>4.61</v>
      </c>
      <c r="H4991" s="17"/>
      <c r="K4991" s="17"/>
      <c r="N4991" s="17"/>
    </row>
    <row r="4992">
      <c r="B4992" s="11">
        <f>IFERROR(__xludf.DUMMYFUNCTION("""COMPUTED_VALUE"""),39037.0)</f>
        <v>39037</v>
      </c>
      <c r="C4992" s="9">
        <f>IFERROR(__xludf.DUMMYFUNCTION("""COMPUTED_VALUE"""),4.66)</f>
        <v>4.66</v>
      </c>
      <c r="H4992" s="17"/>
      <c r="K4992" s="17"/>
      <c r="N4992" s="17"/>
    </row>
    <row r="4993">
      <c r="B4993" s="11">
        <f>IFERROR(__xludf.DUMMYFUNCTION("""COMPUTED_VALUE"""),39036.0)</f>
        <v>39036</v>
      </c>
      <c r="C4993" s="9">
        <f>IFERROR(__xludf.DUMMYFUNCTION("""COMPUTED_VALUE"""),4.61)</f>
        <v>4.61</v>
      </c>
      <c r="H4993" s="17"/>
      <c r="K4993" s="17"/>
      <c r="N4993" s="17"/>
    </row>
    <row r="4994">
      <c r="B4994" s="11">
        <f>IFERROR(__xludf.DUMMYFUNCTION("""COMPUTED_VALUE"""),39035.0)</f>
        <v>39035</v>
      </c>
      <c r="C4994" s="9">
        <f>IFERROR(__xludf.DUMMYFUNCTION("""COMPUTED_VALUE"""),4.57)</f>
        <v>4.57</v>
      </c>
      <c r="H4994" s="17"/>
      <c r="K4994" s="17"/>
      <c r="N4994" s="17"/>
    </row>
    <row r="4995">
      <c r="B4995" s="11">
        <f>IFERROR(__xludf.DUMMYFUNCTION("""COMPUTED_VALUE"""),39034.0)</f>
        <v>39034</v>
      </c>
      <c r="C4995" s="9">
        <f>IFERROR(__xludf.DUMMYFUNCTION("""COMPUTED_VALUE"""),4.61)</f>
        <v>4.61</v>
      </c>
      <c r="H4995" s="17"/>
      <c r="K4995" s="17"/>
      <c r="N4995" s="17"/>
    </row>
    <row r="4996">
      <c r="B4996" s="11">
        <f>IFERROR(__xludf.DUMMYFUNCTION("""COMPUTED_VALUE"""),39031.0)</f>
        <v>39031</v>
      </c>
      <c r="C4996" s="9">
        <f>IFERROR(__xludf.DUMMYFUNCTION("""COMPUTED_VALUE"""),4.59)</f>
        <v>4.59</v>
      </c>
      <c r="H4996" s="17"/>
      <c r="K4996" s="17"/>
      <c r="N4996" s="17"/>
    </row>
    <row r="4997">
      <c r="B4997" s="11">
        <f>IFERROR(__xludf.DUMMYFUNCTION("""COMPUTED_VALUE"""),39030.0)</f>
        <v>39030</v>
      </c>
      <c r="C4997" s="9">
        <f>IFERROR(__xludf.DUMMYFUNCTION("""COMPUTED_VALUE"""),4.62)</f>
        <v>4.62</v>
      </c>
      <c r="H4997" s="17"/>
      <c r="K4997" s="17"/>
      <c r="N4997" s="17"/>
    </row>
    <row r="4998">
      <c r="B4998" s="11">
        <f>IFERROR(__xludf.DUMMYFUNCTION("""COMPUTED_VALUE"""),39029.0)</f>
        <v>39029</v>
      </c>
      <c r="C4998" s="9">
        <f>IFERROR(__xludf.DUMMYFUNCTION("""COMPUTED_VALUE"""),4.64)</f>
        <v>4.64</v>
      </c>
      <c r="H4998" s="17"/>
      <c r="K4998" s="17"/>
      <c r="N4998" s="17"/>
    </row>
    <row r="4999">
      <c r="B4999" s="11">
        <f>IFERROR(__xludf.DUMMYFUNCTION("""COMPUTED_VALUE"""),39028.0)</f>
        <v>39028</v>
      </c>
      <c r="C4999" s="9">
        <f>IFERROR(__xludf.DUMMYFUNCTION("""COMPUTED_VALUE"""),4.66)</f>
        <v>4.66</v>
      </c>
      <c r="H4999" s="17"/>
      <c r="K4999" s="17"/>
      <c r="N4999" s="17"/>
    </row>
    <row r="5000">
      <c r="B5000" s="11">
        <f>IFERROR(__xludf.DUMMYFUNCTION("""COMPUTED_VALUE"""),39027.0)</f>
        <v>39027</v>
      </c>
      <c r="C5000" s="9">
        <f>IFERROR(__xludf.DUMMYFUNCTION("""COMPUTED_VALUE"""),4.71)</f>
        <v>4.71</v>
      </c>
      <c r="H5000" s="17"/>
      <c r="K5000" s="17"/>
      <c r="N5000" s="17"/>
    </row>
    <row r="5001">
      <c r="B5001" s="11">
        <f>IFERROR(__xludf.DUMMYFUNCTION("""COMPUTED_VALUE"""),39024.0)</f>
        <v>39024</v>
      </c>
      <c r="C5001" s="9">
        <f>IFERROR(__xludf.DUMMYFUNCTION("""COMPUTED_VALUE"""),4.72)</f>
        <v>4.72</v>
      </c>
      <c r="H5001" s="17"/>
      <c r="K5001" s="17"/>
      <c r="N5001" s="17"/>
    </row>
    <row r="5002">
      <c r="B5002" s="11">
        <f>IFERROR(__xludf.DUMMYFUNCTION("""COMPUTED_VALUE"""),39023.0)</f>
        <v>39023</v>
      </c>
      <c r="C5002" s="9">
        <f>IFERROR(__xludf.DUMMYFUNCTION("""COMPUTED_VALUE"""),4.6)</f>
        <v>4.6</v>
      </c>
      <c r="H5002" s="17"/>
      <c r="K5002" s="17"/>
      <c r="N5002" s="17"/>
    </row>
    <row r="5003">
      <c r="B5003" s="11">
        <f>IFERROR(__xludf.DUMMYFUNCTION("""COMPUTED_VALUE"""),39022.0)</f>
        <v>39022</v>
      </c>
      <c r="C5003" s="9">
        <f>IFERROR(__xludf.DUMMYFUNCTION("""COMPUTED_VALUE"""),4.57)</f>
        <v>4.57</v>
      </c>
      <c r="H5003" s="17"/>
      <c r="K5003" s="17"/>
      <c r="N5003" s="17"/>
    </row>
    <row r="5004">
      <c r="B5004" s="11">
        <f>IFERROR(__xludf.DUMMYFUNCTION("""COMPUTED_VALUE"""),39021.0)</f>
        <v>39021</v>
      </c>
      <c r="C5004" s="9">
        <f>IFERROR(__xludf.DUMMYFUNCTION("""COMPUTED_VALUE"""),4.61)</f>
        <v>4.61</v>
      </c>
      <c r="H5004" s="17"/>
      <c r="K5004" s="17"/>
      <c r="N5004" s="17"/>
    </row>
    <row r="5005">
      <c r="B5005" s="11">
        <f>IFERROR(__xludf.DUMMYFUNCTION("""COMPUTED_VALUE"""),39020.0)</f>
        <v>39020</v>
      </c>
      <c r="C5005" s="9">
        <f>IFERROR(__xludf.DUMMYFUNCTION("""COMPUTED_VALUE"""),4.68)</f>
        <v>4.68</v>
      </c>
      <c r="H5005" s="17"/>
      <c r="K5005" s="17"/>
      <c r="N5005" s="17"/>
    </row>
    <row r="5006">
      <c r="B5006" s="11">
        <f>IFERROR(__xludf.DUMMYFUNCTION("""COMPUTED_VALUE"""),39017.0)</f>
        <v>39017</v>
      </c>
      <c r="C5006" s="9">
        <f>IFERROR(__xludf.DUMMYFUNCTION("""COMPUTED_VALUE"""),4.68)</f>
        <v>4.68</v>
      </c>
      <c r="H5006" s="17"/>
      <c r="K5006" s="17"/>
      <c r="N5006" s="17"/>
    </row>
    <row r="5007">
      <c r="B5007" s="11">
        <f>IFERROR(__xludf.DUMMYFUNCTION("""COMPUTED_VALUE"""),39016.0)</f>
        <v>39016</v>
      </c>
      <c r="C5007" s="9">
        <f>IFERROR(__xludf.DUMMYFUNCTION("""COMPUTED_VALUE"""),4.73)</f>
        <v>4.73</v>
      </c>
      <c r="H5007" s="17"/>
      <c r="K5007" s="17"/>
      <c r="N5007" s="17"/>
    </row>
    <row r="5008">
      <c r="B5008" s="11">
        <f>IFERROR(__xludf.DUMMYFUNCTION("""COMPUTED_VALUE"""),39015.0)</f>
        <v>39015</v>
      </c>
      <c r="C5008" s="9">
        <f>IFERROR(__xludf.DUMMYFUNCTION("""COMPUTED_VALUE"""),4.78)</f>
        <v>4.78</v>
      </c>
      <c r="H5008" s="17"/>
      <c r="K5008" s="17"/>
      <c r="N5008" s="17"/>
    </row>
    <row r="5009">
      <c r="B5009" s="11">
        <f>IFERROR(__xludf.DUMMYFUNCTION("""COMPUTED_VALUE"""),39014.0)</f>
        <v>39014</v>
      </c>
      <c r="C5009" s="9">
        <f>IFERROR(__xludf.DUMMYFUNCTION("""COMPUTED_VALUE"""),4.83)</f>
        <v>4.83</v>
      </c>
      <c r="H5009" s="17"/>
      <c r="K5009" s="17"/>
      <c r="N5009" s="17"/>
    </row>
    <row r="5010">
      <c r="B5010" s="11">
        <f>IFERROR(__xludf.DUMMYFUNCTION("""COMPUTED_VALUE"""),39013.0)</f>
        <v>39013</v>
      </c>
      <c r="C5010" s="9">
        <f>IFERROR(__xludf.DUMMYFUNCTION("""COMPUTED_VALUE"""),4.83)</f>
        <v>4.83</v>
      </c>
      <c r="H5010" s="17"/>
      <c r="K5010" s="17"/>
      <c r="N5010" s="17"/>
    </row>
    <row r="5011">
      <c r="B5011" s="11">
        <f>IFERROR(__xludf.DUMMYFUNCTION("""COMPUTED_VALUE"""),39010.0)</f>
        <v>39010</v>
      </c>
      <c r="C5011" s="9">
        <f>IFERROR(__xludf.DUMMYFUNCTION("""COMPUTED_VALUE"""),4.79)</f>
        <v>4.79</v>
      </c>
      <c r="H5011" s="17"/>
      <c r="K5011" s="17"/>
      <c r="N5011" s="17"/>
    </row>
    <row r="5012">
      <c r="B5012" s="11">
        <f>IFERROR(__xludf.DUMMYFUNCTION("""COMPUTED_VALUE"""),39009.0)</f>
        <v>39009</v>
      </c>
      <c r="C5012" s="9">
        <f>IFERROR(__xludf.DUMMYFUNCTION("""COMPUTED_VALUE"""),4.79)</f>
        <v>4.79</v>
      </c>
      <c r="H5012" s="17"/>
      <c r="K5012" s="17"/>
      <c r="N5012" s="17"/>
    </row>
    <row r="5013">
      <c r="B5013" s="11">
        <f>IFERROR(__xludf.DUMMYFUNCTION("""COMPUTED_VALUE"""),39008.0)</f>
        <v>39008</v>
      </c>
      <c r="C5013" s="9">
        <f>IFERROR(__xludf.DUMMYFUNCTION("""COMPUTED_VALUE"""),4.77)</f>
        <v>4.77</v>
      </c>
      <c r="H5013" s="17"/>
      <c r="K5013" s="17"/>
      <c r="N5013" s="17"/>
    </row>
    <row r="5014">
      <c r="B5014" s="11">
        <f>IFERROR(__xludf.DUMMYFUNCTION("""COMPUTED_VALUE"""),39007.0)</f>
        <v>39007</v>
      </c>
      <c r="C5014" s="9">
        <f>IFERROR(__xludf.DUMMYFUNCTION("""COMPUTED_VALUE"""),4.78)</f>
        <v>4.78</v>
      </c>
      <c r="H5014" s="17"/>
      <c r="K5014" s="17"/>
      <c r="N5014" s="17"/>
    </row>
    <row r="5015">
      <c r="B5015" s="11">
        <f>IFERROR(__xludf.DUMMYFUNCTION("""COMPUTED_VALUE"""),39006.0)</f>
        <v>39006</v>
      </c>
      <c r="C5015" s="9">
        <f>IFERROR(__xludf.DUMMYFUNCTION("""COMPUTED_VALUE"""),4.79)</f>
        <v>4.79</v>
      </c>
      <c r="H5015" s="17"/>
      <c r="K5015" s="17"/>
      <c r="N5015" s="17"/>
    </row>
    <row r="5016">
      <c r="B5016" s="11">
        <f>IFERROR(__xludf.DUMMYFUNCTION("""COMPUTED_VALUE"""),39003.0)</f>
        <v>39003</v>
      </c>
      <c r="C5016" s="9">
        <f>IFERROR(__xludf.DUMMYFUNCTION("""COMPUTED_VALUE"""),4.81)</f>
        <v>4.81</v>
      </c>
      <c r="H5016" s="17"/>
      <c r="K5016" s="17"/>
      <c r="N5016" s="17"/>
    </row>
    <row r="5017">
      <c r="B5017" s="11">
        <f>IFERROR(__xludf.DUMMYFUNCTION("""COMPUTED_VALUE"""),39002.0)</f>
        <v>39002</v>
      </c>
      <c r="C5017" s="9">
        <f>IFERROR(__xludf.DUMMYFUNCTION("""COMPUTED_VALUE"""),4.79)</f>
        <v>4.79</v>
      </c>
      <c r="H5017" s="17"/>
      <c r="K5017" s="17"/>
      <c r="N5017" s="17"/>
    </row>
    <row r="5018">
      <c r="B5018" s="11">
        <f>IFERROR(__xludf.DUMMYFUNCTION("""COMPUTED_VALUE"""),39001.0)</f>
        <v>39001</v>
      </c>
      <c r="C5018" s="9">
        <f>IFERROR(__xludf.DUMMYFUNCTION("""COMPUTED_VALUE"""),4.78)</f>
        <v>4.78</v>
      </c>
      <c r="H5018" s="17"/>
      <c r="K5018" s="17"/>
      <c r="N5018" s="17"/>
    </row>
    <row r="5019">
      <c r="B5019" s="11">
        <f>IFERROR(__xludf.DUMMYFUNCTION("""COMPUTED_VALUE"""),39000.0)</f>
        <v>39000</v>
      </c>
      <c r="C5019" s="9">
        <f>IFERROR(__xludf.DUMMYFUNCTION("""COMPUTED_VALUE"""),4.75)</f>
        <v>4.75</v>
      </c>
      <c r="H5019" s="17"/>
      <c r="K5019" s="17"/>
      <c r="N5019" s="17"/>
    </row>
    <row r="5020">
      <c r="B5020" s="11">
        <f>IFERROR(__xludf.DUMMYFUNCTION("""COMPUTED_VALUE"""),38999.0)</f>
        <v>38999</v>
      </c>
      <c r="C5020" s="9"/>
      <c r="H5020" s="17"/>
      <c r="K5020" s="17"/>
      <c r="N5020" s="17"/>
    </row>
    <row r="5021">
      <c r="B5021" s="11">
        <f>IFERROR(__xludf.DUMMYFUNCTION("""COMPUTED_VALUE"""),38996.0)</f>
        <v>38996</v>
      </c>
      <c r="C5021" s="9">
        <f>IFERROR(__xludf.DUMMYFUNCTION("""COMPUTED_VALUE"""),4.7)</f>
        <v>4.7</v>
      </c>
      <c r="H5021" s="17"/>
      <c r="K5021" s="17"/>
      <c r="N5021" s="17"/>
    </row>
    <row r="5022">
      <c r="B5022" s="11">
        <f>IFERROR(__xludf.DUMMYFUNCTION("""COMPUTED_VALUE"""),38995.0)</f>
        <v>38995</v>
      </c>
      <c r="C5022" s="9">
        <f>IFERROR(__xludf.DUMMYFUNCTION("""COMPUTED_VALUE"""),4.61)</f>
        <v>4.61</v>
      </c>
      <c r="H5022" s="17"/>
      <c r="K5022" s="17"/>
      <c r="N5022" s="17"/>
    </row>
    <row r="5023">
      <c r="B5023" s="11">
        <f>IFERROR(__xludf.DUMMYFUNCTION("""COMPUTED_VALUE"""),38994.0)</f>
        <v>38994</v>
      </c>
      <c r="C5023" s="9">
        <f>IFERROR(__xludf.DUMMYFUNCTION("""COMPUTED_VALUE"""),4.57)</f>
        <v>4.57</v>
      </c>
      <c r="H5023" s="17"/>
      <c r="K5023" s="17"/>
      <c r="N5023" s="17"/>
    </row>
    <row r="5024">
      <c r="B5024" s="11">
        <f>IFERROR(__xludf.DUMMYFUNCTION("""COMPUTED_VALUE"""),38993.0)</f>
        <v>38993</v>
      </c>
      <c r="C5024" s="9">
        <f>IFERROR(__xludf.DUMMYFUNCTION("""COMPUTED_VALUE"""),4.62)</f>
        <v>4.62</v>
      </c>
      <c r="H5024" s="17"/>
      <c r="K5024" s="17"/>
      <c r="N5024" s="17"/>
    </row>
    <row r="5025">
      <c r="B5025" s="11">
        <f>IFERROR(__xludf.DUMMYFUNCTION("""COMPUTED_VALUE"""),38992.0)</f>
        <v>38992</v>
      </c>
      <c r="C5025" s="9">
        <f>IFERROR(__xludf.DUMMYFUNCTION("""COMPUTED_VALUE"""),4.62)</f>
        <v>4.62</v>
      </c>
      <c r="H5025" s="17"/>
      <c r="K5025" s="17"/>
      <c r="N5025" s="17"/>
    </row>
    <row r="5026">
      <c r="B5026" s="11">
        <f>IFERROR(__xludf.DUMMYFUNCTION("""COMPUTED_VALUE"""),38989.0)</f>
        <v>38989</v>
      </c>
      <c r="C5026" s="9">
        <f>IFERROR(__xludf.DUMMYFUNCTION("""COMPUTED_VALUE"""),4.64)</f>
        <v>4.64</v>
      </c>
      <c r="H5026" s="17"/>
      <c r="K5026" s="17"/>
      <c r="N5026" s="17"/>
    </row>
    <row r="5027">
      <c r="B5027" s="11">
        <f>IFERROR(__xludf.DUMMYFUNCTION("""COMPUTED_VALUE"""),38988.0)</f>
        <v>38988</v>
      </c>
      <c r="C5027" s="9">
        <f>IFERROR(__xludf.DUMMYFUNCTION("""COMPUTED_VALUE"""),4.63)</f>
        <v>4.63</v>
      </c>
      <c r="H5027" s="17"/>
      <c r="K5027" s="17"/>
      <c r="N5027" s="17"/>
    </row>
    <row r="5028">
      <c r="B5028" s="11">
        <f>IFERROR(__xludf.DUMMYFUNCTION("""COMPUTED_VALUE"""),38987.0)</f>
        <v>38987</v>
      </c>
      <c r="C5028" s="9">
        <f>IFERROR(__xludf.DUMMYFUNCTION("""COMPUTED_VALUE"""),4.6)</f>
        <v>4.6</v>
      </c>
      <c r="H5028" s="17"/>
      <c r="K5028" s="17"/>
      <c r="N5028" s="17"/>
    </row>
    <row r="5029">
      <c r="B5029" s="11">
        <f>IFERROR(__xludf.DUMMYFUNCTION("""COMPUTED_VALUE"""),38986.0)</f>
        <v>38986</v>
      </c>
      <c r="C5029" s="9">
        <f>IFERROR(__xludf.DUMMYFUNCTION("""COMPUTED_VALUE"""),4.59)</f>
        <v>4.59</v>
      </c>
      <c r="H5029" s="17"/>
      <c r="K5029" s="17"/>
      <c r="N5029" s="17"/>
    </row>
    <row r="5030">
      <c r="B5030" s="11">
        <f>IFERROR(__xludf.DUMMYFUNCTION("""COMPUTED_VALUE"""),38985.0)</f>
        <v>38985</v>
      </c>
      <c r="C5030" s="9">
        <f>IFERROR(__xludf.DUMMYFUNCTION("""COMPUTED_VALUE"""),4.56)</f>
        <v>4.56</v>
      </c>
      <c r="H5030" s="17"/>
      <c r="K5030" s="17"/>
      <c r="N5030" s="17"/>
    </row>
    <row r="5031">
      <c r="B5031" s="11">
        <f>IFERROR(__xludf.DUMMYFUNCTION("""COMPUTED_VALUE"""),38982.0)</f>
        <v>38982</v>
      </c>
      <c r="C5031" s="9">
        <f>IFERROR(__xludf.DUMMYFUNCTION("""COMPUTED_VALUE"""),4.6)</f>
        <v>4.6</v>
      </c>
      <c r="H5031" s="17"/>
      <c r="K5031" s="17"/>
      <c r="N5031" s="17"/>
    </row>
    <row r="5032">
      <c r="B5032" s="11">
        <f>IFERROR(__xludf.DUMMYFUNCTION("""COMPUTED_VALUE"""),38981.0)</f>
        <v>38981</v>
      </c>
      <c r="C5032" s="9">
        <f>IFERROR(__xludf.DUMMYFUNCTION("""COMPUTED_VALUE"""),4.65)</f>
        <v>4.65</v>
      </c>
      <c r="H5032" s="17"/>
      <c r="K5032" s="17"/>
      <c r="N5032" s="17"/>
    </row>
    <row r="5033">
      <c r="B5033" s="11">
        <f>IFERROR(__xludf.DUMMYFUNCTION("""COMPUTED_VALUE"""),38980.0)</f>
        <v>38980</v>
      </c>
      <c r="C5033" s="9">
        <f>IFERROR(__xludf.DUMMYFUNCTION("""COMPUTED_VALUE"""),4.73)</f>
        <v>4.73</v>
      </c>
      <c r="H5033" s="17"/>
      <c r="K5033" s="17"/>
      <c r="N5033" s="17"/>
    </row>
    <row r="5034">
      <c r="B5034" s="11">
        <f>IFERROR(__xludf.DUMMYFUNCTION("""COMPUTED_VALUE"""),38979.0)</f>
        <v>38979</v>
      </c>
      <c r="C5034" s="9">
        <f>IFERROR(__xludf.DUMMYFUNCTION("""COMPUTED_VALUE"""),4.74)</f>
        <v>4.74</v>
      </c>
      <c r="H5034" s="17"/>
      <c r="K5034" s="17"/>
      <c r="N5034" s="17"/>
    </row>
    <row r="5035">
      <c r="B5035" s="11">
        <f>IFERROR(__xludf.DUMMYFUNCTION("""COMPUTED_VALUE"""),38978.0)</f>
        <v>38978</v>
      </c>
      <c r="C5035" s="9">
        <f>IFERROR(__xludf.DUMMYFUNCTION("""COMPUTED_VALUE"""),4.81)</f>
        <v>4.81</v>
      </c>
      <c r="H5035" s="17"/>
      <c r="K5035" s="17"/>
      <c r="N5035" s="17"/>
    </row>
    <row r="5036">
      <c r="B5036" s="11">
        <f>IFERROR(__xludf.DUMMYFUNCTION("""COMPUTED_VALUE"""),38975.0)</f>
        <v>38975</v>
      </c>
      <c r="C5036" s="9">
        <f>IFERROR(__xludf.DUMMYFUNCTION("""COMPUTED_VALUE"""),4.8)</f>
        <v>4.8</v>
      </c>
      <c r="H5036" s="17"/>
      <c r="K5036" s="17"/>
      <c r="N5036" s="17"/>
    </row>
    <row r="5037">
      <c r="B5037" s="11">
        <f>IFERROR(__xludf.DUMMYFUNCTION("""COMPUTED_VALUE"""),38974.0)</f>
        <v>38974</v>
      </c>
      <c r="C5037" s="9">
        <f>IFERROR(__xludf.DUMMYFUNCTION("""COMPUTED_VALUE"""),4.79)</f>
        <v>4.79</v>
      </c>
      <c r="H5037" s="17"/>
      <c r="K5037" s="17"/>
      <c r="N5037" s="17"/>
    </row>
    <row r="5038">
      <c r="B5038" s="11">
        <f>IFERROR(__xludf.DUMMYFUNCTION("""COMPUTED_VALUE"""),38973.0)</f>
        <v>38973</v>
      </c>
      <c r="C5038" s="9">
        <f>IFERROR(__xludf.DUMMYFUNCTION("""COMPUTED_VALUE"""),4.77)</f>
        <v>4.77</v>
      </c>
      <c r="H5038" s="17"/>
      <c r="K5038" s="17"/>
      <c r="N5038" s="17"/>
    </row>
    <row r="5039">
      <c r="B5039" s="11">
        <f>IFERROR(__xludf.DUMMYFUNCTION("""COMPUTED_VALUE"""),38972.0)</f>
        <v>38972</v>
      </c>
      <c r="C5039" s="9">
        <f>IFERROR(__xludf.DUMMYFUNCTION("""COMPUTED_VALUE"""),4.78)</f>
        <v>4.78</v>
      </c>
      <c r="H5039" s="17"/>
      <c r="K5039" s="17"/>
      <c r="N5039" s="17"/>
    </row>
    <row r="5040">
      <c r="B5040" s="11">
        <f>IFERROR(__xludf.DUMMYFUNCTION("""COMPUTED_VALUE"""),38971.0)</f>
        <v>38971</v>
      </c>
      <c r="C5040" s="9">
        <f>IFERROR(__xludf.DUMMYFUNCTION("""COMPUTED_VALUE"""),4.8)</f>
        <v>4.8</v>
      </c>
      <c r="H5040" s="17"/>
      <c r="K5040" s="17"/>
      <c r="N5040" s="17"/>
    </row>
    <row r="5041">
      <c r="B5041" s="11">
        <f>IFERROR(__xludf.DUMMYFUNCTION("""COMPUTED_VALUE"""),38968.0)</f>
        <v>38968</v>
      </c>
      <c r="C5041" s="9">
        <f>IFERROR(__xludf.DUMMYFUNCTION("""COMPUTED_VALUE"""),4.78)</f>
        <v>4.78</v>
      </c>
      <c r="H5041" s="17"/>
      <c r="K5041" s="17"/>
      <c r="N5041" s="17"/>
    </row>
    <row r="5042">
      <c r="B5042" s="11">
        <f>IFERROR(__xludf.DUMMYFUNCTION("""COMPUTED_VALUE"""),38967.0)</f>
        <v>38967</v>
      </c>
      <c r="C5042" s="9">
        <f>IFERROR(__xludf.DUMMYFUNCTION("""COMPUTED_VALUE"""),4.8)</f>
        <v>4.8</v>
      </c>
      <c r="H5042" s="17"/>
      <c r="K5042" s="17"/>
      <c r="N5042" s="17"/>
    </row>
    <row r="5043">
      <c r="B5043" s="11">
        <f>IFERROR(__xludf.DUMMYFUNCTION("""COMPUTED_VALUE"""),38966.0)</f>
        <v>38966</v>
      </c>
      <c r="C5043" s="9">
        <f>IFERROR(__xludf.DUMMYFUNCTION("""COMPUTED_VALUE"""),4.8)</f>
        <v>4.8</v>
      </c>
      <c r="H5043" s="17"/>
      <c r="K5043" s="17"/>
      <c r="N5043" s="17"/>
    </row>
    <row r="5044">
      <c r="B5044" s="11">
        <f>IFERROR(__xludf.DUMMYFUNCTION("""COMPUTED_VALUE"""),38965.0)</f>
        <v>38965</v>
      </c>
      <c r="C5044" s="9">
        <f>IFERROR(__xludf.DUMMYFUNCTION("""COMPUTED_VALUE"""),4.78)</f>
        <v>4.78</v>
      </c>
      <c r="H5044" s="17"/>
      <c r="K5044" s="17"/>
      <c r="N5044" s="17"/>
    </row>
    <row r="5045">
      <c r="B5045" s="11">
        <f>IFERROR(__xludf.DUMMYFUNCTION("""COMPUTED_VALUE"""),38964.0)</f>
        <v>38964</v>
      </c>
      <c r="C5045" s="9"/>
      <c r="H5045" s="17"/>
      <c r="K5045" s="17"/>
      <c r="N5045" s="17"/>
    </row>
    <row r="5046">
      <c r="B5046" s="11">
        <f>IFERROR(__xludf.DUMMYFUNCTION("""COMPUTED_VALUE"""),38961.0)</f>
        <v>38961</v>
      </c>
      <c r="C5046" s="9">
        <f>IFERROR(__xludf.DUMMYFUNCTION("""COMPUTED_VALUE"""),4.73)</f>
        <v>4.73</v>
      </c>
      <c r="H5046" s="17"/>
      <c r="K5046" s="17"/>
      <c r="N5046" s="17"/>
    </row>
    <row r="5047">
      <c r="B5047" s="11">
        <f>IFERROR(__xludf.DUMMYFUNCTION("""COMPUTED_VALUE"""),38960.0)</f>
        <v>38960</v>
      </c>
      <c r="C5047" s="9">
        <f>IFERROR(__xludf.DUMMYFUNCTION("""COMPUTED_VALUE"""),4.74)</f>
        <v>4.74</v>
      </c>
      <c r="H5047" s="17"/>
      <c r="K5047" s="17"/>
      <c r="N5047" s="17"/>
    </row>
    <row r="5048">
      <c r="B5048" s="11">
        <f>IFERROR(__xludf.DUMMYFUNCTION("""COMPUTED_VALUE"""),38959.0)</f>
        <v>38959</v>
      </c>
      <c r="C5048" s="9">
        <f>IFERROR(__xludf.DUMMYFUNCTION("""COMPUTED_VALUE"""),4.76)</f>
        <v>4.76</v>
      </c>
      <c r="H5048" s="17"/>
      <c r="K5048" s="17"/>
      <c r="N5048" s="17"/>
    </row>
    <row r="5049">
      <c r="B5049" s="11">
        <f>IFERROR(__xludf.DUMMYFUNCTION("""COMPUTED_VALUE"""),38958.0)</f>
        <v>38958</v>
      </c>
      <c r="C5049" s="9">
        <f>IFERROR(__xludf.DUMMYFUNCTION("""COMPUTED_VALUE"""),4.79)</f>
        <v>4.79</v>
      </c>
      <c r="H5049" s="17"/>
      <c r="K5049" s="17"/>
      <c r="N5049" s="17"/>
    </row>
    <row r="5050">
      <c r="B5050" s="11">
        <f>IFERROR(__xludf.DUMMYFUNCTION("""COMPUTED_VALUE"""),38957.0)</f>
        <v>38957</v>
      </c>
      <c r="C5050" s="9">
        <f>IFERROR(__xludf.DUMMYFUNCTION("""COMPUTED_VALUE"""),4.8)</f>
        <v>4.8</v>
      </c>
      <c r="H5050" s="17"/>
      <c r="K5050" s="17"/>
      <c r="N5050" s="17"/>
    </row>
    <row r="5051">
      <c r="B5051" s="11">
        <f>IFERROR(__xludf.DUMMYFUNCTION("""COMPUTED_VALUE"""),38954.0)</f>
        <v>38954</v>
      </c>
      <c r="C5051" s="9">
        <f>IFERROR(__xludf.DUMMYFUNCTION("""COMPUTED_VALUE"""),4.79)</f>
        <v>4.79</v>
      </c>
      <c r="H5051" s="17"/>
      <c r="K5051" s="17"/>
      <c r="N5051" s="17"/>
    </row>
    <row r="5052">
      <c r="B5052" s="11">
        <f>IFERROR(__xludf.DUMMYFUNCTION("""COMPUTED_VALUE"""),38953.0)</f>
        <v>38953</v>
      </c>
      <c r="C5052" s="9">
        <f>IFERROR(__xludf.DUMMYFUNCTION("""COMPUTED_VALUE"""),4.81)</f>
        <v>4.81</v>
      </c>
      <c r="H5052" s="17"/>
      <c r="K5052" s="17"/>
      <c r="N5052" s="17"/>
    </row>
    <row r="5053">
      <c r="B5053" s="11">
        <f>IFERROR(__xludf.DUMMYFUNCTION("""COMPUTED_VALUE"""),38952.0)</f>
        <v>38952</v>
      </c>
      <c r="C5053" s="9">
        <f>IFERROR(__xludf.DUMMYFUNCTION("""COMPUTED_VALUE"""),4.82)</f>
        <v>4.82</v>
      </c>
      <c r="H5053" s="17"/>
      <c r="K5053" s="17"/>
      <c r="N5053" s="17"/>
    </row>
    <row r="5054">
      <c r="B5054" s="11">
        <f>IFERROR(__xludf.DUMMYFUNCTION("""COMPUTED_VALUE"""),38951.0)</f>
        <v>38951</v>
      </c>
      <c r="C5054" s="9">
        <f>IFERROR(__xludf.DUMMYFUNCTION("""COMPUTED_VALUE"""),4.82)</f>
        <v>4.82</v>
      </c>
      <c r="H5054" s="17"/>
      <c r="K5054" s="17"/>
      <c r="N5054" s="17"/>
    </row>
    <row r="5055">
      <c r="B5055" s="11">
        <f>IFERROR(__xludf.DUMMYFUNCTION("""COMPUTED_VALUE"""),38950.0)</f>
        <v>38950</v>
      </c>
      <c r="C5055" s="9">
        <f>IFERROR(__xludf.DUMMYFUNCTION("""COMPUTED_VALUE"""),4.82)</f>
        <v>4.82</v>
      </c>
      <c r="H5055" s="17"/>
      <c r="K5055" s="17"/>
      <c r="N5055" s="17"/>
    </row>
    <row r="5056">
      <c r="B5056" s="11">
        <f>IFERROR(__xludf.DUMMYFUNCTION("""COMPUTED_VALUE"""),38947.0)</f>
        <v>38947</v>
      </c>
      <c r="C5056" s="9">
        <f>IFERROR(__xludf.DUMMYFUNCTION("""COMPUTED_VALUE"""),4.84)</f>
        <v>4.84</v>
      </c>
      <c r="H5056" s="17"/>
      <c r="K5056" s="17"/>
      <c r="N5056" s="17"/>
    </row>
    <row r="5057">
      <c r="B5057" s="11">
        <f>IFERROR(__xludf.DUMMYFUNCTION("""COMPUTED_VALUE"""),38946.0)</f>
        <v>38946</v>
      </c>
      <c r="C5057" s="9">
        <f>IFERROR(__xludf.DUMMYFUNCTION("""COMPUTED_VALUE"""),4.87)</f>
        <v>4.87</v>
      </c>
      <c r="H5057" s="17"/>
      <c r="K5057" s="17"/>
      <c r="N5057" s="17"/>
    </row>
    <row r="5058">
      <c r="B5058" s="11">
        <f>IFERROR(__xludf.DUMMYFUNCTION("""COMPUTED_VALUE"""),38945.0)</f>
        <v>38945</v>
      </c>
      <c r="C5058" s="9">
        <f>IFERROR(__xludf.DUMMYFUNCTION("""COMPUTED_VALUE"""),4.87)</f>
        <v>4.87</v>
      </c>
      <c r="H5058" s="17"/>
      <c r="K5058" s="17"/>
      <c r="N5058" s="17"/>
    </row>
    <row r="5059">
      <c r="B5059" s="11">
        <f>IFERROR(__xludf.DUMMYFUNCTION("""COMPUTED_VALUE"""),38944.0)</f>
        <v>38944</v>
      </c>
      <c r="C5059" s="9">
        <f>IFERROR(__xludf.DUMMYFUNCTION("""COMPUTED_VALUE"""),4.93)</f>
        <v>4.93</v>
      </c>
      <c r="H5059" s="17"/>
      <c r="K5059" s="17"/>
      <c r="N5059" s="17"/>
    </row>
    <row r="5060">
      <c r="B5060" s="11">
        <f>IFERROR(__xludf.DUMMYFUNCTION("""COMPUTED_VALUE"""),38943.0)</f>
        <v>38943</v>
      </c>
      <c r="C5060" s="9">
        <f>IFERROR(__xludf.DUMMYFUNCTION("""COMPUTED_VALUE"""),5.0)</f>
        <v>5</v>
      </c>
      <c r="H5060" s="17"/>
      <c r="K5060" s="17"/>
      <c r="N5060" s="17"/>
    </row>
    <row r="5061">
      <c r="B5061" s="11">
        <f>IFERROR(__xludf.DUMMYFUNCTION("""COMPUTED_VALUE"""),38940.0)</f>
        <v>38940</v>
      </c>
      <c r="C5061" s="9">
        <f>IFERROR(__xludf.DUMMYFUNCTION("""COMPUTED_VALUE"""),4.97)</f>
        <v>4.97</v>
      </c>
      <c r="H5061" s="17"/>
      <c r="K5061" s="17"/>
      <c r="N5061" s="17"/>
    </row>
    <row r="5062">
      <c r="B5062" s="11">
        <f>IFERROR(__xludf.DUMMYFUNCTION("""COMPUTED_VALUE"""),38939.0)</f>
        <v>38939</v>
      </c>
      <c r="C5062" s="9">
        <f>IFERROR(__xludf.DUMMYFUNCTION("""COMPUTED_VALUE"""),4.93)</f>
        <v>4.93</v>
      </c>
      <c r="H5062" s="17"/>
      <c r="K5062" s="17"/>
      <c r="N5062" s="17"/>
    </row>
    <row r="5063">
      <c r="B5063" s="11">
        <f>IFERROR(__xludf.DUMMYFUNCTION("""COMPUTED_VALUE"""),38938.0)</f>
        <v>38938</v>
      </c>
      <c r="C5063" s="9">
        <f>IFERROR(__xludf.DUMMYFUNCTION("""COMPUTED_VALUE"""),4.92)</f>
        <v>4.92</v>
      </c>
      <c r="H5063" s="17"/>
      <c r="K5063" s="17"/>
      <c r="N5063" s="17"/>
    </row>
    <row r="5064">
      <c r="B5064" s="11">
        <f>IFERROR(__xludf.DUMMYFUNCTION("""COMPUTED_VALUE"""),38937.0)</f>
        <v>38937</v>
      </c>
      <c r="C5064" s="9">
        <f>IFERROR(__xludf.DUMMYFUNCTION("""COMPUTED_VALUE"""),4.93)</f>
        <v>4.93</v>
      </c>
      <c r="H5064" s="17"/>
      <c r="K5064" s="17"/>
      <c r="N5064" s="17"/>
    </row>
    <row r="5065">
      <c r="B5065" s="11">
        <f>IFERROR(__xludf.DUMMYFUNCTION("""COMPUTED_VALUE"""),38936.0)</f>
        <v>38936</v>
      </c>
      <c r="C5065" s="9">
        <f>IFERROR(__xludf.DUMMYFUNCTION("""COMPUTED_VALUE"""),4.93)</f>
        <v>4.93</v>
      </c>
      <c r="H5065" s="17"/>
      <c r="K5065" s="17"/>
      <c r="N5065" s="17"/>
    </row>
    <row r="5066">
      <c r="B5066" s="11">
        <f>IFERROR(__xludf.DUMMYFUNCTION("""COMPUTED_VALUE"""),38933.0)</f>
        <v>38933</v>
      </c>
      <c r="C5066" s="9">
        <f>IFERROR(__xludf.DUMMYFUNCTION("""COMPUTED_VALUE"""),4.91)</f>
        <v>4.91</v>
      </c>
      <c r="H5066" s="17"/>
      <c r="K5066" s="17"/>
      <c r="N5066" s="17"/>
    </row>
    <row r="5067">
      <c r="B5067" s="11">
        <f>IFERROR(__xludf.DUMMYFUNCTION("""COMPUTED_VALUE"""),38932.0)</f>
        <v>38932</v>
      </c>
      <c r="C5067" s="9">
        <f>IFERROR(__xludf.DUMMYFUNCTION("""COMPUTED_VALUE"""),4.96)</f>
        <v>4.96</v>
      </c>
      <c r="H5067" s="17"/>
      <c r="K5067" s="17"/>
      <c r="N5067" s="17"/>
    </row>
    <row r="5068">
      <c r="B5068" s="11">
        <f>IFERROR(__xludf.DUMMYFUNCTION("""COMPUTED_VALUE"""),38931.0)</f>
        <v>38931</v>
      </c>
      <c r="C5068" s="9">
        <f>IFERROR(__xludf.DUMMYFUNCTION("""COMPUTED_VALUE"""),4.96)</f>
        <v>4.96</v>
      </c>
      <c r="H5068" s="17"/>
      <c r="K5068" s="17"/>
      <c r="N5068" s="17"/>
    </row>
    <row r="5069">
      <c r="B5069" s="11">
        <f>IFERROR(__xludf.DUMMYFUNCTION("""COMPUTED_VALUE"""),38930.0)</f>
        <v>38930</v>
      </c>
      <c r="C5069" s="9">
        <f>IFERROR(__xludf.DUMMYFUNCTION("""COMPUTED_VALUE"""),4.99)</f>
        <v>4.99</v>
      </c>
      <c r="H5069" s="17"/>
      <c r="K5069" s="17"/>
      <c r="N5069" s="17"/>
    </row>
    <row r="5070">
      <c r="B5070" s="11">
        <f>IFERROR(__xludf.DUMMYFUNCTION("""COMPUTED_VALUE"""),38929.0)</f>
        <v>38929</v>
      </c>
      <c r="C5070" s="9">
        <f>IFERROR(__xludf.DUMMYFUNCTION("""COMPUTED_VALUE"""),4.99)</f>
        <v>4.99</v>
      </c>
      <c r="H5070" s="17"/>
      <c r="K5070" s="17"/>
      <c r="N5070" s="17"/>
    </row>
    <row r="5071">
      <c r="B5071" s="11">
        <f>IFERROR(__xludf.DUMMYFUNCTION("""COMPUTED_VALUE"""),38926.0)</f>
        <v>38926</v>
      </c>
      <c r="C5071" s="9">
        <f>IFERROR(__xludf.DUMMYFUNCTION("""COMPUTED_VALUE"""),5.0)</f>
        <v>5</v>
      </c>
      <c r="H5071" s="17"/>
      <c r="K5071" s="17"/>
      <c r="N5071" s="17"/>
    </row>
    <row r="5072">
      <c r="B5072" s="11">
        <f>IFERROR(__xludf.DUMMYFUNCTION("""COMPUTED_VALUE"""),38925.0)</f>
        <v>38925</v>
      </c>
      <c r="C5072" s="9">
        <f>IFERROR(__xludf.DUMMYFUNCTION("""COMPUTED_VALUE"""),5.07)</f>
        <v>5.07</v>
      </c>
      <c r="H5072" s="17"/>
      <c r="K5072" s="17"/>
      <c r="N5072" s="17"/>
    </row>
    <row r="5073">
      <c r="B5073" s="11">
        <f>IFERROR(__xludf.DUMMYFUNCTION("""COMPUTED_VALUE"""),38924.0)</f>
        <v>38924</v>
      </c>
      <c r="C5073" s="9">
        <f>IFERROR(__xludf.DUMMYFUNCTION("""COMPUTED_VALUE"""),5.04)</f>
        <v>5.04</v>
      </c>
      <c r="H5073" s="17"/>
      <c r="K5073" s="17"/>
      <c r="N5073" s="17"/>
    </row>
    <row r="5074">
      <c r="B5074" s="11">
        <f>IFERROR(__xludf.DUMMYFUNCTION("""COMPUTED_VALUE"""),38923.0)</f>
        <v>38923</v>
      </c>
      <c r="C5074" s="9">
        <f>IFERROR(__xludf.DUMMYFUNCTION("""COMPUTED_VALUE"""),5.07)</f>
        <v>5.07</v>
      </c>
      <c r="H5074" s="17"/>
      <c r="K5074" s="17"/>
      <c r="N5074" s="17"/>
    </row>
    <row r="5075">
      <c r="B5075" s="11">
        <f>IFERROR(__xludf.DUMMYFUNCTION("""COMPUTED_VALUE"""),38922.0)</f>
        <v>38922</v>
      </c>
      <c r="C5075" s="9">
        <f>IFERROR(__xludf.DUMMYFUNCTION("""COMPUTED_VALUE"""),5.05)</f>
        <v>5.05</v>
      </c>
      <c r="H5075" s="17"/>
      <c r="K5075" s="17"/>
      <c r="N5075" s="17"/>
    </row>
    <row r="5076">
      <c r="B5076" s="11">
        <f>IFERROR(__xludf.DUMMYFUNCTION("""COMPUTED_VALUE"""),38919.0)</f>
        <v>38919</v>
      </c>
      <c r="C5076" s="9">
        <f>IFERROR(__xludf.DUMMYFUNCTION("""COMPUTED_VALUE"""),5.05)</f>
        <v>5.05</v>
      </c>
      <c r="H5076" s="17"/>
      <c r="K5076" s="17"/>
      <c r="N5076" s="17"/>
    </row>
    <row r="5077">
      <c r="B5077" s="11">
        <f>IFERROR(__xludf.DUMMYFUNCTION("""COMPUTED_VALUE"""),38918.0)</f>
        <v>38918</v>
      </c>
      <c r="C5077" s="9">
        <f>IFERROR(__xludf.DUMMYFUNCTION("""COMPUTED_VALUE"""),5.03)</f>
        <v>5.03</v>
      </c>
      <c r="H5077" s="17"/>
      <c r="K5077" s="17"/>
      <c r="N5077" s="17"/>
    </row>
    <row r="5078">
      <c r="B5078" s="11">
        <f>IFERROR(__xludf.DUMMYFUNCTION("""COMPUTED_VALUE"""),38917.0)</f>
        <v>38917</v>
      </c>
      <c r="C5078" s="9">
        <f>IFERROR(__xludf.DUMMYFUNCTION("""COMPUTED_VALUE"""),5.06)</f>
        <v>5.06</v>
      </c>
      <c r="H5078" s="17"/>
      <c r="K5078" s="17"/>
      <c r="N5078" s="17"/>
    </row>
    <row r="5079">
      <c r="B5079" s="11">
        <f>IFERROR(__xludf.DUMMYFUNCTION("""COMPUTED_VALUE"""),38916.0)</f>
        <v>38916</v>
      </c>
      <c r="C5079" s="9">
        <f>IFERROR(__xludf.DUMMYFUNCTION("""COMPUTED_VALUE"""),5.13)</f>
        <v>5.13</v>
      </c>
      <c r="H5079" s="17"/>
      <c r="K5079" s="17"/>
      <c r="N5079" s="17"/>
    </row>
    <row r="5080">
      <c r="B5080" s="11">
        <f>IFERROR(__xludf.DUMMYFUNCTION("""COMPUTED_VALUE"""),38915.0)</f>
        <v>38915</v>
      </c>
      <c r="C5080" s="9">
        <f>IFERROR(__xludf.DUMMYFUNCTION("""COMPUTED_VALUE"""),5.07)</f>
        <v>5.07</v>
      </c>
      <c r="H5080" s="17"/>
      <c r="K5080" s="17"/>
      <c r="N5080" s="17"/>
    </row>
    <row r="5081">
      <c r="B5081" s="11">
        <f>IFERROR(__xludf.DUMMYFUNCTION("""COMPUTED_VALUE"""),38912.0)</f>
        <v>38912</v>
      </c>
      <c r="C5081" s="9">
        <f>IFERROR(__xludf.DUMMYFUNCTION("""COMPUTED_VALUE"""),5.07)</f>
        <v>5.07</v>
      </c>
      <c r="H5081" s="17"/>
      <c r="K5081" s="17"/>
      <c r="N5081" s="17"/>
    </row>
    <row r="5082">
      <c r="B5082" s="11">
        <f>IFERROR(__xludf.DUMMYFUNCTION("""COMPUTED_VALUE"""),38911.0)</f>
        <v>38911</v>
      </c>
      <c r="C5082" s="9">
        <f>IFERROR(__xludf.DUMMYFUNCTION("""COMPUTED_VALUE"""),5.08)</f>
        <v>5.08</v>
      </c>
      <c r="H5082" s="17"/>
      <c r="K5082" s="17"/>
      <c r="N5082" s="17"/>
    </row>
    <row r="5083">
      <c r="B5083" s="11">
        <f>IFERROR(__xludf.DUMMYFUNCTION("""COMPUTED_VALUE"""),38910.0)</f>
        <v>38910</v>
      </c>
      <c r="C5083" s="9">
        <f>IFERROR(__xludf.DUMMYFUNCTION("""COMPUTED_VALUE"""),5.1)</f>
        <v>5.1</v>
      </c>
      <c r="H5083" s="17"/>
      <c r="K5083" s="17"/>
      <c r="N5083" s="17"/>
    </row>
    <row r="5084">
      <c r="B5084" s="11">
        <f>IFERROR(__xludf.DUMMYFUNCTION("""COMPUTED_VALUE"""),38909.0)</f>
        <v>38909</v>
      </c>
      <c r="C5084" s="9">
        <f>IFERROR(__xludf.DUMMYFUNCTION("""COMPUTED_VALUE"""),5.1)</f>
        <v>5.1</v>
      </c>
      <c r="H5084" s="17"/>
      <c r="K5084" s="17"/>
      <c r="N5084" s="17"/>
    </row>
    <row r="5085">
      <c r="B5085" s="11">
        <f>IFERROR(__xludf.DUMMYFUNCTION("""COMPUTED_VALUE"""),38908.0)</f>
        <v>38908</v>
      </c>
      <c r="C5085" s="9">
        <f>IFERROR(__xludf.DUMMYFUNCTION("""COMPUTED_VALUE"""),5.13)</f>
        <v>5.13</v>
      </c>
      <c r="H5085" s="17"/>
      <c r="K5085" s="17"/>
      <c r="N5085" s="17"/>
    </row>
    <row r="5086">
      <c r="B5086" s="11">
        <f>IFERROR(__xludf.DUMMYFUNCTION("""COMPUTED_VALUE"""),38905.0)</f>
        <v>38905</v>
      </c>
      <c r="C5086" s="9">
        <f>IFERROR(__xludf.DUMMYFUNCTION("""COMPUTED_VALUE"""),5.14)</f>
        <v>5.14</v>
      </c>
      <c r="H5086" s="17"/>
      <c r="K5086" s="17"/>
      <c r="N5086" s="17"/>
    </row>
    <row r="5087">
      <c r="B5087" s="11">
        <f>IFERROR(__xludf.DUMMYFUNCTION("""COMPUTED_VALUE"""),38904.0)</f>
        <v>38904</v>
      </c>
      <c r="C5087" s="9">
        <f>IFERROR(__xludf.DUMMYFUNCTION("""COMPUTED_VALUE"""),5.19)</f>
        <v>5.19</v>
      </c>
      <c r="H5087" s="17"/>
      <c r="K5087" s="17"/>
      <c r="N5087" s="17"/>
    </row>
    <row r="5088">
      <c r="B5088" s="11">
        <f>IFERROR(__xludf.DUMMYFUNCTION("""COMPUTED_VALUE"""),38903.0)</f>
        <v>38903</v>
      </c>
      <c r="C5088" s="9">
        <f>IFERROR(__xludf.DUMMYFUNCTION("""COMPUTED_VALUE"""),5.23)</f>
        <v>5.23</v>
      </c>
      <c r="H5088" s="17"/>
      <c r="K5088" s="17"/>
      <c r="N5088" s="17"/>
    </row>
    <row r="5089">
      <c r="B5089" s="11">
        <f>IFERROR(__xludf.DUMMYFUNCTION("""COMPUTED_VALUE"""),38902.0)</f>
        <v>38902</v>
      </c>
      <c r="C5089" s="9"/>
      <c r="H5089" s="17"/>
      <c r="K5089" s="17"/>
      <c r="N5089" s="17"/>
    </row>
    <row r="5090">
      <c r="B5090" s="11">
        <f>IFERROR(__xludf.DUMMYFUNCTION("""COMPUTED_VALUE"""),38901.0)</f>
        <v>38901</v>
      </c>
      <c r="C5090" s="9">
        <f>IFERROR(__xludf.DUMMYFUNCTION("""COMPUTED_VALUE"""),5.15)</f>
        <v>5.15</v>
      </c>
      <c r="H5090" s="17"/>
      <c r="K5090" s="17"/>
      <c r="N5090" s="17"/>
    </row>
    <row r="5091">
      <c r="B5091" s="11">
        <f>IFERROR(__xludf.DUMMYFUNCTION("""COMPUTED_VALUE"""),38898.0)</f>
        <v>38898</v>
      </c>
      <c r="C5091" s="9">
        <f>IFERROR(__xludf.DUMMYFUNCTION("""COMPUTED_VALUE"""),5.15)</f>
        <v>5.15</v>
      </c>
      <c r="H5091" s="17"/>
      <c r="K5091" s="17"/>
      <c r="N5091" s="17"/>
    </row>
    <row r="5092">
      <c r="B5092" s="11">
        <f>IFERROR(__xludf.DUMMYFUNCTION("""COMPUTED_VALUE"""),38897.0)</f>
        <v>38897</v>
      </c>
      <c r="C5092" s="9">
        <f>IFERROR(__xludf.DUMMYFUNCTION("""COMPUTED_VALUE"""),5.22)</f>
        <v>5.22</v>
      </c>
      <c r="H5092" s="17"/>
      <c r="K5092" s="17"/>
      <c r="N5092" s="17"/>
    </row>
    <row r="5093">
      <c r="B5093" s="11">
        <f>IFERROR(__xludf.DUMMYFUNCTION("""COMPUTED_VALUE"""),38896.0)</f>
        <v>38896</v>
      </c>
      <c r="C5093" s="9">
        <f>IFERROR(__xludf.DUMMYFUNCTION("""COMPUTED_VALUE"""),5.25)</f>
        <v>5.25</v>
      </c>
      <c r="H5093" s="17"/>
      <c r="K5093" s="17"/>
      <c r="N5093" s="17"/>
    </row>
    <row r="5094">
      <c r="B5094" s="11">
        <f>IFERROR(__xludf.DUMMYFUNCTION("""COMPUTED_VALUE"""),38895.0)</f>
        <v>38895</v>
      </c>
      <c r="C5094" s="9">
        <f>IFERROR(__xludf.DUMMYFUNCTION("""COMPUTED_VALUE"""),5.21)</f>
        <v>5.21</v>
      </c>
      <c r="H5094" s="17"/>
      <c r="K5094" s="17"/>
      <c r="N5094" s="17"/>
    </row>
    <row r="5095">
      <c r="B5095" s="11">
        <f>IFERROR(__xludf.DUMMYFUNCTION("""COMPUTED_VALUE"""),38894.0)</f>
        <v>38894</v>
      </c>
      <c r="C5095" s="9">
        <f>IFERROR(__xludf.DUMMYFUNCTION("""COMPUTED_VALUE"""),5.25)</f>
        <v>5.25</v>
      </c>
      <c r="H5095" s="17"/>
      <c r="K5095" s="17"/>
      <c r="N5095" s="17"/>
    </row>
    <row r="5096">
      <c r="B5096" s="11">
        <f>IFERROR(__xludf.DUMMYFUNCTION("""COMPUTED_VALUE"""),38891.0)</f>
        <v>38891</v>
      </c>
      <c r="C5096" s="9">
        <f>IFERROR(__xludf.DUMMYFUNCTION("""COMPUTED_VALUE"""),5.23)</f>
        <v>5.23</v>
      </c>
      <c r="H5096" s="17"/>
      <c r="K5096" s="17"/>
      <c r="N5096" s="17"/>
    </row>
    <row r="5097">
      <c r="B5097" s="11">
        <f>IFERROR(__xludf.DUMMYFUNCTION("""COMPUTED_VALUE"""),38890.0)</f>
        <v>38890</v>
      </c>
      <c r="C5097" s="9">
        <f>IFERROR(__xludf.DUMMYFUNCTION("""COMPUTED_VALUE"""),5.2)</f>
        <v>5.2</v>
      </c>
      <c r="H5097" s="17"/>
      <c r="K5097" s="17"/>
      <c r="N5097" s="17"/>
    </row>
    <row r="5098">
      <c r="B5098" s="11">
        <f>IFERROR(__xludf.DUMMYFUNCTION("""COMPUTED_VALUE"""),38889.0)</f>
        <v>38889</v>
      </c>
      <c r="C5098" s="9">
        <f>IFERROR(__xludf.DUMMYFUNCTION("""COMPUTED_VALUE"""),5.16)</f>
        <v>5.16</v>
      </c>
      <c r="H5098" s="17"/>
      <c r="K5098" s="17"/>
      <c r="N5098" s="17"/>
    </row>
    <row r="5099">
      <c r="B5099" s="11">
        <f>IFERROR(__xludf.DUMMYFUNCTION("""COMPUTED_VALUE"""),38888.0)</f>
        <v>38888</v>
      </c>
      <c r="C5099" s="9">
        <f>IFERROR(__xludf.DUMMYFUNCTION("""COMPUTED_VALUE"""),5.15)</f>
        <v>5.15</v>
      </c>
      <c r="H5099" s="17"/>
      <c r="K5099" s="17"/>
      <c r="N5099" s="17"/>
    </row>
    <row r="5100">
      <c r="B5100" s="11">
        <f>IFERROR(__xludf.DUMMYFUNCTION("""COMPUTED_VALUE"""),38887.0)</f>
        <v>38887</v>
      </c>
      <c r="C5100" s="9">
        <f>IFERROR(__xludf.DUMMYFUNCTION("""COMPUTED_VALUE"""),5.14)</f>
        <v>5.14</v>
      </c>
      <c r="H5100" s="17"/>
      <c r="K5100" s="17"/>
      <c r="N5100" s="17"/>
    </row>
    <row r="5101">
      <c r="B5101" s="11">
        <f>IFERROR(__xludf.DUMMYFUNCTION("""COMPUTED_VALUE"""),38884.0)</f>
        <v>38884</v>
      </c>
      <c r="C5101" s="9">
        <f>IFERROR(__xludf.DUMMYFUNCTION("""COMPUTED_VALUE"""),5.13)</f>
        <v>5.13</v>
      </c>
      <c r="H5101" s="17"/>
      <c r="K5101" s="17"/>
      <c r="N5101" s="17"/>
    </row>
    <row r="5102">
      <c r="B5102" s="11">
        <f>IFERROR(__xludf.DUMMYFUNCTION("""COMPUTED_VALUE"""),38883.0)</f>
        <v>38883</v>
      </c>
      <c r="C5102" s="9">
        <f>IFERROR(__xludf.DUMMYFUNCTION("""COMPUTED_VALUE"""),5.1)</f>
        <v>5.1</v>
      </c>
      <c r="H5102" s="17"/>
      <c r="K5102" s="17"/>
      <c r="N5102" s="17"/>
    </row>
    <row r="5103">
      <c r="B5103" s="11">
        <f>IFERROR(__xludf.DUMMYFUNCTION("""COMPUTED_VALUE"""),38882.0)</f>
        <v>38882</v>
      </c>
      <c r="C5103" s="9">
        <f>IFERROR(__xludf.DUMMYFUNCTION("""COMPUTED_VALUE"""),5.05)</f>
        <v>5.05</v>
      </c>
      <c r="H5103" s="17"/>
      <c r="K5103" s="17"/>
      <c r="N5103" s="17"/>
    </row>
    <row r="5104">
      <c r="B5104" s="11">
        <f>IFERROR(__xludf.DUMMYFUNCTION("""COMPUTED_VALUE"""),38881.0)</f>
        <v>38881</v>
      </c>
      <c r="C5104" s="9">
        <f>IFERROR(__xludf.DUMMYFUNCTION("""COMPUTED_VALUE"""),4.97)</f>
        <v>4.97</v>
      </c>
      <c r="H5104" s="17"/>
      <c r="K5104" s="17"/>
      <c r="N5104" s="17"/>
    </row>
    <row r="5105">
      <c r="B5105" s="11">
        <f>IFERROR(__xludf.DUMMYFUNCTION("""COMPUTED_VALUE"""),38880.0)</f>
        <v>38880</v>
      </c>
      <c r="C5105" s="9">
        <f>IFERROR(__xludf.DUMMYFUNCTION("""COMPUTED_VALUE"""),4.99)</f>
        <v>4.99</v>
      </c>
      <c r="H5105" s="17"/>
      <c r="K5105" s="17"/>
      <c r="N5105" s="17"/>
    </row>
    <row r="5106">
      <c r="B5106" s="11">
        <f>IFERROR(__xludf.DUMMYFUNCTION("""COMPUTED_VALUE"""),38877.0)</f>
        <v>38877</v>
      </c>
      <c r="C5106" s="9">
        <f>IFERROR(__xludf.DUMMYFUNCTION("""COMPUTED_VALUE"""),4.98)</f>
        <v>4.98</v>
      </c>
      <c r="H5106" s="17"/>
      <c r="K5106" s="17"/>
      <c r="N5106" s="17"/>
    </row>
    <row r="5107">
      <c r="B5107" s="11">
        <f>IFERROR(__xludf.DUMMYFUNCTION("""COMPUTED_VALUE"""),38876.0)</f>
        <v>38876</v>
      </c>
      <c r="C5107" s="9">
        <f>IFERROR(__xludf.DUMMYFUNCTION("""COMPUTED_VALUE"""),5.0)</f>
        <v>5</v>
      </c>
      <c r="H5107" s="17"/>
      <c r="K5107" s="17"/>
      <c r="N5107" s="17"/>
    </row>
    <row r="5108">
      <c r="B5108" s="11">
        <f>IFERROR(__xludf.DUMMYFUNCTION("""COMPUTED_VALUE"""),38875.0)</f>
        <v>38875</v>
      </c>
      <c r="C5108" s="9">
        <f>IFERROR(__xludf.DUMMYFUNCTION("""COMPUTED_VALUE"""),5.02)</f>
        <v>5.02</v>
      </c>
      <c r="H5108" s="17"/>
      <c r="K5108" s="17"/>
      <c r="N5108" s="17"/>
    </row>
    <row r="5109">
      <c r="B5109" s="11">
        <f>IFERROR(__xludf.DUMMYFUNCTION("""COMPUTED_VALUE"""),38874.0)</f>
        <v>38874</v>
      </c>
      <c r="C5109" s="9">
        <f>IFERROR(__xludf.DUMMYFUNCTION("""COMPUTED_VALUE"""),5.01)</f>
        <v>5.01</v>
      </c>
      <c r="H5109" s="17"/>
      <c r="K5109" s="17"/>
      <c r="N5109" s="17"/>
    </row>
    <row r="5110">
      <c r="B5110" s="11">
        <f>IFERROR(__xludf.DUMMYFUNCTION("""COMPUTED_VALUE"""),38873.0)</f>
        <v>38873</v>
      </c>
      <c r="C5110" s="9">
        <f>IFERROR(__xludf.DUMMYFUNCTION("""COMPUTED_VALUE"""),5.02)</f>
        <v>5.02</v>
      </c>
      <c r="H5110" s="17"/>
      <c r="K5110" s="17"/>
      <c r="N5110" s="17"/>
    </row>
    <row r="5111">
      <c r="B5111" s="11">
        <f>IFERROR(__xludf.DUMMYFUNCTION("""COMPUTED_VALUE"""),38870.0)</f>
        <v>38870</v>
      </c>
      <c r="C5111" s="9">
        <f>IFERROR(__xludf.DUMMYFUNCTION("""COMPUTED_VALUE"""),5.0)</f>
        <v>5</v>
      </c>
      <c r="H5111" s="17"/>
      <c r="K5111" s="17"/>
      <c r="N5111" s="17"/>
    </row>
    <row r="5112">
      <c r="B5112" s="11">
        <f>IFERROR(__xludf.DUMMYFUNCTION("""COMPUTED_VALUE"""),38869.0)</f>
        <v>38869</v>
      </c>
      <c r="C5112" s="9">
        <f>IFERROR(__xludf.DUMMYFUNCTION("""COMPUTED_VALUE"""),5.11)</f>
        <v>5.11</v>
      </c>
      <c r="H5112" s="17"/>
      <c r="K5112" s="17"/>
      <c r="N5112" s="17"/>
    </row>
    <row r="5113">
      <c r="B5113" s="11">
        <f>IFERROR(__xludf.DUMMYFUNCTION("""COMPUTED_VALUE"""),38868.0)</f>
        <v>38868</v>
      </c>
      <c r="C5113" s="9">
        <f>IFERROR(__xludf.DUMMYFUNCTION("""COMPUTED_VALUE"""),5.12)</f>
        <v>5.12</v>
      </c>
      <c r="H5113" s="17"/>
      <c r="K5113" s="17"/>
      <c r="N5113" s="17"/>
    </row>
    <row r="5114">
      <c r="B5114" s="11">
        <f>IFERROR(__xludf.DUMMYFUNCTION("""COMPUTED_VALUE"""),38867.0)</f>
        <v>38867</v>
      </c>
      <c r="C5114" s="9">
        <f>IFERROR(__xludf.DUMMYFUNCTION("""COMPUTED_VALUE"""),5.09)</f>
        <v>5.09</v>
      </c>
      <c r="H5114" s="17"/>
      <c r="K5114" s="17"/>
      <c r="N5114" s="17"/>
    </row>
    <row r="5115">
      <c r="B5115" s="11">
        <f>IFERROR(__xludf.DUMMYFUNCTION("""COMPUTED_VALUE"""),38866.0)</f>
        <v>38866</v>
      </c>
      <c r="C5115" s="9"/>
      <c r="H5115" s="17"/>
      <c r="K5115" s="17"/>
      <c r="N5115" s="17"/>
    </row>
    <row r="5116">
      <c r="B5116" s="11">
        <f>IFERROR(__xludf.DUMMYFUNCTION("""COMPUTED_VALUE"""),38863.0)</f>
        <v>38863</v>
      </c>
      <c r="C5116" s="9">
        <f>IFERROR(__xludf.DUMMYFUNCTION("""COMPUTED_VALUE"""),5.06)</f>
        <v>5.06</v>
      </c>
      <c r="H5116" s="17"/>
      <c r="K5116" s="17"/>
      <c r="N5116" s="17"/>
    </row>
    <row r="5117">
      <c r="B5117" s="11">
        <f>IFERROR(__xludf.DUMMYFUNCTION("""COMPUTED_VALUE"""),38862.0)</f>
        <v>38862</v>
      </c>
      <c r="C5117" s="9">
        <f>IFERROR(__xludf.DUMMYFUNCTION("""COMPUTED_VALUE"""),5.07)</f>
        <v>5.07</v>
      </c>
      <c r="H5117" s="17"/>
      <c r="K5117" s="17"/>
      <c r="N5117" s="17"/>
    </row>
    <row r="5118">
      <c r="B5118" s="11">
        <f>IFERROR(__xludf.DUMMYFUNCTION("""COMPUTED_VALUE"""),38861.0)</f>
        <v>38861</v>
      </c>
      <c r="C5118" s="9">
        <f>IFERROR(__xludf.DUMMYFUNCTION("""COMPUTED_VALUE"""),5.03)</f>
        <v>5.03</v>
      </c>
      <c r="H5118" s="17"/>
      <c r="K5118" s="17"/>
      <c r="N5118" s="17"/>
    </row>
    <row r="5119">
      <c r="B5119" s="11">
        <f>IFERROR(__xludf.DUMMYFUNCTION("""COMPUTED_VALUE"""),38860.0)</f>
        <v>38860</v>
      </c>
      <c r="C5119" s="9">
        <f>IFERROR(__xludf.DUMMYFUNCTION("""COMPUTED_VALUE"""),5.07)</f>
        <v>5.07</v>
      </c>
      <c r="H5119" s="17"/>
      <c r="K5119" s="17"/>
      <c r="N5119" s="17"/>
    </row>
    <row r="5120">
      <c r="B5120" s="11">
        <f>IFERROR(__xludf.DUMMYFUNCTION("""COMPUTED_VALUE"""),38859.0)</f>
        <v>38859</v>
      </c>
      <c r="C5120" s="9">
        <f>IFERROR(__xludf.DUMMYFUNCTION("""COMPUTED_VALUE"""),5.04)</f>
        <v>5.04</v>
      </c>
      <c r="H5120" s="17"/>
      <c r="K5120" s="17"/>
      <c r="N5120" s="17"/>
    </row>
    <row r="5121">
      <c r="B5121" s="11">
        <f>IFERROR(__xludf.DUMMYFUNCTION("""COMPUTED_VALUE"""),38856.0)</f>
        <v>38856</v>
      </c>
      <c r="C5121" s="9">
        <f>IFERROR(__xludf.DUMMYFUNCTION("""COMPUTED_VALUE"""),5.05)</f>
        <v>5.05</v>
      </c>
      <c r="H5121" s="17"/>
      <c r="K5121" s="17"/>
      <c r="N5121" s="17"/>
    </row>
    <row r="5122">
      <c r="B5122" s="11">
        <f>IFERROR(__xludf.DUMMYFUNCTION("""COMPUTED_VALUE"""),38855.0)</f>
        <v>38855</v>
      </c>
      <c r="C5122" s="9">
        <f>IFERROR(__xludf.DUMMYFUNCTION("""COMPUTED_VALUE"""),5.08)</f>
        <v>5.08</v>
      </c>
      <c r="H5122" s="17"/>
      <c r="K5122" s="17"/>
      <c r="N5122" s="17"/>
    </row>
    <row r="5123">
      <c r="B5123" s="11">
        <f>IFERROR(__xludf.DUMMYFUNCTION("""COMPUTED_VALUE"""),38854.0)</f>
        <v>38854</v>
      </c>
      <c r="C5123" s="9">
        <f>IFERROR(__xludf.DUMMYFUNCTION("""COMPUTED_VALUE"""),5.16)</f>
        <v>5.16</v>
      </c>
      <c r="H5123" s="17"/>
      <c r="K5123" s="17"/>
      <c r="N5123" s="17"/>
    </row>
    <row r="5124">
      <c r="B5124" s="11">
        <f>IFERROR(__xludf.DUMMYFUNCTION("""COMPUTED_VALUE"""),38853.0)</f>
        <v>38853</v>
      </c>
      <c r="C5124" s="9">
        <f>IFERROR(__xludf.DUMMYFUNCTION("""COMPUTED_VALUE"""),5.1)</f>
        <v>5.1</v>
      </c>
      <c r="H5124" s="17"/>
      <c r="K5124" s="17"/>
      <c r="N5124" s="17"/>
    </row>
    <row r="5125">
      <c r="B5125" s="11">
        <f>IFERROR(__xludf.DUMMYFUNCTION("""COMPUTED_VALUE"""),38852.0)</f>
        <v>38852</v>
      </c>
      <c r="C5125" s="9">
        <f>IFERROR(__xludf.DUMMYFUNCTION("""COMPUTED_VALUE"""),5.15)</f>
        <v>5.15</v>
      </c>
      <c r="H5125" s="17"/>
      <c r="K5125" s="17"/>
      <c r="N5125" s="17"/>
    </row>
    <row r="5126">
      <c r="B5126" s="11">
        <f>IFERROR(__xludf.DUMMYFUNCTION("""COMPUTED_VALUE"""),38849.0)</f>
        <v>38849</v>
      </c>
      <c r="C5126" s="9">
        <f>IFERROR(__xludf.DUMMYFUNCTION("""COMPUTED_VALUE"""),5.19)</f>
        <v>5.19</v>
      </c>
      <c r="H5126" s="17"/>
      <c r="K5126" s="17"/>
      <c r="N5126" s="17"/>
    </row>
    <row r="5127">
      <c r="B5127" s="11">
        <f>IFERROR(__xludf.DUMMYFUNCTION("""COMPUTED_VALUE"""),38848.0)</f>
        <v>38848</v>
      </c>
      <c r="C5127" s="9">
        <f>IFERROR(__xludf.DUMMYFUNCTION("""COMPUTED_VALUE"""),5.14)</f>
        <v>5.14</v>
      </c>
      <c r="H5127" s="17"/>
      <c r="K5127" s="17"/>
      <c r="N5127" s="17"/>
    </row>
    <row r="5128">
      <c r="B5128" s="11">
        <f>IFERROR(__xludf.DUMMYFUNCTION("""COMPUTED_VALUE"""),38847.0)</f>
        <v>38847</v>
      </c>
      <c r="C5128" s="9">
        <f>IFERROR(__xludf.DUMMYFUNCTION("""COMPUTED_VALUE"""),5.13)</f>
        <v>5.13</v>
      </c>
      <c r="H5128" s="17"/>
      <c r="K5128" s="17"/>
      <c r="N5128" s="17"/>
    </row>
    <row r="5129">
      <c r="B5129" s="11">
        <f>IFERROR(__xludf.DUMMYFUNCTION("""COMPUTED_VALUE"""),38846.0)</f>
        <v>38846</v>
      </c>
      <c r="C5129" s="9">
        <f>IFERROR(__xludf.DUMMYFUNCTION("""COMPUTED_VALUE"""),5.13)</f>
        <v>5.13</v>
      </c>
      <c r="H5129" s="17"/>
      <c r="K5129" s="17"/>
      <c r="N5129" s="17"/>
    </row>
    <row r="5130">
      <c r="B5130" s="11">
        <f>IFERROR(__xludf.DUMMYFUNCTION("""COMPUTED_VALUE"""),38845.0)</f>
        <v>38845</v>
      </c>
      <c r="C5130" s="9">
        <f>IFERROR(__xludf.DUMMYFUNCTION("""COMPUTED_VALUE"""),5.12)</f>
        <v>5.12</v>
      </c>
      <c r="H5130" s="17"/>
      <c r="K5130" s="17"/>
      <c r="N5130" s="17"/>
    </row>
    <row r="5131">
      <c r="B5131" s="11">
        <f>IFERROR(__xludf.DUMMYFUNCTION("""COMPUTED_VALUE"""),38842.0)</f>
        <v>38842</v>
      </c>
      <c r="C5131" s="9">
        <f>IFERROR(__xludf.DUMMYFUNCTION("""COMPUTED_VALUE"""),5.12)</f>
        <v>5.12</v>
      </c>
      <c r="H5131" s="17"/>
      <c r="K5131" s="17"/>
      <c r="N5131" s="17"/>
    </row>
    <row r="5132">
      <c r="B5132" s="11">
        <f>IFERROR(__xludf.DUMMYFUNCTION("""COMPUTED_VALUE"""),38841.0)</f>
        <v>38841</v>
      </c>
      <c r="C5132" s="9">
        <f>IFERROR(__xludf.DUMMYFUNCTION("""COMPUTED_VALUE"""),5.16)</f>
        <v>5.16</v>
      </c>
      <c r="H5132" s="17"/>
      <c r="K5132" s="17"/>
      <c r="N5132" s="17"/>
    </row>
    <row r="5133">
      <c r="B5133" s="11">
        <f>IFERROR(__xludf.DUMMYFUNCTION("""COMPUTED_VALUE"""),38840.0)</f>
        <v>38840</v>
      </c>
      <c r="C5133" s="9">
        <f>IFERROR(__xludf.DUMMYFUNCTION("""COMPUTED_VALUE"""),5.15)</f>
        <v>5.15</v>
      </c>
      <c r="H5133" s="17"/>
      <c r="K5133" s="17"/>
      <c r="N5133" s="17"/>
    </row>
    <row r="5134">
      <c r="B5134" s="11">
        <f>IFERROR(__xludf.DUMMYFUNCTION("""COMPUTED_VALUE"""),38839.0)</f>
        <v>38839</v>
      </c>
      <c r="C5134" s="9">
        <f>IFERROR(__xludf.DUMMYFUNCTION("""COMPUTED_VALUE"""),5.12)</f>
        <v>5.12</v>
      </c>
      <c r="H5134" s="17"/>
      <c r="K5134" s="17"/>
      <c r="N5134" s="17"/>
    </row>
    <row r="5135">
      <c r="B5135" s="11">
        <f>IFERROR(__xludf.DUMMYFUNCTION("""COMPUTED_VALUE"""),38838.0)</f>
        <v>38838</v>
      </c>
      <c r="C5135" s="9">
        <f>IFERROR(__xludf.DUMMYFUNCTION("""COMPUTED_VALUE"""),5.14)</f>
        <v>5.14</v>
      </c>
      <c r="H5135" s="17"/>
      <c r="K5135" s="17"/>
      <c r="N5135" s="17"/>
    </row>
    <row r="5136">
      <c r="B5136" s="11">
        <f>IFERROR(__xludf.DUMMYFUNCTION("""COMPUTED_VALUE"""),38835.0)</f>
        <v>38835</v>
      </c>
      <c r="C5136" s="9">
        <f>IFERROR(__xludf.DUMMYFUNCTION("""COMPUTED_VALUE"""),5.07)</f>
        <v>5.07</v>
      </c>
      <c r="H5136" s="17"/>
      <c r="K5136" s="17"/>
      <c r="N5136" s="17"/>
    </row>
    <row r="5137">
      <c r="B5137" s="11">
        <f>IFERROR(__xludf.DUMMYFUNCTION("""COMPUTED_VALUE"""),38834.0)</f>
        <v>38834</v>
      </c>
      <c r="C5137" s="9">
        <f>IFERROR(__xludf.DUMMYFUNCTION("""COMPUTED_VALUE"""),5.09)</f>
        <v>5.09</v>
      </c>
      <c r="H5137" s="17"/>
      <c r="K5137" s="17"/>
      <c r="N5137" s="17"/>
    </row>
    <row r="5138">
      <c r="B5138" s="11">
        <f>IFERROR(__xludf.DUMMYFUNCTION("""COMPUTED_VALUE"""),38833.0)</f>
        <v>38833</v>
      </c>
      <c r="C5138" s="9">
        <f>IFERROR(__xludf.DUMMYFUNCTION("""COMPUTED_VALUE"""),5.12)</f>
        <v>5.12</v>
      </c>
      <c r="H5138" s="17"/>
      <c r="K5138" s="17"/>
      <c r="N5138" s="17"/>
    </row>
    <row r="5139">
      <c r="B5139" s="11">
        <f>IFERROR(__xludf.DUMMYFUNCTION("""COMPUTED_VALUE"""),38832.0)</f>
        <v>38832</v>
      </c>
      <c r="C5139" s="9">
        <f>IFERROR(__xludf.DUMMYFUNCTION("""COMPUTED_VALUE"""),5.07)</f>
        <v>5.07</v>
      </c>
      <c r="H5139" s="17"/>
      <c r="K5139" s="17"/>
      <c r="N5139" s="17"/>
    </row>
    <row r="5140">
      <c r="B5140" s="11">
        <f>IFERROR(__xludf.DUMMYFUNCTION("""COMPUTED_VALUE"""),38831.0)</f>
        <v>38831</v>
      </c>
      <c r="C5140" s="9">
        <f>IFERROR(__xludf.DUMMYFUNCTION("""COMPUTED_VALUE"""),4.99)</f>
        <v>4.99</v>
      </c>
      <c r="H5140" s="17"/>
      <c r="K5140" s="17"/>
      <c r="N5140" s="17"/>
    </row>
    <row r="5141">
      <c r="B5141" s="11">
        <f>IFERROR(__xludf.DUMMYFUNCTION("""COMPUTED_VALUE"""),38828.0)</f>
        <v>38828</v>
      </c>
      <c r="C5141" s="9">
        <f>IFERROR(__xludf.DUMMYFUNCTION("""COMPUTED_VALUE"""),5.01)</f>
        <v>5.01</v>
      </c>
      <c r="H5141" s="17"/>
      <c r="K5141" s="17"/>
      <c r="N5141" s="17"/>
    </row>
    <row r="5142">
      <c r="B5142" s="11">
        <f>IFERROR(__xludf.DUMMYFUNCTION("""COMPUTED_VALUE"""),38827.0)</f>
        <v>38827</v>
      </c>
      <c r="C5142" s="9">
        <f>IFERROR(__xludf.DUMMYFUNCTION("""COMPUTED_VALUE"""),5.04)</f>
        <v>5.04</v>
      </c>
      <c r="H5142" s="17"/>
      <c r="K5142" s="17"/>
      <c r="N5142" s="17"/>
    </row>
    <row r="5143">
      <c r="B5143" s="11">
        <f>IFERROR(__xludf.DUMMYFUNCTION("""COMPUTED_VALUE"""),38826.0)</f>
        <v>38826</v>
      </c>
      <c r="C5143" s="9">
        <f>IFERROR(__xludf.DUMMYFUNCTION("""COMPUTED_VALUE"""),5.04)</f>
        <v>5.04</v>
      </c>
      <c r="H5143" s="17"/>
      <c r="K5143" s="17"/>
      <c r="N5143" s="17"/>
    </row>
    <row r="5144">
      <c r="B5144" s="11">
        <f>IFERROR(__xludf.DUMMYFUNCTION("""COMPUTED_VALUE"""),38825.0)</f>
        <v>38825</v>
      </c>
      <c r="C5144" s="9">
        <f>IFERROR(__xludf.DUMMYFUNCTION("""COMPUTED_VALUE"""),4.99)</f>
        <v>4.99</v>
      </c>
      <c r="H5144" s="17"/>
      <c r="K5144" s="17"/>
      <c r="N5144" s="17"/>
    </row>
    <row r="5145">
      <c r="B5145" s="11">
        <f>IFERROR(__xludf.DUMMYFUNCTION("""COMPUTED_VALUE"""),38824.0)</f>
        <v>38824</v>
      </c>
      <c r="C5145" s="9">
        <f>IFERROR(__xludf.DUMMYFUNCTION("""COMPUTED_VALUE"""),5.01)</f>
        <v>5.01</v>
      </c>
      <c r="H5145" s="17"/>
      <c r="K5145" s="17"/>
      <c r="N5145" s="17"/>
    </row>
    <row r="5146">
      <c r="B5146" s="11">
        <f>IFERROR(__xludf.DUMMYFUNCTION("""COMPUTED_VALUE"""),38821.0)</f>
        <v>38821</v>
      </c>
      <c r="C5146" s="9"/>
      <c r="H5146" s="17"/>
      <c r="K5146" s="17"/>
      <c r="N5146" s="17"/>
    </row>
    <row r="5147">
      <c r="B5147" s="11">
        <f>IFERROR(__xludf.DUMMYFUNCTION("""COMPUTED_VALUE"""),38820.0)</f>
        <v>38820</v>
      </c>
      <c r="C5147" s="9">
        <f>IFERROR(__xludf.DUMMYFUNCTION("""COMPUTED_VALUE"""),5.05)</f>
        <v>5.05</v>
      </c>
      <c r="H5147" s="17"/>
      <c r="K5147" s="17"/>
      <c r="N5147" s="17"/>
    </row>
    <row r="5148">
      <c r="B5148" s="11">
        <f>IFERROR(__xludf.DUMMYFUNCTION("""COMPUTED_VALUE"""),38819.0)</f>
        <v>38819</v>
      </c>
      <c r="C5148" s="9">
        <f>IFERROR(__xludf.DUMMYFUNCTION("""COMPUTED_VALUE"""),4.98)</f>
        <v>4.98</v>
      </c>
      <c r="H5148" s="17"/>
      <c r="K5148" s="17"/>
      <c r="N5148" s="17"/>
    </row>
    <row r="5149">
      <c r="B5149" s="11">
        <f>IFERROR(__xludf.DUMMYFUNCTION("""COMPUTED_VALUE"""),38818.0)</f>
        <v>38818</v>
      </c>
      <c r="C5149" s="9">
        <f>IFERROR(__xludf.DUMMYFUNCTION("""COMPUTED_VALUE"""),4.93)</f>
        <v>4.93</v>
      </c>
      <c r="H5149" s="17"/>
      <c r="K5149" s="17"/>
      <c r="N5149" s="17"/>
    </row>
    <row r="5150">
      <c r="B5150" s="11">
        <f>IFERROR(__xludf.DUMMYFUNCTION("""COMPUTED_VALUE"""),38817.0)</f>
        <v>38817</v>
      </c>
      <c r="C5150" s="9">
        <f>IFERROR(__xludf.DUMMYFUNCTION("""COMPUTED_VALUE"""),4.97)</f>
        <v>4.97</v>
      </c>
      <c r="H5150" s="17"/>
      <c r="K5150" s="17"/>
      <c r="N5150" s="17"/>
    </row>
    <row r="5151">
      <c r="B5151" s="11">
        <f>IFERROR(__xludf.DUMMYFUNCTION("""COMPUTED_VALUE"""),38814.0)</f>
        <v>38814</v>
      </c>
      <c r="C5151" s="9">
        <f>IFERROR(__xludf.DUMMYFUNCTION("""COMPUTED_VALUE"""),4.97)</f>
        <v>4.97</v>
      </c>
      <c r="H5151" s="17"/>
      <c r="K5151" s="17"/>
      <c r="N5151" s="17"/>
    </row>
    <row r="5152">
      <c r="B5152" s="11">
        <f>IFERROR(__xludf.DUMMYFUNCTION("""COMPUTED_VALUE"""),38813.0)</f>
        <v>38813</v>
      </c>
      <c r="C5152" s="9">
        <f>IFERROR(__xludf.DUMMYFUNCTION("""COMPUTED_VALUE"""),4.9)</f>
        <v>4.9</v>
      </c>
      <c r="H5152" s="17"/>
      <c r="K5152" s="17"/>
      <c r="N5152" s="17"/>
    </row>
    <row r="5153">
      <c r="B5153" s="11">
        <f>IFERROR(__xludf.DUMMYFUNCTION("""COMPUTED_VALUE"""),38812.0)</f>
        <v>38812</v>
      </c>
      <c r="C5153" s="9">
        <f>IFERROR(__xludf.DUMMYFUNCTION("""COMPUTED_VALUE"""),4.84)</f>
        <v>4.84</v>
      </c>
      <c r="H5153" s="17"/>
      <c r="K5153" s="17"/>
      <c r="N5153" s="17"/>
    </row>
    <row r="5154">
      <c r="B5154" s="11">
        <f>IFERROR(__xludf.DUMMYFUNCTION("""COMPUTED_VALUE"""),38811.0)</f>
        <v>38811</v>
      </c>
      <c r="C5154" s="9">
        <f>IFERROR(__xludf.DUMMYFUNCTION("""COMPUTED_VALUE"""),4.87)</f>
        <v>4.87</v>
      </c>
      <c r="H5154" s="17"/>
      <c r="K5154" s="17"/>
      <c r="N5154" s="17"/>
    </row>
    <row r="5155">
      <c r="B5155" s="11">
        <f>IFERROR(__xludf.DUMMYFUNCTION("""COMPUTED_VALUE"""),38810.0)</f>
        <v>38810</v>
      </c>
      <c r="C5155" s="9">
        <f>IFERROR(__xludf.DUMMYFUNCTION("""COMPUTED_VALUE"""),4.88)</f>
        <v>4.88</v>
      </c>
      <c r="H5155" s="17"/>
      <c r="K5155" s="17"/>
      <c r="N5155" s="17"/>
    </row>
    <row r="5156">
      <c r="B5156" s="11">
        <f>IFERROR(__xludf.DUMMYFUNCTION("""COMPUTED_VALUE"""),38807.0)</f>
        <v>38807</v>
      </c>
      <c r="C5156" s="9">
        <f>IFERROR(__xludf.DUMMYFUNCTION("""COMPUTED_VALUE"""),4.86)</f>
        <v>4.86</v>
      </c>
      <c r="H5156" s="17"/>
      <c r="K5156" s="17"/>
      <c r="N5156" s="17"/>
    </row>
    <row r="5157">
      <c r="B5157" s="11">
        <f>IFERROR(__xludf.DUMMYFUNCTION("""COMPUTED_VALUE"""),38806.0)</f>
        <v>38806</v>
      </c>
      <c r="C5157" s="9">
        <f>IFERROR(__xludf.DUMMYFUNCTION("""COMPUTED_VALUE"""),4.86)</f>
        <v>4.86</v>
      </c>
      <c r="H5157" s="17"/>
      <c r="K5157" s="17"/>
      <c r="N5157" s="17"/>
    </row>
    <row r="5158">
      <c r="B5158" s="11">
        <f>IFERROR(__xludf.DUMMYFUNCTION("""COMPUTED_VALUE"""),38805.0)</f>
        <v>38805</v>
      </c>
      <c r="C5158" s="9">
        <f>IFERROR(__xludf.DUMMYFUNCTION("""COMPUTED_VALUE"""),4.81)</f>
        <v>4.81</v>
      </c>
      <c r="H5158" s="17"/>
      <c r="K5158" s="17"/>
      <c r="N5158" s="17"/>
    </row>
    <row r="5159">
      <c r="B5159" s="11">
        <f>IFERROR(__xludf.DUMMYFUNCTION("""COMPUTED_VALUE"""),38804.0)</f>
        <v>38804</v>
      </c>
      <c r="C5159" s="9">
        <f>IFERROR(__xludf.DUMMYFUNCTION("""COMPUTED_VALUE"""),4.79)</f>
        <v>4.79</v>
      </c>
      <c r="H5159" s="17"/>
      <c r="K5159" s="17"/>
      <c r="N5159" s="17"/>
    </row>
    <row r="5160">
      <c r="B5160" s="11">
        <f>IFERROR(__xludf.DUMMYFUNCTION("""COMPUTED_VALUE"""),38803.0)</f>
        <v>38803</v>
      </c>
      <c r="C5160" s="9">
        <f>IFERROR(__xludf.DUMMYFUNCTION("""COMPUTED_VALUE"""),4.7)</f>
        <v>4.7</v>
      </c>
      <c r="H5160" s="17"/>
      <c r="K5160" s="17"/>
      <c r="N5160" s="17"/>
    </row>
    <row r="5161">
      <c r="B5161" s="11">
        <f>IFERROR(__xludf.DUMMYFUNCTION("""COMPUTED_VALUE"""),38800.0)</f>
        <v>38800</v>
      </c>
      <c r="C5161" s="9">
        <f>IFERROR(__xludf.DUMMYFUNCTION("""COMPUTED_VALUE"""),4.67)</f>
        <v>4.67</v>
      </c>
      <c r="H5161" s="17"/>
      <c r="K5161" s="17"/>
      <c r="N5161" s="17"/>
    </row>
    <row r="5162">
      <c r="B5162" s="11">
        <f>IFERROR(__xludf.DUMMYFUNCTION("""COMPUTED_VALUE"""),38799.0)</f>
        <v>38799</v>
      </c>
      <c r="C5162" s="9">
        <f>IFERROR(__xludf.DUMMYFUNCTION("""COMPUTED_VALUE"""),4.73)</f>
        <v>4.73</v>
      </c>
      <c r="H5162" s="17"/>
      <c r="K5162" s="17"/>
      <c r="N5162" s="17"/>
    </row>
    <row r="5163">
      <c r="B5163" s="11">
        <f>IFERROR(__xludf.DUMMYFUNCTION("""COMPUTED_VALUE"""),38798.0)</f>
        <v>38798</v>
      </c>
      <c r="C5163" s="9">
        <f>IFERROR(__xludf.DUMMYFUNCTION("""COMPUTED_VALUE"""),4.7)</f>
        <v>4.7</v>
      </c>
      <c r="H5163" s="17"/>
      <c r="K5163" s="17"/>
      <c r="N5163" s="17"/>
    </row>
    <row r="5164">
      <c r="B5164" s="11">
        <f>IFERROR(__xludf.DUMMYFUNCTION("""COMPUTED_VALUE"""),38797.0)</f>
        <v>38797</v>
      </c>
      <c r="C5164" s="9">
        <f>IFERROR(__xludf.DUMMYFUNCTION("""COMPUTED_VALUE"""),4.71)</f>
        <v>4.71</v>
      </c>
      <c r="H5164" s="17"/>
      <c r="K5164" s="17"/>
      <c r="N5164" s="17"/>
    </row>
    <row r="5165">
      <c r="B5165" s="11">
        <f>IFERROR(__xludf.DUMMYFUNCTION("""COMPUTED_VALUE"""),38796.0)</f>
        <v>38796</v>
      </c>
      <c r="C5165" s="9">
        <f>IFERROR(__xludf.DUMMYFUNCTION("""COMPUTED_VALUE"""),4.66)</f>
        <v>4.66</v>
      </c>
      <c r="H5165" s="17"/>
      <c r="K5165" s="17"/>
      <c r="N5165" s="17"/>
    </row>
    <row r="5166">
      <c r="B5166" s="11">
        <f>IFERROR(__xludf.DUMMYFUNCTION("""COMPUTED_VALUE"""),38793.0)</f>
        <v>38793</v>
      </c>
      <c r="C5166" s="9">
        <f>IFERROR(__xludf.DUMMYFUNCTION("""COMPUTED_VALUE"""),4.68)</f>
        <v>4.68</v>
      </c>
      <c r="H5166" s="17"/>
      <c r="K5166" s="17"/>
      <c r="N5166" s="17"/>
    </row>
    <row r="5167">
      <c r="B5167" s="11">
        <f>IFERROR(__xludf.DUMMYFUNCTION("""COMPUTED_VALUE"""),38792.0)</f>
        <v>38792</v>
      </c>
      <c r="C5167" s="9">
        <f>IFERROR(__xludf.DUMMYFUNCTION("""COMPUTED_VALUE"""),4.65)</f>
        <v>4.65</v>
      </c>
      <c r="H5167" s="17"/>
      <c r="K5167" s="17"/>
      <c r="N5167" s="17"/>
    </row>
    <row r="5168">
      <c r="B5168" s="11">
        <f>IFERROR(__xludf.DUMMYFUNCTION("""COMPUTED_VALUE"""),38791.0)</f>
        <v>38791</v>
      </c>
      <c r="C5168" s="9">
        <f>IFERROR(__xludf.DUMMYFUNCTION("""COMPUTED_VALUE"""),4.73)</f>
        <v>4.73</v>
      </c>
      <c r="H5168" s="17"/>
      <c r="K5168" s="17"/>
      <c r="N5168" s="17"/>
    </row>
    <row r="5169">
      <c r="B5169" s="11">
        <f>IFERROR(__xludf.DUMMYFUNCTION("""COMPUTED_VALUE"""),38790.0)</f>
        <v>38790</v>
      </c>
      <c r="C5169" s="9">
        <f>IFERROR(__xludf.DUMMYFUNCTION("""COMPUTED_VALUE"""),4.71)</f>
        <v>4.71</v>
      </c>
      <c r="H5169" s="17"/>
      <c r="K5169" s="17"/>
      <c r="N5169" s="17"/>
    </row>
    <row r="5170">
      <c r="B5170" s="11">
        <f>IFERROR(__xludf.DUMMYFUNCTION("""COMPUTED_VALUE"""),38789.0)</f>
        <v>38789</v>
      </c>
      <c r="C5170" s="9">
        <f>IFERROR(__xludf.DUMMYFUNCTION("""COMPUTED_VALUE"""),4.77)</f>
        <v>4.77</v>
      </c>
      <c r="H5170" s="17"/>
      <c r="K5170" s="17"/>
      <c r="N5170" s="17"/>
    </row>
    <row r="5171">
      <c r="B5171" s="11">
        <f>IFERROR(__xludf.DUMMYFUNCTION("""COMPUTED_VALUE"""),38786.0)</f>
        <v>38786</v>
      </c>
      <c r="C5171" s="9">
        <f>IFERROR(__xludf.DUMMYFUNCTION("""COMPUTED_VALUE"""),4.76)</f>
        <v>4.76</v>
      </c>
      <c r="H5171" s="17"/>
      <c r="K5171" s="17"/>
      <c r="N5171" s="17"/>
    </row>
    <row r="5172">
      <c r="B5172" s="11">
        <f>IFERROR(__xludf.DUMMYFUNCTION("""COMPUTED_VALUE"""),38785.0)</f>
        <v>38785</v>
      </c>
      <c r="C5172" s="9">
        <f>IFERROR(__xludf.DUMMYFUNCTION("""COMPUTED_VALUE"""),4.74)</f>
        <v>4.74</v>
      </c>
      <c r="H5172" s="17"/>
      <c r="K5172" s="17"/>
      <c r="N5172" s="17"/>
    </row>
    <row r="5173">
      <c r="B5173" s="11">
        <f>IFERROR(__xludf.DUMMYFUNCTION("""COMPUTED_VALUE"""),38784.0)</f>
        <v>38784</v>
      </c>
      <c r="C5173" s="9">
        <f>IFERROR(__xludf.DUMMYFUNCTION("""COMPUTED_VALUE"""),4.73)</f>
        <v>4.73</v>
      </c>
      <c r="H5173" s="17"/>
      <c r="K5173" s="17"/>
      <c r="N5173" s="17"/>
    </row>
    <row r="5174">
      <c r="B5174" s="11">
        <f>IFERROR(__xludf.DUMMYFUNCTION("""COMPUTED_VALUE"""),38783.0)</f>
        <v>38783</v>
      </c>
      <c r="C5174" s="9">
        <f>IFERROR(__xludf.DUMMYFUNCTION("""COMPUTED_VALUE"""),4.74)</f>
        <v>4.74</v>
      </c>
      <c r="H5174" s="17"/>
      <c r="K5174" s="17"/>
      <c r="N5174" s="17"/>
    </row>
    <row r="5175">
      <c r="B5175" s="11">
        <f>IFERROR(__xludf.DUMMYFUNCTION("""COMPUTED_VALUE"""),38782.0)</f>
        <v>38782</v>
      </c>
      <c r="C5175" s="9">
        <f>IFERROR(__xludf.DUMMYFUNCTION("""COMPUTED_VALUE"""),4.74)</f>
        <v>4.74</v>
      </c>
      <c r="H5175" s="17"/>
      <c r="K5175" s="17"/>
      <c r="N5175" s="17"/>
    </row>
    <row r="5176">
      <c r="B5176" s="11">
        <f>IFERROR(__xludf.DUMMYFUNCTION("""COMPUTED_VALUE"""),38779.0)</f>
        <v>38779</v>
      </c>
      <c r="C5176" s="9">
        <f>IFERROR(__xludf.DUMMYFUNCTION("""COMPUTED_VALUE"""),4.68)</f>
        <v>4.68</v>
      </c>
      <c r="H5176" s="17"/>
      <c r="K5176" s="17"/>
      <c r="N5176" s="17"/>
    </row>
    <row r="5177">
      <c r="B5177" s="11">
        <f>IFERROR(__xludf.DUMMYFUNCTION("""COMPUTED_VALUE"""),38778.0)</f>
        <v>38778</v>
      </c>
      <c r="C5177" s="9">
        <f>IFERROR(__xludf.DUMMYFUNCTION("""COMPUTED_VALUE"""),4.64)</f>
        <v>4.64</v>
      </c>
      <c r="H5177" s="17"/>
      <c r="K5177" s="17"/>
      <c r="N5177" s="17"/>
    </row>
    <row r="5178">
      <c r="B5178" s="11">
        <f>IFERROR(__xludf.DUMMYFUNCTION("""COMPUTED_VALUE"""),38777.0)</f>
        <v>38777</v>
      </c>
      <c r="C5178" s="9">
        <f>IFERROR(__xludf.DUMMYFUNCTION("""COMPUTED_VALUE"""),4.59)</f>
        <v>4.59</v>
      </c>
      <c r="H5178" s="17"/>
      <c r="K5178" s="17"/>
      <c r="N5178" s="17"/>
    </row>
    <row r="5179">
      <c r="B5179" s="11">
        <f>IFERROR(__xludf.DUMMYFUNCTION("""COMPUTED_VALUE"""),38776.0)</f>
        <v>38776</v>
      </c>
      <c r="C5179" s="9">
        <f>IFERROR(__xludf.DUMMYFUNCTION("""COMPUTED_VALUE"""),4.55)</f>
        <v>4.55</v>
      </c>
      <c r="H5179" s="17"/>
      <c r="K5179" s="17"/>
      <c r="N5179" s="17"/>
    </row>
    <row r="5180">
      <c r="B5180" s="11">
        <f>IFERROR(__xludf.DUMMYFUNCTION("""COMPUTED_VALUE"""),38775.0)</f>
        <v>38775</v>
      </c>
      <c r="C5180" s="9">
        <f>IFERROR(__xludf.DUMMYFUNCTION("""COMPUTED_VALUE"""),4.59)</f>
        <v>4.59</v>
      </c>
      <c r="H5180" s="17"/>
      <c r="K5180" s="17"/>
      <c r="N5180" s="17"/>
    </row>
    <row r="5181">
      <c r="B5181" s="11">
        <f>IFERROR(__xludf.DUMMYFUNCTION("""COMPUTED_VALUE"""),38772.0)</f>
        <v>38772</v>
      </c>
      <c r="C5181" s="9">
        <f>IFERROR(__xludf.DUMMYFUNCTION("""COMPUTED_VALUE"""),4.58)</f>
        <v>4.58</v>
      </c>
      <c r="H5181" s="17"/>
      <c r="K5181" s="17"/>
      <c r="N5181" s="17"/>
    </row>
    <row r="5182">
      <c r="B5182" s="11">
        <f>IFERROR(__xludf.DUMMYFUNCTION("""COMPUTED_VALUE"""),38771.0)</f>
        <v>38771</v>
      </c>
      <c r="C5182" s="9">
        <f>IFERROR(__xludf.DUMMYFUNCTION("""COMPUTED_VALUE"""),4.56)</f>
        <v>4.56</v>
      </c>
      <c r="H5182" s="17"/>
      <c r="K5182" s="17"/>
      <c r="N5182" s="17"/>
    </row>
    <row r="5183">
      <c r="B5183" s="11">
        <f>IFERROR(__xludf.DUMMYFUNCTION("""COMPUTED_VALUE"""),38770.0)</f>
        <v>38770</v>
      </c>
      <c r="C5183" s="9">
        <f>IFERROR(__xludf.DUMMYFUNCTION("""COMPUTED_VALUE"""),4.53)</f>
        <v>4.53</v>
      </c>
      <c r="H5183" s="17"/>
      <c r="K5183" s="17"/>
      <c r="N5183" s="17"/>
    </row>
    <row r="5184">
      <c r="B5184" s="11">
        <f>IFERROR(__xludf.DUMMYFUNCTION("""COMPUTED_VALUE"""),38769.0)</f>
        <v>38769</v>
      </c>
      <c r="C5184" s="9">
        <f>IFERROR(__xludf.DUMMYFUNCTION("""COMPUTED_VALUE"""),4.57)</f>
        <v>4.57</v>
      </c>
      <c r="H5184" s="17"/>
      <c r="K5184" s="17"/>
      <c r="N5184" s="17"/>
    </row>
    <row r="5185">
      <c r="B5185" s="11">
        <f>IFERROR(__xludf.DUMMYFUNCTION("""COMPUTED_VALUE"""),38768.0)</f>
        <v>38768</v>
      </c>
      <c r="C5185" s="9"/>
      <c r="H5185" s="17"/>
      <c r="K5185" s="17"/>
      <c r="N5185" s="17"/>
    </row>
    <row r="5186">
      <c r="B5186" s="11">
        <f>IFERROR(__xludf.DUMMYFUNCTION("""COMPUTED_VALUE"""),38765.0)</f>
        <v>38765</v>
      </c>
      <c r="C5186" s="9">
        <f>IFERROR(__xludf.DUMMYFUNCTION("""COMPUTED_VALUE"""),4.54)</f>
        <v>4.54</v>
      </c>
      <c r="H5186" s="17"/>
      <c r="K5186" s="17"/>
      <c r="N5186" s="17"/>
    </row>
    <row r="5187">
      <c r="B5187" s="11">
        <f>IFERROR(__xludf.DUMMYFUNCTION("""COMPUTED_VALUE"""),38764.0)</f>
        <v>38764</v>
      </c>
      <c r="C5187" s="9">
        <f>IFERROR(__xludf.DUMMYFUNCTION("""COMPUTED_VALUE"""),4.59)</f>
        <v>4.59</v>
      </c>
      <c r="H5187" s="17"/>
      <c r="K5187" s="17"/>
      <c r="N5187" s="17"/>
    </row>
    <row r="5188">
      <c r="B5188" s="11">
        <f>IFERROR(__xludf.DUMMYFUNCTION("""COMPUTED_VALUE"""),38763.0)</f>
        <v>38763</v>
      </c>
      <c r="C5188" s="9">
        <f>IFERROR(__xludf.DUMMYFUNCTION("""COMPUTED_VALUE"""),4.61)</f>
        <v>4.61</v>
      </c>
      <c r="H5188" s="17"/>
      <c r="K5188" s="17"/>
      <c r="N5188" s="17"/>
    </row>
    <row r="5189">
      <c r="B5189" s="11">
        <f>IFERROR(__xludf.DUMMYFUNCTION("""COMPUTED_VALUE"""),38762.0)</f>
        <v>38762</v>
      </c>
      <c r="C5189" s="9">
        <f>IFERROR(__xludf.DUMMYFUNCTION("""COMPUTED_VALUE"""),4.62)</f>
        <v>4.62</v>
      </c>
      <c r="H5189" s="17"/>
      <c r="K5189" s="17"/>
      <c r="N5189" s="17"/>
    </row>
    <row r="5190">
      <c r="B5190" s="11">
        <f>IFERROR(__xludf.DUMMYFUNCTION("""COMPUTED_VALUE"""),38761.0)</f>
        <v>38761</v>
      </c>
      <c r="C5190" s="9">
        <f>IFERROR(__xludf.DUMMYFUNCTION("""COMPUTED_VALUE"""),4.58)</f>
        <v>4.58</v>
      </c>
      <c r="H5190" s="17"/>
      <c r="K5190" s="17"/>
      <c r="N5190" s="17"/>
    </row>
    <row r="5191">
      <c r="B5191" s="11">
        <f>IFERROR(__xludf.DUMMYFUNCTION("""COMPUTED_VALUE"""),38758.0)</f>
        <v>38758</v>
      </c>
      <c r="C5191" s="9">
        <f>IFERROR(__xludf.DUMMYFUNCTION("""COMPUTED_VALUE"""),4.59)</f>
        <v>4.59</v>
      </c>
      <c r="H5191" s="17"/>
      <c r="K5191" s="17"/>
      <c r="N5191" s="17"/>
    </row>
    <row r="5192">
      <c r="B5192" s="11">
        <f>IFERROR(__xludf.DUMMYFUNCTION("""COMPUTED_VALUE"""),38757.0)</f>
        <v>38757</v>
      </c>
      <c r="C5192" s="9">
        <f>IFERROR(__xludf.DUMMYFUNCTION("""COMPUTED_VALUE"""),4.54)</f>
        <v>4.54</v>
      </c>
      <c r="H5192" s="17"/>
      <c r="K5192" s="17"/>
      <c r="N5192" s="17"/>
    </row>
    <row r="5193">
      <c r="B5193" s="11">
        <f>IFERROR(__xludf.DUMMYFUNCTION("""COMPUTED_VALUE"""),38756.0)</f>
        <v>38756</v>
      </c>
      <c r="C5193" s="9">
        <f>IFERROR(__xludf.DUMMYFUNCTION("""COMPUTED_VALUE"""),4.56)</f>
        <v>4.56</v>
      </c>
      <c r="H5193" s="17"/>
      <c r="K5193" s="17"/>
      <c r="N5193" s="17"/>
    </row>
    <row r="5194">
      <c r="B5194" s="11">
        <f>IFERROR(__xludf.DUMMYFUNCTION("""COMPUTED_VALUE"""),38755.0)</f>
        <v>38755</v>
      </c>
      <c r="C5194" s="9">
        <f>IFERROR(__xludf.DUMMYFUNCTION("""COMPUTED_VALUE"""),4.57)</f>
        <v>4.57</v>
      </c>
      <c r="H5194" s="17"/>
      <c r="K5194" s="17"/>
      <c r="N5194" s="17"/>
    </row>
    <row r="5195">
      <c r="B5195" s="11">
        <f>IFERROR(__xludf.DUMMYFUNCTION("""COMPUTED_VALUE"""),38754.0)</f>
        <v>38754</v>
      </c>
      <c r="C5195" s="9">
        <f>IFERROR(__xludf.DUMMYFUNCTION("""COMPUTED_VALUE"""),4.55)</f>
        <v>4.55</v>
      </c>
      <c r="H5195" s="17"/>
      <c r="K5195" s="17"/>
      <c r="N5195" s="17"/>
    </row>
    <row r="5196">
      <c r="B5196" s="11">
        <f>IFERROR(__xludf.DUMMYFUNCTION("""COMPUTED_VALUE"""),38751.0)</f>
        <v>38751</v>
      </c>
      <c r="C5196" s="9">
        <f>IFERROR(__xludf.DUMMYFUNCTION("""COMPUTED_VALUE"""),4.54)</f>
        <v>4.54</v>
      </c>
      <c r="H5196" s="17"/>
      <c r="K5196" s="17"/>
      <c r="N5196" s="17"/>
    </row>
    <row r="5197">
      <c r="B5197" s="11">
        <f>IFERROR(__xludf.DUMMYFUNCTION("""COMPUTED_VALUE"""),38750.0)</f>
        <v>38750</v>
      </c>
      <c r="C5197" s="9">
        <f>IFERROR(__xludf.DUMMYFUNCTION("""COMPUTED_VALUE"""),4.57)</f>
        <v>4.57</v>
      </c>
      <c r="H5197" s="17"/>
      <c r="K5197" s="17"/>
      <c r="N5197" s="17"/>
    </row>
    <row r="5198">
      <c r="B5198" s="11">
        <f>IFERROR(__xludf.DUMMYFUNCTION("""COMPUTED_VALUE"""),38749.0)</f>
        <v>38749</v>
      </c>
      <c r="C5198" s="9">
        <f>IFERROR(__xludf.DUMMYFUNCTION("""COMPUTED_VALUE"""),4.57)</f>
        <v>4.57</v>
      </c>
      <c r="H5198" s="17"/>
      <c r="K5198" s="17"/>
      <c r="N5198" s="17"/>
    </row>
    <row r="5199">
      <c r="B5199" s="11">
        <f>IFERROR(__xludf.DUMMYFUNCTION("""COMPUTED_VALUE"""),38748.0)</f>
        <v>38748</v>
      </c>
      <c r="C5199" s="9">
        <f>IFERROR(__xludf.DUMMYFUNCTION("""COMPUTED_VALUE"""),4.53)</f>
        <v>4.53</v>
      </c>
      <c r="H5199" s="17"/>
      <c r="K5199" s="17"/>
      <c r="N5199" s="17"/>
    </row>
    <row r="5200">
      <c r="B5200" s="11">
        <f>IFERROR(__xludf.DUMMYFUNCTION("""COMPUTED_VALUE"""),38747.0)</f>
        <v>38747</v>
      </c>
      <c r="C5200" s="9">
        <f>IFERROR(__xludf.DUMMYFUNCTION("""COMPUTED_VALUE"""),4.54)</f>
        <v>4.54</v>
      </c>
      <c r="H5200" s="17"/>
      <c r="K5200" s="17"/>
      <c r="N5200" s="17"/>
    </row>
    <row r="5201">
      <c r="B5201" s="11">
        <f>IFERROR(__xludf.DUMMYFUNCTION("""COMPUTED_VALUE"""),38744.0)</f>
        <v>38744</v>
      </c>
      <c r="C5201" s="9">
        <f>IFERROR(__xludf.DUMMYFUNCTION("""COMPUTED_VALUE"""),4.52)</f>
        <v>4.52</v>
      </c>
      <c r="H5201" s="17"/>
      <c r="K5201" s="17"/>
      <c r="N5201" s="17"/>
    </row>
    <row r="5202">
      <c r="B5202" s="11">
        <f>IFERROR(__xludf.DUMMYFUNCTION("""COMPUTED_VALUE"""),38743.0)</f>
        <v>38743</v>
      </c>
      <c r="C5202" s="9">
        <f>IFERROR(__xludf.DUMMYFUNCTION("""COMPUTED_VALUE"""),4.53)</f>
        <v>4.53</v>
      </c>
      <c r="H5202" s="17"/>
      <c r="K5202" s="17"/>
      <c r="N5202" s="17"/>
    </row>
    <row r="5203">
      <c r="B5203" s="11">
        <f>IFERROR(__xludf.DUMMYFUNCTION("""COMPUTED_VALUE"""),38742.0)</f>
        <v>38742</v>
      </c>
      <c r="C5203" s="9">
        <f>IFERROR(__xludf.DUMMYFUNCTION("""COMPUTED_VALUE"""),4.49)</f>
        <v>4.49</v>
      </c>
      <c r="H5203" s="17"/>
      <c r="K5203" s="17"/>
      <c r="N5203" s="17"/>
    </row>
    <row r="5204">
      <c r="B5204" s="11">
        <f>IFERROR(__xludf.DUMMYFUNCTION("""COMPUTED_VALUE"""),38741.0)</f>
        <v>38741</v>
      </c>
      <c r="C5204" s="9">
        <f>IFERROR(__xludf.DUMMYFUNCTION("""COMPUTED_VALUE"""),4.4)</f>
        <v>4.4</v>
      </c>
      <c r="H5204" s="17"/>
      <c r="K5204" s="17"/>
      <c r="N5204" s="17"/>
    </row>
    <row r="5205">
      <c r="B5205" s="11">
        <f>IFERROR(__xludf.DUMMYFUNCTION("""COMPUTED_VALUE"""),38740.0)</f>
        <v>38740</v>
      </c>
      <c r="C5205" s="9">
        <f>IFERROR(__xludf.DUMMYFUNCTION("""COMPUTED_VALUE"""),4.36)</f>
        <v>4.36</v>
      </c>
      <c r="H5205" s="17"/>
      <c r="K5205" s="17"/>
      <c r="N5205" s="17"/>
    </row>
    <row r="5206">
      <c r="B5206" s="11">
        <f>IFERROR(__xludf.DUMMYFUNCTION("""COMPUTED_VALUE"""),38737.0)</f>
        <v>38737</v>
      </c>
      <c r="C5206" s="9">
        <f>IFERROR(__xludf.DUMMYFUNCTION("""COMPUTED_VALUE"""),4.37)</f>
        <v>4.37</v>
      </c>
      <c r="H5206" s="17"/>
      <c r="K5206" s="17"/>
      <c r="N5206" s="17"/>
    </row>
    <row r="5207">
      <c r="B5207" s="11">
        <f>IFERROR(__xludf.DUMMYFUNCTION("""COMPUTED_VALUE"""),38736.0)</f>
        <v>38736</v>
      </c>
      <c r="C5207" s="9">
        <f>IFERROR(__xludf.DUMMYFUNCTION("""COMPUTED_VALUE"""),4.38)</f>
        <v>4.38</v>
      </c>
      <c r="H5207" s="17"/>
      <c r="K5207" s="17"/>
      <c r="N5207" s="17"/>
    </row>
    <row r="5208">
      <c r="B5208" s="11">
        <f>IFERROR(__xludf.DUMMYFUNCTION("""COMPUTED_VALUE"""),38735.0)</f>
        <v>38735</v>
      </c>
      <c r="C5208" s="9">
        <f>IFERROR(__xludf.DUMMYFUNCTION("""COMPUTED_VALUE"""),4.34)</f>
        <v>4.34</v>
      </c>
      <c r="H5208" s="17"/>
      <c r="K5208" s="17"/>
      <c r="N5208" s="17"/>
    </row>
    <row r="5209">
      <c r="B5209" s="11">
        <f>IFERROR(__xludf.DUMMYFUNCTION("""COMPUTED_VALUE"""),38734.0)</f>
        <v>38734</v>
      </c>
      <c r="C5209" s="9">
        <f>IFERROR(__xludf.DUMMYFUNCTION("""COMPUTED_VALUE"""),4.34)</f>
        <v>4.34</v>
      </c>
      <c r="H5209" s="17"/>
      <c r="K5209" s="17"/>
      <c r="N5209" s="17"/>
    </row>
    <row r="5210">
      <c r="B5210" s="11">
        <f>IFERROR(__xludf.DUMMYFUNCTION("""COMPUTED_VALUE"""),38733.0)</f>
        <v>38733</v>
      </c>
      <c r="C5210" s="9"/>
      <c r="H5210" s="17"/>
      <c r="K5210" s="17"/>
      <c r="N5210" s="17"/>
    </row>
    <row r="5211">
      <c r="B5211" s="11">
        <f>IFERROR(__xludf.DUMMYFUNCTION("""COMPUTED_VALUE"""),38730.0)</f>
        <v>38730</v>
      </c>
      <c r="C5211" s="9">
        <f>IFERROR(__xludf.DUMMYFUNCTION("""COMPUTED_VALUE"""),4.36)</f>
        <v>4.36</v>
      </c>
      <c r="H5211" s="17"/>
      <c r="K5211" s="17"/>
      <c r="N5211" s="17"/>
    </row>
    <row r="5212">
      <c r="B5212" s="11">
        <f>IFERROR(__xludf.DUMMYFUNCTION("""COMPUTED_VALUE"""),38729.0)</f>
        <v>38729</v>
      </c>
      <c r="C5212" s="9">
        <f>IFERROR(__xludf.DUMMYFUNCTION("""COMPUTED_VALUE"""),4.42)</f>
        <v>4.42</v>
      </c>
      <c r="H5212" s="17"/>
      <c r="K5212" s="17"/>
      <c r="N5212" s="17"/>
    </row>
    <row r="5213">
      <c r="B5213" s="11">
        <f>IFERROR(__xludf.DUMMYFUNCTION("""COMPUTED_VALUE"""),38728.0)</f>
        <v>38728</v>
      </c>
      <c r="C5213" s="9">
        <f>IFERROR(__xludf.DUMMYFUNCTION("""COMPUTED_VALUE"""),4.46)</f>
        <v>4.46</v>
      </c>
      <c r="H5213" s="17"/>
      <c r="K5213" s="17"/>
      <c r="N5213" s="17"/>
    </row>
    <row r="5214">
      <c r="B5214" s="11">
        <f>IFERROR(__xludf.DUMMYFUNCTION("""COMPUTED_VALUE"""),38727.0)</f>
        <v>38727</v>
      </c>
      <c r="C5214" s="9">
        <f>IFERROR(__xludf.DUMMYFUNCTION("""COMPUTED_VALUE"""),4.43)</f>
        <v>4.43</v>
      </c>
      <c r="H5214" s="17"/>
      <c r="K5214" s="17"/>
      <c r="N5214" s="17"/>
    </row>
    <row r="5215">
      <c r="B5215" s="11">
        <f>IFERROR(__xludf.DUMMYFUNCTION("""COMPUTED_VALUE"""),38726.0)</f>
        <v>38726</v>
      </c>
      <c r="C5215" s="9">
        <f>IFERROR(__xludf.DUMMYFUNCTION("""COMPUTED_VALUE"""),4.38)</f>
        <v>4.38</v>
      </c>
      <c r="H5215" s="17"/>
      <c r="K5215" s="17"/>
      <c r="N5215" s="17"/>
    </row>
    <row r="5216">
      <c r="B5216" s="11">
        <f>IFERROR(__xludf.DUMMYFUNCTION("""COMPUTED_VALUE"""),38723.0)</f>
        <v>38723</v>
      </c>
      <c r="C5216" s="9">
        <f>IFERROR(__xludf.DUMMYFUNCTION("""COMPUTED_VALUE"""),4.38)</f>
        <v>4.38</v>
      </c>
      <c r="H5216" s="17"/>
      <c r="K5216" s="17"/>
      <c r="N5216" s="17"/>
    </row>
    <row r="5217">
      <c r="B5217" s="11">
        <f>IFERROR(__xludf.DUMMYFUNCTION("""COMPUTED_VALUE"""),38722.0)</f>
        <v>38722</v>
      </c>
      <c r="C5217" s="9">
        <f>IFERROR(__xludf.DUMMYFUNCTION("""COMPUTED_VALUE"""),4.36)</f>
        <v>4.36</v>
      </c>
      <c r="H5217" s="17"/>
      <c r="K5217" s="17"/>
      <c r="N5217" s="17"/>
    </row>
    <row r="5218">
      <c r="B5218" s="11">
        <f>IFERROR(__xludf.DUMMYFUNCTION("""COMPUTED_VALUE"""),38721.0)</f>
        <v>38721</v>
      </c>
      <c r="C5218" s="9">
        <f>IFERROR(__xludf.DUMMYFUNCTION("""COMPUTED_VALUE"""),4.36)</f>
        <v>4.36</v>
      </c>
      <c r="H5218" s="17"/>
      <c r="K5218" s="17"/>
      <c r="N5218" s="17"/>
    </row>
    <row r="5219">
      <c r="B5219" s="11">
        <f>IFERROR(__xludf.DUMMYFUNCTION("""COMPUTED_VALUE"""),38720.0)</f>
        <v>38720</v>
      </c>
      <c r="C5219" s="9">
        <f>IFERROR(__xludf.DUMMYFUNCTION("""COMPUTED_VALUE"""),4.37)</f>
        <v>4.37</v>
      </c>
      <c r="H5219" s="17"/>
      <c r="K5219" s="17"/>
      <c r="N5219" s="17"/>
    </row>
    <row r="5220">
      <c r="B5220" s="11">
        <f>IFERROR(__xludf.DUMMYFUNCTION("""COMPUTED_VALUE"""),38719.0)</f>
        <v>38719</v>
      </c>
      <c r="C5220" s="9"/>
      <c r="H5220" s="17"/>
      <c r="K5220" s="17"/>
      <c r="N5220" s="17"/>
    </row>
    <row r="5221">
      <c r="B5221" s="11">
        <f>IFERROR(__xludf.DUMMYFUNCTION("""COMPUTED_VALUE"""),38716.0)</f>
        <v>38716</v>
      </c>
      <c r="C5221" s="9">
        <f>IFERROR(__xludf.DUMMYFUNCTION("""COMPUTED_VALUE"""),4.39)</f>
        <v>4.39</v>
      </c>
      <c r="H5221" s="17"/>
      <c r="K5221" s="17"/>
      <c r="N5221" s="17"/>
    </row>
    <row r="5222">
      <c r="B5222" s="11">
        <f>IFERROR(__xludf.DUMMYFUNCTION("""COMPUTED_VALUE"""),38715.0)</f>
        <v>38715</v>
      </c>
      <c r="C5222" s="9">
        <f>IFERROR(__xludf.DUMMYFUNCTION("""COMPUTED_VALUE"""),4.37)</f>
        <v>4.37</v>
      </c>
      <c r="H5222" s="17"/>
      <c r="K5222" s="17"/>
      <c r="N5222" s="17"/>
    </row>
    <row r="5223">
      <c r="B5223" s="11">
        <f>IFERROR(__xludf.DUMMYFUNCTION("""COMPUTED_VALUE"""),38714.0)</f>
        <v>38714</v>
      </c>
      <c r="C5223" s="9">
        <f>IFERROR(__xludf.DUMMYFUNCTION("""COMPUTED_VALUE"""),4.38)</f>
        <v>4.38</v>
      </c>
      <c r="H5223" s="17"/>
      <c r="K5223" s="17"/>
      <c r="N5223" s="17"/>
    </row>
    <row r="5224">
      <c r="B5224" s="11">
        <f>IFERROR(__xludf.DUMMYFUNCTION("""COMPUTED_VALUE"""),38713.0)</f>
        <v>38713</v>
      </c>
      <c r="C5224" s="9">
        <f>IFERROR(__xludf.DUMMYFUNCTION("""COMPUTED_VALUE"""),4.34)</f>
        <v>4.34</v>
      </c>
      <c r="H5224" s="17"/>
      <c r="K5224" s="17"/>
      <c r="N5224" s="17"/>
    </row>
    <row r="5225">
      <c r="B5225" s="11">
        <f>IFERROR(__xludf.DUMMYFUNCTION("""COMPUTED_VALUE"""),38712.0)</f>
        <v>38712</v>
      </c>
      <c r="C5225" s="9"/>
      <c r="H5225" s="17"/>
      <c r="K5225" s="17"/>
      <c r="N5225" s="17"/>
    </row>
    <row r="5226">
      <c r="B5226" s="11">
        <f>IFERROR(__xludf.DUMMYFUNCTION("""COMPUTED_VALUE"""),38709.0)</f>
        <v>38709</v>
      </c>
      <c r="C5226" s="9">
        <f>IFERROR(__xludf.DUMMYFUNCTION("""COMPUTED_VALUE"""),4.38)</f>
        <v>4.38</v>
      </c>
      <c r="H5226" s="17"/>
      <c r="K5226" s="17"/>
      <c r="N5226" s="17"/>
    </row>
    <row r="5227">
      <c r="B5227" s="11">
        <f>IFERROR(__xludf.DUMMYFUNCTION("""COMPUTED_VALUE"""),38708.0)</f>
        <v>38708</v>
      </c>
      <c r="C5227" s="9">
        <f>IFERROR(__xludf.DUMMYFUNCTION("""COMPUTED_VALUE"""),4.44)</f>
        <v>4.44</v>
      </c>
      <c r="H5227" s="17"/>
      <c r="K5227" s="17"/>
      <c r="N5227" s="17"/>
    </row>
    <row r="5228">
      <c r="B5228" s="11">
        <f>IFERROR(__xludf.DUMMYFUNCTION("""COMPUTED_VALUE"""),38707.0)</f>
        <v>38707</v>
      </c>
      <c r="C5228" s="9">
        <f>IFERROR(__xludf.DUMMYFUNCTION("""COMPUTED_VALUE"""),4.49)</f>
        <v>4.49</v>
      </c>
      <c r="H5228" s="17"/>
      <c r="K5228" s="17"/>
      <c r="N5228" s="17"/>
    </row>
    <row r="5229">
      <c r="B5229" s="11">
        <f>IFERROR(__xludf.DUMMYFUNCTION("""COMPUTED_VALUE"""),38706.0)</f>
        <v>38706</v>
      </c>
      <c r="C5229" s="9">
        <f>IFERROR(__xludf.DUMMYFUNCTION("""COMPUTED_VALUE"""),4.47)</f>
        <v>4.47</v>
      </c>
      <c r="H5229" s="17"/>
      <c r="K5229" s="17"/>
      <c r="N5229" s="17"/>
    </row>
    <row r="5230">
      <c r="B5230" s="11">
        <f>IFERROR(__xludf.DUMMYFUNCTION("""COMPUTED_VALUE"""),38705.0)</f>
        <v>38705</v>
      </c>
      <c r="C5230" s="9">
        <f>IFERROR(__xludf.DUMMYFUNCTION("""COMPUTED_VALUE"""),4.45)</f>
        <v>4.45</v>
      </c>
      <c r="H5230" s="17"/>
      <c r="K5230" s="17"/>
      <c r="N5230" s="17"/>
    </row>
    <row r="5231">
      <c r="B5231" s="11">
        <f>IFERROR(__xludf.DUMMYFUNCTION("""COMPUTED_VALUE"""),38702.0)</f>
        <v>38702</v>
      </c>
      <c r="C5231" s="9">
        <f>IFERROR(__xludf.DUMMYFUNCTION("""COMPUTED_VALUE"""),4.45)</f>
        <v>4.45</v>
      </c>
      <c r="H5231" s="17"/>
      <c r="K5231" s="17"/>
      <c r="N5231" s="17"/>
    </row>
    <row r="5232">
      <c r="B5232" s="11">
        <f>IFERROR(__xludf.DUMMYFUNCTION("""COMPUTED_VALUE"""),38701.0)</f>
        <v>38701</v>
      </c>
      <c r="C5232" s="9">
        <f>IFERROR(__xludf.DUMMYFUNCTION("""COMPUTED_VALUE"""),4.47)</f>
        <v>4.47</v>
      </c>
      <c r="H5232" s="17"/>
      <c r="K5232" s="17"/>
      <c r="N5232" s="17"/>
    </row>
    <row r="5233">
      <c r="B5233" s="11">
        <f>IFERROR(__xludf.DUMMYFUNCTION("""COMPUTED_VALUE"""),38700.0)</f>
        <v>38700</v>
      </c>
      <c r="C5233" s="9">
        <f>IFERROR(__xludf.DUMMYFUNCTION("""COMPUTED_VALUE"""),4.45)</f>
        <v>4.45</v>
      </c>
      <c r="H5233" s="17"/>
      <c r="K5233" s="17"/>
      <c r="N5233" s="17"/>
    </row>
    <row r="5234">
      <c r="B5234" s="11">
        <f>IFERROR(__xludf.DUMMYFUNCTION("""COMPUTED_VALUE"""),38699.0)</f>
        <v>38699</v>
      </c>
      <c r="C5234" s="9">
        <f>IFERROR(__xludf.DUMMYFUNCTION("""COMPUTED_VALUE"""),4.54)</f>
        <v>4.54</v>
      </c>
      <c r="H5234" s="17"/>
      <c r="K5234" s="17"/>
      <c r="N5234" s="17"/>
    </row>
    <row r="5235">
      <c r="B5235" s="11">
        <f>IFERROR(__xludf.DUMMYFUNCTION("""COMPUTED_VALUE"""),38698.0)</f>
        <v>38698</v>
      </c>
      <c r="C5235" s="9">
        <f>IFERROR(__xludf.DUMMYFUNCTION("""COMPUTED_VALUE"""),4.56)</f>
        <v>4.56</v>
      </c>
      <c r="H5235" s="17"/>
      <c r="K5235" s="17"/>
      <c r="N5235" s="17"/>
    </row>
    <row r="5236">
      <c r="B5236" s="11">
        <f>IFERROR(__xludf.DUMMYFUNCTION("""COMPUTED_VALUE"""),38695.0)</f>
        <v>38695</v>
      </c>
      <c r="C5236" s="9">
        <f>IFERROR(__xludf.DUMMYFUNCTION("""COMPUTED_VALUE"""),4.54)</f>
        <v>4.54</v>
      </c>
      <c r="H5236" s="17"/>
      <c r="K5236" s="17"/>
      <c r="N5236" s="17"/>
    </row>
    <row r="5237">
      <c r="B5237" s="11">
        <f>IFERROR(__xludf.DUMMYFUNCTION("""COMPUTED_VALUE"""),38694.0)</f>
        <v>38694</v>
      </c>
      <c r="C5237" s="9">
        <f>IFERROR(__xludf.DUMMYFUNCTION("""COMPUTED_VALUE"""),4.47)</f>
        <v>4.47</v>
      </c>
      <c r="H5237" s="17"/>
      <c r="K5237" s="17"/>
      <c r="N5237" s="17"/>
    </row>
    <row r="5238">
      <c r="B5238" s="11">
        <f>IFERROR(__xludf.DUMMYFUNCTION("""COMPUTED_VALUE"""),38693.0)</f>
        <v>38693</v>
      </c>
      <c r="C5238" s="9">
        <f>IFERROR(__xludf.DUMMYFUNCTION("""COMPUTED_VALUE"""),4.52)</f>
        <v>4.52</v>
      </c>
      <c r="H5238" s="17"/>
      <c r="K5238" s="17"/>
      <c r="N5238" s="17"/>
    </row>
    <row r="5239">
      <c r="B5239" s="11">
        <f>IFERROR(__xludf.DUMMYFUNCTION("""COMPUTED_VALUE"""),38692.0)</f>
        <v>38692</v>
      </c>
      <c r="C5239" s="9">
        <f>IFERROR(__xludf.DUMMYFUNCTION("""COMPUTED_VALUE"""),4.49)</f>
        <v>4.49</v>
      </c>
      <c r="H5239" s="17"/>
      <c r="K5239" s="17"/>
      <c r="N5239" s="17"/>
    </row>
    <row r="5240">
      <c r="B5240" s="11">
        <f>IFERROR(__xludf.DUMMYFUNCTION("""COMPUTED_VALUE"""),38691.0)</f>
        <v>38691</v>
      </c>
      <c r="C5240" s="9">
        <f>IFERROR(__xludf.DUMMYFUNCTION("""COMPUTED_VALUE"""),4.57)</f>
        <v>4.57</v>
      </c>
      <c r="H5240" s="17"/>
      <c r="K5240" s="17"/>
      <c r="N5240" s="17"/>
    </row>
    <row r="5241">
      <c r="B5241" s="11">
        <f>IFERROR(__xludf.DUMMYFUNCTION("""COMPUTED_VALUE"""),38688.0)</f>
        <v>38688</v>
      </c>
      <c r="C5241" s="9">
        <f>IFERROR(__xludf.DUMMYFUNCTION("""COMPUTED_VALUE"""),4.52)</f>
        <v>4.52</v>
      </c>
      <c r="H5241" s="17"/>
      <c r="K5241" s="17"/>
      <c r="N5241" s="17"/>
    </row>
    <row r="5242">
      <c r="B5242" s="11">
        <f>IFERROR(__xludf.DUMMYFUNCTION("""COMPUTED_VALUE"""),38687.0)</f>
        <v>38687</v>
      </c>
      <c r="C5242" s="9">
        <f>IFERROR(__xludf.DUMMYFUNCTION("""COMPUTED_VALUE"""),4.52)</f>
        <v>4.52</v>
      </c>
      <c r="H5242" s="17"/>
      <c r="K5242" s="17"/>
      <c r="N5242" s="17"/>
    </row>
    <row r="5243">
      <c r="B5243" s="11">
        <f>IFERROR(__xludf.DUMMYFUNCTION("""COMPUTED_VALUE"""),38686.0)</f>
        <v>38686</v>
      </c>
      <c r="C5243" s="9">
        <f>IFERROR(__xludf.DUMMYFUNCTION("""COMPUTED_VALUE"""),4.49)</f>
        <v>4.49</v>
      </c>
      <c r="H5243" s="17"/>
      <c r="K5243" s="17"/>
      <c r="N5243" s="17"/>
    </row>
    <row r="5244">
      <c r="B5244" s="11">
        <f>IFERROR(__xludf.DUMMYFUNCTION("""COMPUTED_VALUE"""),38685.0)</f>
        <v>38685</v>
      </c>
      <c r="C5244" s="9">
        <f>IFERROR(__xludf.DUMMYFUNCTION("""COMPUTED_VALUE"""),4.48)</f>
        <v>4.48</v>
      </c>
      <c r="H5244" s="17"/>
      <c r="K5244" s="17"/>
      <c r="N5244" s="17"/>
    </row>
    <row r="5245">
      <c r="B5245" s="11">
        <f>IFERROR(__xludf.DUMMYFUNCTION("""COMPUTED_VALUE"""),38684.0)</f>
        <v>38684</v>
      </c>
      <c r="C5245" s="9">
        <f>IFERROR(__xludf.DUMMYFUNCTION("""COMPUTED_VALUE"""),4.41)</f>
        <v>4.41</v>
      </c>
      <c r="H5245" s="17"/>
      <c r="K5245" s="17"/>
      <c r="N5245" s="17"/>
    </row>
    <row r="5246">
      <c r="B5246" s="11">
        <f>IFERROR(__xludf.DUMMYFUNCTION("""COMPUTED_VALUE"""),38681.0)</f>
        <v>38681</v>
      </c>
      <c r="C5246" s="9">
        <f>IFERROR(__xludf.DUMMYFUNCTION("""COMPUTED_VALUE"""),4.43)</f>
        <v>4.43</v>
      </c>
      <c r="H5246" s="17"/>
      <c r="K5246" s="17"/>
      <c r="N5246" s="17"/>
    </row>
    <row r="5247">
      <c r="B5247" s="11">
        <f>IFERROR(__xludf.DUMMYFUNCTION("""COMPUTED_VALUE"""),38680.0)</f>
        <v>38680</v>
      </c>
      <c r="C5247" s="9"/>
      <c r="H5247" s="17"/>
      <c r="K5247" s="17"/>
      <c r="N5247" s="17"/>
    </row>
    <row r="5248">
      <c r="B5248" s="11">
        <f>IFERROR(__xludf.DUMMYFUNCTION("""COMPUTED_VALUE"""),38679.0)</f>
        <v>38679</v>
      </c>
      <c r="C5248" s="9">
        <f>IFERROR(__xludf.DUMMYFUNCTION("""COMPUTED_VALUE"""),4.47)</f>
        <v>4.47</v>
      </c>
      <c r="H5248" s="17"/>
      <c r="K5248" s="17"/>
      <c r="N5248" s="17"/>
    </row>
    <row r="5249">
      <c r="B5249" s="11">
        <f>IFERROR(__xludf.DUMMYFUNCTION("""COMPUTED_VALUE"""),38678.0)</f>
        <v>38678</v>
      </c>
      <c r="C5249" s="9">
        <f>IFERROR(__xludf.DUMMYFUNCTION("""COMPUTED_VALUE"""),4.43)</f>
        <v>4.43</v>
      </c>
      <c r="H5249" s="17"/>
      <c r="K5249" s="17"/>
      <c r="N5249" s="17"/>
    </row>
    <row r="5250">
      <c r="B5250" s="11">
        <f>IFERROR(__xludf.DUMMYFUNCTION("""COMPUTED_VALUE"""),38677.0)</f>
        <v>38677</v>
      </c>
      <c r="C5250" s="9">
        <f>IFERROR(__xludf.DUMMYFUNCTION("""COMPUTED_VALUE"""),4.46)</f>
        <v>4.46</v>
      </c>
      <c r="H5250" s="17"/>
      <c r="K5250" s="17"/>
      <c r="N5250" s="17"/>
    </row>
    <row r="5251">
      <c r="B5251" s="11">
        <f>IFERROR(__xludf.DUMMYFUNCTION("""COMPUTED_VALUE"""),38674.0)</f>
        <v>38674</v>
      </c>
      <c r="C5251" s="9">
        <f>IFERROR(__xludf.DUMMYFUNCTION("""COMPUTED_VALUE"""),4.5)</f>
        <v>4.5</v>
      </c>
      <c r="H5251" s="17"/>
      <c r="K5251" s="17"/>
      <c r="N5251" s="17"/>
    </row>
    <row r="5252">
      <c r="B5252" s="11">
        <f>IFERROR(__xludf.DUMMYFUNCTION("""COMPUTED_VALUE"""),38673.0)</f>
        <v>38673</v>
      </c>
      <c r="C5252" s="9">
        <f>IFERROR(__xludf.DUMMYFUNCTION("""COMPUTED_VALUE"""),4.46)</f>
        <v>4.46</v>
      </c>
      <c r="H5252" s="17"/>
      <c r="K5252" s="17"/>
      <c r="N5252" s="17"/>
    </row>
    <row r="5253">
      <c r="B5253" s="11">
        <f>IFERROR(__xludf.DUMMYFUNCTION("""COMPUTED_VALUE"""),38672.0)</f>
        <v>38672</v>
      </c>
      <c r="C5253" s="9">
        <f>IFERROR(__xludf.DUMMYFUNCTION("""COMPUTED_VALUE"""),4.49)</f>
        <v>4.49</v>
      </c>
      <c r="H5253" s="17"/>
      <c r="K5253" s="17"/>
      <c r="N5253" s="17"/>
    </row>
    <row r="5254">
      <c r="B5254" s="11">
        <f>IFERROR(__xludf.DUMMYFUNCTION("""COMPUTED_VALUE"""),38671.0)</f>
        <v>38671</v>
      </c>
      <c r="C5254" s="9">
        <f>IFERROR(__xludf.DUMMYFUNCTION("""COMPUTED_VALUE"""),4.56)</f>
        <v>4.56</v>
      </c>
      <c r="H5254" s="17"/>
      <c r="K5254" s="17"/>
      <c r="N5254" s="17"/>
    </row>
    <row r="5255">
      <c r="B5255" s="11">
        <f>IFERROR(__xludf.DUMMYFUNCTION("""COMPUTED_VALUE"""),38670.0)</f>
        <v>38670</v>
      </c>
      <c r="C5255" s="9">
        <f>IFERROR(__xludf.DUMMYFUNCTION("""COMPUTED_VALUE"""),4.61)</f>
        <v>4.61</v>
      </c>
      <c r="H5255" s="17"/>
      <c r="K5255" s="17"/>
      <c r="N5255" s="17"/>
    </row>
    <row r="5256">
      <c r="B5256" s="11">
        <f>IFERROR(__xludf.DUMMYFUNCTION("""COMPUTED_VALUE"""),38667.0)</f>
        <v>38667</v>
      </c>
      <c r="C5256" s="9"/>
      <c r="H5256" s="17"/>
      <c r="K5256" s="17"/>
      <c r="N5256" s="17"/>
    </row>
    <row r="5257">
      <c r="B5257" s="11">
        <f>IFERROR(__xludf.DUMMYFUNCTION("""COMPUTED_VALUE"""),38666.0)</f>
        <v>38666</v>
      </c>
      <c r="C5257" s="9">
        <f>IFERROR(__xludf.DUMMYFUNCTION("""COMPUTED_VALUE"""),4.55)</f>
        <v>4.55</v>
      </c>
      <c r="H5257" s="17"/>
      <c r="K5257" s="17"/>
      <c r="N5257" s="17"/>
    </row>
    <row r="5258">
      <c r="B5258" s="11">
        <f>IFERROR(__xludf.DUMMYFUNCTION("""COMPUTED_VALUE"""),38665.0)</f>
        <v>38665</v>
      </c>
      <c r="C5258" s="9">
        <f>IFERROR(__xludf.DUMMYFUNCTION("""COMPUTED_VALUE"""),4.64)</f>
        <v>4.64</v>
      </c>
      <c r="H5258" s="17"/>
      <c r="K5258" s="17"/>
      <c r="N5258" s="17"/>
    </row>
    <row r="5259">
      <c r="B5259" s="11">
        <f>IFERROR(__xludf.DUMMYFUNCTION("""COMPUTED_VALUE"""),38664.0)</f>
        <v>38664</v>
      </c>
      <c r="C5259" s="9">
        <f>IFERROR(__xludf.DUMMYFUNCTION("""COMPUTED_VALUE"""),4.57)</f>
        <v>4.57</v>
      </c>
      <c r="H5259" s="17"/>
      <c r="K5259" s="17"/>
      <c r="N5259" s="17"/>
    </row>
    <row r="5260">
      <c r="B5260" s="11">
        <f>IFERROR(__xludf.DUMMYFUNCTION("""COMPUTED_VALUE"""),38663.0)</f>
        <v>38663</v>
      </c>
      <c r="C5260" s="9">
        <f>IFERROR(__xludf.DUMMYFUNCTION("""COMPUTED_VALUE"""),4.65)</f>
        <v>4.65</v>
      </c>
      <c r="H5260" s="17"/>
      <c r="K5260" s="17"/>
      <c r="N5260" s="17"/>
    </row>
    <row r="5261">
      <c r="B5261" s="11">
        <f>IFERROR(__xludf.DUMMYFUNCTION("""COMPUTED_VALUE"""),38660.0)</f>
        <v>38660</v>
      </c>
      <c r="C5261" s="9">
        <f>IFERROR(__xludf.DUMMYFUNCTION("""COMPUTED_VALUE"""),4.66)</f>
        <v>4.66</v>
      </c>
      <c r="H5261" s="17"/>
      <c r="K5261" s="17"/>
      <c r="N5261" s="17"/>
    </row>
    <row r="5262">
      <c r="B5262" s="11">
        <f>IFERROR(__xludf.DUMMYFUNCTION("""COMPUTED_VALUE"""),38659.0)</f>
        <v>38659</v>
      </c>
      <c r="C5262" s="9">
        <f>IFERROR(__xludf.DUMMYFUNCTION("""COMPUTED_VALUE"""),4.65)</f>
        <v>4.65</v>
      </c>
      <c r="H5262" s="17"/>
      <c r="K5262" s="17"/>
      <c r="N5262" s="17"/>
    </row>
    <row r="5263">
      <c r="B5263" s="11">
        <f>IFERROR(__xludf.DUMMYFUNCTION("""COMPUTED_VALUE"""),38658.0)</f>
        <v>38658</v>
      </c>
      <c r="C5263" s="9">
        <f>IFERROR(__xludf.DUMMYFUNCTION("""COMPUTED_VALUE"""),4.61)</f>
        <v>4.61</v>
      </c>
      <c r="H5263" s="17"/>
      <c r="K5263" s="17"/>
      <c r="N5263" s="17"/>
    </row>
    <row r="5264">
      <c r="B5264" s="11">
        <f>IFERROR(__xludf.DUMMYFUNCTION("""COMPUTED_VALUE"""),38657.0)</f>
        <v>38657</v>
      </c>
      <c r="C5264" s="9">
        <f>IFERROR(__xludf.DUMMYFUNCTION("""COMPUTED_VALUE"""),4.58)</f>
        <v>4.58</v>
      </c>
      <c r="H5264" s="17"/>
      <c r="K5264" s="17"/>
      <c r="N5264" s="17"/>
    </row>
    <row r="5265">
      <c r="B5265" s="11">
        <f>IFERROR(__xludf.DUMMYFUNCTION("""COMPUTED_VALUE"""),38656.0)</f>
        <v>38656</v>
      </c>
      <c r="C5265" s="9">
        <f>IFERROR(__xludf.DUMMYFUNCTION("""COMPUTED_VALUE"""),4.57)</f>
        <v>4.57</v>
      </c>
      <c r="H5265" s="17"/>
      <c r="K5265" s="17"/>
      <c r="N5265" s="17"/>
    </row>
    <row r="5266">
      <c r="B5266" s="11">
        <f>IFERROR(__xludf.DUMMYFUNCTION("""COMPUTED_VALUE"""),38653.0)</f>
        <v>38653</v>
      </c>
      <c r="C5266" s="9">
        <f>IFERROR(__xludf.DUMMYFUNCTION("""COMPUTED_VALUE"""),4.58)</f>
        <v>4.58</v>
      </c>
      <c r="H5266" s="17"/>
      <c r="K5266" s="17"/>
      <c r="N5266" s="17"/>
    </row>
    <row r="5267">
      <c r="B5267" s="11">
        <f>IFERROR(__xludf.DUMMYFUNCTION("""COMPUTED_VALUE"""),38652.0)</f>
        <v>38652</v>
      </c>
      <c r="C5267" s="9">
        <f>IFERROR(__xludf.DUMMYFUNCTION("""COMPUTED_VALUE"""),4.57)</f>
        <v>4.57</v>
      </c>
      <c r="H5267" s="17"/>
      <c r="K5267" s="17"/>
      <c r="N5267" s="17"/>
    </row>
    <row r="5268">
      <c r="B5268" s="11">
        <f>IFERROR(__xludf.DUMMYFUNCTION("""COMPUTED_VALUE"""),38651.0)</f>
        <v>38651</v>
      </c>
      <c r="C5268" s="9">
        <f>IFERROR(__xludf.DUMMYFUNCTION("""COMPUTED_VALUE"""),4.6)</f>
        <v>4.6</v>
      </c>
      <c r="H5268" s="17"/>
      <c r="K5268" s="17"/>
      <c r="N5268" s="17"/>
    </row>
    <row r="5269">
      <c r="B5269" s="11">
        <f>IFERROR(__xludf.DUMMYFUNCTION("""COMPUTED_VALUE"""),38650.0)</f>
        <v>38650</v>
      </c>
      <c r="C5269" s="9">
        <f>IFERROR(__xludf.DUMMYFUNCTION("""COMPUTED_VALUE"""),4.54)</f>
        <v>4.54</v>
      </c>
      <c r="H5269" s="17"/>
      <c r="K5269" s="17"/>
      <c r="N5269" s="17"/>
    </row>
    <row r="5270">
      <c r="B5270" s="11">
        <f>IFERROR(__xludf.DUMMYFUNCTION("""COMPUTED_VALUE"""),38649.0)</f>
        <v>38649</v>
      </c>
      <c r="C5270" s="9">
        <f>IFERROR(__xludf.DUMMYFUNCTION("""COMPUTED_VALUE"""),4.45)</f>
        <v>4.45</v>
      </c>
      <c r="H5270" s="17"/>
      <c r="K5270" s="17"/>
      <c r="N5270" s="17"/>
    </row>
    <row r="5271">
      <c r="B5271" s="11">
        <f>IFERROR(__xludf.DUMMYFUNCTION("""COMPUTED_VALUE"""),38646.0)</f>
        <v>38646</v>
      </c>
      <c r="C5271" s="9">
        <f>IFERROR(__xludf.DUMMYFUNCTION("""COMPUTED_VALUE"""),4.39)</f>
        <v>4.39</v>
      </c>
      <c r="H5271" s="17"/>
      <c r="K5271" s="17"/>
      <c r="N5271" s="17"/>
    </row>
    <row r="5272">
      <c r="B5272" s="11">
        <f>IFERROR(__xludf.DUMMYFUNCTION("""COMPUTED_VALUE"""),38645.0)</f>
        <v>38645</v>
      </c>
      <c r="C5272" s="9">
        <f>IFERROR(__xludf.DUMMYFUNCTION("""COMPUTED_VALUE"""),4.46)</f>
        <v>4.46</v>
      </c>
      <c r="H5272" s="17"/>
      <c r="K5272" s="17"/>
      <c r="N5272" s="17"/>
    </row>
    <row r="5273">
      <c r="B5273" s="11">
        <f>IFERROR(__xludf.DUMMYFUNCTION("""COMPUTED_VALUE"""),38644.0)</f>
        <v>38644</v>
      </c>
      <c r="C5273" s="9">
        <f>IFERROR(__xludf.DUMMYFUNCTION("""COMPUTED_VALUE"""),4.47)</f>
        <v>4.47</v>
      </c>
      <c r="H5273" s="17"/>
      <c r="K5273" s="17"/>
      <c r="N5273" s="17"/>
    </row>
    <row r="5274">
      <c r="B5274" s="11">
        <f>IFERROR(__xludf.DUMMYFUNCTION("""COMPUTED_VALUE"""),38643.0)</f>
        <v>38643</v>
      </c>
      <c r="C5274" s="9">
        <f>IFERROR(__xludf.DUMMYFUNCTION("""COMPUTED_VALUE"""),4.49)</f>
        <v>4.49</v>
      </c>
      <c r="H5274" s="17"/>
      <c r="K5274" s="17"/>
      <c r="N5274" s="17"/>
    </row>
    <row r="5275">
      <c r="B5275" s="11">
        <f>IFERROR(__xludf.DUMMYFUNCTION("""COMPUTED_VALUE"""),38642.0)</f>
        <v>38642</v>
      </c>
      <c r="C5275" s="9">
        <f>IFERROR(__xludf.DUMMYFUNCTION("""COMPUTED_VALUE"""),4.5)</f>
        <v>4.5</v>
      </c>
      <c r="H5275" s="17"/>
      <c r="K5275" s="17"/>
      <c r="N5275" s="17"/>
    </row>
    <row r="5276">
      <c r="B5276" s="11">
        <f>IFERROR(__xludf.DUMMYFUNCTION("""COMPUTED_VALUE"""),38639.0)</f>
        <v>38639</v>
      </c>
      <c r="C5276" s="9">
        <f>IFERROR(__xludf.DUMMYFUNCTION("""COMPUTED_VALUE"""),4.48)</f>
        <v>4.48</v>
      </c>
      <c r="H5276" s="17"/>
      <c r="K5276" s="17"/>
      <c r="N5276" s="17"/>
    </row>
    <row r="5277">
      <c r="B5277" s="11">
        <f>IFERROR(__xludf.DUMMYFUNCTION("""COMPUTED_VALUE"""),38638.0)</f>
        <v>38638</v>
      </c>
      <c r="C5277" s="9">
        <f>IFERROR(__xludf.DUMMYFUNCTION("""COMPUTED_VALUE"""),4.48)</f>
        <v>4.48</v>
      </c>
      <c r="H5277" s="17"/>
      <c r="K5277" s="17"/>
      <c r="N5277" s="17"/>
    </row>
    <row r="5278">
      <c r="B5278" s="11">
        <f>IFERROR(__xludf.DUMMYFUNCTION("""COMPUTED_VALUE"""),38637.0)</f>
        <v>38637</v>
      </c>
      <c r="C5278" s="9">
        <f>IFERROR(__xludf.DUMMYFUNCTION("""COMPUTED_VALUE"""),4.45)</f>
        <v>4.45</v>
      </c>
      <c r="H5278" s="17"/>
      <c r="K5278" s="17"/>
      <c r="N5278" s="17"/>
    </row>
    <row r="5279">
      <c r="B5279" s="11">
        <f>IFERROR(__xludf.DUMMYFUNCTION("""COMPUTED_VALUE"""),38636.0)</f>
        <v>38636</v>
      </c>
      <c r="C5279" s="9">
        <f>IFERROR(__xludf.DUMMYFUNCTION("""COMPUTED_VALUE"""),4.39)</f>
        <v>4.39</v>
      </c>
      <c r="H5279" s="17"/>
      <c r="K5279" s="17"/>
      <c r="N5279" s="17"/>
    </row>
    <row r="5280">
      <c r="B5280" s="11">
        <f>IFERROR(__xludf.DUMMYFUNCTION("""COMPUTED_VALUE"""),38635.0)</f>
        <v>38635</v>
      </c>
      <c r="C5280" s="9"/>
      <c r="H5280" s="17"/>
      <c r="K5280" s="17"/>
      <c r="N5280" s="17"/>
    </row>
    <row r="5281">
      <c r="B5281" s="11">
        <f>IFERROR(__xludf.DUMMYFUNCTION("""COMPUTED_VALUE"""),38632.0)</f>
        <v>38632</v>
      </c>
      <c r="C5281" s="9">
        <f>IFERROR(__xludf.DUMMYFUNCTION("""COMPUTED_VALUE"""),4.35)</f>
        <v>4.35</v>
      </c>
      <c r="H5281" s="17"/>
      <c r="K5281" s="17"/>
      <c r="N5281" s="17"/>
    </row>
    <row r="5282">
      <c r="B5282" s="11">
        <f>IFERROR(__xludf.DUMMYFUNCTION("""COMPUTED_VALUE"""),38631.0)</f>
        <v>38631</v>
      </c>
      <c r="C5282" s="9">
        <f>IFERROR(__xludf.DUMMYFUNCTION("""COMPUTED_VALUE"""),4.37)</f>
        <v>4.37</v>
      </c>
      <c r="H5282" s="17"/>
      <c r="K5282" s="17"/>
      <c r="N5282" s="17"/>
    </row>
    <row r="5283">
      <c r="B5283" s="11">
        <f>IFERROR(__xludf.DUMMYFUNCTION("""COMPUTED_VALUE"""),38630.0)</f>
        <v>38630</v>
      </c>
      <c r="C5283" s="9">
        <f>IFERROR(__xludf.DUMMYFUNCTION("""COMPUTED_VALUE"""),4.36)</f>
        <v>4.36</v>
      </c>
      <c r="H5283" s="17"/>
      <c r="K5283" s="17"/>
      <c r="N5283" s="17"/>
    </row>
    <row r="5284">
      <c r="B5284" s="11">
        <f>IFERROR(__xludf.DUMMYFUNCTION("""COMPUTED_VALUE"""),38629.0)</f>
        <v>38629</v>
      </c>
      <c r="C5284" s="9">
        <f>IFERROR(__xludf.DUMMYFUNCTION("""COMPUTED_VALUE"""),4.38)</f>
        <v>4.38</v>
      </c>
      <c r="H5284" s="17"/>
      <c r="K5284" s="17"/>
      <c r="N5284" s="17"/>
    </row>
    <row r="5285">
      <c r="B5285" s="11">
        <f>IFERROR(__xludf.DUMMYFUNCTION("""COMPUTED_VALUE"""),38628.0)</f>
        <v>38628</v>
      </c>
      <c r="C5285" s="9">
        <f>IFERROR(__xludf.DUMMYFUNCTION("""COMPUTED_VALUE"""),4.39)</f>
        <v>4.39</v>
      </c>
      <c r="H5285" s="17"/>
      <c r="K5285" s="17"/>
      <c r="N5285" s="17"/>
    </row>
    <row r="5286">
      <c r="B5286" s="11">
        <f>IFERROR(__xludf.DUMMYFUNCTION("""COMPUTED_VALUE"""),38625.0)</f>
        <v>38625</v>
      </c>
      <c r="C5286" s="9">
        <f>IFERROR(__xludf.DUMMYFUNCTION("""COMPUTED_VALUE"""),4.34)</f>
        <v>4.34</v>
      </c>
      <c r="H5286" s="17"/>
      <c r="K5286" s="17"/>
      <c r="N5286" s="17"/>
    </row>
    <row r="5287">
      <c r="B5287" s="11">
        <f>IFERROR(__xludf.DUMMYFUNCTION("""COMPUTED_VALUE"""),38624.0)</f>
        <v>38624</v>
      </c>
      <c r="C5287" s="9">
        <f>IFERROR(__xludf.DUMMYFUNCTION("""COMPUTED_VALUE"""),4.29)</f>
        <v>4.29</v>
      </c>
      <c r="H5287" s="17"/>
      <c r="K5287" s="17"/>
      <c r="N5287" s="17"/>
    </row>
    <row r="5288">
      <c r="B5288" s="11">
        <f>IFERROR(__xludf.DUMMYFUNCTION("""COMPUTED_VALUE"""),38623.0)</f>
        <v>38623</v>
      </c>
      <c r="C5288" s="9">
        <f>IFERROR(__xludf.DUMMYFUNCTION("""COMPUTED_VALUE"""),4.26)</f>
        <v>4.26</v>
      </c>
      <c r="H5288" s="17"/>
      <c r="K5288" s="17"/>
      <c r="N5288" s="17"/>
    </row>
    <row r="5289">
      <c r="B5289" s="11">
        <f>IFERROR(__xludf.DUMMYFUNCTION("""COMPUTED_VALUE"""),38622.0)</f>
        <v>38622</v>
      </c>
      <c r="C5289" s="9">
        <f>IFERROR(__xludf.DUMMYFUNCTION("""COMPUTED_VALUE"""),4.3)</f>
        <v>4.3</v>
      </c>
      <c r="H5289" s="17"/>
      <c r="K5289" s="17"/>
      <c r="N5289" s="17"/>
    </row>
    <row r="5290">
      <c r="B5290" s="11">
        <f>IFERROR(__xludf.DUMMYFUNCTION("""COMPUTED_VALUE"""),38621.0)</f>
        <v>38621</v>
      </c>
      <c r="C5290" s="9">
        <f>IFERROR(__xludf.DUMMYFUNCTION("""COMPUTED_VALUE"""),4.3)</f>
        <v>4.3</v>
      </c>
      <c r="H5290" s="17"/>
      <c r="K5290" s="17"/>
      <c r="N5290" s="17"/>
    </row>
    <row r="5291">
      <c r="B5291" s="11">
        <f>IFERROR(__xludf.DUMMYFUNCTION("""COMPUTED_VALUE"""),38618.0)</f>
        <v>38618</v>
      </c>
      <c r="C5291" s="9">
        <f>IFERROR(__xludf.DUMMYFUNCTION("""COMPUTED_VALUE"""),4.25)</f>
        <v>4.25</v>
      </c>
      <c r="H5291" s="17"/>
      <c r="K5291" s="17"/>
      <c r="N5291" s="17"/>
    </row>
    <row r="5292">
      <c r="B5292" s="11">
        <f>IFERROR(__xludf.DUMMYFUNCTION("""COMPUTED_VALUE"""),38617.0)</f>
        <v>38617</v>
      </c>
      <c r="C5292" s="9">
        <f>IFERROR(__xludf.DUMMYFUNCTION("""COMPUTED_VALUE"""),4.19)</f>
        <v>4.19</v>
      </c>
      <c r="H5292" s="17"/>
      <c r="K5292" s="17"/>
      <c r="N5292" s="17"/>
    </row>
    <row r="5293">
      <c r="B5293" s="11">
        <f>IFERROR(__xludf.DUMMYFUNCTION("""COMPUTED_VALUE"""),38616.0)</f>
        <v>38616</v>
      </c>
      <c r="C5293" s="9">
        <f>IFERROR(__xludf.DUMMYFUNCTION("""COMPUTED_VALUE"""),4.19)</f>
        <v>4.19</v>
      </c>
      <c r="H5293" s="17"/>
      <c r="K5293" s="17"/>
      <c r="N5293" s="17"/>
    </row>
    <row r="5294">
      <c r="B5294" s="11">
        <f>IFERROR(__xludf.DUMMYFUNCTION("""COMPUTED_VALUE"""),38615.0)</f>
        <v>38615</v>
      </c>
      <c r="C5294" s="9">
        <f>IFERROR(__xludf.DUMMYFUNCTION("""COMPUTED_VALUE"""),4.26)</f>
        <v>4.26</v>
      </c>
      <c r="H5294" s="17"/>
      <c r="K5294" s="17"/>
      <c r="N5294" s="17"/>
    </row>
    <row r="5295">
      <c r="B5295" s="11">
        <f>IFERROR(__xludf.DUMMYFUNCTION("""COMPUTED_VALUE"""),38614.0)</f>
        <v>38614</v>
      </c>
      <c r="C5295" s="9">
        <f>IFERROR(__xludf.DUMMYFUNCTION("""COMPUTED_VALUE"""),4.25)</f>
        <v>4.25</v>
      </c>
      <c r="H5295" s="17"/>
      <c r="K5295" s="17"/>
      <c r="N5295" s="17"/>
    </row>
    <row r="5296">
      <c r="B5296" s="11">
        <f>IFERROR(__xludf.DUMMYFUNCTION("""COMPUTED_VALUE"""),38611.0)</f>
        <v>38611</v>
      </c>
      <c r="C5296" s="9">
        <f>IFERROR(__xludf.DUMMYFUNCTION("""COMPUTED_VALUE"""),4.26)</f>
        <v>4.26</v>
      </c>
      <c r="H5296" s="17"/>
      <c r="K5296" s="17"/>
      <c r="N5296" s="17"/>
    </row>
    <row r="5297">
      <c r="B5297" s="11">
        <f>IFERROR(__xludf.DUMMYFUNCTION("""COMPUTED_VALUE"""),38610.0)</f>
        <v>38610</v>
      </c>
      <c r="C5297" s="9">
        <f>IFERROR(__xludf.DUMMYFUNCTION("""COMPUTED_VALUE"""),4.22)</f>
        <v>4.22</v>
      </c>
      <c r="H5297" s="17"/>
      <c r="K5297" s="17"/>
      <c r="N5297" s="17"/>
    </row>
    <row r="5298">
      <c r="B5298" s="11">
        <f>IFERROR(__xludf.DUMMYFUNCTION("""COMPUTED_VALUE"""),38609.0)</f>
        <v>38609</v>
      </c>
      <c r="C5298" s="9">
        <f>IFERROR(__xludf.DUMMYFUNCTION("""COMPUTED_VALUE"""),4.17)</f>
        <v>4.17</v>
      </c>
      <c r="H5298" s="17"/>
      <c r="K5298" s="17"/>
      <c r="N5298" s="17"/>
    </row>
    <row r="5299">
      <c r="B5299" s="11">
        <f>IFERROR(__xludf.DUMMYFUNCTION("""COMPUTED_VALUE"""),38608.0)</f>
        <v>38608</v>
      </c>
      <c r="C5299" s="9">
        <f>IFERROR(__xludf.DUMMYFUNCTION("""COMPUTED_VALUE"""),4.14)</f>
        <v>4.14</v>
      </c>
      <c r="H5299" s="17"/>
      <c r="K5299" s="17"/>
      <c r="N5299" s="17"/>
    </row>
    <row r="5300">
      <c r="B5300" s="11">
        <f>IFERROR(__xludf.DUMMYFUNCTION("""COMPUTED_VALUE"""),38607.0)</f>
        <v>38607</v>
      </c>
      <c r="C5300" s="9">
        <f>IFERROR(__xludf.DUMMYFUNCTION("""COMPUTED_VALUE"""),4.18)</f>
        <v>4.18</v>
      </c>
      <c r="H5300" s="17"/>
      <c r="K5300" s="17"/>
      <c r="N5300" s="17"/>
    </row>
    <row r="5301">
      <c r="B5301" s="11">
        <f>IFERROR(__xludf.DUMMYFUNCTION("""COMPUTED_VALUE"""),38604.0)</f>
        <v>38604</v>
      </c>
      <c r="C5301" s="9">
        <f>IFERROR(__xludf.DUMMYFUNCTION("""COMPUTED_VALUE"""),4.14)</f>
        <v>4.14</v>
      </c>
      <c r="H5301" s="17"/>
      <c r="K5301" s="17"/>
      <c r="N5301" s="17"/>
    </row>
    <row r="5302">
      <c r="B5302" s="11">
        <f>IFERROR(__xludf.DUMMYFUNCTION("""COMPUTED_VALUE"""),38603.0)</f>
        <v>38603</v>
      </c>
      <c r="C5302" s="9">
        <f>IFERROR(__xludf.DUMMYFUNCTION("""COMPUTED_VALUE"""),4.15)</f>
        <v>4.15</v>
      </c>
      <c r="H5302" s="17"/>
      <c r="K5302" s="17"/>
      <c r="N5302" s="17"/>
    </row>
    <row r="5303">
      <c r="B5303" s="11">
        <f>IFERROR(__xludf.DUMMYFUNCTION("""COMPUTED_VALUE"""),38602.0)</f>
        <v>38602</v>
      </c>
      <c r="C5303" s="9">
        <f>IFERROR(__xludf.DUMMYFUNCTION("""COMPUTED_VALUE"""),4.15)</f>
        <v>4.15</v>
      </c>
      <c r="H5303" s="17"/>
      <c r="K5303" s="17"/>
      <c r="N5303" s="17"/>
    </row>
    <row r="5304">
      <c r="B5304" s="11">
        <f>IFERROR(__xludf.DUMMYFUNCTION("""COMPUTED_VALUE"""),38601.0)</f>
        <v>38601</v>
      </c>
      <c r="C5304" s="9">
        <f>IFERROR(__xludf.DUMMYFUNCTION("""COMPUTED_VALUE"""),4.09)</f>
        <v>4.09</v>
      </c>
      <c r="H5304" s="17"/>
      <c r="K5304" s="17"/>
      <c r="N5304" s="17"/>
    </row>
    <row r="5305">
      <c r="B5305" s="11">
        <f>IFERROR(__xludf.DUMMYFUNCTION("""COMPUTED_VALUE"""),38600.0)</f>
        <v>38600</v>
      </c>
      <c r="C5305" s="9"/>
      <c r="H5305" s="17"/>
      <c r="K5305" s="17"/>
      <c r="N5305" s="17"/>
    </row>
    <row r="5306">
      <c r="B5306" s="11">
        <f>IFERROR(__xludf.DUMMYFUNCTION("""COMPUTED_VALUE"""),38597.0)</f>
        <v>38597</v>
      </c>
      <c r="C5306" s="9">
        <f>IFERROR(__xludf.DUMMYFUNCTION("""COMPUTED_VALUE"""),4.03)</f>
        <v>4.03</v>
      </c>
      <c r="H5306" s="17"/>
      <c r="K5306" s="17"/>
      <c r="N5306" s="17"/>
    </row>
    <row r="5307">
      <c r="B5307" s="11">
        <f>IFERROR(__xludf.DUMMYFUNCTION("""COMPUTED_VALUE"""),38596.0)</f>
        <v>38596</v>
      </c>
      <c r="C5307" s="9">
        <f>IFERROR(__xludf.DUMMYFUNCTION("""COMPUTED_VALUE"""),4.02)</f>
        <v>4.02</v>
      </c>
      <c r="H5307" s="17"/>
      <c r="K5307" s="17"/>
      <c r="N5307" s="17"/>
    </row>
    <row r="5308">
      <c r="B5308" s="11">
        <f>IFERROR(__xludf.DUMMYFUNCTION("""COMPUTED_VALUE"""),38595.0)</f>
        <v>38595</v>
      </c>
      <c r="C5308" s="9">
        <f>IFERROR(__xludf.DUMMYFUNCTION("""COMPUTED_VALUE"""),4.02)</f>
        <v>4.02</v>
      </c>
      <c r="H5308" s="17"/>
      <c r="K5308" s="17"/>
      <c r="N5308" s="17"/>
    </row>
    <row r="5309">
      <c r="B5309" s="11">
        <f>IFERROR(__xludf.DUMMYFUNCTION("""COMPUTED_VALUE"""),38594.0)</f>
        <v>38594</v>
      </c>
      <c r="C5309" s="9">
        <f>IFERROR(__xludf.DUMMYFUNCTION("""COMPUTED_VALUE"""),4.16)</f>
        <v>4.16</v>
      </c>
      <c r="H5309" s="17"/>
      <c r="K5309" s="17"/>
      <c r="N5309" s="17"/>
    </row>
    <row r="5310">
      <c r="B5310" s="11">
        <f>IFERROR(__xludf.DUMMYFUNCTION("""COMPUTED_VALUE"""),38593.0)</f>
        <v>38593</v>
      </c>
      <c r="C5310" s="9">
        <f>IFERROR(__xludf.DUMMYFUNCTION("""COMPUTED_VALUE"""),4.2)</f>
        <v>4.2</v>
      </c>
      <c r="H5310" s="17"/>
      <c r="K5310" s="17"/>
      <c r="N5310" s="17"/>
    </row>
    <row r="5311">
      <c r="B5311" s="11">
        <f>IFERROR(__xludf.DUMMYFUNCTION("""COMPUTED_VALUE"""),38590.0)</f>
        <v>38590</v>
      </c>
      <c r="C5311" s="9">
        <f>IFERROR(__xludf.DUMMYFUNCTION("""COMPUTED_VALUE"""),4.2)</f>
        <v>4.2</v>
      </c>
      <c r="H5311" s="17"/>
      <c r="K5311" s="17"/>
      <c r="N5311" s="17"/>
    </row>
    <row r="5312">
      <c r="B5312" s="11">
        <f>IFERROR(__xludf.DUMMYFUNCTION("""COMPUTED_VALUE"""),38589.0)</f>
        <v>38589</v>
      </c>
      <c r="C5312" s="9">
        <f>IFERROR(__xludf.DUMMYFUNCTION("""COMPUTED_VALUE"""),4.18)</f>
        <v>4.18</v>
      </c>
      <c r="H5312" s="17"/>
      <c r="K5312" s="17"/>
      <c r="N5312" s="17"/>
    </row>
    <row r="5313">
      <c r="B5313" s="11">
        <f>IFERROR(__xludf.DUMMYFUNCTION("""COMPUTED_VALUE"""),38588.0)</f>
        <v>38588</v>
      </c>
      <c r="C5313" s="9">
        <f>IFERROR(__xludf.DUMMYFUNCTION("""COMPUTED_VALUE"""),4.19)</f>
        <v>4.19</v>
      </c>
      <c r="H5313" s="17"/>
      <c r="K5313" s="17"/>
      <c r="N5313" s="17"/>
    </row>
    <row r="5314">
      <c r="B5314" s="11">
        <f>IFERROR(__xludf.DUMMYFUNCTION("""COMPUTED_VALUE"""),38587.0)</f>
        <v>38587</v>
      </c>
      <c r="C5314" s="9">
        <f>IFERROR(__xludf.DUMMYFUNCTION("""COMPUTED_VALUE"""),4.2)</f>
        <v>4.2</v>
      </c>
      <c r="H5314" s="17"/>
      <c r="K5314" s="17"/>
      <c r="N5314" s="17"/>
    </row>
    <row r="5315">
      <c r="B5315" s="11">
        <f>IFERROR(__xludf.DUMMYFUNCTION("""COMPUTED_VALUE"""),38586.0)</f>
        <v>38586</v>
      </c>
      <c r="C5315" s="9">
        <f>IFERROR(__xludf.DUMMYFUNCTION("""COMPUTED_VALUE"""),4.22)</f>
        <v>4.22</v>
      </c>
      <c r="H5315" s="17"/>
      <c r="K5315" s="17"/>
      <c r="N5315" s="17"/>
    </row>
    <row r="5316">
      <c r="B5316" s="11">
        <f>IFERROR(__xludf.DUMMYFUNCTION("""COMPUTED_VALUE"""),38583.0)</f>
        <v>38583</v>
      </c>
      <c r="C5316" s="9">
        <f>IFERROR(__xludf.DUMMYFUNCTION("""COMPUTED_VALUE"""),4.21)</f>
        <v>4.21</v>
      </c>
      <c r="H5316" s="17"/>
      <c r="K5316" s="17"/>
      <c r="N5316" s="17"/>
    </row>
    <row r="5317">
      <c r="B5317" s="11">
        <f>IFERROR(__xludf.DUMMYFUNCTION("""COMPUTED_VALUE"""),38582.0)</f>
        <v>38582</v>
      </c>
      <c r="C5317" s="9">
        <f>IFERROR(__xludf.DUMMYFUNCTION("""COMPUTED_VALUE"""),4.21)</f>
        <v>4.21</v>
      </c>
      <c r="H5317" s="17"/>
      <c r="K5317" s="17"/>
      <c r="N5317" s="17"/>
    </row>
    <row r="5318">
      <c r="B5318" s="11">
        <f>IFERROR(__xludf.DUMMYFUNCTION("""COMPUTED_VALUE"""),38581.0)</f>
        <v>38581</v>
      </c>
      <c r="C5318" s="9">
        <f>IFERROR(__xludf.DUMMYFUNCTION("""COMPUTED_VALUE"""),4.28)</f>
        <v>4.28</v>
      </c>
      <c r="H5318" s="17"/>
      <c r="K5318" s="17"/>
      <c r="N5318" s="17"/>
    </row>
    <row r="5319">
      <c r="B5319" s="11">
        <f>IFERROR(__xludf.DUMMYFUNCTION("""COMPUTED_VALUE"""),38580.0)</f>
        <v>38580</v>
      </c>
      <c r="C5319" s="9">
        <f>IFERROR(__xludf.DUMMYFUNCTION("""COMPUTED_VALUE"""),4.23)</f>
        <v>4.23</v>
      </c>
      <c r="H5319" s="17"/>
      <c r="K5319" s="17"/>
      <c r="N5319" s="17"/>
    </row>
    <row r="5320">
      <c r="B5320" s="11">
        <f>IFERROR(__xludf.DUMMYFUNCTION("""COMPUTED_VALUE"""),38579.0)</f>
        <v>38579</v>
      </c>
      <c r="C5320" s="9">
        <f>IFERROR(__xludf.DUMMYFUNCTION("""COMPUTED_VALUE"""),4.27)</f>
        <v>4.27</v>
      </c>
      <c r="H5320" s="17"/>
      <c r="K5320" s="17"/>
      <c r="N5320" s="17"/>
    </row>
    <row r="5321">
      <c r="B5321" s="11">
        <f>IFERROR(__xludf.DUMMYFUNCTION("""COMPUTED_VALUE"""),38576.0)</f>
        <v>38576</v>
      </c>
      <c r="C5321" s="9">
        <f>IFERROR(__xludf.DUMMYFUNCTION("""COMPUTED_VALUE"""),4.24)</f>
        <v>4.24</v>
      </c>
      <c r="H5321" s="17"/>
      <c r="K5321" s="17"/>
      <c r="N5321" s="17"/>
    </row>
    <row r="5322">
      <c r="B5322" s="11">
        <f>IFERROR(__xludf.DUMMYFUNCTION("""COMPUTED_VALUE"""),38575.0)</f>
        <v>38575</v>
      </c>
      <c r="C5322" s="9">
        <f>IFERROR(__xludf.DUMMYFUNCTION("""COMPUTED_VALUE"""),4.32)</f>
        <v>4.32</v>
      </c>
      <c r="H5322" s="17"/>
      <c r="K5322" s="17"/>
      <c r="N5322" s="17"/>
    </row>
    <row r="5323">
      <c r="B5323" s="11">
        <f>IFERROR(__xludf.DUMMYFUNCTION("""COMPUTED_VALUE"""),38574.0)</f>
        <v>38574</v>
      </c>
      <c r="C5323" s="9">
        <f>IFERROR(__xludf.DUMMYFUNCTION("""COMPUTED_VALUE"""),4.4)</f>
        <v>4.4</v>
      </c>
      <c r="H5323" s="17"/>
      <c r="K5323" s="17"/>
      <c r="N5323" s="17"/>
    </row>
    <row r="5324">
      <c r="B5324" s="11">
        <f>IFERROR(__xludf.DUMMYFUNCTION("""COMPUTED_VALUE"""),38573.0)</f>
        <v>38573</v>
      </c>
      <c r="C5324" s="9">
        <f>IFERROR(__xludf.DUMMYFUNCTION("""COMPUTED_VALUE"""),4.41)</f>
        <v>4.41</v>
      </c>
      <c r="H5324" s="17"/>
      <c r="K5324" s="17"/>
      <c r="N5324" s="17"/>
    </row>
    <row r="5325">
      <c r="B5325" s="11">
        <f>IFERROR(__xludf.DUMMYFUNCTION("""COMPUTED_VALUE"""),38572.0)</f>
        <v>38572</v>
      </c>
      <c r="C5325" s="9">
        <f>IFERROR(__xludf.DUMMYFUNCTION("""COMPUTED_VALUE"""),4.42)</f>
        <v>4.42</v>
      </c>
      <c r="H5325" s="17"/>
      <c r="K5325" s="17"/>
      <c r="N5325" s="17"/>
    </row>
    <row r="5326">
      <c r="B5326" s="11">
        <f>IFERROR(__xludf.DUMMYFUNCTION("""COMPUTED_VALUE"""),38569.0)</f>
        <v>38569</v>
      </c>
      <c r="C5326" s="9">
        <f>IFERROR(__xludf.DUMMYFUNCTION("""COMPUTED_VALUE"""),4.4)</f>
        <v>4.4</v>
      </c>
      <c r="H5326" s="17"/>
      <c r="K5326" s="17"/>
      <c r="N5326" s="17"/>
    </row>
    <row r="5327">
      <c r="B5327" s="11">
        <f>IFERROR(__xludf.DUMMYFUNCTION("""COMPUTED_VALUE"""),38568.0)</f>
        <v>38568</v>
      </c>
      <c r="C5327" s="9">
        <f>IFERROR(__xludf.DUMMYFUNCTION("""COMPUTED_VALUE"""),4.32)</f>
        <v>4.32</v>
      </c>
      <c r="H5327" s="17"/>
      <c r="K5327" s="17"/>
      <c r="N5327" s="17"/>
    </row>
    <row r="5328">
      <c r="B5328" s="11">
        <f>IFERROR(__xludf.DUMMYFUNCTION("""COMPUTED_VALUE"""),38567.0)</f>
        <v>38567</v>
      </c>
      <c r="C5328" s="9">
        <f>IFERROR(__xludf.DUMMYFUNCTION("""COMPUTED_VALUE"""),4.3)</f>
        <v>4.3</v>
      </c>
      <c r="H5328" s="17"/>
      <c r="K5328" s="17"/>
      <c r="N5328" s="17"/>
    </row>
    <row r="5329">
      <c r="B5329" s="11">
        <f>IFERROR(__xludf.DUMMYFUNCTION("""COMPUTED_VALUE"""),38566.0)</f>
        <v>38566</v>
      </c>
      <c r="C5329" s="9">
        <f>IFERROR(__xludf.DUMMYFUNCTION("""COMPUTED_VALUE"""),4.34)</f>
        <v>4.34</v>
      </c>
      <c r="H5329" s="17"/>
      <c r="K5329" s="17"/>
      <c r="N5329" s="17"/>
    </row>
    <row r="5330">
      <c r="B5330" s="11">
        <f>IFERROR(__xludf.DUMMYFUNCTION("""COMPUTED_VALUE"""),38565.0)</f>
        <v>38565</v>
      </c>
      <c r="C5330" s="9">
        <f>IFERROR(__xludf.DUMMYFUNCTION("""COMPUTED_VALUE"""),4.32)</f>
        <v>4.32</v>
      </c>
      <c r="H5330" s="17"/>
      <c r="K5330" s="17"/>
      <c r="N5330" s="17"/>
    </row>
    <row r="5331">
      <c r="B5331" s="11">
        <f>IFERROR(__xludf.DUMMYFUNCTION("""COMPUTED_VALUE"""),38562.0)</f>
        <v>38562</v>
      </c>
      <c r="C5331" s="9">
        <f>IFERROR(__xludf.DUMMYFUNCTION("""COMPUTED_VALUE"""),4.28)</f>
        <v>4.28</v>
      </c>
      <c r="H5331" s="17"/>
      <c r="K5331" s="17"/>
      <c r="N5331" s="17"/>
    </row>
    <row r="5332">
      <c r="B5332" s="11">
        <f>IFERROR(__xludf.DUMMYFUNCTION("""COMPUTED_VALUE"""),38561.0)</f>
        <v>38561</v>
      </c>
      <c r="C5332" s="9">
        <f>IFERROR(__xludf.DUMMYFUNCTION("""COMPUTED_VALUE"""),4.2)</f>
        <v>4.2</v>
      </c>
      <c r="H5332" s="17"/>
      <c r="K5332" s="17"/>
      <c r="N5332" s="17"/>
    </row>
    <row r="5333">
      <c r="B5333" s="11">
        <f>IFERROR(__xludf.DUMMYFUNCTION("""COMPUTED_VALUE"""),38560.0)</f>
        <v>38560</v>
      </c>
      <c r="C5333" s="9">
        <f>IFERROR(__xludf.DUMMYFUNCTION("""COMPUTED_VALUE"""),4.27)</f>
        <v>4.27</v>
      </c>
      <c r="H5333" s="17"/>
      <c r="K5333" s="17"/>
      <c r="N5333" s="17"/>
    </row>
    <row r="5334">
      <c r="B5334" s="11">
        <f>IFERROR(__xludf.DUMMYFUNCTION("""COMPUTED_VALUE"""),38559.0)</f>
        <v>38559</v>
      </c>
      <c r="C5334" s="9">
        <f>IFERROR(__xludf.DUMMYFUNCTION("""COMPUTED_VALUE"""),4.24)</f>
        <v>4.24</v>
      </c>
      <c r="H5334" s="17"/>
      <c r="K5334" s="17"/>
      <c r="N5334" s="17"/>
    </row>
    <row r="5335">
      <c r="B5335" s="11">
        <f>IFERROR(__xludf.DUMMYFUNCTION("""COMPUTED_VALUE"""),38558.0)</f>
        <v>38558</v>
      </c>
      <c r="C5335" s="9">
        <f>IFERROR(__xludf.DUMMYFUNCTION("""COMPUTED_VALUE"""),4.25)</f>
        <v>4.25</v>
      </c>
      <c r="H5335" s="17"/>
      <c r="K5335" s="17"/>
      <c r="N5335" s="17"/>
    </row>
    <row r="5336">
      <c r="B5336" s="11">
        <f>IFERROR(__xludf.DUMMYFUNCTION("""COMPUTED_VALUE"""),38555.0)</f>
        <v>38555</v>
      </c>
      <c r="C5336" s="9">
        <f>IFERROR(__xludf.DUMMYFUNCTION("""COMPUTED_VALUE"""),4.23)</f>
        <v>4.23</v>
      </c>
      <c r="H5336" s="17"/>
      <c r="K5336" s="17"/>
      <c r="N5336" s="17"/>
    </row>
    <row r="5337">
      <c r="B5337" s="11">
        <f>IFERROR(__xludf.DUMMYFUNCTION("""COMPUTED_VALUE"""),38554.0)</f>
        <v>38554</v>
      </c>
      <c r="C5337" s="9">
        <f>IFERROR(__xludf.DUMMYFUNCTION("""COMPUTED_VALUE"""),4.28)</f>
        <v>4.28</v>
      </c>
      <c r="H5337" s="17"/>
      <c r="K5337" s="17"/>
      <c r="N5337" s="17"/>
    </row>
    <row r="5338">
      <c r="B5338" s="11">
        <f>IFERROR(__xludf.DUMMYFUNCTION("""COMPUTED_VALUE"""),38553.0)</f>
        <v>38553</v>
      </c>
      <c r="C5338" s="9">
        <f>IFERROR(__xludf.DUMMYFUNCTION("""COMPUTED_VALUE"""),4.17)</f>
        <v>4.17</v>
      </c>
      <c r="H5338" s="17"/>
      <c r="K5338" s="17"/>
      <c r="N5338" s="17"/>
    </row>
    <row r="5339">
      <c r="B5339" s="11">
        <f>IFERROR(__xludf.DUMMYFUNCTION("""COMPUTED_VALUE"""),38552.0)</f>
        <v>38552</v>
      </c>
      <c r="C5339" s="9">
        <f>IFERROR(__xludf.DUMMYFUNCTION("""COMPUTED_VALUE"""),4.2)</f>
        <v>4.2</v>
      </c>
      <c r="H5339" s="17"/>
      <c r="K5339" s="17"/>
      <c r="N5339" s="17"/>
    </row>
    <row r="5340">
      <c r="B5340" s="11">
        <f>IFERROR(__xludf.DUMMYFUNCTION("""COMPUTED_VALUE"""),38551.0)</f>
        <v>38551</v>
      </c>
      <c r="C5340" s="9">
        <f>IFERROR(__xludf.DUMMYFUNCTION("""COMPUTED_VALUE"""),4.22)</f>
        <v>4.22</v>
      </c>
      <c r="H5340" s="17"/>
      <c r="K5340" s="17"/>
      <c r="N5340" s="17"/>
    </row>
    <row r="5341">
      <c r="B5341" s="11">
        <f>IFERROR(__xludf.DUMMYFUNCTION("""COMPUTED_VALUE"""),38548.0)</f>
        <v>38548</v>
      </c>
      <c r="C5341" s="9">
        <f>IFERROR(__xludf.DUMMYFUNCTION("""COMPUTED_VALUE"""),4.18)</f>
        <v>4.18</v>
      </c>
      <c r="H5341" s="17"/>
      <c r="K5341" s="17"/>
      <c r="N5341" s="17"/>
    </row>
    <row r="5342">
      <c r="B5342" s="11">
        <f>IFERROR(__xludf.DUMMYFUNCTION("""COMPUTED_VALUE"""),38547.0)</f>
        <v>38547</v>
      </c>
      <c r="C5342" s="9">
        <f>IFERROR(__xludf.DUMMYFUNCTION("""COMPUTED_VALUE"""),4.19)</f>
        <v>4.19</v>
      </c>
      <c r="H5342" s="17"/>
      <c r="K5342" s="17"/>
      <c r="N5342" s="17"/>
    </row>
    <row r="5343">
      <c r="B5343" s="11">
        <f>IFERROR(__xludf.DUMMYFUNCTION("""COMPUTED_VALUE"""),38546.0)</f>
        <v>38546</v>
      </c>
      <c r="C5343" s="9">
        <f>IFERROR(__xludf.DUMMYFUNCTION("""COMPUTED_VALUE"""),4.17)</f>
        <v>4.17</v>
      </c>
      <c r="H5343" s="17"/>
      <c r="K5343" s="17"/>
      <c r="N5343" s="17"/>
    </row>
    <row r="5344">
      <c r="B5344" s="11">
        <f>IFERROR(__xludf.DUMMYFUNCTION("""COMPUTED_VALUE"""),38545.0)</f>
        <v>38545</v>
      </c>
      <c r="C5344" s="9">
        <f>IFERROR(__xludf.DUMMYFUNCTION("""COMPUTED_VALUE"""),4.15)</f>
        <v>4.15</v>
      </c>
      <c r="H5344" s="17"/>
      <c r="K5344" s="17"/>
      <c r="N5344" s="17"/>
    </row>
    <row r="5345">
      <c r="B5345" s="11">
        <f>IFERROR(__xludf.DUMMYFUNCTION("""COMPUTED_VALUE"""),38544.0)</f>
        <v>38544</v>
      </c>
      <c r="C5345" s="9">
        <f>IFERROR(__xludf.DUMMYFUNCTION("""COMPUTED_VALUE"""),4.11)</f>
        <v>4.11</v>
      </c>
      <c r="H5345" s="17"/>
      <c r="K5345" s="17"/>
      <c r="N5345" s="17"/>
    </row>
    <row r="5346">
      <c r="B5346" s="11">
        <f>IFERROR(__xludf.DUMMYFUNCTION("""COMPUTED_VALUE"""),38541.0)</f>
        <v>38541</v>
      </c>
      <c r="C5346" s="9">
        <f>IFERROR(__xludf.DUMMYFUNCTION("""COMPUTED_VALUE"""),4.11)</f>
        <v>4.11</v>
      </c>
      <c r="H5346" s="17"/>
      <c r="K5346" s="17"/>
      <c r="N5346" s="17"/>
    </row>
    <row r="5347">
      <c r="B5347" s="11">
        <f>IFERROR(__xludf.DUMMYFUNCTION("""COMPUTED_VALUE"""),38540.0)</f>
        <v>38540</v>
      </c>
      <c r="C5347" s="9">
        <f>IFERROR(__xludf.DUMMYFUNCTION("""COMPUTED_VALUE"""),4.05)</f>
        <v>4.05</v>
      </c>
      <c r="H5347" s="17"/>
      <c r="K5347" s="17"/>
      <c r="N5347" s="17"/>
    </row>
    <row r="5348">
      <c r="B5348" s="11">
        <f>IFERROR(__xludf.DUMMYFUNCTION("""COMPUTED_VALUE"""),38539.0)</f>
        <v>38539</v>
      </c>
      <c r="C5348" s="9">
        <f>IFERROR(__xludf.DUMMYFUNCTION("""COMPUTED_VALUE"""),4.08)</f>
        <v>4.08</v>
      </c>
      <c r="H5348" s="17"/>
      <c r="K5348" s="17"/>
      <c r="N5348" s="17"/>
    </row>
    <row r="5349">
      <c r="B5349" s="11">
        <f>IFERROR(__xludf.DUMMYFUNCTION("""COMPUTED_VALUE"""),38538.0)</f>
        <v>38538</v>
      </c>
      <c r="C5349" s="9">
        <f>IFERROR(__xludf.DUMMYFUNCTION("""COMPUTED_VALUE"""),4.11)</f>
        <v>4.11</v>
      </c>
      <c r="H5349" s="17"/>
      <c r="K5349" s="17"/>
      <c r="N5349" s="17"/>
    </row>
    <row r="5350">
      <c r="B5350" s="11">
        <f>IFERROR(__xludf.DUMMYFUNCTION("""COMPUTED_VALUE"""),38537.0)</f>
        <v>38537</v>
      </c>
      <c r="C5350" s="9"/>
      <c r="H5350" s="17"/>
      <c r="K5350" s="17"/>
      <c r="N5350" s="17"/>
    </row>
    <row r="5351">
      <c r="B5351" s="11">
        <f>IFERROR(__xludf.DUMMYFUNCTION("""COMPUTED_VALUE"""),38534.0)</f>
        <v>38534</v>
      </c>
      <c r="C5351" s="9">
        <f>IFERROR(__xludf.DUMMYFUNCTION("""COMPUTED_VALUE"""),4.06)</f>
        <v>4.06</v>
      </c>
      <c r="H5351" s="17"/>
      <c r="K5351" s="17"/>
      <c r="N5351" s="17"/>
    </row>
    <row r="5352">
      <c r="B5352" s="11">
        <f>IFERROR(__xludf.DUMMYFUNCTION("""COMPUTED_VALUE"""),38533.0)</f>
        <v>38533</v>
      </c>
      <c r="C5352" s="9">
        <f>IFERROR(__xludf.DUMMYFUNCTION("""COMPUTED_VALUE"""),3.94)</f>
        <v>3.94</v>
      </c>
      <c r="H5352" s="17"/>
      <c r="K5352" s="17"/>
      <c r="N5352" s="17"/>
    </row>
    <row r="5353">
      <c r="B5353" s="11">
        <f>IFERROR(__xludf.DUMMYFUNCTION("""COMPUTED_VALUE"""),38532.0)</f>
        <v>38532</v>
      </c>
      <c r="C5353" s="9">
        <f>IFERROR(__xludf.DUMMYFUNCTION("""COMPUTED_VALUE"""),3.99)</f>
        <v>3.99</v>
      </c>
      <c r="H5353" s="17"/>
      <c r="K5353" s="17"/>
      <c r="N5353" s="17"/>
    </row>
    <row r="5354">
      <c r="B5354" s="11">
        <f>IFERROR(__xludf.DUMMYFUNCTION("""COMPUTED_VALUE"""),38531.0)</f>
        <v>38531</v>
      </c>
      <c r="C5354" s="9">
        <f>IFERROR(__xludf.DUMMYFUNCTION("""COMPUTED_VALUE"""),3.97)</f>
        <v>3.97</v>
      </c>
      <c r="H5354" s="17"/>
      <c r="K5354" s="17"/>
      <c r="N5354" s="17"/>
    </row>
    <row r="5355">
      <c r="B5355" s="11">
        <f>IFERROR(__xludf.DUMMYFUNCTION("""COMPUTED_VALUE"""),38530.0)</f>
        <v>38530</v>
      </c>
      <c r="C5355" s="9">
        <f>IFERROR(__xludf.DUMMYFUNCTION("""COMPUTED_VALUE"""),3.9)</f>
        <v>3.9</v>
      </c>
      <c r="H5355" s="17"/>
      <c r="K5355" s="17"/>
      <c r="N5355" s="17"/>
    </row>
    <row r="5356">
      <c r="B5356" s="11">
        <f>IFERROR(__xludf.DUMMYFUNCTION("""COMPUTED_VALUE"""),38527.0)</f>
        <v>38527</v>
      </c>
      <c r="C5356" s="9">
        <f>IFERROR(__xludf.DUMMYFUNCTION("""COMPUTED_VALUE"""),3.92)</f>
        <v>3.92</v>
      </c>
      <c r="H5356" s="17"/>
      <c r="K5356" s="17"/>
      <c r="N5356" s="17"/>
    </row>
    <row r="5357">
      <c r="B5357" s="11">
        <f>IFERROR(__xludf.DUMMYFUNCTION("""COMPUTED_VALUE"""),38526.0)</f>
        <v>38526</v>
      </c>
      <c r="C5357" s="9">
        <f>IFERROR(__xludf.DUMMYFUNCTION("""COMPUTED_VALUE"""),3.96)</f>
        <v>3.96</v>
      </c>
      <c r="H5357" s="17"/>
      <c r="K5357" s="17"/>
      <c r="N5357" s="17"/>
    </row>
    <row r="5358">
      <c r="B5358" s="11">
        <f>IFERROR(__xludf.DUMMYFUNCTION("""COMPUTED_VALUE"""),38525.0)</f>
        <v>38525</v>
      </c>
      <c r="C5358" s="9">
        <f>IFERROR(__xludf.DUMMYFUNCTION("""COMPUTED_VALUE"""),3.95)</f>
        <v>3.95</v>
      </c>
      <c r="H5358" s="17"/>
      <c r="K5358" s="17"/>
      <c r="N5358" s="17"/>
    </row>
    <row r="5359">
      <c r="B5359" s="11">
        <f>IFERROR(__xludf.DUMMYFUNCTION("""COMPUTED_VALUE"""),38524.0)</f>
        <v>38524</v>
      </c>
      <c r="C5359" s="9">
        <f>IFERROR(__xludf.DUMMYFUNCTION("""COMPUTED_VALUE"""),4.06)</f>
        <v>4.06</v>
      </c>
      <c r="H5359" s="17"/>
      <c r="K5359" s="17"/>
      <c r="N5359" s="17"/>
    </row>
    <row r="5360">
      <c r="B5360" s="11">
        <f>IFERROR(__xludf.DUMMYFUNCTION("""COMPUTED_VALUE"""),38523.0)</f>
        <v>38523</v>
      </c>
      <c r="C5360" s="9">
        <f>IFERROR(__xludf.DUMMYFUNCTION("""COMPUTED_VALUE"""),4.11)</f>
        <v>4.11</v>
      </c>
      <c r="H5360" s="17"/>
      <c r="K5360" s="17"/>
      <c r="N5360" s="17"/>
    </row>
    <row r="5361">
      <c r="B5361" s="11">
        <f>IFERROR(__xludf.DUMMYFUNCTION("""COMPUTED_VALUE"""),38520.0)</f>
        <v>38520</v>
      </c>
      <c r="C5361" s="9">
        <f>IFERROR(__xludf.DUMMYFUNCTION("""COMPUTED_VALUE"""),4.09)</f>
        <v>4.09</v>
      </c>
      <c r="H5361" s="17"/>
      <c r="K5361" s="17"/>
      <c r="N5361" s="17"/>
    </row>
    <row r="5362">
      <c r="B5362" s="11">
        <f>IFERROR(__xludf.DUMMYFUNCTION("""COMPUTED_VALUE"""),38519.0)</f>
        <v>38519</v>
      </c>
      <c r="C5362" s="9">
        <f>IFERROR(__xludf.DUMMYFUNCTION("""COMPUTED_VALUE"""),4.09)</f>
        <v>4.09</v>
      </c>
      <c r="H5362" s="17"/>
      <c r="K5362" s="17"/>
      <c r="N5362" s="17"/>
    </row>
    <row r="5363">
      <c r="B5363" s="11">
        <f>IFERROR(__xludf.DUMMYFUNCTION("""COMPUTED_VALUE"""),38518.0)</f>
        <v>38518</v>
      </c>
      <c r="C5363" s="9">
        <f>IFERROR(__xludf.DUMMYFUNCTION("""COMPUTED_VALUE"""),4.12)</f>
        <v>4.12</v>
      </c>
      <c r="H5363" s="17"/>
      <c r="K5363" s="17"/>
      <c r="N5363" s="17"/>
    </row>
    <row r="5364">
      <c r="B5364" s="11">
        <f>IFERROR(__xludf.DUMMYFUNCTION("""COMPUTED_VALUE"""),38517.0)</f>
        <v>38517</v>
      </c>
      <c r="C5364" s="9">
        <f>IFERROR(__xludf.DUMMYFUNCTION("""COMPUTED_VALUE"""),4.13)</f>
        <v>4.13</v>
      </c>
      <c r="H5364" s="17"/>
      <c r="K5364" s="17"/>
      <c r="N5364" s="17"/>
    </row>
    <row r="5365">
      <c r="B5365" s="11">
        <f>IFERROR(__xludf.DUMMYFUNCTION("""COMPUTED_VALUE"""),38516.0)</f>
        <v>38516</v>
      </c>
      <c r="C5365" s="9">
        <f>IFERROR(__xludf.DUMMYFUNCTION("""COMPUTED_VALUE"""),4.09)</f>
        <v>4.09</v>
      </c>
      <c r="H5365" s="17"/>
      <c r="K5365" s="17"/>
      <c r="N5365" s="17"/>
    </row>
    <row r="5366">
      <c r="B5366" s="11">
        <f>IFERROR(__xludf.DUMMYFUNCTION("""COMPUTED_VALUE"""),38513.0)</f>
        <v>38513</v>
      </c>
      <c r="C5366" s="9">
        <f>IFERROR(__xludf.DUMMYFUNCTION("""COMPUTED_VALUE"""),4.05)</f>
        <v>4.05</v>
      </c>
      <c r="H5366" s="17"/>
      <c r="K5366" s="17"/>
      <c r="N5366" s="17"/>
    </row>
    <row r="5367">
      <c r="B5367" s="11">
        <f>IFERROR(__xludf.DUMMYFUNCTION("""COMPUTED_VALUE"""),38512.0)</f>
        <v>38512</v>
      </c>
      <c r="C5367" s="9">
        <f>IFERROR(__xludf.DUMMYFUNCTION("""COMPUTED_VALUE"""),3.98)</f>
        <v>3.98</v>
      </c>
      <c r="H5367" s="17"/>
      <c r="K5367" s="17"/>
      <c r="N5367" s="17"/>
    </row>
    <row r="5368">
      <c r="B5368" s="11">
        <f>IFERROR(__xludf.DUMMYFUNCTION("""COMPUTED_VALUE"""),38511.0)</f>
        <v>38511</v>
      </c>
      <c r="C5368" s="9">
        <f>IFERROR(__xludf.DUMMYFUNCTION("""COMPUTED_VALUE"""),3.95)</f>
        <v>3.95</v>
      </c>
      <c r="H5368" s="17"/>
      <c r="K5368" s="17"/>
      <c r="N5368" s="17"/>
    </row>
    <row r="5369">
      <c r="B5369" s="11">
        <f>IFERROR(__xludf.DUMMYFUNCTION("""COMPUTED_VALUE"""),38510.0)</f>
        <v>38510</v>
      </c>
      <c r="C5369" s="9">
        <f>IFERROR(__xludf.DUMMYFUNCTION("""COMPUTED_VALUE"""),3.92)</f>
        <v>3.92</v>
      </c>
      <c r="H5369" s="17"/>
      <c r="K5369" s="17"/>
      <c r="N5369" s="17"/>
    </row>
    <row r="5370">
      <c r="B5370" s="11">
        <f>IFERROR(__xludf.DUMMYFUNCTION("""COMPUTED_VALUE"""),38509.0)</f>
        <v>38509</v>
      </c>
      <c r="C5370" s="9">
        <f>IFERROR(__xludf.DUMMYFUNCTION("""COMPUTED_VALUE"""),3.96)</f>
        <v>3.96</v>
      </c>
      <c r="H5370" s="17"/>
      <c r="K5370" s="17"/>
      <c r="N5370" s="17"/>
    </row>
    <row r="5371">
      <c r="B5371" s="11">
        <f>IFERROR(__xludf.DUMMYFUNCTION("""COMPUTED_VALUE"""),38506.0)</f>
        <v>38506</v>
      </c>
      <c r="C5371" s="9">
        <f>IFERROR(__xludf.DUMMYFUNCTION("""COMPUTED_VALUE"""),3.98)</f>
        <v>3.98</v>
      </c>
      <c r="H5371" s="17"/>
      <c r="K5371" s="17"/>
      <c r="N5371" s="17"/>
    </row>
    <row r="5372">
      <c r="B5372" s="11">
        <f>IFERROR(__xludf.DUMMYFUNCTION("""COMPUTED_VALUE"""),38505.0)</f>
        <v>38505</v>
      </c>
      <c r="C5372" s="9">
        <f>IFERROR(__xludf.DUMMYFUNCTION("""COMPUTED_VALUE"""),3.89)</f>
        <v>3.89</v>
      </c>
      <c r="H5372" s="17"/>
      <c r="K5372" s="17"/>
      <c r="N5372" s="17"/>
    </row>
    <row r="5373">
      <c r="B5373" s="11">
        <f>IFERROR(__xludf.DUMMYFUNCTION("""COMPUTED_VALUE"""),38504.0)</f>
        <v>38504</v>
      </c>
      <c r="C5373" s="9">
        <f>IFERROR(__xludf.DUMMYFUNCTION("""COMPUTED_VALUE"""),3.91)</f>
        <v>3.91</v>
      </c>
      <c r="H5373" s="17"/>
      <c r="K5373" s="17"/>
      <c r="N5373" s="17"/>
    </row>
    <row r="5374">
      <c r="B5374" s="11">
        <f>IFERROR(__xludf.DUMMYFUNCTION("""COMPUTED_VALUE"""),38503.0)</f>
        <v>38503</v>
      </c>
      <c r="C5374" s="9">
        <f>IFERROR(__xludf.DUMMYFUNCTION("""COMPUTED_VALUE"""),4.0)</f>
        <v>4</v>
      </c>
      <c r="H5374" s="17"/>
      <c r="K5374" s="17"/>
      <c r="N5374" s="17"/>
    </row>
    <row r="5375">
      <c r="B5375" s="11">
        <f>IFERROR(__xludf.DUMMYFUNCTION("""COMPUTED_VALUE"""),38502.0)</f>
        <v>38502</v>
      </c>
      <c r="C5375" s="9"/>
      <c r="H5375" s="17"/>
      <c r="K5375" s="17"/>
      <c r="N5375" s="17"/>
    </row>
    <row r="5376">
      <c r="B5376" s="11">
        <f>IFERROR(__xludf.DUMMYFUNCTION("""COMPUTED_VALUE"""),38499.0)</f>
        <v>38499</v>
      </c>
      <c r="C5376" s="9">
        <f>IFERROR(__xludf.DUMMYFUNCTION("""COMPUTED_VALUE"""),4.08)</f>
        <v>4.08</v>
      </c>
      <c r="H5376" s="17"/>
      <c r="K5376" s="17"/>
      <c r="N5376" s="17"/>
    </row>
    <row r="5377">
      <c r="B5377" s="11">
        <f>IFERROR(__xludf.DUMMYFUNCTION("""COMPUTED_VALUE"""),38498.0)</f>
        <v>38498</v>
      </c>
      <c r="C5377" s="9">
        <f>IFERROR(__xludf.DUMMYFUNCTION("""COMPUTED_VALUE"""),4.08)</f>
        <v>4.08</v>
      </c>
      <c r="H5377" s="17"/>
      <c r="K5377" s="17"/>
      <c r="N5377" s="17"/>
    </row>
    <row r="5378">
      <c r="B5378" s="11">
        <f>IFERROR(__xludf.DUMMYFUNCTION("""COMPUTED_VALUE"""),38497.0)</f>
        <v>38497</v>
      </c>
      <c r="C5378" s="9">
        <f>IFERROR(__xludf.DUMMYFUNCTION("""COMPUTED_VALUE"""),4.08)</f>
        <v>4.08</v>
      </c>
      <c r="H5378" s="17"/>
      <c r="K5378" s="17"/>
      <c r="N5378" s="17"/>
    </row>
    <row r="5379">
      <c r="B5379" s="11">
        <f>IFERROR(__xludf.DUMMYFUNCTION("""COMPUTED_VALUE"""),38496.0)</f>
        <v>38496</v>
      </c>
      <c r="C5379" s="9">
        <f>IFERROR(__xludf.DUMMYFUNCTION("""COMPUTED_VALUE"""),4.04)</f>
        <v>4.04</v>
      </c>
      <c r="H5379" s="17"/>
      <c r="K5379" s="17"/>
      <c r="N5379" s="17"/>
    </row>
    <row r="5380">
      <c r="B5380" s="11">
        <f>IFERROR(__xludf.DUMMYFUNCTION("""COMPUTED_VALUE"""),38495.0)</f>
        <v>38495</v>
      </c>
      <c r="C5380" s="9">
        <f>IFERROR(__xludf.DUMMYFUNCTION("""COMPUTED_VALUE"""),4.07)</f>
        <v>4.07</v>
      </c>
      <c r="H5380" s="17"/>
      <c r="K5380" s="17"/>
      <c r="N5380" s="17"/>
    </row>
    <row r="5381">
      <c r="B5381" s="11">
        <f>IFERROR(__xludf.DUMMYFUNCTION("""COMPUTED_VALUE"""),38492.0)</f>
        <v>38492</v>
      </c>
      <c r="C5381" s="9">
        <f>IFERROR(__xludf.DUMMYFUNCTION("""COMPUTED_VALUE"""),4.13)</f>
        <v>4.13</v>
      </c>
      <c r="H5381" s="17"/>
      <c r="K5381" s="17"/>
      <c r="N5381" s="17"/>
    </row>
    <row r="5382">
      <c r="B5382" s="11">
        <f>IFERROR(__xludf.DUMMYFUNCTION("""COMPUTED_VALUE"""),38491.0)</f>
        <v>38491</v>
      </c>
      <c r="C5382" s="9">
        <f>IFERROR(__xludf.DUMMYFUNCTION("""COMPUTED_VALUE"""),4.11)</f>
        <v>4.11</v>
      </c>
      <c r="H5382" s="17"/>
      <c r="K5382" s="17"/>
      <c r="N5382" s="17"/>
    </row>
    <row r="5383">
      <c r="B5383" s="11">
        <f>IFERROR(__xludf.DUMMYFUNCTION("""COMPUTED_VALUE"""),38490.0)</f>
        <v>38490</v>
      </c>
      <c r="C5383" s="9">
        <f>IFERROR(__xludf.DUMMYFUNCTION("""COMPUTED_VALUE"""),4.07)</f>
        <v>4.07</v>
      </c>
      <c r="H5383" s="17"/>
      <c r="K5383" s="17"/>
      <c r="N5383" s="17"/>
    </row>
    <row r="5384">
      <c r="B5384" s="11">
        <f>IFERROR(__xludf.DUMMYFUNCTION("""COMPUTED_VALUE"""),38489.0)</f>
        <v>38489</v>
      </c>
      <c r="C5384" s="9">
        <f>IFERROR(__xludf.DUMMYFUNCTION("""COMPUTED_VALUE"""),4.12)</f>
        <v>4.12</v>
      </c>
      <c r="H5384" s="17"/>
      <c r="K5384" s="17"/>
      <c r="N5384" s="17"/>
    </row>
    <row r="5385">
      <c r="B5385" s="11">
        <f>IFERROR(__xludf.DUMMYFUNCTION("""COMPUTED_VALUE"""),38488.0)</f>
        <v>38488</v>
      </c>
      <c r="C5385" s="9">
        <f>IFERROR(__xludf.DUMMYFUNCTION("""COMPUTED_VALUE"""),4.13)</f>
        <v>4.13</v>
      </c>
      <c r="H5385" s="17"/>
      <c r="K5385" s="17"/>
      <c r="N5385" s="17"/>
    </row>
    <row r="5386">
      <c r="B5386" s="11">
        <f>IFERROR(__xludf.DUMMYFUNCTION("""COMPUTED_VALUE"""),38485.0)</f>
        <v>38485</v>
      </c>
      <c r="C5386" s="9">
        <f>IFERROR(__xludf.DUMMYFUNCTION("""COMPUTED_VALUE"""),4.12)</f>
        <v>4.12</v>
      </c>
      <c r="H5386" s="17"/>
      <c r="K5386" s="17"/>
      <c r="N5386" s="17"/>
    </row>
    <row r="5387">
      <c r="B5387" s="11">
        <f>IFERROR(__xludf.DUMMYFUNCTION("""COMPUTED_VALUE"""),38484.0)</f>
        <v>38484</v>
      </c>
      <c r="C5387" s="9">
        <f>IFERROR(__xludf.DUMMYFUNCTION("""COMPUTED_VALUE"""),4.18)</f>
        <v>4.18</v>
      </c>
      <c r="H5387" s="17"/>
      <c r="K5387" s="17"/>
      <c r="N5387" s="17"/>
    </row>
    <row r="5388">
      <c r="B5388" s="11">
        <f>IFERROR(__xludf.DUMMYFUNCTION("""COMPUTED_VALUE"""),38483.0)</f>
        <v>38483</v>
      </c>
      <c r="C5388" s="9">
        <f>IFERROR(__xludf.DUMMYFUNCTION("""COMPUTED_VALUE"""),4.21)</f>
        <v>4.21</v>
      </c>
      <c r="H5388" s="17"/>
      <c r="K5388" s="17"/>
      <c r="N5388" s="17"/>
    </row>
    <row r="5389">
      <c r="B5389" s="11">
        <f>IFERROR(__xludf.DUMMYFUNCTION("""COMPUTED_VALUE"""),38482.0)</f>
        <v>38482</v>
      </c>
      <c r="C5389" s="9">
        <f>IFERROR(__xludf.DUMMYFUNCTION("""COMPUTED_VALUE"""),4.23)</f>
        <v>4.23</v>
      </c>
      <c r="H5389" s="17"/>
      <c r="K5389" s="17"/>
      <c r="N5389" s="17"/>
    </row>
    <row r="5390">
      <c r="B5390" s="11">
        <f>IFERROR(__xludf.DUMMYFUNCTION("""COMPUTED_VALUE"""),38481.0)</f>
        <v>38481</v>
      </c>
      <c r="C5390" s="9">
        <f>IFERROR(__xludf.DUMMYFUNCTION("""COMPUTED_VALUE"""),4.29)</f>
        <v>4.29</v>
      </c>
      <c r="H5390" s="17"/>
      <c r="K5390" s="17"/>
      <c r="N5390" s="17"/>
    </row>
    <row r="5391">
      <c r="B5391" s="11">
        <f>IFERROR(__xludf.DUMMYFUNCTION("""COMPUTED_VALUE"""),38478.0)</f>
        <v>38478</v>
      </c>
      <c r="C5391" s="9">
        <f>IFERROR(__xludf.DUMMYFUNCTION("""COMPUTED_VALUE"""),4.28)</f>
        <v>4.28</v>
      </c>
      <c r="H5391" s="17"/>
      <c r="K5391" s="17"/>
      <c r="N5391" s="17"/>
    </row>
    <row r="5392">
      <c r="B5392" s="11">
        <f>IFERROR(__xludf.DUMMYFUNCTION("""COMPUTED_VALUE"""),38477.0)</f>
        <v>38477</v>
      </c>
      <c r="C5392" s="9">
        <f>IFERROR(__xludf.DUMMYFUNCTION("""COMPUTED_VALUE"""),4.19)</f>
        <v>4.19</v>
      </c>
      <c r="H5392" s="17"/>
      <c r="K5392" s="17"/>
      <c r="N5392" s="17"/>
    </row>
    <row r="5393">
      <c r="B5393" s="11">
        <f>IFERROR(__xludf.DUMMYFUNCTION("""COMPUTED_VALUE"""),38476.0)</f>
        <v>38476</v>
      </c>
      <c r="C5393" s="9">
        <f>IFERROR(__xludf.DUMMYFUNCTION("""COMPUTED_VALUE"""),4.2)</f>
        <v>4.2</v>
      </c>
      <c r="H5393" s="17"/>
      <c r="K5393" s="17"/>
      <c r="N5393" s="17"/>
    </row>
    <row r="5394">
      <c r="B5394" s="11">
        <f>IFERROR(__xludf.DUMMYFUNCTION("""COMPUTED_VALUE"""),38475.0)</f>
        <v>38475</v>
      </c>
      <c r="C5394" s="9">
        <f>IFERROR(__xludf.DUMMYFUNCTION("""COMPUTED_VALUE"""),4.21)</f>
        <v>4.21</v>
      </c>
      <c r="H5394" s="17"/>
      <c r="K5394" s="17"/>
      <c r="N5394" s="17"/>
    </row>
    <row r="5395">
      <c r="B5395" s="11">
        <f>IFERROR(__xludf.DUMMYFUNCTION("""COMPUTED_VALUE"""),38474.0)</f>
        <v>38474</v>
      </c>
      <c r="C5395" s="9">
        <f>IFERROR(__xludf.DUMMYFUNCTION("""COMPUTED_VALUE"""),4.21)</f>
        <v>4.21</v>
      </c>
      <c r="H5395" s="17"/>
      <c r="K5395" s="17"/>
      <c r="N5395" s="17"/>
    </row>
    <row r="5396">
      <c r="B5396" s="11">
        <f>IFERROR(__xludf.DUMMYFUNCTION("""COMPUTED_VALUE"""),38471.0)</f>
        <v>38471</v>
      </c>
      <c r="C5396" s="9">
        <f>IFERROR(__xludf.DUMMYFUNCTION("""COMPUTED_VALUE"""),4.21)</f>
        <v>4.21</v>
      </c>
      <c r="H5396" s="17"/>
      <c r="K5396" s="17"/>
      <c r="N5396" s="17"/>
    </row>
    <row r="5397">
      <c r="B5397" s="11">
        <f>IFERROR(__xludf.DUMMYFUNCTION("""COMPUTED_VALUE"""),38470.0)</f>
        <v>38470</v>
      </c>
      <c r="C5397" s="9">
        <f>IFERROR(__xludf.DUMMYFUNCTION("""COMPUTED_VALUE"""),4.19)</f>
        <v>4.19</v>
      </c>
      <c r="H5397" s="17"/>
      <c r="K5397" s="17"/>
      <c r="N5397" s="17"/>
    </row>
    <row r="5398">
      <c r="B5398" s="11">
        <f>IFERROR(__xludf.DUMMYFUNCTION("""COMPUTED_VALUE"""),38469.0)</f>
        <v>38469</v>
      </c>
      <c r="C5398" s="9">
        <f>IFERROR(__xludf.DUMMYFUNCTION("""COMPUTED_VALUE"""),4.25)</f>
        <v>4.25</v>
      </c>
      <c r="H5398" s="17"/>
      <c r="K5398" s="17"/>
      <c r="N5398" s="17"/>
    </row>
    <row r="5399">
      <c r="B5399" s="11">
        <f>IFERROR(__xludf.DUMMYFUNCTION("""COMPUTED_VALUE"""),38468.0)</f>
        <v>38468</v>
      </c>
      <c r="C5399" s="9">
        <f>IFERROR(__xludf.DUMMYFUNCTION("""COMPUTED_VALUE"""),4.28)</f>
        <v>4.28</v>
      </c>
      <c r="H5399" s="17"/>
      <c r="K5399" s="17"/>
      <c r="N5399" s="17"/>
    </row>
    <row r="5400">
      <c r="B5400" s="11">
        <f>IFERROR(__xludf.DUMMYFUNCTION("""COMPUTED_VALUE"""),38467.0)</f>
        <v>38467</v>
      </c>
      <c r="C5400" s="9">
        <f>IFERROR(__xludf.DUMMYFUNCTION("""COMPUTED_VALUE"""),4.26)</f>
        <v>4.26</v>
      </c>
      <c r="H5400" s="17"/>
      <c r="K5400" s="17"/>
      <c r="N5400" s="17"/>
    </row>
    <row r="5401">
      <c r="B5401" s="11">
        <f>IFERROR(__xludf.DUMMYFUNCTION("""COMPUTED_VALUE"""),38464.0)</f>
        <v>38464</v>
      </c>
      <c r="C5401" s="9">
        <f>IFERROR(__xludf.DUMMYFUNCTION("""COMPUTED_VALUE"""),4.26)</f>
        <v>4.26</v>
      </c>
      <c r="H5401" s="17"/>
      <c r="K5401" s="17"/>
      <c r="N5401" s="17"/>
    </row>
    <row r="5402">
      <c r="B5402" s="11">
        <f>IFERROR(__xludf.DUMMYFUNCTION("""COMPUTED_VALUE"""),38463.0)</f>
        <v>38463</v>
      </c>
      <c r="C5402" s="9">
        <f>IFERROR(__xludf.DUMMYFUNCTION("""COMPUTED_VALUE"""),4.32)</f>
        <v>4.32</v>
      </c>
      <c r="H5402" s="17"/>
      <c r="K5402" s="17"/>
      <c r="N5402" s="17"/>
    </row>
    <row r="5403">
      <c r="B5403" s="11">
        <f>IFERROR(__xludf.DUMMYFUNCTION("""COMPUTED_VALUE"""),38462.0)</f>
        <v>38462</v>
      </c>
      <c r="C5403" s="9">
        <f>IFERROR(__xludf.DUMMYFUNCTION("""COMPUTED_VALUE"""),4.22)</f>
        <v>4.22</v>
      </c>
      <c r="H5403" s="17"/>
      <c r="K5403" s="17"/>
      <c r="N5403" s="17"/>
    </row>
    <row r="5404">
      <c r="B5404" s="11">
        <f>IFERROR(__xludf.DUMMYFUNCTION("""COMPUTED_VALUE"""),38461.0)</f>
        <v>38461</v>
      </c>
      <c r="C5404" s="9">
        <f>IFERROR(__xludf.DUMMYFUNCTION("""COMPUTED_VALUE"""),4.21)</f>
        <v>4.21</v>
      </c>
      <c r="H5404" s="17"/>
      <c r="K5404" s="17"/>
      <c r="N5404" s="17"/>
    </row>
    <row r="5405">
      <c r="B5405" s="11">
        <f>IFERROR(__xludf.DUMMYFUNCTION("""COMPUTED_VALUE"""),38460.0)</f>
        <v>38460</v>
      </c>
      <c r="C5405" s="9">
        <f>IFERROR(__xludf.DUMMYFUNCTION("""COMPUTED_VALUE"""),4.27)</f>
        <v>4.27</v>
      </c>
      <c r="H5405" s="17"/>
      <c r="K5405" s="17"/>
      <c r="N5405" s="17"/>
    </row>
    <row r="5406">
      <c r="B5406" s="11">
        <f>IFERROR(__xludf.DUMMYFUNCTION("""COMPUTED_VALUE"""),38457.0)</f>
        <v>38457</v>
      </c>
      <c r="C5406" s="9">
        <f>IFERROR(__xludf.DUMMYFUNCTION("""COMPUTED_VALUE"""),4.27)</f>
        <v>4.27</v>
      </c>
      <c r="H5406" s="17"/>
      <c r="K5406" s="17"/>
      <c r="N5406" s="17"/>
    </row>
    <row r="5407">
      <c r="B5407" s="11">
        <f>IFERROR(__xludf.DUMMYFUNCTION("""COMPUTED_VALUE"""),38456.0)</f>
        <v>38456</v>
      </c>
      <c r="C5407" s="9">
        <f>IFERROR(__xludf.DUMMYFUNCTION("""COMPUTED_VALUE"""),4.37)</f>
        <v>4.37</v>
      </c>
      <c r="H5407" s="17"/>
      <c r="K5407" s="17"/>
      <c r="N5407" s="17"/>
    </row>
    <row r="5408">
      <c r="B5408" s="11">
        <f>IFERROR(__xludf.DUMMYFUNCTION("""COMPUTED_VALUE"""),38455.0)</f>
        <v>38455</v>
      </c>
      <c r="C5408" s="9">
        <f>IFERROR(__xludf.DUMMYFUNCTION("""COMPUTED_VALUE"""),4.38)</f>
        <v>4.38</v>
      </c>
      <c r="H5408" s="17"/>
      <c r="K5408" s="17"/>
      <c r="N5408" s="17"/>
    </row>
    <row r="5409">
      <c r="B5409" s="11">
        <f>IFERROR(__xludf.DUMMYFUNCTION("""COMPUTED_VALUE"""),38454.0)</f>
        <v>38454</v>
      </c>
      <c r="C5409" s="9">
        <f>IFERROR(__xludf.DUMMYFUNCTION("""COMPUTED_VALUE"""),4.38)</f>
        <v>4.38</v>
      </c>
      <c r="H5409" s="17"/>
      <c r="K5409" s="17"/>
      <c r="N5409" s="17"/>
    </row>
    <row r="5410">
      <c r="B5410" s="11">
        <f>IFERROR(__xludf.DUMMYFUNCTION("""COMPUTED_VALUE"""),38453.0)</f>
        <v>38453</v>
      </c>
      <c r="C5410" s="9">
        <f>IFERROR(__xludf.DUMMYFUNCTION("""COMPUTED_VALUE"""),4.45)</f>
        <v>4.45</v>
      </c>
      <c r="H5410" s="17"/>
      <c r="K5410" s="17"/>
      <c r="N5410" s="17"/>
    </row>
    <row r="5411">
      <c r="B5411" s="11">
        <f>IFERROR(__xludf.DUMMYFUNCTION("""COMPUTED_VALUE"""),38450.0)</f>
        <v>38450</v>
      </c>
      <c r="C5411" s="9">
        <f>IFERROR(__xludf.DUMMYFUNCTION("""COMPUTED_VALUE"""),4.5)</f>
        <v>4.5</v>
      </c>
      <c r="H5411" s="17"/>
      <c r="K5411" s="17"/>
      <c r="N5411" s="17"/>
    </row>
    <row r="5412">
      <c r="B5412" s="11">
        <f>IFERROR(__xludf.DUMMYFUNCTION("""COMPUTED_VALUE"""),38449.0)</f>
        <v>38449</v>
      </c>
      <c r="C5412" s="9">
        <f>IFERROR(__xludf.DUMMYFUNCTION("""COMPUTED_VALUE"""),4.49)</f>
        <v>4.49</v>
      </c>
      <c r="H5412" s="17"/>
      <c r="K5412" s="17"/>
      <c r="N5412" s="17"/>
    </row>
    <row r="5413">
      <c r="B5413" s="11">
        <f>IFERROR(__xludf.DUMMYFUNCTION("""COMPUTED_VALUE"""),38448.0)</f>
        <v>38448</v>
      </c>
      <c r="C5413" s="9">
        <f>IFERROR(__xludf.DUMMYFUNCTION("""COMPUTED_VALUE"""),4.44)</f>
        <v>4.44</v>
      </c>
      <c r="H5413" s="17"/>
      <c r="K5413" s="17"/>
      <c r="N5413" s="17"/>
    </row>
    <row r="5414">
      <c r="B5414" s="11">
        <f>IFERROR(__xludf.DUMMYFUNCTION("""COMPUTED_VALUE"""),38447.0)</f>
        <v>38447</v>
      </c>
      <c r="C5414" s="9">
        <f>IFERROR(__xludf.DUMMYFUNCTION("""COMPUTED_VALUE"""),4.48)</f>
        <v>4.48</v>
      </c>
      <c r="H5414" s="17"/>
      <c r="K5414" s="17"/>
      <c r="N5414" s="17"/>
    </row>
    <row r="5415">
      <c r="B5415" s="11">
        <f>IFERROR(__xludf.DUMMYFUNCTION("""COMPUTED_VALUE"""),38446.0)</f>
        <v>38446</v>
      </c>
      <c r="C5415" s="9">
        <f>IFERROR(__xludf.DUMMYFUNCTION("""COMPUTED_VALUE"""),4.47)</f>
        <v>4.47</v>
      </c>
      <c r="H5415" s="17"/>
      <c r="K5415" s="17"/>
      <c r="N5415" s="17"/>
    </row>
    <row r="5416">
      <c r="B5416" s="11">
        <f>IFERROR(__xludf.DUMMYFUNCTION("""COMPUTED_VALUE"""),38443.0)</f>
        <v>38443</v>
      </c>
      <c r="C5416" s="9">
        <f>IFERROR(__xludf.DUMMYFUNCTION("""COMPUTED_VALUE"""),4.46)</f>
        <v>4.46</v>
      </c>
      <c r="H5416" s="17"/>
      <c r="K5416" s="17"/>
      <c r="N5416" s="17"/>
    </row>
    <row r="5417">
      <c r="B5417" s="11">
        <f>IFERROR(__xludf.DUMMYFUNCTION("""COMPUTED_VALUE"""),38442.0)</f>
        <v>38442</v>
      </c>
      <c r="C5417" s="9">
        <f>IFERROR(__xludf.DUMMYFUNCTION("""COMPUTED_VALUE"""),4.5)</f>
        <v>4.5</v>
      </c>
      <c r="H5417" s="17"/>
      <c r="K5417" s="17"/>
      <c r="N5417" s="17"/>
    </row>
    <row r="5418">
      <c r="B5418" s="11">
        <f>IFERROR(__xludf.DUMMYFUNCTION("""COMPUTED_VALUE"""),38441.0)</f>
        <v>38441</v>
      </c>
      <c r="C5418" s="9">
        <f>IFERROR(__xludf.DUMMYFUNCTION("""COMPUTED_VALUE"""),4.56)</f>
        <v>4.56</v>
      </c>
      <c r="H5418" s="17"/>
      <c r="K5418" s="17"/>
      <c r="N5418" s="17"/>
    </row>
    <row r="5419">
      <c r="B5419" s="11">
        <f>IFERROR(__xludf.DUMMYFUNCTION("""COMPUTED_VALUE"""),38440.0)</f>
        <v>38440</v>
      </c>
      <c r="C5419" s="9">
        <f>IFERROR(__xludf.DUMMYFUNCTION("""COMPUTED_VALUE"""),4.6)</f>
        <v>4.6</v>
      </c>
      <c r="H5419" s="17"/>
      <c r="K5419" s="17"/>
      <c r="N5419" s="17"/>
    </row>
    <row r="5420">
      <c r="B5420" s="11">
        <f>IFERROR(__xludf.DUMMYFUNCTION("""COMPUTED_VALUE"""),38439.0)</f>
        <v>38439</v>
      </c>
      <c r="C5420" s="9">
        <f>IFERROR(__xludf.DUMMYFUNCTION("""COMPUTED_VALUE"""),4.64)</f>
        <v>4.64</v>
      </c>
      <c r="H5420" s="17"/>
      <c r="K5420" s="17"/>
      <c r="N5420" s="17"/>
    </row>
    <row r="5421">
      <c r="B5421" s="11">
        <f>IFERROR(__xludf.DUMMYFUNCTION("""COMPUTED_VALUE"""),38436.0)</f>
        <v>38436</v>
      </c>
      <c r="C5421" s="9"/>
      <c r="H5421" s="17"/>
      <c r="K5421" s="17"/>
      <c r="N5421" s="17"/>
    </row>
    <row r="5422">
      <c r="B5422" s="11">
        <f>IFERROR(__xludf.DUMMYFUNCTION("""COMPUTED_VALUE"""),38435.0)</f>
        <v>38435</v>
      </c>
      <c r="C5422" s="9">
        <f>IFERROR(__xludf.DUMMYFUNCTION("""COMPUTED_VALUE"""),4.6)</f>
        <v>4.6</v>
      </c>
      <c r="H5422" s="17"/>
      <c r="K5422" s="17"/>
      <c r="N5422" s="17"/>
    </row>
    <row r="5423">
      <c r="B5423" s="11">
        <f>IFERROR(__xludf.DUMMYFUNCTION("""COMPUTED_VALUE"""),38434.0)</f>
        <v>38434</v>
      </c>
      <c r="C5423" s="9">
        <f>IFERROR(__xludf.DUMMYFUNCTION("""COMPUTED_VALUE"""),4.61)</f>
        <v>4.61</v>
      </c>
      <c r="H5423" s="17"/>
      <c r="K5423" s="17"/>
      <c r="N5423" s="17"/>
    </row>
    <row r="5424">
      <c r="B5424" s="11">
        <f>IFERROR(__xludf.DUMMYFUNCTION("""COMPUTED_VALUE"""),38433.0)</f>
        <v>38433</v>
      </c>
      <c r="C5424" s="9">
        <f>IFERROR(__xludf.DUMMYFUNCTION("""COMPUTED_VALUE"""),4.63)</f>
        <v>4.63</v>
      </c>
      <c r="H5424" s="17"/>
      <c r="K5424" s="17"/>
      <c r="N5424" s="17"/>
    </row>
    <row r="5425">
      <c r="B5425" s="11">
        <f>IFERROR(__xludf.DUMMYFUNCTION("""COMPUTED_VALUE"""),38432.0)</f>
        <v>38432</v>
      </c>
      <c r="C5425" s="9">
        <f>IFERROR(__xludf.DUMMYFUNCTION("""COMPUTED_VALUE"""),4.53)</f>
        <v>4.53</v>
      </c>
      <c r="H5425" s="17"/>
      <c r="K5425" s="17"/>
      <c r="N5425" s="17"/>
    </row>
    <row r="5426">
      <c r="B5426" s="11">
        <f>IFERROR(__xludf.DUMMYFUNCTION("""COMPUTED_VALUE"""),38429.0)</f>
        <v>38429</v>
      </c>
      <c r="C5426" s="9">
        <f>IFERROR(__xludf.DUMMYFUNCTION("""COMPUTED_VALUE"""),4.51)</f>
        <v>4.51</v>
      </c>
      <c r="H5426" s="17"/>
      <c r="K5426" s="17"/>
      <c r="N5426" s="17"/>
    </row>
    <row r="5427">
      <c r="B5427" s="11">
        <f>IFERROR(__xludf.DUMMYFUNCTION("""COMPUTED_VALUE"""),38428.0)</f>
        <v>38428</v>
      </c>
      <c r="C5427" s="9">
        <f>IFERROR(__xludf.DUMMYFUNCTION("""COMPUTED_VALUE"""),4.47)</f>
        <v>4.47</v>
      </c>
      <c r="H5427" s="17"/>
      <c r="K5427" s="17"/>
      <c r="N5427" s="17"/>
    </row>
    <row r="5428">
      <c r="B5428" s="11">
        <f>IFERROR(__xludf.DUMMYFUNCTION("""COMPUTED_VALUE"""),38427.0)</f>
        <v>38427</v>
      </c>
      <c r="C5428" s="9">
        <f>IFERROR(__xludf.DUMMYFUNCTION("""COMPUTED_VALUE"""),4.52)</f>
        <v>4.52</v>
      </c>
      <c r="H5428" s="17"/>
      <c r="K5428" s="17"/>
      <c r="N5428" s="17"/>
    </row>
    <row r="5429">
      <c r="B5429" s="11">
        <f>IFERROR(__xludf.DUMMYFUNCTION("""COMPUTED_VALUE"""),38426.0)</f>
        <v>38426</v>
      </c>
      <c r="C5429" s="9">
        <f>IFERROR(__xludf.DUMMYFUNCTION("""COMPUTED_VALUE"""),4.54)</f>
        <v>4.54</v>
      </c>
      <c r="H5429" s="17"/>
      <c r="K5429" s="17"/>
      <c r="N5429" s="17"/>
    </row>
    <row r="5430">
      <c r="B5430" s="11">
        <f>IFERROR(__xludf.DUMMYFUNCTION("""COMPUTED_VALUE"""),38425.0)</f>
        <v>38425</v>
      </c>
      <c r="C5430" s="9">
        <f>IFERROR(__xludf.DUMMYFUNCTION("""COMPUTED_VALUE"""),4.52)</f>
        <v>4.52</v>
      </c>
      <c r="H5430" s="17"/>
      <c r="K5430" s="17"/>
      <c r="N5430" s="17"/>
    </row>
    <row r="5431">
      <c r="B5431" s="11">
        <f>IFERROR(__xludf.DUMMYFUNCTION("""COMPUTED_VALUE"""),38422.0)</f>
        <v>38422</v>
      </c>
      <c r="C5431" s="9">
        <f>IFERROR(__xludf.DUMMYFUNCTION("""COMPUTED_VALUE"""),4.56)</f>
        <v>4.56</v>
      </c>
      <c r="H5431" s="17"/>
      <c r="K5431" s="17"/>
      <c r="N5431" s="17"/>
    </row>
    <row r="5432">
      <c r="B5432" s="11">
        <f>IFERROR(__xludf.DUMMYFUNCTION("""COMPUTED_VALUE"""),38421.0)</f>
        <v>38421</v>
      </c>
      <c r="C5432" s="9">
        <f>IFERROR(__xludf.DUMMYFUNCTION("""COMPUTED_VALUE"""),4.48)</f>
        <v>4.48</v>
      </c>
      <c r="H5432" s="17"/>
      <c r="K5432" s="17"/>
      <c r="N5432" s="17"/>
    </row>
    <row r="5433">
      <c r="B5433" s="11">
        <f>IFERROR(__xludf.DUMMYFUNCTION("""COMPUTED_VALUE"""),38420.0)</f>
        <v>38420</v>
      </c>
      <c r="C5433" s="9">
        <f>IFERROR(__xludf.DUMMYFUNCTION("""COMPUTED_VALUE"""),4.52)</f>
        <v>4.52</v>
      </c>
      <c r="H5433" s="17"/>
      <c r="K5433" s="17"/>
      <c r="N5433" s="17"/>
    </row>
    <row r="5434">
      <c r="B5434" s="11">
        <f>IFERROR(__xludf.DUMMYFUNCTION("""COMPUTED_VALUE"""),38419.0)</f>
        <v>38419</v>
      </c>
      <c r="C5434" s="9">
        <f>IFERROR(__xludf.DUMMYFUNCTION("""COMPUTED_VALUE"""),4.38)</f>
        <v>4.38</v>
      </c>
      <c r="H5434" s="17"/>
      <c r="K5434" s="17"/>
      <c r="N5434" s="17"/>
    </row>
    <row r="5435">
      <c r="B5435" s="11">
        <f>IFERROR(__xludf.DUMMYFUNCTION("""COMPUTED_VALUE"""),38418.0)</f>
        <v>38418</v>
      </c>
      <c r="C5435" s="9">
        <f>IFERROR(__xludf.DUMMYFUNCTION("""COMPUTED_VALUE"""),4.31)</f>
        <v>4.31</v>
      </c>
      <c r="H5435" s="17"/>
      <c r="K5435" s="17"/>
      <c r="N5435" s="17"/>
    </row>
    <row r="5436">
      <c r="B5436" s="11">
        <f>IFERROR(__xludf.DUMMYFUNCTION("""COMPUTED_VALUE"""),38415.0)</f>
        <v>38415</v>
      </c>
      <c r="C5436" s="9">
        <f>IFERROR(__xludf.DUMMYFUNCTION("""COMPUTED_VALUE"""),4.32)</f>
        <v>4.32</v>
      </c>
      <c r="H5436" s="17"/>
      <c r="K5436" s="17"/>
      <c r="N5436" s="17"/>
    </row>
    <row r="5437">
      <c r="B5437" s="11">
        <f>IFERROR(__xludf.DUMMYFUNCTION("""COMPUTED_VALUE"""),38414.0)</f>
        <v>38414</v>
      </c>
      <c r="C5437" s="9">
        <f>IFERROR(__xludf.DUMMYFUNCTION("""COMPUTED_VALUE"""),4.39)</f>
        <v>4.39</v>
      </c>
      <c r="H5437" s="17"/>
      <c r="K5437" s="17"/>
      <c r="N5437" s="17"/>
    </row>
    <row r="5438">
      <c r="B5438" s="11">
        <f>IFERROR(__xludf.DUMMYFUNCTION("""COMPUTED_VALUE"""),38413.0)</f>
        <v>38413</v>
      </c>
      <c r="C5438" s="9">
        <f>IFERROR(__xludf.DUMMYFUNCTION("""COMPUTED_VALUE"""),4.38)</f>
        <v>4.38</v>
      </c>
      <c r="H5438" s="17"/>
      <c r="K5438" s="17"/>
      <c r="N5438" s="17"/>
    </row>
    <row r="5439">
      <c r="B5439" s="11">
        <f>IFERROR(__xludf.DUMMYFUNCTION("""COMPUTED_VALUE"""),38412.0)</f>
        <v>38412</v>
      </c>
      <c r="C5439" s="9">
        <f>IFERROR(__xludf.DUMMYFUNCTION("""COMPUTED_VALUE"""),4.38)</f>
        <v>4.38</v>
      </c>
      <c r="H5439" s="17"/>
      <c r="K5439" s="17"/>
      <c r="N5439" s="17"/>
    </row>
    <row r="5440">
      <c r="B5440" s="11">
        <f>IFERROR(__xludf.DUMMYFUNCTION("""COMPUTED_VALUE"""),38411.0)</f>
        <v>38411</v>
      </c>
      <c r="C5440" s="9">
        <f>IFERROR(__xludf.DUMMYFUNCTION("""COMPUTED_VALUE"""),4.36)</f>
        <v>4.36</v>
      </c>
      <c r="H5440" s="17"/>
      <c r="K5440" s="17"/>
      <c r="N5440" s="17"/>
    </row>
    <row r="5441">
      <c r="B5441" s="11">
        <f>IFERROR(__xludf.DUMMYFUNCTION("""COMPUTED_VALUE"""),38408.0)</f>
        <v>38408</v>
      </c>
      <c r="C5441" s="9">
        <f>IFERROR(__xludf.DUMMYFUNCTION("""COMPUTED_VALUE"""),4.27)</f>
        <v>4.27</v>
      </c>
      <c r="H5441" s="17"/>
      <c r="K5441" s="17"/>
      <c r="N5441" s="17"/>
    </row>
    <row r="5442">
      <c r="B5442" s="11">
        <f>IFERROR(__xludf.DUMMYFUNCTION("""COMPUTED_VALUE"""),38407.0)</f>
        <v>38407</v>
      </c>
      <c r="C5442" s="9">
        <f>IFERROR(__xludf.DUMMYFUNCTION("""COMPUTED_VALUE"""),4.29)</f>
        <v>4.29</v>
      </c>
      <c r="H5442" s="17"/>
      <c r="K5442" s="17"/>
      <c r="N5442" s="17"/>
    </row>
    <row r="5443">
      <c r="B5443" s="11">
        <f>IFERROR(__xludf.DUMMYFUNCTION("""COMPUTED_VALUE"""),38406.0)</f>
        <v>38406</v>
      </c>
      <c r="C5443" s="9">
        <f>IFERROR(__xludf.DUMMYFUNCTION("""COMPUTED_VALUE"""),4.27)</f>
        <v>4.27</v>
      </c>
      <c r="H5443" s="17"/>
      <c r="K5443" s="17"/>
      <c r="N5443" s="17"/>
    </row>
    <row r="5444">
      <c r="B5444" s="11">
        <f>IFERROR(__xludf.DUMMYFUNCTION("""COMPUTED_VALUE"""),38405.0)</f>
        <v>38405</v>
      </c>
      <c r="C5444" s="9">
        <f>IFERROR(__xludf.DUMMYFUNCTION("""COMPUTED_VALUE"""),4.29)</f>
        <v>4.29</v>
      </c>
      <c r="H5444" s="17"/>
      <c r="K5444" s="17"/>
      <c r="N5444" s="17"/>
    </row>
    <row r="5445">
      <c r="B5445" s="11">
        <f>IFERROR(__xludf.DUMMYFUNCTION("""COMPUTED_VALUE"""),38404.0)</f>
        <v>38404</v>
      </c>
      <c r="C5445" s="9"/>
      <c r="H5445" s="17"/>
      <c r="K5445" s="17"/>
      <c r="N5445" s="17"/>
    </row>
    <row r="5446">
      <c r="B5446" s="11">
        <f>IFERROR(__xludf.DUMMYFUNCTION("""COMPUTED_VALUE"""),38401.0)</f>
        <v>38401</v>
      </c>
      <c r="C5446" s="9">
        <f>IFERROR(__xludf.DUMMYFUNCTION("""COMPUTED_VALUE"""),4.27)</f>
        <v>4.27</v>
      </c>
      <c r="H5446" s="17"/>
      <c r="K5446" s="17"/>
      <c r="N5446" s="17"/>
    </row>
    <row r="5447">
      <c r="B5447" s="11">
        <f>IFERROR(__xludf.DUMMYFUNCTION("""COMPUTED_VALUE"""),38400.0)</f>
        <v>38400</v>
      </c>
      <c r="C5447" s="9">
        <f>IFERROR(__xludf.DUMMYFUNCTION("""COMPUTED_VALUE"""),4.19)</f>
        <v>4.19</v>
      </c>
      <c r="H5447" s="17"/>
      <c r="K5447" s="17"/>
      <c r="N5447" s="17"/>
    </row>
    <row r="5448">
      <c r="B5448" s="11">
        <f>IFERROR(__xludf.DUMMYFUNCTION("""COMPUTED_VALUE"""),38399.0)</f>
        <v>38399</v>
      </c>
      <c r="C5448" s="9">
        <f>IFERROR(__xludf.DUMMYFUNCTION("""COMPUTED_VALUE"""),4.16)</f>
        <v>4.16</v>
      </c>
      <c r="H5448" s="17"/>
      <c r="K5448" s="17"/>
      <c r="N5448" s="17"/>
    </row>
    <row r="5449">
      <c r="B5449" s="11">
        <f>IFERROR(__xludf.DUMMYFUNCTION("""COMPUTED_VALUE"""),38398.0)</f>
        <v>38398</v>
      </c>
      <c r="C5449" s="9">
        <f>IFERROR(__xludf.DUMMYFUNCTION("""COMPUTED_VALUE"""),4.1)</f>
        <v>4.1</v>
      </c>
      <c r="H5449" s="17"/>
      <c r="K5449" s="17"/>
      <c r="N5449" s="17"/>
    </row>
    <row r="5450">
      <c r="B5450" s="11">
        <f>IFERROR(__xludf.DUMMYFUNCTION("""COMPUTED_VALUE"""),38397.0)</f>
        <v>38397</v>
      </c>
      <c r="C5450" s="9">
        <f>IFERROR(__xludf.DUMMYFUNCTION("""COMPUTED_VALUE"""),4.08)</f>
        <v>4.08</v>
      </c>
      <c r="H5450" s="17"/>
      <c r="K5450" s="17"/>
      <c r="N5450" s="17"/>
    </row>
    <row r="5451">
      <c r="B5451" s="11">
        <f>IFERROR(__xludf.DUMMYFUNCTION("""COMPUTED_VALUE"""),38394.0)</f>
        <v>38394</v>
      </c>
      <c r="C5451" s="9">
        <f>IFERROR(__xludf.DUMMYFUNCTION("""COMPUTED_VALUE"""),4.1)</f>
        <v>4.1</v>
      </c>
      <c r="H5451" s="17"/>
      <c r="K5451" s="17"/>
      <c r="N5451" s="17"/>
    </row>
    <row r="5452">
      <c r="B5452" s="11">
        <f>IFERROR(__xludf.DUMMYFUNCTION("""COMPUTED_VALUE"""),38393.0)</f>
        <v>38393</v>
      </c>
      <c r="C5452" s="9">
        <f>IFERROR(__xludf.DUMMYFUNCTION("""COMPUTED_VALUE"""),4.07)</f>
        <v>4.07</v>
      </c>
      <c r="H5452" s="17"/>
      <c r="K5452" s="17"/>
      <c r="N5452" s="17"/>
    </row>
    <row r="5453">
      <c r="B5453" s="11">
        <f>IFERROR(__xludf.DUMMYFUNCTION("""COMPUTED_VALUE"""),38392.0)</f>
        <v>38392</v>
      </c>
      <c r="C5453" s="9">
        <f>IFERROR(__xludf.DUMMYFUNCTION("""COMPUTED_VALUE"""),4.0)</f>
        <v>4</v>
      </c>
      <c r="H5453" s="17"/>
      <c r="K5453" s="17"/>
      <c r="N5453" s="17"/>
    </row>
    <row r="5454">
      <c r="B5454" s="11">
        <f>IFERROR(__xludf.DUMMYFUNCTION("""COMPUTED_VALUE"""),38391.0)</f>
        <v>38391</v>
      </c>
      <c r="C5454" s="9">
        <f>IFERROR(__xludf.DUMMYFUNCTION("""COMPUTED_VALUE"""),4.05)</f>
        <v>4.05</v>
      </c>
      <c r="H5454" s="17"/>
      <c r="K5454" s="17"/>
      <c r="N5454" s="17"/>
    </row>
    <row r="5455">
      <c r="B5455" s="11">
        <f>IFERROR(__xludf.DUMMYFUNCTION("""COMPUTED_VALUE"""),38390.0)</f>
        <v>38390</v>
      </c>
      <c r="C5455" s="9">
        <f>IFERROR(__xludf.DUMMYFUNCTION("""COMPUTED_VALUE"""),4.07)</f>
        <v>4.07</v>
      </c>
      <c r="H5455" s="17"/>
      <c r="K5455" s="17"/>
      <c r="N5455" s="17"/>
    </row>
    <row r="5456">
      <c r="B5456" s="11">
        <f>IFERROR(__xludf.DUMMYFUNCTION("""COMPUTED_VALUE"""),38387.0)</f>
        <v>38387</v>
      </c>
      <c r="C5456" s="9">
        <f>IFERROR(__xludf.DUMMYFUNCTION("""COMPUTED_VALUE"""),4.09)</f>
        <v>4.09</v>
      </c>
      <c r="H5456" s="17"/>
      <c r="K5456" s="17"/>
      <c r="N5456" s="17"/>
    </row>
    <row r="5457">
      <c r="B5457" s="11">
        <f>IFERROR(__xludf.DUMMYFUNCTION("""COMPUTED_VALUE"""),38386.0)</f>
        <v>38386</v>
      </c>
      <c r="C5457" s="9">
        <f>IFERROR(__xludf.DUMMYFUNCTION("""COMPUTED_VALUE"""),4.18)</f>
        <v>4.18</v>
      </c>
      <c r="H5457" s="17"/>
      <c r="K5457" s="17"/>
      <c r="N5457" s="17"/>
    </row>
    <row r="5458">
      <c r="B5458" s="11">
        <f>IFERROR(__xludf.DUMMYFUNCTION("""COMPUTED_VALUE"""),38385.0)</f>
        <v>38385</v>
      </c>
      <c r="C5458" s="9">
        <f>IFERROR(__xludf.DUMMYFUNCTION("""COMPUTED_VALUE"""),4.15)</f>
        <v>4.15</v>
      </c>
      <c r="H5458" s="17"/>
      <c r="K5458" s="17"/>
      <c r="N5458" s="17"/>
    </row>
    <row r="5459">
      <c r="B5459" s="11">
        <f>IFERROR(__xludf.DUMMYFUNCTION("""COMPUTED_VALUE"""),38384.0)</f>
        <v>38384</v>
      </c>
      <c r="C5459" s="9">
        <f>IFERROR(__xludf.DUMMYFUNCTION("""COMPUTED_VALUE"""),4.15)</f>
        <v>4.15</v>
      </c>
      <c r="H5459" s="17"/>
      <c r="K5459" s="17"/>
      <c r="N5459" s="17"/>
    </row>
    <row r="5460">
      <c r="B5460" s="11">
        <f>IFERROR(__xludf.DUMMYFUNCTION("""COMPUTED_VALUE"""),38383.0)</f>
        <v>38383</v>
      </c>
      <c r="C5460" s="9">
        <f>IFERROR(__xludf.DUMMYFUNCTION("""COMPUTED_VALUE"""),4.14)</f>
        <v>4.14</v>
      </c>
      <c r="H5460" s="17"/>
      <c r="K5460" s="17"/>
      <c r="N5460" s="17"/>
    </row>
    <row r="5461">
      <c r="B5461" s="11">
        <f>IFERROR(__xludf.DUMMYFUNCTION("""COMPUTED_VALUE"""),38380.0)</f>
        <v>38380</v>
      </c>
      <c r="C5461" s="9">
        <f>IFERROR(__xludf.DUMMYFUNCTION("""COMPUTED_VALUE"""),4.16)</f>
        <v>4.16</v>
      </c>
      <c r="H5461" s="17"/>
      <c r="K5461" s="17"/>
      <c r="N5461" s="17"/>
    </row>
    <row r="5462">
      <c r="B5462" s="11">
        <f>IFERROR(__xludf.DUMMYFUNCTION("""COMPUTED_VALUE"""),38379.0)</f>
        <v>38379</v>
      </c>
      <c r="C5462" s="9">
        <f>IFERROR(__xludf.DUMMYFUNCTION("""COMPUTED_VALUE"""),4.22)</f>
        <v>4.22</v>
      </c>
      <c r="H5462" s="17"/>
      <c r="K5462" s="17"/>
      <c r="N5462" s="17"/>
    </row>
    <row r="5463">
      <c r="B5463" s="11">
        <f>IFERROR(__xludf.DUMMYFUNCTION("""COMPUTED_VALUE"""),38378.0)</f>
        <v>38378</v>
      </c>
      <c r="C5463" s="9">
        <f>IFERROR(__xludf.DUMMYFUNCTION("""COMPUTED_VALUE"""),4.21)</f>
        <v>4.21</v>
      </c>
      <c r="H5463" s="17"/>
      <c r="K5463" s="17"/>
      <c r="N5463" s="17"/>
    </row>
    <row r="5464">
      <c r="B5464" s="11">
        <f>IFERROR(__xludf.DUMMYFUNCTION("""COMPUTED_VALUE"""),38377.0)</f>
        <v>38377</v>
      </c>
      <c r="C5464" s="9">
        <f>IFERROR(__xludf.DUMMYFUNCTION("""COMPUTED_VALUE"""),4.2)</f>
        <v>4.2</v>
      </c>
      <c r="H5464" s="17"/>
      <c r="K5464" s="17"/>
      <c r="N5464" s="17"/>
    </row>
    <row r="5465">
      <c r="B5465" s="11">
        <f>IFERROR(__xludf.DUMMYFUNCTION("""COMPUTED_VALUE"""),38376.0)</f>
        <v>38376</v>
      </c>
      <c r="C5465" s="9">
        <f>IFERROR(__xludf.DUMMYFUNCTION("""COMPUTED_VALUE"""),4.14)</f>
        <v>4.14</v>
      </c>
      <c r="H5465" s="17"/>
      <c r="K5465" s="17"/>
      <c r="N5465" s="17"/>
    </row>
    <row r="5466">
      <c r="B5466" s="11">
        <f>IFERROR(__xludf.DUMMYFUNCTION("""COMPUTED_VALUE"""),38373.0)</f>
        <v>38373</v>
      </c>
      <c r="C5466" s="9">
        <f>IFERROR(__xludf.DUMMYFUNCTION("""COMPUTED_VALUE"""),4.16)</f>
        <v>4.16</v>
      </c>
      <c r="H5466" s="17"/>
      <c r="K5466" s="17"/>
      <c r="N5466" s="17"/>
    </row>
    <row r="5467">
      <c r="B5467" s="11">
        <f>IFERROR(__xludf.DUMMYFUNCTION("""COMPUTED_VALUE"""),38372.0)</f>
        <v>38372</v>
      </c>
      <c r="C5467" s="9">
        <f>IFERROR(__xludf.DUMMYFUNCTION("""COMPUTED_VALUE"""),4.17)</f>
        <v>4.17</v>
      </c>
      <c r="H5467" s="17"/>
      <c r="K5467" s="17"/>
      <c r="N5467" s="17"/>
    </row>
    <row r="5468">
      <c r="B5468" s="11">
        <f>IFERROR(__xludf.DUMMYFUNCTION("""COMPUTED_VALUE"""),38371.0)</f>
        <v>38371</v>
      </c>
      <c r="C5468" s="9">
        <f>IFERROR(__xludf.DUMMYFUNCTION("""COMPUTED_VALUE"""),4.2)</f>
        <v>4.2</v>
      </c>
      <c r="H5468" s="17"/>
      <c r="K5468" s="17"/>
      <c r="N5468" s="17"/>
    </row>
    <row r="5469">
      <c r="B5469" s="11">
        <f>IFERROR(__xludf.DUMMYFUNCTION("""COMPUTED_VALUE"""),38370.0)</f>
        <v>38370</v>
      </c>
      <c r="C5469" s="9">
        <f>IFERROR(__xludf.DUMMYFUNCTION("""COMPUTED_VALUE"""),4.21)</f>
        <v>4.21</v>
      </c>
      <c r="H5469" s="17"/>
      <c r="K5469" s="17"/>
      <c r="N5469" s="17"/>
    </row>
    <row r="5470">
      <c r="B5470" s="11">
        <f>IFERROR(__xludf.DUMMYFUNCTION("""COMPUTED_VALUE"""),38369.0)</f>
        <v>38369</v>
      </c>
      <c r="C5470" s="9"/>
      <c r="H5470" s="17"/>
      <c r="K5470" s="17"/>
      <c r="N5470" s="17"/>
    </row>
    <row r="5471">
      <c r="B5471" s="11">
        <f>IFERROR(__xludf.DUMMYFUNCTION("""COMPUTED_VALUE"""),38366.0)</f>
        <v>38366</v>
      </c>
      <c r="C5471" s="9">
        <f>IFERROR(__xludf.DUMMYFUNCTION("""COMPUTED_VALUE"""),4.23)</f>
        <v>4.23</v>
      </c>
      <c r="H5471" s="17"/>
      <c r="K5471" s="17"/>
      <c r="N5471" s="17"/>
    </row>
    <row r="5472">
      <c r="B5472" s="11">
        <f>IFERROR(__xludf.DUMMYFUNCTION("""COMPUTED_VALUE"""),38365.0)</f>
        <v>38365</v>
      </c>
      <c r="C5472" s="9">
        <f>IFERROR(__xludf.DUMMYFUNCTION("""COMPUTED_VALUE"""),4.2)</f>
        <v>4.2</v>
      </c>
      <c r="H5472" s="17"/>
      <c r="K5472" s="17"/>
      <c r="N5472" s="17"/>
    </row>
    <row r="5473">
      <c r="B5473" s="11">
        <f>IFERROR(__xludf.DUMMYFUNCTION("""COMPUTED_VALUE"""),38364.0)</f>
        <v>38364</v>
      </c>
      <c r="C5473" s="9">
        <f>IFERROR(__xludf.DUMMYFUNCTION("""COMPUTED_VALUE"""),4.25)</f>
        <v>4.25</v>
      </c>
      <c r="H5473" s="17"/>
      <c r="K5473" s="17"/>
      <c r="N5473" s="17"/>
    </row>
    <row r="5474">
      <c r="B5474" s="11">
        <f>IFERROR(__xludf.DUMMYFUNCTION("""COMPUTED_VALUE"""),38363.0)</f>
        <v>38363</v>
      </c>
      <c r="C5474" s="9">
        <f>IFERROR(__xludf.DUMMYFUNCTION("""COMPUTED_VALUE"""),4.26)</f>
        <v>4.26</v>
      </c>
      <c r="H5474" s="17"/>
      <c r="K5474" s="17"/>
      <c r="N5474" s="17"/>
    </row>
    <row r="5475">
      <c r="B5475" s="11">
        <f>IFERROR(__xludf.DUMMYFUNCTION("""COMPUTED_VALUE"""),38362.0)</f>
        <v>38362</v>
      </c>
      <c r="C5475" s="9">
        <f>IFERROR(__xludf.DUMMYFUNCTION("""COMPUTED_VALUE"""),4.29)</f>
        <v>4.29</v>
      </c>
      <c r="H5475" s="17"/>
      <c r="K5475" s="17"/>
      <c r="N5475" s="17"/>
    </row>
    <row r="5476">
      <c r="B5476" s="11">
        <f>IFERROR(__xludf.DUMMYFUNCTION("""COMPUTED_VALUE"""),38359.0)</f>
        <v>38359</v>
      </c>
      <c r="C5476" s="9">
        <f>IFERROR(__xludf.DUMMYFUNCTION("""COMPUTED_VALUE"""),4.29)</f>
        <v>4.29</v>
      </c>
      <c r="H5476" s="17"/>
      <c r="K5476" s="17"/>
      <c r="N5476" s="17"/>
    </row>
    <row r="5477">
      <c r="B5477" s="11">
        <f>IFERROR(__xludf.DUMMYFUNCTION("""COMPUTED_VALUE"""),38358.0)</f>
        <v>38358</v>
      </c>
      <c r="C5477" s="9">
        <f>IFERROR(__xludf.DUMMYFUNCTION("""COMPUTED_VALUE"""),4.29)</f>
        <v>4.29</v>
      </c>
      <c r="H5477" s="17"/>
      <c r="K5477" s="17"/>
      <c r="N5477" s="17"/>
    </row>
    <row r="5478">
      <c r="B5478" s="11">
        <f>IFERROR(__xludf.DUMMYFUNCTION("""COMPUTED_VALUE"""),38357.0)</f>
        <v>38357</v>
      </c>
      <c r="C5478" s="9">
        <f>IFERROR(__xludf.DUMMYFUNCTION("""COMPUTED_VALUE"""),4.29)</f>
        <v>4.29</v>
      </c>
      <c r="H5478" s="17"/>
      <c r="K5478" s="17"/>
      <c r="N5478" s="17"/>
    </row>
    <row r="5479">
      <c r="B5479" s="11">
        <f>IFERROR(__xludf.DUMMYFUNCTION("""COMPUTED_VALUE"""),38356.0)</f>
        <v>38356</v>
      </c>
      <c r="C5479" s="9">
        <f>IFERROR(__xludf.DUMMYFUNCTION("""COMPUTED_VALUE"""),4.29)</f>
        <v>4.29</v>
      </c>
      <c r="H5479" s="17"/>
      <c r="K5479" s="17"/>
      <c r="N5479" s="17"/>
    </row>
    <row r="5480">
      <c r="B5480" s="11">
        <f>IFERROR(__xludf.DUMMYFUNCTION("""COMPUTED_VALUE"""),38355.0)</f>
        <v>38355</v>
      </c>
      <c r="C5480" s="9">
        <f>IFERROR(__xludf.DUMMYFUNCTION("""COMPUTED_VALUE"""),4.23)</f>
        <v>4.23</v>
      </c>
      <c r="H5480" s="17"/>
      <c r="K5480" s="17"/>
      <c r="N5480" s="17"/>
    </row>
    <row r="5481">
      <c r="B5481" s="11">
        <f>IFERROR(__xludf.DUMMYFUNCTION("""COMPUTED_VALUE"""),38352.0)</f>
        <v>38352</v>
      </c>
      <c r="C5481" s="9">
        <f>IFERROR(__xludf.DUMMYFUNCTION("""COMPUTED_VALUE"""),4.24)</f>
        <v>4.24</v>
      </c>
      <c r="H5481" s="17"/>
      <c r="K5481" s="17"/>
      <c r="N5481" s="17"/>
    </row>
    <row r="5482">
      <c r="B5482" s="11">
        <f>IFERROR(__xludf.DUMMYFUNCTION("""COMPUTED_VALUE"""),38351.0)</f>
        <v>38351</v>
      </c>
      <c r="C5482" s="9">
        <f>IFERROR(__xludf.DUMMYFUNCTION("""COMPUTED_VALUE"""),4.27)</f>
        <v>4.27</v>
      </c>
      <c r="H5482" s="17"/>
      <c r="K5482" s="17"/>
      <c r="N5482" s="17"/>
    </row>
    <row r="5483">
      <c r="B5483" s="11">
        <f>IFERROR(__xludf.DUMMYFUNCTION("""COMPUTED_VALUE"""),38350.0)</f>
        <v>38350</v>
      </c>
      <c r="C5483" s="9">
        <f>IFERROR(__xludf.DUMMYFUNCTION("""COMPUTED_VALUE"""),4.33)</f>
        <v>4.33</v>
      </c>
      <c r="H5483" s="17"/>
      <c r="K5483" s="17"/>
      <c r="N5483" s="17"/>
    </row>
    <row r="5484">
      <c r="B5484" s="11">
        <f>IFERROR(__xludf.DUMMYFUNCTION("""COMPUTED_VALUE"""),38349.0)</f>
        <v>38349</v>
      </c>
      <c r="C5484" s="9">
        <f>IFERROR(__xludf.DUMMYFUNCTION("""COMPUTED_VALUE"""),4.31)</f>
        <v>4.31</v>
      </c>
      <c r="H5484" s="17"/>
      <c r="K5484" s="17"/>
      <c r="N5484" s="17"/>
    </row>
    <row r="5485">
      <c r="B5485" s="11">
        <f>IFERROR(__xludf.DUMMYFUNCTION("""COMPUTED_VALUE"""),38348.0)</f>
        <v>38348</v>
      </c>
      <c r="C5485" s="9">
        <f>IFERROR(__xludf.DUMMYFUNCTION("""COMPUTED_VALUE"""),4.3)</f>
        <v>4.3</v>
      </c>
      <c r="H5485" s="17"/>
      <c r="K5485" s="17"/>
      <c r="N5485" s="17"/>
    </row>
    <row r="5486">
      <c r="B5486" s="11">
        <f>IFERROR(__xludf.DUMMYFUNCTION("""COMPUTED_VALUE"""),38345.0)</f>
        <v>38345</v>
      </c>
      <c r="C5486" s="9"/>
      <c r="H5486" s="17"/>
      <c r="K5486" s="17"/>
      <c r="N5486" s="17"/>
    </row>
    <row r="5487">
      <c r="B5487" s="11">
        <f>IFERROR(__xludf.DUMMYFUNCTION("""COMPUTED_VALUE"""),38344.0)</f>
        <v>38344</v>
      </c>
      <c r="C5487" s="9">
        <f>IFERROR(__xludf.DUMMYFUNCTION("""COMPUTED_VALUE"""),4.23)</f>
        <v>4.23</v>
      </c>
      <c r="H5487" s="17"/>
      <c r="K5487" s="17"/>
      <c r="N5487" s="17"/>
    </row>
    <row r="5488">
      <c r="B5488" s="11">
        <f>IFERROR(__xludf.DUMMYFUNCTION("""COMPUTED_VALUE"""),38343.0)</f>
        <v>38343</v>
      </c>
      <c r="C5488" s="9">
        <f>IFERROR(__xludf.DUMMYFUNCTION("""COMPUTED_VALUE"""),4.21)</f>
        <v>4.21</v>
      </c>
      <c r="H5488" s="17"/>
      <c r="K5488" s="17"/>
      <c r="N5488" s="17"/>
    </row>
    <row r="5489">
      <c r="B5489" s="11">
        <f>IFERROR(__xludf.DUMMYFUNCTION("""COMPUTED_VALUE"""),38342.0)</f>
        <v>38342</v>
      </c>
      <c r="C5489" s="9">
        <f>IFERROR(__xludf.DUMMYFUNCTION("""COMPUTED_VALUE"""),4.18)</f>
        <v>4.18</v>
      </c>
      <c r="H5489" s="17"/>
      <c r="K5489" s="17"/>
      <c r="N5489" s="17"/>
    </row>
    <row r="5490">
      <c r="B5490" s="11">
        <f>IFERROR(__xludf.DUMMYFUNCTION("""COMPUTED_VALUE"""),38341.0)</f>
        <v>38341</v>
      </c>
      <c r="C5490" s="9">
        <f>IFERROR(__xludf.DUMMYFUNCTION("""COMPUTED_VALUE"""),4.21)</f>
        <v>4.21</v>
      </c>
      <c r="H5490" s="17"/>
      <c r="K5490" s="17"/>
      <c r="N5490" s="17"/>
    </row>
    <row r="5491">
      <c r="B5491" s="11">
        <f>IFERROR(__xludf.DUMMYFUNCTION("""COMPUTED_VALUE"""),38338.0)</f>
        <v>38338</v>
      </c>
      <c r="C5491" s="9">
        <f>IFERROR(__xludf.DUMMYFUNCTION("""COMPUTED_VALUE"""),4.21)</f>
        <v>4.21</v>
      </c>
      <c r="H5491" s="17"/>
      <c r="K5491" s="17"/>
      <c r="N5491" s="17"/>
    </row>
    <row r="5492">
      <c r="B5492" s="11">
        <f>IFERROR(__xludf.DUMMYFUNCTION("""COMPUTED_VALUE"""),38337.0)</f>
        <v>38337</v>
      </c>
      <c r="C5492" s="9">
        <f>IFERROR(__xludf.DUMMYFUNCTION("""COMPUTED_VALUE"""),4.19)</f>
        <v>4.19</v>
      </c>
      <c r="H5492" s="17"/>
      <c r="K5492" s="17"/>
      <c r="N5492" s="17"/>
    </row>
    <row r="5493">
      <c r="B5493" s="11">
        <f>IFERROR(__xludf.DUMMYFUNCTION("""COMPUTED_VALUE"""),38336.0)</f>
        <v>38336</v>
      </c>
      <c r="C5493" s="9">
        <f>IFERROR(__xludf.DUMMYFUNCTION("""COMPUTED_VALUE"""),4.09)</f>
        <v>4.09</v>
      </c>
      <c r="H5493" s="17"/>
      <c r="K5493" s="17"/>
      <c r="N5493" s="17"/>
    </row>
    <row r="5494">
      <c r="B5494" s="11">
        <f>IFERROR(__xludf.DUMMYFUNCTION("""COMPUTED_VALUE"""),38335.0)</f>
        <v>38335</v>
      </c>
      <c r="C5494" s="9">
        <f>IFERROR(__xludf.DUMMYFUNCTION("""COMPUTED_VALUE"""),4.14)</f>
        <v>4.14</v>
      </c>
      <c r="H5494" s="17"/>
      <c r="K5494" s="17"/>
      <c r="N5494" s="17"/>
    </row>
    <row r="5495">
      <c r="B5495" s="11">
        <f>IFERROR(__xludf.DUMMYFUNCTION("""COMPUTED_VALUE"""),38334.0)</f>
        <v>38334</v>
      </c>
      <c r="C5495" s="9">
        <f>IFERROR(__xludf.DUMMYFUNCTION("""COMPUTED_VALUE"""),4.16)</f>
        <v>4.16</v>
      </c>
      <c r="H5495" s="17"/>
      <c r="K5495" s="17"/>
      <c r="N5495" s="17"/>
    </row>
    <row r="5496">
      <c r="B5496" s="11">
        <f>IFERROR(__xludf.DUMMYFUNCTION("""COMPUTED_VALUE"""),38331.0)</f>
        <v>38331</v>
      </c>
      <c r="C5496" s="9">
        <f>IFERROR(__xludf.DUMMYFUNCTION("""COMPUTED_VALUE"""),4.16)</f>
        <v>4.16</v>
      </c>
      <c r="H5496" s="17"/>
      <c r="K5496" s="17"/>
      <c r="N5496" s="17"/>
    </row>
    <row r="5497">
      <c r="B5497" s="11">
        <f>IFERROR(__xludf.DUMMYFUNCTION("""COMPUTED_VALUE"""),38330.0)</f>
        <v>38330</v>
      </c>
      <c r="C5497" s="9">
        <f>IFERROR(__xludf.DUMMYFUNCTION("""COMPUTED_VALUE"""),4.19)</f>
        <v>4.19</v>
      </c>
      <c r="H5497" s="17"/>
      <c r="K5497" s="17"/>
      <c r="N5497" s="17"/>
    </row>
    <row r="5498">
      <c r="B5498" s="11">
        <f>IFERROR(__xludf.DUMMYFUNCTION("""COMPUTED_VALUE"""),38329.0)</f>
        <v>38329</v>
      </c>
      <c r="C5498" s="9">
        <f>IFERROR(__xludf.DUMMYFUNCTION("""COMPUTED_VALUE"""),4.14)</f>
        <v>4.14</v>
      </c>
      <c r="H5498" s="17"/>
      <c r="K5498" s="17"/>
      <c r="N5498" s="17"/>
    </row>
    <row r="5499">
      <c r="B5499" s="11">
        <f>IFERROR(__xludf.DUMMYFUNCTION("""COMPUTED_VALUE"""),38328.0)</f>
        <v>38328</v>
      </c>
      <c r="C5499" s="9">
        <f>IFERROR(__xludf.DUMMYFUNCTION("""COMPUTED_VALUE"""),4.23)</f>
        <v>4.23</v>
      </c>
      <c r="H5499" s="17"/>
      <c r="K5499" s="17"/>
      <c r="N5499" s="17"/>
    </row>
    <row r="5500">
      <c r="B5500" s="11">
        <f>IFERROR(__xludf.DUMMYFUNCTION("""COMPUTED_VALUE"""),38327.0)</f>
        <v>38327</v>
      </c>
      <c r="C5500" s="9">
        <f>IFERROR(__xludf.DUMMYFUNCTION("""COMPUTED_VALUE"""),4.24)</f>
        <v>4.24</v>
      </c>
      <c r="H5500" s="17"/>
      <c r="K5500" s="17"/>
      <c r="N5500" s="17"/>
    </row>
    <row r="5501">
      <c r="B5501" s="11">
        <f>IFERROR(__xludf.DUMMYFUNCTION("""COMPUTED_VALUE"""),38324.0)</f>
        <v>38324</v>
      </c>
      <c r="C5501" s="9">
        <f>IFERROR(__xludf.DUMMYFUNCTION("""COMPUTED_VALUE"""),4.27)</f>
        <v>4.27</v>
      </c>
      <c r="H5501" s="17"/>
      <c r="K5501" s="17"/>
      <c r="N5501" s="17"/>
    </row>
    <row r="5502">
      <c r="B5502" s="11">
        <f>IFERROR(__xludf.DUMMYFUNCTION("""COMPUTED_VALUE"""),38323.0)</f>
        <v>38323</v>
      </c>
      <c r="C5502" s="9">
        <f>IFERROR(__xludf.DUMMYFUNCTION("""COMPUTED_VALUE"""),4.4)</f>
        <v>4.4</v>
      </c>
      <c r="H5502" s="17"/>
      <c r="K5502" s="17"/>
      <c r="N5502" s="17"/>
    </row>
    <row r="5503">
      <c r="B5503" s="11">
        <f>IFERROR(__xludf.DUMMYFUNCTION("""COMPUTED_VALUE"""),38322.0)</f>
        <v>38322</v>
      </c>
      <c r="C5503" s="9">
        <f>IFERROR(__xludf.DUMMYFUNCTION("""COMPUTED_VALUE"""),4.38)</f>
        <v>4.38</v>
      </c>
      <c r="H5503" s="17"/>
      <c r="K5503" s="17"/>
      <c r="N5503" s="17"/>
    </row>
    <row r="5504">
      <c r="B5504" s="11">
        <f>IFERROR(__xludf.DUMMYFUNCTION("""COMPUTED_VALUE"""),38321.0)</f>
        <v>38321</v>
      </c>
      <c r="C5504" s="9">
        <f>IFERROR(__xludf.DUMMYFUNCTION("""COMPUTED_VALUE"""),4.36)</f>
        <v>4.36</v>
      </c>
      <c r="H5504" s="17"/>
      <c r="K5504" s="17"/>
      <c r="N5504" s="17"/>
    </row>
    <row r="5505">
      <c r="B5505" s="11">
        <f>IFERROR(__xludf.DUMMYFUNCTION("""COMPUTED_VALUE"""),38320.0)</f>
        <v>38320</v>
      </c>
      <c r="C5505" s="9">
        <f>IFERROR(__xludf.DUMMYFUNCTION("""COMPUTED_VALUE"""),4.34)</f>
        <v>4.34</v>
      </c>
      <c r="H5505" s="17"/>
      <c r="K5505" s="17"/>
      <c r="N5505" s="17"/>
    </row>
    <row r="5506">
      <c r="B5506" s="11">
        <f>IFERROR(__xludf.DUMMYFUNCTION("""COMPUTED_VALUE"""),38317.0)</f>
        <v>38317</v>
      </c>
      <c r="C5506" s="9">
        <f>IFERROR(__xludf.DUMMYFUNCTION("""COMPUTED_VALUE"""),4.24)</f>
        <v>4.24</v>
      </c>
      <c r="H5506" s="17"/>
      <c r="K5506" s="17"/>
      <c r="N5506" s="17"/>
    </row>
    <row r="5507">
      <c r="B5507" s="11">
        <f>IFERROR(__xludf.DUMMYFUNCTION("""COMPUTED_VALUE"""),38316.0)</f>
        <v>38316</v>
      </c>
      <c r="C5507" s="9"/>
      <c r="H5507" s="17"/>
      <c r="K5507" s="17"/>
      <c r="N5507" s="17"/>
    </row>
    <row r="5508">
      <c r="B5508" s="11">
        <f>IFERROR(__xludf.DUMMYFUNCTION("""COMPUTED_VALUE"""),38315.0)</f>
        <v>38315</v>
      </c>
      <c r="C5508" s="9">
        <f>IFERROR(__xludf.DUMMYFUNCTION("""COMPUTED_VALUE"""),4.2)</f>
        <v>4.2</v>
      </c>
      <c r="H5508" s="17"/>
      <c r="K5508" s="17"/>
      <c r="N5508" s="17"/>
    </row>
    <row r="5509">
      <c r="B5509" s="11">
        <f>IFERROR(__xludf.DUMMYFUNCTION("""COMPUTED_VALUE"""),38314.0)</f>
        <v>38314</v>
      </c>
      <c r="C5509" s="9">
        <f>IFERROR(__xludf.DUMMYFUNCTION("""COMPUTED_VALUE"""),4.19)</f>
        <v>4.19</v>
      </c>
      <c r="H5509" s="17"/>
      <c r="K5509" s="17"/>
      <c r="N5509" s="17"/>
    </row>
    <row r="5510">
      <c r="B5510" s="11">
        <f>IFERROR(__xludf.DUMMYFUNCTION("""COMPUTED_VALUE"""),38313.0)</f>
        <v>38313</v>
      </c>
      <c r="C5510" s="9">
        <f>IFERROR(__xludf.DUMMYFUNCTION("""COMPUTED_VALUE"""),4.18)</f>
        <v>4.18</v>
      </c>
      <c r="H5510" s="17"/>
      <c r="K5510" s="17"/>
      <c r="N5510" s="17"/>
    </row>
    <row r="5511">
      <c r="B5511" s="11">
        <f>IFERROR(__xludf.DUMMYFUNCTION("""COMPUTED_VALUE"""),38310.0)</f>
        <v>38310</v>
      </c>
      <c r="C5511" s="9">
        <f>IFERROR(__xludf.DUMMYFUNCTION("""COMPUTED_VALUE"""),4.2)</f>
        <v>4.2</v>
      </c>
      <c r="H5511" s="17"/>
      <c r="K5511" s="17"/>
      <c r="N5511" s="17"/>
    </row>
    <row r="5512">
      <c r="B5512" s="11">
        <f>IFERROR(__xludf.DUMMYFUNCTION("""COMPUTED_VALUE"""),38309.0)</f>
        <v>38309</v>
      </c>
      <c r="C5512" s="9">
        <f>IFERROR(__xludf.DUMMYFUNCTION("""COMPUTED_VALUE"""),4.12)</f>
        <v>4.12</v>
      </c>
      <c r="H5512" s="17"/>
      <c r="K5512" s="17"/>
      <c r="N5512" s="17"/>
    </row>
    <row r="5513">
      <c r="B5513" s="11">
        <f>IFERROR(__xludf.DUMMYFUNCTION("""COMPUTED_VALUE"""),38308.0)</f>
        <v>38308</v>
      </c>
      <c r="C5513" s="9">
        <f>IFERROR(__xludf.DUMMYFUNCTION("""COMPUTED_VALUE"""),4.14)</f>
        <v>4.14</v>
      </c>
      <c r="H5513" s="17"/>
      <c r="K5513" s="17"/>
      <c r="N5513" s="17"/>
    </row>
    <row r="5514">
      <c r="B5514" s="11">
        <f>IFERROR(__xludf.DUMMYFUNCTION("""COMPUTED_VALUE"""),38307.0)</f>
        <v>38307</v>
      </c>
      <c r="C5514" s="9">
        <f>IFERROR(__xludf.DUMMYFUNCTION("""COMPUTED_VALUE"""),4.21)</f>
        <v>4.21</v>
      </c>
      <c r="H5514" s="17"/>
      <c r="K5514" s="17"/>
      <c r="N5514" s="17"/>
    </row>
    <row r="5515">
      <c r="B5515" s="11">
        <f>IFERROR(__xludf.DUMMYFUNCTION("""COMPUTED_VALUE"""),38306.0)</f>
        <v>38306</v>
      </c>
      <c r="C5515" s="9">
        <f>IFERROR(__xludf.DUMMYFUNCTION("""COMPUTED_VALUE"""),4.2)</f>
        <v>4.2</v>
      </c>
      <c r="H5515" s="17"/>
      <c r="K5515" s="17"/>
      <c r="N5515" s="17"/>
    </row>
    <row r="5516">
      <c r="B5516" s="11">
        <f>IFERROR(__xludf.DUMMYFUNCTION("""COMPUTED_VALUE"""),38303.0)</f>
        <v>38303</v>
      </c>
      <c r="C5516" s="9">
        <f>IFERROR(__xludf.DUMMYFUNCTION("""COMPUTED_VALUE"""),4.2)</f>
        <v>4.2</v>
      </c>
      <c r="H5516" s="17"/>
      <c r="K5516" s="17"/>
      <c r="N5516" s="17"/>
    </row>
    <row r="5517">
      <c r="B5517" s="11">
        <f>IFERROR(__xludf.DUMMYFUNCTION("""COMPUTED_VALUE"""),38302.0)</f>
        <v>38302</v>
      </c>
      <c r="C5517" s="9"/>
      <c r="H5517" s="17"/>
      <c r="K5517" s="17"/>
      <c r="N5517" s="17"/>
    </row>
    <row r="5518">
      <c r="B5518" s="11">
        <f>IFERROR(__xludf.DUMMYFUNCTION("""COMPUTED_VALUE"""),38301.0)</f>
        <v>38301</v>
      </c>
      <c r="C5518" s="9">
        <f>IFERROR(__xludf.DUMMYFUNCTION("""COMPUTED_VALUE"""),4.25)</f>
        <v>4.25</v>
      </c>
      <c r="H5518" s="17"/>
      <c r="K5518" s="17"/>
      <c r="N5518" s="17"/>
    </row>
    <row r="5519">
      <c r="B5519" s="11">
        <f>IFERROR(__xludf.DUMMYFUNCTION("""COMPUTED_VALUE"""),38300.0)</f>
        <v>38300</v>
      </c>
      <c r="C5519" s="9">
        <f>IFERROR(__xludf.DUMMYFUNCTION("""COMPUTED_VALUE"""),4.22)</f>
        <v>4.22</v>
      </c>
      <c r="H5519" s="17"/>
      <c r="K5519" s="17"/>
      <c r="N5519" s="17"/>
    </row>
    <row r="5520">
      <c r="B5520" s="11">
        <f>IFERROR(__xludf.DUMMYFUNCTION("""COMPUTED_VALUE"""),38299.0)</f>
        <v>38299</v>
      </c>
      <c r="C5520" s="9">
        <f>IFERROR(__xludf.DUMMYFUNCTION("""COMPUTED_VALUE"""),4.22)</f>
        <v>4.22</v>
      </c>
      <c r="H5520" s="17"/>
      <c r="K5520" s="17"/>
      <c r="N5520" s="17"/>
    </row>
    <row r="5521">
      <c r="B5521" s="11">
        <f>IFERROR(__xludf.DUMMYFUNCTION("""COMPUTED_VALUE"""),38296.0)</f>
        <v>38296</v>
      </c>
      <c r="C5521" s="9">
        <f>IFERROR(__xludf.DUMMYFUNCTION("""COMPUTED_VALUE"""),4.21)</f>
        <v>4.21</v>
      </c>
      <c r="H5521" s="17"/>
      <c r="K5521" s="17"/>
      <c r="N5521" s="17"/>
    </row>
    <row r="5522">
      <c r="B5522" s="11">
        <f>IFERROR(__xludf.DUMMYFUNCTION("""COMPUTED_VALUE"""),38295.0)</f>
        <v>38295</v>
      </c>
      <c r="C5522" s="9">
        <f>IFERROR(__xludf.DUMMYFUNCTION("""COMPUTED_VALUE"""),4.1)</f>
        <v>4.1</v>
      </c>
      <c r="H5522" s="17"/>
      <c r="K5522" s="17"/>
      <c r="N5522" s="17"/>
    </row>
    <row r="5523">
      <c r="B5523" s="11">
        <f>IFERROR(__xludf.DUMMYFUNCTION("""COMPUTED_VALUE"""),38294.0)</f>
        <v>38294</v>
      </c>
      <c r="C5523" s="9">
        <f>IFERROR(__xludf.DUMMYFUNCTION("""COMPUTED_VALUE"""),4.09)</f>
        <v>4.09</v>
      </c>
      <c r="H5523" s="17"/>
      <c r="K5523" s="17"/>
      <c r="N5523" s="17"/>
    </row>
    <row r="5524">
      <c r="B5524" s="11">
        <f>IFERROR(__xludf.DUMMYFUNCTION("""COMPUTED_VALUE"""),38293.0)</f>
        <v>38293</v>
      </c>
      <c r="C5524" s="9">
        <f>IFERROR(__xludf.DUMMYFUNCTION("""COMPUTED_VALUE"""),4.1)</f>
        <v>4.1</v>
      </c>
      <c r="H5524" s="17"/>
      <c r="K5524" s="17"/>
      <c r="N5524" s="17"/>
    </row>
    <row r="5525">
      <c r="B5525" s="11">
        <f>IFERROR(__xludf.DUMMYFUNCTION("""COMPUTED_VALUE"""),38292.0)</f>
        <v>38292</v>
      </c>
      <c r="C5525" s="9">
        <f>IFERROR(__xludf.DUMMYFUNCTION("""COMPUTED_VALUE"""),4.11)</f>
        <v>4.11</v>
      </c>
      <c r="H5525" s="17"/>
      <c r="K5525" s="17"/>
      <c r="N5525" s="17"/>
    </row>
    <row r="5526">
      <c r="B5526" s="11">
        <f>IFERROR(__xludf.DUMMYFUNCTION("""COMPUTED_VALUE"""),38289.0)</f>
        <v>38289</v>
      </c>
      <c r="C5526" s="9">
        <f>IFERROR(__xludf.DUMMYFUNCTION("""COMPUTED_VALUE"""),4.05)</f>
        <v>4.05</v>
      </c>
      <c r="H5526" s="17"/>
      <c r="K5526" s="17"/>
      <c r="N5526" s="17"/>
    </row>
    <row r="5527">
      <c r="B5527" s="11">
        <f>IFERROR(__xludf.DUMMYFUNCTION("""COMPUTED_VALUE"""),38288.0)</f>
        <v>38288</v>
      </c>
      <c r="C5527" s="9">
        <f>IFERROR(__xludf.DUMMYFUNCTION("""COMPUTED_VALUE"""),4.09)</f>
        <v>4.09</v>
      </c>
      <c r="H5527" s="17"/>
      <c r="K5527" s="17"/>
      <c r="N5527" s="17"/>
    </row>
    <row r="5528">
      <c r="B5528" s="11">
        <f>IFERROR(__xludf.DUMMYFUNCTION("""COMPUTED_VALUE"""),38287.0)</f>
        <v>38287</v>
      </c>
      <c r="C5528" s="9">
        <f>IFERROR(__xludf.DUMMYFUNCTION("""COMPUTED_VALUE"""),4.11)</f>
        <v>4.11</v>
      </c>
      <c r="H5528" s="17"/>
      <c r="K5528" s="17"/>
      <c r="N5528" s="17"/>
    </row>
    <row r="5529">
      <c r="B5529" s="11">
        <f>IFERROR(__xludf.DUMMYFUNCTION("""COMPUTED_VALUE"""),38286.0)</f>
        <v>38286</v>
      </c>
      <c r="C5529" s="9">
        <f>IFERROR(__xludf.DUMMYFUNCTION("""COMPUTED_VALUE"""),4.01)</f>
        <v>4.01</v>
      </c>
      <c r="H5529" s="17"/>
      <c r="K5529" s="17"/>
      <c r="N5529" s="17"/>
    </row>
    <row r="5530">
      <c r="B5530" s="11">
        <f>IFERROR(__xludf.DUMMYFUNCTION("""COMPUTED_VALUE"""),38285.0)</f>
        <v>38285</v>
      </c>
      <c r="C5530" s="9">
        <f>IFERROR(__xludf.DUMMYFUNCTION("""COMPUTED_VALUE"""),3.99)</f>
        <v>3.99</v>
      </c>
      <c r="H5530" s="17"/>
      <c r="K5530" s="17"/>
      <c r="N5530" s="17"/>
    </row>
    <row r="5531">
      <c r="B5531" s="11">
        <f>IFERROR(__xludf.DUMMYFUNCTION("""COMPUTED_VALUE"""),38282.0)</f>
        <v>38282</v>
      </c>
      <c r="C5531" s="9">
        <f>IFERROR(__xludf.DUMMYFUNCTION("""COMPUTED_VALUE"""),4.0)</f>
        <v>4</v>
      </c>
      <c r="H5531" s="17"/>
      <c r="K5531" s="17"/>
      <c r="N5531" s="17"/>
    </row>
    <row r="5532">
      <c r="B5532" s="11">
        <f>IFERROR(__xludf.DUMMYFUNCTION("""COMPUTED_VALUE"""),38281.0)</f>
        <v>38281</v>
      </c>
      <c r="C5532" s="9">
        <f>IFERROR(__xludf.DUMMYFUNCTION("""COMPUTED_VALUE"""),4.01)</f>
        <v>4.01</v>
      </c>
      <c r="H5532" s="17"/>
      <c r="K5532" s="17"/>
      <c r="N5532" s="17"/>
    </row>
    <row r="5533">
      <c r="B5533" s="11">
        <f>IFERROR(__xludf.DUMMYFUNCTION("""COMPUTED_VALUE"""),38280.0)</f>
        <v>38280</v>
      </c>
      <c r="C5533" s="9">
        <f>IFERROR(__xludf.DUMMYFUNCTION("""COMPUTED_VALUE"""),4.01)</f>
        <v>4.01</v>
      </c>
      <c r="H5533" s="17"/>
      <c r="K5533" s="17"/>
      <c r="N5533" s="17"/>
    </row>
    <row r="5534">
      <c r="B5534" s="11">
        <f>IFERROR(__xludf.DUMMYFUNCTION("""COMPUTED_VALUE"""),38279.0)</f>
        <v>38279</v>
      </c>
      <c r="C5534" s="9">
        <f>IFERROR(__xludf.DUMMYFUNCTION("""COMPUTED_VALUE"""),4.07)</f>
        <v>4.07</v>
      </c>
      <c r="H5534" s="17"/>
      <c r="K5534" s="17"/>
      <c r="N5534" s="17"/>
    </row>
    <row r="5535">
      <c r="B5535" s="11">
        <f>IFERROR(__xludf.DUMMYFUNCTION("""COMPUTED_VALUE"""),38278.0)</f>
        <v>38278</v>
      </c>
      <c r="C5535" s="9">
        <f>IFERROR(__xludf.DUMMYFUNCTION("""COMPUTED_VALUE"""),4.07)</f>
        <v>4.07</v>
      </c>
      <c r="H5535" s="17"/>
      <c r="K5535" s="17"/>
      <c r="N5535" s="17"/>
    </row>
    <row r="5536">
      <c r="B5536" s="11">
        <f>IFERROR(__xludf.DUMMYFUNCTION("""COMPUTED_VALUE"""),38275.0)</f>
        <v>38275</v>
      </c>
      <c r="C5536" s="9">
        <f>IFERROR(__xludf.DUMMYFUNCTION("""COMPUTED_VALUE"""),4.07)</f>
        <v>4.07</v>
      </c>
      <c r="H5536" s="17"/>
      <c r="K5536" s="17"/>
      <c r="N5536" s="17"/>
    </row>
    <row r="5537">
      <c r="B5537" s="11">
        <f>IFERROR(__xludf.DUMMYFUNCTION("""COMPUTED_VALUE"""),38274.0)</f>
        <v>38274</v>
      </c>
      <c r="C5537" s="9">
        <f>IFERROR(__xludf.DUMMYFUNCTION("""COMPUTED_VALUE"""),4.03)</f>
        <v>4.03</v>
      </c>
      <c r="H5537" s="17"/>
      <c r="K5537" s="17"/>
      <c r="N5537" s="17"/>
    </row>
    <row r="5538">
      <c r="B5538" s="11">
        <f>IFERROR(__xludf.DUMMYFUNCTION("""COMPUTED_VALUE"""),38273.0)</f>
        <v>38273</v>
      </c>
      <c r="C5538" s="9">
        <f>IFERROR(__xludf.DUMMYFUNCTION("""COMPUTED_VALUE"""),4.09)</f>
        <v>4.09</v>
      </c>
      <c r="H5538" s="17"/>
      <c r="K5538" s="17"/>
      <c r="N5538" s="17"/>
    </row>
    <row r="5539">
      <c r="B5539" s="11">
        <f>IFERROR(__xludf.DUMMYFUNCTION("""COMPUTED_VALUE"""),38272.0)</f>
        <v>38272</v>
      </c>
      <c r="C5539" s="9">
        <f>IFERROR(__xludf.DUMMYFUNCTION("""COMPUTED_VALUE"""),4.12)</f>
        <v>4.12</v>
      </c>
      <c r="H5539" s="17"/>
      <c r="K5539" s="17"/>
      <c r="N5539" s="17"/>
    </row>
    <row r="5540">
      <c r="B5540" s="11">
        <f>IFERROR(__xludf.DUMMYFUNCTION("""COMPUTED_VALUE"""),38271.0)</f>
        <v>38271</v>
      </c>
      <c r="C5540" s="9"/>
      <c r="H5540" s="17"/>
      <c r="K5540" s="17"/>
      <c r="N5540" s="17"/>
    </row>
    <row r="5541">
      <c r="B5541" s="11">
        <f>IFERROR(__xludf.DUMMYFUNCTION("""COMPUTED_VALUE"""),38268.0)</f>
        <v>38268</v>
      </c>
      <c r="C5541" s="9">
        <f>IFERROR(__xludf.DUMMYFUNCTION("""COMPUTED_VALUE"""),4.15)</f>
        <v>4.15</v>
      </c>
      <c r="H5541" s="17"/>
      <c r="K5541" s="17"/>
      <c r="N5541" s="17"/>
    </row>
    <row r="5542">
      <c r="B5542" s="11">
        <f>IFERROR(__xludf.DUMMYFUNCTION("""COMPUTED_VALUE"""),38267.0)</f>
        <v>38267</v>
      </c>
      <c r="C5542" s="9">
        <f>IFERROR(__xludf.DUMMYFUNCTION("""COMPUTED_VALUE"""),4.26)</f>
        <v>4.26</v>
      </c>
      <c r="H5542" s="17"/>
      <c r="K5542" s="17"/>
      <c r="N5542" s="17"/>
    </row>
    <row r="5543">
      <c r="B5543" s="11">
        <f>IFERROR(__xludf.DUMMYFUNCTION("""COMPUTED_VALUE"""),38266.0)</f>
        <v>38266</v>
      </c>
      <c r="C5543" s="9">
        <f>IFERROR(__xludf.DUMMYFUNCTION("""COMPUTED_VALUE"""),4.23)</f>
        <v>4.23</v>
      </c>
      <c r="H5543" s="17"/>
      <c r="K5543" s="17"/>
      <c r="N5543" s="17"/>
    </row>
    <row r="5544">
      <c r="B5544" s="11">
        <f>IFERROR(__xludf.DUMMYFUNCTION("""COMPUTED_VALUE"""),38265.0)</f>
        <v>38265</v>
      </c>
      <c r="C5544" s="9">
        <f>IFERROR(__xludf.DUMMYFUNCTION("""COMPUTED_VALUE"""),4.18)</f>
        <v>4.18</v>
      </c>
      <c r="H5544" s="17"/>
      <c r="K5544" s="17"/>
      <c r="N5544" s="17"/>
    </row>
    <row r="5545">
      <c r="B5545" s="11">
        <f>IFERROR(__xludf.DUMMYFUNCTION("""COMPUTED_VALUE"""),38264.0)</f>
        <v>38264</v>
      </c>
      <c r="C5545" s="9">
        <f>IFERROR(__xludf.DUMMYFUNCTION("""COMPUTED_VALUE"""),4.19)</f>
        <v>4.19</v>
      </c>
      <c r="H5545" s="17"/>
      <c r="K5545" s="17"/>
      <c r="N5545" s="17"/>
    </row>
    <row r="5546">
      <c r="B5546" s="11">
        <f>IFERROR(__xludf.DUMMYFUNCTION("""COMPUTED_VALUE"""),38261.0)</f>
        <v>38261</v>
      </c>
      <c r="C5546" s="9">
        <f>IFERROR(__xludf.DUMMYFUNCTION("""COMPUTED_VALUE"""),4.21)</f>
        <v>4.21</v>
      </c>
      <c r="H5546" s="17"/>
      <c r="K5546" s="17"/>
      <c r="N5546" s="17"/>
    </row>
    <row r="5547">
      <c r="B5547" s="11">
        <f>IFERROR(__xludf.DUMMYFUNCTION("""COMPUTED_VALUE"""),38260.0)</f>
        <v>38260</v>
      </c>
      <c r="C5547" s="9">
        <f>IFERROR(__xludf.DUMMYFUNCTION("""COMPUTED_VALUE"""),4.14)</f>
        <v>4.14</v>
      </c>
      <c r="H5547" s="17"/>
      <c r="K5547" s="17"/>
      <c r="N5547" s="17"/>
    </row>
    <row r="5548">
      <c r="B5548" s="11">
        <f>IFERROR(__xludf.DUMMYFUNCTION("""COMPUTED_VALUE"""),38259.0)</f>
        <v>38259</v>
      </c>
      <c r="C5548" s="9">
        <f>IFERROR(__xludf.DUMMYFUNCTION("""COMPUTED_VALUE"""),4.1)</f>
        <v>4.1</v>
      </c>
      <c r="H5548" s="17"/>
      <c r="K5548" s="17"/>
      <c r="N5548" s="17"/>
    </row>
    <row r="5549">
      <c r="B5549" s="11">
        <f>IFERROR(__xludf.DUMMYFUNCTION("""COMPUTED_VALUE"""),38258.0)</f>
        <v>38258</v>
      </c>
      <c r="C5549" s="9">
        <f>IFERROR(__xludf.DUMMYFUNCTION("""COMPUTED_VALUE"""),4.02)</f>
        <v>4.02</v>
      </c>
      <c r="H5549" s="17"/>
      <c r="K5549" s="17"/>
      <c r="N5549" s="17"/>
    </row>
    <row r="5550">
      <c r="B5550" s="11">
        <f>IFERROR(__xludf.DUMMYFUNCTION("""COMPUTED_VALUE"""),38257.0)</f>
        <v>38257</v>
      </c>
      <c r="C5550" s="9">
        <f>IFERROR(__xludf.DUMMYFUNCTION("""COMPUTED_VALUE"""),4.01)</f>
        <v>4.01</v>
      </c>
      <c r="H5550" s="17"/>
      <c r="K5550" s="17"/>
      <c r="N5550" s="17"/>
    </row>
    <row r="5551">
      <c r="B5551" s="11">
        <f>IFERROR(__xludf.DUMMYFUNCTION("""COMPUTED_VALUE"""),38254.0)</f>
        <v>38254</v>
      </c>
      <c r="C5551" s="9">
        <f>IFERROR(__xludf.DUMMYFUNCTION("""COMPUTED_VALUE"""),4.04)</f>
        <v>4.04</v>
      </c>
      <c r="H5551" s="17"/>
      <c r="K5551" s="17"/>
      <c r="N5551" s="17"/>
    </row>
    <row r="5552">
      <c r="B5552" s="11">
        <f>IFERROR(__xludf.DUMMYFUNCTION("""COMPUTED_VALUE"""),38253.0)</f>
        <v>38253</v>
      </c>
      <c r="C5552" s="9">
        <f>IFERROR(__xludf.DUMMYFUNCTION("""COMPUTED_VALUE"""),4.02)</f>
        <v>4.02</v>
      </c>
      <c r="H5552" s="17"/>
      <c r="K5552" s="17"/>
      <c r="N5552" s="17"/>
    </row>
    <row r="5553">
      <c r="B5553" s="11">
        <f>IFERROR(__xludf.DUMMYFUNCTION("""COMPUTED_VALUE"""),38252.0)</f>
        <v>38252</v>
      </c>
      <c r="C5553" s="9">
        <f>IFERROR(__xludf.DUMMYFUNCTION("""COMPUTED_VALUE"""),4.0)</f>
        <v>4</v>
      </c>
      <c r="H5553" s="17"/>
      <c r="K5553" s="17"/>
      <c r="N5553" s="17"/>
    </row>
    <row r="5554">
      <c r="B5554" s="11">
        <f>IFERROR(__xludf.DUMMYFUNCTION("""COMPUTED_VALUE"""),38251.0)</f>
        <v>38251</v>
      </c>
      <c r="C5554" s="9">
        <f>IFERROR(__xludf.DUMMYFUNCTION("""COMPUTED_VALUE"""),4.05)</f>
        <v>4.05</v>
      </c>
      <c r="H5554" s="17"/>
      <c r="K5554" s="17"/>
      <c r="N5554" s="17"/>
    </row>
    <row r="5555">
      <c r="B5555" s="11">
        <f>IFERROR(__xludf.DUMMYFUNCTION("""COMPUTED_VALUE"""),38250.0)</f>
        <v>38250</v>
      </c>
      <c r="C5555" s="9">
        <f>IFERROR(__xludf.DUMMYFUNCTION("""COMPUTED_VALUE"""),4.07)</f>
        <v>4.07</v>
      </c>
      <c r="H5555" s="17"/>
      <c r="K5555" s="17"/>
      <c r="N5555" s="17"/>
    </row>
    <row r="5556">
      <c r="B5556" s="11">
        <f>IFERROR(__xludf.DUMMYFUNCTION("""COMPUTED_VALUE"""),38247.0)</f>
        <v>38247</v>
      </c>
      <c r="C5556" s="9">
        <f>IFERROR(__xludf.DUMMYFUNCTION("""COMPUTED_VALUE"""),4.14)</f>
        <v>4.14</v>
      </c>
      <c r="H5556" s="17"/>
      <c r="K5556" s="17"/>
      <c r="N5556" s="17"/>
    </row>
    <row r="5557">
      <c r="B5557" s="11">
        <f>IFERROR(__xludf.DUMMYFUNCTION("""COMPUTED_VALUE"""),38246.0)</f>
        <v>38246</v>
      </c>
      <c r="C5557" s="9">
        <f>IFERROR(__xludf.DUMMYFUNCTION("""COMPUTED_VALUE"""),4.08)</f>
        <v>4.08</v>
      </c>
      <c r="H5557" s="17"/>
      <c r="K5557" s="17"/>
      <c r="N5557" s="17"/>
    </row>
    <row r="5558">
      <c r="B5558" s="11">
        <f>IFERROR(__xludf.DUMMYFUNCTION("""COMPUTED_VALUE"""),38245.0)</f>
        <v>38245</v>
      </c>
      <c r="C5558" s="9">
        <f>IFERROR(__xludf.DUMMYFUNCTION("""COMPUTED_VALUE"""),4.18)</f>
        <v>4.18</v>
      </c>
      <c r="H5558" s="17"/>
      <c r="K5558" s="17"/>
      <c r="N5558" s="17"/>
    </row>
    <row r="5559">
      <c r="B5559" s="11">
        <f>IFERROR(__xludf.DUMMYFUNCTION("""COMPUTED_VALUE"""),38244.0)</f>
        <v>38244</v>
      </c>
      <c r="C5559" s="9">
        <f>IFERROR(__xludf.DUMMYFUNCTION("""COMPUTED_VALUE"""),4.15)</f>
        <v>4.15</v>
      </c>
      <c r="H5559" s="17"/>
      <c r="K5559" s="17"/>
      <c r="N5559" s="17"/>
    </row>
    <row r="5560">
      <c r="B5560" s="11">
        <f>IFERROR(__xludf.DUMMYFUNCTION("""COMPUTED_VALUE"""),38243.0)</f>
        <v>38243</v>
      </c>
      <c r="C5560" s="9">
        <f>IFERROR(__xludf.DUMMYFUNCTION("""COMPUTED_VALUE"""),4.16)</f>
        <v>4.16</v>
      </c>
      <c r="H5560" s="17"/>
      <c r="K5560" s="17"/>
      <c r="N5560" s="17"/>
    </row>
    <row r="5561">
      <c r="B5561" s="11">
        <f>IFERROR(__xludf.DUMMYFUNCTION("""COMPUTED_VALUE"""),38240.0)</f>
        <v>38240</v>
      </c>
      <c r="C5561" s="9">
        <f>IFERROR(__xludf.DUMMYFUNCTION("""COMPUTED_VALUE"""),4.19)</f>
        <v>4.19</v>
      </c>
      <c r="H5561" s="17"/>
      <c r="K5561" s="17"/>
      <c r="N5561" s="17"/>
    </row>
    <row r="5562">
      <c r="B5562" s="11">
        <f>IFERROR(__xludf.DUMMYFUNCTION("""COMPUTED_VALUE"""),38239.0)</f>
        <v>38239</v>
      </c>
      <c r="C5562" s="9">
        <f>IFERROR(__xludf.DUMMYFUNCTION("""COMPUTED_VALUE"""),4.22)</f>
        <v>4.22</v>
      </c>
      <c r="H5562" s="17"/>
      <c r="K5562" s="17"/>
      <c r="N5562" s="17"/>
    </row>
    <row r="5563">
      <c r="B5563" s="11">
        <f>IFERROR(__xludf.DUMMYFUNCTION("""COMPUTED_VALUE"""),38238.0)</f>
        <v>38238</v>
      </c>
      <c r="C5563" s="9">
        <f>IFERROR(__xludf.DUMMYFUNCTION("""COMPUTED_VALUE"""),4.18)</f>
        <v>4.18</v>
      </c>
      <c r="H5563" s="17"/>
      <c r="K5563" s="17"/>
      <c r="N5563" s="17"/>
    </row>
    <row r="5564">
      <c r="B5564" s="11">
        <f>IFERROR(__xludf.DUMMYFUNCTION("""COMPUTED_VALUE"""),38237.0)</f>
        <v>38237</v>
      </c>
      <c r="C5564" s="9">
        <f>IFERROR(__xludf.DUMMYFUNCTION("""COMPUTED_VALUE"""),4.26)</f>
        <v>4.26</v>
      </c>
      <c r="H5564" s="17"/>
      <c r="K5564" s="17"/>
      <c r="N5564" s="17"/>
    </row>
    <row r="5565">
      <c r="B5565" s="11">
        <f>IFERROR(__xludf.DUMMYFUNCTION("""COMPUTED_VALUE"""),38236.0)</f>
        <v>38236</v>
      </c>
      <c r="C5565" s="9"/>
      <c r="H5565" s="17"/>
      <c r="K5565" s="17"/>
      <c r="N5565" s="17"/>
    </row>
    <row r="5566">
      <c r="B5566" s="11">
        <f>IFERROR(__xludf.DUMMYFUNCTION("""COMPUTED_VALUE"""),38233.0)</f>
        <v>38233</v>
      </c>
      <c r="C5566" s="9">
        <f>IFERROR(__xludf.DUMMYFUNCTION("""COMPUTED_VALUE"""),4.3)</f>
        <v>4.3</v>
      </c>
      <c r="H5566" s="17"/>
      <c r="K5566" s="17"/>
      <c r="N5566" s="17"/>
    </row>
    <row r="5567">
      <c r="B5567" s="11">
        <f>IFERROR(__xludf.DUMMYFUNCTION("""COMPUTED_VALUE"""),38232.0)</f>
        <v>38232</v>
      </c>
      <c r="C5567" s="9">
        <f>IFERROR(__xludf.DUMMYFUNCTION("""COMPUTED_VALUE"""),4.2)</f>
        <v>4.2</v>
      </c>
      <c r="H5567" s="17"/>
      <c r="K5567" s="17"/>
      <c r="N5567" s="17"/>
    </row>
    <row r="5568">
      <c r="B5568" s="11">
        <f>IFERROR(__xludf.DUMMYFUNCTION("""COMPUTED_VALUE"""),38231.0)</f>
        <v>38231</v>
      </c>
      <c r="C5568" s="9">
        <f>IFERROR(__xludf.DUMMYFUNCTION("""COMPUTED_VALUE"""),4.13)</f>
        <v>4.13</v>
      </c>
      <c r="H5568" s="17"/>
      <c r="K5568" s="17"/>
      <c r="N5568" s="17"/>
    </row>
    <row r="5569">
      <c r="B5569" s="11">
        <f>IFERROR(__xludf.DUMMYFUNCTION("""COMPUTED_VALUE"""),38230.0)</f>
        <v>38230</v>
      </c>
      <c r="C5569" s="9">
        <f>IFERROR(__xludf.DUMMYFUNCTION("""COMPUTED_VALUE"""),4.13)</f>
        <v>4.13</v>
      </c>
      <c r="H5569" s="17"/>
      <c r="K5569" s="17"/>
      <c r="N5569" s="17"/>
    </row>
    <row r="5570">
      <c r="B5570" s="11">
        <f>IFERROR(__xludf.DUMMYFUNCTION("""COMPUTED_VALUE"""),38229.0)</f>
        <v>38229</v>
      </c>
      <c r="C5570" s="9">
        <f>IFERROR(__xludf.DUMMYFUNCTION("""COMPUTED_VALUE"""),4.19)</f>
        <v>4.19</v>
      </c>
      <c r="H5570" s="17"/>
      <c r="K5570" s="17"/>
      <c r="N5570" s="17"/>
    </row>
    <row r="5571">
      <c r="B5571" s="11">
        <f>IFERROR(__xludf.DUMMYFUNCTION("""COMPUTED_VALUE"""),38226.0)</f>
        <v>38226</v>
      </c>
      <c r="C5571" s="9">
        <f>IFERROR(__xludf.DUMMYFUNCTION("""COMPUTED_VALUE"""),4.23)</f>
        <v>4.23</v>
      </c>
      <c r="H5571" s="17"/>
      <c r="K5571" s="17"/>
      <c r="N5571" s="17"/>
    </row>
    <row r="5572">
      <c r="B5572" s="11">
        <f>IFERROR(__xludf.DUMMYFUNCTION("""COMPUTED_VALUE"""),38225.0)</f>
        <v>38225</v>
      </c>
      <c r="C5572" s="9">
        <f>IFERROR(__xludf.DUMMYFUNCTION("""COMPUTED_VALUE"""),4.22)</f>
        <v>4.22</v>
      </c>
      <c r="H5572" s="17"/>
      <c r="K5572" s="17"/>
      <c r="N5572" s="17"/>
    </row>
    <row r="5573">
      <c r="B5573" s="11">
        <f>IFERROR(__xludf.DUMMYFUNCTION("""COMPUTED_VALUE"""),38224.0)</f>
        <v>38224</v>
      </c>
      <c r="C5573" s="9">
        <f>IFERROR(__xludf.DUMMYFUNCTION("""COMPUTED_VALUE"""),4.26)</f>
        <v>4.26</v>
      </c>
      <c r="H5573" s="17"/>
      <c r="K5573" s="17"/>
      <c r="N5573" s="17"/>
    </row>
    <row r="5574">
      <c r="B5574" s="11">
        <f>IFERROR(__xludf.DUMMYFUNCTION("""COMPUTED_VALUE"""),38223.0)</f>
        <v>38223</v>
      </c>
      <c r="C5574" s="9">
        <f>IFERROR(__xludf.DUMMYFUNCTION("""COMPUTED_VALUE"""),4.28)</f>
        <v>4.28</v>
      </c>
      <c r="H5574" s="17"/>
      <c r="K5574" s="17"/>
      <c r="N5574" s="17"/>
    </row>
    <row r="5575">
      <c r="B5575" s="11">
        <f>IFERROR(__xludf.DUMMYFUNCTION("""COMPUTED_VALUE"""),38222.0)</f>
        <v>38222</v>
      </c>
      <c r="C5575" s="9">
        <f>IFERROR(__xludf.DUMMYFUNCTION("""COMPUTED_VALUE"""),4.28)</f>
        <v>4.28</v>
      </c>
      <c r="H5575" s="17"/>
      <c r="K5575" s="17"/>
      <c r="N5575" s="17"/>
    </row>
    <row r="5576">
      <c r="B5576" s="11">
        <f>IFERROR(__xludf.DUMMYFUNCTION("""COMPUTED_VALUE"""),38219.0)</f>
        <v>38219</v>
      </c>
      <c r="C5576" s="9">
        <f>IFERROR(__xludf.DUMMYFUNCTION("""COMPUTED_VALUE"""),4.24)</f>
        <v>4.24</v>
      </c>
      <c r="H5576" s="17"/>
      <c r="K5576" s="17"/>
      <c r="N5576" s="17"/>
    </row>
    <row r="5577">
      <c r="B5577" s="11">
        <f>IFERROR(__xludf.DUMMYFUNCTION("""COMPUTED_VALUE"""),38218.0)</f>
        <v>38218</v>
      </c>
      <c r="C5577" s="9">
        <f>IFERROR(__xludf.DUMMYFUNCTION("""COMPUTED_VALUE"""),4.22)</f>
        <v>4.22</v>
      </c>
      <c r="H5577" s="17"/>
      <c r="K5577" s="17"/>
      <c r="N5577" s="17"/>
    </row>
    <row r="5578">
      <c r="B5578" s="11">
        <f>IFERROR(__xludf.DUMMYFUNCTION("""COMPUTED_VALUE"""),38217.0)</f>
        <v>38217</v>
      </c>
      <c r="C5578" s="9">
        <f>IFERROR(__xludf.DUMMYFUNCTION("""COMPUTED_VALUE"""),4.23)</f>
        <v>4.23</v>
      </c>
      <c r="H5578" s="17"/>
      <c r="K5578" s="17"/>
      <c r="N5578" s="17"/>
    </row>
    <row r="5579">
      <c r="B5579" s="11">
        <f>IFERROR(__xludf.DUMMYFUNCTION("""COMPUTED_VALUE"""),38216.0)</f>
        <v>38216</v>
      </c>
      <c r="C5579" s="9">
        <f>IFERROR(__xludf.DUMMYFUNCTION("""COMPUTED_VALUE"""),4.21)</f>
        <v>4.21</v>
      </c>
      <c r="H5579" s="17"/>
      <c r="K5579" s="17"/>
      <c r="N5579" s="17"/>
    </row>
    <row r="5580">
      <c r="B5580" s="11">
        <f>IFERROR(__xludf.DUMMYFUNCTION("""COMPUTED_VALUE"""),38215.0)</f>
        <v>38215</v>
      </c>
      <c r="C5580" s="9">
        <f>IFERROR(__xludf.DUMMYFUNCTION("""COMPUTED_VALUE"""),4.26)</f>
        <v>4.26</v>
      </c>
      <c r="H5580" s="17"/>
      <c r="K5580" s="17"/>
      <c r="N5580" s="17"/>
    </row>
    <row r="5581">
      <c r="B5581" s="11">
        <f>IFERROR(__xludf.DUMMYFUNCTION("""COMPUTED_VALUE"""),38212.0)</f>
        <v>38212</v>
      </c>
      <c r="C5581" s="9">
        <f>IFERROR(__xludf.DUMMYFUNCTION("""COMPUTED_VALUE"""),4.22)</f>
        <v>4.22</v>
      </c>
      <c r="H5581" s="17"/>
      <c r="K5581" s="17"/>
      <c r="N5581" s="17"/>
    </row>
    <row r="5582">
      <c r="B5582" s="11">
        <f>IFERROR(__xludf.DUMMYFUNCTION("""COMPUTED_VALUE"""),38211.0)</f>
        <v>38211</v>
      </c>
      <c r="C5582" s="9">
        <f>IFERROR(__xludf.DUMMYFUNCTION("""COMPUTED_VALUE"""),4.27)</f>
        <v>4.27</v>
      </c>
      <c r="H5582" s="17"/>
      <c r="K5582" s="17"/>
      <c r="N5582" s="17"/>
    </row>
    <row r="5583">
      <c r="B5583" s="11">
        <f>IFERROR(__xludf.DUMMYFUNCTION("""COMPUTED_VALUE"""),38210.0)</f>
        <v>38210</v>
      </c>
      <c r="C5583" s="9">
        <f>IFERROR(__xludf.DUMMYFUNCTION("""COMPUTED_VALUE"""),4.3)</f>
        <v>4.3</v>
      </c>
      <c r="H5583" s="17"/>
      <c r="K5583" s="17"/>
      <c r="N5583" s="17"/>
    </row>
    <row r="5584">
      <c r="B5584" s="11">
        <f>IFERROR(__xludf.DUMMYFUNCTION("""COMPUTED_VALUE"""),38209.0)</f>
        <v>38209</v>
      </c>
      <c r="C5584" s="9">
        <f>IFERROR(__xludf.DUMMYFUNCTION("""COMPUTED_VALUE"""),4.32)</f>
        <v>4.32</v>
      </c>
      <c r="H5584" s="17"/>
      <c r="K5584" s="17"/>
      <c r="N5584" s="17"/>
    </row>
    <row r="5585">
      <c r="B5585" s="11">
        <f>IFERROR(__xludf.DUMMYFUNCTION("""COMPUTED_VALUE"""),38208.0)</f>
        <v>38208</v>
      </c>
      <c r="C5585" s="9">
        <f>IFERROR(__xludf.DUMMYFUNCTION("""COMPUTED_VALUE"""),4.28)</f>
        <v>4.28</v>
      </c>
      <c r="H5585" s="17"/>
      <c r="K5585" s="17"/>
      <c r="N5585" s="17"/>
    </row>
    <row r="5586">
      <c r="B5586" s="11">
        <f>IFERROR(__xludf.DUMMYFUNCTION("""COMPUTED_VALUE"""),38205.0)</f>
        <v>38205</v>
      </c>
      <c r="C5586" s="9">
        <f>IFERROR(__xludf.DUMMYFUNCTION("""COMPUTED_VALUE"""),4.24)</f>
        <v>4.24</v>
      </c>
      <c r="H5586" s="17"/>
      <c r="K5586" s="17"/>
      <c r="N5586" s="17"/>
    </row>
    <row r="5587">
      <c r="B5587" s="11">
        <f>IFERROR(__xludf.DUMMYFUNCTION("""COMPUTED_VALUE"""),38204.0)</f>
        <v>38204</v>
      </c>
      <c r="C5587" s="9">
        <f>IFERROR(__xludf.DUMMYFUNCTION("""COMPUTED_VALUE"""),4.43)</f>
        <v>4.43</v>
      </c>
      <c r="H5587" s="17"/>
      <c r="K5587" s="17"/>
      <c r="N5587" s="17"/>
    </row>
    <row r="5588">
      <c r="B5588" s="11">
        <f>IFERROR(__xludf.DUMMYFUNCTION("""COMPUTED_VALUE"""),38203.0)</f>
        <v>38203</v>
      </c>
      <c r="C5588" s="9">
        <f>IFERROR(__xludf.DUMMYFUNCTION("""COMPUTED_VALUE"""),4.45)</f>
        <v>4.45</v>
      </c>
      <c r="H5588" s="17"/>
      <c r="K5588" s="17"/>
      <c r="N5588" s="17"/>
    </row>
    <row r="5589">
      <c r="B5589" s="11">
        <f>IFERROR(__xludf.DUMMYFUNCTION("""COMPUTED_VALUE"""),38202.0)</f>
        <v>38202</v>
      </c>
      <c r="C5589" s="9">
        <f>IFERROR(__xludf.DUMMYFUNCTION("""COMPUTED_VALUE"""),4.45)</f>
        <v>4.45</v>
      </c>
      <c r="H5589" s="17"/>
      <c r="K5589" s="17"/>
      <c r="N5589" s="17"/>
    </row>
    <row r="5590">
      <c r="B5590" s="11">
        <f>IFERROR(__xludf.DUMMYFUNCTION("""COMPUTED_VALUE"""),38201.0)</f>
        <v>38201</v>
      </c>
      <c r="C5590" s="9">
        <f>IFERROR(__xludf.DUMMYFUNCTION("""COMPUTED_VALUE"""),4.48)</f>
        <v>4.48</v>
      </c>
      <c r="H5590" s="17"/>
      <c r="K5590" s="17"/>
      <c r="N5590" s="17"/>
    </row>
    <row r="5591">
      <c r="B5591" s="11">
        <f>IFERROR(__xludf.DUMMYFUNCTION("""COMPUTED_VALUE"""),38198.0)</f>
        <v>38198</v>
      </c>
      <c r="C5591" s="9">
        <f>IFERROR(__xludf.DUMMYFUNCTION("""COMPUTED_VALUE"""),4.5)</f>
        <v>4.5</v>
      </c>
      <c r="H5591" s="17"/>
      <c r="K5591" s="17"/>
      <c r="N5591" s="17"/>
    </row>
    <row r="5592">
      <c r="B5592" s="11">
        <f>IFERROR(__xludf.DUMMYFUNCTION("""COMPUTED_VALUE"""),38197.0)</f>
        <v>38197</v>
      </c>
      <c r="C5592" s="9">
        <f>IFERROR(__xludf.DUMMYFUNCTION("""COMPUTED_VALUE"""),4.6)</f>
        <v>4.6</v>
      </c>
      <c r="H5592" s="17"/>
      <c r="K5592" s="17"/>
      <c r="N5592" s="17"/>
    </row>
    <row r="5593">
      <c r="B5593" s="11">
        <f>IFERROR(__xludf.DUMMYFUNCTION("""COMPUTED_VALUE"""),38196.0)</f>
        <v>38196</v>
      </c>
      <c r="C5593" s="9">
        <f>IFERROR(__xludf.DUMMYFUNCTION("""COMPUTED_VALUE"""),4.61)</f>
        <v>4.61</v>
      </c>
      <c r="H5593" s="17"/>
      <c r="K5593" s="17"/>
      <c r="N5593" s="17"/>
    </row>
    <row r="5594">
      <c r="B5594" s="11">
        <f>IFERROR(__xludf.DUMMYFUNCTION("""COMPUTED_VALUE"""),38195.0)</f>
        <v>38195</v>
      </c>
      <c r="C5594" s="9">
        <f>IFERROR(__xludf.DUMMYFUNCTION("""COMPUTED_VALUE"""),4.62)</f>
        <v>4.62</v>
      </c>
      <c r="H5594" s="17"/>
      <c r="K5594" s="17"/>
      <c r="N5594" s="17"/>
    </row>
    <row r="5595">
      <c r="B5595" s="11">
        <f>IFERROR(__xludf.DUMMYFUNCTION("""COMPUTED_VALUE"""),38194.0)</f>
        <v>38194</v>
      </c>
      <c r="C5595" s="9">
        <f>IFERROR(__xludf.DUMMYFUNCTION("""COMPUTED_VALUE"""),4.49)</f>
        <v>4.49</v>
      </c>
      <c r="H5595" s="17"/>
      <c r="K5595" s="17"/>
      <c r="N5595" s="17"/>
    </row>
    <row r="5596">
      <c r="B5596" s="11">
        <f>IFERROR(__xludf.DUMMYFUNCTION("""COMPUTED_VALUE"""),38191.0)</f>
        <v>38191</v>
      </c>
      <c r="C5596" s="9">
        <f>IFERROR(__xludf.DUMMYFUNCTION("""COMPUTED_VALUE"""),4.45)</f>
        <v>4.45</v>
      </c>
      <c r="H5596" s="17"/>
      <c r="K5596" s="17"/>
      <c r="N5596" s="17"/>
    </row>
    <row r="5597">
      <c r="B5597" s="11">
        <f>IFERROR(__xludf.DUMMYFUNCTION("""COMPUTED_VALUE"""),38190.0)</f>
        <v>38190</v>
      </c>
      <c r="C5597" s="9">
        <f>IFERROR(__xludf.DUMMYFUNCTION("""COMPUTED_VALUE"""),4.48)</f>
        <v>4.48</v>
      </c>
      <c r="H5597" s="17"/>
      <c r="K5597" s="17"/>
      <c r="N5597" s="17"/>
    </row>
    <row r="5598">
      <c r="B5598" s="11">
        <f>IFERROR(__xludf.DUMMYFUNCTION("""COMPUTED_VALUE"""),38189.0)</f>
        <v>38189</v>
      </c>
      <c r="C5598" s="9">
        <f>IFERROR(__xludf.DUMMYFUNCTION("""COMPUTED_VALUE"""),4.5)</f>
        <v>4.5</v>
      </c>
      <c r="H5598" s="17"/>
      <c r="K5598" s="17"/>
      <c r="N5598" s="17"/>
    </row>
    <row r="5599">
      <c r="B5599" s="11">
        <f>IFERROR(__xludf.DUMMYFUNCTION("""COMPUTED_VALUE"""),38188.0)</f>
        <v>38188</v>
      </c>
      <c r="C5599" s="9">
        <f>IFERROR(__xludf.DUMMYFUNCTION("""COMPUTED_VALUE"""),4.47)</f>
        <v>4.47</v>
      </c>
      <c r="H5599" s="17"/>
      <c r="K5599" s="17"/>
      <c r="N5599" s="17"/>
    </row>
    <row r="5600">
      <c r="B5600" s="11">
        <f>IFERROR(__xludf.DUMMYFUNCTION("""COMPUTED_VALUE"""),38187.0)</f>
        <v>38187</v>
      </c>
      <c r="C5600" s="9">
        <f>IFERROR(__xludf.DUMMYFUNCTION("""COMPUTED_VALUE"""),4.38)</f>
        <v>4.38</v>
      </c>
      <c r="H5600" s="17"/>
      <c r="K5600" s="17"/>
      <c r="N5600" s="17"/>
    </row>
    <row r="5601">
      <c r="B5601" s="11">
        <f>IFERROR(__xludf.DUMMYFUNCTION("""COMPUTED_VALUE"""),38184.0)</f>
        <v>38184</v>
      </c>
      <c r="C5601" s="9">
        <f>IFERROR(__xludf.DUMMYFUNCTION("""COMPUTED_VALUE"""),4.38)</f>
        <v>4.38</v>
      </c>
      <c r="H5601" s="17"/>
      <c r="K5601" s="17"/>
      <c r="N5601" s="17"/>
    </row>
    <row r="5602">
      <c r="B5602" s="11">
        <f>IFERROR(__xludf.DUMMYFUNCTION("""COMPUTED_VALUE"""),38183.0)</f>
        <v>38183</v>
      </c>
      <c r="C5602" s="9">
        <f>IFERROR(__xludf.DUMMYFUNCTION("""COMPUTED_VALUE"""),4.5)</f>
        <v>4.5</v>
      </c>
      <c r="H5602" s="17"/>
      <c r="K5602" s="17"/>
      <c r="N5602" s="17"/>
    </row>
    <row r="5603">
      <c r="B5603" s="11">
        <f>IFERROR(__xludf.DUMMYFUNCTION("""COMPUTED_VALUE"""),38182.0)</f>
        <v>38182</v>
      </c>
      <c r="C5603" s="9">
        <f>IFERROR(__xludf.DUMMYFUNCTION("""COMPUTED_VALUE"""),4.5)</f>
        <v>4.5</v>
      </c>
      <c r="H5603" s="17"/>
      <c r="K5603" s="17"/>
      <c r="N5603" s="17"/>
    </row>
    <row r="5604">
      <c r="B5604" s="11">
        <f>IFERROR(__xludf.DUMMYFUNCTION("""COMPUTED_VALUE"""),38181.0)</f>
        <v>38181</v>
      </c>
      <c r="C5604" s="9">
        <f>IFERROR(__xludf.DUMMYFUNCTION("""COMPUTED_VALUE"""),4.5)</f>
        <v>4.5</v>
      </c>
      <c r="H5604" s="17"/>
      <c r="K5604" s="17"/>
      <c r="N5604" s="17"/>
    </row>
    <row r="5605">
      <c r="B5605" s="11">
        <f>IFERROR(__xludf.DUMMYFUNCTION("""COMPUTED_VALUE"""),38180.0)</f>
        <v>38180</v>
      </c>
      <c r="C5605" s="9">
        <f>IFERROR(__xludf.DUMMYFUNCTION("""COMPUTED_VALUE"""),4.46)</f>
        <v>4.46</v>
      </c>
      <c r="H5605" s="17"/>
      <c r="K5605" s="17"/>
      <c r="N5605" s="17"/>
    </row>
    <row r="5606">
      <c r="B5606" s="11">
        <f>IFERROR(__xludf.DUMMYFUNCTION("""COMPUTED_VALUE"""),38177.0)</f>
        <v>38177</v>
      </c>
      <c r="C5606" s="9">
        <f>IFERROR(__xludf.DUMMYFUNCTION("""COMPUTED_VALUE"""),4.49)</f>
        <v>4.49</v>
      </c>
      <c r="H5606" s="17"/>
      <c r="K5606" s="17"/>
      <c r="N5606" s="17"/>
    </row>
    <row r="5607">
      <c r="B5607" s="11">
        <f>IFERROR(__xludf.DUMMYFUNCTION("""COMPUTED_VALUE"""),38176.0)</f>
        <v>38176</v>
      </c>
      <c r="C5607" s="9">
        <f>IFERROR(__xludf.DUMMYFUNCTION("""COMPUTED_VALUE"""),4.49)</f>
        <v>4.49</v>
      </c>
      <c r="H5607" s="17"/>
      <c r="K5607" s="17"/>
      <c r="N5607" s="17"/>
    </row>
    <row r="5608">
      <c r="B5608" s="11">
        <f>IFERROR(__xludf.DUMMYFUNCTION("""COMPUTED_VALUE"""),38175.0)</f>
        <v>38175</v>
      </c>
      <c r="C5608" s="9">
        <f>IFERROR(__xludf.DUMMYFUNCTION("""COMPUTED_VALUE"""),4.5)</f>
        <v>4.5</v>
      </c>
      <c r="H5608" s="17"/>
      <c r="K5608" s="17"/>
      <c r="N5608" s="17"/>
    </row>
    <row r="5609">
      <c r="B5609" s="11">
        <f>IFERROR(__xludf.DUMMYFUNCTION("""COMPUTED_VALUE"""),38174.0)</f>
        <v>38174</v>
      </c>
      <c r="C5609" s="9">
        <f>IFERROR(__xludf.DUMMYFUNCTION("""COMPUTED_VALUE"""),4.49)</f>
        <v>4.49</v>
      </c>
      <c r="H5609" s="17"/>
      <c r="K5609" s="17"/>
      <c r="N5609" s="17"/>
    </row>
    <row r="5610">
      <c r="B5610" s="11">
        <f>IFERROR(__xludf.DUMMYFUNCTION("""COMPUTED_VALUE"""),38173.0)</f>
        <v>38173</v>
      </c>
      <c r="C5610" s="9"/>
      <c r="H5610" s="17"/>
      <c r="K5610" s="17"/>
      <c r="N5610" s="17"/>
    </row>
    <row r="5611">
      <c r="B5611" s="11">
        <f>IFERROR(__xludf.DUMMYFUNCTION("""COMPUTED_VALUE"""),38170.0)</f>
        <v>38170</v>
      </c>
      <c r="C5611" s="9">
        <f>IFERROR(__xludf.DUMMYFUNCTION("""COMPUTED_VALUE"""),4.48)</f>
        <v>4.48</v>
      </c>
      <c r="H5611" s="17"/>
      <c r="K5611" s="17"/>
      <c r="N5611" s="17"/>
    </row>
    <row r="5612">
      <c r="B5612" s="11">
        <f>IFERROR(__xludf.DUMMYFUNCTION("""COMPUTED_VALUE"""),38169.0)</f>
        <v>38169</v>
      </c>
      <c r="C5612" s="9">
        <f>IFERROR(__xludf.DUMMYFUNCTION("""COMPUTED_VALUE"""),4.57)</f>
        <v>4.57</v>
      </c>
      <c r="H5612" s="17"/>
      <c r="K5612" s="17"/>
      <c r="N5612" s="17"/>
    </row>
    <row r="5613">
      <c r="B5613" s="11">
        <f>IFERROR(__xludf.DUMMYFUNCTION("""COMPUTED_VALUE"""),38168.0)</f>
        <v>38168</v>
      </c>
      <c r="C5613" s="9">
        <f>IFERROR(__xludf.DUMMYFUNCTION("""COMPUTED_VALUE"""),4.62)</f>
        <v>4.62</v>
      </c>
      <c r="H5613" s="17"/>
      <c r="K5613" s="17"/>
      <c r="N5613" s="17"/>
    </row>
    <row r="5614">
      <c r="B5614" s="11">
        <f>IFERROR(__xludf.DUMMYFUNCTION("""COMPUTED_VALUE"""),38167.0)</f>
        <v>38167</v>
      </c>
      <c r="C5614" s="9">
        <f>IFERROR(__xludf.DUMMYFUNCTION("""COMPUTED_VALUE"""),4.7)</f>
        <v>4.7</v>
      </c>
      <c r="H5614" s="17"/>
      <c r="K5614" s="17"/>
      <c r="N5614" s="17"/>
    </row>
    <row r="5615">
      <c r="B5615" s="11">
        <f>IFERROR(__xludf.DUMMYFUNCTION("""COMPUTED_VALUE"""),38166.0)</f>
        <v>38166</v>
      </c>
      <c r="C5615" s="9">
        <f>IFERROR(__xludf.DUMMYFUNCTION("""COMPUTED_VALUE"""),4.76)</f>
        <v>4.76</v>
      </c>
      <c r="H5615" s="17"/>
      <c r="K5615" s="17"/>
      <c r="N5615" s="17"/>
    </row>
    <row r="5616">
      <c r="B5616" s="11">
        <f>IFERROR(__xludf.DUMMYFUNCTION("""COMPUTED_VALUE"""),38163.0)</f>
        <v>38163</v>
      </c>
      <c r="C5616" s="9">
        <f>IFERROR(__xludf.DUMMYFUNCTION("""COMPUTED_VALUE"""),4.66)</f>
        <v>4.66</v>
      </c>
      <c r="H5616" s="17"/>
      <c r="K5616" s="17"/>
      <c r="N5616" s="17"/>
    </row>
    <row r="5617">
      <c r="B5617" s="11">
        <f>IFERROR(__xludf.DUMMYFUNCTION("""COMPUTED_VALUE"""),38162.0)</f>
        <v>38162</v>
      </c>
      <c r="C5617" s="9">
        <f>IFERROR(__xludf.DUMMYFUNCTION("""COMPUTED_VALUE"""),4.66)</f>
        <v>4.66</v>
      </c>
      <c r="H5617" s="17"/>
      <c r="K5617" s="17"/>
      <c r="N5617" s="17"/>
    </row>
    <row r="5618">
      <c r="B5618" s="11">
        <f>IFERROR(__xludf.DUMMYFUNCTION("""COMPUTED_VALUE"""),38161.0)</f>
        <v>38161</v>
      </c>
      <c r="C5618" s="9">
        <f>IFERROR(__xludf.DUMMYFUNCTION("""COMPUTED_VALUE"""),4.71)</f>
        <v>4.71</v>
      </c>
      <c r="H5618" s="17"/>
      <c r="K5618" s="17"/>
      <c r="N5618" s="17"/>
    </row>
    <row r="5619">
      <c r="B5619" s="11">
        <f>IFERROR(__xludf.DUMMYFUNCTION("""COMPUTED_VALUE"""),38160.0)</f>
        <v>38160</v>
      </c>
      <c r="C5619" s="9">
        <f>IFERROR(__xludf.DUMMYFUNCTION("""COMPUTED_VALUE"""),4.72)</f>
        <v>4.72</v>
      </c>
      <c r="H5619" s="17"/>
      <c r="K5619" s="17"/>
      <c r="N5619" s="17"/>
    </row>
    <row r="5620">
      <c r="B5620" s="11">
        <f>IFERROR(__xludf.DUMMYFUNCTION("""COMPUTED_VALUE"""),38159.0)</f>
        <v>38159</v>
      </c>
      <c r="C5620" s="9">
        <f>IFERROR(__xludf.DUMMYFUNCTION("""COMPUTED_VALUE"""),4.7)</f>
        <v>4.7</v>
      </c>
      <c r="H5620" s="17"/>
      <c r="K5620" s="17"/>
      <c r="N5620" s="17"/>
    </row>
    <row r="5621">
      <c r="B5621" s="11">
        <f>IFERROR(__xludf.DUMMYFUNCTION("""COMPUTED_VALUE"""),38156.0)</f>
        <v>38156</v>
      </c>
      <c r="C5621" s="9">
        <f>IFERROR(__xludf.DUMMYFUNCTION("""COMPUTED_VALUE"""),4.72)</f>
        <v>4.72</v>
      </c>
      <c r="H5621" s="17"/>
      <c r="K5621" s="17"/>
      <c r="N5621" s="17"/>
    </row>
    <row r="5622">
      <c r="B5622" s="11">
        <f>IFERROR(__xludf.DUMMYFUNCTION("""COMPUTED_VALUE"""),38155.0)</f>
        <v>38155</v>
      </c>
      <c r="C5622" s="9">
        <f>IFERROR(__xludf.DUMMYFUNCTION("""COMPUTED_VALUE"""),4.71)</f>
        <v>4.71</v>
      </c>
      <c r="H5622" s="17"/>
      <c r="K5622" s="17"/>
      <c r="N5622" s="17"/>
    </row>
    <row r="5623">
      <c r="B5623" s="11">
        <f>IFERROR(__xludf.DUMMYFUNCTION("""COMPUTED_VALUE"""),38154.0)</f>
        <v>38154</v>
      </c>
      <c r="C5623" s="9">
        <f>IFERROR(__xludf.DUMMYFUNCTION("""COMPUTED_VALUE"""),4.74)</f>
        <v>4.74</v>
      </c>
      <c r="H5623" s="17"/>
      <c r="K5623" s="17"/>
      <c r="N5623" s="17"/>
    </row>
    <row r="5624">
      <c r="B5624" s="11">
        <f>IFERROR(__xludf.DUMMYFUNCTION("""COMPUTED_VALUE"""),38153.0)</f>
        <v>38153</v>
      </c>
      <c r="C5624" s="9">
        <f>IFERROR(__xludf.DUMMYFUNCTION("""COMPUTED_VALUE"""),4.69)</f>
        <v>4.69</v>
      </c>
      <c r="H5624" s="17"/>
      <c r="K5624" s="17"/>
      <c r="N5624" s="17"/>
    </row>
    <row r="5625">
      <c r="B5625" s="11">
        <f>IFERROR(__xludf.DUMMYFUNCTION("""COMPUTED_VALUE"""),38152.0)</f>
        <v>38152</v>
      </c>
      <c r="C5625" s="9">
        <f>IFERROR(__xludf.DUMMYFUNCTION("""COMPUTED_VALUE"""),4.89)</f>
        <v>4.89</v>
      </c>
      <c r="H5625" s="17"/>
      <c r="K5625" s="17"/>
      <c r="N5625" s="17"/>
    </row>
    <row r="5626">
      <c r="B5626" s="11">
        <f>IFERROR(__xludf.DUMMYFUNCTION("""COMPUTED_VALUE"""),38149.0)</f>
        <v>38149</v>
      </c>
      <c r="C5626" s="9"/>
      <c r="H5626" s="17"/>
      <c r="K5626" s="17"/>
      <c r="N5626" s="17"/>
    </row>
    <row r="5627">
      <c r="B5627" s="11">
        <f>IFERROR(__xludf.DUMMYFUNCTION("""COMPUTED_VALUE"""),38148.0)</f>
        <v>38148</v>
      </c>
      <c r="C5627" s="9">
        <f>IFERROR(__xludf.DUMMYFUNCTION("""COMPUTED_VALUE"""),4.81)</f>
        <v>4.81</v>
      </c>
      <c r="H5627" s="17"/>
      <c r="K5627" s="17"/>
      <c r="N5627" s="17"/>
    </row>
    <row r="5628">
      <c r="B5628" s="11">
        <f>IFERROR(__xludf.DUMMYFUNCTION("""COMPUTED_VALUE"""),38147.0)</f>
        <v>38147</v>
      </c>
      <c r="C5628" s="9">
        <f>IFERROR(__xludf.DUMMYFUNCTION("""COMPUTED_VALUE"""),4.82)</f>
        <v>4.82</v>
      </c>
      <c r="H5628" s="17"/>
      <c r="K5628" s="17"/>
      <c r="N5628" s="17"/>
    </row>
    <row r="5629">
      <c r="B5629" s="11">
        <f>IFERROR(__xludf.DUMMYFUNCTION("""COMPUTED_VALUE"""),38146.0)</f>
        <v>38146</v>
      </c>
      <c r="C5629" s="9">
        <f>IFERROR(__xludf.DUMMYFUNCTION("""COMPUTED_VALUE"""),4.78)</f>
        <v>4.78</v>
      </c>
      <c r="H5629" s="17"/>
      <c r="K5629" s="17"/>
      <c r="N5629" s="17"/>
    </row>
    <row r="5630">
      <c r="B5630" s="11">
        <f>IFERROR(__xludf.DUMMYFUNCTION("""COMPUTED_VALUE"""),38145.0)</f>
        <v>38145</v>
      </c>
      <c r="C5630" s="9">
        <f>IFERROR(__xludf.DUMMYFUNCTION("""COMPUTED_VALUE"""),4.78)</f>
        <v>4.78</v>
      </c>
      <c r="H5630" s="17"/>
      <c r="K5630" s="17"/>
      <c r="N5630" s="17"/>
    </row>
    <row r="5631">
      <c r="B5631" s="11">
        <f>IFERROR(__xludf.DUMMYFUNCTION("""COMPUTED_VALUE"""),38142.0)</f>
        <v>38142</v>
      </c>
      <c r="C5631" s="9">
        <f>IFERROR(__xludf.DUMMYFUNCTION("""COMPUTED_VALUE"""),4.78)</f>
        <v>4.78</v>
      </c>
      <c r="H5631" s="17"/>
      <c r="K5631" s="17"/>
      <c r="N5631" s="17"/>
    </row>
    <row r="5632">
      <c r="B5632" s="11">
        <f>IFERROR(__xludf.DUMMYFUNCTION("""COMPUTED_VALUE"""),38141.0)</f>
        <v>38141</v>
      </c>
      <c r="C5632" s="9">
        <f>IFERROR(__xludf.DUMMYFUNCTION("""COMPUTED_VALUE"""),4.71)</f>
        <v>4.71</v>
      </c>
      <c r="H5632" s="17"/>
      <c r="K5632" s="17"/>
      <c r="N5632" s="17"/>
    </row>
    <row r="5633">
      <c r="B5633" s="11">
        <f>IFERROR(__xludf.DUMMYFUNCTION("""COMPUTED_VALUE"""),38140.0)</f>
        <v>38140</v>
      </c>
      <c r="C5633" s="9">
        <f>IFERROR(__xludf.DUMMYFUNCTION("""COMPUTED_VALUE"""),4.74)</f>
        <v>4.74</v>
      </c>
      <c r="H5633" s="17"/>
      <c r="K5633" s="17"/>
      <c r="N5633" s="17"/>
    </row>
    <row r="5634">
      <c r="B5634" s="11">
        <f>IFERROR(__xludf.DUMMYFUNCTION("""COMPUTED_VALUE"""),38139.0)</f>
        <v>38139</v>
      </c>
      <c r="C5634" s="9">
        <f>IFERROR(__xludf.DUMMYFUNCTION("""COMPUTED_VALUE"""),4.71)</f>
        <v>4.71</v>
      </c>
      <c r="H5634" s="17"/>
      <c r="K5634" s="17"/>
      <c r="N5634" s="17"/>
    </row>
    <row r="5635">
      <c r="B5635" s="11">
        <f>IFERROR(__xludf.DUMMYFUNCTION("""COMPUTED_VALUE"""),38138.0)</f>
        <v>38138</v>
      </c>
      <c r="C5635" s="9"/>
      <c r="H5635" s="17"/>
      <c r="K5635" s="17"/>
      <c r="N5635" s="17"/>
    </row>
    <row r="5636">
      <c r="B5636" s="11">
        <f>IFERROR(__xludf.DUMMYFUNCTION("""COMPUTED_VALUE"""),38135.0)</f>
        <v>38135</v>
      </c>
      <c r="C5636" s="9">
        <f>IFERROR(__xludf.DUMMYFUNCTION("""COMPUTED_VALUE"""),4.66)</f>
        <v>4.66</v>
      </c>
      <c r="H5636" s="17"/>
      <c r="K5636" s="17"/>
      <c r="N5636" s="17"/>
    </row>
    <row r="5637">
      <c r="B5637" s="11">
        <f>IFERROR(__xludf.DUMMYFUNCTION("""COMPUTED_VALUE"""),38134.0)</f>
        <v>38134</v>
      </c>
      <c r="C5637" s="9">
        <f>IFERROR(__xludf.DUMMYFUNCTION("""COMPUTED_VALUE"""),4.6)</f>
        <v>4.6</v>
      </c>
      <c r="H5637" s="17"/>
      <c r="K5637" s="17"/>
      <c r="N5637" s="17"/>
    </row>
    <row r="5638">
      <c r="B5638" s="11">
        <f>IFERROR(__xludf.DUMMYFUNCTION("""COMPUTED_VALUE"""),38133.0)</f>
        <v>38133</v>
      </c>
      <c r="C5638" s="9">
        <f>IFERROR(__xludf.DUMMYFUNCTION("""COMPUTED_VALUE"""),4.67)</f>
        <v>4.67</v>
      </c>
      <c r="H5638" s="17"/>
      <c r="K5638" s="17"/>
      <c r="N5638" s="17"/>
    </row>
    <row r="5639">
      <c r="B5639" s="11">
        <f>IFERROR(__xludf.DUMMYFUNCTION("""COMPUTED_VALUE"""),38132.0)</f>
        <v>38132</v>
      </c>
      <c r="C5639" s="9">
        <f>IFERROR(__xludf.DUMMYFUNCTION("""COMPUTED_VALUE"""),4.73)</f>
        <v>4.73</v>
      </c>
      <c r="H5639" s="17"/>
      <c r="K5639" s="17"/>
      <c r="N5639" s="17"/>
    </row>
    <row r="5640">
      <c r="B5640" s="11">
        <f>IFERROR(__xludf.DUMMYFUNCTION("""COMPUTED_VALUE"""),38131.0)</f>
        <v>38131</v>
      </c>
      <c r="C5640" s="9">
        <f>IFERROR(__xludf.DUMMYFUNCTION("""COMPUTED_VALUE"""),4.75)</f>
        <v>4.75</v>
      </c>
      <c r="H5640" s="17"/>
      <c r="K5640" s="17"/>
      <c r="N5640" s="17"/>
    </row>
    <row r="5641">
      <c r="B5641" s="11">
        <f>IFERROR(__xludf.DUMMYFUNCTION("""COMPUTED_VALUE"""),38128.0)</f>
        <v>38128</v>
      </c>
      <c r="C5641" s="9">
        <f>IFERROR(__xludf.DUMMYFUNCTION("""COMPUTED_VALUE"""),4.76)</f>
        <v>4.76</v>
      </c>
      <c r="H5641" s="17"/>
      <c r="K5641" s="17"/>
      <c r="N5641" s="17"/>
    </row>
    <row r="5642">
      <c r="B5642" s="11">
        <f>IFERROR(__xludf.DUMMYFUNCTION("""COMPUTED_VALUE"""),38127.0)</f>
        <v>38127</v>
      </c>
      <c r="C5642" s="9">
        <f>IFERROR(__xludf.DUMMYFUNCTION("""COMPUTED_VALUE"""),4.72)</f>
        <v>4.72</v>
      </c>
      <c r="H5642" s="17"/>
      <c r="K5642" s="17"/>
      <c r="N5642" s="17"/>
    </row>
    <row r="5643">
      <c r="B5643" s="11">
        <f>IFERROR(__xludf.DUMMYFUNCTION("""COMPUTED_VALUE"""),38126.0)</f>
        <v>38126</v>
      </c>
      <c r="C5643" s="9">
        <f>IFERROR(__xludf.DUMMYFUNCTION("""COMPUTED_VALUE"""),4.79)</f>
        <v>4.79</v>
      </c>
      <c r="H5643" s="17"/>
      <c r="K5643" s="17"/>
      <c r="N5643" s="17"/>
    </row>
    <row r="5644">
      <c r="B5644" s="11">
        <f>IFERROR(__xludf.DUMMYFUNCTION("""COMPUTED_VALUE"""),38125.0)</f>
        <v>38125</v>
      </c>
      <c r="C5644" s="9">
        <f>IFERROR(__xludf.DUMMYFUNCTION("""COMPUTED_VALUE"""),4.74)</f>
        <v>4.74</v>
      </c>
      <c r="H5644" s="17"/>
      <c r="K5644" s="17"/>
      <c r="N5644" s="17"/>
    </row>
    <row r="5645">
      <c r="B5645" s="11">
        <f>IFERROR(__xludf.DUMMYFUNCTION("""COMPUTED_VALUE"""),38124.0)</f>
        <v>38124</v>
      </c>
      <c r="C5645" s="9">
        <f>IFERROR(__xludf.DUMMYFUNCTION("""COMPUTED_VALUE"""),4.7)</f>
        <v>4.7</v>
      </c>
      <c r="H5645" s="17"/>
      <c r="K5645" s="17"/>
      <c r="N5645" s="17"/>
    </row>
    <row r="5646">
      <c r="B5646" s="11">
        <f>IFERROR(__xludf.DUMMYFUNCTION("""COMPUTED_VALUE"""),38121.0)</f>
        <v>38121</v>
      </c>
      <c r="C5646" s="9">
        <f>IFERROR(__xludf.DUMMYFUNCTION("""COMPUTED_VALUE"""),4.79)</f>
        <v>4.79</v>
      </c>
      <c r="H5646" s="17"/>
      <c r="K5646" s="17"/>
      <c r="N5646" s="17"/>
    </row>
    <row r="5647">
      <c r="B5647" s="11">
        <f>IFERROR(__xludf.DUMMYFUNCTION("""COMPUTED_VALUE"""),38120.0)</f>
        <v>38120</v>
      </c>
      <c r="C5647" s="9">
        <f>IFERROR(__xludf.DUMMYFUNCTION("""COMPUTED_VALUE"""),4.85)</f>
        <v>4.85</v>
      </c>
      <c r="H5647" s="17"/>
      <c r="K5647" s="17"/>
      <c r="N5647" s="17"/>
    </row>
    <row r="5648">
      <c r="B5648" s="11">
        <f>IFERROR(__xludf.DUMMYFUNCTION("""COMPUTED_VALUE"""),38119.0)</f>
        <v>38119</v>
      </c>
      <c r="C5648" s="9">
        <f>IFERROR(__xludf.DUMMYFUNCTION("""COMPUTED_VALUE"""),4.83)</f>
        <v>4.83</v>
      </c>
      <c r="H5648" s="17"/>
      <c r="K5648" s="17"/>
      <c r="N5648" s="17"/>
    </row>
    <row r="5649">
      <c r="B5649" s="11">
        <f>IFERROR(__xludf.DUMMYFUNCTION("""COMPUTED_VALUE"""),38118.0)</f>
        <v>38118</v>
      </c>
      <c r="C5649" s="9">
        <f>IFERROR(__xludf.DUMMYFUNCTION("""COMPUTED_VALUE"""),4.79)</f>
        <v>4.79</v>
      </c>
      <c r="H5649" s="17"/>
      <c r="K5649" s="17"/>
      <c r="N5649" s="17"/>
    </row>
    <row r="5650">
      <c r="B5650" s="11">
        <f>IFERROR(__xludf.DUMMYFUNCTION("""COMPUTED_VALUE"""),38117.0)</f>
        <v>38117</v>
      </c>
      <c r="C5650" s="9">
        <f>IFERROR(__xludf.DUMMYFUNCTION("""COMPUTED_VALUE"""),4.81)</f>
        <v>4.81</v>
      </c>
      <c r="H5650" s="17"/>
      <c r="K5650" s="17"/>
      <c r="N5650" s="17"/>
    </row>
    <row r="5651">
      <c r="B5651" s="11">
        <f>IFERROR(__xludf.DUMMYFUNCTION("""COMPUTED_VALUE"""),38114.0)</f>
        <v>38114</v>
      </c>
      <c r="C5651" s="9">
        <f>IFERROR(__xludf.DUMMYFUNCTION("""COMPUTED_VALUE"""),4.79)</f>
        <v>4.79</v>
      </c>
      <c r="H5651" s="17"/>
      <c r="K5651" s="17"/>
      <c r="N5651" s="17"/>
    </row>
    <row r="5652">
      <c r="B5652" s="11">
        <f>IFERROR(__xludf.DUMMYFUNCTION("""COMPUTED_VALUE"""),38113.0)</f>
        <v>38113</v>
      </c>
      <c r="C5652" s="9">
        <f>IFERROR(__xludf.DUMMYFUNCTION("""COMPUTED_VALUE"""),4.63)</f>
        <v>4.63</v>
      </c>
      <c r="H5652" s="17"/>
      <c r="K5652" s="17"/>
      <c r="N5652" s="17"/>
    </row>
    <row r="5653">
      <c r="B5653" s="11">
        <f>IFERROR(__xludf.DUMMYFUNCTION("""COMPUTED_VALUE"""),38112.0)</f>
        <v>38112</v>
      </c>
      <c r="C5653" s="9">
        <f>IFERROR(__xludf.DUMMYFUNCTION("""COMPUTED_VALUE"""),4.61)</f>
        <v>4.61</v>
      </c>
      <c r="H5653" s="17"/>
      <c r="K5653" s="17"/>
      <c r="N5653" s="17"/>
    </row>
    <row r="5654">
      <c r="B5654" s="11">
        <f>IFERROR(__xludf.DUMMYFUNCTION("""COMPUTED_VALUE"""),38111.0)</f>
        <v>38111</v>
      </c>
      <c r="C5654" s="9">
        <f>IFERROR(__xludf.DUMMYFUNCTION("""COMPUTED_VALUE"""),4.56)</f>
        <v>4.56</v>
      </c>
      <c r="H5654" s="17"/>
      <c r="K5654" s="17"/>
      <c r="N5654" s="17"/>
    </row>
    <row r="5655">
      <c r="B5655" s="11">
        <f>IFERROR(__xludf.DUMMYFUNCTION("""COMPUTED_VALUE"""),38110.0)</f>
        <v>38110</v>
      </c>
      <c r="C5655" s="9">
        <f>IFERROR(__xludf.DUMMYFUNCTION("""COMPUTED_VALUE"""),4.53)</f>
        <v>4.53</v>
      </c>
      <c r="H5655" s="17"/>
      <c r="K5655" s="17"/>
      <c r="N5655" s="17"/>
    </row>
    <row r="5656">
      <c r="B5656" s="11">
        <f>IFERROR(__xludf.DUMMYFUNCTION("""COMPUTED_VALUE"""),38107.0)</f>
        <v>38107</v>
      </c>
      <c r="C5656" s="9">
        <f>IFERROR(__xludf.DUMMYFUNCTION("""COMPUTED_VALUE"""),4.53)</f>
        <v>4.53</v>
      </c>
      <c r="H5656" s="17"/>
      <c r="K5656" s="17"/>
      <c r="N5656" s="17"/>
    </row>
    <row r="5657">
      <c r="B5657" s="11">
        <f>IFERROR(__xludf.DUMMYFUNCTION("""COMPUTED_VALUE"""),38106.0)</f>
        <v>38106</v>
      </c>
      <c r="C5657" s="9">
        <f>IFERROR(__xludf.DUMMYFUNCTION("""COMPUTED_VALUE"""),4.55)</f>
        <v>4.55</v>
      </c>
      <c r="H5657" s="17"/>
      <c r="K5657" s="17"/>
      <c r="N5657" s="17"/>
    </row>
    <row r="5658">
      <c r="B5658" s="11">
        <f>IFERROR(__xludf.DUMMYFUNCTION("""COMPUTED_VALUE"""),38105.0)</f>
        <v>38105</v>
      </c>
      <c r="C5658" s="9">
        <f>IFERROR(__xludf.DUMMYFUNCTION("""COMPUTED_VALUE"""),4.5)</f>
        <v>4.5</v>
      </c>
      <c r="H5658" s="17"/>
      <c r="K5658" s="17"/>
      <c r="N5658" s="17"/>
    </row>
    <row r="5659">
      <c r="B5659" s="11">
        <f>IFERROR(__xludf.DUMMYFUNCTION("""COMPUTED_VALUE"""),38104.0)</f>
        <v>38104</v>
      </c>
      <c r="C5659" s="9">
        <f>IFERROR(__xludf.DUMMYFUNCTION("""COMPUTED_VALUE"""),4.43)</f>
        <v>4.43</v>
      </c>
      <c r="H5659" s="17"/>
      <c r="K5659" s="17"/>
      <c r="N5659" s="17"/>
    </row>
    <row r="5660">
      <c r="B5660" s="11">
        <f>IFERROR(__xludf.DUMMYFUNCTION("""COMPUTED_VALUE"""),38103.0)</f>
        <v>38103</v>
      </c>
      <c r="C5660" s="9">
        <f>IFERROR(__xludf.DUMMYFUNCTION("""COMPUTED_VALUE"""),4.46)</f>
        <v>4.46</v>
      </c>
      <c r="H5660" s="17"/>
      <c r="K5660" s="17"/>
      <c r="N5660" s="17"/>
    </row>
    <row r="5661">
      <c r="B5661" s="11">
        <f>IFERROR(__xludf.DUMMYFUNCTION("""COMPUTED_VALUE"""),38100.0)</f>
        <v>38100</v>
      </c>
      <c r="C5661" s="9">
        <f>IFERROR(__xludf.DUMMYFUNCTION("""COMPUTED_VALUE"""),4.48)</f>
        <v>4.48</v>
      </c>
      <c r="H5661" s="17"/>
      <c r="K5661" s="17"/>
      <c r="N5661" s="17"/>
    </row>
    <row r="5662">
      <c r="B5662" s="11">
        <f>IFERROR(__xludf.DUMMYFUNCTION("""COMPUTED_VALUE"""),38099.0)</f>
        <v>38099</v>
      </c>
      <c r="C5662" s="9">
        <f>IFERROR(__xludf.DUMMYFUNCTION("""COMPUTED_VALUE"""),4.4)</f>
        <v>4.4</v>
      </c>
      <c r="H5662" s="17"/>
      <c r="K5662" s="17"/>
      <c r="N5662" s="17"/>
    </row>
    <row r="5663">
      <c r="B5663" s="11">
        <f>IFERROR(__xludf.DUMMYFUNCTION("""COMPUTED_VALUE"""),38098.0)</f>
        <v>38098</v>
      </c>
      <c r="C5663" s="9">
        <f>IFERROR(__xludf.DUMMYFUNCTION("""COMPUTED_VALUE"""),4.45)</f>
        <v>4.45</v>
      </c>
      <c r="H5663" s="17"/>
      <c r="K5663" s="17"/>
      <c r="N5663" s="17"/>
    </row>
    <row r="5664">
      <c r="B5664" s="11">
        <f>IFERROR(__xludf.DUMMYFUNCTION("""COMPUTED_VALUE"""),38097.0)</f>
        <v>38097</v>
      </c>
      <c r="C5664" s="9">
        <f>IFERROR(__xludf.DUMMYFUNCTION("""COMPUTED_VALUE"""),4.43)</f>
        <v>4.43</v>
      </c>
      <c r="H5664" s="17"/>
      <c r="K5664" s="17"/>
      <c r="N5664" s="17"/>
    </row>
    <row r="5665">
      <c r="B5665" s="11">
        <f>IFERROR(__xludf.DUMMYFUNCTION("""COMPUTED_VALUE"""),38096.0)</f>
        <v>38096</v>
      </c>
      <c r="C5665" s="9">
        <f>IFERROR(__xludf.DUMMYFUNCTION("""COMPUTED_VALUE"""),4.39)</f>
        <v>4.39</v>
      </c>
      <c r="H5665" s="17"/>
      <c r="K5665" s="17"/>
      <c r="N5665" s="17"/>
    </row>
    <row r="5666">
      <c r="B5666" s="11">
        <f>IFERROR(__xludf.DUMMYFUNCTION("""COMPUTED_VALUE"""),38093.0)</f>
        <v>38093</v>
      </c>
      <c r="C5666" s="9">
        <f>IFERROR(__xludf.DUMMYFUNCTION("""COMPUTED_VALUE"""),4.37)</f>
        <v>4.37</v>
      </c>
      <c r="H5666" s="17"/>
      <c r="K5666" s="17"/>
      <c r="N5666" s="17"/>
    </row>
    <row r="5667">
      <c r="B5667" s="11">
        <f>IFERROR(__xludf.DUMMYFUNCTION("""COMPUTED_VALUE"""),38092.0)</f>
        <v>38092</v>
      </c>
      <c r="C5667" s="9">
        <f>IFERROR(__xludf.DUMMYFUNCTION("""COMPUTED_VALUE"""),4.42)</f>
        <v>4.42</v>
      </c>
      <c r="H5667" s="17"/>
      <c r="K5667" s="17"/>
      <c r="N5667" s="17"/>
    </row>
    <row r="5668">
      <c r="B5668" s="11">
        <f>IFERROR(__xludf.DUMMYFUNCTION("""COMPUTED_VALUE"""),38091.0)</f>
        <v>38091</v>
      </c>
      <c r="C5668" s="9">
        <f>IFERROR(__xludf.DUMMYFUNCTION("""COMPUTED_VALUE"""),4.4)</f>
        <v>4.4</v>
      </c>
      <c r="H5668" s="17"/>
      <c r="K5668" s="17"/>
      <c r="N5668" s="17"/>
    </row>
    <row r="5669">
      <c r="B5669" s="11">
        <f>IFERROR(__xludf.DUMMYFUNCTION("""COMPUTED_VALUE"""),38090.0)</f>
        <v>38090</v>
      </c>
      <c r="C5669" s="9">
        <f>IFERROR(__xludf.DUMMYFUNCTION("""COMPUTED_VALUE"""),4.35)</f>
        <v>4.35</v>
      </c>
      <c r="H5669" s="17"/>
      <c r="K5669" s="17"/>
      <c r="N5669" s="17"/>
    </row>
    <row r="5670">
      <c r="B5670" s="11">
        <f>IFERROR(__xludf.DUMMYFUNCTION("""COMPUTED_VALUE"""),38089.0)</f>
        <v>38089</v>
      </c>
      <c r="C5670" s="9">
        <f>IFERROR(__xludf.DUMMYFUNCTION("""COMPUTED_VALUE"""),4.25)</f>
        <v>4.25</v>
      </c>
      <c r="H5670" s="17"/>
      <c r="K5670" s="17"/>
      <c r="N5670" s="17"/>
    </row>
    <row r="5671">
      <c r="B5671" s="11">
        <f>IFERROR(__xludf.DUMMYFUNCTION("""COMPUTED_VALUE"""),38086.0)</f>
        <v>38086</v>
      </c>
      <c r="C5671" s="9"/>
      <c r="H5671" s="17"/>
      <c r="K5671" s="17"/>
      <c r="N5671" s="17"/>
    </row>
    <row r="5672">
      <c r="B5672" s="11">
        <f>IFERROR(__xludf.DUMMYFUNCTION("""COMPUTED_VALUE"""),38085.0)</f>
        <v>38085</v>
      </c>
      <c r="C5672" s="9">
        <f>IFERROR(__xludf.DUMMYFUNCTION("""COMPUTED_VALUE"""),4.21)</f>
        <v>4.21</v>
      </c>
      <c r="H5672" s="17"/>
      <c r="K5672" s="17"/>
      <c r="N5672" s="17"/>
    </row>
    <row r="5673">
      <c r="B5673" s="11">
        <f>IFERROR(__xludf.DUMMYFUNCTION("""COMPUTED_VALUE"""),38084.0)</f>
        <v>38084</v>
      </c>
      <c r="C5673" s="9">
        <f>IFERROR(__xludf.DUMMYFUNCTION("""COMPUTED_VALUE"""),4.19)</f>
        <v>4.19</v>
      </c>
      <c r="H5673" s="17"/>
      <c r="K5673" s="17"/>
      <c r="N5673" s="17"/>
    </row>
    <row r="5674">
      <c r="B5674" s="11">
        <f>IFERROR(__xludf.DUMMYFUNCTION("""COMPUTED_VALUE"""),38083.0)</f>
        <v>38083</v>
      </c>
      <c r="C5674" s="9">
        <f>IFERROR(__xludf.DUMMYFUNCTION("""COMPUTED_VALUE"""),4.19)</f>
        <v>4.19</v>
      </c>
      <c r="H5674" s="17"/>
      <c r="K5674" s="17"/>
      <c r="N5674" s="17"/>
    </row>
    <row r="5675">
      <c r="B5675" s="11">
        <f>IFERROR(__xludf.DUMMYFUNCTION("""COMPUTED_VALUE"""),38082.0)</f>
        <v>38082</v>
      </c>
      <c r="C5675" s="9">
        <f>IFERROR(__xludf.DUMMYFUNCTION("""COMPUTED_VALUE"""),4.24)</f>
        <v>4.24</v>
      </c>
      <c r="H5675" s="17"/>
      <c r="K5675" s="17"/>
      <c r="N5675" s="17"/>
    </row>
    <row r="5676">
      <c r="B5676" s="11">
        <f>IFERROR(__xludf.DUMMYFUNCTION("""COMPUTED_VALUE"""),38079.0)</f>
        <v>38079</v>
      </c>
      <c r="C5676" s="9">
        <f>IFERROR(__xludf.DUMMYFUNCTION("""COMPUTED_VALUE"""),4.15)</f>
        <v>4.15</v>
      </c>
      <c r="H5676" s="17"/>
      <c r="K5676" s="17"/>
      <c r="N5676" s="17"/>
    </row>
    <row r="5677">
      <c r="B5677" s="11">
        <f>IFERROR(__xludf.DUMMYFUNCTION("""COMPUTED_VALUE"""),38078.0)</f>
        <v>38078</v>
      </c>
      <c r="C5677" s="9">
        <f>IFERROR(__xludf.DUMMYFUNCTION("""COMPUTED_VALUE"""),3.91)</f>
        <v>3.91</v>
      </c>
      <c r="H5677" s="17"/>
      <c r="K5677" s="17"/>
      <c r="N5677" s="17"/>
    </row>
    <row r="5678">
      <c r="B5678" s="11">
        <f>IFERROR(__xludf.DUMMYFUNCTION("""COMPUTED_VALUE"""),38077.0)</f>
        <v>38077</v>
      </c>
      <c r="C5678" s="9">
        <f>IFERROR(__xludf.DUMMYFUNCTION("""COMPUTED_VALUE"""),3.86)</f>
        <v>3.86</v>
      </c>
      <c r="H5678" s="17"/>
      <c r="K5678" s="17"/>
      <c r="N5678" s="17"/>
    </row>
    <row r="5679">
      <c r="B5679" s="11">
        <f>IFERROR(__xludf.DUMMYFUNCTION("""COMPUTED_VALUE"""),38076.0)</f>
        <v>38076</v>
      </c>
      <c r="C5679" s="9">
        <f>IFERROR(__xludf.DUMMYFUNCTION("""COMPUTED_VALUE"""),3.91)</f>
        <v>3.91</v>
      </c>
      <c r="H5679" s="17"/>
      <c r="K5679" s="17"/>
      <c r="N5679" s="17"/>
    </row>
    <row r="5680">
      <c r="B5680" s="11">
        <f>IFERROR(__xludf.DUMMYFUNCTION("""COMPUTED_VALUE"""),38075.0)</f>
        <v>38075</v>
      </c>
      <c r="C5680" s="9">
        <f>IFERROR(__xludf.DUMMYFUNCTION("""COMPUTED_VALUE"""),3.91)</f>
        <v>3.91</v>
      </c>
      <c r="H5680" s="17"/>
      <c r="K5680" s="17"/>
      <c r="N5680" s="17"/>
    </row>
    <row r="5681">
      <c r="B5681" s="11">
        <f>IFERROR(__xludf.DUMMYFUNCTION("""COMPUTED_VALUE"""),38072.0)</f>
        <v>38072</v>
      </c>
      <c r="C5681" s="9">
        <f>IFERROR(__xludf.DUMMYFUNCTION("""COMPUTED_VALUE"""),3.85)</f>
        <v>3.85</v>
      </c>
      <c r="H5681" s="17"/>
      <c r="K5681" s="17"/>
      <c r="N5681" s="17"/>
    </row>
    <row r="5682">
      <c r="B5682" s="11">
        <f>IFERROR(__xludf.DUMMYFUNCTION("""COMPUTED_VALUE"""),38071.0)</f>
        <v>38071</v>
      </c>
      <c r="C5682" s="9">
        <f>IFERROR(__xludf.DUMMYFUNCTION("""COMPUTED_VALUE"""),3.75)</f>
        <v>3.75</v>
      </c>
      <c r="H5682" s="17"/>
      <c r="K5682" s="17"/>
      <c r="N5682" s="17"/>
    </row>
    <row r="5683">
      <c r="B5683" s="11">
        <f>IFERROR(__xludf.DUMMYFUNCTION("""COMPUTED_VALUE"""),38070.0)</f>
        <v>38070</v>
      </c>
      <c r="C5683" s="9">
        <f>IFERROR(__xludf.DUMMYFUNCTION("""COMPUTED_VALUE"""),3.73)</f>
        <v>3.73</v>
      </c>
      <c r="H5683" s="17"/>
      <c r="K5683" s="17"/>
      <c r="N5683" s="17"/>
    </row>
    <row r="5684">
      <c r="B5684" s="11">
        <f>IFERROR(__xludf.DUMMYFUNCTION("""COMPUTED_VALUE"""),38069.0)</f>
        <v>38069</v>
      </c>
      <c r="C5684" s="9">
        <f>IFERROR(__xludf.DUMMYFUNCTION("""COMPUTED_VALUE"""),3.73)</f>
        <v>3.73</v>
      </c>
      <c r="H5684" s="17"/>
      <c r="K5684" s="17"/>
      <c r="N5684" s="17"/>
    </row>
    <row r="5685">
      <c r="B5685" s="11">
        <f>IFERROR(__xludf.DUMMYFUNCTION("""COMPUTED_VALUE"""),38068.0)</f>
        <v>38068</v>
      </c>
      <c r="C5685" s="9">
        <f>IFERROR(__xludf.DUMMYFUNCTION("""COMPUTED_VALUE"""),3.74)</f>
        <v>3.74</v>
      </c>
      <c r="H5685" s="17"/>
      <c r="K5685" s="17"/>
      <c r="N5685" s="17"/>
    </row>
    <row r="5686">
      <c r="B5686" s="11">
        <f>IFERROR(__xludf.DUMMYFUNCTION("""COMPUTED_VALUE"""),38065.0)</f>
        <v>38065</v>
      </c>
      <c r="C5686" s="9">
        <f>IFERROR(__xludf.DUMMYFUNCTION("""COMPUTED_VALUE"""),3.8)</f>
        <v>3.8</v>
      </c>
      <c r="H5686" s="17"/>
      <c r="K5686" s="17"/>
      <c r="N5686" s="17"/>
    </row>
    <row r="5687">
      <c r="B5687" s="11">
        <f>IFERROR(__xludf.DUMMYFUNCTION("""COMPUTED_VALUE"""),38064.0)</f>
        <v>38064</v>
      </c>
      <c r="C5687" s="9">
        <f>IFERROR(__xludf.DUMMYFUNCTION("""COMPUTED_VALUE"""),3.76)</f>
        <v>3.76</v>
      </c>
      <c r="H5687" s="17"/>
      <c r="K5687" s="17"/>
      <c r="N5687" s="17"/>
    </row>
    <row r="5688">
      <c r="B5688" s="11">
        <f>IFERROR(__xludf.DUMMYFUNCTION("""COMPUTED_VALUE"""),38063.0)</f>
        <v>38063</v>
      </c>
      <c r="C5688" s="9">
        <f>IFERROR(__xludf.DUMMYFUNCTION("""COMPUTED_VALUE"""),3.71)</f>
        <v>3.71</v>
      </c>
      <c r="H5688" s="17"/>
      <c r="K5688" s="17"/>
      <c r="N5688" s="17"/>
    </row>
    <row r="5689">
      <c r="B5689" s="11">
        <f>IFERROR(__xludf.DUMMYFUNCTION("""COMPUTED_VALUE"""),38062.0)</f>
        <v>38062</v>
      </c>
      <c r="C5689" s="9">
        <f>IFERROR(__xludf.DUMMYFUNCTION("""COMPUTED_VALUE"""),3.7)</f>
        <v>3.7</v>
      </c>
      <c r="H5689" s="17"/>
      <c r="K5689" s="17"/>
      <c r="N5689" s="17"/>
    </row>
    <row r="5690">
      <c r="B5690" s="11">
        <f>IFERROR(__xludf.DUMMYFUNCTION("""COMPUTED_VALUE"""),38061.0)</f>
        <v>38061</v>
      </c>
      <c r="C5690" s="9">
        <f>IFERROR(__xludf.DUMMYFUNCTION("""COMPUTED_VALUE"""),3.78)</f>
        <v>3.78</v>
      </c>
      <c r="H5690" s="17"/>
      <c r="K5690" s="17"/>
      <c r="N5690" s="17"/>
    </row>
    <row r="5691">
      <c r="B5691" s="11">
        <f>IFERROR(__xludf.DUMMYFUNCTION("""COMPUTED_VALUE"""),38058.0)</f>
        <v>38058</v>
      </c>
      <c r="C5691" s="9">
        <f>IFERROR(__xludf.DUMMYFUNCTION("""COMPUTED_VALUE"""),3.78)</f>
        <v>3.78</v>
      </c>
      <c r="H5691" s="17"/>
      <c r="K5691" s="17"/>
      <c r="N5691" s="17"/>
    </row>
    <row r="5692">
      <c r="B5692" s="11">
        <f>IFERROR(__xludf.DUMMYFUNCTION("""COMPUTED_VALUE"""),38057.0)</f>
        <v>38057</v>
      </c>
      <c r="C5692" s="9">
        <f>IFERROR(__xludf.DUMMYFUNCTION("""COMPUTED_VALUE"""),3.74)</f>
        <v>3.74</v>
      </c>
      <c r="H5692" s="17"/>
      <c r="K5692" s="17"/>
      <c r="N5692" s="17"/>
    </row>
    <row r="5693">
      <c r="B5693" s="11">
        <f>IFERROR(__xludf.DUMMYFUNCTION("""COMPUTED_VALUE"""),38056.0)</f>
        <v>38056</v>
      </c>
      <c r="C5693" s="9">
        <f>IFERROR(__xludf.DUMMYFUNCTION("""COMPUTED_VALUE"""),3.74)</f>
        <v>3.74</v>
      </c>
      <c r="H5693" s="17"/>
      <c r="K5693" s="17"/>
      <c r="N5693" s="17"/>
    </row>
    <row r="5694">
      <c r="B5694" s="11">
        <f>IFERROR(__xludf.DUMMYFUNCTION("""COMPUTED_VALUE"""),38055.0)</f>
        <v>38055</v>
      </c>
      <c r="C5694" s="9">
        <f>IFERROR(__xludf.DUMMYFUNCTION("""COMPUTED_VALUE"""),3.73)</f>
        <v>3.73</v>
      </c>
      <c r="H5694" s="17"/>
      <c r="K5694" s="17"/>
      <c r="N5694" s="17"/>
    </row>
    <row r="5695">
      <c r="B5695" s="11">
        <f>IFERROR(__xludf.DUMMYFUNCTION("""COMPUTED_VALUE"""),38054.0)</f>
        <v>38054</v>
      </c>
      <c r="C5695" s="9">
        <f>IFERROR(__xludf.DUMMYFUNCTION("""COMPUTED_VALUE"""),3.78)</f>
        <v>3.78</v>
      </c>
      <c r="H5695" s="17"/>
      <c r="K5695" s="17"/>
      <c r="N5695" s="17"/>
    </row>
    <row r="5696">
      <c r="B5696" s="11">
        <f>IFERROR(__xludf.DUMMYFUNCTION("""COMPUTED_VALUE"""),38051.0)</f>
        <v>38051</v>
      </c>
      <c r="C5696" s="9">
        <f>IFERROR(__xludf.DUMMYFUNCTION("""COMPUTED_VALUE"""),3.85)</f>
        <v>3.85</v>
      </c>
      <c r="H5696" s="17"/>
      <c r="K5696" s="17"/>
      <c r="N5696" s="17"/>
    </row>
    <row r="5697">
      <c r="B5697" s="11">
        <f>IFERROR(__xludf.DUMMYFUNCTION("""COMPUTED_VALUE"""),38050.0)</f>
        <v>38050</v>
      </c>
      <c r="C5697" s="9">
        <f>IFERROR(__xludf.DUMMYFUNCTION("""COMPUTED_VALUE"""),4.04)</f>
        <v>4.04</v>
      </c>
      <c r="H5697" s="17"/>
      <c r="K5697" s="17"/>
      <c r="N5697" s="17"/>
    </row>
    <row r="5698">
      <c r="B5698" s="11">
        <f>IFERROR(__xludf.DUMMYFUNCTION("""COMPUTED_VALUE"""),38049.0)</f>
        <v>38049</v>
      </c>
      <c r="C5698" s="9">
        <f>IFERROR(__xludf.DUMMYFUNCTION("""COMPUTED_VALUE"""),4.07)</f>
        <v>4.07</v>
      </c>
      <c r="H5698" s="17"/>
      <c r="K5698" s="17"/>
      <c r="N5698" s="17"/>
    </row>
    <row r="5699">
      <c r="B5699" s="11">
        <f>IFERROR(__xludf.DUMMYFUNCTION("""COMPUTED_VALUE"""),38048.0)</f>
        <v>38048</v>
      </c>
      <c r="C5699" s="9">
        <f>IFERROR(__xludf.DUMMYFUNCTION("""COMPUTED_VALUE"""),4.05)</f>
        <v>4.05</v>
      </c>
      <c r="H5699" s="17"/>
      <c r="K5699" s="17"/>
      <c r="N5699" s="17"/>
    </row>
    <row r="5700">
      <c r="B5700" s="11">
        <f>IFERROR(__xludf.DUMMYFUNCTION("""COMPUTED_VALUE"""),38047.0)</f>
        <v>38047</v>
      </c>
      <c r="C5700" s="9">
        <f>IFERROR(__xludf.DUMMYFUNCTION("""COMPUTED_VALUE"""),4.0)</f>
        <v>4</v>
      </c>
      <c r="H5700" s="17"/>
      <c r="K5700" s="17"/>
      <c r="N5700" s="17"/>
    </row>
    <row r="5701">
      <c r="B5701" s="11">
        <f>IFERROR(__xludf.DUMMYFUNCTION("""COMPUTED_VALUE"""),38044.0)</f>
        <v>38044</v>
      </c>
      <c r="C5701" s="9">
        <f>IFERROR(__xludf.DUMMYFUNCTION("""COMPUTED_VALUE"""),3.99)</f>
        <v>3.99</v>
      </c>
      <c r="H5701" s="17"/>
      <c r="K5701" s="17"/>
      <c r="N5701" s="17"/>
    </row>
    <row r="5702">
      <c r="B5702" s="11">
        <f>IFERROR(__xludf.DUMMYFUNCTION("""COMPUTED_VALUE"""),38043.0)</f>
        <v>38043</v>
      </c>
      <c r="C5702" s="9">
        <f>IFERROR(__xludf.DUMMYFUNCTION("""COMPUTED_VALUE"""),4.05)</f>
        <v>4.05</v>
      </c>
      <c r="H5702" s="17"/>
      <c r="K5702" s="17"/>
      <c r="N5702" s="17"/>
    </row>
    <row r="5703">
      <c r="B5703" s="11">
        <f>IFERROR(__xludf.DUMMYFUNCTION("""COMPUTED_VALUE"""),38042.0)</f>
        <v>38042</v>
      </c>
      <c r="C5703" s="9">
        <f>IFERROR(__xludf.DUMMYFUNCTION("""COMPUTED_VALUE"""),4.02)</f>
        <v>4.02</v>
      </c>
      <c r="H5703" s="17"/>
      <c r="K5703" s="17"/>
      <c r="N5703" s="17"/>
    </row>
    <row r="5704">
      <c r="B5704" s="11">
        <f>IFERROR(__xludf.DUMMYFUNCTION("""COMPUTED_VALUE"""),38041.0)</f>
        <v>38041</v>
      </c>
      <c r="C5704" s="9">
        <f>IFERROR(__xludf.DUMMYFUNCTION("""COMPUTED_VALUE"""),4.04)</f>
        <v>4.04</v>
      </c>
      <c r="H5704" s="17"/>
      <c r="K5704" s="17"/>
      <c r="N5704" s="17"/>
    </row>
    <row r="5705">
      <c r="B5705" s="11">
        <f>IFERROR(__xludf.DUMMYFUNCTION("""COMPUTED_VALUE"""),38040.0)</f>
        <v>38040</v>
      </c>
      <c r="C5705" s="9">
        <f>IFERROR(__xludf.DUMMYFUNCTION("""COMPUTED_VALUE"""),4.05)</f>
        <v>4.05</v>
      </c>
      <c r="H5705" s="17"/>
      <c r="K5705" s="17"/>
      <c r="N5705" s="17"/>
    </row>
    <row r="5706">
      <c r="B5706" s="11">
        <f>IFERROR(__xludf.DUMMYFUNCTION("""COMPUTED_VALUE"""),38037.0)</f>
        <v>38037</v>
      </c>
      <c r="C5706" s="9">
        <f>IFERROR(__xludf.DUMMYFUNCTION("""COMPUTED_VALUE"""),4.1)</f>
        <v>4.1</v>
      </c>
      <c r="H5706" s="17"/>
      <c r="K5706" s="17"/>
      <c r="N5706" s="17"/>
    </row>
    <row r="5707">
      <c r="B5707" s="11">
        <f>IFERROR(__xludf.DUMMYFUNCTION("""COMPUTED_VALUE"""),38036.0)</f>
        <v>38036</v>
      </c>
      <c r="C5707" s="9">
        <f>IFERROR(__xludf.DUMMYFUNCTION("""COMPUTED_VALUE"""),4.05)</f>
        <v>4.05</v>
      </c>
      <c r="H5707" s="17"/>
      <c r="K5707" s="17"/>
      <c r="N5707" s="17"/>
    </row>
    <row r="5708">
      <c r="B5708" s="11">
        <f>IFERROR(__xludf.DUMMYFUNCTION("""COMPUTED_VALUE"""),38035.0)</f>
        <v>38035</v>
      </c>
      <c r="C5708" s="9">
        <f>IFERROR(__xludf.DUMMYFUNCTION("""COMPUTED_VALUE"""),4.05)</f>
        <v>4.05</v>
      </c>
      <c r="H5708" s="17"/>
      <c r="K5708" s="17"/>
      <c r="N5708" s="17"/>
    </row>
    <row r="5709">
      <c r="B5709" s="11">
        <f>IFERROR(__xludf.DUMMYFUNCTION("""COMPUTED_VALUE"""),38034.0)</f>
        <v>38034</v>
      </c>
      <c r="C5709" s="9">
        <f>IFERROR(__xludf.DUMMYFUNCTION("""COMPUTED_VALUE"""),4.05)</f>
        <v>4.05</v>
      </c>
      <c r="H5709" s="17"/>
      <c r="K5709" s="17"/>
      <c r="N5709" s="17"/>
    </row>
    <row r="5710">
      <c r="B5710" s="11">
        <f>IFERROR(__xludf.DUMMYFUNCTION("""COMPUTED_VALUE"""),38033.0)</f>
        <v>38033</v>
      </c>
      <c r="C5710" s="9"/>
      <c r="H5710" s="17"/>
      <c r="K5710" s="17"/>
      <c r="N5710" s="17"/>
    </row>
    <row r="5711">
      <c r="B5711" s="11">
        <f>IFERROR(__xludf.DUMMYFUNCTION("""COMPUTED_VALUE"""),38030.0)</f>
        <v>38030</v>
      </c>
      <c r="C5711" s="9">
        <f>IFERROR(__xludf.DUMMYFUNCTION("""COMPUTED_VALUE"""),4.05)</f>
        <v>4.05</v>
      </c>
      <c r="H5711" s="17"/>
      <c r="K5711" s="17"/>
      <c r="N5711" s="17"/>
    </row>
    <row r="5712">
      <c r="B5712" s="11">
        <f>IFERROR(__xludf.DUMMYFUNCTION("""COMPUTED_VALUE"""),38029.0)</f>
        <v>38029</v>
      </c>
      <c r="C5712" s="9">
        <f>IFERROR(__xludf.DUMMYFUNCTION("""COMPUTED_VALUE"""),4.1)</f>
        <v>4.1</v>
      </c>
      <c r="H5712" s="17"/>
      <c r="K5712" s="17"/>
      <c r="N5712" s="17"/>
    </row>
    <row r="5713">
      <c r="B5713" s="11">
        <f>IFERROR(__xludf.DUMMYFUNCTION("""COMPUTED_VALUE"""),38028.0)</f>
        <v>38028</v>
      </c>
      <c r="C5713" s="9">
        <f>IFERROR(__xludf.DUMMYFUNCTION("""COMPUTED_VALUE"""),4.05)</f>
        <v>4.05</v>
      </c>
      <c r="H5713" s="17"/>
      <c r="K5713" s="17"/>
      <c r="N5713" s="17"/>
    </row>
    <row r="5714">
      <c r="B5714" s="11">
        <f>IFERROR(__xludf.DUMMYFUNCTION("""COMPUTED_VALUE"""),38027.0)</f>
        <v>38027</v>
      </c>
      <c r="C5714" s="9">
        <f>IFERROR(__xludf.DUMMYFUNCTION("""COMPUTED_VALUE"""),4.13)</f>
        <v>4.13</v>
      </c>
      <c r="H5714" s="17"/>
      <c r="K5714" s="17"/>
      <c r="N5714" s="17"/>
    </row>
    <row r="5715">
      <c r="B5715" s="11">
        <f>IFERROR(__xludf.DUMMYFUNCTION("""COMPUTED_VALUE"""),38026.0)</f>
        <v>38026</v>
      </c>
      <c r="C5715" s="9">
        <f>IFERROR(__xludf.DUMMYFUNCTION("""COMPUTED_VALUE"""),4.09)</f>
        <v>4.09</v>
      </c>
      <c r="H5715" s="17"/>
      <c r="K5715" s="17"/>
      <c r="N5715" s="17"/>
    </row>
    <row r="5716">
      <c r="B5716" s="11">
        <f>IFERROR(__xludf.DUMMYFUNCTION("""COMPUTED_VALUE"""),38023.0)</f>
        <v>38023</v>
      </c>
      <c r="C5716" s="9">
        <f>IFERROR(__xludf.DUMMYFUNCTION("""COMPUTED_VALUE"""),4.12)</f>
        <v>4.12</v>
      </c>
      <c r="H5716" s="17"/>
      <c r="K5716" s="17"/>
      <c r="N5716" s="17"/>
    </row>
    <row r="5717">
      <c r="B5717" s="11">
        <f>IFERROR(__xludf.DUMMYFUNCTION("""COMPUTED_VALUE"""),38022.0)</f>
        <v>38022</v>
      </c>
      <c r="C5717" s="9">
        <f>IFERROR(__xludf.DUMMYFUNCTION("""COMPUTED_VALUE"""),4.2)</f>
        <v>4.2</v>
      </c>
      <c r="H5717" s="17"/>
      <c r="K5717" s="17"/>
      <c r="N5717" s="17"/>
    </row>
    <row r="5718">
      <c r="B5718" s="11">
        <f>IFERROR(__xludf.DUMMYFUNCTION("""COMPUTED_VALUE"""),38021.0)</f>
        <v>38021</v>
      </c>
      <c r="C5718" s="9">
        <f>IFERROR(__xludf.DUMMYFUNCTION("""COMPUTED_VALUE"""),4.15)</f>
        <v>4.15</v>
      </c>
      <c r="H5718" s="17"/>
      <c r="K5718" s="17"/>
      <c r="N5718" s="17"/>
    </row>
    <row r="5719">
      <c r="B5719" s="11">
        <f>IFERROR(__xludf.DUMMYFUNCTION("""COMPUTED_VALUE"""),38020.0)</f>
        <v>38020</v>
      </c>
      <c r="C5719" s="9">
        <f>IFERROR(__xludf.DUMMYFUNCTION("""COMPUTED_VALUE"""),4.13)</f>
        <v>4.13</v>
      </c>
      <c r="H5719" s="17"/>
      <c r="K5719" s="17"/>
      <c r="N5719" s="17"/>
    </row>
    <row r="5720">
      <c r="B5720" s="11">
        <f>IFERROR(__xludf.DUMMYFUNCTION("""COMPUTED_VALUE"""),38019.0)</f>
        <v>38019</v>
      </c>
      <c r="C5720" s="9">
        <f>IFERROR(__xludf.DUMMYFUNCTION("""COMPUTED_VALUE"""),4.18)</f>
        <v>4.18</v>
      </c>
      <c r="H5720" s="17"/>
      <c r="K5720" s="17"/>
      <c r="N5720" s="17"/>
    </row>
    <row r="5721">
      <c r="B5721" s="11">
        <f>IFERROR(__xludf.DUMMYFUNCTION("""COMPUTED_VALUE"""),38016.0)</f>
        <v>38016</v>
      </c>
      <c r="C5721" s="9">
        <f>IFERROR(__xludf.DUMMYFUNCTION("""COMPUTED_VALUE"""),4.16)</f>
        <v>4.16</v>
      </c>
      <c r="H5721" s="17"/>
      <c r="K5721" s="17"/>
      <c r="N5721" s="17"/>
    </row>
    <row r="5722">
      <c r="B5722" s="11">
        <f>IFERROR(__xludf.DUMMYFUNCTION("""COMPUTED_VALUE"""),38015.0)</f>
        <v>38015</v>
      </c>
      <c r="C5722" s="9">
        <f>IFERROR(__xludf.DUMMYFUNCTION("""COMPUTED_VALUE"""),4.22)</f>
        <v>4.22</v>
      </c>
      <c r="H5722" s="17"/>
      <c r="K5722" s="17"/>
      <c r="N5722" s="17"/>
    </row>
    <row r="5723">
      <c r="B5723" s="11">
        <f>IFERROR(__xludf.DUMMYFUNCTION("""COMPUTED_VALUE"""),38014.0)</f>
        <v>38014</v>
      </c>
      <c r="C5723" s="9">
        <f>IFERROR(__xludf.DUMMYFUNCTION("""COMPUTED_VALUE"""),4.22)</f>
        <v>4.22</v>
      </c>
      <c r="H5723" s="17"/>
      <c r="K5723" s="17"/>
      <c r="N5723" s="17"/>
    </row>
    <row r="5724">
      <c r="B5724" s="11">
        <f>IFERROR(__xludf.DUMMYFUNCTION("""COMPUTED_VALUE"""),38013.0)</f>
        <v>38013</v>
      </c>
      <c r="C5724" s="9">
        <f>IFERROR(__xludf.DUMMYFUNCTION("""COMPUTED_VALUE"""),4.11)</f>
        <v>4.11</v>
      </c>
      <c r="H5724" s="17"/>
      <c r="K5724" s="17"/>
      <c r="N5724" s="17"/>
    </row>
    <row r="5725">
      <c r="B5725" s="11">
        <f>IFERROR(__xludf.DUMMYFUNCTION("""COMPUTED_VALUE"""),38012.0)</f>
        <v>38012</v>
      </c>
      <c r="C5725" s="9">
        <f>IFERROR(__xludf.DUMMYFUNCTION("""COMPUTED_VALUE"""),4.16)</f>
        <v>4.16</v>
      </c>
      <c r="H5725" s="17"/>
      <c r="K5725" s="17"/>
      <c r="N5725" s="17"/>
    </row>
    <row r="5726">
      <c r="B5726" s="11">
        <f>IFERROR(__xludf.DUMMYFUNCTION("""COMPUTED_VALUE"""),38009.0)</f>
        <v>38009</v>
      </c>
      <c r="C5726" s="9">
        <f>IFERROR(__xludf.DUMMYFUNCTION("""COMPUTED_VALUE"""),4.09)</f>
        <v>4.09</v>
      </c>
      <c r="H5726" s="17"/>
      <c r="K5726" s="17"/>
      <c r="N5726" s="17"/>
    </row>
    <row r="5727">
      <c r="B5727" s="11">
        <f>IFERROR(__xludf.DUMMYFUNCTION("""COMPUTED_VALUE"""),38008.0)</f>
        <v>38008</v>
      </c>
      <c r="C5727" s="9">
        <f>IFERROR(__xludf.DUMMYFUNCTION("""COMPUTED_VALUE"""),3.99)</f>
        <v>3.99</v>
      </c>
      <c r="H5727" s="17"/>
      <c r="K5727" s="17"/>
      <c r="N5727" s="17"/>
    </row>
    <row r="5728">
      <c r="B5728" s="11">
        <f>IFERROR(__xludf.DUMMYFUNCTION("""COMPUTED_VALUE"""),38007.0)</f>
        <v>38007</v>
      </c>
      <c r="C5728" s="9">
        <f>IFERROR(__xludf.DUMMYFUNCTION("""COMPUTED_VALUE"""),4.05)</f>
        <v>4.05</v>
      </c>
      <c r="H5728" s="17"/>
      <c r="K5728" s="17"/>
      <c r="N5728" s="17"/>
    </row>
    <row r="5729">
      <c r="B5729" s="11">
        <f>IFERROR(__xludf.DUMMYFUNCTION("""COMPUTED_VALUE"""),38006.0)</f>
        <v>38006</v>
      </c>
      <c r="C5729" s="9">
        <f>IFERROR(__xludf.DUMMYFUNCTION("""COMPUTED_VALUE"""),4.08)</f>
        <v>4.08</v>
      </c>
      <c r="H5729" s="17"/>
      <c r="K5729" s="17"/>
      <c r="N5729" s="17"/>
    </row>
    <row r="5730">
      <c r="B5730" s="11">
        <f>IFERROR(__xludf.DUMMYFUNCTION("""COMPUTED_VALUE"""),38005.0)</f>
        <v>38005</v>
      </c>
      <c r="C5730" s="9"/>
      <c r="H5730" s="17"/>
      <c r="K5730" s="17"/>
      <c r="N5730" s="17"/>
    </row>
    <row r="5731">
      <c r="B5731" s="11">
        <f>IFERROR(__xludf.DUMMYFUNCTION("""COMPUTED_VALUE"""),38002.0)</f>
        <v>38002</v>
      </c>
      <c r="C5731" s="9">
        <f>IFERROR(__xludf.DUMMYFUNCTION("""COMPUTED_VALUE"""),4.04)</f>
        <v>4.04</v>
      </c>
      <c r="H5731" s="17"/>
      <c r="K5731" s="17"/>
      <c r="N5731" s="17"/>
    </row>
    <row r="5732">
      <c r="B5732" s="11">
        <f>IFERROR(__xludf.DUMMYFUNCTION("""COMPUTED_VALUE"""),38001.0)</f>
        <v>38001</v>
      </c>
      <c r="C5732" s="9">
        <f>IFERROR(__xludf.DUMMYFUNCTION("""COMPUTED_VALUE"""),3.99)</f>
        <v>3.99</v>
      </c>
      <c r="H5732" s="17"/>
      <c r="K5732" s="17"/>
      <c r="N5732" s="17"/>
    </row>
    <row r="5733">
      <c r="B5733" s="11">
        <f>IFERROR(__xludf.DUMMYFUNCTION("""COMPUTED_VALUE"""),38000.0)</f>
        <v>38000</v>
      </c>
      <c r="C5733" s="9">
        <f>IFERROR(__xludf.DUMMYFUNCTION("""COMPUTED_VALUE"""),4.01)</f>
        <v>4.01</v>
      </c>
      <c r="H5733" s="17"/>
      <c r="K5733" s="17"/>
      <c r="N5733" s="17"/>
    </row>
    <row r="5734">
      <c r="B5734" s="11">
        <f>IFERROR(__xludf.DUMMYFUNCTION("""COMPUTED_VALUE"""),37999.0)</f>
        <v>37999</v>
      </c>
      <c r="C5734" s="9">
        <f>IFERROR(__xludf.DUMMYFUNCTION("""COMPUTED_VALUE"""),4.05)</f>
        <v>4.05</v>
      </c>
      <c r="H5734" s="17"/>
      <c r="K5734" s="17"/>
      <c r="N5734" s="17"/>
    </row>
    <row r="5735">
      <c r="B5735" s="11">
        <f>IFERROR(__xludf.DUMMYFUNCTION("""COMPUTED_VALUE"""),37998.0)</f>
        <v>37998</v>
      </c>
      <c r="C5735" s="9">
        <f>IFERROR(__xludf.DUMMYFUNCTION("""COMPUTED_VALUE"""),4.11)</f>
        <v>4.11</v>
      </c>
      <c r="H5735" s="17"/>
      <c r="K5735" s="17"/>
      <c r="N5735" s="17"/>
    </row>
    <row r="5736">
      <c r="B5736" s="11">
        <f>IFERROR(__xludf.DUMMYFUNCTION("""COMPUTED_VALUE"""),37995.0)</f>
        <v>37995</v>
      </c>
      <c r="C5736" s="9">
        <f>IFERROR(__xludf.DUMMYFUNCTION("""COMPUTED_VALUE"""),4.11)</f>
        <v>4.11</v>
      </c>
      <c r="H5736" s="17"/>
      <c r="K5736" s="17"/>
      <c r="N5736" s="17"/>
    </row>
    <row r="5737">
      <c r="B5737" s="11">
        <f>IFERROR(__xludf.DUMMYFUNCTION("""COMPUTED_VALUE"""),37994.0)</f>
        <v>37994</v>
      </c>
      <c r="C5737" s="9">
        <f>IFERROR(__xludf.DUMMYFUNCTION("""COMPUTED_VALUE"""),4.27)</f>
        <v>4.27</v>
      </c>
      <c r="H5737" s="17"/>
      <c r="K5737" s="17"/>
      <c r="N5737" s="17"/>
    </row>
    <row r="5738">
      <c r="B5738" s="11">
        <f>IFERROR(__xludf.DUMMYFUNCTION("""COMPUTED_VALUE"""),37993.0)</f>
        <v>37993</v>
      </c>
      <c r="C5738" s="9">
        <f>IFERROR(__xludf.DUMMYFUNCTION("""COMPUTED_VALUE"""),4.27)</f>
        <v>4.27</v>
      </c>
      <c r="H5738" s="17"/>
      <c r="K5738" s="17"/>
      <c r="N5738" s="17"/>
    </row>
    <row r="5739">
      <c r="B5739" s="11">
        <f>IFERROR(__xludf.DUMMYFUNCTION("""COMPUTED_VALUE"""),37992.0)</f>
        <v>37992</v>
      </c>
      <c r="C5739" s="9">
        <f>IFERROR(__xludf.DUMMYFUNCTION("""COMPUTED_VALUE"""),4.29)</f>
        <v>4.29</v>
      </c>
      <c r="H5739" s="17"/>
      <c r="K5739" s="17"/>
      <c r="N5739" s="17"/>
    </row>
    <row r="5740">
      <c r="B5740" s="11">
        <f>IFERROR(__xludf.DUMMYFUNCTION("""COMPUTED_VALUE"""),37991.0)</f>
        <v>37991</v>
      </c>
      <c r="C5740" s="9">
        <f>IFERROR(__xludf.DUMMYFUNCTION("""COMPUTED_VALUE"""),4.41)</f>
        <v>4.41</v>
      </c>
      <c r="H5740" s="17"/>
      <c r="K5740" s="17"/>
      <c r="N5740" s="17"/>
    </row>
    <row r="5741">
      <c r="B5741" s="11">
        <f>IFERROR(__xludf.DUMMYFUNCTION("""COMPUTED_VALUE"""),37988.0)</f>
        <v>37988</v>
      </c>
      <c r="C5741" s="9">
        <f>IFERROR(__xludf.DUMMYFUNCTION("""COMPUTED_VALUE"""),4.38)</f>
        <v>4.38</v>
      </c>
      <c r="H5741" s="17"/>
      <c r="K5741" s="17"/>
      <c r="N5741" s="17"/>
    </row>
    <row r="5742">
      <c r="B5742" s="11">
        <f>IFERROR(__xludf.DUMMYFUNCTION("""COMPUTED_VALUE"""),37987.0)</f>
        <v>37987</v>
      </c>
      <c r="C5742" s="9"/>
      <c r="H5742" s="17"/>
      <c r="K5742" s="17"/>
      <c r="N5742" s="17"/>
    </row>
    <row r="5743">
      <c r="B5743" s="11">
        <f>IFERROR(__xludf.DUMMYFUNCTION("""COMPUTED_VALUE"""),37986.0)</f>
        <v>37986</v>
      </c>
      <c r="C5743" s="9">
        <f>IFERROR(__xludf.DUMMYFUNCTION("""COMPUTED_VALUE"""),4.27)</f>
        <v>4.27</v>
      </c>
      <c r="H5743" s="17"/>
      <c r="K5743" s="17"/>
      <c r="N5743" s="17"/>
    </row>
    <row r="5744">
      <c r="B5744" s="11">
        <f>IFERROR(__xludf.DUMMYFUNCTION("""COMPUTED_VALUE"""),37985.0)</f>
        <v>37985</v>
      </c>
      <c r="C5744" s="9">
        <f>IFERROR(__xludf.DUMMYFUNCTION("""COMPUTED_VALUE"""),4.29)</f>
        <v>4.29</v>
      </c>
      <c r="H5744" s="17"/>
      <c r="K5744" s="17"/>
      <c r="N5744" s="17"/>
    </row>
    <row r="5745">
      <c r="B5745" s="11">
        <f>IFERROR(__xludf.DUMMYFUNCTION("""COMPUTED_VALUE"""),37984.0)</f>
        <v>37984</v>
      </c>
      <c r="C5745" s="9">
        <f>IFERROR(__xludf.DUMMYFUNCTION("""COMPUTED_VALUE"""),4.24)</f>
        <v>4.24</v>
      </c>
      <c r="H5745" s="17"/>
      <c r="K5745" s="17"/>
      <c r="N5745" s="17"/>
    </row>
    <row r="5746">
      <c r="B5746" s="11">
        <f>IFERROR(__xludf.DUMMYFUNCTION("""COMPUTED_VALUE"""),37981.0)</f>
        <v>37981</v>
      </c>
      <c r="C5746" s="9">
        <f>IFERROR(__xludf.DUMMYFUNCTION("""COMPUTED_VALUE"""),4.17)</f>
        <v>4.17</v>
      </c>
      <c r="H5746" s="17"/>
      <c r="K5746" s="17"/>
      <c r="N5746" s="17"/>
    </row>
    <row r="5747">
      <c r="B5747" s="11">
        <f>IFERROR(__xludf.DUMMYFUNCTION("""COMPUTED_VALUE"""),37980.0)</f>
        <v>37980</v>
      </c>
      <c r="C5747" s="9"/>
      <c r="H5747" s="17"/>
      <c r="K5747" s="17"/>
      <c r="N5747" s="17"/>
    </row>
    <row r="5748">
      <c r="B5748" s="11">
        <f>IFERROR(__xludf.DUMMYFUNCTION("""COMPUTED_VALUE"""),37979.0)</f>
        <v>37979</v>
      </c>
      <c r="C5748" s="9">
        <f>IFERROR(__xludf.DUMMYFUNCTION("""COMPUTED_VALUE"""),4.2)</f>
        <v>4.2</v>
      </c>
      <c r="H5748" s="17"/>
      <c r="K5748" s="17"/>
      <c r="N5748" s="17"/>
    </row>
    <row r="5749">
      <c r="B5749" s="11">
        <f>IFERROR(__xludf.DUMMYFUNCTION("""COMPUTED_VALUE"""),37978.0)</f>
        <v>37978</v>
      </c>
      <c r="C5749" s="9">
        <f>IFERROR(__xludf.DUMMYFUNCTION("""COMPUTED_VALUE"""),4.28)</f>
        <v>4.28</v>
      </c>
      <c r="H5749" s="17"/>
      <c r="K5749" s="17"/>
      <c r="N5749" s="17"/>
    </row>
    <row r="5750">
      <c r="B5750" s="11">
        <f>IFERROR(__xludf.DUMMYFUNCTION("""COMPUTED_VALUE"""),37977.0)</f>
        <v>37977</v>
      </c>
      <c r="C5750" s="9">
        <f>IFERROR(__xludf.DUMMYFUNCTION("""COMPUTED_VALUE"""),4.18)</f>
        <v>4.18</v>
      </c>
      <c r="H5750" s="17"/>
      <c r="K5750" s="17"/>
      <c r="N5750" s="17"/>
    </row>
    <row r="5751">
      <c r="B5751" s="11">
        <f>IFERROR(__xludf.DUMMYFUNCTION("""COMPUTED_VALUE"""),37974.0)</f>
        <v>37974</v>
      </c>
      <c r="C5751" s="9">
        <f>IFERROR(__xludf.DUMMYFUNCTION("""COMPUTED_VALUE"""),4.15)</f>
        <v>4.15</v>
      </c>
      <c r="H5751" s="17"/>
      <c r="K5751" s="17"/>
      <c r="N5751" s="17"/>
    </row>
    <row r="5752">
      <c r="B5752" s="11">
        <f>IFERROR(__xludf.DUMMYFUNCTION("""COMPUTED_VALUE"""),37973.0)</f>
        <v>37973</v>
      </c>
      <c r="C5752" s="9">
        <f>IFERROR(__xludf.DUMMYFUNCTION("""COMPUTED_VALUE"""),4.16)</f>
        <v>4.16</v>
      </c>
      <c r="H5752" s="17"/>
      <c r="K5752" s="17"/>
      <c r="N5752" s="17"/>
    </row>
    <row r="5753">
      <c r="B5753" s="11">
        <f>IFERROR(__xludf.DUMMYFUNCTION("""COMPUTED_VALUE"""),37972.0)</f>
        <v>37972</v>
      </c>
      <c r="C5753" s="9">
        <f>IFERROR(__xludf.DUMMYFUNCTION("""COMPUTED_VALUE"""),4.19)</f>
        <v>4.19</v>
      </c>
      <c r="H5753" s="17"/>
      <c r="K5753" s="17"/>
      <c r="N5753" s="17"/>
    </row>
    <row r="5754">
      <c r="B5754" s="11">
        <f>IFERROR(__xludf.DUMMYFUNCTION("""COMPUTED_VALUE"""),37971.0)</f>
        <v>37971</v>
      </c>
      <c r="C5754" s="9">
        <f>IFERROR(__xludf.DUMMYFUNCTION("""COMPUTED_VALUE"""),4.24)</f>
        <v>4.24</v>
      </c>
      <c r="H5754" s="17"/>
      <c r="K5754" s="17"/>
      <c r="N5754" s="17"/>
    </row>
    <row r="5755">
      <c r="B5755" s="11">
        <f>IFERROR(__xludf.DUMMYFUNCTION("""COMPUTED_VALUE"""),37970.0)</f>
        <v>37970</v>
      </c>
      <c r="C5755" s="9">
        <f>IFERROR(__xludf.DUMMYFUNCTION("""COMPUTED_VALUE"""),4.28)</f>
        <v>4.28</v>
      </c>
      <c r="H5755" s="17"/>
      <c r="K5755" s="17"/>
      <c r="N5755" s="17"/>
    </row>
    <row r="5756">
      <c r="B5756" s="11">
        <f>IFERROR(__xludf.DUMMYFUNCTION("""COMPUTED_VALUE"""),37967.0)</f>
        <v>37967</v>
      </c>
      <c r="C5756" s="9">
        <f>IFERROR(__xludf.DUMMYFUNCTION("""COMPUTED_VALUE"""),4.26)</f>
        <v>4.26</v>
      </c>
      <c r="H5756" s="17"/>
      <c r="K5756" s="17"/>
      <c r="N5756" s="17"/>
    </row>
    <row r="5757">
      <c r="B5757" s="11">
        <f>IFERROR(__xludf.DUMMYFUNCTION("""COMPUTED_VALUE"""),37966.0)</f>
        <v>37966</v>
      </c>
      <c r="C5757" s="9">
        <f>IFERROR(__xludf.DUMMYFUNCTION("""COMPUTED_VALUE"""),4.27)</f>
        <v>4.27</v>
      </c>
      <c r="H5757" s="17"/>
      <c r="K5757" s="17"/>
      <c r="N5757" s="17"/>
    </row>
    <row r="5758">
      <c r="B5758" s="11">
        <f>IFERROR(__xludf.DUMMYFUNCTION("""COMPUTED_VALUE"""),37965.0)</f>
        <v>37965</v>
      </c>
      <c r="C5758" s="9">
        <f>IFERROR(__xludf.DUMMYFUNCTION("""COMPUTED_VALUE"""),4.3)</f>
        <v>4.3</v>
      </c>
      <c r="H5758" s="17"/>
      <c r="K5758" s="17"/>
      <c r="N5758" s="17"/>
    </row>
    <row r="5759">
      <c r="B5759" s="11">
        <f>IFERROR(__xludf.DUMMYFUNCTION("""COMPUTED_VALUE"""),37964.0)</f>
        <v>37964</v>
      </c>
      <c r="C5759" s="9">
        <f>IFERROR(__xludf.DUMMYFUNCTION("""COMPUTED_VALUE"""),4.32)</f>
        <v>4.32</v>
      </c>
      <c r="H5759" s="17"/>
      <c r="K5759" s="17"/>
      <c r="N5759" s="17"/>
    </row>
    <row r="5760">
      <c r="B5760" s="11">
        <f>IFERROR(__xludf.DUMMYFUNCTION("""COMPUTED_VALUE"""),37963.0)</f>
        <v>37963</v>
      </c>
      <c r="C5760" s="9">
        <f>IFERROR(__xludf.DUMMYFUNCTION("""COMPUTED_VALUE"""),4.29)</f>
        <v>4.29</v>
      </c>
      <c r="H5760" s="17"/>
      <c r="K5760" s="17"/>
      <c r="N5760" s="17"/>
    </row>
    <row r="5761">
      <c r="B5761" s="11">
        <f>IFERROR(__xludf.DUMMYFUNCTION("""COMPUTED_VALUE"""),37960.0)</f>
        <v>37960</v>
      </c>
      <c r="C5761" s="9">
        <f>IFERROR(__xludf.DUMMYFUNCTION("""COMPUTED_VALUE"""),4.23)</f>
        <v>4.23</v>
      </c>
      <c r="H5761" s="17"/>
      <c r="K5761" s="17"/>
      <c r="N5761" s="17"/>
    </row>
    <row r="5762">
      <c r="B5762" s="11">
        <f>IFERROR(__xludf.DUMMYFUNCTION("""COMPUTED_VALUE"""),37959.0)</f>
        <v>37959</v>
      </c>
      <c r="C5762" s="9">
        <f>IFERROR(__xludf.DUMMYFUNCTION("""COMPUTED_VALUE"""),4.38)</f>
        <v>4.38</v>
      </c>
      <c r="H5762" s="17"/>
      <c r="K5762" s="17"/>
      <c r="N5762" s="17"/>
    </row>
    <row r="5763">
      <c r="B5763" s="11">
        <f>IFERROR(__xludf.DUMMYFUNCTION("""COMPUTED_VALUE"""),37958.0)</f>
        <v>37958</v>
      </c>
      <c r="C5763" s="9">
        <f>IFERROR(__xludf.DUMMYFUNCTION("""COMPUTED_VALUE"""),4.41)</f>
        <v>4.41</v>
      </c>
      <c r="H5763" s="17"/>
      <c r="K5763" s="17"/>
      <c r="N5763" s="17"/>
    </row>
    <row r="5764">
      <c r="B5764" s="11">
        <f>IFERROR(__xludf.DUMMYFUNCTION("""COMPUTED_VALUE"""),37957.0)</f>
        <v>37957</v>
      </c>
      <c r="C5764" s="9">
        <f>IFERROR(__xludf.DUMMYFUNCTION("""COMPUTED_VALUE"""),4.38)</f>
        <v>4.38</v>
      </c>
      <c r="H5764" s="17"/>
      <c r="K5764" s="17"/>
      <c r="N5764" s="17"/>
    </row>
    <row r="5765">
      <c r="B5765" s="11">
        <f>IFERROR(__xludf.DUMMYFUNCTION("""COMPUTED_VALUE"""),37956.0)</f>
        <v>37956</v>
      </c>
      <c r="C5765" s="9">
        <f>IFERROR(__xludf.DUMMYFUNCTION("""COMPUTED_VALUE"""),4.4)</f>
        <v>4.4</v>
      </c>
      <c r="H5765" s="17"/>
      <c r="K5765" s="17"/>
      <c r="N5765" s="17"/>
    </row>
    <row r="5766">
      <c r="B5766" s="11">
        <f>IFERROR(__xludf.DUMMYFUNCTION("""COMPUTED_VALUE"""),37953.0)</f>
        <v>37953</v>
      </c>
      <c r="C5766" s="9">
        <f>IFERROR(__xludf.DUMMYFUNCTION("""COMPUTED_VALUE"""),4.34)</f>
        <v>4.34</v>
      </c>
      <c r="H5766" s="17"/>
      <c r="K5766" s="17"/>
      <c r="N5766" s="17"/>
    </row>
    <row r="5767">
      <c r="B5767" s="11">
        <f>IFERROR(__xludf.DUMMYFUNCTION("""COMPUTED_VALUE"""),37952.0)</f>
        <v>37952</v>
      </c>
      <c r="C5767" s="9"/>
      <c r="H5767" s="17"/>
      <c r="K5767" s="17"/>
      <c r="N5767" s="17"/>
    </row>
    <row r="5768">
      <c r="B5768" s="11">
        <f>IFERROR(__xludf.DUMMYFUNCTION("""COMPUTED_VALUE"""),37951.0)</f>
        <v>37951</v>
      </c>
      <c r="C5768" s="9">
        <f>IFERROR(__xludf.DUMMYFUNCTION("""COMPUTED_VALUE"""),4.25)</f>
        <v>4.25</v>
      </c>
      <c r="H5768" s="17"/>
      <c r="K5768" s="17"/>
      <c r="N5768" s="17"/>
    </row>
    <row r="5769">
      <c r="B5769" s="11">
        <f>IFERROR(__xludf.DUMMYFUNCTION("""COMPUTED_VALUE"""),37950.0)</f>
        <v>37950</v>
      </c>
      <c r="C5769" s="9">
        <f>IFERROR(__xludf.DUMMYFUNCTION("""COMPUTED_VALUE"""),4.19)</f>
        <v>4.19</v>
      </c>
      <c r="H5769" s="17"/>
      <c r="K5769" s="17"/>
      <c r="N5769" s="17"/>
    </row>
    <row r="5770">
      <c r="B5770" s="11">
        <f>IFERROR(__xludf.DUMMYFUNCTION("""COMPUTED_VALUE"""),37949.0)</f>
        <v>37949</v>
      </c>
      <c r="C5770" s="9">
        <f>IFERROR(__xludf.DUMMYFUNCTION("""COMPUTED_VALUE"""),4.23)</f>
        <v>4.23</v>
      </c>
      <c r="H5770" s="17"/>
      <c r="K5770" s="17"/>
      <c r="N5770" s="17"/>
    </row>
    <row r="5771">
      <c r="B5771" s="11">
        <f>IFERROR(__xludf.DUMMYFUNCTION("""COMPUTED_VALUE"""),37946.0)</f>
        <v>37946</v>
      </c>
      <c r="C5771" s="9">
        <f>IFERROR(__xludf.DUMMYFUNCTION("""COMPUTED_VALUE"""),4.15)</f>
        <v>4.15</v>
      </c>
      <c r="H5771" s="17"/>
      <c r="K5771" s="17"/>
      <c r="N5771" s="17"/>
    </row>
    <row r="5772">
      <c r="B5772" s="11">
        <f>IFERROR(__xludf.DUMMYFUNCTION("""COMPUTED_VALUE"""),37945.0)</f>
        <v>37945</v>
      </c>
      <c r="C5772" s="9">
        <f>IFERROR(__xludf.DUMMYFUNCTION("""COMPUTED_VALUE"""),4.16)</f>
        <v>4.16</v>
      </c>
      <c r="H5772" s="17"/>
      <c r="K5772" s="17"/>
      <c r="N5772" s="17"/>
    </row>
    <row r="5773">
      <c r="B5773" s="11">
        <f>IFERROR(__xludf.DUMMYFUNCTION("""COMPUTED_VALUE"""),37944.0)</f>
        <v>37944</v>
      </c>
      <c r="C5773" s="9">
        <f>IFERROR(__xludf.DUMMYFUNCTION("""COMPUTED_VALUE"""),4.24)</f>
        <v>4.24</v>
      </c>
      <c r="H5773" s="17"/>
      <c r="K5773" s="17"/>
      <c r="N5773" s="17"/>
    </row>
    <row r="5774">
      <c r="B5774" s="11">
        <f>IFERROR(__xludf.DUMMYFUNCTION("""COMPUTED_VALUE"""),37943.0)</f>
        <v>37943</v>
      </c>
      <c r="C5774" s="9">
        <f>IFERROR(__xludf.DUMMYFUNCTION("""COMPUTED_VALUE"""),4.17)</f>
        <v>4.17</v>
      </c>
      <c r="H5774" s="17"/>
      <c r="K5774" s="17"/>
      <c r="N5774" s="17"/>
    </row>
    <row r="5775">
      <c r="B5775" s="11">
        <f>IFERROR(__xludf.DUMMYFUNCTION("""COMPUTED_VALUE"""),37942.0)</f>
        <v>37942</v>
      </c>
      <c r="C5775" s="9">
        <f>IFERROR(__xludf.DUMMYFUNCTION("""COMPUTED_VALUE"""),4.18)</f>
        <v>4.18</v>
      </c>
      <c r="H5775" s="17"/>
      <c r="K5775" s="17"/>
      <c r="N5775" s="17"/>
    </row>
    <row r="5776">
      <c r="B5776" s="11">
        <f>IFERROR(__xludf.DUMMYFUNCTION("""COMPUTED_VALUE"""),37939.0)</f>
        <v>37939</v>
      </c>
      <c r="C5776" s="9">
        <f>IFERROR(__xludf.DUMMYFUNCTION("""COMPUTED_VALUE"""),4.22)</f>
        <v>4.22</v>
      </c>
      <c r="H5776" s="17"/>
      <c r="K5776" s="17"/>
      <c r="N5776" s="17"/>
    </row>
    <row r="5777">
      <c r="B5777" s="11">
        <f>IFERROR(__xludf.DUMMYFUNCTION("""COMPUTED_VALUE"""),37938.0)</f>
        <v>37938</v>
      </c>
      <c r="C5777" s="9">
        <f>IFERROR(__xludf.DUMMYFUNCTION("""COMPUTED_VALUE"""),4.3)</f>
        <v>4.3</v>
      </c>
      <c r="H5777" s="17"/>
      <c r="K5777" s="17"/>
      <c r="N5777" s="17"/>
    </row>
    <row r="5778">
      <c r="B5778" s="11">
        <f>IFERROR(__xludf.DUMMYFUNCTION("""COMPUTED_VALUE"""),37937.0)</f>
        <v>37937</v>
      </c>
      <c r="C5778" s="9">
        <f>IFERROR(__xludf.DUMMYFUNCTION("""COMPUTED_VALUE"""),4.44)</f>
        <v>4.44</v>
      </c>
      <c r="H5778" s="17"/>
      <c r="K5778" s="17"/>
      <c r="N5778" s="17"/>
    </row>
    <row r="5779">
      <c r="B5779" s="11">
        <f>IFERROR(__xludf.DUMMYFUNCTION("""COMPUTED_VALUE"""),37936.0)</f>
        <v>37936</v>
      </c>
      <c r="C5779" s="9"/>
      <c r="H5779" s="17"/>
      <c r="K5779" s="17"/>
      <c r="N5779" s="17"/>
    </row>
    <row r="5780">
      <c r="B5780" s="11">
        <f>IFERROR(__xludf.DUMMYFUNCTION("""COMPUTED_VALUE"""),37935.0)</f>
        <v>37935</v>
      </c>
      <c r="C5780" s="9">
        <f>IFERROR(__xludf.DUMMYFUNCTION("""COMPUTED_VALUE"""),4.49)</f>
        <v>4.49</v>
      </c>
      <c r="H5780" s="17"/>
      <c r="K5780" s="17"/>
      <c r="N5780" s="17"/>
    </row>
    <row r="5781">
      <c r="B5781" s="11">
        <f>IFERROR(__xludf.DUMMYFUNCTION("""COMPUTED_VALUE"""),37932.0)</f>
        <v>37932</v>
      </c>
      <c r="C5781" s="9">
        <f>IFERROR(__xludf.DUMMYFUNCTION("""COMPUTED_VALUE"""),4.48)</f>
        <v>4.48</v>
      </c>
      <c r="H5781" s="17"/>
      <c r="K5781" s="17"/>
      <c r="N5781" s="17"/>
    </row>
    <row r="5782">
      <c r="B5782" s="11">
        <f>IFERROR(__xludf.DUMMYFUNCTION("""COMPUTED_VALUE"""),37931.0)</f>
        <v>37931</v>
      </c>
      <c r="C5782" s="9">
        <f>IFERROR(__xludf.DUMMYFUNCTION("""COMPUTED_VALUE"""),4.45)</f>
        <v>4.45</v>
      </c>
      <c r="H5782" s="17"/>
      <c r="K5782" s="17"/>
      <c r="N5782" s="17"/>
    </row>
    <row r="5783">
      <c r="B5783" s="11">
        <f>IFERROR(__xludf.DUMMYFUNCTION("""COMPUTED_VALUE"""),37930.0)</f>
        <v>37930</v>
      </c>
      <c r="C5783" s="9">
        <f>IFERROR(__xludf.DUMMYFUNCTION("""COMPUTED_VALUE"""),4.38)</f>
        <v>4.38</v>
      </c>
      <c r="H5783" s="17"/>
      <c r="K5783" s="17"/>
      <c r="N5783" s="17"/>
    </row>
    <row r="5784">
      <c r="B5784" s="11">
        <f>IFERROR(__xludf.DUMMYFUNCTION("""COMPUTED_VALUE"""),37929.0)</f>
        <v>37929</v>
      </c>
      <c r="C5784" s="9">
        <f>IFERROR(__xludf.DUMMYFUNCTION("""COMPUTED_VALUE"""),4.33)</f>
        <v>4.33</v>
      </c>
      <c r="H5784" s="17"/>
      <c r="K5784" s="17"/>
      <c r="N5784" s="17"/>
    </row>
    <row r="5785">
      <c r="B5785" s="11">
        <f>IFERROR(__xludf.DUMMYFUNCTION("""COMPUTED_VALUE"""),37928.0)</f>
        <v>37928</v>
      </c>
      <c r="C5785" s="9">
        <f>IFERROR(__xludf.DUMMYFUNCTION("""COMPUTED_VALUE"""),4.4)</f>
        <v>4.4</v>
      </c>
      <c r="H5785" s="17"/>
      <c r="K5785" s="17"/>
      <c r="N5785" s="17"/>
    </row>
    <row r="5786">
      <c r="B5786" s="11">
        <f>IFERROR(__xludf.DUMMYFUNCTION("""COMPUTED_VALUE"""),37925.0)</f>
        <v>37925</v>
      </c>
      <c r="C5786" s="9">
        <f>IFERROR(__xludf.DUMMYFUNCTION("""COMPUTED_VALUE"""),4.33)</f>
        <v>4.33</v>
      </c>
      <c r="H5786" s="17"/>
      <c r="K5786" s="17"/>
      <c r="N5786" s="17"/>
    </row>
    <row r="5787">
      <c r="B5787" s="11">
        <f>IFERROR(__xludf.DUMMYFUNCTION("""COMPUTED_VALUE"""),37924.0)</f>
        <v>37924</v>
      </c>
      <c r="C5787" s="9">
        <f>IFERROR(__xludf.DUMMYFUNCTION("""COMPUTED_VALUE"""),4.36)</f>
        <v>4.36</v>
      </c>
      <c r="H5787" s="17"/>
      <c r="K5787" s="17"/>
      <c r="N5787" s="17"/>
    </row>
    <row r="5788">
      <c r="B5788" s="11">
        <f>IFERROR(__xludf.DUMMYFUNCTION("""COMPUTED_VALUE"""),37923.0)</f>
        <v>37923</v>
      </c>
      <c r="C5788" s="9">
        <f>IFERROR(__xludf.DUMMYFUNCTION("""COMPUTED_VALUE"""),4.31)</f>
        <v>4.31</v>
      </c>
      <c r="H5788" s="17"/>
      <c r="K5788" s="17"/>
      <c r="N5788" s="17"/>
    </row>
    <row r="5789">
      <c r="B5789" s="11">
        <f>IFERROR(__xludf.DUMMYFUNCTION("""COMPUTED_VALUE"""),37922.0)</f>
        <v>37922</v>
      </c>
      <c r="C5789" s="9">
        <f>IFERROR(__xludf.DUMMYFUNCTION("""COMPUTED_VALUE"""),4.23)</f>
        <v>4.23</v>
      </c>
      <c r="H5789" s="17"/>
      <c r="K5789" s="17"/>
      <c r="N5789" s="17"/>
    </row>
    <row r="5790">
      <c r="B5790" s="11">
        <f>IFERROR(__xludf.DUMMYFUNCTION("""COMPUTED_VALUE"""),37921.0)</f>
        <v>37921</v>
      </c>
      <c r="C5790" s="9">
        <f>IFERROR(__xludf.DUMMYFUNCTION("""COMPUTED_VALUE"""),4.3)</f>
        <v>4.3</v>
      </c>
      <c r="H5790" s="17"/>
      <c r="K5790" s="17"/>
      <c r="N5790" s="17"/>
    </row>
    <row r="5791">
      <c r="B5791" s="11">
        <f>IFERROR(__xludf.DUMMYFUNCTION("""COMPUTED_VALUE"""),37918.0)</f>
        <v>37918</v>
      </c>
      <c r="C5791" s="9">
        <f>IFERROR(__xludf.DUMMYFUNCTION("""COMPUTED_VALUE"""),4.24)</f>
        <v>4.24</v>
      </c>
      <c r="H5791" s="17"/>
      <c r="K5791" s="17"/>
      <c r="N5791" s="17"/>
    </row>
    <row r="5792">
      <c r="B5792" s="11">
        <f>IFERROR(__xludf.DUMMYFUNCTION("""COMPUTED_VALUE"""),37917.0)</f>
        <v>37917</v>
      </c>
      <c r="C5792" s="9">
        <f>IFERROR(__xludf.DUMMYFUNCTION("""COMPUTED_VALUE"""),4.34)</f>
        <v>4.34</v>
      </c>
      <c r="H5792" s="17"/>
      <c r="K5792" s="17"/>
      <c r="N5792" s="17"/>
    </row>
    <row r="5793">
      <c r="B5793" s="11">
        <f>IFERROR(__xludf.DUMMYFUNCTION("""COMPUTED_VALUE"""),37916.0)</f>
        <v>37916</v>
      </c>
      <c r="C5793" s="9">
        <f>IFERROR(__xludf.DUMMYFUNCTION("""COMPUTED_VALUE"""),4.29)</f>
        <v>4.29</v>
      </c>
      <c r="H5793" s="17"/>
      <c r="K5793" s="17"/>
      <c r="N5793" s="17"/>
    </row>
    <row r="5794">
      <c r="B5794" s="11">
        <f>IFERROR(__xludf.DUMMYFUNCTION("""COMPUTED_VALUE"""),37915.0)</f>
        <v>37915</v>
      </c>
      <c r="C5794" s="9">
        <f>IFERROR(__xludf.DUMMYFUNCTION("""COMPUTED_VALUE"""),4.38)</f>
        <v>4.38</v>
      </c>
      <c r="H5794" s="17"/>
      <c r="K5794" s="17"/>
      <c r="N5794" s="17"/>
    </row>
    <row r="5795">
      <c r="B5795" s="11">
        <f>IFERROR(__xludf.DUMMYFUNCTION("""COMPUTED_VALUE"""),37914.0)</f>
        <v>37914</v>
      </c>
      <c r="C5795" s="9">
        <f>IFERROR(__xludf.DUMMYFUNCTION("""COMPUTED_VALUE"""),4.41)</f>
        <v>4.41</v>
      </c>
      <c r="H5795" s="17"/>
      <c r="K5795" s="17"/>
      <c r="N5795" s="17"/>
    </row>
    <row r="5796">
      <c r="B5796" s="11">
        <f>IFERROR(__xludf.DUMMYFUNCTION("""COMPUTED_VALUE"""),37911.0)</f>
        <v>37911</v>
      </c>
      <c r="C5796" s="9">
        <f>IFERROR(__xludf.DUMMYFUNCTION("""COMPUTED_VALUE"""),4.41)</f>
        <v>4.41</v>
      </c>
      <c r="H5796" s="17"/>
      <c r="K5796" s="17"/>
      <c r="N5796" s="17"/>
    </row>
    <row r="5797">
      <c r="B5797" s="11">
        <f>IFERROR(__xludf.DUMMYFUNCTION("""COMPUTED_VALUE"""),37910.0)</f>
        <v>37910</v>
      </c>
      <c r="C5797" s="9">
        <f>IFERROR(__xludf.DUMMYFUNCTION("""COMPUTED_VALUE"""),4.47)</f>
        <v>4.47</v>
      </c>
      <c r="H5797" s="17"/>
      <c r="K5797" s="17"/>
      <c r="N5797" s="17"/>
    </row>
    <row r="5798">
      <c r="B5798" s="11">
        <f>IFERROR(__xludf.DUMMYFUNCTION("""COMPUTED_VALUE"""),37909.0)</f>
        <v>37909</v>
      </c>
      <c r="C5798" s="9">
        <f>IFERROR(__xludf.DUMMYFUNCTION("""COMPUTED_VALUE"""),4.43)</f>
        <v>4.43</v>
      </c>
      <c r="H5798" s="17"/>
      <c r="K5798" s="17"/>
      <c r="N5798" s="17"/>
    </row>
    <row r="5799">
      <c r="B5799" s="11">
        <f>IFERROR(__xludf.DUMMYFUNCTION("""COMPUTED_VALUE"""),37908.0)</f>
        <v>37908</v>
      </c>
      <c r="C5799" s="9">
        <f>IFERROR(__xludf.DUMMYFUNCTION("""COMPUTED_VALUE"""),4.37)</f>
        <v>4.37</v>
      </c>
      <c r="H5799" s="17"/>
      <c r="K5799" s="17"/>
      <c r="N5799" s="17"/>
    </row>
    <row r="5800">
      <c r="B5800" s="11">
        <f>IFERROR(__xludf.DUMMYFUNCTION("""COMPUTED_VALUE"""),37907.0)</f>
        <v>37907</v>
      </c>
      <c r="C5800" s="9"/>
      <c r="H5800" s="17"/>
      <c r="K5800" s="17"/>
      <c r="N5800" s="17"/>
    </row>
    <row r="5801">
      <c r="B5801" s="11">
        <f>IFERROR(__xludf.DUMMYFUNCTION("""COMPUTED_VALUE"""),37904.0)</f>
        <v>37904</v>
      </c>
      <c r="C5801" s="9">
        <f>IFERROR(__xludf.DUMMYFUNCTION("""COMPUTED_VALUE"""),4.29)</f>
        <v>4.29</v>
      </c>
      <c r="H5801" s="17"/>
      <c r="K5801" s="17"/>
      <c r="N5801" s="17"/>
    </row>
    <row r="5802">
      <c r="B5802" s="11">
        <f>IFERROR(__xludf.DUMMYFUNCTION("""COMPUTED_VALUE"""),37903.0)</f>
        <v>37903</v>
      </c>
      <c r="C5802" s="9">
        <f>IFERROR(__xludf.DUMMYFUNCTION("""COMPUTED_VALUE"""),4.32)</f>
        <v>4.32</v>
      </c>
      <c r="H5802" s="17"/>
      <c r="K5802" s="17"/>
      <c r="N5802" s="17"/>
    </row>
    <row r="5803">
      <c r="B5803" s="11">
        <f>IFERROR(__xludf.DUMMYFUNCTION("""COMPUTED_VALUE"""),37902.0)</f>
        <v>37902</v>
      </c>
      <c r="C5803" s="9">
        <f>IFERROR(__xludf.DUMMYFUNCTION("""COMPUTED_VALUE"""),4.27)</f>
        <v>4.27</v>
      </c>
      <c r="H5803" s="17"/>
      <c r="K5803" s="17"/>
      <c r="N5803" s="17"/>
    </row>
    <row r="5804">
      <c r="B5804" s="11">
        <f>IFERROR(__xludf.DUMMYFUNCTION("""COMPUTED_VALUE"""),37901.0)</f>
        <v>37901</v>
      </c>
      <c r="C5804" s="9">
        <f>IFERROR(__xludf.DUMMYFUNCTION("""COMPUTED_VALUE"""),4.27)</f>
        <v>4.27</v>
      </c>
      <c r="H5804" s="17"/>
      <c r="K5804" s="17"/>
      <c r="N5804" s="17"/>
    </row>
    <row r="5805">
      <c r="B5805" s="11">
        <f>IFERROR(__xludf.DUMMYFUNCTION("""COMPUTED_VALUE"""),37900.0)</f>
        <v>37900</v>
      </c>
      <c r="C5805" s="9">
        <f>IFERROR(__xludf.DUMMYFUNCTION("""COMPUTED_VALUE"""),4.17)</f>
        <v>4.17</v>
      </c>
      <c r="H5805" s="17"/>
      <c r="K5805" s="17"/>
      <c r="N5805" s="17"/>
    </row>
    <row r="5806">
      <c r="B5806" s="11">
        <f>IFERROR(__xludf.DUMMYFUNCTION("""COMPUTED_VALUE"""),37897.0)</f>
        <v>37897</v>
      </c>
      <c r="C5806" s="9">
        <f>IFERROR(__xludf.DUMMYFUNCTION("""COMPUTED_VALUE"""),4.21)</f>
        <v>4.21</v>
      </c>
      <c r="H5806" s="17"/>
      <c r="K5806" s="17"/>
      <c r="N5806" s="17"/>
    </row>
    <row r="5807">
      <c r="B5807" s="11">
        <f>IFERROR(__xludf.DUMMYFUNCTION("""COMPUTED_VALUE"""),37896.0)</f>
        <v>37896</v>
      </c>
      <c r="C5807" s="9">
        <f>IFERROR(__xludf.DUMMYFUNCTION("""COMPUTED_VALUE"""),4.03)</f>
        <v>4.03</v>
      </c>
      <c r="H5807" s="17"/>
      <c r="K5807" s="17"/>
      <c r="N5807" s="17"/>
    </row>
    <row r="5808">
      <c r="B5808" s="11">
        <f>IFERROR(__xludf.DUMMYFUNCTION("""COMPUTED_VALUE"""),37895.0)</f>
        <v>37895</v>
      </c>
      <c r="C5808" s="9">
        <f>IFERROR(__xludf.DUMMYFUNCTION("""COMPUTED_VALUE"""),3.96)</f>
        <v>3.96</v>
      </c>
      <c r="H5808" s="17"/>
      <c r="K5808" s="17"/>
      <c r="N5808" s="17"/>
    </row>
    <row r="5809">
      <c r="B5809" s="11">
        <f>IFERROR(__xludf.DUMMYFUNCTION("""COMPUTED_VALUE"""),37894.0)</f>
        <v>37894</v>
      </c>
      <c r="C5809" s="9">
        <f>IFERROR(__xludf.DUMMYFUNCTION("""COMPUTED_VALUE"""),3.96)</f>
        <v>3.96</v>
      </c>
      <c r="H5809" s="17"/>
      <c r="K5809" s="17"/>
      <c r="N5809" s="17"/>
    </row>
    <row r="5810">
      <c r="B5810" s="11">
        <f>IFERROR(__xludf.DUMMYFUNCTION("""COMPUTED_VALUE"""),37893.0)</f>
        <v>37893</v>
      </c>
      <c r="C5810" s="9">
        <f>IFERROR(__xludf.DUMMYFUNCTION("""COMPUTED_VALUE"""),4.09)</f>
        <v>4.09</v>
      </c>
      <c r="H5810" s="17"/>
      <c r="K5810" s="17"/>
      <c r="N5810" s="17"/>
    </row>
    <row r="5811">
      <c r="B5811" s="11">
        <f>IFERROR(__xludf.DUMMYFUNCTION("""COMPUTED_VALUE"""),37890.0)</f>
        <v>37890</v>
      </c>
      <c r="C5811" s="9">
        <f>IFERROR(__xludf.DUMMYFUNCTION("""COMPUTED_VALUE"""),4.04)</f>
        <v>4.04</v>
      </c>
      <c r="H5811" s="17"/>
      <c r="K5811" s="17"/>
      <c r="N5811" s="17"/>
    </row>
    <row r="5812">
      <c r="B5812" s="11">
        <f>IFERROR(__xludf.DUMMYFUNCTION("""COMPUTED_VALUE"""),37889.0)</f>
        <v>37889</v>
      </c>
      <c r="C5812" s="9">
        <f>IFERROR(__xludf.DUMMYFUNCTION("""COMPUTED_VALUE"""),4.12)</f>
        <v>4.12</v>
      </c>
      <c r="H5812" s="17"/>
      <c r="K5812" s="17"/>
      <c r="N5812" s="17"/>
    </row>
    <row r="5813">
      <c r="B5813" s="11">
        <f>IFERROR(__xludf.DUMMYFUNCTION("""COMPUTED_VALUE"""),37888.0)</f>
        <v>37888</v>
      </c>
      <c r="C5813" s="9">
        <f>IFERROR(__xludf.DUMMYFUNCTION("""COMPUTED_VALUE"""),4.16)</f>
        <v>4.16</v>
      </c>
      <c r="H5813" s="17"/>
      <c r="K5813" s="17"/>
      <c r="N5813" s="17"/>
    </row>
    <row r="5814">
      <c r="B5814" s="11">
        <f>IFERROR(__xludf.DUMMYFUNCTION("""COMPUTED_VALUE"""),37887.0)</f>
        <v>37887</v>
      </c>
      <c r="C5814" s="9">
        <f>IFERROR(__xludf.DUMMYFUNCTION("""COMPUTED_VALUE"""),4.24)</f>
        <v>4.24</v>
      </c>
      <c r="H5814" s="17"/>
      <c r="K5814" s="17"/>
      <c r="N5814" s="17"/>
    </row>
    <row r="5815">
      <c r="B5815" s="11">
        <f>IFERROR(__xludf.DUMMYFUNCTION("""COMPUTED_VALUE"""),37886.0)</f>
        <v>37886</v>
      </c>
      <c r="C5815" s="9">
        <f>IFERROR(__xludf.DUMMYFUNCTION("""COMPUTED_VALUE"""),4.26)</f>
        <v>4.26</v>
      </c>
      <c r="H5815" s="17"/>
      <c r="K5815" s="17"/>
      <c r="N5815" s="17"/>
    </row>
    <row r="5816">
      <c r="B5816" s="11">
        <f>IFERROR(__xludf.DUMMYFUNCTION("""COMPUTED_VALUE"""),37883.0)</f>
        <v>37883</v>
      </c>
      <c r="C5816" s="9">
        <f>IFERROR(__xludf.DUMMYFUNCTION("""COMPUTED_VALUE"""),4.17)</f>
        <v>4.17</v>
      </c>
      <c r="H5816" s="17"/>
      <c r="K5816" s="17"/>
      <c r="N5816" s="17"/>
    </row>
    <row r="5817">
      <c r="B5817" s="11">
        <f>IFERROR(__xludf.DUMMYFUNCTION("""COMPUTED_VALUE"""),37882.0)</f>
        <v>37882</v>
      </c>
      <c r="C5817" s="9">
        <f>IFERROR(__xludf.DUMMYFUNCTION("""COMPUTED_VALUE"""),4.19)</f>
        <v>4.19</v>
      </c>
      <c r="H5817" s="17"/>
      <c r="K5817" s="17"/>
      <c r="N5817" s="17"/>
    </row>
    <row r="5818">
      <c r="B5818" s="11">
        <f>IFERROR(__xludf.DUMMYFUNCTION("""COMPUTED_VALUE"""),37881.0)</f>
        <v>37881</v>
      </c>
      <c r="C5818" s="9">
        <f>IFERROR(__xludf.DUMMYFUNCTION("""COMPUTED_VALUE"""),4.2)</f>
        <v>4.2</v>
      </c>
      <c r="H5818" s="17"/>
      <c r="K5818" s="17"/>
      <c r="N5818" s="17"/>
    </row>
    <row r="5819">
      <c r="B5819" s="11">
        <f>IFERROR(__xludf.DUMMYFUNCTION("""COMPUTED_VALUE"""),37880.0)</f>
        <v>37880</v>
      </c>
      <c r="C5819" s="9">
        <f>IFERROR(__xludf.DUMMYFUNCTION("""COMPUTED_VALUE"""),4.29)</f>
        <v>4.29</v>
      </c>
      <c r="H5819" s="17"/>
      <c r="K5819" s="17"/>
      <c r="N5819" s="17"/>
    </row>
    <row r="5820">
      <c r="B5820" s="11">
        <f>IFERROR(__xludf.DUMMYFUNCTION("""COMPUTED_VALUE"""),37879.0)</f>
        <v>37879</v>
      </c>
      <c r="C5820" s="9">
        <f>IFERROR(__xludf.DUMMYFUNCTION("""COMPUTED_VALUE"""),4.28)</f>
        <v>4.28</v>
      </c>
      <c r="H5820" s="17"/>
      <c r="K5820" s="17"/>
      <c r="N5820" s="17"/>
    </row>
    <row r="5821">
      <c r="B5821" s="11">
        <f>IFERROR(__xludf.DUMMYFUNCTION("""COMPUTED_VALUE"""),37876.0)</f>
        <v>37876</v>
      </c>
      <c r="C5821" s="9">
        <f>IFERROR(__xludf.DUMMYFUNCTION("""COMPUTED_VALUE"""),4.27)</f>
        <v>4.27</v>
      </c>
      <c r="H5821" s="17"/>
      <c r="K5821" s="17"/>
      <c r="N5821" s="17"/>
    </row>
    <row r="5822">
      <c r="B5822" s="11">
        <f>IFERROR(__xludf.DUMMYFUNCTION("""COMPUTED_VALUE"""),37875.0)</f>
        <v>37875</v>
      </c>
      <c r="C5822" s="9">
        <f>IFERROR(__xludf.DUMMYFUNCTION("""COMPUTED_VALUE"""),4.35)</f>
        <v>4.35</v>
      </c>
      <c r="H5822" s="17"/>
      <c r="K5822" s="17"/>
      <c r="N5822" s="17"/>
    </row>
    <row r="5823">
      <c r="B5823" s="11">
        <f>IFERROR(__xludf.DUMMYFUNCTION("""COMPUTED_VALUE"""),37874.0)</f>
        <v>37874</v>
      </c>
      <c r="C5823" s="9">
        <f>IFERROR(__xludf.DUMMYFUNCTION("""COMPUTED_VALUE"""),4.28)</f>
        <v>4.28</v>
      </c>
      <c r="H5823" s="17"/>
      <c r="K5823" s="17"/>
      <c r="N5823" s="17"/>
    </row>
    <row r="5824">
      <c r="B5824" s="11">
        <f>IFERROR(__xludf.DUMMYFUNCTION("""COMPUTED_VALUE"""),37873.0)</f>
        <v>37873</v>
      </c>
      <c r="C5824" s="9">
        <f>IFERROR(__xludf.DUMMYFUNCTION("""COMPUTED_VALUE"""),4.37)</f>
        <v>4.37</v>
      </c>
      <c r="H5824" s="17"/>
      <c r="K5824" s="17"/>
      <c r="N5824" s="17"/>
    </row>
    <row r="5825">
      <c r="B5825" s="11">
        <f>IFERROR(__xludf.DUMMYFUNCTION("""COMPUTED_VALUE"""),37872.0)</f>
        <v>37872</v>
      </c>
      <c r="C5825" s="9">
        <f>IFERROR(__xludf.DUMMYFUNCTION("""COMPUTED_VALUE"""),4.41)</f>
        <v>4.41</v>
      </c>
      <c r="H5825" s="17"/>
      <c r="K5825" s="17"/>
      <c r="N5825" s="17"/>
    </row>
    <row r="5826">
      <c r="B5826" s="11">
        <f>IFERROR(__xludf.DUMMYFUNCTION("""COMPUTED_VALUE"""),37869.0)</f>
        <v>37869</v>
      </c>
      <c r="C5826" s="9">
        <f>IFERROR(__xludf.DUMMYFUNCTION("""COMPUTED_VALUE"""),4.35)</f>
        <v>4.35</v>
      </c>
      <c r="H5826" s="17"/>
      <c r="K5826" s="17"/>
      <c r="N5826" s="17"/>
    </row>
    <row r="5827">
      <c r="B5827" s="11">
        <f>IFERROR(__xludf.DUMMYFUNCTION("""COMPUTED_VALUE"""),37868.0)</f>
        <v>37868</v>
      </c>
      <c r="C5827" s="9">
        <f>IFERROR(__xludf.DUMMYFUNCTION("""COMPUTED_VALUE"""),4.52)</f>
        <v>4.52</v>
      </c>
      <c r="H5827" s="17"/>
      <c r="K5827" s="17"/>
      <c r="N5827" s="17"/>
    </row>
    <row r="5828">
      <c r="B5828" s="11">
        <f>IFERROR(__xludf.DUMMYFUNCTION("""COMPUTED_VALUE"""),37867.0)</f>
        <v>37867</v>
      </c>
      <c r="C5828" s="9">
        <f>IFERROR(__xludf.DUMMYFUNCTION("""COMPUTED_VALUE"""),4.6)</f>
        <v>4.6</v>
      </c>
      <c r="H5828" s="17"/>
      <c r="K5828" s="17"/>
      <c r="N5828" s="17"/>
    </row>
    <row r="5829">
      <c r="B5829" s="11">
        <f>IFERROR(__xludf.DUMMYFUNCTION("""COMPUTED_VALUE"""),37866.0)</f>
        <v>37866</v>
      </c>
      <c r="C5829" s="9">
        <f>IFERROR(__xludf.DUMMYFUNCTION("""COMPUTED_VALUE"""),4.61)</f>
        <v>4.61</v>
      </c>
      <c r="H5829" s="17"/>
      <c r="K5829" s="17"/>
      <c r="N5829" s="17"/>
    </row>
    <row r="5830">
      <c r="B5830" s="11">
        <f>IFERROR(__xludf.DUMMYFUNCTION("""COMPUTED_VALUE"""),37865.0)</f>
        <v>37865</v>
      </c>
      <c r="C5830" s="9"/>
      <c r="H5830" s="17"/>
      <c r="K5830" s="17"/>
      <c r="N5830" s="17"/>
    </row>
    <row r="5831">
      <c r="B5831" s="11">
        <f>IFERROR(__xludf.DUMMYFUNCTION("""COMPUTED_VALUE"""),37862.0)</f>
        <v>37862</v>
      </c>
      <c r="C5831" s="9">
        <f>IFERROR(__xludf.DUMMYFUNCTION("""COMPUTED_VALUE"""),4.45)</f>
        <v>4.45</v>
      </c>
      <c r="H5831" s="17"/>
      <c r="K5831" s="17"/>
      <c r="N5831" s="17"/>
    </row>
    <row r="5832">
      <c r="B5832" s="11">
        <f>IFERROR(__xludf.DUMMYFUNCTION("""COMPUTED_VALUE"""),37861.0)</f>
        <v>37861</v>
      </c>
      <c r="C5832" s="9">
        <f>IFERROR(__xludf.DUMMYFUNCTION("""COMPUTED_VALUE"""),4.42)</f>
        <v>4.42</v>
      </c>
      <c r="H5832" s="17"/>
      <c r="K5832" s="17"/>
      <c r="N5832" s="17"/>
    </row>
    <row r="5833">
      <c r="B5833" s="11">
        <f>IFERROR(__xludf.DUMMYFUNCTION("""COMPUTED_VALUE"""),37860.0)</f>
        <v>37860</v>
      </c>
      <c r="C5833" s="9">
        <f>IFERROR(__xludf.DUMMYFUNCTION("""COMPUTED_VALUE"""),4.54)</f>
        <v>4.54</v>
      </c>
      <c r="H5833" s="17"/>
      <c r="K5833" s="17"/>
      <c r="N5833" s="17"/>
    </row>
    <row r="5834">
      <c r="B5834" s="11">
        <f>IFERROR(__xludf.DUMMYFUNCTION("""COMPUTED_VALUE"""),37859.0)</f>
        <v>37859</v>
      </c>
      <c r="C5834" s="9">
        <f>IFERROR(__xludf.DUMMYFUNCTION("""COMPUTED_VALUE"""),4.5)</f>
        <v>4.5</v>
      </c>
      <c r="H5834" s="17"/>
      <c r="K5834" s="17"/>
      <c r="N5834" s="17"/>
    </row>
    <row r="5835">
      <c r="B5835" s="11">
        <f>IFERROR(__xludf.DUMMYFUNCTION("""COMPUTED_VALUE"""),37858.0)</f>
        <v>37858</v>
      </c>
      <c r="C5835" s="9">
        <f>IFERROR(__xludf.DUMMYFUNCTION("""COMPUTED_VALUE"""),4.53)</f>
        <v>4.53</v>
      </c>
      <c r="H5835" s="17"/>
      <c r="K5835" s="17"/>
      <c r="N5835" s="17"/>
    </row>
    <row r="5836">
      <c r="B5836" s="11">
        <f>IFERROR(__xludf.DUMMYFUNCTION("""COMPUTED_VALUE"""),37855.0)</f>
        <v>37855</v>
      </c>
      <c r="C5836" s="9">
        <f>IFERROR(__xludf.DUMMYFUNCTION("""COMPUTED_VALUE"""),4.48)</f>
        <v>4.48</v>
      </c>
      <c r="H5836" s="17"/>
      <c r="K5836" s="17"/>
      <c r="N5836" s="17"/>
    </row>
    <row r="5837">
      <c r="B5837" s="11">
        <f>IFERROR(__xludf.DUMMYFUNCTION("""COMPUTED_VALUE"""),37854.0)</f>
        <v>37854</v>
      </c>
      <c r="C5837" s="9">
        <f>IFERROR(__xludf.DUMMYFUNCTION("""COMPUTED_VALUE"""),4.53)</f>
        <v>4.53</v>
      </c>
      <c r="H5837" s="17"/>
      <c r="K5837" s="17"/>
      <c r="N5837" s="17"/>
    </row>
    <row r="5838">
      <c r="B5838" s="11">
        <f>IFERROR(__xludf.DUMMYFUNCTION("""COMPUTED_VALUE"""),37853.0)</f>
        <v>37853</v>
      </c>
      <c r="C5838" s="9">
        <f>IFERROR(__xludf.DUMMYFUNCTION("""COMPUTED_VALUE"""),4.45)</f>
        <v>4.45</v>
      </c>
      <c r="H5838" s="17"/>
      <c r="K5838" s="17"/>
      <c r="N5838" s="17"/>
    </row>
    <row r="5839">
      <c r="B5839" s="11">
        <f>IFERROR(__xludf.DUMMYFUNCTION("""COMPUTED_VALUE"""),37852.0)</f>
        <v>37852</v>
      </c>
      <c r="C5839" s="9">
        <f>IFERROR(__xludf.DUMMYFUNCTION("""COMPUTED_VALUE"""),4.38)</f>
        <v>4.38</v>
      </c>
      <c r="H5839" s="17"/>
      <c r="K5839" s="17"/>
      <c r="N5839" s="17"/>
    </row>
    <row r="5840">
      <c r="B5840" s="11">
        <f>IFERROR(__xludf.DUMMYFUNCTION("""COMPUTED_VALUE"""),37851.0)</f>
        <v>37851</v>
      </c>
      <c r="C5840" s="9">
        <f>IFERROR(__xludf.DUMMYFUNCTION("""COMPUTED_VALUE"""),4.49)</f>
        <v>4.49</v>
      </c>
      <c r="H5840" s="17"/>
      <c r="K5840" s="17"/>
      <c r="N5840" s="17"/>
    </row>
    <row r="5841">
      <c r="B5841" s="11">
        <f>IFERROR(__xludf.DUMMYFUNCTION("""COMPUTED_VALUE"""),37848.0)</f>
        <v>37848</v>
      </c>
      <c r="C5841" s="9">
        <f>IFERROR(__xludf.DUMMYFUNCTION("""COMPUTED_VALUE"""),4.55)</f>
        <v>4.55</v>
      </c>
      <c r="H5841" s="17"/>
      <c r="K5841" s="17"/>
      <c r="N5841" s="17"/>
    </row>
    <row r="5842">
      <c r="B5842" s="11">
        <f>IFERROR(__xludf.DUMMYFUNCTION("""COMPUTED_VALUE"""),37847.0)</f>
        <v>37847</v>
      </c>
      <c r="C5842" s="9">
        <f>IFERROR(__xludf.DUMMYFUNCTION("""COMPUTED_VALUE"""),4.55)</f>
        <v>4.55</v>
      </c>
      <c r="H5842" s="17"/>
      <c r="K5842" s="17"/>
      <c r="N5842" s="17"/>
    </row>
    <row r="5843">
      <c r="B5843" s="11">
        <f>IFERROR(__xludf.DUMMYFUNCTION("""COMPUTED_VALUE"""),37846.0)</f>
        <v>37846</v>
      </c>
      <c r="C5843" s="9">
        <f>IFERROR(__xludf.DUMMYFUNCTION("""COMPUTED_VALUE"""),4.58)</f>
        <v>4.58</v>
      </c>
      <c r="H5843" s="17"/>
      <c r="K5843" s="17"/>
      <c r="N5843" s="17"/>
    </row>
    <row r="5844">
      <c r="B5844" s="11">
        <f>IFERROR(__xludf.DUMMYFUNCTION("""COMPUTED_VALUE"""),37845.0)</f>
        <v>37845</v>
      </c>
      <c r="C5844" s="9">
        <f>IFERROR(__xludf.DUMMYFUNCTION("""COMPUTED_VALUE"""),4.37)</f>
        <v>4.37</v>
      </c>
      <c r="H5844" s="17"/>
      <c r="K5844" s="17"/>
      <c r="N5844" s="17"/>
    </row>
    <row r="5845">
      <c r="B5845" s="11">
        <f>IFERROR(__xludf.DUMMYFUNCTION("""COMPUTED_VALUE"""),37844.0)</f>
        <v>37844</v>
      </c>
      <c r="C5845" s="9">
        <f>IFERROR(__xludf.DUMMYFUNCTION("""COMPUTED_VALUE"""),4.38)</f>
        <v>4.38</v>
      </c>
      <c r="H5845" s="17"/>
      <c r="K5845" s="17"/>
      <c r="N5845" s="17"/>
    </row>
    <row r="5846">
      <c r="B5846" s="11">
        <f>IFERROR(__xludf.DUMMYFUNCTION("""COMPUTED_VALUE"""),37841.0)</f>
        <v>37841</v>
      </c>
      <c r="C5846" s="9">
        <f>IFERROR(__xludf.DUMMYFUNCTION("""COMPUTED_VALUE"""),4.27)</f>
        <v>4.27</v>
      </c>
      <c r="H5846" s="17"/>
      <c r="K5846" s="17"/>
      <c r="N5846" s="17"/>
    </row>
    <row r="5847">
      <c r="B5847" s="11">
        <f>IFERROR(__xludf.DUMMYFUNCTION("""COMPUTED_VALUE"""),37840.0)</f>
        <v>37840</v>
      </c>
      <c r="C5847" s="9">
        <f>IFERROR(__xludf.DUMMYFUNCTION("""COMPUTED_VALUE"""),4.3)</f>
        <v>4.3</v>
      </c>
      <c r="H5847" s="17"/>
      <c r="K5847" s="17"/>
      <c r="N5847" s="17"/>
    </row>
    <row r="5848">
      <c r="B5848" s="11">
        <f>IFERROR(__xludf.DUMMYFUNCTION("""COMPUTED_VALUE"""),37839.0)</f>
        <v>37839</v>
      </c>
      <c r="C5848" s="9">
        <f>IFERROR(__xludf.DUMMYFUNCTION("""COMPUTED_VALUE"""),4.32)</f>
        <v>4.32</v>
      </c>
      <c r="H5848" s="17"/>
      <c r="K5848" s="17"/>
      <c r="N5848" s="17"/>
    </row>
    <row r="5849">
      <c r="B5849" s="11">
        <f>IFERROR(__xludf.DUMMYFUNCTION("""COMPUTED_VALUE"""),37838.0)</f>
        <v>37838</v>
      </c>
      <c r="C5849" s="9">
        <f>IFERROR(__xludf.DUMMYFUNCTION("""COMPUTED_VALUE"""),4.47)</f>
        <v>4.47</v>
      </c>
      <c r="H5849" s="17"/>
      <c r="K5849" s="17"/>
      <c r="N5849" s="17"/>
    </row>
    <row r="5850">
      <c r="B5850" s="11">
        <f>IFERROR(__xludf.DUMMYFUNCTION("""COMPUTED_VALUE"""),37837.0)</f>
        <v>37837</v>
      </c>
      <c r="C5850" s="9">
        <f>IFERROR(__xludf.DUMMYFUNCTION("""COMPUTED_VALUE"""),4.35)</f>
        <v>4.35</v>
      </c>
      <c r="H5850" s="17"/>
      <c r="K5850" s="17"/>
      <c r="N5850" s="17"/>
    </row>
    <row r="5851">
      <c r="B5851" s="11">
        <f>IFERROR(__xludf.DUMMYFUNCTION("""COMPUTED_VALUE"""),37834.0)</f>
        <v>37834</v>
      </c>
      <c r="C5851" s="9">
        <f>IFERROR(__xludf.DUMMYFUNCTION("""COMPUTED_VALUE"""),4.44)</f>
        <v>4.44</v>
      </c>
      <c r="H5851" s="17"/>
      <c r="K5851" s="17"/>
      <c r="N5851" s="17"/>
    </row>
    <row r="5852">
      <c r="B5852" s="11">
        <f>IFERROR(__xludf.DUMMYFUNCTION("""COMPUTED_VALUE"""),37833.0)</f>
        <v>37833</v>
      </c>
      <c r="C5852" s="9">
        <f>IFERROR(__xludf.DUMMYFUNCTION("""COMPUTED_VALUE"""),4.49)</f>
        <v>4.49</v>
      </c>
      <c r="H5852" s="17"/>
      <c r="K5852" s="17"/>
      <c r="N5852" s="17"/>
    </row>
    <row r="5853">
      <c r="B5853" s="11">
        <f>IFERROR(__xludf.DUMMYFUNCTION("""COMPUTED_VALUE"""),37832.0)</f>
        <v>37832</v>
      </c>
      <c r="C5853" s="9">
        <f>IFERROR(__xludf.DUMMYFUNCTION("""COMPUTED_VALUE"""),4.34)</f>
        <v>4.34</v>
      </c>
      <c r="H5853" s="17"/>
      <c r="K5853" s="17"/>
      <c r="N5853" s="17"/>
    </row>
    <row r="5854">
      <c r="B5854" s="11">
        <f>IFERROR(__xludf.DUMMYFUNCTION("""COMPUTED_VALUE"""),37831.0)</f>
        <v>37831</v>
      </c>
      <c r="C5854" s="9">
        <f>IFERROR(__xludf.DUMMYFUNCTION("""COMPUTED_VALUE"""),4.42)</f>
        <v>4.42</v>
      </c>
      <c r="H5854" s="17"/>
      <c r="K5854" s="17"/>
      <c r="N5854" s="17"/>
    </row>
    <row r="5855">
      <c r="B5855" s="11">
        <f>IFERROR(__xludf.DUMMYFUNCTION("""COMPUTED_VALUE"""),37830.0)</f>
        <v>37830</v>
      </c>
      <c r="C5855" s="9">
        <f>IFERROR(__xludf.DUMMYFUNCTION("""COMPUTED_VALUE"""),4.31)</f>
        <v>4.31</v>
      </c>
      <c r="H5855" s="17"/>
      <c r="K5855" s="17"/>
      <c r="N5855" s="17"/>
    </row>
    <row r="5856">
      <c r="B5856" s="11">
        <f>IFERROR(__xludf.DUMMYFUNCTION("""COMPUTED_VALUE"""),37827.0)</f>
        <v>37827</v>
      </c>
      <c r="C5856" s="9">
        <f>IFERROR(__xludf.DUMMYFUNCTION("""COMPUTED_VALUE"""),4.22)</f>
        <v>4.22</v>
      </c>
      <c r="H5856" s="17"/>
      <c r="K5856" s="17"/>
      <c r="N5856" s="17"/>
    </row>
    <row r="5857">
      <c r="B5857" s="11">
        <f>IFERROR(__xludf.DUMMYFUNCTION("""COMPUTED_VALUE"""),37826.0)</f>
        <v>37826</v>
      </c>
      <c r="C5857" s="9">
        <f>IFERROR(__xludf.DUMMYFUNCTION("""COMPUTED_VALUE"""),4.2)</f>
        <v>4.2</v>
      </c>
      <c r="H5857" s="17"/>
      <c r="K5857" s="17"/>
      <c r="N5857" s="17"/>
    </row>
    <row r="5858">
      <c r="B5858" s="11">
        <f>IFERROR(__xludf.DUMMYFUNCTION("""COMPUTED_VALUE"""),37825.0)</f>
        <v>37825</v>
      </c>
      <c r="C5858" s="9">
        <f>IFERROR(__xludf.DUMMYFUNCTION("""COMPUTED_VALUE"""),4.12)</f>
        <v>4.12</v>
      </c>
      <c r="H5858" s="17"/>
      <c r="K5858" s="17"/>
      <c r="N5858" s="17"/>
    </row>
    <row r="5859">
      <c r="B5859" s="11">
        <f>IFERROR(__xludf.DUMMYFUNCTION("""COMPUTED_VALUE"""),37824.0)</f>
        <v>37824</v>
      </c>
      <c r="C5859" s="9">
        <f>IFERROR(__xludf.DUMMYFUNCTION("""COMPUTED_VALUE"""),4.17)</f>
        <v>4.17</v>
      </c>
      <c r="H5859" s="17"/>
      <c r="K5859" s="17"/>
      <c r="N5859" s="17"/>
    </row>
    <row r="5860">
      <c r="B5860" s="11">
        <f>IFERROR(__xludf.DUMMYFUNCTION("""COMPUTED_VALUE"""),37823.0)</f>
        <v>37823</v>
      </c>
      <c r="C5860" s="9">
        <f>IFERROR(__xludf.DUMMYFUNCTION("""COMPUTED_VALUE"""),4.19)</f>
        <v>4.19</v>
      </c>
      <c r="H5860" s="17"/>
      <c r="K5860" s="17"/>
      <c r="N5860" s="17"/>
    </row>
    <row r="5861">
      <c r="B5861" s="11">
        <f>IFERROR(__xludf.DUMMYFUNCTION("""COMPUTED_VALUE"""),37820.0)</f>
        <v>37820</v>
      </c>
      <c r="C5861" s="9">
        <f>IFERROR(__xludf.DUMMYFUNCTION("""COMPUTED_VALUE"""),4.0)</f>
        <v>4</v>
      </c>
      <c r="H5861" s="17"/>
      <c r="K5861" s="17"/>
      <c r="N5861" s="17"/>
    </row>
    <row r="5862">
      <c r="B5862" s="11">
        <f>IFERROR(__xludf.DUMMYFUNCTION("""COMPUTED_VALUE"""),37819.0)</f>
        <v>37819</v>
      </c>
      <c r="C5862" s="9">
        <f>IFERROR(__xludf.DUMMYFUNCTION("""COMPUTED_VALUE"""),3.98)</f>
        <v>3.98</v>
      </c>
      <c r="H5862" s="17"/>
      <c r="K5862" s="17"/>
      <c r="N5862" s="17"/>
    </row>
    <row r="5863">
      <c r="B5863" s="11">
        <f>IFERROR(__xludf.DUMMYFUNCTION("""COMPUTED_VALUE"""),37818.0)</f>
        <v>37818</v>
      </c>
      <c r="C5863" s="9">
        <f>IFERROR(__xludf.DUMMYFUNCTION("""COMPUTED_VALUE"""),3.97)</f>
        <v>3.97</v>
      </c>
      <c r="H5863" s="17"/>
      <c r="K5863" s="17"/>
      <c r="N5863" s="17"/>
    </row>
    <row r="5864">
      <c r="B5864" s="11">
        <f>IFERROR(__xludf.DUMMYFUNCTION("""COMPUTED_VALUE"""),37817.0)</f>
        <v>37817</v>
      </c>
      <c r="C5864" s="9">
        <f>IFERROR(__xludf.DUMMYFUNCTION("""COMPUTED_VALUE"""),3.94)</f>
        <v>3.94</v>
      </c>
      <c r="H5864" s="17"/>
      <c r="K5864" s="17"/>
      <c r="N5864" s="17"/>
    </row>
    <row r="5865">
      <c r="B5865" s="11">
        <f>IFERROR(__xludf.DUMMYFUNCTION("""COMPUTED_VALUE"""),37816.0)</f>
        <v>37816</v>
      </c>
      <c r="C5865" s="9">
        <f>IFERROR(__xludf.DUMMYFUNCTION("""COMPUTED_VALUE"""),3.74)</f>
        <v>3.74</v>
      </c>
      <c r="H5865" s="17"/>
      <c r="K5865" s="17"/>
      <c r="N5865" s="17"/>
    </row>
    <row r="5866">
      <c r="B5866" s="11">
        <f>IFERROR(__xludf.DUMMYFUNCTION("""COMPUTED_VALUE"""),37813.0)</f>
        <v>37813</v>
      </c>
      <c r="C5866" s="9">
        <f>IFERROR(__xludf.DUMMYFUNCTION("""COMPUTED_VALUE"""),3.66)</f>
        <v>3.66</v>
      </c>
      <c r="H5866" s="17"/>
      <c r="K5866" s="17"/>
      <c r="N5866" s="17"/>
    </row>
    <row r="5867">
      <c r="B5867" s="11">
        <f>IFERROR(__xludf.DUMMYFUNCTION("""COMPUTED_VALUE"""),37812.0)</f>
        <v>37812</v>
      </c>
      <c r="C5867" s="9">
        <f>IFERROR(__xludf.DUMMYFUNCTION("""COMPUTED_VALUE"""),3.7)</f>
        <v>3.7</v>
      </c>
      <c r="H5867" s="17"/>
      <c r="K5867" s="17"/>
      <c r="N5867" s="17"/>
    </row>
    <row r="5868">
      <c r="B5868" s="11">
        <f>IFERROR(__xludf.DUMMYFUNCTION("""COMPUTED_VALUE"""),37811.0)</f>
        <v>37811</v>
      </c>
      <c r="C5868" s="9">
        <f>IFERROR(__xludf.DUMMYFUNCTION("""COMPUTED_VALUE"""),3.73)</f>
        <v>3.73</v>
      </c>
      <c r="H5868" s="17"/>
      <c r="K5868" s="17"/>
      <c r="N5868" s="17"/>
    </row>
    <row r="5869">
      <c r="B5869" s="11">
        <f>IFERROR(__xludf.DUMMYFUNCTION("""COMPUTED_VALUE"""),37810.0)</f>
        <v>37810</v>
      </c>
      <c r="C5869" s="9">
        <f>IFERROR(__xludf.DUMMYFUNCTION("""COMPUTED_VALUE"""),3.75)</f>
        <v>3.75</v>
      </c>
      <c r="H5869" s="17"/>
      <c r="K5869" s="17"/>
      <c r="N5869" s="17"/>
    </row>
    <row r="5870">
      <c r="B5870" s="11">
        <f>IFERROR(__xludf.DUMMYFUNCTION("""COMPUTED_VALUE"""),37809.0)</f>
        <v>37809</v>
      </c>
      <c r="C5870" s="9">
        <f>IFERROR(__xludf.DUMMYFUNCTION("""COMPUTED_VALUE"""),3.74)</f>
        <v>3.74</v>
      </c>
      <c r="H5870" s="17"/>
      <c r="K5870" s="17"/>
      <c r="N5870" s="17"/>
    </row>
    <row r="5871">
      <c r="B5871" s="11">
        <f>IFERROR(__xludf.DUMMYFUNCTION("""COMPUTED_VALUE"""),37806.0)</f>
        <v>37806</v>
      </c>
      <c r="C5871" s="9"/>
      <c r="H5871" s="17"/>
      <c r="K5871" s="17"/>
      <c r="N5871" s="17"/>
    </row>
    <row r="5872">
      <c r="B5872" s="11">
        <f>IFERROR(__xludf.DUMMYFUNCTION("""COMPUTED_VALUE"""),37805.0)</f>
        <v>37805</v>
      </c>
      <c r="C5872" s="9">
        <f>IFERROR(__xludf.DUMMYFUNCTION("""COMPUTED_VALUE"""),3.67)</f>
        <v>3.67</v>
      </c>
      <c r="H5872" s="17"/>
      <c r="K5872" s="17"/>
      <c r="N5872" s="17"/>
    </row>
    <row r="5873">
      <c r="B5873" s="11">
        <f>IFERROR(__xludf.DUMMYFUNCTION("""COMPUTED_VALUE"""),37804.0)</f>
        <v>37804</v>
      </c>
      <c r="C5873" s="9">
        <f>IFERROR(__xludf.DUMMYFUNCTION("""COMPUTED_VALUE"""),3.56)</f>
        <v>3.56</v>
      </c>
      <c r="H5873" s="17"/>
      <c r="K5873" s="17"/>
      <c r="N5873" s="17"/>
    </row>
    <row r="5874">
      <c r="B5874" s="11">
        <f>IFERROR(__xludf.DUMMYFUNCTION("""COMPUTED_VALUE"""),37803.0)</f>
        <v>37803</v>
      </c>
      <c r="C5874" s="9">
        <f>IFERROR(__xludf.DUMMYFUNCTION("""COMPUTED_VALUE"""),3.56)</f>
        <v>3.56</v>
      </c>
      <c r="H5874" s="17"/>
      <c r="K5874" s="17"/>
      <c r="N5874" s="17"/>
    </row>
    <row r="5875">
      <c r="B5875" s="11">
        <f>IFERROR(__xludf.DUMMYFUNCTION("""COMPUTED_VALUE"""),37802.0)</f>
        <v>37802</v>
      </c>
      <c r="C5875" s="9">
        <f>IFERROR(__xludf.DUMMYFUNCTION("""COMPUTED_VALUE"""),3.54)</f>
        <v>3.54</v>
      </c>
      <c r="H5875" s="17"/>
      <c r="K5875" s="17"/>
      <c r="N5875" s="17"/>
    </row>
    <row r="5876">
      <c r="B5876" s="11">
        <f>IFERROR(__xludf.DUMMYFUNCTION("""COMPUTED_VALUE"""),37799.0)</f>
        <v>37799</v>
      </c>
      <c r="C5876" s="9">
        <f>IFERROR(__xludf.DUMMYFUNCTION("""COMPUTED_VALUE"""),3.58)</f>
        <v>3.58</v>
      </c>
      <c r="H5876" s="17"/>
      <c r="K5876" s="17"/>
      <c r="N5876" s="17"/>
    </row>
    <row r="5877">
      <c r="B5877" s="11">
        <f>IFERROR(__xludf.DUMMYFUNCTION("""COMPUTED_VALUE"""),37798.0)</f>
        <v>37798</v>
      </c>
      <c r="C5877" s="9">
        <f>IFERROR(__xludf.DUMMYFUNCTION("""COMPUTED_VALUE"""),3.55)</f>
        <v>3.55</v>
      </c>
      <c r="H5877" s="17"/>
      <c r="K5877" s="17"/>
      <c r="N5877" s="17"/>
    </row>
    <row r="5878">
      <c r="B5878" s="11">
        <f>IFERROR(__xludf.DUMMYFUNCTION("""COMPUTED_VALUE"""),37797.0)</f>
        <v>37797</v>
      </c>
      <c r="C5878" s="9">
        <f>IFERROR(__xludf.DUMMYFUNCTION("""COMPUTED_VALUE"""),3.38)</f>
        <v>3.38</v>
      </c>
      <c r="H5878" s="17"/>
      <c r="K5878" s="17"/>
      <c r="N5878" s="17"/>
    </row>
    <row r="5879">
      <c r="B5879" s="11">
        <f>IFERROR(__xludf.DUMMYFUNCTION("""COMPUTED_VALUE"""),37796.0)</f>
        <v>37796</v>
      </c>
      <c r="C5879" s="9">
        <f>IFERROR(__xludf.DUMMYFUNCTION("""COMPUTED_VALUE"""),3.29)</f>
        <v>3.29</v>
      </c>
      <c r="H5879" s="17"/>
      <c r="K5879" s="17"/>
      <c r="N5879" s="17"/>
    </row>
    <row r="5880">
      <c r="B5880" s="11">
        <f>IFERROR(__xludf.DUMMYFUNCTION("""COMPUTED_VALUE"""),37795.0)</f>
        <v>37795</v>
      </c>
      <c r="C5880" s="9">
        <f>IFERROR(__xludf.DUMMYFUNCTION("""COMPUTED_VALUE"""),3.32)</f>
        <v>3.32</v>
      </c>
      <c r="H5880" s="17"/>
      <c r="K5880" s="17"/>
      <c r="N5880" s="17"/>
    </row>
    <row r="5881">
      <c r="B5881" s="11">
        <f>IFERROR(__xludf.DUMMYFUNCTION("""COMPUTED_VALUE"""),37792.0)</f>
        <v>37792</v>
      </c>
      <c r="C5881" s="9">
        <f>IFERROR(__xludf.DUMMYFUNCTION("""COMPUTED_VALUE"""),3.4)</f>
        <v>3.4</v>
      </c>
      <c r="H5881" s="17"/>
      <c r="K5881" s="17"/>
      <c r="N5881" s="17"/>
    </row>
    <row r="5882">
      <c r="B5882" s="11">
        <f>IFERROR(__xludf.DUMMYFUNCTION("""COMPUTED_VALUE"""),37791.0)</f>
        <v>37791</v>
      </c>
      <c r="C5882" s="9">
        <f>IFERROR(__xludf.DUMMYFUNCTION("""COMPUTED_VALUE"""),3.35)</f>
        <v>3.35</v>
      </c>
      <c r="H5882" s="17"/>
      <c r="K5882" s="17"/>
      <c r="N5882" s="17"/>
    </row>
    <row r="5883">
      <c r="B5883" s="11">
        <f>IFERROR(__xludf.DUMMYFUNCTION("""COMPUTED_VALUE"""),37790.0)</f>
        <v>37790</v>
      </c>
      <c r="C5883" s="9">
        <f>IFERROR(__xludf.DUMMYFUNCTION("""COMPUTED_VALUE"""),3.37)</f>
        <v>3.37</v>
      </c>
      <c r="H5883" s="17"/>
      <c r="K5883" s="17"/>
      <c r="N5883" s="17"/>
    </row>
    <row r="5884">
      <c r="B5884" s="11">
        <f>IFERROR(__xludf.DUMMYFUNCTION("""COMPUTED_VALUE"""),37789.0)</f>
        <v>37789</v>
      </c>
      <c r="C5884" s="9">
        <f>IFERROR(__xludf.DUMMYFUNCTION("""COMPUTED_VALUE"""),3.27)</f>
        <v>3.27</v>
      </c>
      <c r="H5884" s="17"/>
      <c r="K5884" s="17"/>
      <c r="N5884" s="17"/>
    </row>
    <row r="5885">
      <c r="B5885" s="11">
        <f>IFERROR(__xludf.DUMMYFUNCTION("""COMPUTED_VALUE"""),37788.0)</f>
        <v>37788</v>
      </c>
      <c r="C5885" s="9">
        <f>IFERROR(__xludf.DUMMYFUNCTION("""COMPUTED_VALUE"""),3.18)</f>
        <v>3.18</v>
      </c>
      <c r="H5885" s="17"/>
      <c r="K5885" s="17"/>
      <c r="N5885" s="17"/>
    </row>
    <row r="5886">
      <c r="B5886" s="11">
        <f>IFERROR(__xludf.DUMMYFUNCTION("""COMPUTED_VALUE"""),37785.0)</f>
        <v>37785</v>
      </c>
      <c r="C5886" s="9">
        <f>IFERROR(__xludf.DUMMYFUNCTION("""COMPUTED_VALUE"""),3.13)</f>
        <v>3.13</v>
      </c>
      <c r="H5886" s="17"/>
      <c r="K5886" s="17"/>
      <c r="N5886" s="17"/>
    </row>
    <row r="5887">
      <c r="B5887" s="11">
        <f>IFERROR(__xludf.DUMMYFUNCTION("""COMPUTED_VALUE"""),37784.0)</f>
        <v>37784</v>
      </c>
      <c r="C5887" s="9">
        <f>IFERROR(__xludf.DUMMYFUNCTION("""COMPUTED_VALUE"""),3.18)</f>
        <v>3.18</v>
      </c>
      <c r="H5887" s="17"/>
      <c r="K5887" s="17"/>
      <c r="N5887" s="17"/>
    </row>
    <row r="5888">
      <c r="B5888" s="11">
        <f>IFERROR(__xludf.DUMMYFUNCTION("""COMPUTED_VALUE"""),37783.0)</f>
        <v>37783</v>
      </c>
      <c r="C5888" s="9">
        <f>IFERROR(__xludf.DUMMYFUNCTION("""COMPUTED_VALUE"""),3.21)</f>
        <v>3.21</v>
      </c>
      <c r="H5888" s="17"/>
      <c r="K5888" s="17"/>
      <c r="N5888" s="17"/>
    </row>
    <row r="5889">
      <c r="B5889" s="11">
        <f>IFERROR(__xludf.DUMMYFUNCTION("""COMPUTED_VALUE"""),37782.0)</f>
        <v>37782</v>
      </c>
      <c r="C5889" s="9">
        <f>IFERROR(__xludf.DUMMYFUNCTION("""COMPUTED_VALUE"""),3.2)</f>
        <v>3.2</v>
      </c>
      <c r="H5889" s="17"/>
      <c r="K5889" s="17"/>
      <c r="N5889" s="17"/>
    </row>
    <row r="5890">
      <c r="B5890" s="11">
        <f>IFERROR(__xludf.DUMMYFUNCTION("""COMPUTED_VALUE"""),37781.0)</f>
        <v>37781</v>
      </c>
      <c r="C5890" s="9">
        <f>IFERROR(__xludf.DUMMYFUNCTION("""COMPUTED_VALUE"""),3.29)</f>
        <v>3.29</v>
      </c>
      <c r="H5890" s="17"/>
      <c r="K5890" s="17"/>
      <c r="N5890" s="17"/>
    </row>
    <row r="5891">
      <c r="B5891" s="11">
        <f>IFERROR(__xludf.DUMMYFUNCTION("""COMPUTED_VALUE"""),37778.0)</f>
        <v>37778</v>
      </c>
      <c r="C5891" s="9">
        <f>IFERROR(__xludf.DUMMYFUNCTION("""COMPUTED_VALUE"""),3.37)</f>
        <v>3.37</v>
      </c>
      <c r="H5891" s="17"/>
      <c r="K5891" s="17"/>
      <c r="N5891" s="17"/>
    </row>
    <row r="5892">
      <c r="B5892" s="11">
        <f>IFERROR(__xludf.DUMMYFUNCTION("""COMPUTED_VALUE"""),37777.0)</f>
        <v>37777</v>
      </c>
      <c r="C5892" s="9">
        <f>IFERROR(__xludf.DUMMYFUNCTION("""COMPUTED_VALUE"""),3.34)</f>
        <v>3.34</v>
      </c>
      <c r="H5892" s="17"/>
      <c r="K5892" s="17"/>
      <c r="N5892" s="17"/>
    </row>
    <row r="5893">
      <c r="B5893" s="11">
        <f>IFERROR(__xludf.DUMMYFUNCTION("""COMPUTED_VALUE"""),37776.0)</f>
        <v>37776</v>
      </c>
      <c r="C5893" s="9">
        <f>IFERROR(__xludf.DUMMYFUNCTION("""COMPUTED_VALUE"""),3.3)</f>
        <v>3.3</v>
      </c>
      <c r="H5893" s="17"/>
      <c r="K5893" s="17"/>
      <c r="N5893" s="17"/>
    </row>
    <row r="5894">
      <c r="B5894" s="11">
        <f>IFERROR(__xludf.DUMMYFUNCTION("""COMPUTED_VALUE"""),37775.0)</f>
        <v>37775</v>
      </c>
      <c r="C5894" s="9">
        <f>IFERROR(__xludf.DUMMYFUNCTION("""COMPUTED_VALUE"""),3.34)</f>
        <v>3.34</v>
      </c>
      <c r="H5894" s="17"/>
      <c r="K5894" s="17"/>
      <c r="N5894" s="17"/>
    </row>
    <row r="5895">
      <c r="B5895" s="11">
        <f>IFERROR(__xludf.DUMMYFUNCTION("""COMPUTED_VALUE"""),37774.0)</f>
        <v>37774</v>
      </c>
      <c r="C5895" s="9">
        <f>IFERROR(__xludf.DUMMYFUNCTION("""COMPUTED_VALUE"""),3.43)</f>
        <v>3.43</v>
      </c>
      <c r="H5895" s="17"/>
      <c r="K5895" s="17"/>
      <c r="N5895" s="17"/>
    </row>
    <row r="5896">
      <c r="B5896" s="11">
        <f>IFERROR(__xludf.DUMMYFUNCTION("""COMPUTED_VALUE"""),37771.0)</f>
        <v>37771</v>
      </c>
      <c r="C5896" s="9">
        <f>IFERROR(__xludf.DUMMYFUNCTION("""COMPUTED_VALUE"""),3.37)</f>
        <v>3.37</v>
      </c>
      <c r="H5896" s="17"/>
      <c r="K5896" s="17"/>
      <c r="N5896" s="17"/>
    </row>
    <row r="5897">
      <c r="B5897" s="11">
        <f>IFERROR(__xludf.DUMMYFUNCTION("""COMPUTED_VALUE"""),37770.0)</f>
        <v>37770</v>
      </c>
      <c r="C5897" s="9">
        <f>IFERROR(__xludf.DUMMYFUNCTION("""COMPUTED_VALUE"""),3.34)</f>
        <v>3.34</v>
      </c>
      <c r="H5897" s="17"/>
      <c r="K5897" s="17"/>
      <c r="N5897" s="17"/>
    </row>
    <row r="5898">
      <c r="B5898" s="11">
        <f>IFERROR(__xludf.DUMMYFUNCTION("""COMPUTED_VALUE"""),37769.0)</f>
        <v>37769</v>
      </c>
      <c r="C5898" s="9">
        <f>IFERROR(__xludf.DUMMYFUNCTION("""COMPUTED_VALUE"""),3.44)</f>
        <v>3.44</v>
      </c>
      <c r="H5898" s="17"/>
      <c r="K5898" s="17"/>
      <c r="N5898" s="17"/>
    </row>
    <row r="5899">
      <c r="B5899" s="11">
        <f>IFERROR(__xludf.DUMMYFUNCTION("""COMPUTED_VALUE"""),37768.0)</f>
        <v>37768</v>
      </c>
      <c r="C5899" s="9">
        <f>IFERROR(__xludf.DUMMYFUNCTION("""COMPUTED_VALUE"""),3.41)</f>
        <v>3.41</v>
      </c>
      <c r="H5899" s="17"/>
      <c r="K5899" s="17"/>
      <c r="N5899" s="17"/>
    </row>
    <row r="5900">
      <c r="B5900" s="11">
        <f>IFERROR(__xludf.DUMMYFUNCTION("""COMPUTED_VALUE"""),37767.0)</f>
        <v>37767</v>
      </c>
      <c r="C5900" s="9"/>
      <c r="H5900" s="17"/>
      <c r="K5900" s="17"/>
      <c r="N5900" s="17"/>
    </row>
    <row r="5901">
      <c r="B5901" s="11">
        <f>IFERROR(__xludf.DUMMYFUNCTION("""COMPUTED_VALUE"""),37764.0)</f>
        <v>37764</v>
      </c>
      <c r="C5901" s="9">
        <f>IFERROR(__xludf.DUMMYFUNCTION("""COMPUTED_VALUE"""),3.34)</f>
        <v>3.34</v>
      </c>
      <c r="H5901" s="17"/>
      <c r="K5901" s="17"/>
      <c r="N5901" s="17"/>
    </row>
    <row r="5902">
      <c r="B5902" s="11">
        <f>IFERROR(__xludf.DUMMYFUNCTION("""COMPUTED_VALUE"""),37763.0)</f>
        <v>37763</v>
      </c>
      <c r="C5902" s="9">
        <f>IFERROR(__xludf.DUMMYFUNCTION("""COMPUTED_VALUE"""),3.34)</f>
        <v>3.34</v>
      </c>
      <c r="H5902" s="17"/>
      <c r="K5902" s="17"/>
      <c r="N5902" s="17"/>
    </row>
    <row r="5903">
      <c r="B5903" s="11">
        <f>IFERROR(__xludf.DUMMYFUNCTION("""COMPUTED_VALUE"""),37762.0)</f>
        <v>37762</v>
      </c>
      <c r="C5903" s="9">
        <f>IFERROR(__xludf.DUMMYFUNCTION("""COMPUTED_VALUE"""),3.39)</f>
        <v>3.39</v>
      </c>
      <c r="H5903" s="17"/>
      <c r="K5903" s="17"/>
      <c r="N5903" s="17"/>
    </row>
    <row r="5904">
      <c r="B5904" s="11">
        <f>IFERROR(__xludf.DUMMYFUNCTION("""COMPUTED_VALUE"""),37761.0)</f>
        <v>37761</v>
      </c>
      <c r="C5904" s="9">
        <f>IFERROR(__xludf.DUMMYFUNCTION("""COMPUTED_VALUE"""),3.38)</f>
        <v>3.38</v>
      </c>
      <c r="H5904" s="17"/>
      <c r="K5904" s="17"/>
      <c r="N5904" s="17"/>
    </row>
    <row r="5905">
      <c r="B5905" s="11">
        <f>IFERROR(__xludf.DUMMYFUNCTION("""COMPUTED_VALUE"""),37760.0)</f>
        <v>37760</v>
      </c>
      <c r="C5905" s="9">
        <f>IFERROR(__xludf.DUMMYFUNCTION("""COMPUTED_VALUE"""),3.46)</f>
        <v>3.46</v>
      </c>
      <c r="H5905" s="17"/>
      <c r="K5905" s="17"/>
      <c r="N5905" s="17"/>
    </row>
    <row r="5906">
      <c r="B5906" s="11">
        <f>IFERROR(__xludf.DUMMYFUNCTION("""COMPUTED_VALUE"""),37757.0)</f>
        <v>37757</v>
      </c>
      <c r="C5906" s="9">
        <f>IFERROR(__xludf.DUMMYFUNCTION("""COMPUTED_VALUE"""),3.46)</f>
        <v>3.46</v>
      </c>
      <c r="H5906" s="17"/>
      <c r="K5906" s="17"/>
      <c r="N5906" s="17"/>
    </row>
    <row r="5907">
      <c r="B5907" s="11">
        <f>IFERROR(__xludf.DUMMYFUNCTION("""COMPUTED_VALUE"""),37756.0)</f>
        <v>37756</v>
      </c>
      <c r="C5907" s="9">
        <f>IFERROR(__xludf.DUMMYFUNCTION("""COMPUTED_VALUE"""),3.53)</f>
        <v>3.53</v>
      </c>
      <c r="H5907" s="17"/>
      <c r="K5907" s="17"/>
      <c r="N5907" s="17"/>
    </row>
    <row r="5908">
      <c r="B5908" s="11">
        <f>IFERROR(__xludf.DUMMYFUNCTION("""COMPUTED_VALUE"""),37755.0)</f>
        <v>37755</v>
      </c>
      <c r="C5908" s="9">
        <f>IFERROR(__xludf.DUMMYFUNCTION("""COMPUTED_VALUE"""),3.53)</f>
        <v>3.53</v>
      </c>
      <c r="H5908" s="17"/>
      <c r="K5908" s="17"/>
      <c r="N5908" s="17"/>
    </row>
    <row r="5909">
      <c r="B5909" s="11">
        <f>IFERROR(__xludf.DUMMYFUNCTION("""COMPUTED_VALUE"""),37754.0)</f>
        <v>37754</v>
      </c>
      <c r="C5909" s="9">
        <f>IFERROR(__xludf.DUMMYFUNCTION("""COMPUTED_VALUE"""),3.63)</f>
        <v>3.63</v>
      </c>
      <c r="H5909" s="17"/>
      <c r="K5909" s="17"/>
      <c r="N5909" s="17"/>
    </row>
    <row r="5910">
      <c r="B5910" s="11">
        <f>IFERROR(__xludf.DUMMYFUNCTION("""COMPUTED_VALUE"""),37753.0)</f>
        <v>37753</v>
      </c>
      <c r="C5910" s="9">
        <f>IFERROR(__xludf.DUMMYFUNCTION("""COMPUTED_VALUE"""),3.64)</f>
        <v>3.64</v>
      </c>
      <c r="H5910" s="17"/>
      <c r="K5910" s="17"/>
      <c r="N5910" s="17"/>
    </row>
    <row r="5911">
      <c r="B5911" s="11">
        <f>IFERROR(__xludf.DUMMYFUNCTION("""COMPUTED_VALUE"""),37750.0)</f>
        <v>37750</v>
      </c>
      <c r="C5911" s="9">
        <f>IFERROR(__xludf.DUMMYFUNCTION("""COMPUTED_VALUE"""),3.69)</f>
        <v>3.69</v>
      </c>
      <c r="H5911" s="17"/>
      <c r="K5911" s="17"/>
      <c r="N5911" s="17"/>
    </row>
    <row r="5912">
      <c r="B5912" s="11">
        <f>IFERROR(__xludf.DUMMYFUNCTION("""COMPUTED_VALUE"""),37749.0)</f>
        <v>37749</v>
      </c>
      <c r="C5912" s="9">
        <f>IFERROR(__xludf.DUMMYFUNCTION("""COMPUTED_VALUE"""),3.7)</f>
        <v>3.7</v>
      </c>
      <c r="H5912" s="17"/>
      <c r="K5912" s="17"/>
      <c r="N5912" s="17"/>
    </row>
    <row r="5913">
      <c r="B5913" s="11">
        <f>IFERROR(__xludf.DUMMYFUNCTION("""COMPUTED_VALUE"""),37748.0)</f>
        <v>37748</v>
      </c>
      <c r="C5913" s="9">
        <f>IFERROR(__xludf.DUMMYFUNCTION("""COMPUTED_VALUE"""),3.72)</f>
        <v>3.72</v>
      </c>
      <c r="H5913" s="17"/>
      <c r="K5913" s="17"/>
      <c r="N5913" s="17"/>
    </row>
    <row r="5914">
      <c r="B5914" s="11">
        <f>IFERROR(__xludf.DUMMYFUNCTION("""COMPUTED_VALUE"""),37747.0)</f>
        <v>37747</v>
      </c>
      <c r="C5914" s="9">
        <f>IFERROR(__xludf.DUMMYFUNCTION("""COMPUTED_VALUE"""),3.84)</f>
        <v>3.84</v>
      </c>
      <c r="H5914" s="17"/>
      <c r="K5914" s="17"/>
      <c r="N5914" s="17"/>
    </row>
    <row r="5915">
      <c r="B5915" s="11">
        <f>IFERROR(__xludf.DUMMYFUNCTION("""COMPUTED_VALUE"""),37746.0)</f>
        <v>37746</v>
      </c>
      <c r="C5915" s="9">
        <f>IFERROR(__xludf.DUMMYFUNCTION("""COMPUTED_VALUE"""),3.92)</f>
        <v>3.92</v>
      </c>
      <c r="H5915" s="17"/>
      <c r="K5915" s="17"/>
      <c r="N5915" s="17"/>
    </row>
    <row r="5916">
      <c r="B5916" s="11">
        <f>IFERROR(__xludf.DUMMYFUNCTION("""COMPUTED_VALUE"""),37743.0)</f>
        <v>37743</v>
      </c>
      <c r="C5916" s="9">
        <f>IFERROR(__xludf.DUMMYFUNCTION("""COMPUTED_VALUE"""),3.94)</f>
        <v>3.94</v>
      </c>
      <c r="H5916" s="17"/>
      <c r="K5916" s="17"/>
      <c r="N5916" s="17"/>
    </row>
    <row r="5917">
      <c r="B5917" s="11">
        <f>IFERROR(__xludf.DUMMYFUNCTION("""COMPUTED_VALUE"""),37742.0)</f>
        <v>37742</v>
      </c>
      <c r="C5917" s="9">
        <f>IFERROR(__xludf.DUMMYFUNCTION("""COMPUTED_VALUE"""),3.88)</f>
        <v>3.88</v>
      </c>
      <c r="H5917" s="17"/>
      <c r="K5917" s="17"/>
      <c r="N5917" s="17"/>
    </row>
    <row r="5918">
      <c r="B5918" s="11">
        <f>IFERROR(__xludf.DUMMYFUNCTION("""COMPUTED_VALUE"""),37741.0)</f>
        <v>37741</v>
      </c>
      <c r="C5918" s="9">
        <f>IFERROR(__xludf.DUMMYFUNCTION("""COMPUTED_VALUE"""),3.89)</f>
        <v>3.89</v>
      </c>
      <c r="H5918" s="17"/>
      <c r="K5918" s="17"/>
      <c r="N5918" s="17"/>
    </row>
    <row r="5919">
      <c r="B5919" s="11">
        <f>IFERROR(__xludf.DUMMYFUNCTION("""COMPUTED_VALUE"""),37740.0)</f>
        <v>37740</v>
      </c>
      <c r="C5919" s="9">
        <f>IFERROR(__xludf.DUMMYFUNCTION("""COMPUTED_VALUE"""),3.96)</f>
        <v>3.96</v>
      </c>
      <c r="H5919" s="17"/>
      <c r="K5919" s="17"/>
      <c r="N5919" s="17"/>
    </row>
    <row r="5920">
      <c r="B5920" s="11">
        <f>IFERROR(__xludf.DUMMYFUNCTION("""COMPUTED_VALUE"""),37739.0)</f>
        <v>37739</v>
      </c>
      <c r="C5920" s="9">
        <f>IFERROR(__xludf.DUMMYFUNCTION("""COMPUTED_VALUE"""),3.92)</f>
        <v>3.92</v>
      </c>
      <c r="H5920" s="17"/>
      <c r="K5920" s="17"/>
      <c r="N5920" s="17"/>
    </row>
    <row r="5921">
      <c r="B5921" s="11">
        <f>IFERROR(__xludf.DUMMYFUNCTION("""COMPUTED_VALUE"""),37736.0)</f>
        <v>37736</v>
      </c>
      <c r="C5921" s="9">
        <f>IFERROR(__xludf.DUMMYFUNCTION("""COMPUTED_VALUE"""),3.91)</f>
        <v>3.91</v>
      </c>
      <c r="H5921" s="17"/>
      <c r="K5921" s="17"/>
      <c r="N5921" s="17"/>
    </row>
    <row r="5922">
      <c r="B5922" s="11">
        <f>IFERROR(__xludf.DUMMYFUNCTION("""COMPUTED_VALUE"""),37735.0)</f>
        <v>37735</v>
      </c>
      <c r="C5922" s="9">
        <f>IFERROR(__xludf.DUMMYFUNCTION("""COMPUTED_VALUE"""),3.93)</f>
        <v>3.93</v>
      </c>
      <c r="H5922" s="17"/>
      <c r="K5922" s="17"/>
      <c r="N5922" s="17"/>
    </row>
    <row r="5923">
      <c r="B5923" s="11">
        <f>IFERROR(__xludf.DUMMYFUNCTION("""COMPUTED_VALUE"""),37734.0)</f>
        <v>37734</v>
      </c>
      <c r="C5923" s="9">
        <f>IFERROR(__xludf.DUMMYFUNCTION("""COMPUTED_VALUE"""),4.02)</f>
        <v>4.02</v>
      </c>
      <c r="H5923" s="17"/>
      <c r="K5923" s="17"/>
      <c r="N5923" s="17"/>
    </row>
    <row r="5924">
      <c r="B5924" s="11">
        <f>IFERROR(__xludf.DUMMYFUNCTION("""COMPUTED_VALUE"""),37733.0)</f>
        <v>37733</v>
      </c>
      <c r="C5924" s="9">
        <f>IFERROR(__xludf.DUMMYFUNCTION("""COMPUTED_VALUE"""),4.01)</f>
        <v>4.01</v>
      </c>
      <c r="H5924" s="17"/>
      <c r="K5924" s="17"/>
      <c r="N5924" s="17"/>
    </row>
    <row r="5925">
      <c r="B5925" s="11">
        <f>IFERROR(__xludf.DUMMYFUNCTION("""COMPUTED_VALUE"""),37732.0)</f>
        <v>37732</v>
      </c>
      <c r="C5925" s="9">
        <f>IFERROR(__xludf.DUMMYFUNCTION("""COMPUTED_VALUE"""),4.0)</f>
        <v>4</v>
      </c>
      <c r="H5925" s="17"/>
      <c r="K5925" s="17"/>
      <c r="N5925" s="17"/>
    </row>
    <row r="5926">
      <c r="B5926" s="11">
        <f>IFERROR(__xludf.DUMMYFUNCTION("""COMPUTED_VALUE"""),37729.0)</f>
        <v>37729</v>
      </c>
      <c r="C5926" s="9"/>
      <c r="H5926" s="17"/>
      <c r="K5926" s="17"/>
      <c r="N5926" s="17"/>
    </row>
    <row r="5927">
      <c r="B5927" s="11">
        <f>IFERROR(__xludf.DUMMYFUNCTION("""COMPUTED_VALUE"""),37728.0)</f>
        <v>37728</v>
      </c>
      <c r="C5927" s="9">
        <f>IFERROR(__xludf.DUMMYFUNCTION("""COMPUTED_VALUE"""),3.98)</f>
        <v>3.98</v>
      </c>
      <c r="H5927" s="17"/>
      <c r="K5927" s="17"/>
      <c r="N5927" s="17"/>
    </row>
    <row r="5928">
      <c r="B5928" s="11">
        <f>IFERROR(__xludf.DUMMYFUNCTION("""COMPUTED_VALUE"""),37727.0)</f>
        <v>37727</v>
      </c>
      <c r="C5928" s="9">
        <f>IFERROR(__xludf.DUMMYFUNCTION("""COMPUTED_VALUE"""),3.96)</f>
        <v>3.96</v>
      </c>
      <c r="H5928" s="17"/>
      <c r="K5928" s="17"/>
      <c r="N5928" s="17"/>
    </row>
    <row r="5929">
      <c r="B5929" s="11">
        <f>IFERROR(__xludf.DUMMYFUNCTION("""COMPUTED_VALUE"""),37726.0)</f>
        <v>37726</v>
      </c>
      <c r="C5929" s="9">
        <f>IFERROR(__xludf.DUMMYFUNCTION("""COMPUTED_VALUE"""),3.98)</f>
        <v>3.98</v>
      </c>
      <c r="H5929" s="17"/>
      <c r="K5929" s="17"/>
      <c r="N5929" s="17"/>
    </row>
    <row r="5930">
      <c r="B5930" s="11">
        <f>IFERROR(__xludf.DUMMYFUNCTION("""COMPUTED_VALUE"""),37725.0)</f>
        <v>37725</v>
      </c>
      <c r="C5930" s="9">
        <f>IFERROR(__xludf.DUMMYFUNCTION("""COMPUTED_VALUE"""),4.04)</f>
        <v>4.04</v>
      </c>
      <c r="H5930" s="17"/>
      <c r="K5930" s="17"/>
      <c r="N5930" s="17"/>
    </row>
    <row r="5931">
      <c r="B5931" s="11">
        <f>IFERROR(__xludf.DUMMYFUNCTION("""COMPUTED_VALUE"""),37722.0)</f>
        <v>37722</v>
      </c>
      <c r="C5931" s="9">
        <f>IFERROR(__xludf.DUMMYFUNCTION("""COMPUTED_VALUE"""),4.0)</f>
        <v>4</v>
      </c>
      <c r="H5931" s="17"/>
      <c r="K5931" s="17"/>
      <c r="N5931" s="17"/>
    </row>
    <row r="5932">
      <c r="B5932" s="11">
        <f>IFERROR(__xludf.DUMMYFUNCTION("""COMPUTED_VALUE"""),37721.0)</f>
        <v>37721</v>
      </c>
      <c r="C5932" s="9">
        <f>IFERROR(__xludf.DUMMYFUNCTION("""COMPUTED_VALUE"""),3.95)</f>
        <v>3.95</v>
      </c>
      <c r="H5932" s="17"/>
      <c r="K5932" s="17"/>
      <c r="N5932" s="17"/>
    </row>
    <row r="5933">
      <c r="B5933" s="11">
        <f>IFERROR(__xludf.DUMMYFUNCTION("""COMPUTED_VALUE"""),37720.0)</f>
        <v>37720</v>
      </c>
      <c r="C5933" s="9">
        <f>IFERROR(__xludf.DUMMYFUNCTION("""COMPUTED_VALUE"""),3.93)</f>
        <v>3.93</v>
      </c>
      <c r="H5933" s="17"/>
      <c r="K5933" s="17"/>
      <c r="N5933" s="17"/>
    </row>
    <row r="5934">
      <c r="B5934" s="11">
        <f>IFERROR(__xludf.DUMMYFUNCTION("""COMPUTED_VALUE"""),37719.0)</f>
        <v>37719</v>
      </c>
      <c r="C5934" s="9">
        <f>IFERROR(__xludf.DUMMYFUNCTION("""COMPUTED_VALUE"""),3.95)</f>
        <v>3.95</v>
      </c>
      <c r="H5934" s="17"/>
      <c r="K5934" s="17"/>
      <c r="N5934" s="17"/>
    </row>
    <row r="5935">
      <c r="B5935" s="11">
        <f>IFERROR(__xludf.DUMMYFUNCTION("""COMPUTED_VALUE"""),37718.0)</f>
        <v>37718</v>
      </c>
      <c r="C5935" s="9">
        <f>IFERROR(__xludf.DUMMYFUNCTION("""COMPUTED_VALUE"""),4.03)</f>
        <v>4.03</v>
      </c>
      <c r="H5935" s="17"/>
      <c r="K5935" s="17"/>
      <c r="N5935" s="17"/>
    </row>
    <row r="5936">
      <c r="B5936" s="11">
        <f>IFERROR(__xludf.DUMMYFUNCTION("""COMPUTED_VALUE"""),37715.0)</f>
        <v>37715</v>
      </c>
      <c r="C5936" s="9">
        <f>IFERROR(__xludf.DUMMYFUNCTION("""COMPUTED_VALUE"""),3.96)</f>
        <v>3.96</v>
      </c>
      <c r="H5936" s="17"/>
      <c r="K5936" s="17"/>
      <c r="N5936" s="17"/>
    </row>
    <row r="5937">
      <c r="B5937" s="11">
        <f>IFERROR(__xludf.DUMMYFUNCTION("""COMPUTED_VALUE"""),37714.0)</f>
        <v>37714</v>
      </c>
      <c r="C5937" s="9">
        <f>IFERROR(__xludf.DUMMYFUNCTION("""COMPUTED_VALUE"""),3.93)</f>
        <v>3.93</v>
      </c>
      <c r="H5937" s="17"/>
      <c r="K5937" s="17"/>
      <c r="N5937" s="17"/>
    </row>
    <row r="5938">
      <c r="B5938" s="11">
        <f>IFERROR(__xludf.DUMMYFUNCTION("""COMPUTED_VALUE"""),37713.0)</f>
        <v>37713</v>
      </c>
      <c r="C5938" s="9">
        <f>IFERROR(__xludf.DUMMYFUNCTION("""COMPUTED_VALUE"""),3.94)</f>
        <v>3.94</v>
      </c>
      <c r="H5938" s="17"/>
      <c r="K5938" s="17"/>
      <c r="N5938" s="17"/>
    </row>
    <row r="5939">
      <c r="B5939" s="11">
        <f>IFERROR(__xludf.DUMMYFUNCTION("""COMPUTED_VALUE"""),37712.0)</f>
        <v>37712</v>
      </c>
      <c r="C5939" s="9">
        <f>IFERROR(__xludf.DUMMYFUNCTION("""COMPUTED_VALUE"""),3.84)</f>
        <v>3.84</v>
      </c>
      <c r="H5939" s="17"/>
      <c r="K5939" s="17"/>
      <c r="N5939" s="17"/>
    </row>
    <row r="5940">
      <c r="B5940" s="11">
        <f>IFERROR(__xludf.DUMMYFUNCTION("""COMPUTED_VALUE"""),37711.0)</f>
        <v>37711</v>
      </c>
      <c r="C5940" s="9">
        <f>IFERROR(__xludf.DUMMYFUNCTION("""COMPUTED_VALUE"""),3.83)</f>
        <v>3.83</v>
      </c>
      <c r="H5940" s="17"/>
      <c r="K5940" s="17"/>
      <c r="N5940" s="17"/>
    </row>
    <row r="5941">
      <c r="B5941" s="11">
        <f>IFERROR(__xludf.DUMMYFUNCTION("""COMPUTED_VALUE"""),37708.0)</f>
        <v>37708</v>
      </c>
      <c r="C5941" s="9">
        <f>IFERROR(__xludf.DUMMYFUNCTION("""COMPUTED_VALUE"""),3.92)</f>
        <v>3.92</v>
      </c>
      <c r="H5941" s="17"/>
      <c r="K5941" s="17"/>
      <c r="N5941" s="17"/>
    </row>
    <row r="5942">
      <c r="B5942" s="11">
        <f>IFERROR(__xludf.DUMMYFUNCTION("""COMPUTED_VALUE"""),37707.0)</f>
        <v>37707</v>
      </c>
      <c r="C5942" s="9">
        <f>IFERROR(__xludf.DUMMYFUNCTION("""COMPUTED_VALUE"""),3.95)</f>
        <v>3.95</v>
      </c>
      <c r="H5942" s="17"/>
      <c r="K5942" s="17"/>
      <c r="N5942" s="17"/>
    </row>
    <row r="5943">
      <c r="B5943" s="11">
        <f>IFERROR(__xludf.DUMMYFUNCTION("""COMPUTED_VALUE"""),37706.0)</f>
        <v>37706</v>
      </c>
      <c r="C5943" s="9">
        <f>IFERROR(__xludf.DUMMYFUNCTION("""COMPUTED_VALUE"""),3.96)</f>
        <v>3.96</v>
      </c>
      <c r="H5943" s="17"/>
      <c r="K5943" s="17"/>
      <c r="N5943" s="17"/>
    </row>
    <row r="5944">
      <c r="B5944" s="11">
        <f>IFERROR(__xludf.DUMMYFUNCTION("""COMPUTED_VALUE"""),37705.0)</f>
        <v>37705</v>
      </c>
      <c r="C5944" s="9">
        <f>IFERROR(__xludf.DUMMYFUNCTION("""COMPUTED_VALUE"""),3.97)</f>
        <v>3.97</v>
      </c>
      <c r="H5944" s="17"/>
      <c r="K5944" s="17"/>
      <c r="N5944" s="17"/>
    </row>
    <row r="5945">
      <c r="B5945" s="11">
        <f>IFERROR(__xludf.DUMMYFUNCTION("""COMPUTED_VALUE"""),37704.0)</f>
        <v>37704</v>
      </c>
      <c r="C5945" s="9">
        <f>IFERROR(__xludf.DUMMYFUNCTION("""COMPUTED_VALUE"""),3.98)</f>
        <v>3.98</v>
      </c>
      <c r="H5945" s="17"/>
      <c r="K5945" s="17"/>
      <c r="N5945" s="17"/>
    </row>
    <row r="5946">
      <c r="B5946" s="11">
        <f>IFERROR(__xludf.DUMMYFUNCTION("""COMPUTED_VALUE"""),37701.0)</f>
        <v>37701</v>
      </c>
      <c r="C5946" s="9">
        <f>IFERROR(__xludf.DUMMYFUNCTION("""COMPUTED_VALUE"""),4.11)</f>
        <v>4.11</v>
      </c>
      <c r="H5946" s="17"/>
      <c r="K5946" s="17"/>
      <c r="N5946" s="17"/>
    </row>
    <row r="5947">
      <c r="B5947" s="11">
        <f>IFERROR(__xludf.DUMMYFUNCTION("""COMPUTED_VALUE"""),37700.0)</f>
        <v>37700</v>
      </c>
      <c r="C5947" s="9">
        <f>IFERROR(__xludf.DUMMYFUNCTION("""COMPUTED_VALUE"""),4.01)</f>
        <v>4.01</v>
      </c>
      <c r="H5947" s="17"/>
      <c r="K5947" s="17"/>
      <c r="N5947" s="17"/>
    </row>
    <row r="5948">
      <c r="B5948" s="11">
        <f>IFERROR(__xludf.DUMMYFUNCTION("""COMPUTED_VALUE"""),37699.0)</f>
        <v>37699</v>
      </c>
      <c r="C5948" s="9">
        <f>IFERROR(__xludf.DUMMYFUNCTION("""COMPUTED_VALUE"""),3.98)</f>
        <v>3.98</v>
      </c>
      <c r="H5948" s="17"/>
      <c r="K5948" s="17"/>
      <c r="N5948" s="17"/>
    </row>
    <row r="5949">
      <c r="B5949" s="11">
        <f>IFERROR(__xludf.DUMMYFUNCTION("""COMPUTED_VALUE"""),37698.0)</f>
        <v>37698</v>
      </c>
      <c r="C5949" s="9">
        <f>IFERROR(__xludf.DUMMYFUNCTION("""COMPUTED_VALUE"""),3.91)</f>
        <v>3.91</v>
      </c>
      <c r="H5949" s="17"/>
      <c r="K5949" s="17"/>
      <c r="N5949" s="17"/>
    </row>
    <row r="5950">
      <c r="B5950" s="11">
        <f>IFERROR(__xludf.DUMMYFUNCTION("""COMPUTED_VALUE"""),37697.0)</f>
        <v>37697</v>
      </c>
      <c r="C5950" s="9">
        <f>IFERROR(__xludf.DUMMYFUNCTION("""COMPUTED_VALUE"""),3.82)</f>
        <v>3.82</v>
      </c>
      <c r="H5950" s="17"/>
      <c r="K5950" s="17"/>
      <c r="N5950" s="17"/>
    </row>
    <row r="5951">
      <c r="B5951" s="11">
        <f>IFERROR(__xludf.DUMMYFUNCTION("""COMPUTED_VALUE"""),37694.0)</f>
        <v>37694</v>
      </c>
      <c r="C5951" s="9">
        <f>IFERROR(__xludf.DUMMYFUNCTION("""COMPUTED_VALUE"""),3.72)</f>
        <v>3.72</v>
      </c>
      <c r="H5951" s="17"/>
      <c r="K5951" s="17"/>
      <c r="N5951" s="17"/>
    </row>
    <row r="5952">
      <c r="B5952" s="11">
        <f>IFERROR(__xludf.DUMMYFUNCTION("""COMPUTED_VALUE"""),37693.0)</f>
        <v>37693</v>
      </c>
      <c r="C5952" s="9">
        <f>IFERROR(__xludf.DUMMYFUNCTION("""COMPUTED_VALUE"""),3.74)</f>
        <v>3.74</v>
      </c>
      <c r="H5952" s="17"/>
      <c r="K5952" s="17"/>
      <c r="N5952" s="17"/>
    </row>
    <row r="5953">
      <c r="B5953" s="11">
        <f>IFERROR(__xludf.DUMMYFUNCTION("""COMPUTED_VALUE"""),37692.0)</f>
        <v>37692</v>
      </c>
      <c r="C5953" s="9">
        <f>IFERROR(__xludf.DUMMYFUNCTION("""COMPUTED_VALUE"""),3.6)</f>
        <v>3.6</v>
      </c>
      <c r="H5953" s="17"/>
      <c r="K5953" s="17"/>
      <c r="N5953" s="17"/>
    </row>
    <row r="5954">
      <c r="B5954" s="11">
        <f>IFERROR(__xludf.DUMMYFUNCTION("""COMPUTED_VALUE"""),37691.0)</f>
        <v>37691</v>
      </c>
      <c r="C5954" s="9">
        <f>IFERROR(__xludf.DUMMYFUNCTION("""COMPUTED_VALUE"""),3.6)</f>
        <v>3.6</v>
      </c>
      <c r="H5954" s="17"/>
      <c r="K5954" s="17"/>
      <c r="N5954" s="17"/>
    </row>
    <row r="5955">
      <c r="B5955" s="11">
        <f>IFERROR(__xludf.DUMMYFUNCTION("""COMPUTED_VALUE"""),37690.0)</f>
        <v>37690</v>
      </c>
      <c r="C5955" s="9">
        <f>IFERROR(__xludf.DUMMYFUNCTION("""COMPUTED_VALUE"""),3.59)</f>
        <v>3.59</v>
      </c>
      <c r="H5955" s="17"/>
      <c r="K5955" s="17"/>
      <c r="N5955" s="17"/>
    </row>
    <row r="5956">
      <c r="B5956" s="11">
        <f>IFERROR(__xludf.DUMMYFUNCTION("""COMPUTED_VALUE"""),37687.0)</f>
        <v>37687</v>
      </c>
      <c r="C5956" s="9">
        <f>IFERROR(__xludf.DUMMYFUNCTION("""COMPUTED_VALUE"""),3.63)</f>
        <v>3.63</v>
      </c>
      <c r="H5956" s="17"/>
      <c r="K5956" s="17"/>
      <c r="N5956" s="17"/>
    </row>
    <row r="5957">
      <c r="B5957" s="11">
        <f>IFERROR(__xludf.DUMMYFUNCTION("""COMPUTED_VALUE"""),37686.0)</f>
        <v>37686</v>
      </c>
      <c r="C5957" s="9">
        <f>IFERROR(__xludf.DUMMYFUNCTION("""COMPUTED_VALUE"""),3.67)</f>
        <v>3.67</v>
      </c>
      <c r="H5957" s="17"/>
      <c r="K5957" s="17"/>
      <c r="N5957" s="17"/>
    </row>
    <row r="5958">
      <c r="B5958" s="11">
        <f>IFERROR(__xludf.DUMMYFUNCTION("""COMPUTED_VALUE"""),37685.0)</f>
        <v>37685</v>
      </c>
      <c r="C5958" s="9">
        <f>IFERROR(__xludf.DUMMYFUNCTION("""COMPUTED_VALUE"""),3.63)</f>
        <v>3.63</v>
      </c>
      <c r="H5958" s="17"/>
      <c r="K5958" s="17"/>
      <c r="N5958" s="17"/>
    </row>
    <row r="5959">
      <c r="B5959" s="11">
        <f>IFERROR(__xludf.DUMMYFUNCTION("""COMPUTED_VALUE"""),37684.0)</f>
        <v>37684</v>
      </c>
      <c r="C5959" s="9">
        <f>IFERROR(__xludf.DUMMYFUNCTION("""COMPUTED_VALUE"""),3.65)</f>
        <v>3.65</v>
      </c>
      <c r="H5959" s="17"/>
      <c r="K5959" s="17"/>
      <c r="N5959" s="17"/>
    </row>
    <row r="5960">
      <c r="B5960" s="11">
        <f>IFERROR(__xludf.DUMMYFUNCTION("""COMPUTED_VALUE"""),37683.0)</f>
        <v>37683</v>
      </c>
      <c r="C5960" s="9">
        <f>IFERROR(__xludf.DUMMYFUNCTION("""COMPUTED_VALUE"""),3.68)</f>
        <v>3.68</v>
      </c>
      <c r="H5960" s="17"/>
      <c r="K5960" s="17"/>
      <c r="N5960" s="17"/>
    </row>
    <row r="5961">
      <c r="B5961" s="11">
        <f>IFERROR(__xludf.DUMMYFUNCTION("""COMPUTED_VALUE"""),37680.0)</f>
        <v>37680</v>
      </c>
      <c r="C5961" s="9">
        <f>IFERROR(__xludf.DUMMYFUNCTION("""COMPUTED_VALUE"""),3.71)</f>
        <v>3.71</v>
      </c>
      <c r="H5961" s="17"/>
      <c r="K5961" s="17"/>
      <c r="N5961" s="17"/>
    </row>
    <row r="5962">
      <c r="B5962" s="11">
        <f>IFERROR(__xludf.DUMMYFUNCTION("""COMPUTED_VALUE"""),37679.0)</f>
        <v>37679</v>
      </c>
      <c r="C5962" s="9">
        <f>IFERROR(__xludf.DUMMYFUNCTION("""COMPUTED_VALUE"""),3.76)</f>
        <v>3.76</v>
      </c>
      <c r="H5962" s="17"/>
      <c r="K5962" s="17"/>
      <c r="N5962" s="17"/>
    </row>
    <row r="5963">
      <c r="B5963" s="11">
        <f>IFERROR(__xludf.DUMMYFUNCTION("""COMPUTED_VALUE"""),37678.0)</f>
        <v>37678</v>
      </c>
      <c r="C5963" s="9">
        <f>IFERROR(__xludf.DUMMYFUNCTION("""COMPUTED_VALUE"""),3.78)</f>
        <v>3.78</v>
      </c>
      <c r="H5963" s="17"/>
      <c r="K5963" s="17"/>
      <c r="N5963" s="17"/>
    </row>
    <row r="5964">
      <c r="B5964" s="11">
        <f>IFERROR(__xludf.DUMMYFUNCTION("""COMPUTED_VALUE"""),37677.0)</f>
        <v>37677</v>
      </c>
      <c r="C5964" s="9">
        <f>IFERROR(__xludf.DUMMYFUNCTION("""COMPUTED_VALUE"""),3.81)</f>
        <v>3.81</v>
      </c>
      <c r="H5964" s="17"/>
      <c r="K5964" s="17"/>
      <c r="N5964" s="17"/>
    </row>
    <row r="5965">
      <c r="B5965" s="11">
        <f>IFERROR(__xludf.DUMMYFUNCTION("""COMPUTED_VALUE"""),37676.0)</f>
        <v>37676</v>
      </c>
      <c r="C5965" s="9">
        <f>IFERROR(__xludf.DUMMYFUNCTION("""COMPUTED_VALUE"""),3.86)</f>
        <v>3.86</v>
      </c>
      <c r="H5965" s="17"/>
      <c r="K5965" s="17"/>
      <c r="N5965" s="17"/>
    </row>
    <row r="5966">
      <c r="B5966" s="11">
        <f>IFERROR(__xludf.DUMMYFUNCTION("""COMPUTED_VALUE"""),37673.0)</f>
        <v>37673</v>
      </c>
      <c r="C5966" s="9">
        <f>IFERROR(__xludf.DUMMYFUNCTION("""COMPUTED_VALUE"""),3.9)</f>
        <v>3.9</v>
      </c>
      <c r="H5966" s="17"/>
      <c r="K5966" s="17"/>
      <c r="N5966" s="17"/>
    </row>
    <row r="5967">
      <c r="B5967" s="11">
        <f>IFERROR(__xludf.DUMMYFUNCTION("""COMPUTED_VALUE"""),37672.0)</f>
        <v>37672</v>
      </c>
      <c r="C5967" s="9">
        <f>IFERROR(__xludf.DUMMYFUNCTION("""COMPUTED_VALUE"""),3.85)</f>
        <v>3.85</v>
      </c>
      <c r="H5967" s="17"/>
      <c r="K5967" s="17"/>
      <c r="N5967" s="17"/>
    </row>
    <row r="5968">
      <c r="B5968" s="11">
        <f>IFERROR(__xludf.DUMMYFUNCTION("""COMPUTED_VALUE"""),37671.0)</f>
        <v>37671</v>
      </c>
      <c r="C5968" s="9">
        <f>IFERROR(__xludf.DUMMYFUNCTION("""COMPUTED_VALUE"""),3.88)</f>
        <v>3.88</v>
      </c>
      <c r="H5968" s="17"/>
      <c r="K5968" s="17"/>
      <c r="N5968" s="17"/>
    </row>
    <row r="5969">
      <c r="B5969" s="11">
        <f>IFERROR(__xludf.DUMMYFUNCTION("""COMPUTED_VALUE"""),37670.0)</f>
        <v>37670</v>
      </c>
      <c r="C5969" s="9">
        <f>IFERROR(__xludf.DUMMYFUNCTION("""COMPUTED_VALUE"""),3.94)</f>
        <v>3.94</v>
      </c>
      <c r="H5969" s="17"/>
      <c r="K5969" s="17"/>
      <c r="N5969" s="17"/>
    </row>
    <row r="5970">
      <c r="B5970" s="11">
        <f>IFERROR(__xludf.DUMMYFUNCTION("""COMPUTED_VALUE"""),37669.0)</f>
        <v>37669</v>
      </c>
      <c r="C5970" s="9"/>
      <c r="H5970" s="17"/>
      <c r="K5970" s="17"/>
      <c r="N5970" s="17"/>
    </row>
    <row r="5971">
      <c r="B5971" s="11">
        <f>IFERROR(__xludf.DUMMYFUNCTION("""COMPUTED_VALUE"""),37666.0)</f>
        <v>37666</v>
      </c>
      <c r="C5971" s="9">
        <f>IFERROR(__xludf.DUMMYFUNCTION("""COMPUTED_VALUE"""),3.95)</f>
        <v>3.95</v>
      </c>
      <c r="H5971" s="17"/>
      <c r="K5971" s="17"/>
      <c r="N5971" s="17"/>
    </row>
    <row r="5972">
      <c r="B5972" s="11">
        <f>IFERROR(__xludf.DUMMYFUNCTION("""COMPUTED_VALUE"""),37665.0)</f>
        <v>37665</v>
      </c>
      <c r="C5972" s="9">
        <f>IFERROR(__xludf.DUMMYFUNCTION("""COMPUTED_VALUE"""),3.89)</f>
        <v>3.89</v>
      </c>
      <c r="H5972" s="17"/>
      <c r="K5972" s="17"/>
      <c r="N5972" s="17"/>
    </row>
    <row r="5973">
      <c r="B5973" s="11">
        <f>IFERROR(__xludf.DUMMYFUNCTION("""COMPUTED_VALUE"""),37664.0)</f>
        <v>37664</v>
      </c>
      <c r="C5973" s="9">
        <f>IFERROR(__xludf.DUMMYFUNCTION("""COMPUTED_VALUE"""),3.93)</f>
        <v>3.93</v>
      </c>
      <c r="H5973" s="17"/>
      <c r="K5973" s="17"/>
      <c r="N5973" s="17"/>
    </row>
    <row r="5974">
      <c r="B5974" s="11">
        <f>IFERROR(__xludf.DUMMYFUNCTION("""COMPUTED_VALUE"""),37663.0)</f>
        <v>37663</v>
      </c>
      <c r="C5974" s="9">
        <f>IFERROR(__xludf.DUMMYFUNCTION("""COMPUTED_VALUE"""),3.98)</f>
        <v>3.98</v>
      </c>
      <c r="H5974" s="17"/>
      <c r="K5974" s="17"/>
      <c r="N5974" s="17"/>
    </row>
    <row r="5975">
      <c r="B5975" s="11">
        <f>IFERROR(__xludf.DUMMYFUNCTION("""COMPUTED_VALUE"""),37662.0)</f>
        <v>37662</v>
      </c>
      <c r="C5975" s="9">
        <f>IFERROR(__xludf.DUMMYFUNCTION("""COMPUTED_VALUE"""),3.99)</f>
        <v>3.99</v>
      </c>
      <c r="H5975" s="17"/>
      <c r="K5975" s="17"/>
      <c r="N5975" s="17"/>
    </row>
    <row r="5976">
      <c r="B5976" s="11">
        <f>IFERROR(__xludf.DUMMYFUNCTION("""COMPUTED_VALUE"""),37659.0)</f>
        <v>37659</v>
      </c>
      <c r="C5976" s="9">
        <f>IFERROR(__xludf.DUMMYFUNCTION("""COMPUTED_VALUE"""),3.96)</f>
        <v>3.96</v>
      </c>
      <c r="H5976" s="17"/>
      <c r="K5976" s="17"/>
      <c r="N5976" s="17"/>
    </row>
    <row r="5977">
      <c r="B5977" s="11">
        <f>IFERROR(__xludf.DUMMYFUNCTION("""COMPUTED_VALUE"""),37658.0)</f>
        <v>37658</v>
      </c>
      <c r="C5977" s="9">
        <f>IFERROR(__xludf.DUMMYFUNCTION("""COMPUTED_VALUE"""),3.97)</f>
        <v>3.97</v>
      </c>
      <c r="H5977" s="17"/>
      <c r="K5977" s="17"/>
      <c r="N5977" s="17"/>
    </row>
    <row r="5978">
      <c r="B5978" s="11">
        <f>IFERROR(__xludf.DUMMYFUNCTION("""COMPUTED_VALUE"""),37657.0)</f>
        <v>37657</v>
      </c>
      <c r="C5978" s="9">
        <f>IFERROR(__xludf.DUMMYFUNCTION("""COMPUTED_VALUE"""),4.02)</f>
        <v>4.02</v>
      </c>
      <c r="H5978" s="17"/>
      <c r="K5978" s="17"/>
      <c r="N5978" s="17"/>
    </row>
    <row r="5979">
      <c r="B5979" s="11">
        <f>IFERROR(__xludf.DUMMYFUNCTION("""COMPUTED_VALUE"""),37656.0)</f>
        <v>37656</v>
      </c>
      <c r="C5979" s="9">
        <f>IFERROR(__xludf.DUMMYFUNCTION("""COMPUTED_VALUE"""),3.96)</f>
        <v>3.96</v>
      </c>
      <c r="H5979" s="17"/>
      <c r="K5979" s="17"/>
      <c r="N5979" s="17"/>
    </row>
    <row r="5980">
      <c r="B5980" s="11">
        <f>IFERROR(__xludf.DUMMYFUNCTION("""COMPUTED_VALUE"""),37655.0)</f>
        <v>37655</v>
      </c>
      <c r="C5980" s="9">
        <f>IFERROR(__xludf.DUMMYFUNCTION("""COMPUTED_VALUE"""),4.01)</f>
        <v>4.01</v>
      </c>
      <c r="H5980" s="17"/>
      <c r="K5980" s="17"/>
      <c r="N5980" s="17"/>
    </row>
    <row r="5981">
      <c r="B5981" s="11">
        <f>IFERROR(__xludf.DUMMYFUNCTION("""COMPUTED_VALUE"""),37652.0)</f>
        <v>37652</v>
      </c>
      <c r="C5981" s="9">
        <f>IFERROR(__xludf.DUMMYFUNCTION("""COMPUTED_VALUE"""),4.0)</f>
        <v>4</v>
      </c>
      <c r="H5981" s="17"/>
      <c r="K5981" s="17"/>
      <c r="N5981" s="17"/>
    </row>
    <row r="5982">
      <c r="B5982" s="11">
        <f>IFERROR(__xludf.DUMMYFUNCTION("""COMPUTED_VALUE"""),37651.0)</f>
        <v>37651</v>
      </c>
      <c r="C5982" s="9">
        <f>IFERROR(__xludf.DUMMYFUNCTION("""COMPUTED_VALUE"""),4.0)</f>
        <v>4</v>
      </c>
      <c r="H5982" s="17"/>
      <c r="K5982" s="17"/>
      <c r="N5982" s="17"/>
    </row>
    <row r="5983">
      <c r="B5983" s="11">
        <f>IFERROR(__xludf.DUMMYFUNCTION("""COMPUTED_VALUE"""),37650.0)</f>
        <v>37650</v>
      </c>
      <c r="C5983" s="9">
        <f>IFERROR(__xludf.DUMMYFUNCTION("""COMPUTED_VALUE"""),4.06)</f>
        <v>4.06</v>
      </c>
      <c r="H5983" s="17"/>
      <c r="K5983" s="17"/>
      <c r="N5983" s="17"/>
    </row>
    <row r="5984">
      <c r="B5984" s="11">
        <f>IFERROR(__xludf.DUMMYFUNCTION("""COMPUTED_VALUE"""),37649.0)</f>
        <v>37649</v>
      </c>
      <c r="C5984" s="9">
        <f>IFERROR(__xludf.DUMMYFUNCTION("""COMPUTED_VALUE"""),4.0)</f>
        <v>4</v>
      </c>
      <c r="H5984" s="17"/>
      <c r="K5984" s="17"/>
      <c r="N5984" s="17"/>
    </row>
    <row r="5985">
      <c r="B5985" s="11">
        <f>IFERROR(__xludf.DUMMYFUNCTION("""COMPUTED_VALUE"""),37648.0)</f>
        <v>37648</v>
      </c>
      <c r="C5985" s="9">
        <f>IFERROR(__xludf.DUMMYFUNCTION("""COMPUTED_VALUE"""),3.98)</f>
        <v>3.98</v>
      </c>
      <c r="H5985" s="17"/>
      <c r="K5985" s="17"/>
      <c r="N5985" s="17"/>
    </row>
    <row r="5986">
      <c r="B5986" s="11">
        <f>IFERROR(__xludf.DUMMYFUNCTION("""COMPUTED_VALUE"""),37645.0)</f>
        <v>37645</v>
      </c>
      <c r="C5986" s="9">
        <f>IFERROR(__xludf.DUMMYFUNCTION("""COMPUTED_VALUE"""),3.94)</f>
        <v>3.94</v>
      </c>
      <c r="H5986" s="17"/>
      <c r="K5986" s="17"/>
      <c r="N5986" s="17"/>
    </row>
    <row r="5987">
      <c r="B5987" s="11">
        <f>IFERROR(__xludf.DUMMYFUNCTION("""COMPUTED_VALUE"""),37644.0)</f>
        <v>37644</v>
      </c>
      <c r="C5987" s="9">
        <f>IFERROR(__xludf.DUMMYFUNCTION("""COMPUTED_VALUE"""),3.98)</f>
        <v>3.98</v>
      </c>
      <c r="H5987" s="17"/>
      <c r="K5987" s="17"/>
      <c r="N5987" s="17"/>
    </row>
    <row r="5988">
      <c r="B5988" s="11">
        <f>IFERROR(__xludf.DUMMYFUNCTION("""COMPUTED_VALUE"""),37643.0)</f>
        <v>37643</v>
      </c>
      <c r="C5988" s="9">
        <f>IFERROR(__xludf.DUMMYFUNCTION("""COMPUTED_VALUE"""),3.95)</f>
        <v>3.95</v>
      </c>
      <c r="H5988" s="17"/>
      <c r="K5988" s="17"/>
      <c r="N5988" s="17"/>
    </row>
    <row r="5989">
      <c r="B5989" s="11">
        <f>IFERROR(__xludf.DUMMYFUNCTION("""COMPUTED_VALUE"""),37642.0)</f>
        <v>37642</v>
      </c>
      <c r="C5989" s="9">
        <f>IFERROR(__xludf.DUMMYFUNCTION("""COMPUTED_VALUE"""),4.01)</f>
        <v>4.01</v>
      </c>
      <c r="H5989" s="17"/>
      <c r="K5989" s="17"/>
      <c r="N5989" s="17"/>
    </row>
    <row r="5990">
      <c r="B5990" s="11">
        <f>IFERROR(__xludf.DUMMYFUNCTION("""COMPUTED_VALUE"""),37641.0)</f>
        <v>37641</v>
      </c>
      <c r="C5990" s="9"/>
      <c r="H5990" s="17"/>
      <c r="K5990" s="17"/>
      <c r="N5990" s="17"/>
    </row>
    <row r="5991">
      <c r="B5991" s="11">
        <f>IFERROR(__xludf.DUMMYFUNCTION("""COMPUTED_VALUE"""),37638.0)</f>
        <v>37638</v>
      </c>
      <c r="C5991" s="9">
        <f>IFERROR(__xludf.DUMMYFUNCTION("""COMPUTED_VALUE"""),4.05)</f>
        <v>4.05</v>
      </c>
      <c r="H5991" s="17"/>
      <c r="K5991" s="17"/>
      <c r="N5991" s="17"/>
    </row>
    <row r="5992">
      <c r="B5992" s="11">
        <f>IFERROR(__xludf.DUMMYFUNCTION("""COMPUTED_VALUE"""),37637.0)</f>
        <v>37637</v>
      </c>
      <c r="C5992" s="9">
        <f>IFERROR(__xludf.DUMMYFUNCTION("""COMPUTED_VALUE"""),4.1)</f>
        <v>4.1</v>
      </c>
      <c r="H5992" s="17"/>
      <c r="K5992" s="17"/>
      <c r="N5992" s="17"/>
    </row>
    <row r="5993">
      <c r="B5993" s="11">
        <f>IFERROR(__xludf.DUMMYFUNCTION("""COMPUTED_VALUE"""),37636.0)</f>
        <v>37636</v>
      </c>
      <c r="C5993" s="9">
        <f>IFERROR(__xludf.DUMMYFUNCTION("""COMPUTED_VALUE"""),4.1)</f>
        <v>4.1</v>
      </c>
      <c r="H5993" s="17"/>
      <c r="K5993" s="17"/>
      <c r="N5993" s="17"/>
    </row>
    <row r="5994">
      <c r="B5994" s="11">
        <f>IFERROR(__xludf.DUMMYFUNCTION("""COMPUTED_VALUE"""),37635.0)</f>
        <v>37635</v>
      </c>
      <c r="C5994" s="9">
        <f>IFERROR(__xludf.DUMMYFUNCTION("""COMPUTED_VALUE"""),4.1)</f>
        <v>4.1</v>
      </c>
      <c r="H5994" s="17"/>
      <c r="K5994" s="17"/>
      <c r="N5994" s="17"/>
    </row>
    <row r="5995">
      <c r="B5995" s="11">
        <f>IFERROR(__xludf.DUMMYFUNCTION("""COMPUTED_VALUE"""),37634.0)</f>
        <v>37634</v>
      </c>
      <c r="C5995" s="9">
        <f>IFERROR(__xludf.DUMMYFUNCTION("""COMPUTED_VALUE"""),4.15)</f>
        <v>4.15</v>
      </c>
      <c r="H5995" s="17"/>
      <c r="K5995" s="17"/>
      <c r="N5995" s="17"/>
    </row>
    <row r="5996">
      <c r="B5996" s="11">
        <f>IFERROR(__xludf.DUMMYFUNCTION("""COMPUTED_VALUE"""),37631.0)</f>
        <v>37631</v>
      </c>
      <c r="C5996" s="9">
        <f>IFERROR(__xludf.DUMMYFUNCTION("""COMPUTED_VALUE"""),4.16)</f>
        <v>4.16</v>
      </c>
      <c r="H5996" s="17"/>
      <c r="K5996" s="17"/>
      <c r="N5996" s="17"/>
    </row>
    <row r="5997">
      <c r="B5997" s="11">
        <f>IFERROR(__xludf.DUMMYFUNCTION("""COMPUTED_VALUE"""),37630.0)</f>
        <v>37630</v>
      </c>
      <c r="C5997" s="9">
        <f>IFERROR(__xludf.DUMMYFUNCTION("""COMPUTED_VALUE"""),4.19)</f>
        <v>4.19</v>
      </c>
      <c r="H5997" s="17"/>
      <c r="K5997" s="17"/>
      <c r="N5997" s="17"/>
    </row>
    <row r="5998">
      <c r="B5998" s="11">
        <f>IFERROR(__xludf.DUMMYFUNCTION("""COMPUTED_VALUE"""),37629.0)</f>
        <v>37629</v>
      </c>
      <c r="C5998" s="9">
        <f>IFERROR(__xludf.DUMMYFUNCTION("""COMPUTED_VALUE"""),4.0)</f>
        <v>4</v>
      </c>
      <c r="H5998" s="17"/>
      <c r="K5998" s="17"/>
      <c r="N5998" s="17"/>
    </row>
    <row r="5999">
      <c r="B5999" s="11">
        <f>IFERROR(__xludf.DUMMYFUNCTION("""COMPUTED_VALUE"""),37628.0)</f>
        <v>37628</v>
      </c>
      <c r="C5999" s="9">
        <f>IFERROR(__xludf.DUMMYFUNCTION("""COMPUTED_VALUE"""),4.04)</f>
        <v>4.04</v>
      </c>
      <c r="H5999" s="17"/>
      <c r="K5999" s="17"/>
      <c r="N5999" s="17"/>
    </row>
    <row r="6000">
      <c r="B6000" s="11">
        <f>IFERROR(__xludf.DUMMYFUNCTION("""COMPUTED_VALUE"""),37627.0)</f>
        <v>37627</v>
      </c>
      <c r="C6000" s="9">
        <f>IFERROR(__xludf.DUMMYFUNCTION("""COMPUTED_VALUE"""),4.09)</f>
        <v>4.09</v>
      </c>
      <c r="H6000" s="17"/>
      <c r="K6000" s="17"/>
      <c r="N6000" s="17"/>
    </row>
    <row r="6001">
      <c r="B6001" s="11">
        <f>IFERROR(__xludf.DUMMYFUNCTION("""COMPUTED_VALUE"""),37624.0)</f>
        <v>37624</v>
      </c>
      <c r="C6001" s="9">
        <f>IFERROR(__xludf.DUMMYFUNCTION("""COMPUTED_VALUE"""),4.05)</f>
        <v>4.05</v>
      </c>
      <c r="H6001" s="17"/>
      <c r="K6001" s="17"/>
      <c r="N6001" s="17"/>
    </row>
    <row r="6002">
      <c r="B6002" s="11">
        <f>IFERROR(__xludf.DUMMYFUNCTION("""COMPUTED_VALUE"""),37623.0)</f>
        <v>37623</v>
      </c>
      <c r="C6002" s="9">
        <f>IFERROR(__xludf.DUMMYFUNCTION("""COMPUTED_VALUE"""),4.07)</f>
        <v>4.07</v>
      </c>
      <c r="H6002" s="17"/>
      <c r="K6002" s="17"/>
      <c r="N6002" s="17"/>
    </row>
    <row r="6003">
      <c r="B6003" s="11">
        <f>IFERROR(__xludf.DUMMYFUNCTION("""COMPUTED_VALUE"""),37622.0)</f>
        <v>37622</v>
      </c>
      <c r="C6003" s="9"/>
      <c r="H6003" s="17"/>
      <c r="K6003" s="17"/>
      <c r="N6003" s="17"/>
    </row>
    <row r="6004">
      <c r="B6004" s="11">
        <f>IFERROR(__xludf.DUMMYFUNCTION("""COMPUTED_VALUE"""),37621.0)</f>
        <v>37621</v>
      </c>
      <c r="C6004" s="9">
        <f>IFERROR(__xludf.DUMMYFUNCTION("""COMPUTED_VALUE"""),3.83)</f>
        <v>3.83</v>
      </c>
      <c r="H6004" s="17"/>
      <c r="K6004" s="17"/>
      <c r="N6004" s="17"/>
    </row>
    <row r="6005">
      <c r="B6005" s="11">
        <f>IFERROR(__xludf.DUMMYFUNCTION("""COMPUTED_VALUE"""),37620.0)</f>
        <v>37620</v>
      </c>
      <c r="C6005" s="9">
        <f>IFERROR(__xludf.DUMMYFUNCTION("""COMPUTED_VALUE"""),3.82)</f>
        <v>3.82</v>
      </c>
      <c r="H6005" s="17"/>
      <c r="K6005" s="17"/>
      <c r="N6005" s="17"/>
    </row>
    <row r="6006">
      <c r="B6006" s="11">
        <f>IFERROR(__xludf.DUMMYFUNCTION("""COMPUTED_VALUE"""),37617.0)</f>
        <v>37617</v>
      </c>
      <c r="C6006" s="9">
        <f>IFERROR(__xludf.DUMMYFUNCTION("""COMPUTED_VALUE"""),3.83)</f>
        <v>3.83</v>
      </c>
      <c r="H6006" s="17"/>
      <c r="K6006" s="17"/>
      <c r="N6006" s="17"/>
    </row>
    <row r="6007">
      <c r="B6007" s="11">
        <f>IFERROR(__xludf.DUMMYFUNCTION("""COMPUTED_VALUE"""),37616.0)</f>
        <v>37616</v>
      </c>
      <c r="C6007" s="9">
        <f>IFERROR(__xludf.DUMMYFUNCTION("""COMPUTED_VALUE"""),3.93)</f>
        <v>3.93</v>
      </c>
      <c r="H6007" s="17"/>
      <c r="K6007" s="17"/>
      <c r="N6007" s="17"/>
    </row>
    <row r="6008">
      <c r="B6008" s="11">
        <f>IFERROR(__xludf.DUMMYFUNCTION("""COMPUTED_VALUE"""),37615.0)</f>
        <v>37615</v>
      </c>
      <c r="C6008" s="9"/>
      <c r="H6008" s="17"/>
      <c r="K6008" s="17"/>
      <c r="N6008" s="17"/>
    </row>
    <row r="6009">
      <c r="B6009" s="11">
        <f>IFERROR(__xludf.DUMMYFUNCTION("""COMPUTED_VALUE"""),37614.0)</f>
        <v>37614</v>
      </c>
      <c r="C6009" s="9">
        <f>IFERROR(__xludf.DUMMYFUNCTION("""COMPUTED_VALUE"""),3.95)</f>
        <v>3.95</v>
      </c>
      <c r="H6009" s="17"/>
      <c r="K6009" s="17"/>
      <c r="N6009" s="17"/>
    </row>
    <row r="6010">
      <c r="B6010" s="11">
        <f>IFERROR(__xludf.DUMMYFUNCTION("""COMPUTED_VALUE"""),37613.0)</f>
        <v>37613</v>
      </c>
      <c r="C6010" s="9">
        <f>IFERROR(__xludf.DUMMYFUNCTION("""COMPUTED_VALUE"""),3.98)</f>
        <v>3.98</v>
      </c>
      <c r="H6010" s="17"/>
      <c r="K6010" s="17"/>
      <c r="N6010" s="17"/>
    </row>
    <row r="6011">
      <c r="B6011" s="11">
        <f>IFERROR(__xludf.DUMMYFUNCTION("""COMPUTED_VALUE"""),37610.0)</f>
        <v>37610</v>
      </c>
      <c r="C6011" s="9">
        <f>IFERROR(__xludf.DUMMYFUNCTION("""COMPUTED_VALUE"""),3.97)</f>
        <v>3.97</v>
      </c>
      <c r="H6011" s="17"/>
      <c r="K6011" s="17"/>
      <c r="N6011" s="17"/>
    </row>
    <row r="6012">
      <c r="B6012" s="11">
        <f>IFERROR(__xludf.DUMMYFUNCTION("""COMPUTED_VALUE"""),37609.0)</f>
        <v>37609</v>
      </c>
      <c r="C6012" s="9">
        <f>IFERROR(__xludf.DUMMYFUNCTION("""COMPUTED_VALUE"""),3.96)</f>
        <v>3.96</v>
      </c>
      <c r="H6012" s="17"/>
      <c r="K6012" s="17"/>
      <c r="N6012" s="17"/>
    </row>
    <row r="6013">
      <c r="B6013" s="11">
        <f>IFERROR(__xludf.DUMMYFUNCTION("""COMPUTED_VALUE"""),37608.0)</f>
        <v>37608</v>
      </c>
      <c r="C6013" s="9">
        <f>IFERROR(__xludf.DUMMYFUNCTION("""COMPUTED_VALUE"""),4.06)</f>
        <v>4.06</v>
      </c>
      <c r="H6013" s="17"/>
      <c r="K6013" s="17"/>
      <c r="N6013" s="17"/>
    </row>
    <row r="6014">
      <c r="B6014" s="11">
        <f>IFERROR(__xludf.DUMMYFUNCTION("""COMPUTED_VALUE"""),37607.0)</f>
        <v>37607</v>
      </c>
      <c r="C6014" s="9">
        <f>IFERROR(__xludf.DUMMYFUNCTION("""COMPUTED_VALUE"""),4.13)</f>
        <v>4.13</v>
      </c>
      <c r="H6014" s="17"/>
      <c r="K6014" s="17"/>
      <c r="N6014" s="17"/>
    </row>
    <row r="6015">
      <c r="B6015" s="11">
        <f>IFERROR(__xludf.DUMMYFUNCTION("""COMPUTED_VALUE"""),37606.0)</f>
        <v>37606</v>
      </c>
      <c r="C6015" s="9">
        <f>IFERROR(__xludf.DUMMYFUNCTION("""COMPUTED_VALUE"""),4.15)</f>
        <v>4.15</v>
      </c>
      <c r="H6015" s="17"/>
      <c r="K6015" s="17"/>
      <c r="N6015" s="17"/>
    </row>
    <row r="6016">
      <c r="B6016" s="11">
        <f>IFERROR(__xludf.DUMMYFUNCTION("""COMPUTED_VALUE"""),37603.0)</f>
        <v>37603</v>
      </c>
      <c r="C6016" s="9">
        <f>IFERROR(__xludf.DUMMYFUNCTION("""COMPUTED_VALUE"""),4.07)</f>
        <v>4.07</v>
      </c>
      <c r="H6016" s="17"/>
      <c r="K6016" s="17"/>
      <c r="N6016" s="17"/>
    </row>
    <row r="6017">
      <c r="B6017" s="11">
        <f>IFERROR(__xludf.DUMMYFUNCTION("""COMPUTED_VALUE"""),37602.0)</f>
        <v>37602</v>
      </c>
      <c r="C6017" s="9">
        <f>IFERROR(__xludf.DUMMYFUNCTION("""COMPUTED_VALUE"""),4.01)</f>
        <v>4.01</v>
      </c>
      <c r="H6017" s="17"/>
      <c r="K6017" s="17"/>
      <c r="N6017" s="17"/>
    </row>
    <row r="6018">
      <c r="B6018" s="11">
        <f>IFERROR(__xludf.DUMMYFUNCTION("""COMPUTED_VALUE"""),37601.0)</f>
        <v>37601</v>
      </c>
      <c r="C6018" s="9">
        <f>IFERROR(__xludf.DUMMYFUNCTION("""COMPUTED_VALUE"""),4.01)</f>
        <v>4.01</v>
      </c>
      <c r="H6018" s="17"/>
      <c r="K6018" s="17"/>
      <c r="N6018" s="17"/>
    </row>
    <row r="6019">
      <c r="B6019" s="11">
        <f>IFERROR(__xludf.DUMMYFUNCTION("""COMPUTED_VALUE"""),37600.0)</f>
        <v>37600</v>
      </c>
      <c r="C6019" s="9">
        <f>IFERROR(__xludf.DUMMYFUNCTION("""COMPUTED_VALUE"""),4.06)</f>
        <v>4.06</v>
      </c>
      <c r="H6019" s="17"/>
      <c r="K6019" s="17"/>
      <c r="N6019" s="17"/>
    </row>
    <row r="6020">
      <c r="B6020" s="11">
        <f>IFERROR(__xludf.DUMMYFUNCTION("""COMPUTED_VALUE"""),37599.0)</f>
        <v>37599</v>
      </c>
      <c r="C6020" s="9">
        <f>IFERROR(__xludf.DUMMYFUNCTION("""COMPUTED_VALUE"""),4.06)</f>
        <v>4.06</v>
      </c>
      <c r="H6020" s="17"/>
      <c r="K6020" s="17"/>
      <c r="N6020" s="17"/>
    </row>
    <row r="6021">
      <c r="B6021" s="11">
        <f>IFERROR(__xludf.DUMMYFUNCTION("""COMPUTED_VALUE"""),37596.0)</f>
        <v>37596</v>
      </c>
      <c r="C6021" s="9">
        <f>IFERROR(__xludf.DUMMYFUNCTION("""COMPUTED_VALUE"""),4.09)</f>
        <v>4.09</v>
      </c>
      <c r="H6021" s="17"/>
      <c r="K6021" s="17"/>
      <c r="N6021" s="17"/>
    </row>
    <row r="6022">
      <c r="B6022" s="11">
        <f>IFERROR(__xludf.DUMMYFUNCTION("""COMPUTED_VALUE"""),37595.0)</f>
        <v>37595</v>
      </c>
      <c r="C6022" s="9">
        <f>IFERROR(__xludf.DUMMYFUNCTION("""COMPUTED_VALUE"""),4.13)</f>
        <v>4.13</v>
      </c>
      <c r="H6022" s="17"/>
      <c r="K6022" s="17"/>
      <c r="N6022" s="17"/>
    </row>
    <row r="6023">
      <c r="B6023" s="11">
        <f>IFERROR(__xludf.DUMMYFUNCTION("""COMPUTED_VALUE"""),37594.0)</f>
        <v>37594</v>
      </c>
      <c r="C6023" s="9">
        <f>IFERROR(__xludf.DUMMYFUNCTION("""COMPUTED_VALUE"""),4.18)</f>
        <v>4.18</v>
      </c>
      <c r="H6023" s="17"/>
      <c r="K6023" s="17"/>
      <c r="N6023" s="17"/>
    </row>
    <row r="6024">
      <c r="B6024" s="11">
        <f>IFERROR(__xludf.DUMMYFUNCTION("""COMPUTED_VALUE"""),37593.0)</f>
        <v>37593</v>
      </c>
      <c r="C6024" s="9">
        <f>IFERROR(__xludf.DUMMYFUNCTION("""COMPUTED_VALUE"""),4.24)</f>
        <v>4.24</v>
      </c>
      <c r="H6024" s="17"/>
      <c r="K6024" s="17"/>
      <c r="N6024" s="17"/>
    </row>
    <row r="6025">
      <c r="B6025" s="11">
        <f>IFERROR(__xludf.DUMMYFUNCTION("""COMPUTED_VALUE"""),37592.0)</f>
        <v>37592</v>
      </c>
      <c r="C6025" s="9">
        <f>IFERROR(__xludf.DUMMYFUNCTION("""COMPUTED_VALUE"""),4.22)</f>
        <v>4.22</v>
      </c>
      <c r="H6025" s="17"/>
      <c r="K6025" s="17"/>
      <c r="N6025" s="17"/>
    </row>
    <row r="6026">
      <c r="B6026" s="11">
        <f>IFERROR(__xludf.DUMMYFUNCTION("""COMPUTED_VALUE"""),37589.0)</f>
        <v>37589</v>
      </c>
      <c r="C6026" s="9">
        <f>IFERROR(__xludf.DUMMYFUNCTION("""COMPUTED_VALUE"""),4.22)</f>
        <v>4.22</v>
      </c>
      <c r="H6026" s="17"/>
      <c r="K6026" s="17"/>
      <c r="N6026" s="17"/>
    </row>
    <row r="6027">
      <c r="B6027" s="11">
        <f>IFERROR(__xludf.DUMMYFUNCTION("""COMPUTED_VALUE"""),37588.0)</f>
        <v>37588</v>
      </c>
      <c r="C6027" s="9"/>
      <c r="H6027" s="17"/>
      <c r="K6027" s="17"/>
      <c r="N6027" s="17"/>
    </row>
    <row r="6028">
      <c r="B6028" s="11">
        <f>IFERROR(__xludf.DUMMYFUNCTION("""COMPUTED_VALUE"""),37587.0)</f>
        <v>37587</v>
      </c>
      <c r="C6028" s="9">
        <f>IFERROR(__xludf.DUMMYFUNCTION("""COMPUTED_VALUE"""),4.26)</f>
        <v>4.26</v>
      </c>
      <c r="H6028" s="17"/>
      <c r="K6028" s="17"/>
      <c r="N6028" s="17"/>
    </row>
    <row r="6029">
      <c r="B6029" s="11">
        <f>IFERROR(__xludf.DUMMYFUNCTION("""COMPUTED_VALUE"""),37586.0)</f>
        <v>37586</v>
      </c>
      <c r="C6029" s="9">
        <f>IFERROR(__xludf.DUMMYFUNCTION("""COMPUTED_VALUE"""),4.08)</f>
        <v>4.08</v>
      </c>
      <c r="H6029" s="17"/>
      <c r="K6029" s="17"/>
      <c r="N6029" s="17"/>
    </row>
    <row r="6030">
      <c r="B6030" s="11">
        <f>IFERROR(__xludf.DUMMYFUNCTION("""COMPUTED_VALUE"""),37585.0)</f>
        <v>37585</v>
      </c>
      <c r="C6030" s="9">
        <f>IFERROR(__xludf.DUMMYFUNCTION("""COMPUTED_VALUE"""),4.19)</f>
        <v>4.19</v>
      </c>
      <c r="H6030" s="17"/>
      <c r="K6030" s="17"/>
      <c r="N6030" s="17"/>
    </row>
    <row r="6031">
      <c r="B6031" s="11">
        <f>IFERROR(__xludf.DUMMYFUNCTION("""COMPUTED_VALUE"""),37582.0)</f>
        <v>37582</v>
      </c>
      <c r="C6031" s="9">
        <f>IFERROR(__xludf.DUMMYFUNCTION("""COMPUTED_VALUE"""),4.18)</f>
        <v>4.18</v>
      </c>
      <c r="H6031" s="17"/>
      <c r="K6031" s="17"/>
      <c r="N6031" s="17"/>
    </row>
    <row r="6032">
      <c r="B6032" s="11">
        <f>IFERROR(__xludf.DUMMYFUNCTION("""COMPUTED_VALUE"""),37581.0)</f>
        <v>37581</v>
      </c>
      <c r="C6032" s="9">
        <f>IFERROR(__xludf.DUMMYFUNCTION("""COMPUTED_VALUE"""),4.14)</f>
        <v>4.14</v>
      </c>
      <c r="H6032" s="17"/>
      <c r="K6032" s="17"/>
      <c r="N6032" s="17"/>
    </row>
    <row r="6033">
      <c r="B6033" s="11">
        <f>IFERROR(__xludf.DUMMYFUNCTION("""COMPUTED_VALUE"""),37580.0)</f>
        <v>37580</v>
      </c>
      <c r="C6033" s="9">
        <f>IFERROR(__xludf.DUMMYFUNCTION("""COMPUTED_VALUE"""),4.08)</f>
        <v>4.08</v>
      </c>
      <c r="H6033" s="17"/>
      <c r="K6033" s="17"/>
      <c r="N6033" s="17"/>
    </row>
    <row r="6034">
      <c r="B6034" s="11">
        <f>IFERROR(__xludf.DUMMYFUNCTION("""COMPUTED_VALUE"""),37579.0)</f>
        <v>37579</v>
      </c>
      <c r="C6034" s="9">
        <f>IFERROR(__xludf.DUMMYFUNCTION("""COMPUTED_VALUE"""),3.99)</f>
        <v>3.99</v>
      </c>
      <c r="H6034" s="17"/>
      <c r="K6034" s="17"/>
      <c r="N6034" s="17"/>
    </row>
    <row r="6035">
      <c r="B6035" s="11">
        <f>IFERROR(__xludf.DUMMYFUNCTION("""COMPUTED_VALUE"""),37578.0)</f>
        <v>37578</v>
      </c>
      <c r="C6035" s="9">
        <f>IFERROR(__xludf.DUMMYFUNCTION("""COMPUTED_VALUE"""),4.02)</f>
        <v>4.02</v>
      </c>
      <c r="H6035" s="17"/>
      <c r="K6035" s="17"/>
      <c r="N6035" s="17"/>
    </row>
    <row r="6036">
      <c r="B6036" s="11">
        <f>IFERROR(__xludf.DUMMYFUNCTION("""COMPUTED_VALUE"""),37575.0)</f>
        <v>37575</v>
      </c>
      <c r="C6036" s="9">
        <f>IFERROR(__xludf.DUMMYFUNCTION("""COMPUTED_VALUE"""),4.05)</f>
        <v>4.05</v>
      </c>
      <c r="H6036" s="17"/>
      <c r="K6036" s="17"/>
      <c r="N6036" s="17"/>
    </row>
    <row r="6037">
      <c r="B6037" s="11">
        <f>IFERROR(__xludf.DUMMYFUNCTION("""COMPUTED_VALUE"""),37574.0)</f>
        <v>37574</v>
      </c>
      <c r="C6037" s="9">
        <f>IFERROR(__xludf.DUMMYFUNCTION("""COMPUTED_VALUE"""),4.03)</f>
        <v>4.03</v>
      </c>
      <c r="H6037" s="17"/>
      <c r="K6037" s="17"/>
      <c r="N6037" s="17"/>
    </row>
    <row r="6038">
      <c r="B6038" s="11">
        <f>IFERROR(__xludf.DUMMYFUNCTION("""COMPUTED_VALUE"""),37573.0)</f>
        <v>37573</v>
      </c>
      <c r="C6038" s="9">
        <f>IFERROR(__xludf.DUMMYFUNCTION("""COMPUTED_VALUE"""),3.84)</f>
        <v>3.84</v>
      </c>
      <c r="H6038" s="17"/>
      <c r="K6038" s="17"/>
      <c r="N6038" s="17"/>
    </row>
    <row r="6039">
      <c r="B6039" s="11">
        <f>IFERROR(__xludf.DUMMYFUNCTION("""COMPUTED_VALUE"""),37572.0)</f>
        <v>37572</v>
      </c>
      <c r="C6039" s="9">
        <f>IFERROR(__xludf.DUMMYFUNCTION("""COMPUTED_VALUE"""),3.84)</f>
        <v>3.84</v>
      </c>
      <c r="H6039" s="17"/>
      <c r="K6039" s="17"/>
      <c r="N6039" s="17"/>
    </row>
    <row r="6040">
      <c r="B6040" s="11">
        <f>IFERROR(__xludf.DUMMYFUNCTION("""COMPUTED_VALUE"""),37571.0)</f>
        <v>37571</v>
      </c>
      <c r="C6040" s="9"/>
      <c r="H6040" s="17"/>
      <c r="K6040" s="17"/>
      <c r="N6040" s="17"/>
    </row>
    <row r="6041">
      <c r="B6041" s="11">
        <f>IFERROR(__xludf.DUMMYFUNCTION("""COMPUTED_VALUE"""),37568.0)</f>
        <v>37568</v>
      </c>
      <c r="C6041" s="9">
        <f>IFERROR(__xludf.DUMMYFUNCTION("""COMPUTED_VALUE"""),3.85)</f>
        <v>3.85</v>
      </c>
      <c r="H6041" s="17"/>
      <c r="K6041" s="17"/>
      <c r="N6041" s="17"/>
    </row>
    <row r="6042">
      <c r="B6042" s="11">
        <f>IFERROR(__xludf.DUMMYFUNCTION("""COMPUTED_VALUE"""),37567.0)</f>
        <v>37567</v>
      </c>
      <c r="C6042" s="9">
        <f>IFERROR(__xludf.DUMMYFUNCTION("""COMPUTED_VALUE"""),3.88)</f>
        <v>3.88</v>
      </c>
      <c r="H6042" s="17"/>
      <c r="K6042" s="17"/>
      <c r="N6042" s="17"/>
    </row>
    <row r="6043">
      <c r="B6043" s="11">
        <f>IFERROR(__xludf.DUMMYFUNCTION("""COMPUTED_VALUE"""),37566.0)</f>
        <v>37566</v>
      </c>
      <c r="C6043" s="9">
        <f>IFERROR(__xludf.DUMMYFUNCTION("""COMPUTED_VALUE"""),4.09)</f>
        <v>4.09</v>
      </c>
      <c r="H6043" s="17"/>
      <c r="K6043" s="17"/>
      <c r="N6043" s="17"/>
    </row>
    <row r="6044">
      <c r="B6044" s="11">
        <f>IFERROR(__xludf.DUMMYFUNCTION("""COMPUTED_VALUE"""),37565.0)</f>
        <v>37565</v>
      </c>
      <c r="C6044" s="9">
        <f>IFERROR(__xludf.DUMMYFUNCTION("""COMPUTED_VALUE"""),4.1)</f>
        <v>4.1</v>
      </c>
      <c r="H6044" s="17"/>
      <c r="K6044" s="17"/>
      <c r="N6044" s="17"/>
    </row>
    <row r="6045">
      <c r="B6045" s="11">
        <f>IFERROR(__xludf.DUMMYFUNCTION("""COMPUTED_VALUE"""),37564.0)</f>
        <v>37564</v>
      </c>
      <c r="C6045" s="9">
        <f>IFERROR(__xludf.DUMMYFUNCTION("""COMPUTED_VALUE"""),4.07)</f>
        <v>4.07</v>
      </c>
      <c r="H6045" s="17"/>
      <c r="K6045" s="17"/>
      <c r="N6045" s="17"/>
    </row>
    <row r="6046">
      <c r="B6046" s="11">
        <f>IFERROR(__xludf.DUMMYFUNCTION("""COMPUTED_VALUE"""),37561.0)</f>
        <v>37561</v>
      </c>
      <c r="C6046" s="9">
        <f>IFERROR(__xludf.DUMMYFUNCTION("""COMPUTED_VALUE"""),4.01)</f>
        <v>4.01</v>
      </c>
      <c r="H6046" s="17"/>
      <c r="K6046" s="17"/>
      <c r="N6046" s="17"/>
    </row>
    <row r="6047">
      <c r="B6047" s="11">
        <f>IFERROR(__xludf.DUMMYFUNCTION("""COMPUTED_VALUE"""),37560.0)</f>
        <v>37560</v>
      </c>
      <c r="C6047" s="9">
        <f>IFERROR(__xludf.DUMMYFUNCTION("""COMPUTED_VALUE"""),3.93)</f>
        <v>3.93</v>
      </c>
      <c r="H6047" s="17"/>
      <c r="K6047" s="17"/>
      <c r="N6047" s="17"/>
    </row>
    <row r="6048">
      <c r="B6048" s="11">
        <f>IFERROR(__xludf.DUMMYFUNCTION("""COMPUTED_VALUE"""),37559.0)</f>
        <v>37559</v>
      </c>
      <c r="C6048" s="9">
        <f>IFERROR(__xludf.DUMMYFUNCTION("""COMPUTED_VALUE"""),3.99)</f>
        <v>3.99</v>
      </c>
      <c r="H6048" s="17"/>
      <c r="K6048" s="17"/>
      <c r="N6048" s="17"/>
    </row>
    <row r="6049">
      <c r="B6049" s="11">
        <f>IFERROR(__xludf.DUMMYFUNCTION("""COMPUTED_VALUE"""),37558.0)</f>
        <v>37558</v>
      </c>
      <c r="C6049" s="9">
        <f>IFERROR(__xludf.DUMMYFUNCTION("""COMPUTED_VALUE"""),3.97)</f>
        <v>3.97</v>
      </c>
      <c r="H6049" s="17"/>
      <c r="K6049" s="17"/>
      <c r="N6049" s="17"/>
    </row>
    <row r="6050">
      <c r="B6050" s="11">
        <f>IFERROR(__xludf.DUMMYFUNCTION("""COMPUTED_VALUE"""),37557.0)</f>
        <v>37557</v>
      </c>
      <c r="C6050" s="9">
        <f>IFERROR(__xludf.DUMMYFUNCTION("""COMPUTED_VALUE"""),4.1)</f>
        <v>4.1</v>
      </c>
      <c r="H6050" s="17"/>
      <c r="K6050" s="17"/>
      <c r="N6050" s="17"/>
    </row>
    <row r="6051">
      <c r="B6051" s="11">
        <f>IFERROR(__xludf.DUMMYFUNCTION("""COMPUTED_VALUE"""),37554.0)</f>
        <v>37554</v>
      </c>
      <c r="C6051" s="9">
        <f>IFERROR(__xludf.DUMMYFUNCTION("""COMPUTED_VALUE"""),4.12)</f>
        <v>4.12</v>
      </c>
      <c r="H6051" s="17"/>
      <c r="K6051" s="17"/>
      <c r="N6051" s="17"/>
    </row>
    <row r="6052">
      <c r="B6052" s="11">
        <f>IFERROR(__xludf.DUMMYFUNCTION("""COMPUTED_VALUE"""),37553.0)</f>
        <v>37553</v>
      </c>
      <c r="C6052" s="9">
        <f>IFERROR(__xludf.DUMMYFUNCTION("""COMPUTED_VALUE"""),4.16)</f>
        <v>4.16</v>
      </c>
      <c r="H6052" s="17"/>
      <c r="K6052" s="17"/>
      <c r="N6052" s="17"/>
    </row>
    <row r="6053">
      <c r="B6053" s="11">
        <f>IFERROR(__xludf.DUMMYFUNCTION("""COMPUTED_VALUE"""),37552.0)</f>
        <v>37552</v>
      </c>
      <c r="C6053" s="9">
        <f>IFERROR(__xludf.DUMMYFUNCTION("""COMPUTED_VALUE"""),4.26)</f>
        <v>4.26</v>
      </c>
      <c r="H6053" s="17"/>
      <c r="K6053" s="17"/>
      <c r="N6053" s="17"/>
    </row>
    <row r="6054">
      <c r="B6054" s="11">
        <f>IFERROR(__xludf.DUMMYFUNCTION("""COMPUTED_VALUE"""),37551.0)</f>
        <v>37551</v>
      </c>
      <c r="C6054" s="9">
        <f>IFERROR(__xludf.DUMMYFUNCTION("""COMPUTED_VALUE"""),4.27)</f>
        <v>4.27</v>
      </c>
      <c r="H6054" s="17"/>
      <c r="K6054" s="17"/>
      <c r="N6054" s="17"/>
    </row>
    <row r="6055">
      <c r="B6055" s="11">
        <f>IFERROR(__xludf.DUMMYFUNCTION("""COMPUTED_VALUE"""),37550.0)</f>
        <v>37550</v>
      </c>
      <c r="C6055" s="9">
        <f>IFERROR(__xludf.DUMMYFUNCTION("""COMPUTED_VALUE"""),4.24)</f>
        <v>4.24</v>
      </c>
      <c r="H6055" s="17"/>
      <c r="K6055" s="17"/>
      <c r="N6055" s="17"/>
    </row>
    <row r="6056">
      <c r="B6056" s="11">
        <f>IFERROR(__xludf.DUMMYFUNCTION("""COMPUTED_VALUE"""),37547.0)</f>
        <v>37547</v>
      </c>
      <c r="C6056" s="9">
        <f>IFERROR(__xludf.DUMMYFUNCTION("""COMPUTED_VALUE"""),4.14)</f>
        <v>4.14</v>
      </c>
      <c r="H6056" s="17"/>
      <c r="K6056" s="17"/>
      <c r="N6056" s="17"/>
    </row>
    <row r="6057">
      <c r="B6057" s="11">
        <f>IFERROR(__xludf.DUMMYFUNCTION("""COMPUTED_VALUE"""),37546.0)</f>
        <v>37546</v>
      </c>
      <c r="C6057" s="9">
        <f>IFERROR(__xludf.DUMMYFUNCTION("""COMPUTED_VALUE"""),4.16)</f>
        <v>4.16</v>
      </c>
      <c r="H6057" s="17"/>
      <c r="K6057" s="17"/>
      <c r="N6057" s="17"/>
    </row>
    <row r="6058">
      <c r="B6058" s="11">
        <f>IFERROR(__xludf.DUMMYFUNCTION("""COMPUTED_VALUE"""),37545.0)</f>
        <v>37545</v>
      </c>
      <c r="C6058" s="9">
        <f>IFERROR(__xludf.DUMMYFUNCTION("""COMPUTED_VALUE"""),4.06)</f>
        <v>4.06</v>
      </c>
      <c r="H6058" s="17"/>
      <c r="K6058" s="17"/>
      <c r="N6058" s="17"/>
    </row>
    <row r="6059">
      <c r="B6059" s="11">
        <f>IFERROR(__xludf.DUMMYFUNCTION("""COMPUTED_VALUE"""),37544.0)</f>
        <v>37544</v>
      </c>
      <c r="C6059" s="9">
        <f>IFERROR(__xludf.DUMMYFUNCTION("""COMPUTED_VALUE"""),4.07)</f>
        <v>4.07</v>
      </c>
      <c r="H6059" s="17"/>
      <c r="K6059" s="17"/>
      <c r="N6059" s="17"/>
    </row>
    <row r="6060">
      <c r="B6060" s="11">
        <f>IFERROR(__xludf.DUMMYFUNCTION("""COMPUTED_VALUE"""),37543.0)</f>
        <v>37543</v>
      </c>
      <c r="C6060" s="9"/>
      <c r="H6060" s="17"/>
      <c r="K6060" s="17"/>
      <c r="N6060" s="17"/>
    </row>
    <row r="6061">
      <c r="B6061" s="11">
        <f>IFERROR(__xludf.DUMMYFUNCTION("""COMPUTED_VALUE"""),37540.0)</f>
        <v>37540</v>
      </c>
      <c r="C6061" s="9">
        <f>IFERROR(__xludf.DUMMYFUNCTION("""COMPUTED_VALUE"""),3.83)</f>
        <v>3.83</v>
      </c>
      <c r="H6061" s="17"/>
      <c r="K6061" s="17"/>
      <c r="N6061" s="17"/>
    </row>
    <row r="6062">
      <c r="B6062" s="11">
        <f>IFERROR(__xludf.DUMMYFUNCTION("""COMPUTED_VALUE"""),37539.0)</f>
        <v>37539</v>
      </c>
      <c r="C6062" s="9">
        <f>IFERROR(__xludf.DUMMYFUNCTION("""COMPUTED_VALUE"""),3.68)</f>
        <v>3.68</v>
      </c>
      <c r="H6062" s="17"/>
      <c r="K6062" s="17"/>
      <c r="N6062" s="17"/>
    </row>
    <row r="6063">
      <c r="B6063" s="11">
        <f>IFERROR(__xludf.DUMMYFUNCTION("""COMPUTED_VALUE"""),37538.0)</f>
        <v>37538</v>
      </c>
      <c r="C6063" s="9">
        <f>IFERROR(__xludf.DUMMYFUNCTION("""COMPUTED_VALUE"""),3.61)</f>
        <v>3.61</v>
      </c>
      <c r="H6063" s="17"/>
      <c r="K6063" s="17"/>
      <c r="N6063" s="17"/>
    </row>
    <row r="6064">
      <c r="B6064" s="11">
        <f>IFERROR(__xludf.DUMMYFUNCTION("""COMPUTED_VALUE"""),37537.0)</f>
        <v>37537</v>
      </c>
      <c r="C6064" s="9">
        <f>IFERROR(__xludf.DUMMYFUNCTION("""COMPUTED_VALUE"""),3.65)</f>
        <v>3.65</v>
      </c>
      <c r="H6064" s="17"/>
      <c r="K6064" s="17"/>
      <c r="N6064" s="17"/>
    </row>
    <row r="6065">
      <c r="B6065" s="11">
        <f>IFERROR(__xludf.DUMMYFUNCTION("""COMPUTED_VALUE"""),37536.0)</f>
        <v>37536</v>
      </c>
      <c r="C6065" s="9">
        <f>IFERROR(__xludf.DUMMYFUNCTION("""COMPUTED_VALUE"""),3.64)</f>
        <v>3.64</v>
      </c>
      <c r="H6065" s="17"/>
      <c r="K6065" s="17"/>
      <c r="N6065" s="17"/>
    </row>
    <row r="6066">
      <c r="B6066" s="11">
        <f>IFERROR(__xludf.DUMMYFUNCTION("""COMPUTED_VALUE"""),37533.0)</f>
        <v>37533</v>
      </c>
      <c r="C6066" s="9">
        <f>IFERROR(__xludf.DUMMYFUNCTION("""COMPUTED_VALUE"""),3.69)</f>
        <v>3.69</v>
      </c>
      <c r="H6066" s="17"/>
      <c r="K6066" s="17"/>
      <c r="N6066" s="17"/>
    </row>
    <row r="6067">
      <c r="B6067" s="11">
        <f>IFERROR(__xludf.DUMMYFUNCTION("""COMPUTED_VALUE"""),37532.0)</f>
        <v>37532</v>
      </c>
      <c r="C6067" s="9">
        <f>IFERROR(__xludf.DUMMYFUNCTION("""COMPUTED_VALUE"""),3.7)</f>
        <v>3.7</v>
      </c>
      <c r="H6067" s="17"/>
      <c r="K6067" s="17"/>
      <c r="N6067" s="17"/>
    </row>
    <row r="6068">
      <c r="B6068" s="11">
        <f>IFERROR(__xludf.DUMMYFUNCTION("""COMPUTED_VALUE"""),37531.0)</f>
        <v>37531</v>
      </c>
      <c r="C6068" s="9">
        <f>IFERROR(__xludf.DUMMYFUNCTION("""COMPUTED_VALUE"""),3.71)</f>
        <v>3.71</v>
      </c>
      <c r="H6068" s="17"/>
      <c r="K6068" s="17"/>
      <c r="N6068" s="17"/>
    </row>
    <row r="6069">
      <c r="B6069" s="11">
        <f>IFERROR(__xludf.DUMMYFUNCTION("""COMPUTED_VALUE"""),37530.0)</f>
        <v>37530</v>
      </c>
      <c r="C6069" s="9">
        <f>IFERROR(__xludf.DUMMYFUNCTION("""COMPUTED_VALUE"""),3.72)</f>
        <v>3.72</v>
      </c>
      <c r="H6069" s="17"/>
      <c r="K6069" s="17"/>
      <c r="N6069" s="17"/>
    </row>
    <row r="6070">
      <c r="B6070" s="11">
        <f>IFERROR(__xludf.DUMMYFUNCTION("""COMPUTED_VALUE"""),37529.0)</f>
        <v>37529</v>
      </c>
      <c r="C6070" s="9">
        <f>IFERROR(__xludf.DUMMYFUNCTION("""COMPUTED_VALUE"""),3.63)</f>
        <v>3.63</v>
      </c>
      <c r="H6070" s="17"/>
      <c r="K6070" s="17"/>
      <c r="N6070" s="17"/>
    </row>
    <row r="6071">
      <c r="B6071" s="11">
        <f>IFERROR(__xludf.DUMMYFUNCTION("""COMPUTED_VALUE"""),37526.0)</f>
        <v>37526</v>
      </c>
      <c r="C6071" s="9">
        <f>IFERROR(__xludf.DUMMYFUNCTION("""COMPUTED_VALUE"""),3.69)</f>
        <v>3.69</v>
      </c>
      <c r="H6071" s="17"/>
      <c r="K6071" s="17"/>
      <c r="N6071" s="17"/>
    </row>
    <row r="6072">
      <c r="B6072" s="11">
        <f>IFERROR(__xludf.DUMMYFUNCTION("""COMPUTED_VALUE"""),37525.0)</f>
        <v>37525</v>
      </c>
      <c r="C6072" s="9">
        <f>IFERROR(__xludf.DUMMYFUNCTION("""COMPUTED_VALUE"""),3.79)</f>
        <v>3.79</v>
      </c>
      <c r="H6072" s="17"/>
      <c r="K6072" s="17"/>
      <c r="N6072" s="17"/>
    </row>
    <row r="6073">
      <c r="B6073" s="11">
        <f>IFERROR(__xludf.DUMMYFUNCTION("""COMPUTED_VALUE"""),37524.0)</f>
        <v>37524</v>
      </c>
      <c r="C6073" s="9">
        <f>IFERROR(__xludf.DUMMYFUNCTION("""COMPUTED_VALUE"""),3.77)</f>
        <v>3.77</v>
      </c>
      <c r="H6073" s="17"/>
      <c r="K6073" s="17"/>
      <c r="N6073" s="17"/>
    </row>
    <row r="6074">
      <c r="B6074" s="11">
        <f>IFERROR(__xludf.DUMMYFUNCTION("""COMPUTED_VALUE"""),37523.0)</f>
        <v>37523</v>
      </c>
      <c r="C6074" s="9">
        <f>IFERROR(__xludf.DUMMYFUNCTION("""COMPUTED_VALUE"""),3.69)</f>
        <v>3.69</v>
      </c>
      <c r="H6074" s="17"/>
      <c r="K6074" s="17"/>
      <c r="N6074" s="17"/>
    </row>
    <row r="6075">
      <c r="B6075" s="11">
        <f>IFERROR(__xludf.DUMMYFUNCTION("""COMPUTED_VALUE"""),37522.0)</f>
        <v>37522</v>
      </c>
      <c r="C6075" s="9">
        <f>IFERROR(__xludf.DUMMYFUNCTION("""COMPUTED_VALUE"""),3.7)</f>
        <v>3.7</v>
      </c>
      <c r="H6075" s="17"/>
      <c r="K6075" s="17"/>
      <c r="N6075" s="17"/>
    </row>
    <row r="6076">
      <c r="B6076" s="11">
        <f>IFERROR(__xludf.DUMMYFUNCTION("""COMPUTED_VALUE"""),37519.0)</f>
        <v>37519</v>
      </c>
      <c r="C6076" s="9">
        <f>IFERROR(__xludf.DUMMYFUNCTION("""COMPUTED_VALUE"""),3.79)</f>
        <v>3.79</v>
      </c>
      <c r="H6076" s="17"/>
      <c r="K6076" s="17"/>
      <c r="N6076" s="17"/>
    </row>
    <row r="6077">
      <c r="B6077" s="11">
        <f>IFERROR(__xludf.DUMMYFUNCTION("""COMPUTED_VALUE"""),37518.0)</f>
        <v>37518</v>
      </c>
      <c r="C6077" s="9">
        <f>IFERROR(__xludf.DUMMYFUNCTION("""COMPUTED_VALUE"""),3.79)</f>
        <v>3.79</v>
      </c>
      <c r="H6077" s="17"/>
      <c r="K6077" s="17"/>
      <c r="N6077" s="17"/>
    </row>
    <row r="6078">
      <c r="B6078" s="11">
        <f>IFERROR(__xludf.DUMMYFUNCTION("""COMPUTED_VALUE"""),37517.0)</f>
        <v>37517</v>
      </c>
      <c r="C6078" s="9">
        <f>IFERROR(__xludf.DUMMYFUNCTION("""COMPUTED_VALUE"""),3.86)</f>
        <v>3.86</v>
      </c>
      <c r="H6078" s="17"/>
      <c r="K6078" s="17"/>
      <c r="N6078" s="17"/>
    </row>
    <row r="6079">
      <c r="B6079" s="11">
        <f>IFERROR(__xludf.DUMMYFUNCTION("""COMPUTED_VALUE"""),37516.0)</f>
        <v>37516</v>
      </c>
      <c r="C6079" s="9">
        <f>IFERROR(__xludf.DUMMYFUNCTION("""COMPUTED_VALUE"""),3.87)</f>
        <v>3.87</v>
      </c>
      <c r="H6079" s="17"/>
      <c r="K6079" s="17"/>
      <c r="N6079" s="17"/>
    </row>
    <row r="6080">
      <c r="B6080" s="11">
        <f>IFERROR(__xludf.DUMMYFUNCTION("""COMPUTED_VALUE"""),37515.0)</f>
        <v>37515</v>
      </c>
      <c r="C6080" s="9">
        <f>IFERROR(__xludf.DUMMYFUNCTION("""COMPUTED_VALUE"""),3.9)</f>
        <v>3.9</v>
      </c>
      <c r="H6080" s="17"/>
      <c r="K6080" s="17"/>
      <c r="N6080" s="17"/>
    </row>
    <row r="6081">
      <c r="B6081" s="11">
        <f>IFERROR(__xludf.DUMMYFUNCTION("""COMPUTED_VALUE"""),37512.0)</f>
        <v>37512</v>
      </c>
      <c r="C6081" s="9">
        <f>IFERROR(__xludf.DUMMYFUNCTION("""COMPUTED_VALUE"""),3.92)</f>
        <v>3.92</v>
      </c>
      <c r="H6081" s="17"/>
      <c r="K6081" s="17"/>
      <c r="N6081" s="17"/>
    </row>
    <row r="6082">
      <c r="B6082" s="11">
        <f>IFERROR(__xludf.DUMMYFUNCTION("""COMPUTED_VALUE"""),37511.0)</f>
        <v>37511</v>
      </c>
      <c r="C6082" s="9">
        <f>IFERROR(__xludf.DUMMYFUNCTION("""COMPUTED_VALUE"""),3.98)</f>
        <v>3.98</v>
      </c>
      <c r="H6082" s="17"/>
      <c r="K6082" s="17"/>
      <c r="N6082" s="17"/>
    </row>
    <row r="6083">
      <c r="B6083" s="11">
        <f>IFERROR(__xludf.DUMMYFUNCTION("""COMPUTED_VALUE"""),37510.0)</f>
        <v>37510</v>
      </c>
      <c r="C6083" s="9">
        <f>IFERROR(__xludf.DUMMYFUNCTION("""COMPUTED_VALUE"""),4.07)</f>
        <v>4.07</v>
      </c>
      <c r="H6083" s="17"/>
      <c r="K6083" s="17"/>
      <c r="N6083" s="17"/>
    </row>
    <row r="6084">
      <c r="B6084" s="11">
        <f>IFERROR(__xludf.DUMMYFUNCTION("""COMPUTED_VALUE"""),37509.0)</f>
        <v>37509</v>
      </c>
      <c r="C6084" s="9">
        <f>IFERROR(__xludf.DUMMYFUNCTION("""COMPUTED_VALUE"""),4.0)</f>
        <v>4</v>
      </c>
      <c r="H6084" s="17"/>
      <c r="K6084" s="17"/>
      <c r="N6084" s="17"/>
    </row>
    <row r="6085">
      <c r="B6085" s="11">
        <f>IFERROR(__xludf.DUMMYFUNCTION("""COMPUTED_VALUE"""),37508.0)</f>
        <v>37508</v>
      </c>
      <c r="C6085" s="9">
        <f>IFERROR(__xludf.DUMMYFUNCTION("""COMPUTED_VALUE"""),4.05)</f>
        <v>4.05</v>
      </c>
      <c r="H6085" s="17"/>
      <c r="K6085" s="17"/>
      <c r="N6085" s="17"/>
    </row>
    <row r="6086">
      <c r="B6086" s="11">
        <f>IFERROR(__xludf.DUMMYFUNCTION("""COMPUTED_VALUE"""),37505.0)</f>
        <v>37505</v>
      </c>
      <c r="C6086" s="9">
        <f>IFERROR(__xludf.DUMMYFUNCTION("""COMPUTED_VALUE"""),4.05)</f>
        <v>4.05</v>
      </c>
      <c r="H6086" s="17"/>
      <c r="K6086" s="17"/>
      <c r="N6086" s="17"/>
    </row>
    <row r="6087">
      <c r="B6087" s="11">
        <f>IFERROR(__xludf.DUMMYFUNCTION("""COMPUTED_VALUE"""),37504.0)</f>
        <v>37504</v>
      </c>
      <c r="C6087" s="9">
        <f>IFERROR(__xludf.DUMMYFUNCTION("""COMPUTED_VALUE"""),3.91)</f>
        <v>3.91</v>
      </c>
      <c r="H6087" s="17"/>
      <c r="K6087" s="17"/>
      <c r="N6087" s="17"/>
    </row>
    <row r="6088">
      <c r="B6088" s="11">
        <f>IFERROR(__xludf.DUMMYFUNCTION("""COMPUTED_VALUE"""),37503.0)</f>
        <v>37503</v>
      </c>
      <c r="C6088" s="9">
        <f>IFERROR(__xludf.DUMMYFUNCTION("""COMPUTED_VALUE"""),3.96)</f>
        <v>3.96</v>
      </c>
      <c r="H6088" s="17"/>
      <c r="K6088" s="17"/>
      <c r="N6088" s="17"/>
    </row>
    <row r="6089">
      <c r="B6089" s="11">
        <f>IFERROR(__xludf.DUMMYFUNCTION("""COMPUTED_VALUE"""),37502.0)</f>
        <v>37502</v>
      </c>
      <c r="C6089" s="9">
        <f>IFERROR(__xludf.DUMMYFUNCTION("""COMPUTED_VALUE"""),3.98)</f>
        <v>3.98</v>
      </c>
      <c r="H6089" s="17"/>
      <c r="K6089" s="17"/>
      <c r="N6089" s="17"/>
    </row>
    <row r="6090">
      <c r="B6090" s="11">
        <f>IFERROR(__xludf.DUMMYFUNCTION("""COMPUTED_VALUE"""),37501.0)</f>
        <v>37501</v>
      </c>
      <c r="C6090" s="9"/>
      <c r="H6090" s="17"/>
      <c r="K6090" s="17"/>
      <c r="N6090" s="17"/>
    </row>
    <row r="6091">
      <c r="B6091" s="11">
        <f>IFERROR(__xludf.DUMMYFUNCTION("""COMPUTED_VALUE"""),37498.0)</f>
        <v>37498</v>
      </c>
      <c r="C6091" s="9">
        <f>IFERROR(__xludf.DUMMYFUNCTION("""COMPUTED_VALUE"""),4.14)</f>
        <v>4.14</v>
      </c>
      <c r="H6091" s="17"/>
      <c r="K6091" s="17"/>
      <c r="N6091" s="17"/>
    </row>
    <row r="6092">
      <c r="B6092" s="11">
        <f>IFERROR(__xludf.DUMMYFUNCTION("""COMPUTED_VALUE"""),37497.0)</f>
        <v>37497</v>
      </c>
      <c r="C6092" s="9">
        <f>IFERROR(__xludf.DUMMYFUNCTION("""COMPUTED_VALUE"""),4.16)</f>
        <v>4.16</v>
      </c>
      <c r="H6092" s="17"/>
      <c r="K6092" s="17"/>
      <c r="N6092" s="17"/>
    </row>
    <row r="6093">
      <c r="B6093" s="11">
        <f>IFERROR(__xludf.DUMMYFUNCTION("""COMPUTED_VALUE"""),37496.0)</f>
        <v>37496</v>
      </c>
      <c r="C6093" s="9">
        <f>IFERROR(__xludf.DUMMYFUNCTION("""COMPUTED_VALUE"""),4.22)</f>
        <v>4.22</v>
      </c>
      <c r="H6093" s="17"/>
      <c r="K6093" s="17"/>
      <c r="N6093" s="17"/>
    </row>
    <row r="6094">
      <c r="B6094" s="11">
        <f>IFERROR(__xludf.DUMMYFUNCTION("""COMPUTED_VALUE"""),37495.0)</f>
        <v>37495</v>
      </c>
      <c r="C6094" s="9">
        <f>IFERROR(__xludf.DUMMYFUNCTION("""COMPUTED_VALUE"""),4.29)</f>
        <v>4.29</v>
      </c>
      <c r="H6094" s="17"/>
      <c r="K6094" s="17"/>
      <c r="N6094" s="17"/>
    </row>
    <row r="6095">
      <c r="B6095" s="11">
        <f>IFERROR(__xludf.DUMMYFUNCTION("""COMPUTED_VALUE"""),37494.0)</f>
        <v>37494</v>
      </c>
      <c r="C6095" s="9">
        <f>IFERROR(__xludf.DUMMYFUNCTION("""COMPUTED_VALUE"""),4.22)</f>
        <v>4.22</v>
      </c>
      <c r="H6095" s="17"/>
      <c r="K6095" s="17"/>
      <c r="N6095" s="17"/>
    </row>
    <row r="6096">
      <c r="B6096" s="11">
        <f>IFERROR(__xludf.DUMMYFUNCTION("""COMPUTED_VALUE"""),37491.0)</f>
        <v>37491</v>
      </c>
      <c r="C6096" s="9">
        <f>IFERROR(__xludf.DUMMYFUNCTION("""COMPUTED_VALUE"""),4.25)</f>
        <v>4.25</v>
      </c>
      <c r="H6096" s="17"/>
      <c r="K6096" s="17"/>
      <c r="N6096" s="17"/>
    </row>
    <row r="6097">
      <c r="B6097" s="11">
        <f>IFERROR(__xludf.DUMMYFUNCTION("""COMPUTED_VALUE"""),37490.0)</f>
        <v>37490</v>
      </c>
      <c r="C6097" s="9">
        <f>IFERROR(__xludf.DUMMYFUNCTION("""COMPUTED_VALUE"""),4.3)</f>
        <v>4.3</v>
      </c>
      <c r="H6097" s="17"/>
      <c r="K6097" s="17"/>
      <c r="N6097" s="17"/>
    </row>
    <row r="6098">
      <c r="B6098" s="11">
        <f>IFERROR(__xludf.DUMMYFUNCTION("""COMPUTED_VALUE"""),37489.0)</f>
        <v>37489</v>
      </c>
      <c r="C6098" s="9">
        <f>IFERROR(__xludf.DUMMYFUNCTION("""COMPUTED_VALUE"""),4.2)</f>
        <v>4.2</v>
      </c>
      <c r="H6098" s="17"/>
      <c r="K6098" s="17"/>
      <c r="N6098" s="17"/>
    </row>
    <row r="6099">
      <c r="B6099" s="11">
        <f>IFERROR(__xludf.DUMMYFUNCTION("""COMPUTED_VALUE"""),37488.0)</f>
        <v>37488</v>
      </c>
      <c r="C6099" s="9">
        <f>IFERROR(__xludf.DUMMYFUNCTION("""COMPUTED_VALUE"""),4.17)</f>
        <v>4.17</v>
      </c>
      <c r="H6099" s="17"/>
      <c r="K6099" s="17"/>
      <c r="N6099" s="17"/>
    </row>
    <row r="6100">
      <c r="B6100" s="11">
        <f>IFERROR(__xludf.DUMMYFUNCTION("""COMPUTED_VALUE"""),37487.0)</f>
        <v>37487</v>
      </c>
      <c r="C6100" s="9">
        <f>IFERROR(__xludf.DUMMYFUNCTION("""COMPUTED_VALUE"""),4.29)</f>
        <v>4.29</v>
      </c>
      <c r="H6100" s="17"/>
      <c r="K6100" s="17"/>
      <c r="N6100" s="17"/>
    </row>
    <row r="6101">
      <c r="B6101" s="11">
        <f>IFERROR(__xludf.DUMMYFUNCTION("""COMPUTED_VALUE"""),37484.0)</f>
        <v>37484</v>
      </c>
      <c r="C6101" s="9">
        <f>IFERROR(__xludf.DUMMYFUNCTION("""COMPUTED_VALUE"""),4.32)</f>
        <v>4.32</v>
      </c>
      <c r="H6101" s="17"/>
      <c r="K6101" s="17"/>
      <c r="N6101" s="17"/>
    </row>
    <row r="6102">
      <c r="B6102" s="11">
        <f>IFERROR(__xludf.DUMMYFUNCTION("""COMPUTED_VALUE"""),37483.0)</f>
        <v>37483</v>
      </c>
      <c r="C6102" s="9">
        <f>IFERROR(__xludf.DUMMYFUNCTION("""COMPUTED_VALUE"""),4.17)</f>
        <v>4.17</v>
      </c>
      <c r="H6102" s="17"/>
      <c r="K6102" s="17"/>
      <c r="N6102" s="17"/>
    </row>
    <row r="6103">
      <c r="B6103" s="11">
        <f>IFERROR(__xludf.DUMMYFUNCTION("""COMPUTED_VALUE"""),37482.0)</f>
        <v>37482</v>
      </c>
      <c r="C6103" s="9">
        <f>IFERROR(__xludf.DUMMYFUNCTION("""COMPUTED_VALUE"""),4.06)</f>
        <v>4.06</v>
      </c>
      <c r="H6103" s="17"/>
      <c r="K6103" s="17"/>
      <c r="N6103" s="17"/>
    </row>
    <row r="6104">
      <c r="B6104" s="11">
        <f>IFERROR(__xludf.DUMMYFUNCTION("""COMPUTED_VALUE"""),37481.0)</f>
        <v>37481</v>
      </c>
      <c r="C6104" s="9">
        <f>IFERROR(__xludf.DUMMYFUNCTION("""COMPUTED_VALUE"""),4.12)</f>
        <v>4.12</v>
      </c>
      <c r="H6104" s="17"/>
      <c r="K6104" s="17"/>
      <c r="N6104" s="17"/>
    </row>
    <row r="6105">
      <c r="B6105" s="11">
        <f>IFERROR(__xludf.DUMMYFUNCTION("""COMPUTED_VALUE"""),37480.0)</f>
        <v>37480</v>
      </c>
      <c r="C6105" s="9">
        <f>IFERROR(__xludf.DUMMYFUNCTION("""COMPUTED_VALUE"""),4.22)</f>
        <v>4.22</v>
      </c>
      <c r="H6105" s="17"/>
      <c r="K6105" s="17"/>
      <c r="N6105" s="17"/>
    </row>
    <row r="6106">
      <c r="B6106" s="11">
        <f>IFERROR(__xludf.DUMMYFUNCTION("""COMPUTED_VALUE"""),37477.0)</f>
        <v>37477</v>
      </c>
      <c r="C6106" s="9">
        <f>IFERROR(__xludf.DUMMYFUNCTION("""COMPUTED_VALUE"""),4.27)</f>
        <v>4.27</v>
      </c>
      <c r="H6106" s="17"/>
      <c r="K6106" s="17"/>
      <c r="N6106" s="17"/>
    </row>
    <row r="6107">
      <c r="B6107" s="11">
        <f>IFERROR(__xludf.DUMMYFUNCTION("""COMPUTED_VALUE"""),37476.0)</f>
        <v>37476</v>
      </c>
      <c r="C6107" s="9">
        <f>IFERROR(__xludf.DUMMYFUNCTION("""COMPUTED_VALUE"""),4.4)</f>
        <v>4.4</v>
      </c>
      <c r="H6107" s="17"/>
      <c r="K6107" s="17"/>
      <c r="N6107" s="17"/>
    </row>
    <row r="6108">
      <c r="B6108" s="11">
        <f>IFERROR(__xludf.DUMMYFUNCTION("""COMPUTED_VALUE"""),37475.0)</f>
        <v>37475</v>
      </c>
      <c r="C6108" s="9">
        <f>IFERROR(__xludf.DUMMYFUNCTION("""COMPUTED_VALUE"""),4.35)</f>
        <v>4.35</v>
      </c>
      <c r="H6108" s="17"/>
      <c r="K6108" s="17"/>
      <c r="N6108" s="17"/>
    </row>
    <row r="6109">
      <c r="B6109" s="11">
        <f>IFERROR(__xludf.DUMMYFUNCTION("""COMPUTED_VALUE"""),37474.0)</f>
        <v>37474</v>
      </c>
      <c r="C6109" s="9">
        <f>IFERROR(__xludf.DUMMYFUNCTION("""COMPUTED_VALUE"""),4.42)</f>
        <v>4.42</v>
      </c>
      <c r="H6109" s="17"/>
      <c r="K6109" s="17"/>
      <c r="N6109" s="17"/>
    </row>
    <row r="6110">
      <c r="B6110" s="11">
        <f>IFERROR(__xludf.DUMMYFUNCTION("""COMPUTED_VALUE"""),37473.0)</f>
        <v>37473</v>
      </c>
      <c r="C6110" s="9">
        <f>IFERROR(__xludf.DUMMYFUNCTION("""COMPUTED_VALUE"""),4.29)</f>
        <v>4.29</v>
      </c>
      <c r="H6110" s="17"/>
      <c r="K6110" s="17"/>
      <c r="N6110" s="17"/>
    </row>
    <row r="6111">
      <c r="B6111" s="11">
        <f>IFERROR(__xludf.DUMMYFUNCTION("""COMPUTED_VALUE"""),37470.0)</f>
        <v>37470</v>
      </c>
      <c r="C6111" s="9">
        <f>IFERROR(__xludf.DUMMYFUNCTION("""COMPUTED_VALUE"""),4.33)</f>
        <v>4.33</v>
      </c>
      <c r="H6111" s="17"/>
      <c r="K6111" s="17"/>
      <c r="N6111" s="17"/>
    </row>
    <row r="6112">
      <c r="B6112" s="11">
        <f>IFERROR(__xludf.DUMMYFUNCTION("""COMPUTED_VALUE"""),37469.0)</f>
        <v>37469</v>
      </c>
      <c r="C6112" s="9">
        <f>IFERROR(__xludf.DUMMYFUNCTION("""COMPUTED_VALUE"""),4.47)</f>
        <v>4.47</v>
      </c>
      <c r="H6112" s="17"/>
      <c r="K6112" s="17"/>
      <c r="N6112" s="17"/>
    </row>
    <row r="6113">
      <c r="B6113" s="11">
        <f>IFERROR(__xludf.DUMMYFUNCTION("""COMPUTED_VALUE"""),37468.0)</f>
        <v>37468</v>
      </c>
      <c r="C6113" s="9">
        <f>IFERROR(__xludf.DUMMYFUNCTION("""COMPUTED_VALUE"""),4.51)</f>
        <v>4.51</v>
      </c>
      <c r="H6113" s="17"/>
      <c r="K6113" s="17"/>
      <c r="N6113" s="17"/>
    </row>
    <row r="6114">
      <c r="B6114" s="11">
        <f>IFERROR(__xludf.DUMMYFUNCTION("""COMPUTED_VALUE"""),37467.0)</f>
        <v>37467</v>
      </c>
      <c r="C6114" s="9">
        <f>IFERROR(__xludf.DUMMYFUNCTION("""COMPUTED_VALUE"""),4.65)</f>
        <v>4.65</v>
      </c>
      <c r="H6114" s="17"/>
      <c r="K6114" s="17"/>
      <c r="N6114" s="17"/>
    </row>
    <row r="6115">
      <c r="B6115" s="11">
        <f>IFERROR(__xludf.DUMMYFUNCTION("""COMPUTED_VALUE"""),37466.0)</f>
        <v>37466</v>
      </c>
      <c r="C6115" s="9">
        <f>IFERROR(__xludf.DUMMYFUNCTION("""COMPUTED_VALUE"""),4.62)</f>
        <v>4.62</v>
      </c>
      <c r="H6115" s="17"/>
      <c r="K6115" s="17"/>
      <c r="N6115" s="17"/>
    </row>
    <row r="6116">
      <c r="B6116" s="11">
        <f>IFERROR(__xludf.DUMMYFUNCTION("""COMPUTED_VALUE"""),37463.0)</f>
        <v>37463</v>
      </c>
      <c r="C6116" s="9">
        <f>IFERROR(__xludf.DUMMYFUNCTION("""COMPUTED_VALUE"""),4.43)</f>
        <v>4.43</v>
      </c>
      <c r="H6116" s="17"/>
      <c r="K6116" s="17"/>
      <c r="N6116" s="17"/>
    </row>
    <row r="6117">
      <c r="B6117" s="11">
        <f>IFERROR(__xludf.DUMMYFUNCTION("""COMPUTED_VALUE"""),37462.0)</f>
        <v>37462</v>
      </c>
      <c r="C6117" s="9">
        <f>IFERROR(__xludf.DUMMYFUNCTION("""COMPUTED_VALUE"""),4.43)</f>
        <v>4.43</v>
      </c>
      <c r="H6117" s="17"/>
      <c r="K6117" s="17"/>
      <c r="N6117" s="17"/>
    </row>
    <row r="6118">
      <c r="B6118" s="11">
        <f>IFERROR(__xludf.DUMMYFUNCTION("""COMPUTED_VALUE"""),37461.0)</f>
        <v>37461</v>
      </c>
      <c r="C6118" s="9">
        <f>IFERROR(__xludf.DUMMYFUNCTION("""COMPUTED_VALUE"""),4.49)</f>
        <v>4.49</v>
      </c>
      <c r="H6118" s="17"/>
      <c r="K6118" s="17"/>
      <c r="N6118" s="17"/>
    </row>
    <row r="6119">
      <c r="B6119" s="11">
        <f>IFERROR(__xludf.DUMMYFUNCTION("""COMPUTED_VALUE"""),37460.0)</f>
        <v>37460</v>
      </c>
      <c r="C6119" s="9">
        <f>IFERROR(__xludf.DUMMYFUNCTION("""COMPUTED_VALUE"""),4.47)</f>
        <v>4.47</v>
      </c>
      <c r="H6119" s="17"/>
      <c r="K6119" s="17"/>
      <c r="N6119" s="17"/>
    </row>
    <row r="6120">
      <c r="B6120" s="11">
        <f>IFERROR(__xludf.DUMMYFUNCTION("""COMPUTED_VALUE"""),37459.0)</f>
        <v>37459</v>
      </c>
      <c r="C6120" s="9">
        <f>IFERROR(__xludf.DUMMYFUNCTION("""COMPUTED_VALUE"""),4.51)</f>
        <v>4.51</v>
      </c>
      <c r="H6120" s="17"/>
      <c r="K6120" s="17"/>
      <c r="N6120" s="17"/>
    </row>
    <row r="6121">
      <c r="B6121" s="11">
        <f>IFERROR(__xludf.DUMMYFUNCTION("""COMPUTED_VALUE"""),37456.0)</f>
        <v>37456</v>
      </c>
      <c r="C6121" s="9">
        <f>IFERROR(__xludf.DUMMYFUNCTION("""COMPUTED_VALUE"""),4.61)</f>
        <v>4.61</v>
      </c>
      <c r="H6121" s="17"/>
      <c r="K6121" s="17"/>
      <c r="N6121" s="17"/>
    </row>
    <row r="6122">
      <c r="B6122" s="11">
        <f>IFERROR(__xludf.DUMMYFUNCTION("""COMPUTED_VALUE"""),37455.0)</f>
        <v>37455</v>
      </c>
      <c r="C6122" s="9">
        <f>IFERROR(__xludf.DUMMYFUNCTION("""COMPUTED_VALUE"""),4.66)</f>
        <v>4.66</v>
      </c>
      <c r="H6122" s="17"/>
      <c r="K6122" s="17"/>
      <c r="N6122" s="17"/>
    </row>
    <row r="6123">
      <c r="B6123" s="11">
        <f>IFERROR(__xludf.DUMMYFUNCTION("""COMPUTED_VALUE"""),37454.0)</f>
        <v>37454</v>
      </c>
      <c r="C6123" s="9">
        <f>IFERROR(__xludf.DUMMYFUNCTION("""COMPUTED_VALUE"""),4.71)</f>
        <v>4.71</v>
      </c>
      <c r="H6123" s="17"/>
      <c r="K6123" s="17"/>
      <c r="N6123" s="17"/>
    </row>
    <row r="6124">
      <c r="B6124" s="11">
        <f>IFERROR(__xludf.DUMMYFUNCTION("""COMPUTED_VALUE"""),37453.0)</f>
        <v>37453</v>
      </c>
      <c r="C6124" s="9">
        <f>IFERROR(__xludf.DUMMYFUNCTION("""COMPUTED_VALUE"""),4.75)</f>
        <v>4.75</v>
      </c>
      <c r="H6124" s="17"/>
      <c r="K6124" s="17"/>
      <c r="N6124" s="17"/>
    </row>
    <row r="6125">
      <c r="B6125" s="11">
        <f>IFERROR(__xludf.DUMMYFUNCTION("""COMPUTED_VALUE"""),37452.0)</f>
        <v>37452</v>
      </c>
      <c r="C6125" s="9">
        <f>IFERROR(__xludf.DUMMYFUNCTION("""COMPUTED_VALUE"""),4.66)</f>
        <v>4.66</v>
      </c>
      <c r="H6125" s="17"/>
      <c r="K6125" s="17"/>
      <c r="N6125" s="17"/>
    </row>
    <row r="6126">
      <c r="B6126" s="11">
        <f>IFERROR(__xludf.DUMMYFUNCTION("""COMPUTED_VALUE"""),37449.0)</f>
        <v>37449</v>
      </c>
      <c r="C6126" s="9">
        <f>IFERROR(__xludf.DUMMYFUNCTION("""COMPUTED_VALUE"""),4.63)</f>
        <v>4.63</v>
      </c>
      <c r="H6126" s="17"/>
      <c r="K6126" s="17"/>
      <c r="N6126" s="17"/>
    </row>
    <row r="6127">
      <c r="B6127" s="11">
        <f>IFERROR(__xludf.DUMMYFUNCTION("""COMPUTED_VALUE"""),37448.0)</f>
        <v>37448</v>
      </c>
      <c r="C6127" s="9">
        <f>IFERROR(__xludf.DUMMYFUNCTION("""COMPUTED_VALUE"""),4.66)</f>
        <v>4.66</v>
      </c>
      <c r="H6127" s="17"/>
      <c r="K6127" s="17"/>
      <c r="N6127" s="17"/>
    </row>
    <row r="6128">
      <c r="B6128" s="11">
        <f>IFERROR(__xludf.DUMMYFUNCTION("""COMPUTED_VALUE"""),37447.0)</f>
        <v>37447</v>
      </c>
      <c r="C6128" s="9">
        <f>IFERROR(__xludf.DUMMYFUNCTION("""COMPUTED_VALUE"""),4.66)</f>
        <v>4.66</v>
      </c>
      <c r="H6128" s="17"/>
      <c r="K6128" s="17"/>
      <c r="N6128" s="17"/>
    </row>
    <row r="6129">
      <c r="B6129" s="11">
        <f>IFERROR(__xludf.DUMMYFUNCTION("""COMPUTED_VALUE"""),37446.0)</f>
        <v>37446</v>
      </c>
      <c r="C6129" s="9">
        <f>IFERROR(__xludf.DUMMYFUNCTION("""COMPUTED_VALUE"""),4.78)</f>
        <v>4.78</v>
      </c>
      <c r="H6129" s="17"/>
      <c r="K6129" s="17"/>
      <c r="N6129" s="17"/>
    </row>
    <row r="6130">
      <c r="B6130" s="11">
        <f>IFERROR(__xludf.DUMMYFUNCTION("""COMPUTED_VALUE"""),37445.0)</f>
        <v>37445</v>
      </c>
      <c r="C6130" s="9">
        <f>IFERROR(__xludf.DUMMYFUNCTION("""COMPUTED_VALUE"""),4.84)</f>
        <v>4.84</v>
      </c>
      <c r="H6130" s="17"/>
      <c r="K6130" s="17"/>
      <c r="N6130" s="17"/>
    </row>
    <row r="6131">
      <c r="B6131" s="11">
        <f>IFERROR(__xludf.DUMMYFUNCTION("""COMPUTED_VALUE"""),37442.0)</f>
        <v>37442</v>
      </c>
      <c r="C6131" s="9">
        <f>IFERROR(__xludf.DUMMYFUNCTION("""COMPUTED_VALUE"""),4.9)</f>
        <v>4.9</v>
      </c>
      <c r="H6131" s="17"/>
      <c r="K6131" s="17"/>
      <c r="N6131" s="17"/>
    </row>
    <row r="6132">
      <c r="B6132" s="11">
        <f>IFERROR(__xludf.DUMMYFUNCTION("""COMPUTED_VALUE"""),37441.0)</f>
        <v>37441</v>
      </c>
      <c r="C6132" s="9"/>
      <c r="H6132" s="17"/>
      <c r="K6132" s="17"/>
      <c r="N6132" s="17"/>
    </row>
    <row r="6133">
      <c r="B6133" s="11">
        <f>IFERROR(__xludf.DUMMYFUNCTION("""COMPUTED_VALUE"""),37440.0)</f>
        <v>37440</v>
      </c>
      <c r="C6133" s="9">
        <f>IFERROR(__xludf.DUMMYFUNCTION("""COMPUTED_VALUE"""),4.78)</f>
        <v>4.78</v>
      </c>
      <c r="H6133" s="17"/>
      <c r="K6133" s="17"/>
      <c r="N6133" s="17"/>
    </row>
    <row r="6134">
      <c r="B6134" s="11">
        <f>IFERROR(__xludf.DUMMYFUNCTION("""COMPUTED_VALUE"""),37439.0)</f>
        <v>37439</v>
      </c>
      <c r="C6134" s="9">
        <f>IFERROR(__xludf.DUMMYFUNCTION("""COMPUTED_VALUE"""),4.77)</f>
        <v>4.77</v>
      </c>
      <c r="H6134" s="17"/>
      <c r="K6134" s="17"/>
      <c r="N6134" s="17"/>
    </row>
    <row r="6135">
      <c r="B6135" s="11">
        <f>IFERROR(__xludf.DUMMYFUNCTION("""COMPUTED_VALUE"""),37438.0)</f>
        <v>37438</v>
      </c>
      <c r="C6135" s="9">
        <f>IFERROR(__xludf.DUMMYFUNCTION("""COMPUTED_VALUE"""),4.85)</f>
        <v>4.85</v>
      </c>
      <c r="H6135" s="17"/>
      <c r="K6135" s="17"/>
      <c r="N6135" s="17"/>
    </row>
    <row r="6136">
      <c r="B6136" s="11">
        <f>IFERROR(__xludf.DUMMYFUNCTION("""COMPUTED_VALUE"""),37435.0)</f>
        <v>37435</v>
      </c>
      <c r="C6136" s="9">
        <f>IFERROR(__xludf.DUMMYFUNCTION("""COMPUTED_VALUE"""),4.86)</f>
        <v>4.86</v>
      </c>
      <c r="H6136" s="17"/>
      <c r="K6136" s="17"/>
      <c r="N6136" s="17"/>
    </row>
    <row r="6137">
      <c r="B6137" s="11">
        <f>IFERROR(__xludf.DUMMYFUNCTION("""COMPUTED_VALUE"""),37434.0)</f>
        <v>37434</v>
      </c>
      <c r="C6137" s="9">
        <f>IFERROR(__xludf.DUMMYFUNCTION("""COMPUTED_VALUE"""),4.84)</f>
        <v>4.84</v>
      </c>
      <c r="H6137" s="17"/>
      <c r="K6137" s="17"/>
      <c r="N6137" s="17"/>
    </row>
    <row r="6138">
      <c r="B6138" s="11">
        <f>IFERROR(__xludf.DUMMYFUNCTION("""COMPUTED_VALUE"""),37433.0)</f>
        <v>37433</v>
      </c>
      <c r="C6138" s="9">
        <f>IFERROR(__xludf.DUMMYFUNCTION("""COMPUTED_VALUE"""),4.75)</f>
        <v>4.75</v>
      </c>
      <c r="H6138" s="17"/>
      <c r="K6138" s="17"/>
      <c r="N6138" s="17"/>
    </row>
    <row r="6139">
      <c r="B6139" s="11">
        <f>IFERROR(__xludf.DUMMYFUNCTION("""COMPUTED_VALUE"""),37432.0)</f>
        <v>37432</v>
      </c>
      <c r="C6139" s="9">
        <f>IFERROR(__xludf.DUMMYFUNCTION("""COMPUTED_VALUE"""),4.88)</f>
        <v>4.88</v>
      </c>
      <c r="H6139" s="17"/>
      <c r="K6139" s="17"/>
      <c r="N6139" s="17"/>
    </row>
    <row r="6140">
      <c r="B6140" s="11">
        <f>IFERROR(__xludf.DUMMYFUNCTION("""COMPUTED_VALUE"""),37431.0)</f>
        <v>37431</v>
      </c>
      <c r="C6140" s="9">
        <f>IFERROR(__xludf.DUMMYFUNCTION("""COMPUTED_VALUE"""),4.87)</f>
        <v>4.87</v>
      </c>
      <c r="H6140" s="17"/>
      <c r="K6140" s="17"/>
      <c r="N6140" s="17"/>
    </row>
    <row r="6141">
      <c r="B6141" s="11">
        <f>IFERROR(__xludf.DUMMYFUNCTION("""COMPUTED_VALUE"""),37428.0)</f>
        <v>37428</v>
      </c>
      <c r="C6141" s="9">
        <f>IFERROR(__xludf.DUMMYFUNCTION("""COMPUTED_VALUE"""),4.79)</f>
        <v>4.79</v>
      </c>
      <c r="H6141" s="17"/>
      <c r="K6141" s="17"/>
      <c r="N6141" s="17"/>
    </row>
    <row r="6142">
      <c r="B6142" s="11">
        <f>IFERROR(__xludf.DUMMYFUNCTION("""COMPUTED_VALUE"""),37427.0)</f>
        <v>37427</v>
      </c>
      <c r="C6142" s="9">
        <f>IFERROR(__xludf.DUMMYFUNCTION("""COMPUTED_VALUE"""),4.85)</f>
        <v>4.85</v>
      </c>
      <c r="H6142" s="17"/>
      <c r="K6142" s="17"/>
      <c r="N6142" s="17"/>
    </row>
    <row r="6143">
      <c r="B6143" s="11">
        <f>IFERROR(__xludf.DUMMYFUNCTION("""COMPUTED_VALUE"""),37426.0)</f>
        <v>37426</v>
      </c>
      <c r="C6143" s="9">
        <f>IFERROR(__xludf.DUMMYFUNCTION("""COMPUTED_VALUE"""),4.76)</f>
        <v>4.76</v>
      </c>
      <c r="H6143" s="17"/>
      <c r="K6143" s="17"/>
      <c r="N6143" s="17"/>
    </row>
    <row r="6144">
      <c r="B6144" s="11">
        <f>IFERROR(__xludf.DUMMYFUNCTION("""COMPUTED_VALUE"""),37425.0)</f>
        <v>37425</v>
      </c>
      <c r="C6144" s="9">
        <f>IFERROR(__xludf.DUMMYFUNCTION("""COMPUTED_VALUE"""),4.88)</f>
        <v>4.88</v>
      </c>
      <c r="H6144" s="17"/>
      <c r="K6144" s="17"/>
      <c r="N6144" s="17"/>
    </row>
    <row r="6145">
      <c r="B6145" s="11">
        <f>IFERROR(__xludf.DUMMYFUNCTION("""COMPUTED_VALUE"""),37424.0)</f>
        <v>37424</v>
      </c>
      <c r="C6145" s="9">
        <f>IFERROR(__xludf.DUMMYFUNCTION("""COMPUTED_VALUE"""),4.89)</f>
        <v>4.89</v>
      </c>
      <c r="H6145" s="17"/>
      <c r="K6145" s="17"/>
      <c r="N6145" s="17"/>
    </row>
    <row r="6146">
      <c r="B6146" s="11">
        <f>IFERROR(__xludf.DUMMYFUNCTION("""COMPUTED_VALUE"""),37421.0)</f>
        <v>37421</v>
      </c>
      <c r="C6146" s="9">
        <f>IFERROR(__xludf.DUMMYFUNCTION("""COMPUTED_VALUE"""),4.83)</f>
        <v>4.83</v>
      </c>
      <c r="H6146" s="17"/>
      <c r="K6146" s="17"/>
      <c r="N6146" s="17"/>
    </row>
    <row r="6147">
      <c r="B6147" s="11">
        <f>IFERROR(__xludf.DUMMYFUNCTION("""COMPUTED_VALUE"""),37420.0)</f>
        <v>37420</v>
      </c>
      <c r="C6147" s="9">
        <f>IFERROR(__xludf.DUMMYFUNCTION("""COMPUTED_VALUE"""),4.94)</f>
        <v>4.94</v>
      </c>
      <c r="H6147" s="17"/>
      <c r="K6147" s="17"/>
      <c r="N6147" s="17"/>
    </row>
    <row r="6148">
      <c r="B6148" s="11">
        <f>IFERROR(__xludf.DUMMYFUNCTION("""COMPUTED_VALUE"""),37419.0)</f>
        <v>37419</v>
      </c>
      <c r="C6148" s="9">
        <f>IFERROR(__xludf.DUMMYFUNCTION("""COMPUTED_VALUE"""),4.98)</f>
        <v>4.98</v>
      </c>
      <c r="H6148" s="17"/>
      <c r="K6148" s="17"/>
      <c r="N6148" s="17"/>
    </row>
    <row r="6149">
      <c r="B6149" s="11">
        <f>IFERROR(__xludf.DUMMYFUNCTION("""COMPUTED_VALUE"""),37418.0)</f>
        <v>37418</v>
      </c>
      <c r="C6149" s="9">
        <f>IFERROR(__xludf.DUMMYFUNCTION("""COMPUTED_VALUE"""),5.02)</f>
        <v>5.02</v>
      </c>
      <c r="H6149" s="17"/>
      <c r="K6149" s="17"/>
      <c r="N6149" s="17"/>
    </row>
    <row r="6150">
      <c r="B6150" s="11">
        <f>IFERROR(__xludf.DUMMYFUNCTION("""COMPUTED_VALUE"""),37417.0)</f>
        <v>37417</v>
      </c>
      <c r="C6150" s="9">
        <f>IFERROR(__xludf.DUMMYFUNCTION("""COMPUTED_VALUE"""),5.07)</f>
        <v>5.07</v>
      </c>
      <c r="H6150" s="17"/>
      <c r="K6150" s="17"/>
      <c r="N6150" s="17"/>
    </row>
    <row r="6151">
      <c r="B6151" s="11">
        <f>IFERROR(__xludf.DUMMYFUNCTION("""COMPUTED_VALUE"""),37414.0)</f>
        <v>37414</v>
      </c>
      <c r="C6151" s="9">
        <f>IFERROR(__xludf.DUMMYFUNCTION("""COMPUTED_VALUE"""),5.1)</f>
        <v>5.1</v>
      </c>
      <c r="H6151" s="17"/>
      <c r="K6151" s="17"/>
      <c r="N6151" s="17"/>
    </row>
    <row r="6152">
      <c r="B6152" s="11">
        <f>IFERROR(__xludf.DUMMYFUNCTION("""COMPUTED_VALUE"""),37413.0)</f>
        <v>37413</v>
      </c>
      <c r="C6152" s="9">
        <f>IFERROR(__xludf.DUMMYFUNCTION("""COMPUTED_VALUE"""),5.04)</f>
        <v>5.04</v>
      </c>
      <c r="H6152" s="17"/>
      <c r="K6152" s="17"/>
      <c r="N6152" s="17"/>
    </row>
    <row r="6153">
      <c r="B6153" s="11">
        <f>IFERROR(__xludf.DUMMYFUNCTION("""COMPUTED_VALUE"""),37412.0)</f>
        <v>37412</v>
      </c>
      <c r="C6153" s="9">
        <f>IFERROR(__xludf.DUMMYFUNCTION("""COMPUTED_VALUE"""),5.08)</f>
        <v>5.08</v>
      </c>
      <c r="H6153" s="17"/>
      <c r="K6153" s="17"/>
      <c r="N6153" s="17"/>
    </row>
    <row r="6154">
      <c r="B6154" s="11">
        <f>IFERROR(__xludf.DUMMYFUNCTION("""COMPUTED_VALUE"""),37411.0)</f>
        <v>37411</v>
      </c>
      <c r="C6154" s="9">
        <f>IFERROR(__xludf.DUMMYFUNCTION("""COMPUTED_VALUE"""),5.04)</f>
        <v>5.04</v>
      </c>
      <c r="H6154" s="17"/>
      <c r="K6154" s="17"/>
      <c r="N6154" s="17"/>
    </row>
    <row r="6155">
      <c r="B6155" s="11">
        <f>IFERROR(__xludf.DUMMYFUNCTION("""COMPUTED_VALUE"""),37410.0)</f>
        <v>37410</v>
      </c>
      <c r="C6155" s="9">
        <f>IFERROR(__xludf.DUMMYFUNCTION("""COMPUTED_VALUE"""),5.06)</f>
        <v>5.06</v>
      </c>
      <c r="H6155" s="17"/>
      <c r="K6155" s="17"/>
      <c r="N6155" s="17"/>
    </row>
    <row r="6156">
      <c r="B6156" s="11">
        <f>IFERROR(__xludf.DUMMYFUNCTION("""COMPUTED_VALUE"""),37407.0)</f>
        <v>37407</v>
      </c>
      <c r="C6156" s="9">
        <f>IFERROR(__xludf.DUMMYFUNCTION("""COMPUTED_VALUE"""),5.08)</f>
        <v>5.08</v>
      </c>
      <c r="H6156" s="17"/>
      <c r="K6156" s="17"/>
      <c r="N6156" s="17"/>
    </row>
    <row r="6157">
      <c r="B6157" s="11">
        <f>IFERROR(__xludf.DUMMYFUNCTION("""COMPUTED_VALUE"""),37406.0)</f>
        <v>37406</v>
      </c>
      <c r="C6157" s="9">
        <f>IFERROR(__xludf.DUMMYFUNCTION("""COMPUTED_VALUE"""),5.06)</f>
        <v>5.06</v>
      </c>
      <c r="H6157" s="17"/>
      <c r="K6157" s="17"/>
      <c r="N6157" s="17"/>
    </row>
    <row r="6158">
      <c r="B6158" s="11">
        <f>IFERROR(__xludf.DUMMYFUNCTION("""COMPUTED_VALUE"""),37405.0)</f>
        <v>37405</v>
      </c>
      <c r="C6158" s="9">
        <f>IFERROR(__xludf.DUMMYFUNCTION("""COMPUTED_VALUE"""),5.11)</f>
        <v>5.11</v>
      </c>
      <c r="H6158" s="17"/>
      <c r="K6158" s="17"/>
      <c r="N6158" s="17"/>
    </row>
    <row r="6159">
      <c r="B6159" s="11">
        <f>IFERROR(__xludf.DUMMYFUNCTION("""COMPUTED_VALUE"""),37404.0)</f>
        <v>37404</v>
      </c>
      <c r="C6159" s="9">
        <f>IFERROR(__xludf.DUMMYFUNCTION("""COMPUTED_VALUE"""),5.16)</f>
        <v>5.16</v>
      </c>
      <c r="H6159" s="17"/>
      <c r="K6159" s="17"/>
      <c r="N6159" s="17"/>
    </row>
    <row r="6160">
      <c r="B6160" s="11">
        <f>IFERROR(__xludf.DUMMYFUNCTION("""COMPUTED_VALUE"""),37403.0)</f>
        <v>37403</v>
      </c>
      <c r="C6160" s="9"/>
      <c r="H6160" s="17"/>
      <c r="K6160" s="17"/>
      <c r="N6160" s="17"/>
    </row>
    <row r="6161">
      <c r="B6161" s="11">
        <f>IFERROR(__xludf.DUMMYFUNCTION("""COMPUTED_VALUE"""),37400.0)</f>
        <v>37400</v>
      </c>
      <c r="C6161" s="9">
        <f>IFERROR(__xludf.DUMMYFUNCTION("""COMPUTED_VALUE"""),5.16)</f>
        <v>5.16</v>
      </c>
      <c r="H6161" s="17"/>
      <c r="K6161" s="17"/>
      <c r="N6161" s="17"/>
    </row>
    <row r="6162">
      <c r="B6162" s="11">
        <f>IFERROR(__xludf.DUMMYFUNCTION("""COMPUTED_VALUE"""),37399.0)</f>
        <v>37399</v>
      </c>
      <c r="C6162" s="9">
        <f>IFERROR(__xludf.DUMMYFUNCTION("""COMPUTED_VALUE"""),5.16)</f>
        <v>5.16</v>
      </c>
      <c r="H6162" s="17"/>
      <c r="K6162" s="17"/>
      <c r="N6162" s="17"/>
    </row>
    <row r="6163">
      <c r="B6163" s="11">
        <f>IFERROR(__xludf.DUMMYFUNCTION("""COMPUTED_VALUE"""),37398.0)</f>
        <v>37398</v>
      </c>
      <c r="C6163" s="9">
        <f>IFERROR(__xludf.DUMMYFUNCTION("""COMPUTED_VALUE"""),5.13)</f>
        <v>5.13</v>
      </c>
      <c r="H6163" s="17"/>
      <c r="K6163" s="17"/>
      <c r="N6163" s="17"/>
    </row>
    <row r="6164">
      <c r="B6164" s="11">
        <f>IFERROR(__xludf.DUMMYFUNCTION("""COMPUTED_VALUE"""),37397.0)</f>
        <v>37397</v>
      </c>
      <c r="C6164" s="9">
        <f>IFERROR(__xludf.DUMMYFUNCTION("""COMPUTED_VALUE"""),5.18)</f>
        <v>5.18</v>
      </c>
      <c r="H6164" s="17"/>
      <c r="K6164" s="17"/>
      <c r="N6164" s="17"/>
    </row>
    <row r="6165">
      <c r="B6165" s="11">
        <f>IFERROR(__xludf.DUMMYFUNCTION("""COMPUTED_VALUE"""),37396.0)</f>
        <v>37396</v>
      </c>
      <c r="C6165" s="9">
        <f>IFERROR(__xludf.DUMMYFUNCTION("""COMPUTED_VALUE"""),5.21)</f>
        <v>5.21</v>
      </c>
      <c r="H6165" s="17"/>
      <c r="K6165" s="17"/>
      <c r="N6165" s="17"/>
    </row>
    <row r="6166">
      <c r="B6166" s="11">
        <f>IFERROR(__xludf.DUMMYFUNCTION("""COMPUTED_VALUE"""),37393.0)</f>
        <v>37393</v>
      </c>
      <c r="C6166" s="9">
        <f>IFERROR(__xludf.DUMMYFUNCTION("""COMPUTED_VALUE"""),5.27)</f>
        <v>5.27</v>
      </c>
      <c r="H6166" s="17"/>
      <c r="K6166" s="17"/>
      <c r="N6166" s="17"/>
    </row>
    <row r="6167">
      <c r="B6167" s="11">
        <f>IFERROR(__xludf.DUMMYFUNCTION("""COMPUTED_VALUE"""),37392.0)</f>
        <v>37392</v>
      </c>
      <c r="C6167" s="9">
        <f>IFERROR(__xludf.DUMMYFUNCTION("""COMPUTED_VALUE"""),5.2)</f>
        <v>5.2</v>
      </c>
      <c r="H6167" s="17"/>
      <c r="K6167" s="17"/>
      <c r="N6167" s="17"/>
    </row>
    <row r="6168">
      <c r="B6168" s="11">
        <f>IFERROR(__xludf.DUMMYFUNCTION("""COMPUTED_VALUE"""),37391.0)</f>
        <v>37391</v>
      </c>
      <c r="C6168" s="9">
        <f>IFERROR(__xludf.DUMMYFUNCTION("""COMPUTED_VALUE"""),5.28)</f>
        <v>5.28</v>
      </c>
      <c r="H6168" s="17"/>
      <c r="K6168" s="17"/>
      <c r="N6168" s="17"/>
    </row>
    <row r="6169">
      <c r="B6169" s="11">
        <f>IFERROR(__xludf.DUMMYFUNCTION("""COMPUTED_VALUE"""),37390.0)</f>
        <v>37390</v>
      </c>
      <c r="C6169" s="9">
        <f>IFERROR(__xludf.DUMMYFUNCTION("""COMPUTED_VALUE"""),5.32)</f>
        <v>5.32</v>
      </c>
      <c r="H6169" s="17"/>
      <c r="K6169" s="17"/>
      <c r="N6169" s="17"/>
    </row>
    <row r="6170">
      <c r="B6170" s="11">
        <f>IFERROR(__xludf.DUMMYFUNCTION("""COMPUTED_VALUE"""),37389.0)</f>
        <v>37389</v>
      </c>
      <c r="C6170" s="9">
        <f>IFERROR(__xludf.DUMMYFUNCTION("""COMPUTED_VALUE"""),5.23)</f>
        <v>5.23</v>
      </c>
      <c r="H6170" s="17"/>
      <c r="K6170" s="17"/>
      <c r="N6170" s="17"/>
    </row>
    <row r="6171">
      <c r="B6171" s="11">
        <f>IFERROR(__xludf.DUMMYFUNCTION("""COMPUTED_VALUE"""),37386.0)</f>
        <v>37386</v>
      </c>
      <c r="C6171" s="9">
        <f>IFERROR(__xludf.DUMMYFUNCTION("""COMPUTED_VALUE"""),5.15)</f>
        <v>5.15</v>
      </c>
      <c r="H6171" s="17"/>
      <c r="K6171" s="17"/>
      <c r="N6171" s="17"/>
    </row>
    <row r="6172">
      <c r="B6172" s="11">
        <f>IFERROR(__xludf.DUMMYFUNCTION("""COMPUTED_VALUE"""),37385.0)</f>
        <v>37385</v>
      </c>
      <c r="C6172" s="9">
        <f>IFERROR(__xludf.DUMMYFUNCTION("""COMPUTED_VALUE"""),5.2)</f>
        <v>5.2</v>
      </c>
      <c r="H6172" s="17"/>
      <c r="K6172" s="17"/>
      <c r="N6172" s="17"/>
    </row>
    <row r="6173">
      <c r="B6173" s="11">
        <f>IFERROR(__xludf.DUMMYFUNCTION("""COMPUTED_VALUE"""),37384.0)</f>
        <v>37384</v>
      </c>
      <c r="C6173" s="9">
        <f>IFERROR(__xludf.DUMMYFUNCTION("""COMPUTED_VALUE"""),5.24)</f>
        <v>5.24</v>
      </c>
      <c r="H6173" s="17"/>
      <c r="K6173" s="17"/>
      <c r="N6173" s="17"/>
    </row>
    <row r="6174">
      <c r="B6174" s="11">
        <f>IFERROR(__xludf.DUMMYFUNCTION("""COMPUTED_VALUE"""),37383.0)</f>
        <v>37383</v>
      </c>
      <c r="C6174" s="9">
        <f>IFERROR(__xludf.DUMMYFUNCTION("""COMPUTED_VALUE"""),5.09)</f>
        <v>5.09</v>
      </c>
      <c r="H6174" s="17"/>
      <c r="K6174" s="17"/>
      <c r="N6174" s="17"/>
    </row>
    <row r="6175">
      <c r="B6175" s="11">
        <f>IFERROR(__xludf.DUMMYFUNCTION("""COMPUTED_VALUE"""),37382.0)</f>
        <v>37382</v>
      </c>
      <c r="C6175" s="9">
        <f>IFERROR(__xludf.DUMMYFUNCTION("""COMPUTED_VALUE"""),5.1)</f>
        <v>5.1</v>
      </c>
      <c r="H6175" s="17"/>
      <c r="K6175" s="17"/>
      <c r="N6175" s="17"/>
    </row>
    <row r="6176">
      <c r="B6176" s="11">
        <f>IFERROR(__xludf.DUMMYFUNCTION("""COMPUTED_VALUE"""),37379.0)</f>
        <v>37379</v>
      </c>
      <c r="C6176" s="9">
        <f>IFERROR(__xludf.DUMMYFUNCTION("""COMPUTED_VALUE"""),5.08)</f>
        <v>5.08</v>
      </c>
      <c r="H6176" s="17"/>
      <c r="K6176" s="17"/>
      <c r="N6176" s="17"/>
    </row>
    <row r="6177">
      <c r="B6177" s="11">
        <f>IFERROR(__xludf.DUMMYFUNCTION("""COMPUTED_VALUE"""),37378.0)</f>
        <v>37378</v>
      </c>
      <c r="C6177" s="9">
        <f>IFERROR(__xludf.DUMMYFUNCTION("""COMPUTED_VALUE"""),5.13)</f>
        <v>5.13</v>
      </c>
      <c r="H6177" s="17"/>
      <c r="K6177" s="17"/>
      <c r="N6177" s="17"/>
    </row>
    <row r="6178">
      <c r="B6178" s="11">
        <f>IFERROR(__xludf.DUMMYFUNCTION("""COMPUTED_VALUE"""),37377.0)</f>
        <v>37377</v>
      </c>
      <c r="C6178" s="9">
        <f>IFERROR(__xludf.DUMMYFUNCTION("""COMPUTED_VALUE"""),5.08)</f>
        <v>5.08</v>
      </c>
      <c r="H6178" s="17"/>
      <c r="K6178" s="17"/>
      <c r="N6178" s="17"/>
    </row>
    <row r="6179">
      <c r="B6179" s="11">
        <f>IFERROR(__xludf.DUMMYFUNCTION("""COMPUTED_VALUE"""),37376.0)</f>
        <v>37376</v>
      </c>
      <c r="C6179" s="9">
        <f>IFERROR(__xludf.DUMMYFUNCTION("""COMPUTED_VALUE"""),5.11)</f>
        <v>5.11</v>
      </c>
      <c r="H6179" s="17"/>
      <c r="K6179" s="17"/>
      <c r="N6179" s="17"/>
    </row>
    <row r="6180">
      <c r="B6180" s="11">
        <f>IFERROR(__xludf.DUMMYFUNCTION("""COMPUTED_VALUE"""),37375.0)</f>
        <v>37375</v>
      </c>
      <c r="C6180" s="9">
        <f>IFERROR(__xludf.DUMMYFUNCTION("""COMPUTED_VALUE"""),5.13)</f>
        <v>5.13</v>
      </c>
      <c r="H6180" s="17"/>
      <c r="K6180" s="17"/>
      <c r="N6180" s="17"/>
    </row>
    <row r="6181">
      <c r="B6181" s="11">
        <f>IFERROR(__xludf.DUMMYFUNCTION("""COMPUTED_VALUE"""),37372.0)</f>
        <v>37372</v>
      </c>
      <c r="C6181" s="9">
        <f>IFERROR(__xludf.DUMMYFUNCTION("""COMPUTED_VALUE"""),5.08)</f>
        <v>5.08</v>
      </c>
      <c r="H6181" s="17"/>
      <c r="K6181" s="17"/>
      <c r="N6181" s="17"/>
    </row>
    <row r="6182">
      <c r="B6182" s="11">
        <f>IFERROR(__xludf.DUMMYFUNCTION("""COMPUTED_VALUE"""),37371.0)</f>
        <v>37371</v>
      </c>
      <c r="C6182" s="9">
        <f>IFERROR(__xludf.DUMMYFUNCTION("""COMPUTED_VALUE"""),5.1)</f>
        <v>5.1</v>
      </c>
      <c r="H6182" s="17"/>
      <c r="K6182" s="17"/>
      <c r="N6182" s="17"/>
    </row>
    <row r="6183">
      <c r="B6183" s="11">
        <f>IFERROR(__xludf.DUMMYFUNCTION("""COMPUTED_VALUE"""),37370.0)</f>
        <v>37370</v>
      </c>
      <c r="C6183" s="9">
        <f>IFERROR(__xludf.DUMMYFUNCTION("""COMPUTED_VALUE"""),5.11)</f>
        <v>5.11</v>
      </c>
      <c r="H6183" s="17"/>
      <c r="K6183" s="17"/>
      <c r="N6183" s="17"/>
    </row>
    <row r="6184">
      <c r="B6184" s="11">
        <f>IFERROR(__xludf.DUMMYFUNCTION("""COMPUTED_VALUE"""),37369.0)</f>
        <v>37369</v>
      </c>
      <c r="C6184" s="9">
        <f>IFERROR(__xludf.DUMMYFUNCTION("""COMPUTED_VALUE"""),5.18)</f>
        <v>5.18</v>
      </c>
      <c r="H6184" s="17"/>
      <c r="K6184" s="17"/>
      <c r="N6184" s="17"/>
    </row>
    <row r="6185">
      <c r="B6185" s="11">
        <f>IFERROR(__xludf.DUMMYFUNCTION("""COMPUTED_VALUE"""),37368.0)</f>
        <v>37368</v>
      </c>
      <c r="C6185" s="9">
        <f>IFERROR(__xludf.DUMMYFUNCTION("""COMPUTED_VALUE"""),5.19)</f>
        <v>5.19</v>
      </c>
      <c r="H6185" s="17"/>
      <c r="K6185" s="17"/>
      <c r="N6185" s="17"/>
    </row>
    <row r="6186">
      <c r="B6186" s="11">
        <f>IFERROR(__xludf.DUMMYFUNCTION("""COMPUTED_VALUE"""),37365.0)</f>
        <v>37365</v>
      </c>
      <c r="C6186" s="9">
        <f>IFERROR(__xludf.DUMMYFUNCTION("""COMPUTED_VALUE"""),5.21)</f>
        <v>5.21</v>
      </c>
      <c r="H6186" s="17"/>
      <c r="K6186" s="17"/>
      <c r="N6186" s="17"/>
    </row>
    <row r="6187">
      <c r="B6187" s="11">
        <f>IFERROR(__xludf.DUMMYFUNCTION("""COMPUTED_VALUE"""),37364.0)</f>
        <v>37364</v>
      </c>
      <c r="C6187" s="9">
        <f>IFERROR(__xludf.DUMMYFUNCTION("""COMPUTED_VALUE"""),5.23)</f>
        <v>5.23</v>
      </c>
      <c r="H6187" s="17"/>
      <c r="K6187" s="17"/>
      <c r="N6187" s="17"/>
    </row>
    <row r="6188">
      <c r="B6188" s="11">
        <f>IFERROR(__xludf.DUMMYFUNCTION("""COMPUTED_VALUE"""),37363.0)</f>
        <v>37363</v>
      </c>
      <c r="C6188" s="9">
        <f>IFERROR(__xludf.DUMMYFUNCTION("""COMPUTED_VALUE"""),5.24)</f>
        <v>5.24</v>
      </c>
      <c r="H6188" s="17"/>
      <c r="K6188" s="17"/>
      <c r="N6188" s="17"/>
    </row>
    <row r="6189">
      <c r="B6189" s="11">
        <f>IFERROR(__xludf.DUMMYFUNCTION("""COMPUTED_VALUE"""),37362.0)</f>
        <v>37362</v>
      </c>
      <c r="C6189" s="9">
        <f>IFERROR(__xludf.DUMMYFUNCTION("""COMPUTED_VALUE"""),5.2)</f>
        <v>5.2</v>
      </c>
      <c r="H6189" s="17"/>
      <c r="K6189" s="17"/>
      <c r="N6189" s="17"/>
    </row>
    <row r="6190">
      <c r="B6190" s="11">
        <f>IFERROR(__xludf.DUMMYFUNCTION("""COMPUTED_VALUE"""),37361.0)</f>
        <v>37361</v>
      </c>
      <c r="C6190" s="9">
        <f>IFERROR(__xludf.DUMMYFUNCTION("""COMPUTED_VALUE"""),5.15)</f>
        <v>5.15</v>
      </c>
      <c r="H6190" s="17"/>
      <c r="K6190" s="17"/>
      <c r="N6190" s="17"/>
    </row>
    <row r="6191">
      <c r="B6191" s="11">
        <f>IFERROR(__xludf.DUMMYFUNCTION("""COMPUTED_VALUE"""),37358.0)</f>
        <v>37358</v>
      </c>
      <c r="C6191" s="9">
        <f>IFERROR(__xludf.DUMMYFUNCTION("""COMPUTED_VALUE"""),5.18)</f>
        <v>5.18</v>
      </c>
      <c r="H6191" s="17"/>
      <c r="K6191" s="17"/>
      <c r="N6191" s="17"/>
    </row>
    <row r="6192">
      <c r="B6192" s="11">
        <f>IFERROR(__xludf.DUMMYFUNCTION("""COMPUTED_VALUE"""),37357.0)</f>
        <v>37357</v>
      </c>
      <c r="C6192" s="9">
        <f>IFERROR(__xludf.DUMMYFUNCTION("""COMPUTED_VALUE"""),5.22)</f>
        <v>5.22</v>
      </c>
      <c r="H6192" s="17"/>
      <c r="K6192" s="17"/>
      <c r="N6192" s="17"/>
    </row>
    <row r="6193">
      <c r="B6193" s="11">
        <f>IFERROR(__xludf.DUMMYFUNCTION("""COMPUTED_VALUE"""),37356.0)</f>
        <v>37356</v>
      </c>
      <c r="C6193" s="9">
        <f>IFERROR(__xludf.DUMMYFUNCTION("""COMPUTED_VALUE"""),5.24)</f>
        <v>5.24</v>
      </c>
      <c r="H6193" s="17"/>
      <c r="K6193" s="17"/>
      <c r="N6193" s="17"/>
    </row>
    <row r="6194">
      <c r="B6194" s="11">
        <f>IFERROR(__xludf.DUMMYFUNCTION("""COMPUTED_VALUE"""),37355.0)</f>
        <v>37355</v>
      </c>
      <c r="C6194" s="9">
        <f>IFERROR(__xludf.DUMMYFUNCTION("""COMPUTED_VALUE"""),5.22)</f>
        <v>5.22</v>
      </c>
      <c r="H6194" s="17"/>
      <c r="K6194" s="17"/>
      <c r="N6194" s="17"/>
    </row>
    <row r="6195">
      <c r="B6195" s="11">
        <f>IFERROR(__xludf.DUMMYFUNCTION("""COMPUTED_VALUE"""),37354.0)</f>
        <v>37354</v>
      </c>
      <c r="C6195" s="9">
        <f>IFERROR(__xludf.DUMMYFUNCTION("""COMPUTED_VALUE"""),5.25)</f>
        <v>5.25</v>
      </c>
      <c r="H6195" s="17"/>
      <c r="K6195" s="17"/>
      <c r="N6195" s="17"/>
    </row>
    <row r="6196">
      <c r="B6196" s="11">
        <f>IFERROR(__xludf.DUMMYFUNCTION("""COMPUTED_VALUE"""),37351.0)</f>
        <v>37351</v>
      </c>
      <c r="C6196" s="9">
        <f>IFERROR(__xludf.DUMMYFUNCTION("""COMPUTED_VALUE"""),5.22)</f>
        <v>5.22</v>
      </c>
      <c r="H6196" s="17"/>
      <c r="K6196" s="17"/>
      <c r="N6196" s="17"/>
    </row>
    <row r="6197">
      <c r="B6197" s="11">
        <f>IFERROR(__xludf.DUMMYFUNCTION("""COMPUTED_VALUE"""),37350.0)</f>
        <v>37350</v>
      </c>
      <c r="C6197" s="9">
        <f>IFERROR(__xludf.DUMMYFUNCTION("""COMPUTED_VALUE"""),5.28)</f>
        <v>5.28</v>
      </c>
      <c r="H6197" s="17"/>
      <c r="K6197" s="17"/>
      <c r="N6197" s="17"/>
    </row>
    <row r="6198">
      <c r="B6198" s="11">
        <f>IFERROR(__xludf.DUMMYFUNCTION("""COMPUTED_VALUE"""),37349.0)</f>
        <v>37349</v>
      </c>
      <c r="C6198" s="9">
        <f>IFERROR(__xludf.DUMMYFUNCTION("""COMPUTED_VALUE"""),5.3)</f>
        <v>5.3</v>
      </c>
      <c r="H6198" s="17"/>
      <c r="K6198" s="17"/>
      <c r="N6198" s="17"/>
    </row>
    <row r="6199">
      <c r="B6199" s="11">
        <f>IFERROR(__xludf.DUMMYFUNCTION("""COMPUTED_VALUE"""),37348.0)</f>
        <v>37348</v>
      </c>
      <c r="C6199" s="9">
        <f>IFERROR(__xludf.DUMMYFUNCTION("""COMPUTED_VALUE"""),5.36)</f>
        <v>5.36</v>
      </c>
      <c r="H6199" s="17"/>
      <c r="K6199" s="17"/>
      <c r="N6199" s="17"/>
    </row>
    <row r="6200">
      <c r="B6200" s="11">
        <f>IFERROR(__xludf.DUMMYFUNCTION("""COMPUTED_VALUE"""),37347.0)</f>
        <v>37347</v>
      </c>
      <c r="C6200" s="9">
        <f>IFERROR(__xludf.DUMMYFUNCTION("""COMPUTED_VALUE"""),5.44)</f>
        <v>5.44</v>
      </c>
      <c r="H6200" s="17"/>
      <c r="K6200" s="17"/>
      <c r="N6200" s="17"/>
    </row>
    <row r="6201">
      <c r="B6201" s="11">
        <f>IFERROR(__xludf.DUMMYFUNCTION("""COMPUTED_VALUE"""),37344.0)</f>
        <v>37344</v>
      </c>
      <c r="C6201" s="9"/>
      <c r="H6201" s="17"/>
      <c r="K6201" s="17"/>
      <c r="N6201" s="17"/>
    </row>
    <row r="6202">
      <c r="B6202" s="11">
        <f>IFERROR(__xludf.DUMMYFUNCTION("""COMPUTED_VALUE"""),37343.0)</f>
        <v>37343</v>
      </c>
      <c r="C6202" s="9">
        <f>IFERROR(__xludf.DUMMYFUNCTION("""COMPUTED_VALUE"""),5.42)</f>
        <v>5.42</v>
      </c>
      <c r="H6202" s="17"/>
      <c r="K6202" s="17"/>
      <c r="N6202" s="17"/>
    </row>
    <row r="6203">
      <c r="B6203" s="11">
        <f>IFERROR(__xludf.DUMMYFUNCTION("""COMPUTED_VALUE"""),37342.0)</f>
        <v>37342</v>
      </c>
      <c r="C6203" s="9">
        <f>IFERROR(__xludf.DUMMYFUNCTION("""COMPUTED_VALUE"""),5.35)</f>
        <v>5.35</v>
      </c>
      <c r="H6203" s="17"/>
      <c r="K6203" s="17"/>
      <c r="N6203" s="17"/>
    </row>
    <row r="6204">
      <c r="B6204" s="11">
        <f>IFERROR(__xludf.DUMMYFUNCTION("""COMPUTED_VALUE"""),37341.0)</f>
        <v>37341</v>
      </c>
      <c r="C6204" s="9">
        <f>IFERROR(__xludf.DUMMYFUNCTION("""COMPUTED_VALUE"""),5.35)</f>
        <v>5.35</v>
      </c>
      <c r="H6204" s="17"/>
      <c r="K6204" s="17"/>
      <c r="N6204" s="17"/>
    </row>
    <row r="6205">
      <c r="B6205" s="11">
        <f>IFERROR(__xludf.DUMMYFUNCTION("""COMPUTED_VALUE"""),37340.0)</f>
        <v>37340</v>
      </c>
      <c r="C6205" s="9">
        <f>IFERROR(__xludf.DUMMYFUNCTION("""COMPUTED_VALUE"""),5.41)</f>
        <v>5.41</v>
      </c>
      <c r="H6205" s="17"/>
      <c r="K6205" s="17"/>
      <c r="N6205" s="17"/>
    </row>
    <row r="6206">
      <c r="B6206" s="11">
        <f>IFERROR(__xludf.DUMMYFUNCTION("""COMPUTED_VALUE"""),37337.0)</f>
        <v>37337</v>
      </c>
      <c r="C6206" s="9">
        <f>IFERROR(__xludf.DUMMYFUNCTION("""COMPUTED_VALUE"""),5.4)</f>
        <v>5.4</v>
      </c>
      <c r="H6206" s="17"/>
      <c r="K6206" s="17"/>
      <c r="N6206" s="17"/>
    </row>
    <row r="6207">
      <c r="B6207" s="11">
        <f>IFERROR(__xludf.DUMMYFUNCTION("""COMPUTED_VALUE"""),37336.0)</f>
        <v>37336</v>
      </c>
      <c r="C6207" s="9">
        <f>IFERROR(__xludf.DUMMYFUNCTION("""COMPUTED_VALUE"""),5.39)</f>
        <v>5.39</v>
      </c>
      <c r="H6207" s="17"/>
      <c r="K6207" s="17"/>
      <c r="N6207" s="17"/>
    </row>
    <row r="6208">
      <c r="B6208" s="11">
        <f>IFERROR(__xludf.DUMMYFUNCTION("""COMPUTED_VALUE"""),37335.0)</f>
        <v>37335</v>
      </c>
      <c r="C6208" s="9">
        <f>IFERROR(__xludf.DUMMYFUNCTION("""COMPUTED_VALUE"""),5.4)</f>
        <v>5.4</v>
      </c>
      <c r="H6208" s="17"/>
      <c r="K6208" s="17"/>
      <c r="N6208" s="17"/>
    </row>
    <row r="6209">
      <c r="B6209" s="11">
        <f>IFERROR(__xludf.DUMMYFUNCTION("""COMPUTED_VALUE"""),37334.0)</f>
        <v>37334</v>
      </c>
      <c r="C6209" s="9">
        <f>IFERROR(__xludf.DUMMYFUNCTION("""COMPUTED_VALUE"""),5.33)</f>
        <v>5.33</v>
      </c>
      <c r="H6209" s="17"/>
      <c r="K6209" s="17"/>
      <c r="N6209" s="17"/>
    </row>
    <row r="6210">
      <c r="B6210" s="11">
        <f>IFERROR(__xludf.DUMMYFUNCTION("""COMPUTED_VALUE"""),37333.0)</f>
        <v>37333</v>
      </c>
      <c r="C6210" s="9">
        <f>IFERROR(__xludf.DUMMYFUNCTION("""COMPUTED_VALUE"""),5.32)</f>
        <v>5.32</v>
      </c>
      <c r="H6210" s="17"/>
      <c r="K6210" s="17"/>
      <c r="N6210" s="17"/>
    </row>
    <row r="6211">
      <c r="B6211" s="11">
        <f>IFERROR(__xludf.DUMMYFUNCTION("""COMPUTED_VALUE"""),37330.0)</f>
        <v>37330</v>
      </c>
      <c r="C6211" s="9">
        <f>IFERROR(__xludf.DUMMYFUNCTION("""COMPUTED_VALUE"""),5.35)</f>
        <v>5.35</v>
      </c>
      <c r="H6211" s="17"/>
      <c r="K6211" s="17"/>
      <c r="N6211" s="17"/>
    </row>
    <row r="6212">
      <c r="B6212" s="11">
        <f>IFERROR(__xludf.DUMMYFUNCTION("""COMPUTED_VALUE"""),37329.0)</f>
        <v>37329</v>
      </c>
      <c r="C6212" s="9">
        <f>IFERROR(__xludf.DUMMYFUNCTION("""COMPUTED_VALUE"""),5.4)</f>
        <v>5.4</v>
      </c>
      <c r="H6212" s="17"/>
      <c r="K6212" s="17"/>
      <c r="N6212" s="17"/>
    </row>
    <row r="6213">
      <c r="B6213" s="11">
        <f>IFERROR(__xludf.DUMMYFUNCTION("""COMPUTED_VALUE"""),37328.0)</f>
        <v>37328</v>
      </c>
      <c r="C6213" s="9">
        <f>IFERROR(__xludf.DUMMYFUNCTION("""COMPUTED_VALUE"""),5.28)</f>
        <v>5.28</v>
      </c>
      <c r="H6213" s="17"/>
      <c r="K6213" s="17"/>
      <c r="N6213" s="17"/>
    </row>
    <row r="6214">
      <c r="B6214" s="11">
        <f>IFERROR(__xludf.DUMMYFUNCTION("""COMPUTED_VALUE"""),37327.0)</f>
        <v>37327</v>
      </c>
      <c r="C6214" s="9">
        <f>IFERROR(__xludf.DUMMYFUNCTION("""COMPUTED_VALUE"""),5.32)</f>
        <v>5.32</v>
      </c>
      <c r="H6214" s="17"/>
      <c r="K6214" s="17"/>
      <c r="N6214" s="17"/>
    </row>
    <row r="6215">
      <c r="B6215" s="11">
        <f>IFERROR(__xludf.DUMMYFUNCTION("""COMPUTED_VALUE"""),37326.0)</f>
        <v>37326</v>
      </c>
      <c r="C6215" s="9">
        <f>IFERROR(__xludf.DUMMYFUNCTION("""COMPUTED_VALUE"""),5.33)</f>
        <v>5.33</v>
      </c>
      <c r="H6215" s="17"/>
      <c r="K6215" s="17"/>
      <c r="N6215" s="17"/>
    </row>
    <row r="6216">
      <c r="B6216" s="11">
        <f>IFERROR(__xludf.DUMMYFUNCTION("""COMPUTED_VALUE"""),37323.0)</f>
        <v>37323</v>
      </c>
      <c r="C6216" s="9">
        <f>IFERROR(__xludf.DUMMYFUNCTION("""COMPUTED_VALUE"""),5.33)</f>
        <v>5.33</v>
      </c>
      <c r="H6216" s="17"/>
      <c r="K6216" s="17"/>
      <c r="N6216" s="17"/>
    </row>
    <row r="6217">
      <c r="B6217" s="11">
        <f>IFERROR(__xludf.DUMMYFUNCTION("""COMPUTED_VALUE"""),37322.0)</f>
        <v>37322</v>
      </c>
      <c r="C6217" s="9">
        <f>IFERROR(__xludf.DUMMYFUNCTION("""COMPUTED_VALUE"""),5.22)</f>
        <v>5.22</v>
      </c>
      <c r="H6217" s="17"/>
      <c r="K6217" s="17"/>
      <c r="N6217" s="17"/>
    </row>
    <row r="6218">
      <c r="B6218" s="11">
        <f>IFERROR(__xludf.DUMMYFUNCTION("""COMPUTED_VALUE"""),37321.0)</f>
        <v>37321</v>
      </c>
      <c r="C6218" s="9">
        <f>IFERROR(__xludf.DUMMYFUNCTION("""COMPUTED_VALUE"""),5.06)</f>
        <v>5.06</v>
      </c>
      <c r="H6218" s="17"/>
      <c r="K6218" s="17"/>
      <c r="N6218" s="17"/>
    </row>
    <row r="6219">
      <c r="B6219" s="11">
        <f>IFERROR(__xludf.DUMMYFUNCTION("""COMPUTED_VALUE"""),37320.0)</f>
        <v>37320</v>
      </c>
      <c r="C6219" s="9">
        <f>IFERROR(__xludf.DUMMYFUNCTION("""COMPUTED_VALUE"""),5.02)</f>
        <v>5.02</v>
      </c>
      <c r="H6219" s="17"/>
      <c r="K6219" s="17"/>
      <c r="N6219" s="17"/>
    </row>
    <row r="6220">
      <c r="B6220" s="11">
        <f>IFERROR(__xludf.DUMMYFUNCTION("""COMPUTED_VALUE"""),37319.0)</f>
        <v>37319</v>
      </c>
      <c r="C6220" s="9">
        <f>IFERROR(__xludf.DUMMYFUNCTION("""COMPUTED_VALUE"""),5.02)</f>
        <v>5.02</v>
      </c>
      <c r="H6220" s="17"/>
      <c r="K6220" s="17"/>
      <c r="N6220" s="17"/>
    </row>
    <row r="6221">
      <c r="B6221" s="11">
        <f>IFERROR(__xludf.DUMMYFUNCTION("""COMPUTED_VALUE"""),37316.0)</f>
        <v>37316</v>
      </c>
      <c r="C6221" s="9">
        <f>IFERROR(__xludf.DUMMYFUNCTION("""COMPUTED_VALUE"""),4.98)</f>
        <v>4.98</v>
      </c>
      <c r="H6221" s="17"/>
      <c r="K6221" s="17"/>
      <c r="N6221" s="17"/>
    </row>
    <row r="6222">
      <c r="B6222" s="11">
        <f>IFERROR(__xludf.DUMMYFUNCTION("""COMPUTED_VALUE"""),37315.0)</f>
        <v>37315</v>
      </c>
      <c r="C6222" s="9">
        <f>IFERROR(__xludf.DUMMYFUNCTION("""COMPUTED_VALUE"""),4.88)</f>
        <v>4.88</v>
      </c>
      <c r="H6222" s="17"/>
      <c r="K6222" s="17"/>
      <c r="N6222" s="17"/>
    </row>
    <row r="6223">
      <c r="B6223" s="11">
        <f>IFERROR(__xludf.DUMMYFUNCTION("""COMPUTED_VALUE"""),37314.0)</f>
        <v>37314</v>
      </c>
      <c r="C6223" s="9">
        <f>IFERROR(__xludf.DUMMYFUNCTION("""COMPUTED_VALUE"""),4.84)</f>
        <v>4.84</v>
      </c>
      <c r="H6223" s="17"/>
      <c r="K6223" s="17"/>
      <c r="N6223" s="17"/>
    </row>
    <row r="6224">
      <c r="B6224" s="11">
        <f>IFERROR(__xludf.DUMMYFUNCTION("""COMPUTED_VALUE"""),37313.0)</f>
        <v>37313</v>
      </c>
      <c r="C6224" s="9">
        <f>IFERROR(__xludf.DUMMYFUNCTION("""COMPUTED_VALUE"""),4.93)</f>
        <v>4.93</v>
      </c>
      <c r="H6224" s="17"/>
      <c r="K6224" s="17"/>
      <c r="N6224" s="17"/>
    </row>
    <row r="6225">
      <c r="B6225" s="11">
        <f>IFERROR(__xludf.DUMMYFUNCTION("""COMPUTED_VALUE"""),37312.0)</f>
        <v>37312</v>
      </c>
      <c r="C6225" s="9">
        <f>IFERROR(__xludf.DUMMYFUNCTION("""COMPUTED_VALUE"""),4.86)</f>
        <v>4.86</v>
      </c>
      <c r="H6225" s="17"/>
      <c r="K6225" s="17"/>
      <c r="N6225" s="17"/>
    </row>
    <row r="6226">
      <c r="B6226" s="11">
        <f>IFERROR(__xludf.DUMMYFUNCTION("""COMPUTED_VALUE"""),37309.0)</f>
        <v>37309</v>
      </c>
      <c r="C6226" s="9">
        <f>IFERROR(__xludf.DUMMYFUNCTION("""COMPUTED_VALUE"""),4.84)</f>
        <v>4.84</v>
      </c>
      <c r="H6226" s="17"/>
      <c r="K6226" s="17"/>
      <c r="N6226" s="17"/>
    </row>
    <row r="6227">
      <c r="B6227" s="11">
        <f>IFERROR(__xludf.DUMMYFUNCTION("""COMPUTED_VALUE"""),37308.0)</f>
        <v>37308</v>
      </c>
      <c r="C6227" s="9">
        <f>IFERROR(__xludf.DUMMYFUNCTION("""COMPUTED_VALUE"""),4.88)</f>
        <v>4.88</v>
      </c>
      <c r="H6227" s="17"/>
      <c r="K6227" s="17"/>
      <c r="N6227" s="17"/>
    </row>
    <row r="6228">
      <c r="B6228" s="11">
        <f>IFERROR(__xludf.DUMMYFUNCTION("""COMPUTED_VALUE"""),37307.0)</f>
        <v>37307</v>
      </c>
      <c r="C6228" s="9">
        <f>IFERROR(__xludf.DUMMYFUNCTION("""COMPUTED_VALUE"""),4.88)</f>
        <v>4.88</v>
      </c>
      <c r="H6228" s="17"/>
      <c r="K6228" s="17"/>
      <c r="N6228" s="17"/>
    </row>
    <row r="6229">
      <c r="B6229" s="11">
        <f>IFERROR(__xludf.DUMMYFUNCTION("""COMPUTED_VALUE"""),37306.0)</f>
        <v>37306</v>
      </c>
      <c r="C6229" s="9">
        <f>IFERROR(__xludf.DUMMYFUNCTION("""COMPUTED_VALUE"""),4.88)</f>
        <v>4.88</v>
      </c>
      <c r="H6229" s="17"/>
      <c r="K6229" s="17"/>
      <c r="N6229" s="17"/>
    </row>
    <row r="6230">
      <c r="B6230" s="11">
        <f>IFERROR(__xludf.DUMMYFUNCTION("""COMPUTED_VALUE"""),37305.0)</f>
        <v>37305</v>
      </c>
      <c r="C6230" s="9"/>
      <c r="H6230" s="17"/>
      <c r="K6230" s="17"/>
      <c r="N6230" s="17"/>
    </row>
    <row r="6231">
      <c r="B6231" s="11">
        <f>IFERROR(__xludf.DUMMYFUNCTION("""COMPUTED_VALUE"""),37302.0)</f>
        <v>37302</v>
      </c>
      <c r="C6231" s="9">
        <f>IFERROR(__xludf.DUMMYFUNCTION("""COMPUTED_VALUE"""),4.86)</f>
        <v>4.86</v>
      </c>
      <c r="H6231" s="17"/>
      <c r="K6231" s="17"/>
      <c r="N6231" s="17"/>
    </row>
    <row r="6232">
      <c r="B6232" s="11">
        <f>IFERROR(__xludf.DUMMYFUNCTION("""COMPUTED_VALUE"""),37301.0)</f>
        <v>37301</v>
      </c>
      <c r="C6232" s="9">
        <f>IFERROR(__xludf.DUMMYFUNCTION("""COMPUTED_VALUE"""),4.95)</f>
        <v>4.95</v>
      </c>
      <c r="H6232" s="17"/>
      <c r="K6232" s="17"/>
      <c r="N6232" s="17"/>
    </row>
    <row r="6233">
      <c r="B6233" s="11">
        <f>IFERROR(__xludf.DUMMYFUNCTION("""COMPUTED_VALUE"""),37300.0)</f>
        <v>37300</v>
      </c>
      <c r="C6233" s="9">
        <f>IFERROR(__xludf.DUMMYFUNCTION("""COMPUTED_VALUE"""),5.01)</f>
        <v>5.01</v>
      </c>
      <c r="H6233" s="17"/>
      <c r="K6233" s="17"/>
      <c r="N6233" s="17"/>
    </row>
    <row r="6234">
      <c r="B6234" s="11">
        <f>IFERROR(__xludf.DUMMYFUNCTION("""COMPUTED_VALUE"""),37299.0)</f>
        <v>37299</v>
      </c>
      <c r="C6234" s="9">
        <f>IFERROR(__xludf.DUMMYFUNCTION("""COMPUTED_VALUE"""),4.97)</f>
        <v>4.97</v>
      </c>
      <c r="H6234" s="17"/>
      <c r="K6234" s="17"/>
      <c r="N6234" s="17"/>
    </row>
    <row r="6235">
      <c r="B6235" s="11">
        <f>IFERROR(__xludf.DUMMYFUNCTION("""COMPUTED_VALUE"""),37298.0)</f>
        <v>37298</v>
      </c>
      <c r="C6235" s="9">
        <f>IFERROR(__xludf.DUMMYFUNCTION("""COMPUTED_VALUE"""),4.91)</f>
        <v>4.91</v>
      </c>
      <c r="H6235" s="17"/>
      <c r="K6235" s="17"/>
      <c r="N6235" s="17"/>
    </row>
    <row r="6236">
      <c r="B6236" s="11">
        <f>IFERROR(__xludf.DUMMYFUNCTION("""COMPUTED_VALUE"""),37295.0)</f>
        <v>37295</v>
      </c>
      <c r="C6236" s="9">
        <f>IFERROR(__xludf.DUMMYFUNCTION("""COMPUTED_VALUE"""),4.9)</f>
        <v>4.9</v>
      </c>
      <c r="H6236" s="17"/>
      <c r="K6236" s="17"/>
      <c r="N6236" s="17"/>
    </row>
    <row r="6237">
      <c r="B6237" s="11">
        <f>IFERROR(__xludf.DUMMYFUNCTION("""COMPUTED_VALUE"""),37294.0)</f>
        <v>37294</v>
      </c>
      <c r="C6237" s="9">
        <f>IFERROR(__xludf.DUMMYFUNCTION("""COMPUTED_VALUE"""),4.93)</f>
        <v>4.93</v>
      </c>
      <c r="H6237" s="17"/>
      <c r="K6237" s="17"/>
      <c r="N6237" s="17"/>
    </row>
    <row r="6238">
      <c r="B6238" s="11">
        <f>IFERROR(__xludf.DUMMYFUNCTION("""COMPUTED_VALUE"""),37293.0)</f>
        <v>37293</v>
      </c>
      <c r="C6238" s="9">
        <f>IFERROR(__xludf.DUMMYFUNCTION("""COMPUTED_VALUE"""),4.92)</f>
        <v>4.92</v>
      </c>
      <c r="H6238" s="17"/>
      <c r="K6238" s="17"/>
      <c r="N6238" s="17"/>
    </row>
    <row r="6239">
      <c r="B6239" s="11">
        <f>IFERROR(__xludf.DUMMYFUNCTION("""COMPUTED_VALUE"""),37292.0)</f>
        <v>37292</v>
      </c>
      <c r="C6239" s="9">
        <f>IFERROR(__xludf.DUMMYFUNCTION("""COMPUTED_VALUE"""),4.92)</f>
        <v>4.92</v>
      </c>
      <c r="H6239" s="17"/>
      <c r="K6239" s="17"/>
      <c r="N6239" s="17"/>
    </row>
    <row r="6240">
      <c r="B6240" s="11">
        <f>IFERROR(__xludf.DUMMYFUNCTION("""COMPUTED_VALUE"""),37291.0)</f>
        <v>37291</v>
      </c>
      <c r="C6240" s="9">
        <f>IFERROR(__xludf.DUMMYFUNCTION("""COMPUTED_VALUE"""),4.94)</f>
        <v>4.94</v>
      </c>
      <c r="H6240" s="17"/>
      <c r="K6240" s="17"/>
      <c r="N6240" s="17"/>
    </row>
    <row r="6241">
      <c r="B6241" s="11">
        <f>IFERROR(__xludf.DUMMYFUNCTION("""COMPUTED_VALUE"""),37288.0)</f>
        <v>37288</v>
      </c>
      <c r="C6241" s="9">
        <f>IFERROR(__xludf.DUMMYFUNCTION("""COMPUTED_VALUE"""),5.02)</f>
        <v>5.02</v>
      </c>
      <c r="H6241" s="17"/>
      <c r="K6241" s="17"/>
      <c r="N6241" s="17"/>
    </row>
    <row r="6242">
      <c r="B6242" s="11">
        <f>IFERROR(__xludf.DUMMYFUNCTION("""COMPUTED_VALUE"""),37287.0)</f>
        <v>37287</v>
      </c>
      <c r="C6242" s="9">
        <f>IFERROR(__xludf.DUMMYFUNCTION("""COMPUTED_VALUE"""),5.07)</f>
        <v>5.07</v>
      </c>
      <c r="H6242" s="17"/>
      <c r="K6242" s="17"/>
      <c r="N6242" s="17"/>
    </row>
    <row r="6243">
      <c r="B6243" s="11">
        <f>IFERROR(__xludf.DUMMYFUNCTION("""COMPUTED_VALUE"""),37286.0)</f>
        <v>37286</v>
      </c>
      <c r="C6243" s="9">
        <f>IFERROR(__xludf.DUMMYFUNCTION("""COMPUTED_VALUE"""),5.02)</f>
        <v>5.02</v>
      </c>
      <c r="H6243" s="17"/>
      <c r="K6243" s="17"/>
      <c r="N6243" s="17"/>
    </row>
    <row r="6244">
      <c r="B6244" s="11">
        <f>IFERROR(__xludf.DUMMYFUNCTION("""COMPUTED_VALUE"""),37285.0)</f>
        <v>37285</v>
      </c>
      <c r="C6244" s="9">
        <f>IFERROR(__xludf.DUMMYFUNCTION("""COMPUTED_VALUE"""),5.02)</f>
        <v>5.02</v>
      </c>
      <c r="H6244" s="17"/>
      <c r="K6244" s="17"/>
      <c r="N6244" s="17"/>
    </row>
    <row r="6245">
      <c r="B6245" s="11">
        <f>IFERROR(__xludf.DUMMYFUNCTION("""COMPUTED_VALUE"""),37284.0)</f>
        <v>37284</v>
      </c>
      <c r="C6245" s="9">
        <f>IFERROR(__xludf.DUMMYFUNCTION("""COMPUTED_VALUE"""),5.12)</f>
        <v>5.12</v>
      </c>
      <c r="H6245" s="17"/>
      <c r="K6245" s="17"/>
      <c r="N6245" s="17"/>
    </row>
    <row r="6246">
      <c r="B6246" s="11">
        <f>IFERROR(__xludf.DUMMYFUNCTION("""COMPUTED_VALUE"""),37281.0)</f>
        <v>37281</v>
      </c>
      <c r="C6246" s="9">
        <f>IFERROR(__xludf.DUMMYFUNCTION("""COMPUTED_VALUE"""),5.1)</f>
        <v>5.1</v>
      </c>
      <c r="H6246" s="17"/>
      <c r="K6246" s="17"/>
      <c r="N6246" s="17"/>
    </row>
    <row r="6247">
      <c r="B6247" s="11">
        <f>IFERROR(__xludf.DUMMYFUNCTION("""COMPUTED_VALUE"""),37280.0)</f>
        <v>37280</v>
      </c>
      <c r="C6247" s="9">
        <f>IFERROR(__xludf.DUMMYFUNCTION("""COMPUTED_VALUE"""),5.07)</f>
        <v>5.07</v>
      </c>
      <c r="H6247" s="17"/>
      <c r="K6247" s="17"/>
      <c r="N6247" s="17"/>
    </row>
    <row r="6248">
      <c r="B6248" s="11">
        <f>IFERROR(__xludf.DUMMYFUNCTION("""COMPUTED_VALUE"""),37279.0)</f>
        <v>37279</v>
      </c>
      <c r="C6248" s="9">
        <f>IFERROR(__xludf.DUMMYFUNCTION("""COMPUTED_VALUE"""),5.05)</f>
        <v>5.05</v>
      </c>
      <c r="H6248" s="17"/>
      <c r="K6248" s="17"/>
      <c r="N6248" s="17"/>
    </row>
    <row r="6249">
      <c r="B6249" s="11">
        <f>IFERROR(__xludf.DUMMYFUNCTION("""COMPUTED_VALUE"""),37278.0)</f>
        <v>37278</v>
      </c>
      <c r="C6249" s="9">
        <f>IFERROR(__xludf.DUMMYFUNCTION("""COMPUTED_VALUE"""),4.96)</f>
        <v>4.96</v>
      </c>
      <c r="H6249" s="17"/>
      <c r="K6249" s="17"/>
      <c r="N6249" s="17"/>
    </row>
    <row r="6250">
      <c r="B6250" s="11">
        <f>IFERROR(__xludf.DUMMYFUNCTION("""COMPUTED_VALUE"""),37277.0)</f>
        <v>37277</v>
      </c>
      <c r="C6250" s="9"/>
      <c r="H6250" s="17"/>
      <c r="K6250" s="17"/>
      <c r="N6250" s="17"/>
    </row>
    <row r="6251">
      <c r="B6251" s="11">
        <f>IFERROR(__xludf.DUMMYFUNCTION("""COMPUTED_VALUE"""),37274.0)</f>
        <v>37274</v>
      </c>
      <c r="C6251" s="9">
        <f>IFERROR(__xludf.DUMMYFUNCTION("""COMPUTED_VALUE"""),4.94)</f>
        <v>4.94</v>
      </c>
      <c r="H6251" s="17"/>
      <c r="K6251" s="17"/>
      <c r="N6251" s="17"/>
    </row>
    <row r="6252">
      <c r="B6252" s="11">
        <f>IFERROR(__xludf.DUMMYFUNCTION("""COMPUTED_VALUE"""),37273.0)</f>
        <v>37273</v>
      </c>
      <c r="C6252" s="9">
        <f>IFERROR(__xludf.DUMMYFUNCTION("""COMPUTED_VALUE"""),4.98)</f>
        <v>4.98</v>
      </c>
      <c r="H6252" s="17"/>
      <c r="K6252" s="17"/>
      <c r="N6252" s="17"/>
    </row>
    <row r="6253">
      <c r="B6253" s="11">
        <f>IFERROR(__xludf.DUMMYFUNCTION("""COMPUTED_VALUE"""),37272.0)</f>
        <v>37272</v>
      </c>
      <c r="C6253" s="9">
        <f>IFERROR(__xludf.DUMMYFUNCTION("""COMPUTED_VALUE"""),4.88)</f>
        <v>4.88</v>
      </c>
      <c r="H6253" s="17"/>
      <c r="K6253" s="17"/>
      <c r="N6253" s="17"/>
    </row>
    <row r="6254">
      <c r="B6254" s="11">
        <f>IFERROR(__xludf.DUMMYFUNCTION("""COMPUTED_VALUE"""),37271.0)</f>
        <v>37271</v>
      </c>
      <c r="C6254" s="9">
        <f>IFERROR(__xludf.DUMMYFUNCTION("""COMPUTED_VALUE"""),4.88)</f>
        <v>4.88</v>
      </c>
      <c r="H6254" s="17"/>
      <c r="K6254" s="17"/>
      <c r="N6254" s="17"/>
    </row>
    <row r="6255">
      <c r="B6255" s="11">
        <f>IFERROR(__xludf.DUMMYFUNCTION("""COMPUTED_VALUE"""),37270.0)</f>
        <v>37270</v>
      </c>
      <c r="C6255" s="9">
        <f>IFERROR(__xludf.DUMMYFUNCTION("""COMPUTED_VALUE"""),4.91)</f>
        <v>4.91</v>
      </c>
      <c r="H6255" s="17"/>
      <c r="K6255" s="17"/>
      <c r="N6255" s="17"/>
    </row>
    <row r="6256">
      <c r="B6256" s="11">
        <f>IFERROR(__xludf.DUMMYFUNCTION("""COMPUTED_VALUE"""),37267.0)</f>
        <v>37267</v>
      </c>
      <c r="C6256" s="9">
        <f>IFERROR(__xludf.DUMMYFUNCTION("""COMPUTED_VALUE"""),4.92)</f>
        <v>4.92</v>
      </c>
      <c r="H6256" s="17"/>
      <c r="K6256" s="17"/>
      <c r="N6256" s="17"/>
    </row>
    <row r="6257">
      <c r="B6257" s="11">
        <f>IFERROR(__xludf.DUMMYFUNCTION("""COMPUTED_VALUE"""),37266.0)</f>
        <v>37266</v>
      </c>
      <c r="C6257" s="9">
        <f>IFERROR(__xludf.DUMMYFUNCTION("""COMPUTED_VALUE"""),5.0)</f>
        <v>5</v>
      </c>
      <c r="H6257" s="17"/>
      <c r="K6257" s="17"/>
      <c r="N6257" s="17"/>
    </row>
    <row r="6258">
      <c r="B6258" s="11">
        <f>IFERROR(__xludf.DUMMYFUNCTION("""COMPUTED_VALUE"""),37265.0)</f>
        <v>37265</v>
      </c>
      <c r="C6258" s="9">
        <f>IFERROR(__xludf.DUMMYFUNCTION("""COMPUTED_VALUE"""),5.1)</f>
        <v>5.1</v>
      </c>
      <c r="H6258" s="17"/>
      <c r="K6258" s="17"/>
      <c r="N6258" s="17"/>
    </row>
    <row r="6259">
      <c r="B6259" s="11">
        <f>IFERROR(__xludf.DUMMYFUNCTION("""COMPUTED_VALUE"""),37264.0)</f>
        <v>37264</v>
      </c>
      <c r="C6259" s="9">
        <f>IFERROR(__xludf.DUMMYFUNCTION("""COMPUTED_VALUE"""),5.1)</f>
        <v>5.1</v>
      </c>
      <c r="H6259" s="17"/>
      <c r="K6259" s="17"/>
      <c r="N6259" s="17"/>
    </row>
    <row r="6260">
      <c r="B6260" s="11">
        <f>IFERROR(__xludf.DUMMYFUNCTION("""COMPUTED_VALUE"""),37263.0)</f>
        <v>37263</v>
      </c>
      <c r="C6260" s="9">
        <f>IFERROR(__xludf.DUMMYFUNCTION("""COMPUTED_VALUE"""),5.09)</f>
        <v>5.09</v>
      </c>
      <c r="H6260" s="17"/>
      <c r="K6260" s="17"/>
      <c r="N6260" s="17"/>
    </row>
    <row r="6261">
      <c r="B6261" s="11">
        <f>IFERROR(__xludf.DUMMYFUNCTION("""COMPUTED_VALUE"""),37260.0)</f>
        <v>37260</v>
      </c>
      <c r="C6261" s="9">
        <f>IFERROR(__xludf.DUMMYFUNCTION("""COMPUTED_VALUE"""),5.18)</f>
        <v>5.18</v>
      </c>
      <c r="H6261" s="17"/>
      <c r="K6261" s="17"/>
      <c r="N6261" s="17"/>
    </row>
    <row r="6262">
      <c r="B6262" s="11">
        <f>IFERROR(__xludf.DUMMYFUNCTION("""COMPUTED_VALUE"""),37259.0)</f>
        <v>37259</v>
      </c>
      <c r="C6262" s="9">
        <f>IFERROR(__xludf.DUMMYFUNCTION("""COMPUTED_VALUE"""),5.16)</f>
        <v>5.16</v>
      </c>
      <c r="H6262" s="17"/>
      <c r="K6262" s="17"/>
      <c r="N6262" s="17"/>
    </row>
    <row r="6263">
      <c r="B6263" s="11">
        <f>IFERROR(__xludf.DUMMYFUNCTION("""COMPUTED_VALUE"""),37258.0)</f>
        <v>37258</v>
      </c>
      <c r="C6263" s="9">
        <f>IFERROR(__xludf.DUMMYFUNCTION("""COMPUTED_VALUE"""),5.2)</f>
        <v>5.2</v>
      </c>
      <c r="H6263" s="17"/>
      <c r="K6263" s="17"/>
      <c r="N6263" s="17"/>
    </row>
    <row r="6264">
      <c r="B6264" s="11">
        <f>IFERROR(__xludf.DUMMYFUNCTION("""COMPUTED_VALUE"""),37257.0)</f>
        <v>37257</v>
      </c>
      <c r="C6264" s="9"/>
      <c r="H6264" s="17"/>
      <c r="K6264" s="17"/>
      <c r="N6264" s="17"/>
    </row>
    <row r="6265">
      <c r="B6265" s="11">
        <f>IFERROR(__xludf.DUMMYFUNCTION("""COMPUTED_VALUE"""),37256.0)</f>
        <v>37256</v>
      </c>
      <c r="C6265" s="9">
        <f>IFERROR(__xludf.DUMMYFUNCTION("""COMPUTED_VALUE"""),5.07)</f>
        <v>5.07</v>
      </c>
      <c r="H6265" s="17"/>
      <c r="K6265" s="17"/>
      <c r="N6265" s="17"/>
    </row>
    <row r="6266">
      <c r="B6266" s="11">
        <f>IFERROR(__xludf.DUMMYFUNCTION("""COMPUTED_VALUE"""),37253.0)</f>
        <v>37253</v>
      </c>
      <c r="C6266" s="9">
        <f>IFERROR(__xludf.DUMMYFUNCTION("""COMPUTED_VALUE"""),5.15)</f>
        <v>5.15</v>
      </c>
      <c r="H6266" s="17"/>
      <c r="K6266" s="17"/>
      <c r="N6266" s="17"/>
    </row>
    <row r="6267">
      <c r="B6267" s="11">
        <f>IFERROR(__xludf.DUMMYFUNCTION("""COMPUTED_VALUE"""),37252.0)</f>
        <v>37252</v>
      </c>
      <c r="C6267" s="9">
        <f>IFERROR(__xludf.DUMMYFUNCTION("""COMPUTED_VALUE"""),5.13)</f>
        <v>5.13</v>
      </c>
      <c r="H6267" s="17"/>
      <c r="K6267" s="17"/>
      <c r="N6267" s="17"/>
    </row>
    <row r="6268">
      <c r="B6268" s="11">
        <f>IFERROR(__xludf.DUMMYFUNCTION("""COMPUTED_VALUE"""),37251.0)</f>
        <v>37251</v>
      </c>
      <c r="C6268" s="9">
        <f>IFERROR(__xludf.DUMMYFUNCTION("""COMPUTED_VALUE"""),5.22)</f>
        <v>5.22</v>
      </c>
      <c r="H6268" s="17"/>
      <c r="K6268" s="17"/>
      <c r="N6268" s="17"/>
    </row>
    <row r="6269">
      <c r="B6269" s="11">
        <f>IFERROR(__xludf.DUMMYFUNCTION("""COMPUTED_VALUE"""),37250.0)</f>
        <v>37250</v>
      </c>
      <c r="C6269" s="9"/>
      <c r="H6269" s="17"/>
      <c r="K6269" s="17"/>
      <c r="N6269" s="17"/>
    </row>
    <row r="6270">
      <c r="B6270" s="11">
        <f>IFERROR(__xludf.DUMMYFUNCTION("""COMPUTED_VALUE"""),37249.0)</f>
        <v>37249</v>
      </c>
      <c r="C6270" s="9">
        <f>IFERROR(__xludf.DUMMYFUNCTION("""COMPUTED_VALUE"""),5.18)</f>
        <v>5.18</v>
      </c>
      <c r="H6270" s="17"/>
      <c r="K6270" s="17"/>
      <c r="N6270" s="17"/>
    </row>
    <row r="6271">
      <c r="B6271" s="11">
        <f>IFERROR(__xludf.DUMMYFUNCTION("""COMPUTED_VALUE"""),37246.0)</f>
        <v>37246</v>
      </c>
      <c r="C6271" s="9">
        <f>IFERROR(__xludf.DUMMYFUNCTION("""COMPUTED_VALUE"""),5.12)</f>
        <v>5.12</v>
      </c>
      <c r="H6271" s="17"/>
      <c r="K6271" s="17"/>
      <c r="N6271" s="17"/>
    </row>
    <row r="6272">
      <c r="B6272" s="11">
        <f>IFERROR(__xludf.DUMMYFUNCTION("""COMPUTED_VALUE"""),37245.0)</f>
        <v>37245</v>
      </c>
      <c r="C6272" s="9">
        <f>IFERROR(__xludf.DUMMYFUNCTION("""COMPUTED_VALUE"""),5.08)</f>
        <v>5.08</v>
      </c>
      <c r="H6272" s="17"/>
      <c r="K6272" s="17"/>
      <c r="N6272" s="17"/>
    </row>
    <row r="6273">
      <c r="B6273" s="11">
        <f>IFERROR(__xludf.DUMMYFUNCTION("""COMPUTED_VALUE"""),37244.0)</f>
        <v>37244</v>
      </c>
      <c r="C6273" s="9">
        <f>IFERROR(__xludf.DUMMYFUNCTION("""COMPUTED_VALUE"""),5.08)</f>
        <v>5.08</v>
      </c>
      <c r="H6273" s="17"/>
      <c r="K6273" s="17"/>
      <c r="N6273" s="17"/>
    </row>
    <row r="6274">
      <c r="B6274" s="11">
        <f>IFERROR(__xludf.DUMMYFUNCTION("""COMPUTED_VALUE"""),37243.0)</f>
        <v>37243</v>
      </c>
      <c r="C6274" s="9">
        <f>IFERROR(__xludf.DUMMYFUNCTION("""COMPUTED_VALUE"""),5.16)</f>
        <v>5.16</v>
      </c>
      <c r="H6274" s="17"/>
      <c r="K6274" s="17"/>
      <c r="N6274" s="17"/>
    </row>
    <row r="6275">
      <c r="B6275" s="11">
        <f>IFERROR(__xludf.DUMMYFUNCTION("""COMPUTED_VALUE"""),37242.0)</f>
        <v>37242</v>
      </c>
      <c r="C6275" s="9">
        <f>IFERROR(__xludf.DUMMYFUNCTION("""COMPUTED_VALUE"""),5.26)</f>
        <v>5.26</v>
      </c>
      <c r="H6275" s="17"/>
      <c r="K6275" s="17"/>
      <c r="N6275" s="17"/>
    </row>
    <row r="6276">
      <c r="B6276" s="11">
        <f>IFERROR(__xludf.DUMMYFUNCTION("""COMPUTED_VALUE"""),37239.0)</f>
        <v>37239</v>
      </c>
      <c r="C6276" s="9">
        <f>IFERROR(__xludf.DUMMYFUNCTION("""COMPUTED_VALUE"""),5.24)</f>
        <v>5.24</v>
      </c>
      <c r="H6276" s="17"/>
      <c r="K6276" s="17"/>
      <c r="N6276" s="17"/>
    </row>
    <row r="6277">
      <c r="B6277" s="11">
        <f>IFERROR(__xludf.DUMMYFUNCTION("""COMPUTED_VALUE"""),37238.0)</f>
        <v>37238</v>
      </c>
      <c r="C6277" s="9">
        <f>IFERROR(__xludf.DUMMYFUNCTION("""COMPUTED_VALUE"""),5.13)</f>
        <v>5.13</v>
      </c>
      <c r="H6277" s="17"/>
      <c r="K6277" s="17"/>
      <c r="N6277" s="17"/>
    </row>
    <row r="6278">
      <c r="B6278" s="11">
        <f>IFERROR(__xludf.DUMMYFUNCTION("""COMPUTED_VALUE"""),37237.0)</f>
        <v>37237</v>
      </c>
      <c r="C6278" s="9">
        <f>IFERROR(__xludf.DUMMYFUNCTION("""COMPUTED_VALUE"""),5.02)</f>
        <v>5.02</v>
      </c>
      <c r="H6278" s="17"/>
      <c r="K6278" s="17"/>
      <c r="N6278" s="17"/>
    </row>
    <row r="6279">
      <c r="B6279" s="11">
        <f>IFERROR(__xludf.DUMMYFUNCTION("""COMPUTED_VALUE"""),37236.0)</f>
        <v>37236</v>
      </c>
      <c r="C6279" s="9">
        <f>IFERROR(__xludf.DUMMYFUNCTION("""COMPUTED_VALUE"""),5.13)</f>
        <v>5.13</v>
      </c>
      <c r="H6279" s="17"/>
      <c r="K6279" s="17"/>
      <c r="N6279" s="17"/>
    </row>
    <row r="6280">
      <c r="B6280" s="11">
        <f>IFERROR(__xludf.DUMMYFUNCTION("""COMPUTED_VALUE"""),37235.0)</f>
        <v>37235</v>
      </c>
      <c r="C6280" s="9">
        <f>IFERROR(__xludf.DUMMYFUNCTION("""COMPUTED_VALUE"""),5.17)</f>
        <v>5.17</v>
      </c>
      <c r="H6280" s="17"/>
      <c r="K6280" s="17"/>
      <c r="N6280" s="17"/>
    </row>
    <row r="6281">
      <c r="B6281" s="11">
        <f>IFERROR(__xludf.DUMMYFUNCTION("""COMPUTED_VALUE"""),37232.0)</f>
        <v>37232</v>
      </c>
      <c r="C6281" s="9">
        <f>IFERROR(__xludf.DUMMYFUNCTION("""COMPUTED_VALUE"""),5.2)</f>
        <v>5.2</v>
      </c>
      <c r="H6281" s="17"/>
      <c r="K6281" s="17"/>
      <c r="N6281" s="17"/>
    </row>
    <row r="6282">
      <c r="B6282" s="11">
        <f>IFERROR(__xludf.DUMMYFUNCTION("""COMPUTED_VALUE"""),37231.0)</f>
        <v>37231</v>
      </c>
      <c r="C6282" s="9">
        <f>IFERROR(__xludf.DUMMYFUNCTION("""COMPUTED_VALUE"""),5.04)</f>
        <v>5.04</v>
      </c>
      <c r="H6282" s="17"/>
      <c r="K6282" s="17"/>
      <c r="N6282" s="17"/>
    </row>
    <row r="6283">
      <c r="B6283" s="11">
        <f>IFERROR(__xludf.DUMMYFUNCTION("""COMPUTED_VALUE"""),37230.0)</f>
        <v>37230</v>
      </c>
      <c r="C6283" s="9">
        <f>IFERROR(__xludf.DUMMYFUNCTION("""COMPUTED_VALUE"""),4.92)</f>
        <v>4.92</v>
      </c>
      <c r="H6283" s="17"/>
      <c r="K6283" s="17"/>
      <c r="N6283" s="17"/>
    </row>
    <row r="6284">
      <c r="B6284" s="11">
        <f>IFERROR(__xludf.DUMMYFUNCTION("""COMPUTED_VALUE"""),37229.0)</f>
        <v>37229</v>
      </c>
      <c r="C6284" s="9">
        <f>IFERROR(__xludf.DUMMYFUNCTION("""COMPUTED_VALUE"""),4.7)</f>
        <v>4.7</v>
      </c>
      <c r="H6284" s="17"/>
      <c r="K6284" s="17"/>
      <c r="N6284" s="17"/>
    </row>
    <row r="6285">
      <c r="B6285" s="11">
        <f>IFERROR(__xludf.DUMMYFUNCTION("""COMPUTED_VALUE"""),37228.0)</f>
        <v>37228</v>
      </c>
      <c r="C6285" s="9">
        <f>IFERROR(__xludf.DUMMYFUNCTION("""COMPUTED_VALUE"""),4.75)</f>
        <v>4.75</v>
      </c>
      <c r="H6285" s="17"/>
      <c r="K6285" s="17"/>
      <c r="N6285" s="17"/>
    </row>
    <row r="6286">
      <c r="B6286" s="11">
        <f>IFERROR(__xludf.DUMMYFUNCTION("""COMPUTED_VALUE"""),37225.0)</f>
        <v>37225</v>
      </c>
      <c r="C6286" s="9">
        <f>IFERROR(__xludf.DUMMYFUNCTION("""COMPUTED_VALUE"""),4.78)</f>
        <v>4.78</v>
      </c>
      <c r="H6286" s="17"/>
      <c r="K6286" s="17"/>
      <c r="N6286" s="17"/>
    </row>
    <row r="6287">
      <c r="B6287" s="11">
        <f>IFERROR(__xludf.DUMMYFUNCTION("""COMPUTED_VALUE"""),37224.0)</f>
        <v>37224</v>
      </c>
      <c r="C6287" s="9">
        <f>IFERROR(__xludf.DUMMYFUNCTION("""COMPUTED_VALUE"""),4.79)</f>
        <v>4.79</v>
      </c>
      <c r="H6287" s="17"/>
      <c r="K6287" s="17"/>
      <c r="N6287" s="17"/>
    </row>
    <row r="6288">
      <c r="B6288" s="11">
        <f>IFERROR(__xludf.DUMMYFUNCTION("""COMPUTED_VALUE"""),37223.0)</f>
        <v>37223</v>
      </c>
      <c r="C6288" s="9">
        <f>IFERROR(__xludf.DUMMYFUNCTION("""COMPUTED_VALUE"""),4.98)</f>
        <v>4.98</v>
      </c>
      <c r="H6288" s="17"/>
      <c r="K6288" s="17"/>
      <c r="N6288" s="17"/>
    </row>
    <row r="6289">
      <c r="B6289" s="11">
        <f>IFERROR(__xludf.DUMMYFUNCTION("""COMPUTED_VALUE"""),37222.0)</f>
        <v>37222</v>
      </c>
      <c r="C6289" s="9">
        <f>IFERROR(__xludf.DUMMYFUNCTION("""COMPUTED_VALUE"""),4.98)</f>
        <v>4.98</v>
      </c>
      <c r="H6289" s="17"/>
      <c r="K6289" s="17"/>
      <c r="N6289" s="17"/>
    </row>
    <row r="6290">
      <c r="B6290" s="11">
        <f>IFERROR(__xludf.DUMMYFUNCTION("""COMPUTED_VALUE"""),37221.0)</f>
        <v>37221</v>
      </c>
      <c r="C6290" s="9">
        <f>IFERROR(__xludf.DUMMYFUNCTION("""COMPUTED_VALUE"""),5.05)</f>
        <v>5.05</v>
      </c>
      <c r="H6290" s="17"/>
      <c r="K6290" s="17"/>
      <c r="N6290" s="17"/>
    </row>
    <row r="6291">
      <c r="B6291" s="11">
        <f>IFERROR(__xludf.DUMMYFUNCTION("""COMPUTED_VALUE"""),37218.0)</f>
        <v>37218</v>
      </c>
      <c r="C6291" s="9">
        <f>IFERROR(__xludf.DUMMYFUNCTION("""COMPUTED_VALUE"""),5.04)</f>
        <v>5.04</v>
      </c>
      <c r="H6291" s="17"/>
      <c r="K6291" s="17"/>
      <c r="N6291" s="17"/>
    </row>
    <row r="6292">
      <c r="B6292" s="11">
        <f>IFERROR(__xludf.DUMMYFUNCTION("""COMPUTED_VALUE"""),37217.0)</f>
        <v>37217</v>
      </c>
      <c r="C6292" s="9"/>
      <c r="H6292" s="17"/>
      <c r="K6292" s="17"/>
      <c r="N6292" s="17"/>
    </row>
    <row r="6293">
      <c r="B6293" s="11">
        <f>IFERROR(__xludf.DUMMYFUNCTION("""COMPUTED_VALUE"""),37216.0)</f>
        <v>37216</v>
      </c>
      <c r="C6293" s="9">
        <f>IFERROR(__xludf.DUMMYFUNCTION("""COMPUTED_VALUE"""),4.98)</f>
        <v>4.98</v>
      </c>
      <c r="H6293" s="17"/>
      <c r="K6293" s="17"/>
      <c r="N6293" s="17"/>
    </row>
    <row r="6294">
      <c r="B6294" s="11">
        <f>IFERROR(__xludf.DUMMYFUNCTION("""COMPUTED_VALUE"""),37215.0)</f>
        <v>37215</v>
      </c>
      <c r="C6294" s="9">
        <f>IFERROR(__xludf.DUMMYFUNCTION("""COMPUTED_VALUE"""),4.88)</f>
        <v>4.88</v>
      </c>
      <c r="H6294" s="17"/>
      <c r="K6294" s="17"/>
      <c r="N6294" s="17"/>
    </row>
    <row r="6295">
      <c r="B6295" s="11">
        <f>IFERROR(__xludf.DUMMYFUNCTION("""COMPUTED_VALUE"""),37214.0)</f>
        <v>37214</v>
      </c>
      <c r="C6295" s="9">
        <f>IFERROR(__xludf.DUMMYFUNCTION("""COMPUTED_VALUE"""),4.8)</f>
        <v>4.8</v>
      </c>
      <c r="H6295" s="17"/>
      <c r="K6295" s="17"/>
      <c r="N6295" s="17"/>
    </row>
    <row r="6296">
      <c r="B6296" s="11">
        <f>IFERROR(__xludf.DUMMYFUNCTION("""COMPUTED_VALUE"""),37211.0)</f>
        <v>37211</v>
      </c>
      <c r="C6296" s="9">
        <f>IFERROR(__xludf.DUMMYFUNCTION("""COMPUTED_VALUE"""),4.91)</f>
        <v>4.91</v>
      </c>
      <c r="H6296" s="17"/>
      <c r="K6296" s="17"/>
      <c r="N6296" s="17"/>
    </row>
    <row r="6297">
      <c r="B6297" s="11">
        <f>IFERROR(__xludf.DUMMYFUNCTION("""COMPUTED_VALUE"""),37210.0)</f>
        <v>37210</v>
      </c>
      <c r="C6297" s="9">
        <f>IFERROR(__xludf.DUMMYFUNCTION("""COMPUTED_VALUE"""),4.79)</f>
        <v>4.79</v>
      </c>
      <c r="H6297" s="17"/>
      <c r="K6297" s="17"/>
      <c r="N6297" s="17"/>
    </row>
    <row r="6298">
      <c r="B6298" s="11">
        <f>IFERROR(__xludf.DUMMYFUNCTION("""COMPUTED_VALUE"""),37209.0)</f>
        <v>37209</v>
      </c>
      <c r="C6298" s="9">
        <f>IFERROR(__xludf.DUMMYFUNCTION("""COMPUTED_VALUE"""),4.54)</f>
        <v>4.54</v>
      </c>
      <c r="H6298" s="17"/>
      <c r="K6298" s="17"/>
      <c r="N6298" s="17"/>
    </row>
    <row r="6299">
      <c r="B6299" s="11">
        <f>IFERROR(__xludf.DUMMYFUNCTION("""COMPUTED_VALUE"""),37208.0)</f>
        <v>37208</v>
      </c>
      <c r="C6299" s="9">
        <f>IFERROR(__xludf.DUMMYFUNCTION("""COMPUTED_VALUE"""),4.41)</f>
        <v>4.41</v>
      </c>
      <c r="H6299" s="17"/>
      <c r="K6299" s="17"/>
      <c r="N6299" s="17"/>
    </row>
    <row r="6300">
      <c r="B6300" s="11">
        <f>IFERROR(__xludf.DUMMYFUNCTION("""COMPUTED_VALUE"""),37207.0)</f>
        <v>37207</v>
      </c>
      <c r="C6300" s="9"/>
      <c r="H6300" s="17"/>
      <c r="K6300" s="17"/>
      <c r="N6300" s="17"/>
    </row>
    <row r="6301">
      <c r="B6301" s="11">
        <f>IFERROR(__xludf.DUMMYFUNCTION("""COMPUTED_VALUE"""),37204.0)</f>
        <v>37204</v>
      </c>
      <c r="C6301" s="9">
        <f>IFERROR(__xludf.DUMMYFUNCTION("""COMPUTED_VALUE"""),4.34)</f>
        <v>4.34</v>
      </c>
      <c r="H6301" s="17"/>
      <c r="K6301" s="17"/>
      <c r="N6301" s="17"/>
    </row>
    <row r="6302">
      <c r="B6302" s="11">
        <f>IFERROR(__xludf.DUMMYFUNCTION("""COMPUTED_VALUE"""),37203.0)</f>
        <v>37203</v>
      </c>
      <c r="C6302" s="9">
        <f>IFERROR(__xludf.DUMMYFUNCTION("""COMPUTED_VALUE"""),4.32)</f>
        <v>4.32</v>
      </c>
      <c r="H6302" s="17"/>
      <c r="K6302" s="17"/>
      <c r="N6302" s="17"/>
    </row>
    <row r="6303">
      <c r="B6303" s="11">
        <f>IFERROR(__xludf.DUMMYFUNCTION("""COMPUTED_VALUE"""),37202.0)</f>
        <v>37202</v>
      </c>
      <c r="C6303" s="9">
        <f>IFERROR(__xludf.DUMMYFUNCTION("""COMPUTED_VALUE"""),4.22)</f>
        <v>4.22</v>
      </c>
      <c r="H6303" s="17"/>
      <c r="K6303" s="17"/>
      <c r="N6303" s="17"/>
    </row>
    <row r="6304">
      <c r="B6304" s="11">
        <f>IFERROR(__xludf.DUMMYFUNCTION("""COMPUTED_VALUE"""),37201.0)</f>
        <v>37201</v>
      </c>
      <c r="C6304" s="9">
        <f>IFERROR(__xludf.DUMMYFUNCTION("""COMPUTED_VALUE"""),4.3)</f>
        <v>4.3</v>
      </c>
      <c r="H6304" s="17"/>
      <c r="K6304" s="17"/>
      <c r="N6304" s="17"/>
    </row>
    <row r="6305">
      <c r="B6305" s="11">
        <f>IFERROR(__xludf.DUMMYFUNCTION("""COMPUTED_VALUE"""),37200.0)</f>
        <v>37200</v>
      </c>
      <c r="C6305" s="9">
        <f>IFERROR(__xludf.DUMMYFUNCTION("""COMPUTED_VALUE"""),4.31)</f>
        <v>4.31</v>
      </c>
      <c r="H6305" s="17"/>
      <c r="K6305" s="17"/>
      <c r="N6305" s="17"/>
    </row>
    <row r="6306">
      <c r="B6306" s="11">
        <f>IFERROR(__xludf.DUMMYFUNCTION("""COMPUTED_VALUE"""),37197.0)</f>
        <v>37197</v>
      </c>
      <c r="C6306" s="9">
        <f>IFERROR(__xludf.DUMMYFUNCTION("""COMPUTED_VALUE"""),4.37)</f>
        <v>4.37</v>
      </c>
      <c r="H6306" s="17"/>
      <c r="K6306" s="17"/>
      <c r="N6306" s="17"/>
    </row>
    <row r="6307">
      <c r="B6307" s="11">
        <f>IFERROR(__xludf.DUMMYFUNCTION("""COMPUTED_VALUE"""),37196.0)</f>
        <v>37196</v>
      </c>
      <c r="C6307" s="9">
        <f>IFERROR(__xludf.DUMMYFUNCTION("""COMPUTED_VALUE"""),4.24)</f>
        <v>4.24</v>
      </c>
      <c r="H6307" s="17"/>
      <c r="K6307" s="17"/>
      <c r="N6307" s="17"/>
    </row>
    <row r="6308">
      <c r="B6308" s="11">
        <f>IFERROR(__xludf.DUMMYFUNCTION("""COMPUTED_VALUE"""),37195.0)</f>
        <v>37195</v>
      </c>
      <c r="C6308" s="9">
        <f>IFERROR(__xludf.DUMMYFUNCTION("""COMPUTED_VALUE"""),4.3)</f>
        <v>4.3</v>
      </c>
      <c r="H6308" s="17"/>
      <c r="K6308" s="17"/>
      <c r="N6308" s="17"/>
    </row>
    <row r="6309">
      <c r="B6309" s="11">
        <f>IFERROR(__xludf.DUMMYFUNCTION("""COMPUTED_VALUE"""),37194.0)</f>
        <v>37194</v>
      </c>
      <c r="C6309" s="9">
        <f>IFERROR(__xludf.DUMMYFUNCTION("""COMPUTED_VALUE"""),4.44)</f>
        <v>4.44</v>
      </c>
      <c r="H6309" s="17"/>
      <c r="K6309" s="17"/>
      <c r="N6309" s="17"/>
    </row>
    <row r="6310">
      <c r="B6310" s="11">
        <f>IFERROR(__xludf.DUMMYFUNCTION("""COMPUTED_VALUE"""),37193.0)</f>
        <v>37193</v>
      </c>
      <c r="C6310" s="9">
        <f>IFERROR(__xludf.DUMMYFUNCTION("""COMPUTED_VALUE"""),4.5)</f>
        <v>4.5</v>
      </c>
      <c r="H6310" s="17"/>
      <c r="K6310" s="17"/>
      <c r="N6310" s="17"/>
    </row>
    <row r="6311">
      <c r="B6311" s="11">
        <f>IFERROR(__xludf.DUMMYFUNCTION("""COMPUTED_VALUE"""),37190.0)</f>
        <v>37190</v>
      </c>
      <c r="C6311" s="9">
        <f>IFERROR(__xludf.DUMMYFUNCTION("""COMPUTED_VALUE"""),4.53)</f>
        <v>4.53</v>
      </c>
      <c r="H6311" s="17"/>
      <c r="K6311" s="17"/>
      <c r="N6311" s="17"/>
    </row>
    <row r="6312">
      <c r="B6312" s="11">
        <f>IFERROR(__xludf.DUMMYFUNCTION("""COMPUTED_VALUE"""),37189.0)</f>
        <v>37189</v>
      </c>
      <c r="C6312" s="9">
        <f>IFERROR(__xludf.DUMMYFUNCTION("""COMPUTED_VALUE"""),4.56)</f>
        <v>4.56</v>
      </c>
      <c r="H6312" s="17"/>
      <c r="K6312" s="17"/>
      <c r="N6312" s="17"/>
    </row>
    <row r="6313">
      <c r="B6313" s="11">
        <f>IFERROR(__xludf.DUMMYFUNCTION("""COMPUTED_VALUE"""),37188.0)</f>
        <v>37188</v>
      </c>
      <c r="C6313" s="9">
        <f>IFERROR(__xludf.DUMMYFUNCTION("""COMPUTED_VALUE"""),4.61)</f>
        <v>4.61</v>
      </c>
      <c r="H6313" s="17"/>
      <c r="K6313" s="17"/>
      <c r="N6313" s="17"/>
    </row>
    <row r="6314">
      <c r="B6314" s="11">
        <f>IFERROR(__xludf.DUMMYFUNCTION("""COMPUTED_VALUE"""),37187.0)</f>
        <v>37187</v>
      </c>
      <c r="C6314" s="9">
        <f>IFERROR(__xludf.DUMMYFUNCTION("""COMPUTED_VALUE"""),4.66)</f>
        <v>4.66</v>
      </c>
      <c r="H6314" s="17"/>
      <c r="K6314" s="17"/>
      <c r="N6314" s="17"/>
    </row>
    <row r="6315">
      <c r="B6315" s="11">
        <f>IFERROR(__xludf.DUMMYFUNCTION("""COMPUTED_VALUE"""),37186.0)</f>
        <v>37186</v>
      </c>
      <c r="C6315" s="9">
        <f>IFERROR(__xludf.DUMMYFUNCTION("""COMPUTED_VALUE"""),4.63)</f>
        <v>4.63</v>
      </c>
      <c r="H6315" s="17"/>
      <c r="K6315" s="17"/>
      <c r="N6315" s="17"/>
    </row>
    <row r="6316">
      <c r="B6316" s="11">
        <f>IFERROR(__xludf.DUMMYFUNCTION("""COMPUTED_VALUE"""),37183.0)</f>
        <v>37183</v>
      </c>
      <c r="C6316" s="9">
        <f>IFERROR(__xludf.DUMMYFUNCTION("""COMPUTED_VALUE"""),4.63)</f>
        <v>4.63</v>
      </c>
      <c r="H6316" s="17"/>
      <c r="K6316" s="17"/>
      <c r="N6316" s="17"/>
    </row>
    <row r="6317">
      <c r="B6317" s="11">
        <f>IFERROR(__xludf.DUMMYFUNCTION("""COMPUTED_VALUE"""),37182.0)</f>
        <v>37182</v>
      </c>
      <c r="C6317" s="9">
        <f>IFERROR(__xludf.DUMMYFUNCTION("""COMPUTED_VALUE"""),4.58)</f>
        <v>4.58</v>
      </c>
      <c r="H6317" s="17"/>
      <c r="K6317" s="17"/>
      <c r="N6317" s="17"/>
    </row>
    <row r="6318">
      <c r="B6318" s="11">
        <f>IFERROR(__xludf.DUMMYFUNCTION("""COMPUTED_VALUE"""),37181.0)</f>
        <v>37181</v>
      </c>
      <c r="C6318" s="9">
        <f>IFERROR(__xludf.DUMMYFUNCTION("""COMPUTED_VALUE"""),4.59)</f>
        <v>4.59</v>
      </c>
      <c r="H6318" s="17"/>
      <c r="K6318" s="17"/>
      <c r="N6318" s="17"/>
    </row>
    <row r="6319">
      <c r="B6319" s="11">
        <f>IFERROR(__xludf.DUMMYFUNCTION("""COMPUTED_VALUE"""),37180.0)</f>
        <v>37180</v>
      </c>
      <c r="C6319" s="9">
        <f>IFERROR(__xludf.DUMMYFUNCTION("""COMPUTED_VALUE"""),4.59)</f>
        <v>4.59</v>
      </c>
      <c r="H6319" s="17"/>
      <c r="K6319" s="17"/>
      <c r="N6319" s="17"/>
    </row>
    <row r="6320">
      <c r="B6320" s="11">
        <f>IFERROR(__xludf.DUMMYFUNCTION("""COMPUTED_VALUE"""),37179.0)</f>
        <v>37179</v>
      </c>
      <c r="C6320" s="9">
        <f>IFERROR(__xludf.DUMMYFUNCTION("""COMPUTED_VALUE"""),4.62)</f>
        <v>4.62</v>
      </c>
      <c r="H6320" s="17"/>
      <c r="K6320" s="17"/>
      <c r="N6320" s="17"/>
    </row>
    <row r="6321">
      <c r="B6321" s="11">
        <f>IFERROR(__xludf.DUMMYFUNCTION("""COMPUTED_VALUE"""),37176.0)</f>
        <v>37176</v>
      </c>
      <c r="C6321" s="9">
        <f>IFERROR(__xludf.DUMMYFUNCTION("""COMPUTED_VALUE"""),4.68)</f>
        <v>4.68</v>
      </c>
      <c r="H6321" s="17"/>
      <c r="K6321" s="17"/>
      <c r="N6321" s="17"/>
    </row>
    <row r="6322">
      <c r="B6322" s="11">
        <f>IFERROR(__xludf.DUMMYFUNCTION("""COMPUTED_VALUE"""),37175.0)</f>
        <v>37175</v>
      </c>
      <c r="C6322" s="9">
        <f>IFERROR(__xludf.DUMMYFUNCTION("""COMPUTED_VALUE"""),4.69)</f>
        <v>4.69</v>
      </c>
      <c r="H6322" s="17"/>
      <c r="K6322" s="17"/>
      <c r="N6322" s="17"/>
    </row>
    <row r="6323">
      <c r="B6323" s="11">
        <f>IFERROR(__xludf.DUMMYFUNCTION("""COMPUTED_VALUE"""),37174.0)</f>
        <v>37174</v>
      </c>
      <c r="C6323" s="9">
        <f>IFERROR(__xludf.DUMMYFUNCTION("""COMPUTED_VALUE"""),4.61)</f>
        <v>4.61</v>
      </c>
      <c r="H6323" s="17"/>
      <c r="K6323" s="17"/>
      <c r="N6323" s="17"/>
    </row>
    <row r="6324">
      <c r="B6324" s="11">
        <f>IFERROR(__xludf.DUMMYFUNCTION("""COMPUTED_VALUE"""),37173.0)</f>
        <v>37173</v>
      </c>
      <c r="C6324" s="9">
        <f>IFERROR(__xludf.DUMMYFUNCTION("""COMPUTED_VALUE"""),4.62)</f>
        <v>4.62</v>
      </c>
      <c r="H6324" s="17"/>
      <c r="K6324" s="17"/>
      <c r="N6324" s="17"/>
    </row>
    <row r="6325">
      <c r="B6325" s="11">
        <f>IFERROR(__xludf.DUMMYFUNCTION("""COMPUTED_VALUE"""),37172.0)</f>
        <v>37172</v>
      </c>
      <c r="C6325" s="9"/>
      <c r="H6325" s="17"/>
      <c r="K6325" s="17"/>
      <c r="N6325" s="17"/>
    </row>
    <row r="6326">
      <c r="B6326" s="11">
        <f>IFERROR(__xludf.DUMMYFUNCTION("""COMPUTED_VALUE"""),37169.0)</f>
        <v>37169</v>
      </c>
      <c r="C6326" s="9">
        <f>IFERROR(__xludf.DUMMYFUNCTION("""COMPUTED_VALUE"""),4.52)</f>
        <v>4.52</v>
      </c>
      <c r="H6326" s="17"/>
      <c r="K6326" s="17"/>
      <c r="N6326" s="17"/>
    </row>
    <row r="6327">
      <c r="B6327" s="11">
        <f>IFERROR(__xludf.DUMMYFUNCTION("""COMPUTED_VALUE"""),37168.0)</f>
        <v>37168</v>
      </c>
      <c r="C6327" s="9">
        <f>IFERROR(__xludf.DUMMYFUNCTION("""COMPUTED_VALUE"""),4.53)</f>
        <v>4.53</v>
      </c>
      <c r="H6327" s="17"/>
      <c r="K6327" s="17"/>
      <c r="N6327" s="17"/>
    </row>
    <row r="6328">
      <c r="B6328" s="11">
        <f>IFERROR(__xludf.DUMMYFUNCTION("""COMPUTED_VALUE"""),37167.0)</f>
        <v>37167</v>
      </c>
      <c r="C6328" s="9">
        <f>IFERROR(__xludf.DUMMYFUNCTION("""COMPUTED_VALUE"""),4.5)</f>
        <v>4.5</v>
      </c>
      <c r="H6328" s="17"/>
      <c r="K6328" s="17"/>
      <c r="N6328" s="17"/>
    </row>
    <row r="6329">
      <c r="B6329" s="11">
        <f>IFERROR(__xludf.DUMMYFUNCTION("""COMPUTED_VALUE"""),37166.0)</f>
        <v>37166</v>
      </c>
      <c r="C6329" s="9">
        <f>IFERROR(__xludf.DUMMYFUNCTION("""COMPUTED_VALUE"""),4.53)</f>
        <v>4.53</v>
      </c>
      <c r="H6329" s="17"/>
      <c r="K6329" s="17"/>
      <c r="N6329" s="17"/>
    </row>
    <row r="6330">
      <c r="B6330" s="11">
        <f>IFERROR(__xludf.DUMMYFUNCTION("""COMPUTED_VALUE"""),37165.0)</f>
        <v>37165</v>
      </c>
      <c r="C6330" s="9">
        <f>IFERROR(__xludf.DUMMYFUNCTION("""COMPUTED_VALUE"""),4.55)</f>
        <v>4.55</v>
      </c>
      <c r="H6330" s="17"/>
      <c r="K6330" s="17"/>
      <c r="N6330" s="17"/>
    </row>
    <row r="6331">
      <c r="B6331" s="11">
        <f>IFERROR(__xludf.DUMMYFUNCTION("""COMPUTED_VALUE"""),37162.0)</f>
        <v>37162</v>
      </c>
      <c r="C6331" s="9">
        <f>IFERROR(__xludf.DUMMYFUNCTION("""COMPUTED_VALUE"""),4.6)</f>
        <v>4.6</v>
      </c>
      <c r="H6331" s="17"/>
      <c r="K6331" s="17"/>
      <c r="N6331" s="17"/>
    </row>
    <row r="6332">
      <c r="B6332" s="11">
        <f>IFERROR(__xludf.DUMMYFUNCTION("""COMPUTED_VALUE"""),37161.0)</f>
        <v>37161</v>
      </c>
      <c r="C6332" s="9">
        <f>IFERROR(__xludf.DUMMYFUNCTION("""COMPUTED_VALUE"""),4.58)</f>
        <v>4.58</v>
      </c>
      <c r="H6332" s="17"/>
      <c r="K6332" s="17"/>
      <c r="N6332" s="17"/>
    </row>
    <row r="6333">
      <c r="B6333" s="11">
        <f>IFERROR(__xludf.DUMMYFUNCTION("""COMPUTED_VALUE"""),37160.0)</f>
        <v>37160</v>
      </c>
      <c r="C6333" s="9">
        <f>IFERROR(__xludf.DUMMYFUNCTION("""COMPUTED_VALUE"""),4.65)</f>
        <v>4.65</v>
      </c>
      <c r="H6333" s="17"/>
      <c r="K6333" s="17"/>
      <c r="N6333" s="17"/>
    </row>
    <row r="6334">
      <c r="B6334" s="11">
        <f>IFERROR(__xludf.DUMMYFUNCTION("""COMPUTED_VALUE"""),37159.0)</f>
        <v>37159</v>
      </c>
      <c r="C6334" s="9">
        <f>IFERROR(__xludf.DUMMYFUNCTION("""COMPUTED_VALUE"""),4.72)</f>
        <v>4.72</v>
      </c>
      <c r="H6334" s="17"/>
      <c r="K6334" s="17"/>
      <c r="N6334" s="17"/>
    </row>
    <row r="6335">
      <c r="B6335" s="11">
        <f>IFERROR(__xludf.DUMMYFUNCTION("""COMPUTED_VALUE"""),37158.0)</f>
        <v>37158</v>
      </c>
      <c r="C6335" s="9">
        <f>IFERROR(__xludf.DUMMYFUNCTION("""COMPUTED_VALUE"""),4.73)</f>
        <v>4.73</v>
      </c>
      <c r="H6335" s="17"/>
      <c r="K6335" s="17"/>
      <c r="N6335" s="17"/>
    </row>
    <row r="6336">
      <c r="B6336" s="11">
        <f>IFERROR(__xludf.DUMMYFUNCTION("""COMPUTED_VALUE"""),37155.0)</f>
        <v>37155</v>
      </c>
      <c r="C6336" s="9">
        <f>IFERROR(__xludf.DUMMYFUNCTION("""COMPUTED_VALUE"""),4.7)</f>
        <v>4.7</v>
      </c>
      <c r="H6336" s="17"/>
      <c r="K6336" s="17"/>
      <c r="N6336" s="17"/>
    </row>
    <row r="6337">
      <c r="B6337" s="11">
        <f>IFERROR(__xludf.DUMMYFUNCTION("""COMPUTED_VALUE"""),37154.0)</f>
        <v>37154</v>
      </c>
      <c r="C6337" s="9">
        <f>IFERROR(__xludf.DUMMYFUNCTION("""COMPUTED_VALUE"""),4.75)</f>
        <v>4.75</v>
      </c>
      <c r="H6337" s="17"/>
      <c r="K6337" s="17"/>
      <c r="N6337" s="17"/>
    </row>
    <row r="6338">
      <c r="B6338" s="11">
        <f>IFERROR(__xludf.DUMMYFUNCTION("""COMPUTED_VALUE"""),37153.0)</f>
        <v>37153</v>
      </c>
      <c r="C6338" s="9">
        <f>IFERROR(__xludf.DUMMYFUNCTION("""COMPUTED_VALUE"""),4.69)</f>
        <v>4.69</v>
      </c>
      <c r="H6338" s="17"/>
      <c r="K6338" s="17"/>
      <c r="N6338" s="17"/>
    </row>
    <row r="6339">
      <c r="B6339" s="11">
        <f>IFERROR(__xludf.DUMMYFUNCTION("""COMPUTED_VALUE"""),37152.0)</f>
        <v>37152</v>
      </c>
      <c r="C6339" s="9">
        <f>IFERROR(__xludf.DUMMYFUNCTION("""COMPUTED_VALUE"""),4.72)</f>
        <v>4.72</v>
      </c>
      <c r="H6339" s="17"/>
      <c r="K6339" s="17"/>
      <c r="N6339" s="17"/>
    </row>
    <row r="6340">
      <c r="B6340" s="11">
        <f>IFERROR(__xludf.DUMMYFUNCTION("""COMPUTED_VALUE"""),37151.0)</f>
        <v>37151</v>
      </c>
      <c r="C6340" s="9">
        <f>IFERROR(__xludf.DUMMYFUNCTION("""COMPUTED_VALUE"""),4.63)</f>
        <v>4.63</v>
      </c>
      <c r="H6340" s="17"/>
      <c r="K6340" s="17"/>
      <c r="N6340" s="17"/>
    </row>
    <row r="6341">
      <c r="B6341" s="11">
        <f>IFERROR(__xludf.DUMMYFUNCTION("""COMPUTED_VALUE"""),37148.0)</f>
        <v>37148</v>
      </c>
      <c r="C6341" s="9">
        <f>IFERROR(__xludf.DUMMYFUNCTION("""COMPUTED_VALUE"""),4.57)</f>
        <v>4.57</v>
      </c>
      <c r="H6341" s="17"/>
      <c r="K6341" s="17"/>
      <c r="N6341" s="17"/>
    </row>
    <row r="6342">
      <c r="B6342" s="11">
        <f>IFERROR(__xludf.DUMMYFUNCTION("""COMPUTED_VALUE"""),37147.0)</f>
        <v>37147</v>
      </c>
      <c r="C6342" s="9">
        <f>IFERROR(__xludf.DUMMYFUNCTION("""COMPUTED_VALUE"""),4.64)</f>
        <v>4.64</v>
      </c>
      <c r="H6342" s="17"/>
      <c r="K6342" s="17"/>
      <c r="N6342" s="17"/>
    </row>
    <row r="6343">
      <c r="B6343" s="11">
        <f>IFERROR(__xludf.DUMMYFUNCTION("""COMPUTED_VALUE"""),37146.0)</f>
        <v>37146</v>
      </c>
      <c r="C6343" s="9"/>
      <c r="H6343" s="17"/>
      <c r="K6343" s="17"/>
      <c r="N6343" s="17"/>
    </row>
    <row r="6344">
      <c r="B6344" s="11">
        <f>IFERROR(__xludf.DUMMYFUNCTION("""COMPUTED_VALUE"""),37145.0)</f>
        <v>37145</v>
      </c>
      <c r="C6344" s="9"/>
      <c r="H6344" s="17"/>
      <c r="K6344" s="17"/>
      <c r="N6344" s="17"/>
    </row>
    <row r="6345">
      <c r="B6345" s="11">
        <f>IFERROR(__xludf.DUMMYFUNCTION("""COMPUTED_VALUE"""),37144.0)</f>
        <v>37144</v>
      </c>
      <c r="C6345" s="9">
        <f>IFERROR(__xludf.DUMMYFUNCTION("""COMPUTED_VALUE"""),4.84)</f>
        <v>4.84</v>
      </c>
      <c r="H6345" s="17"/>
      <c r="K6345" s="17"/>
      <c r="N6345" s="17"/>
    </row>
    <row r="6346">
      <c r="B6346" s="11">
        <f>IFERROR(__xludf.DUMMYFUNCTION("""COMPUTED_VALUE"""),37141.0)</f>
        <v>37141</v>
      </c>
      <c r="C6346" s="9">
        <f>IFERROR(__xludf.DUMMYFUNCTION("""COMPUTED_VALUE"""),4.8)</f>
        <v>4.8</v>
      </c>
      <c r="H6346" s="17"/>
      <c r="K6346" s="17"/>
      <c r="N6346" s="17"/>
    </row>
    <row r="6347">
      <c r="B6347" s="11">
        <f>IFERROR(__xludf.DUMMYFUNCTION("""COMPUTED_VALUE"""),37140.0)</f>
        <v>37140</v>
      </c>
      <c r="C6347" s="9">
        <f>IFERROR(__xludf.DUMMYFUNCTION("""COMPUTED_VALUE"""),4.86)</f>
        <v>4.86</v>
      </c>
      <c r="H6347" s="17"/>
      <c r="K6347" s="17"/>
      <c r="N6347" s="17"/>
    </row>
    <row r="6348">
      <c r="B6348" s="11">
        <f>IFERROR(__xludf.DUMMYFUNCTION("""COMPUTED_VALUE"""),37139.0)</f>
        <v>37139</v>
      </c>
      <c r="C6348" s="9">
        <f>IFERROR(__xludf.DUMMYFUNCTION("""COMPUTED_VALUE"""),4.97)</f>
        <v>4.97</v>
      </c>
      <c r="H6348" s="17"/>
      <c r="K6348" s="17"/>
      <c r="N6348" s="17"/>
    </row>
    <row r="6349">
      <c r="B6349" s="11">
        <f>IFERROR(__xludf.DUMMYFUNCTION("""COMPUTED_VALUE"""),37138.0)</f>
        <v>37138</v>
      </c>
      <c r="C6349" s="9">
        <f>IFERROR(__xludf.DUMMYFUNCTION("""COMPUTED_VALUE"""),4.99)</f>
        <v>4.99</v>
      </c>
      <c r="H6349" s="17"/>
      <c r="K6349" s="17"/>
      <c r="N6349" s="17"/>
    </row>
    <row r="6350">
      <c r="B6350" s="11">
        <f>IFERROR(__xludf.DUMMYFUNCTION("""COMPUTED_VALUE"""),37137.0)</f>
        <v>37137</v>
      </c>
      <c r="C6350" s="9"/>
      <c r="H6350" s="17"/>
      <c r="K6350" s="17"/>
      <c r="N6350" s="17"/>
    </row>
    <row r="6351">
      <c r="B6351" s="11">
        <f>IFERROR(__xludf.DUMMYFUNCTION("""COMPUTED_VALUE"""),37134.0)</f>
        <v>37134</v>
      </c>
      <c r="C6351" s="9">
        <f>IFERROR(__xludf.DUMMYFUNCTION("""COMPUTED_VALUE"""),4.85)</f>
        <v>4.85</v>
      </c>
      <c r="H6351" s="17"/>
      <c r="K6351" s="17"/>
      <c r="N6351" s="17"/>
    </row>
    <row r="6352">
      <c r="B6352" s="11">
        <f>IFERROR(__xludf.DUMMYFUNCTION("""COMPUTED_VALUE"""),37133.0)</f>
        <v>37133</v>
      </c>
      <c r="C6352" s="9">
        <f>IFERROR(__xludf.DUMMYFUNCTION("""COMPUTED_VALUE"""),4.79)</f>
        <v>4.79</v>
      </c>
      <c r="H6352" s="17"/>
      <c r="K6352" s="17"/>
      <c r="N6352" s="17"/>
    </row>
    <row r="6353">
      <c r="B6353" s="11">
        <f>IFERROR(__xludf.DUMMYFUNCTION("""COMPUTED_VALUE"""),37132.0)</f>
        <v>37132</v>
      </c>
      <c r="C6353" s="9">
        <f>IFERROR(__xludf.DUMMYFUNCTION("""COMPUTED_VALUE"""),4.78)</f>
        <v>4.78</v>
      </c>
      <c r="H6353" s="17"/>
      <c r="K6353" s="17"/>
      <c r="N6353" s="17"/>
    </row>
    <row r="6354">
      <c r="B6354" s="11">
        <f>IFERROR(__xludf.DUMMYFUNCTION("""COMPUTED_VALUE"""),37131.0)</f>
        <v>37131</v>
      </c>
      <c r="C6354" s="9">
        <f>IFERROR(__xludf.DUMMYFUNCTION("""COMPUTED_VALUE"""),4.85)</f>
        <v>4.85</v>
      </c>
      <c r="H6354" s="17"/>
      <c r="K6354" s="17"/>
      <c r="N6354" s="17"/>
    </row>
    <row r="6355">
      <c r="B6355" s="11">
        <f>IFERROR(__xludf.DUMMYFUNCTION("""COMPUTED_VALUE"""),37130.0)</f>
        <v>37130</v>
      </c>
      <c r="C6355" s="9">
        <f>IFERROR(__xludf.DUMMYFUNCTION("""COMPUTED_VALUE"""),4.94)</f>
        <v>4.94</v>
      </c>
      <c r="H6355" s="17"/>
      <c r="K6355" s="17"/>
      <c r="N6355" s="17"/>
    </row>
    <row r="6356">
      <c r="B6356" s="11">
        <f>IFERROR(__xludf.DUMMYFUNCTION("""COMPUTED_VALUE"""),37127.0)</f>
        <v>37127</v>
      </c>
      <c r="C6356" s="9">
        <f>IFERROR(__xludf.DUMMYFUNCTION("""COMPUTED_VALUE"""),4.93)</f>
        <v>4.93</v>
      </c>
      <c r="H6356" s="17"/>
      <c r="K6356" s="17"/>
      <c r="N6356" s="17"/>
    </row>
    <row r="6357">
      <c r="B6357" s="11">
        <f>IFERROR(__xludf.DUMMYFUNCTION("""COMPUTED_VALUE"""),37126.0)</f>
        <v>37126</v>
      </c>
      <c r="C6357" s="9">
        <f>IFERROR(__xludf.DUMMYFUNCTION("""COMPUTED_VALUE"""),4.89)</f>
        <v>4.89</v>
      </c>
      <c r="H6357" s="17"/>
      <c r="K6357" s="17"/>
      <c r="N6357" s="17"/>
    </row>
    <row r="6358">
      <c r="B6358" s="11">
        <f>IFERROR(__xludf.DUMMYFUNCTION("""COMPUTED_VALUE"""),37125.0)</f>
        <v>37125</v>
      </c>
      <c r="C6358" s="9">
        <f>IFERROR(__xludf.DUMMYFUNCTION("""COMPUTED_VALUE"""),4.91)</f>
        <v>4.91</v>
      </c>
      <c r="H6358" s="17"/>
      <c r="K6358" s="17"/>
      <c r="N6358" s="17"/>
    </row>
    <row r="6359">
      <c r="B6359" s="11">
        <f>IFERROR(__xludf.DUMMYFUNCTION("""COMPUTED_VALUE"""),37124.0)</f>
        <v>37124</v>
      </c>
      <c r="C6359" s="9">
        <f>IFERROR(__xludf.DUMMYFUNCTION("""COMPUTED_VALUE"""),4.87)</f>
        <v>4.87</v>
      </c>
      <c r="H6359" s="17"/>
      <c r="K6359" s="17"/>
      <c r="N6359" s="17"/>
    </row>
    <row r="6360">
      <c r="B6360" s="11">
        <f>IFERROR(__xludf.DUMMYFUNCTION("""COMPUTED_VALUE"""),37123.0)</f>
        <v>37123</v>
      </c>
      <c r="C6360" s="9">
        <f>IFERROR(__xludf.DUMMYFUNCTION("""COMPUTED_VALUE"""),4.91)</f>
        <v>4.91</v>
      </c>
      <c r="H6360" s="17"/>
      <c r="K6360" s="17"/>
      <c r="N6360" s="17"/>
    </row>
    <row r="6361">
      <c r="B6361" s="11">
        <f>IFERROR(__xludf.DUMMYFUNCTION("""COMPUTED_VALUE"""),37120.0)</f>
        <v>37120</v>
      </c>
      <c r="C6361" s="9">
        <f>IFERROR(__xludf.DUMMYFUNCTION("""COMPUTED_VALUE"""),4.84)</f>
        <v>4.84</v>
      </c>
      <c r="H6361" s="17"/>
      <c r="K6361" s="17"/>
      <c r="N6361" s="17"/>
    </row>
    <row r="6362">
      <c r="B6362" s="11">
        <f>IFERROR(__xludf.DUMMYFUNCTION("""COMPUTED_VALUE"""),37119.0)</f>
        <v>37119</v>
      </c>
      <c r="C6362" s="9">
        <f>IFERROR(__xludf.DUMMYFUNCTION("""COMPUTED_VALUE"""),4.95)</f>
        <v>4.95</v>
      </c>
      <c r="H6362" s="17"/>
      <c r="K6362" s="17"/>
      <c r="N6362" s="17"/>
    </row>
    <row r="6363">
      <c r="B6363" s="11">
        <f>IFERROR(__xludf.DUMMYFUNCTION("""COMPUTED_VALUE"""),37118.0)</f>
        <v>37118</v>
      </c>
      <c r="C6363" s="9">
        <f>IFERROR(__xludf.DUMMYFUNCTION("""COMPUTED_VALUE"""),5.0)</f>
        <v>5</v>
      </c>
      <c r="H6363" s="17"/>
      <c r="K6363" s="17"/>
      <c r="N6363" s="17"/>
    </row>
    <row r="6364">
      <c r="B6364" s="11">
        <f>IFERROR(__xludf.DUMMYFUNCTION("""COMPUTED_VALUE"""),37117.0)</f>
        <v>37117</v>
      </c>
      <c r="C6364" s="9">
        <f>IFERROR(__xludf.DUMMYFUNCTION("""COMPUTED_VALUE"""),4.97)</f>
        <v>4.97</v>
      </c>
      <c r="H6364" s="17"/>
      <c r="K6364" s="17"/>
      <c r="N6364" s="17"/>
    </row>
    <row r="6365">
      <c r="B6365" s="11">
        <f>IFERROR(__xludf.DUMMYFUNCTION("""COMPUTED_VALUE"""),37116.0)</f>
        <v>37116</v>
      </c>
      <c r="C6365" s="9">
        <f>IFERROR(__xludf.DUMMYFUNCTION("""COMPUTED_VALUE"""),4.97)</f>
        <v>4.97</v>
      </c>
      <c r="H6365" s="17"/>
      <c r="K6365" s="17"/>
      <c r="N6365" s="17"/>
    </row>
    <row r="6366">
      <c r="B6366" s="11">
        <f>IFERROR(__xludf.DUMMYFUNCTION("""COMPUTED_VALUE"""),37113.0)</f>
        <v>37113</v>
      </c>
      <c r="C6366" s="9">
        <f>IFERROR(__xludf.DUMMYFUNCTION("""COMPUTED_VALUE"""),4.99)</f>
        <v>4.99</v>
      </c>
      <c r="H6366" s="17"/>
      <c r="K6366" s="17"/>
      <c r="N6366" s="17"/>
    </row>
    <row r="6367">
      <c r="B6367" s="11">
        <f>IFERROR(__xludf.DUMMYFUNCTION("""COMPUTED_VALUE"""),37112.0)</f>
        <v>37112</v>
      </c>
      <c r="C6367" s="9">
        <f>IFERROR(__xludf.DUMMYFUNCTION("""COMPUTED_VALUE"""),5.04)</f>
        <v>5.04</v>
      </c>
      <c r="H6367" s="17"/>
      <c r="K6367" s="17"/>
      <c r="N6367" s="17"/>
    </row>
    <row r="6368">
      <c r="B6368" s="11">
        <f>IFERROR(__xludf.DUMMYFUNCTION("""COMPUTED_VALUE"""),37111.0)</f>
        <v>37111</v>
      </c>
      <c r="C6368" s="9">
        <f>IFERROR(__xludf.DUMMYFUNCTION("""COMPUTED_VALUE"""),4.99)</f>
        <v>4.99</v>
      </c>
      <c r="H6368" s="17"/>
      <c r="K6368" s="17"/>
      <c r="N6368" s="17"/>
    </row>
    <row r="6369">
      <c r="B6369" s="11">
        <f>IFERROR(__xludf.DUMMYFUNCTION("""COMPUTED_VALUE"""),37110.0)</f>
        <v>37110</v>
      </c>
      <c r="C6369" s="9">
        <f>IFERROR(__xludf.DUMMYFUNCTION("""COMPUTED_VALUE"""),5.2)</f>
        <v>5.2</v>
      </c>
      <c r="H6369" s="17"/>
      <c r="K6369" s="17"/>
      <c r="N6369" s="17"/>
    </row>
    <row r="6370">
      <c r="B6370" s="11">
        <f>IFERROR(__xludf.DUMMYFUNCTION("""COMPUTED_VALUE"""),37109.0)</f>
        <v>37109</v>
      </c>
      <c r="C6370" s="9">
        <f>IFERROR(__xludf.DUMMYFUNCTION("""COMPUTED_VALUE"""),5.19)</f>
        <v>5.19</v>
      </c>
      <c r="H6370" s="17"/>
      <c r="K6370" s="17"/>
      <c r="N6370" s="17"/>
    </row>
    <row r="6371">
      <c r="B6371" s="11">
        <f>IFERROR(__xludf.DUMMYFUNCTION("""COMPUTED_VALUE"""),37106.0)</f>
        <v>37106</v>
      </c>
      <c r="C6371" s="9">
        <f>IFERROR(__xludf.DUMMYFUNCTION("""COMPUTED_VALUE"""),5.2)</f>
        <v>5.2</v>
      </c>
      <c r="H6371" s="17"/>
      <c r="K6371" s="17"/>
      <c r="N6371" s="17"/>
    </row>
    <row r="6372">
      <c r="B6372" s="11">
        <f>IFERROR(__xludf.DUMMYFUNCTION("""COMPUTED_VALUE"""),37105.0)</f>
        <v>37105</v>
      </c>
      <c r="C6372" s="9">
        <f>IFERROR(__xludf.DUMMYFUNCTION("""COMPUTED_VALUE"""),5.17)</f>
        <v>5.17</v>
      </c>
      <c r="H6372" s="17"/>
      <c r="K6372" s="17"/>
      <c r="N6372" s="17"/>
    </row>
    <row r="6373">
      <c r="B6373" s="11">
        <f>IFERROR(__xludf.DUMMYFUNCTION("""COMPUTED_VALUE"""),37104.0)</f>
        <v>37104</v>
      </c>
      <c r="C6373" s="9">
        <f>IFERROR(__xludf.DUMMYFUNCTION("""COMPUTED_VALUE"""),5.11)</f>
        <v>5.11</v>
      </c>
      <c r="H6373" s="17"/>
      <c r="K6373" s="17"/>
      <c r="N6373" s="17"/>
    </row>
    <row r="6374">
      <c r="B6374" s="11">
        <f>IFERROR(__xludf.DUMMYFUNCTION("""COMPUTED_VALUE"""),37103.0)</f>
        <v>37103</v>
      </c>
      <c r="C6374" s="9">
        <f>IFERROR(__xludf.DUMMYFUNCTION("""COMPUTED_VALUE"""),5.07)</f>
        <v>5.07</v>
      </c>
      <c r="H6374" s="17"/>
      <c r="K6374" s="17"/>
      <c r="N6374" s="17"/>
    </row>
    <row r="6375">
      <c r="B6375" s="11">
        <f>IFERROR(__xludf.DUMMYFUNCTION("""COMPUTED_VALUE"""),37102.0)</f>
        <v>37102</v>
      </c>
      <c r="C6375" s="9">
        <f>IFERROR(__xludf.DUMMYFUNCTION("""COMPUTED_VALUE"""),5.11)</f>
        <v>5.11</v>
      </c>
      <c r="H6375" s="17"/>
      <c r="K6375" s="17"/>
      <c r="N6375" s="17"/>
    </row>
    <row r="6376">
      <c r="B6376" s="11">
        <f>IFERROR(__xludf.DUMMYFUNCTION("""COMPUTED_VALUE"""),37099.0)</f>
        <v>37099</v>
      </c>
      <c r="C6376" s="9">
        <f>IFERROR(__xludf.DUMMYFUNCTION("""COMPUTED_VALUE"""),5.13)</f>
        <v>5.13</v>
      </c>
      <c r="H6376" s="17"/>
      <c r="K6376" s="17"/>
      <c r="N6376" s="17"/>
    </row>
    <row r="6377">
      <c r="B6377" s="11">
        <f>IFERROR(__xludf.DUMMYFUNCTION("""COMPUTED_VALUE"""),37098.0)</f>
        <v>37098</v>
      </c>
      <c r="C6377" s="9">
        <f>IFERROR(__xludf.DUMMYFUNCTION("""COMPUTED_VALUE"""),5.19)</f>
        <v>5.19</v>
      </c>
      <c r="H6377" s="17"/>
      <c r="K6377" s="17"/>
      <c r="N6377" s="17"/>
    </row>
    <row r="6378">
      <c r="B6378" s="11">
        <f>IFERROR(__xludf.DUMMYFUNCTION("""COMPUTED_VALUE"""),37097.0)</f>
        <v>37097</v>
      </c>
      <c r="C6378" s="9">
        <f>IFERROR(__xludf.DUMMYFUNCTION("""COMPUTED_VALUE"""),5.2)</f>
        <v>5.2</v>
      </c>
      <c r="H6378" s="17"/>
      <c r="K6378" s="17"/>
      <c r="N6378" s="17"/>
    </row>
    <row r="6379">
      <c r="B6379" s="11">
        <f>IFERROR(__xludf.DUMMYFUNCTION("""COMPUTED_VALUE"""),37096.0)</f>
        <v>37096</v>
      </c>
      <c r="C6379" s="9">
        <f>IFERROR(__xludf.DUMMYFUNCTION("""COMPUTED_VALUE"""),5.13)</f>
        <v>5.13</v>
      </c>
      <c r="H6379" s="17"/>
      <c r="K6379" s="17"/>
      <c r="N6379" s="17"/>
    </row>
    <row r="6380">
      <c r="B6380" s="11">
        <f>IFERROR(__xludf.DUMMYFUNCTION("""COMPUTED_VALUE"""),37095.0)</f>
        <v>37095</v>
      </c>
      <c r="C6380" s="9">
        <f>IFERROR(__xludf.DUMMYFUNCTION("""COMPUTED_VALUE"""),5.13)</f>
        <v>5.13</v>
      </c>
      <c r="H6380" s="17"/>
      <c r="K6380" s="17"/>
      <c r="N6380" s="17"/>
    </row>
    <row r="6381">
      <c r="B6381" s="11">
        <f>IFERROR(__xludf.DUMMYFUNCTION("""COMPUTED_VALUE"""),37092.0)</f>
        <v>37092</v>
      </c>
      <c r="C6381" s="9">
        <f>IFERROR(__xludf.DUMMYFUNCTION("""COMPUTED_VALUE"""),5.15)</f>
        <v>5.15</v>
      </c>
      <c r="H6381" s="17"/>
      <c r="K6381" s="17"/>
      <c r="N6381" s="17"/>
    </row>
    <row r="6382">
      <c r="B6382" s="11">
        <f>IFERROR(__xludf.DUMMYFUNCTION("""COMPUTED_VALUE"""),37091.0)</f>
        <v>37091</v>
      </c>
      <c r="C6382" s="9">
        <f>IFERROR(__xludf.DUMMYFUNCTION("""COMPUTED_VALUE"""),5.13)</f>
        <v>5.13</v>
      </c>
      <c r="H6382" s="17"/>
      <c r="K6382" s="17"/>
      <c r="N6382" s="17"/>
    </row>
    <row r="6383">
      <c r="B6383" s="11">
        <f>IFERROR(__xludf.DUMMYFUNCTION("""COMPUTED_VALUE"""),37090.0)</f>
        <v>37090</v>
      </c>
      <c r="C6383" s="9">
        <f>IFERROR(__xludf.DUMMYFUNCTION("""COMPUTED_VALUE"""),5.12)</f>
        <v>5.12</v>
      </c>
      <c r="H6383" s="17"/>
      <c r="K6383" s="17"/>
      <c r="N6383" s="17"/>
    </row>
    <row r="6384">
      <c r="B6384" s="11">
        <f>IFERROR(__xludf.DUMMYFUNCTION("""COMPUTED_VALUE"""),37089.0)</f>
        <v>37089</v>
      </c>
      <c r="C6384" s="9">
        <f>IFERROR(__xludf.DUMMYFUNCTION("""COMPUTED_VALUE"""),5.22)</f>
        <v>5.22</v>
      </c>
      <c r="H6384" s="17"/>
      <c r="K6384" s="17"/>
      <c r="N6384" s="17"/>
    </row>
    <row r="6385">
      <c r="B6385" s="11">
        <f>IFERROR(__xludf.DUMMYFUNCTION("""COMPUTED_VALUE"""),37088.0)</f>
        <v>37088</v>
      </c>
      <c r="C6385" s="9">
        <f>IFERROR(__xludf.DUMMYFUNCTION("""COMPUTED_VALUE"""),5.21)</f>
        <v>5.21</v>
      </c>
      <c r="H6385" s="17"/>
      <c r="K6385" s="17"/>
      <c r="N6385" s="17"/>
    </row>
    <row r="6386">
      <c r="B6386" s="11">
        <f>IFERROR(__xludf.DUMMYFUNCTION("""COMPUTED_VALUE"""),37085.0)</f>
        <v>37085</v>
      </c>
      <c r="C6386" s="9">
        <f>IFERROR(__xludf.DUMMYFUNCTION("""COMPUTED_VALUE"""),5.27)</f>
        <v>5.27</v>
      </c>
      <c r="H6386" s="17"/>
      <c r="K6386" s="17"/>
      <c r="N6386" s="17"/>
    </row>
    <row r="6387">
      <c r="B6387" s="11">
        <f>IFERROR(__xludf.DUMMYFUNCTION("""COMPUTED_VALUE"""),37084.0)</f>
        <v>37084</v>
      </c>
      <c r="C6387" s="9">
        <f>IFERROR(__xludf.DUMMYFUNCTION("""COMPUTED_VALUE"""),5.27)</f>
        <v>5.27</v>
      </c>
      <c r="H6387" s="17"/>
      <c r="K6387" s="17"/>
      <c r="N6387" s="17"/>
    </row>
    <row r="6388">
      <c r="B6388" s="11">
        <f>IFERROR(__xludf.DUMMYFUNCTION("""COMPUTED_VALUE"""),37083.0)</f>
        <v>37083</v>
      </c>
      <c r="C6388" s="9">
        <f>IFERROR(__xludf.DUMMYFUNCTION("""COMPUTED_VALUE"""),5.31)</f>
        <v>5.31</v>
      </c>
      <c r="H6388" s="17"/>
      <c r="K6388" s="17"/>
      <c r="N6388" s="17"/>
    </row>
    <row r="6389">
      <c r="B6389" s="11">
        <f>IFERROR(__xludf.DUMMYFUNCTION("""COMPUTED_VALUE"""),37082.0)</f>
        <v>37082</v>
      </c>
      <c r="C6389" s="9">
        <f>IFERROR(__xludf.DUMMYFUNCTION("""COMPUTED_VALUE"""),5.32)</f>
        <v>5.32</v>
      </c>
      <c r="H6389" s="17"/>
      <c r="K6389" s="17"/>
      <c r="N6389" s="17"/>
    </row>
    <row r="6390">
      <c r="B6390" s="11">
        <f>IFERROR(__xludf.DUMMYFUNCTION("""COMPUTED_VALUE"""),37081.0)</f>
        <v>37081</v>
      </c>
      <c r="C6390" s="9">
        <f>IFERROR(__xludf.DUMMYFUNCTION("""COMPUTED_VALUE"""),5.37)</f>
        <v>5.37</v>
      </c>
      <c r="H6390" s="17"/>
      <c r="K6390" s="17"/>
      <c r="N6390" s="17"/>
    </row>
    <row r="6391">
      <c r="B6391" s="11">
        <f>IFERROR(__xludf.DUMMYFUNCTION("""COMPUTED_VALUE"""),37078.0)</f>
        <v>37078</v>
      </c>
      <c r="C6391" s="9">
        <f>IFERROR(__xludf.DUMMYFUNCTION("""COMPUTED_VALUE"""),5.41)</f>
        <v>5.41</v>
      </c>
      <c r="H6391" s="17"/>
      <c r="K6391" s="17"/>
      <c r="N6391" s="17"/>
    </row>
    <row r="6392">
      <c r="B6392" s="11">
        <f>IFERROR(__xludf.DUMMYFUNCTION("""COMPUTED_VALUE"""),37077.0)</f>
        <v>37077</v>
      </c>
      <c r="C6392" s="9">
        <f>IFERROR(__xludf.DUMMYFUNCTION("""COMPUTED_VALUE"""),5.44)</f>
        <v>5.44</v>
      </c>
      <c r="H6392" s="17"/>
      <c r="K6392" s="17"/>
      <c r="N6392" s="17"/>
    </row>
    <row r="6393">
      <c r="B6393" s="11">
        <f>IFERROR(__xludf.DUMMYFUNCTION("""COMPUTED_VALUE"""),37076.0)</f>
        <v>37076</v>
      </c>
      <c r="C6393" s="9"/>
      <c r="H6393" s="17"/>
      <c r="K6393" s="17"/>
      <c r="N6393" s="17"/>
    </row>
    <row r="6394">
      <c r="B6394" s="11">
        <f>IFERROR(__xludf.DUMMYFUNCTION("""COMPUTED_VALUE"""),37075.0)</f>
        <v>37075</v>
      </c>
      <c r="C6394" s="9">
        <f>IFERROR(__xludf.DUMMYFUNCTION("""COMPUTED_VALUE"""),5.41)</f>
        <v>5.41</v>
      </c>
      <c r="H6394" s="17"/>
      <c r="K6394" s="17"/>
      <c r="N6394" s="17"/>
    </row>
    <row r="6395">
      <c r="B6395" s="11">
        <f>IFERROR(__xludf.DUMMYFUNCTION("""COMPUTED_VALUE"""),37074.0)</f>
        <v>37074</v>
      </c>
      <c r="C6395" s="9">
        <f>IFERROR(__xludf.DUMMYFUNCTION("""COMPUTED_VALUE"""),5.37)</f>
        <v>5.37</v>
      </c>
      <c r="H6395" s="17"/>
      <c r="K6395" s="17"/>
      <c r="N6395" s="17"/>
    </row>
    <row r="6396">
      <c r="B6396" s="11">
        <f>IFERROR(__xludf.DUMMYFUNCTION("""COMPUTED_VALUE"""),37071.0)</f>
        <v>37071</v>
      </c>
      <c r="C6396" s="9">
        <f>IFERROR(__xludf.DUMMYFUNCTION("""COMPUTED_VALUE"""),5.42)</f>
        <v>5.42</v>
      </c>
      <c r="H6396" s="17"/>
      <c r="K6396" s="17"/>
      <c r="N6396" s="17"/>
    </row>
    <row r="6397">
      <c r="B6397" s="11">
        <f>IFERROR(__xludf.DUMMYFUNCTION("""COMPUTED_VALUE"""),37070.0)</f>
        <v>37070</v>
      </c>
      <c r="C6397" s="9">
        <f>IFERROR(__xludf.DUMMYFUNCTION("""COMPUTED_VALUE"""),5.35)</f>
        <v>5.35</v>
      </c>
      <c r="H6397" s="17"/>
      <c r="K6397" s="17"/>
      <c r="N6397" s="17"/>
    </row>
    <row r="6398">
      <c r="B6398" s="11">
        <f>IFERROR(__xludf.DUMMYFUNCTION("""COMPUTED_VALUE"""),37069.0)</f>
        <v>37069</v>
      </c>
      <c r="C6398" s="9">
        <f>IFERROR(__xludf.DUMMYFUNCTION("""COMPUTED_VALUE"""),5.26)</f>
        <v>5.26</v>
      </c>
      <c r="H6398" s="17"/>
      <c r="K6398" s="17"/>
      <c r="N6398" s="17"/>
    </row>
    <row r="6399">
      <c r="B6399" s="11">
        <f>IFERROR(__xludf.DUMMYFUNCTION("""COMPUTED_VALUE"""),37068.0)</f>
        <v>37068</v>
      </c>
      <c r="C6399" s="9">
        <f>IFERROR(__xludf.DUMMYFUNCTION("""COMPUTED_VALUE"""),5.24)</f>
        <v>5.24</v>
      </c>
      <c r="H6399" s="17"/>
      <c r="K6399" s="17"/>
      <c r="N6399" s="17"/>
    </row>
    <row r="6400">
      <c r="B6400" s="11">
        <f>IFERROR(__xludf.DUMMYFUNCTION("""COMPUTED_VALUE"""),37067.0)</f>
        <v>37067</v>
      </c>
      <c r="C6400" s="9">
        <f>IFERROR(__xludf.DUMMYFUNCTION("""COMPUTED_VALUE"""),5.16)</f>
        <v>5.16</v>
      </c>
      <c r="H6400" s="17"/>
      <c r="K6400" s="17"/>
      <c r="N6400" s="17"/>
    </row>
    <row r="6401">
      <c r="B6401" s="11">
        <f>IFERROR(__xludf.DUMMYFUNCTION("""COMPUTED_VALUE"""),37064.0)</f>
        <v>37064</v>
      </c>
      <c r="C6401" s="9">
        <f>IFERROR(__xludf.DUMMYFUNCTION("""COMPUTED_VALUE"""),5.14)</f>
        <v>5.14</v>
      </c>
      <c r="H6401" s="17"/>
      <c r="K6401" s="17"/>
      <c r="N6401" s="17"/>
    </row>
    <row r="6402">
      <c r="B6402" s="11">
        <f>IFERROR(__xludf.DUMMYFUNCTION("""COMPUTED_VALUE"""),37063.0)</f>
        <v>37063</v>
      </c>
      <c r="C6402" s="9">
        <f>IFERROR(__xludf.DUMMYFUNCTION("""COMPUTED_VALUE"""),5.22)</f>
        <v>5.22</v>
      </c>
      <c r="H6402" s="17"/>
      <c r="K6402" s="17"/>
      <c r="N6402" s="17"/>
    </row>
    <row r="6403">
      <c r="B6403" s="11">
        <f>IFERROR(__xludf.DUMMYFUNCTION("""COMPUTED_VALUE"""),37062.0)</f>
        <v>37062</v>
      </c>
      <c r="C6403" s="9">
        <f>IFERROR(__xludf.DUMMYFUNCTION("""COMPUTED_VALUE"""),5.24)</f>
        <v>5.24</v>
      </c>
      <c r="H6403" s="17"/>
      <c r="K6403" s="17"/>
      <c r="N6403" s="17"/>
    </row>
    <row r="6404">
      <c r="B6404" s="11">
        <f>IFERROR(__xludf.DUMMYFUNCTION("""COMPUTED_VALUE"""),37061.0)</f>
        <v>37061</v>
      </c>
      <c r="C6404" s="9">
        <f>IFERROR(__xludf.DUMMYFUNCTION("""COMPUTED_VALUE"""),5.26)</f>
        <v>5.26</v>
      </c>
      <c r="H6404" s="17"/>
      <c r="K6404" s="17"/>
      <c r="N6404" s="17"/>
    </row>
    <row r="6405">
      <c r="B6405" s="11">
        <f>IFERROR(__xludf.DUMMYFUNCTION("""COMPUTED_VALUE"""),37060.0)</f>
        <v>37060</v>
      </c>
      <c r="C6405" s="9">
        <f>IFERROR(__xludf.DUMMYFUNCTION("""COMPUTED_VALUE"""),5.27)</f>
        <v>5.27</v>
      </c>
      <c r="H6405" s="17"/>
      <c r="K6405" s="17"/>
      <c r="N6405" s="17"/>
    </row>
    <row r="6406">
      <c r="B6406" s="11">
        <f>IFERROR(__xludf.DUMMYFUNCTION("""COMPUTED_VALUE"""),37057.0)</f>
        <v>37057</v>
      </c>
      <c r="C6406" s="9">
        <f>IFERROR(__xludf.DUMMYFUNCTION("""COMPUTED_VALUE"""),5.27)</f>
        <v>5.27</v>
      </c>
      <c r="H6406" s="17"/>
      <c r="K6406" s="17"/>
      <c r="N6406" s="17"/>
    </row>
    <row r="6407">
      <c r="B6407" s="11">
        <f>IFERROR(__xludf.DUMMYFUNCTION("""COMPUTED_VALUE"""),37056.0)</f>
        <v>37056</v>
      </c>
      <c r="C6407" s="9">
        <f>IFERROR(__xludf.DUMMYFUNCTION("""COMPUTED_VALUE"""),5.26)</f>
        <v>5.26</v>
      </c>
      <c r="H6407" s="17"/>
      <c r="K6407" s="17"/>
      <c r="N6407" s="17"/>
    </row>
    <row r="6408">
      <c r="B6408" s="11">
        <f>IFERROR(__xludf.DUMMYFUNCTION("""COMPUTED_VALUE"""),37055.0)</f>
        <v>37055</v>
      </c>
      <c r="C6408" s="9">
        <f>IFERROR(__xludf.DUMMYFUNCTION("""COMPUTED_VALUE"""),5.28)</f>
        <v>5.28</v>
      </c>
      <c r="H6408" s="17"/>
      <c r="K6408" s="17"/>
      <c r="N6408" s="17"/>
    </row>
    <row r="6409">
      <c r="B6409" s="11">
        <f>IFERROR(__xludf.DUMMYFUNCTION("""COMPUTED_VALUE"""),37054.0)</f>
        <v>37054</v>
      </c>
      <c r="C6409" s="9">
        <f>IFERROR(__xludf.DUMMYFUNCTION("""COMPUTED_VALUE"""),5.27)</f>
        <v>5.27</v>
      </c>
      <c r="H6409" s="17"/>
      <c r="K6409" s="17"/>
      <c r="N6409" s="17"/>
    </row>
    <row r="6410">
      <c r="B6410" s="11">
        <f>IFERROR(__xludf.DUMMYFUNCTION("""COMPUTED_VALUE"""),37053.0)</f>
        <v>37053</v>
      </c>
      <c r="C6410" s="9">
        <f>IFERROR(__xludf.DUMMYFUNCTION("""COMPUTED_VALUE"""),5.32)</f>
        <v>5.32</v>
      </c>
      <c r="H6410" s="17"/>
      <c r="K6410" s="17"/>
      <c r="N6410" s="17"/>
    </row>
    <row r="6411">
      <c r="B6411" s="11">
        <f>IFERROR(__xludf.DUMMYFUNCTION("""COMPUTED_VALUE"""),37050.0)</f>
        <v>37050</v>
      </c>
      <c r="C6411" s="9">
        <f>IFERROR(__xludf.DUMMYFUNCTION("""COMPUTED_VALUE"""),5.38)</f>
        <v>5.38</v>
      </c>
      <c r="H6411" s="17"/>
      <c r="K6411" s="17"/>
      <c r="N6411" s="17"/>
    </row>
    <row r="6412">
      <c r="B6412" s="11">
        <f>IFERROR(__xludf.DUMMYFUNCTION("""COMPUTED_VALUE"""),37049.0)</f>
        <v>37049</v>
      </c>
      <c r="C6412" s="9">
        <f>IFERROR(__xludf.DUMMYFUNCTION("""COMPUTED_VALUE"""),5.33)</f>
        <v>5.33</v>
      </c>
      <c r="H6412" s="17"/>
      <c r="K6412" s="17"/>
      <c r="N6412" s="17"/>
    </row>
    <row r="6413">
      <c r="B6413" s="11">
        <f>IFERROR(__xludf.DUMMYFUNCTION("""COMPUTED_VALUE"""),37048.0)</f>
        <v>37048</v>
      </c>
      <c r="C6413" s="9">
        <f>IFERROR(__xludf.DUMMYFUNCTION("""COMPUTED_VALUE"""),5.27)</f>
        <v>5.27</v>
      </c>
      <c r="H6413" s="17"/>
      <c r="K6413" s="17"/>
      <c r="N6413" s="17"/>
    </row>
    <row r="6414">
      <c r="B6414" s="11">
        <f>IFERROR(__xludf.DUMMYFUNCTION("""COMPUTED_VALUE"""),37047.0)</f>
        <v>37047</v>
      </c>
      <c r="C6414" s="9">
        <f>IFERROR(__xludf.DUMMYFUNCTION("""COMPUTED_VALUE"""),5.29)</f>
        <v>5.29</v>
      </c>
      <c r="H6414" s="17"/>
      <c r="K6414" s="17"/>
      <c r="N6414" s="17"/>
    </row>
    <row r="6415">
      <c r="B6415" s="11">
        <f>IFERROR(__xludf.DUMMYFUNCTION("""COMPUTED_VALUE"""),37046.0)</f>
        <v>37046</v>
      </c>
      <c r="C6415" s="9">
        <f>IFERROR(__xludf.DUMMYFUNCTION("""COMPUTED_VALUE"""),5.35)</f>
        <v>5.35</v>
      </c>
      <c r="H6415" s="17"/>
      <c r="K6415" s="17"/>
      <c r="N6415" s="17"/>
    </row>
    <row r="6416">
      <c r="B6416" s="11">
        <f>IFERROR(__xludf.DUMMYFUNCTION("""COMPUTED_VALUE"""),37043.0)</f>
        <v>37043</v>
      </c>
      <c r="C6416" s="9">
        <f>IFERROR(__xludf.DUMMYFUNCTION("""COMPUTED_VALUE"""),5.39)</f>
        <v>5.39</v>
      </c>
      <c r="H6416" s="17"/>
      <c r="K6416" s="17"/>
      <c r="N6416" s="17"/>
    </row>
    <row r="6417">
      <c r="B6417" s="11">
        <f>IFERROR(__xludf.DUMMYFUNCTION("""COMPUTED_VALUE"""),37042.0)</f>
        <v>37042</v>
      </c>
      <c r="C6417" s="9">
        <f>IFERROR(__xludf.DUMMYFUNCTION("""COMPUTED_VALUE"""),5.43)</f>
        <v>5.43</v>
      </c>
      <c r="H6417" s="17"/>
      <c r="K6417" s="17"/>
      <c r="N6417" s="17"/>
    </row>
    <row r="6418">
      <c r="B6418" s="11">
        <f>IFERROR(__xludf.DUMMYFUNCTION("""COMPUTED_VALUE"""),37041.0)</f>
        <v>37041</v>
      </c>
      <c r="C6418" s="9">
        <f>IFERROR(__xludf.DUMMYFUNCTION("""COMPUTED_VALUE"""),5.54)</f>
        <v>5.54</v>
      </c>
      <c r="H6418" s="17"/>
      <c r="K6418" s="17"/>
      <c r="N6418" s="17"/>
    </row>
    <row r="6419">
      <c r="B6419" s="11">
        <f>IFERROR(__xludf.DUMMYFUNCTION("""COMPUTED_VALUE"""),37040.0)</f>
        <v>37040</v>
      </c>
      <c r="C6419" s="9">
        <f>IFERROR(__xludf.DUMMYFUNCTION("""COMPUTED_VALUE"""),5.54)</f>
        <v>5.54</v>
      </c>
      <c r="H6419" s="17"/>
      <c r="K6419" s="17"/>
      <c r="N6419" s="17"/>
    </row>
    <row r="6420">
      <c r="B6420" s="11">
        <f>IFERROR(__xludf.DUMMYFUNCTION("""COMPUTED_VALUE"""),37039.0)</f>
        <v>37039</v>
      </c>
      <c r="C6420" s="9"/>
      <c r="H6420" s="17"/>
      <c r="K6420" s="17"/>
      <c r="N6420" s="17"/>
    </row>
    <row r="6421">
      <c r="B6421" s="11">
        <f>IFERROR(__xludf.DUMMYFUNCTION("""COMPUTED_VALUE"""),37036.0)</f>
        <v>37036</v>
      </c>
      <c r="C6421" s="9">
        <f>IFERROR(__xludf.DUMMYFUNCTION("""COMPUTED_VALUE"""),5.52)</f>
        <v>5.52</v>
      </c>
      <c r="H6421" s="17"/>
      <c r="K6421" s="17"/>
      <c r="N6421" s="17"/>
    </row>
    <row r="6422">
      <c r="B6422" s="11">
        <f>IFERROR(__xludf.DUMMYFUNCTION("""COMPUTED_VALUE"""),37035.0)</f>
        <v>37035</v>
      </c>
      <c r="C6422" s="9">
        <f>IFERROR(__xludf.DUMMYFUNCTION("""COMPUTED_VALUE"""),5.52)</f>
        <v>5.52</v>
      </c>
      <c r="H6422" s="17"/>
      <c r="K6422" s="17"/>
      <c r="N6422" s="17"/>
    </row>
    <row r="6423">
      <c r="B6423" s="11">
        <f>IFERROR(__xludf.DUMMYFUNCTION("""COMPUTED_VALUE"""),37034.0)</f>
        <v>37034</v>
      </c>
      <c r="C6423" s="9">
        <f>IFERROR(__xludf.DUMMYFUNCTION("""COMPUTED_VALUE"""),5.41)</f>
        <v>5.41</v>
      </c>
      <c r="H6423" s="17"/>
      <c r="K6423" s="17"/>
      <c r="N6423" s="17"/>
    </row>
    <row r="6424">
      <c r="B6424" s="11">
        <f>IFERROR(__xludf.DUMMYFUNCTION("""COMPUTED_VALUE"""),37033.0)</f>
        <v>37033</v>
      </c>
      <c r="C6424" s="9">
        <f>IFERROR(__xludf.DUMMYFUNCTION("""COMPUTED_VALUE"""),5.42)</f>
        <v>5.42</v>
      </c>
      <c r="H6424" s="17"/>
      <c r="K6424" s="17"/>
      <c r="N6424" s="17"/>
    </row>
    <row r="6425">
      <c r="B6425" s="11">
        <f>IFERROR(__xludf.DUMMYFUNCTION("""COMPUTED_VALUE"""),37032.0)</f>
        <v>37032</v>
      </c>
      <c r="C6425" s="9">
        <f>IFERROR(__xludf.DUMMYFUNCTION("""COMPUTED_VALUE"""),5.41)</f>
        <v>5.41</v>
      </c>
      <c r="H6425" s="17"/>
      <c r="K6425" s="17"/>
      <c r="N6425" s="17"/>
    </row>
    <row r="6426">
      <c r="B6426" s="11">
        <f>IFERROR(__xludf.DUMMYFUNCTION("""COMPUTED_VALUE"""),37029.0)</f>
        <v>37029</v>
      </c>
      <c r="C6426" s="9">
        <f>IFERROR(__xludf.DUMMYFUNCTION("""COMPUTED_VALUE"""),5.41)</f>
        <v>5.41</v>
      </c>
      <c r="H6426" s="17"/>
      <c r="K6426" s="17"/>
      <c r="N6426" s="17"/>
    </row>
    <row r="6427">
      <c r="B6427" s="11">
        <f>IFERROR(__xludf.DUMMYFUNCTION("""COMPUTED_VALUE"""),37028.0)</f>
        <v>37028</v>
      </c>
      <c r="C6427" s="9">
        <f>IFERROR(__xludf.DUMMYFUNCTION("""COMPUTED_VALUE"""),5.46)</f>
        <v>5.46</v>
      </c>
      <c r="H6427" s="17"/>
      <c r="K6427" s="17"/>
      <c r="N6427" s="17"/>
    </row>
    <row r="6428">
      <c r="B6428" s="11">
        <f>IFERROR(__xludf.DUMMYFUNCTION("""COMPUTED_VALUE"""),37027.0)</f>
        <v>37027</v>
      </c>
      <c r="C6428" s="9">
        <f>IFERROR(__xludf.DUMMYFUNCTION("""COMPUTED_VALUE"""),5.48)</f>
        <v>5.48</v>
      </c>
      <c r="H6428" s="17"/>
      <c r="K6428" s="17"/>
      <c r="N6428" s="17"/>
    </row>
    <row r="6429">
      <c r="B6429" s="11">
        <f>IFERROR(__xludf.DUMMYFUNCTION("""COMPUTED_VALUE"""),37026.0)</f>
        <v>37026</v>
      </c>
      <c r="C6429" s="9">
        <f>IFERROR(__xludf.DUMMYFUNCTION("""COMPUTED_VALUE"""),5.5)</f>
        <v>5.5</v>
      </c>
      <c r="H6429" s="17"/>
      <c r="K6429" s="17"/>
      <c r="N6429" s="17"/>
    </row>
    <row r="6430">
      <c r="B6430" s="11">
        <f>IFERROR(__xludf.DUMMYFUNCTION("""COMPUTED_VALUE"""),37025.0)</f>
        <v>37025</v>
      </c>
      <c r="C6430" s="9">
        <f>IFERROR(__xludf.DUMMYFUNCTION("""COMPUTED_VALUE"""),5.46)</f>
        <v>5.46</v>
      </c>
      <c r="H6430" s="17"/>
      <c r="K6430" s="17"/>
      <c r="N6430" s="17"/>
    </row>
    <row r="6431">
      <c r="B6431" s="11">
        <f>IFERROR(__xludf.DUMMYFUNCTION("""COMPUTED_VALUE"""),37022.0)</f>
        <v>37022</v>
      </c>
      <c r="C6431" s="9">
        <f>IFERROR(__xludf.DUMMYFUNCTION("""COMPUTED_VALUE"""),5.51)</f>
        <v>5.51</v>
      </c>
      <c r="H6431" s="17"/>
      <c r="K6431" s="17"/>
      <c r="N6431" s="17"/>
    </row>
    <row r="6432">
      <c r="B6432" s="11">
        <f>IFERROR(__xludf.DUMMYFUNCTION("""COMPUTED_VALUE"""),37021.0)</f>
        <v>37021</v>
      </c>
      <c r="C6432" s="9">
        <f>IFERROR(__xludf.DUMMYFUNCTION("""COMPUTED_VALUE"""),5.31)</f>
        <v>5.31</v>
      </c>
      <c r="H6432" s="17"/>
      <c r="K6432" s="17"/>
      <c r="N6432" s="17"/>
    </row>
    <row r="6433">
      <c r="B6433" s="11">
        <f>IFERROR(__xludf.DUMMYFUNCTION("""COMPUTED_VALUE"""),37020.0)</f>
        <v>37020</v>
      </c>
      <c r="C6433" s="9">
        <f>IFERROR(__xludf.DUMMYFUNCTION("""COMPUTED_VALUE"""),5.2)</f>
        <v>5.2</v>
      </c>
      <c r="H6433" s="17"/>
      <c r="K6433" s="17"/>
      <c r="N6433" s="17"/>
    </row>
    <row r="6434">
      <c r="B6434" s="11">
        <f>IFERROR(__xludf.DUMMYFUNCTION("""COMPUTED_VALUE"""),37019.0)</f>
        <v>37019</v>
      </c>
      <c r="C6434" s="9">
        <f>IFERROR(__xludf.DUMMYFUNCTION("""COMPUTED_VALUE"""),5.24)</f>
        <v>5.24</v>
      </c>
      <c r="H6434" s="17"/>
      <c r="K6434" s="17"/>
      <c r="N6434" s="17"/>
    </row>
    <row r="6435">
      <c r="B6435" s="11">
        <f>IFERROR(__xludf.DUMMYFUNCTION("""COMPUTED_VALUE"""),37018.0)</f>
        <v>37018</v>
      </c>
      <c r="C6435" s="9">
        <f>IFERROR(__xludf.DUMMYFUNCTION("""COMPUTED_VALUE"""),5.21)</f>
        <v>5.21</v>
      </c>
      <c r="H6435" s="17"/>
      <c r="K6435" s="17"/>
      <c r="N6435" s="17"/>
    </row>
    <row r="6436">
      <c r="B6436" s="11">
        <f>IFERROR(__xludf.DUMMYFUNCTION("""COMPUTED_VALUE"""),37015.0)</f>
        <v>37015</v>
      </c>
      <c r="C6436" s="9">
        <f>IFERROR(__xludf.DUMMYFUNCTION("""COMPUTED_VALUE"""),5.21)</f>
        <v>5.21</v>
      </c>
      <c r="H6436" s="17"/>
      <c r="K6436" s="17"/>
      <c r="N6436" s="17"/>
    </row>
    <row r="6437">
      <c r="B6437" s="11">
        <f>IFERROR(__xludf.DUMMYFUNCTION("""COMPUTED_VALUE"""),37014.0)</f>
        <v>37014</v>
      </c>
      <c r="C6437" s="9">
        <f>IFERROR(__xludf.DUMMYFUNCTION("""COMPUTED_VALUE"""),5.22)</f>
        <v>5.22</v>
      </c>
      <c r="H6437" s="17"/>
      <c r="K6437" s="17"/>
      <c r="N6437" s="17"/>
    </row>
    <row r="6438">
      <c r="B6438" s="11">
        <f>IFERROR(__xludf.DUMMYFUNCTION("""COMPUTED_VALUE"""),37013.0)</f>
        <v>37013</v>
      </c>
      <c r="C6438" s="9">
        <f>IFERROR(__xludf.DUMMYFUNCTION("""COMPUTED_VALUE"""),5.31)</f>
        <v>5.31</v>
      </c>
      <c r="H6438" s="17"/>
      <c r="K6438" s="17"/>
      <c r="N6438" s="17"/>
    </row>
    <row r="6439">
      <c r="B6439" s="11">
        <f>IFERROR(__xludf.DUMMYFUNCTION("""COMPUTED_VALUE"""),37012.0)</f>
        <v>37012</v>
      </c>
      <c r="C6439" s="9">
        <f>IFERROR(__xludf.DUMMYFUNCTION("""COMPUTED_VALUE"""),5.3)</f>
        <v>5.3</v>
      </c>
      <c r="H6439" s="17"/>
      <c r="K6439" s="17"/>
      <c r="N6439" s="17"/>
    </row>
    <row r="6440">
      <c r="B6440" s="11">
        <f>IFERROR(__xludf.DUMMYFUNCTION("""COMPUTED_VALUE"""),37011.0)</f>
        <v>37011</v>
      </c>
      <c r="C6440" s="9">
        <f>IFERROR(__xludf.DUMMYFUNCTION("""COMPUTED_VALUE"""),5.35)</f>
        <v>5.35</v>
      </c>
      <c r="H6440" s="17"/>
      <c r="K6440" s="17"/>
      <c r="N6440" s="17"/>
    </row>
    <row r="6441">
      <c r="B6441" s="11">
        <f>IFERROR(__xludf.DUMMYFUNCTION("""COMPUTED_VALUE"""),37008.0)</f>
        <v>37008</v>
      </c>
      <c r="C6441" s="9">
        <f>IFERROR(__xludf.DUMMYFUNCTION("""COMPUTED_VALUE"""),5.34)</f>
        <v>5.34</v>
      </c>
      <c r="H6441" s="17"/>
      <c r="K6441" s="17"/>
      <c r="N6441" s="17"/>
    </row>
    <row r="6442">
      <c r="B6442" s="11">
        <f>IFERROR(__xludf.DUMMYFUNCTION("""COMPUTED_VALUE"""),37007.0)</f>
        <v>37007</v>
      </c>
      <c r="C6442" s="9">
        <f>IFERROR(__xludf.DUMMYFUNCTION("""COMPUTED_VALUE"""),5.2)</f>
        <v>5.2</v>
      </c>
      <c r="H6442" s="17"/>
      <c r="K6442" s="17"/>
      <c r="N6442" s="17"/>
    </row>
    <row r="6443">
      <c r="B6443" s="11">
        <f>IFERROR(__xludf.DUMMYFUNCTION("""COMPUTED_VALUE"""),37006.0)</f>
        <v>37006</v>
      </c>
      <c r="C6443" s="9">
        <f>IFERROR(__xludf.DUMMYFUNCTION("""COMPUTED_VALUE"""),5.28)</f>
        <v>5.28</v>
      </c>
      <c r="H6443" s="17"/>
      <c r="K6443" s="17"/>
      <c r="N6443" s="17"/>
    </row>
    <row r="6444">
      <c r="B6444" s="11">
        <f>IFERROR(__xludf.DUMMYFUNCTION("""COMPUTED_VALUE"""),37005.0)</f>
        <v>37005</v>
      </c>
      <c r="C6444" s="9">
        <f>IFERROR(__xludf.DUMMYFUNCTION("""COMPUTED_VALUE"""),5.22)</f>
        <v>5.22</v>
      </c>
      <c r="H6444" s="17"/>
      <c r="K6444" s="17"/>
      <c r="N6444" s="17"/>
    </row>
    <row r="6445">
      <c r="B6445" s="11">
        <f>IFERROR(__xludf.DUMMYFUNCTION("""COMPUTED_VALUE"""),37004.0)</f>
        <v>37004</v>
      </c>
      <c r="C6445" s="9">
        <f>IFERROR(__xludf.DUMMYFUNCTION("""COMPUTED_VALUE"""),5.2)</f>
        <v>5.2</v>
      </c>
      <c r="H6445" s="17"/>
      <c r="K6445" s="17"/>
      <c r="N6445" s="17"/>
    </row>
    <row r="6446">
      <c r="B6446" s="11">
        <f>IFERROR(__xludf.DUMMYFUNCTION("""COMPUTED_VALUE"""),37001.0)</f>
        <v>37001</v>
      </c>
      <c r="C6446" s="9">
        <f>IFERROR(__xludf.DUMMYFUNCTION("""COMPUTED_VALUE"""),5.29)</f>
        <v>5.29</v>
      </c>
      <c r="H6446" s="17"/>
      <c r="K6446" s="17"/>
      <c r="N6446" s="17"/>
    </row>
    <row r="6447">
      <c r="B6447" s="11">
        <f>IFERROR(__xludf.DUMMYFUNCTION("""COMPUTED_VALUE"""),37000.0)</f>
        <v>37000</v>
      </c>
      <c r="C6447" s="9">
        <f>IFERROR(__xludf.DUMMYFUNCTION("""COMPUTED_VALUE"""),5.27)</f>
        <v>5.27</v>
      </c>
      <c r="H6447" s="17"/>
      <c r="K6447" s="17"/>
      <c r="N6447" s="17"/>
    </row>
    <row r="6448">
      <c r="B6448" s="11">
        <f>IFERROR(__xludf.DUMMYFUNCTION("""COMPUTED_VALUE"""),36999.0)</f>
        <v>36999</v>
      </c>
      <c r="C6448" s="9">
        <f>IFERROR(__xludf.DUMMYFUNCTION("""COMPUTED_VALUE"""),5.14)</f>
        <v>5.14</v>
      </c>
      <c r="H6448" s="17"/>
      <c r="K6448" s="17"/>
      <c r="N6448" s="17"/>
    </row>
    <row r="6449">
      <c r="B6449" s="11">
        <f>IFERROR(__xludf.DUMMYFUNCTION("""COMPUTED_VALUE"""),36998.0)</f>
        <v>36998</v>
      </c>
      <c r="C6449" s="9">
        <f>IFERROR(__xludf.DUMMYFUNCTION("""COMPUTED_VALUE"""),5.21)</f>
        <v>5.21</v>
      </c>
      <c r="H6449" s="17"/>
      <c r="K6449" s="17"/>
      <c r="N6449" s="17"/>
    </row>
    <row r="6450">
      <c r="B6450" s="11">
        <f>IFERROR(__xludf.DUMMYFUNCTION("""COMPUTED_VALUE"""),36997.0)</f>
        <v>36997</v>
      </c>
      <c r="C6450" s="9">
        <f>IFERROR(__xludf.DUMMYFUNCTION("""COMPUTED_VALUE"""),5.28)</f>
        <v>5.28</v>
      </c>
      <c r="H6450" s="17"/>
      <c r="K6450" s="17"/>
      <c r="N6450" s="17"/>
    </row>
    <row r="6451">
      <c r="B6451" s="11">
        <f>IFERROR(__xludf.DUMMYFUNCTION("""COMPUTED_VALUE"""),36994.0)</f>
        <v>36994</v>
      </c>
      <c r="C6451" s="9"/>
      <c r="H6451" s="17"/>
      <c r="K6451" s="17"/>
      <c r="N6451" s="17"/>
    </row>
    <row r="6452">
      <c r="B6452" s="11">
        <f>IFERROR(__xludf.DUMMYFUNCTION("""COMPUTED_VALUE"""),36993.0)</f>
        <v>36993</v>
      </c>
      <c r="C6452" s="9">
        <f>IFERROR(__xludf.DUMMYFUNCTION("""COMPUTED_VALUE"""),5.17)</f>
        <v>5.17</v>
      </c>
      <c r="H6452" s="17"/>
      <c r="K6452" s="17"/>
      <c r="N6452" s="17"/>
    </row>
    <row r="6453">
      <c r="B6453" s="11">
        <f>IFERROR(__xludf.DUMMYFUNCTION("""COMPUTED_VALUE"""),36992.0)</f>
        <v>36992</v>
      </c>
      <c r="C6453" s="9">
        <f>IFERROR(__xludf.DUMMYFUNCTION("""COMPUTED_VALUE"""),5.12)</f>
        <v>5.12</v>
      </c>
      <c r="H6453" s="17"/>
      <c r="K6453" s="17"/>
      <c r="N6453" s="17"/>
    </row>
    <row r="6454">
      <c r="B6454" s="11">
        <f>IFERROR(__xludf.DUMMYFUNCTION("""COMPUTED_VALUE"""),36991.0)</f>
        <v>36991</v>
      </c>
      <c r="C6454" s="9">
        <f>IFERROR(__xludf.DUMMYFUNCTION("""COMPUTED_VALUE"""),5.09)</f>
        <v>5.09</v>
      </c>
      <c r="H6454" s="17"/>
      <c r="K6454" s="17"/>
      <c r="N6454" s="17"/>
    </row>
    <row r="6455">
      <c r="B6455" s="11">
        <f>IFERROR(__xludf.DUMMYFUNCTION("""COMPUTED_VALUE"""),36990.0)</f>
        <v>36990</v>
      </c>
      <c r="C6455" s="9">
        <f>IFERROR(__xludf.DUMMYFUNCTION("""COMPUTED_VALUE"""),4.93)</f>
        <v>4.93</v>
      </c>
      <c r="H6455" s="17"/>
      <c r="K6455" s="17"/>
      <c r="N6455" s="17"/>
    </row>
    <row r="6456">
      <c r="B6456" s="11">
        <f>IFERROR(__xludf.DUMMYFUNCTION("""COMPUTED_VALUE"""),36987.0)</f>
        <v>36987</v>
      </c>
      <c r="C6456" s="9">
        <f>IFERROR(__xludf.DUMMYFUNCTION("""COMPUTED_VALUE"""),4.89)</f>
        <v>4.89</v>
      </c>
      <c r="H6456" s="17"/>
      <c r="K6456" s="17"/>
      <c r="N6456" s="17"/>
    </row>
    <row r="6457">
      <c r="B6457" s="11">
        <f>IFERROR(__xludf.DUMMYFUNCTION("""COMPUTED_VALUE"""),36986.0)</f>
        <v>36986</v>
      </c>
      <c r="C6457" s="9">
        <f>IFERROR(__xludf.DUMMYFUNCTION("""COMPUTED_VALUE"""),4.98)</f>
        <v>4.98</v>
      </c>
      <c r="H6457" s="17"/>
      <c r="K6457" s="17"/>
      <c r="N6457" s="17"/>
    </row>
    <row r="6458">
      <c r="B6458" s="11">
        <f>IFERROR(__xludf.DUMMYFUNCTION("""COMPUTED_VALUE"""),36985.0)</f>
        <v>36985</v>
      </c>
      <c r="C6458" s="9">
        <f>IFERROR(__xludf.DUMMYFUNCTION("""COMPUTED_VALUE"""),4.94)</f>
        <v>4.94</v>
      </c>
      <c r="H6458" s="17"/>
      <c r="K6458" s="17"/>
      <c r="N6458" s="17"/>
    </row>
    <row r="6459">
      <c r="B6459" s="11">
        <f>IFERROR(__xludf.DUMMYFUNCTION("""COMPUTED_VALUE"""),36984.0)</f>
        <v>36984</v>
      </c>
      <c r="C6459" s="9">
        <f>IFERROR(__xludf.DUMMYFUNCTION("""COMPUTED_VALUE"""),4.94)</f>
        <v>4.94</v>
      </c>
      <c r="H6459" s="17"/>
      <c r="K6459" s="17"/>
      <c r="N6459" s="17"/>
    </row>
    <row r="6460">
      <c r="B6460" s="11">
        <f>IFERROR(__xludf.DUMMYFUNCTION("""COMPUTED_VALUE"""),36983.0)</f>
        <v>36983</v>
      </c>
      <c r="C6460" s="9">
        <f>IFERROR(__xludf.DUMMYFUNCTION("""COMPUTED_VALUE"""),4.98)</f>
        <v>4.98</v>
      </c>
      <c r="H6460" s="17"/>
      <c r="K6460" s="17"/>
      <c r="N6460" s="17"/>
    </row>
    <row r="6461">
      <c r="B6461" s="11">
        <f>IFERROR(__xludf.DUMMYFUNCTION("""COMPUTED_VALUE"""),36980.0)</f>
        <v>36980</v>
      </c>
      <c r="C6461" s="9">
        <f>IFERROR(__xludf.DUMMYFUNCTION("""COMPUTED_VALUE"""),4.93)</f>
        <v>4.93</v>
      </c>
      <c r="H6461" s="17"/>
      <c r="K6461" s="17"/>
      <c r="N6461" s="17"/>
    </row>
    <row r="6462">
      <c r="B6462" s="11">
        <f>IFERROR(__xludf.DUMMYFUNCTION("""COMPUTED_VALUE"""),36979.0)</f>
        <v>36979</v>
      </c>
      <c r="C6462" s="9">
        <f>IFERROR(__xludf.DUMMYFUNCTION("""COMPUTED_VALUE"""),4.98)</f>
        <v>4.98</v>
      </c>
      <c r="H6462" s="17"/>
      <c r="K6462" s="17"/>
      <c r="N6462" s="17"/>
    </row>
    <row r="6463">
      <c r="B6463" s="11">
        <f>IFERROR(__xludf.DUMMYFUNCTION("""COMPUTED_VALUE"""),36978.0)</f>
        <v>36978</v>
      </c>
      <c r="C6463" s="9">
        <f>IFERROR(__xludf.DUMMYFUNCTION("""COMPUTED_VALUE"""),4.97)</f>
        <v>4.97</v>
      </c>
      <c r="H6463" s="17"/>
      <c r="K6463" s="17"/>
      <c r="N6463" s="17"/>
    </row>
    <row r="6464">
      <c r="B6464" s="11">
        <f>IFERROR(__xludf.DUMMYFUNCTION("""COMPUTED_VALUE"""),36977.0)</f>
        <v>36977</v>
      </c>
      <c r="C6464" s="9">
        <f>IFERROR(__xludf.DUMMYFUNCTION("""COMPUTED_VALUE"""),5.0)</f>
        <v>5</v>
      </c>
      <c r="H6464" s="17"/>
      <c r="K6464" s="17"/>
      <c r="N6464" s="17"/>
    </row>
    <row r="6465">
      <c r="B6465" s="11">
        <f>IFERROR(__xludf.DUMMYFUNCTION("""COMPUTED_VALUE"""),36976.0)</f>
        <v>36976</v>
      </c>
      <c r="C6465" s="9">
        <f>IFERROR(__xludf.DUMMYFUNCTION("""COMPUTED_VALUE"""),4.85)</f>
        <v>4.85</v>
      </c>
      <c r="H6465" s="17"/>
      <c r="K6465" s="17"/>
      <c r="N6465" s="17"/>
    </row>
    <row r="6466">
      <c r="B6466" s="11">
        <f>IFERROR(__xludf.DUMMYFUNCTION("""COMPUTED_VALUE"""),36973.0)</f>
        <v>36973</v>
      </c>
      <c r="C6466" s="9">
        <f>IFERROR(__xludf.DUMMYFUNCTION("""COMPUTED_VALUE"""),4.8)</f>
        <v>4.8</v>
      </c>
      <c r="H6466" s="17"/>
      <c r="K6466" s="17"/>
      <c r="N6466" s="17"/>
    </row>
    <row r="6467">
      <c r="B6467" s="11">
        <f>IFERROR(__xludf.DUMMYFUNCTION("""COMPUTED_VALUE"""),36972.0)</f>
        <v>36972</v>
      </c>
      <c r="C6467" s="9">
        <f>IFERROR(__xludf.DUMMYFUNCTION("""COMPUTED_VALUE"""),4.73)</f>
        <v>4.73</v>
      </c>
      <c r="H6467" s="17"/>
      <c r="K6467" s="17"/>
      <c r="N6467" s="17"/>
    </row>
    <row r="6468">
      <c r="B6468" s="11">
        <f>IFERROR(__xludf.DUMMYFUNCTION("""COMPUTED_VALUE"""),36971.0)</f>
        <v>36971</v>
      </c>
      <c r="C6468" s="9">
        <f>IFERROR(__xludf.DUMMYFUNCTION("""COMPUTED_VALUE"""),4.77)</f>
        <v>4.77</v>
      </c>
      <c r="H6468" s="17"/>
      <c r="K6468" s="17"/>
      <c r="N6468" s="17"/>
    </row>
    <row r="6469">
      <c r="B6469" s="11">
        <f>IFERROR(__xludf.DUMMYFUNCTION("""COMPUTED_VALUE"""),36970.0)</f>
        <v>36970</v>
      </c>
      <c r="C6469" s="9">
        <f>IFERROR(__xludf.DUMMYFUNCTION("""COMPUTED_VALUE"""),4.78)</f>
        <v>4.78</v>
      </c>
      <c r="H6469" s="17"/>
      <c r="K6469" s="17"/>
      <c r="N6469" s="17"/>
    </row>
    <row r="6470">
      <c r="B6470" s="11">
        <f>IFERROR(__xludf.DUMMYFUNCTION("""COMPUTED_VALUE"""),36969.0)</f>
        <v>36969</v>
      </c>
      <c r="C6470" s="9">
        <f>IFERROR(__xludf.DUMMYFUNCTION("""COMPUTED_VALUE"""),4.82)</f>
        <v>4.82</v>
      </c>
      <c r="H6470" s="17"/>
      <c r="K6470" s="17"/>
      <c r="N6470" s="17"/>
    </row>
    <row r="6471">
      <c r="B6471" s="11">
        <f>IFERROR(__xludf.DUMMYFUNCTION("""COMPUTED_VALUE"""),36966.0)</f>
        <v>36966</v>
      </c>
      <c r="C6471" s="9">
        <f>IFERROR(__xludf.DUMMYFUNCTION("""COMPUTED_VALUE"""),4.78)</f>
        <v>4.78</v>
      </c>
      <c r="H6471" s="17"/>
      <c r="K6471" s="17"/>
      <c r="N6471" s="17"/>
    </row>
    <row r="6472">
      <c r="B6472" s="11">
        <f>IFERROR(__xludf.DUMMYFUNCTION("""COMPUTED_VALUE"""),36965.0)</f>
        <v>36965</v>
      </c>
      <c r="C6472" s="9">
        <f>IFERROR(__xludf.DUMMYFUNCTION("""COMPUTED_VALUE"""),4.81)</f>
        <v>4.81</v>
      </c>
      <c r="H6472" s="17"/>
      <c r="K6472" s="17"/>
      <c r="N6472" s="17"/>
    </row>
    <row r="6473">
      <c r="B6473" s="11">
        <f>IFERROR(__xludf.DUMMYFUNCTION("""COMPUTED_VALUE"""),36964.0)</f>
        <v>36964</v>
      </c>
      <c r="C6473" s="9">
        <f>IFERROR(__xludf.DUMMYFUNCTION("""COMPUTED_VALUE"""),4.84)</f>
        <v>4.84</v>
      </c>
      <c r="H6473" s="17"/>
      <c r="K6473" s="17"/>
      <c r="N6473" s="17"/>
    </row>
    <row r="6474">
      <c r="B6474" s="11">
        <f>IFERROR(__xludf.DUMMYFUNCTION("""COMPUTED_VALUE"""),36963.0)</f>
        <v>36963</v>
      </c>
      <c r="C6474" s="9">
        <f>IFERROR(__xludf.DUMMYFUNCTION("""COMPUTED_VALUE"""),4.95)</f>
        <v>4.95</v>
      </c>
      <c r="H6474" s="17"/>
      <c r="K6474" s="17"/>
      <c r="N6474" s="17"/>
    </row>
    <row r="6475">
      <c r="B6475" s="11">
        <f>IFERROR(__xludf.DUMMYFUNCTION("""COMPUTED_VALUE"""),36962.0)</f>
        <v>36962</v>
      </c>
      <c r="C6475" s="9">
        <f>IFERROR(__xludf.DUMMYFUNCTION("""COMPUTED_VALUE"""),4.92)</f>
        <v>4.92</v>
      </c>
      <c r="H6475" s="17"/>
      <c r="K6475" s="17"/>
      <c r="N6475" s="17"/>
    </row>
    <row r="6476">
      <c r="B6476" s="11">
        <f>IFERROR(__xludf.DUMMYFUNCTION("""COMPUTED_VALUE"""),36959.0)</f>
        <v>36959</v>
      </c>
      <c r="C6476" s="9">
        <f>IFERROR(__xludf.DUMMYFUNCTION("""COMPUTED_VALUE"""),4.95)</f>
        <v>4.95</v>
      </c>
      <c r="H6476" s="17"/>
      <c r="K6476" s="17"/>
      <c r="N6476" s="17"/>
    </row>
    <row r="6477">
      <c r="B6477" s="11">
        <f>IFERROR(__xludf.DUMMYFUNCTION("""COMPUTED_VALUE"""),36958.0)</f>
        <v>36958</v>
      </c>
      <c r="C6477" s="9">
        <f>IFERROR(__xludf.DUMMYFUNCTION("""COMPUTED_VALUE"""),4.89)</f>
        <v>4.89</v>
      </c>
      <c r="H6477" s="17"/>
      <c r="K6477" s="17"/>
      <c r="N6477" s="17"/>
    </row>
    <row r="6478">
      <c r="B6478" s="11">
        <f>IFERROR(__xludf.DUMMYFUNCTION("""COMPUTED_VALUE"""),36957.0)</f>
        <v>36957</v>
      </c>
      <c r="C6478" s="9">
        <f>IFERROR(__xludf.DUMMYFUNCTION("""COMPUTED_VALUE"""),4.92)</f>
        <v>4.92</v>
      </c>
      <c r="H6478" s="17"/>
      <c r="K6478" s="17"/>
      <c r="N6478" s="17"/>
    </row>
    <row r="6479">
      <c r="B6479" s="11">
        <f>IFERROR(__xludf.DUMMYFUNCTION("""COMPUTED_VALUE"""),36956.0)</f>
        <v>36956</v>
      </c>
      <c r="C6479" s="9">
        <f>IFERROR(__xludf.DUMMYFUNCTION("""COMPUTED_VALUE"""),4.99)</f>
        <v>4.99</v>
      </c>
      <c r="H6479" s="17"/>
      <c r="K6479" s="17"/>
      <c r="N6479" s="17"/>
    </row>
    <row r="6480">
      <c r="B6480" s="11">
        <f>IFERROR(__xludf.DUMMYFUNCTION("""COMPUTED_VALUE"""),36955.0)</f>
        <v>36955</v>
      </c>
      <c r="C6480" s="9">
        <f>IFERROR(__xludf.DUMMYFUNCTION("""COMPUTED_VALUE"""),4.98)</f>
        <v>4.98</v>
      </c>
      <c r="H6480" s="17"/>
      <c r="K6480" s="17"/>
      <c r="N6480" s="17"/>
    </row>
    <row r="6481">
      <c r="B6481" s="11">
        <f>IFERROR(__xludf.DUMMYFUNCTION("""COMPUTED_VALUE"""),36952.0)</f>
        <v>36952</v>
      </c>
      <c r="C6481" s="9">
        <f>IFERROR(__xludf.DUMMYFUNCTION("""COMPUTED_VALUE"""),4.95)</f>
        <v>4.95</v>
      </c>
      <c r="H6481" s="17"/>
      <c r="K6481" s="17"/>
      <c r="N6481" s="17"/>
    </row>
    <row r="6482">
      <c r="B6482" s="11">
        <f>IFERROR(__xludf.DUMMYFUNCTION("""COMPUTED_VALUE"""),36951.0)</f>
        <v>36951</v>
      </c>
      <c r="C6482" s="9">
        <f>IFERROR(__xludf.DUMMYFUNCTION("""COMPUTED_VALUE"""),4.87)</f>
        <v>4.87</v>
      </c>
      <c r="H6482" s="17"/>
      <c r="K6482" s="17"/>
      <c r="N6482" s="17"/>
    </row>
    <row r="6483">
      <c r="B6483" s="11">
        <f>IFERROR(__xludf.DUMMYFUNCTION("""COMPUTED_VALUE"""),36950.0)</f>
        <v>36950</v>
      </c>
      <c r="C6483" s="9">
        <f>IFERROR(__xludf.DUMMYFUNCTION("""COMPUTED_VALUE"""),4.92)</f>
        <v>4.92</v>
      </c>
      <c r="H6483" s="17"/>
      <c r="K6483" s="17"/>
      <c r="N6483" s="17"/>
    </row>
    <row r="6484">
      <c r="B6484" s="11">
        <f>IFERROR(__xludf.DUMMYFUNCTION("""COMPUTED_VALUE"""),36949.0)</f>
        <v>36949</v>
      </c>
      <c r="C6484" s="9">
        <f>IFERROR(__xludf.DUMMYFUNCTION("""COMPUTED_VALUE"""),4.96)</f>
        <v>4.96</v>
      </c>
      <c r="H6484" s="17"/>
      <c r="K6484" s="17"/>
      <c r="N6484" s="17"/>
    </row>
    <row r="6485">
      <c r="B6485" s="11">
        <f>IFERROR(__xludf.DUMMYFUNCTION("""COMPUTED_VALUE"""),36948.0)</f>
        <v>36948</v>
      </c>
      <c r="C6485" s="9">
        <f>IFERROR(__xludf.DUMMYFUNCTION("""COMPUTED_VALUE"""),5.05)</f>
        <v>5.05</v>
      </c>
      <c r="H6485" s="17"/>
      <c r="K6485" s="17"/>
      <c r="N6485" s="17"/>
    </row>
    <row r="6486">
      <c r="B6486" s="11">
        <f>IFERROR(__xludf.DUMMYFUNCTION("""COMPUTED_VALUE"""),36945.0)</f>
        <v>36945</v>
      </c>
      <c r="C6486" s="9">
        <f>IFERROR(__xludf.DUMMYFUNCTION("""COMPUTED_VALUE"""),5.1)</f>
        <v>5.1</v>
      </c>
      <c r="H6486" s="17"/>
      <c r="K6486" s="17"/>
      <c r="N6486" s="17"/>
    </row>
    <row r="6487">
      <c r="B6487" s="11">
        <f>IFERROR(__xludf.DUMMYFUNCTION("""COMPUTED_VALUE"""),36944.0)</f>
        <v>36944</v>
      </c>
      <c r="C6487" s="9">
        <f>IFERROR(__xludf.DUMMYFUNCTION("""COMPUTED_VALUE"""),5.15)</f>
        <v>5.15</v>
      </c>
      <c r="H6487" s="17"/>
      <c r="K6487" s="17"/>
      <c r="N6487" s="17"/>
    </row>
    <row r="6488">
      <c r="B6488" s="11">
        <f>IFERROR(__xludf.DUMMYFUNCTION("""COMPUTED_VALUE"""),36943.0)</f>
        <v>36943</v>
      </c>
      <c r="C6488" s="9">
        <f>IFERROR(__xludf.DUMMYFUNCTION("""COMPUTED_VALUE"""),5.14)</f>
        <v>5.14</v>
      </c>
      <c r="H6488" s="17"/>
      <c r="K6488" s="17"/>
      <c r="N6488" s="17"/>
    </row>
    <row r="6489">
      <c r="B6489" s="11">
        <f>IFERROR(__xludf.DUMMYFUNCTION("""COMPUTED_VALUE"""),36942.0)</f>
        <v>36942</v>
      </c>
      <c r="C6489" s="9">
        <f>IFERROR(__xludf.DUMMYFUNCTION("""COMPUTED_VALUE"""),5.11)</f>
        <v>5.11</v>
      </c>
      <c r="H6489" s="17"/>
      <c r="K6489" s="17"/>
      <c r="N6489" s="17"/>
    </row>
    <row r="6490">
      <c r="B6490" s="11">
        <f>IFERROR(__xludf.DUMMYFUNCTION("""COMPUTED_VALUE"""),36941.0)</f>
        <v>36941</v>
      </c>
      <c r="C6490" s="9"/>
      <c r="H6490" s="17"/>
      <c r="K6490" s="17"/>
      <c r="N6490" s="17"/>
    </row>
    <row r="6491">
      <c r="B6491" s="11">
        <f>IFERROR(__xludf.DUMMYFUNCTION("""COMPUTED_VALUE"""),36938.0)</f>
        <v>36938</v>
      </c>
      <c r="C6491" s="9">
        <f>IFERROR(__xludf.DUMMYFUNCTION("""COMPUTED_VALUE"""),5.11)</f>
        <v>5.11</v>
      </c>
      <c r="H6491" s="17"/>
      <c r="K6491" s="17"/>
      <c r="N6491" s="17"/>
    </row>
    <row r="6492">
      <c r="B6492" s="11">
        <f>IFERROR(__xludf.DUMMYFUNCTION("""COMPUTED_VALUE"""),36937.0)</f>
        <v>36937</v>
      </c>
      <c r="C6492" s="9">
        <f>IFERROR(__xludf.DUMMYFUNCTION("""COMPUTED_VALUE"""),5.19)</f>
        <v>5.19</v>
      </c>
      <c r="H6492" s="17"/>
      <c r="K6492" s="17"/>
      <c r="N6492" s="17"/>
    </row>
    <row r="6493">
      <c r="B6493" s="11">
        <f>IFERROR(__xludf.DUMMYFUNCTION("""COMPUTED_VALUE"""),36936.0)</f>
        <v>36936</v>
      </c>
      <c r="C6493" s="9">
        <f>IFERROR(__xludf.DUMMYFUNCTION("""COMPUTED_VALUE"""),5.13)</f>
        <v>5.13</v>
      </c>
      <c r="H6493" s="17"/>
      <c r="K6493" s="17"/>
      <c r="N6493" s="17"/>
    </row>
    <row r="6494">
      <c r="B6494" s="11">
        <f>IFERROR(__xludf.DUMMYFUNCTION("""COMPUTED_VALUE"""),36935.0)</f>
        <v>36935</v>
      </c>
      <c r="C6494" s="9">
        <f>IFERROR(__xludf.DUMMYFUNCTION("""COMPUTED_VALUE"""),5.07)</f>
        <v>5.07</v>
      </c>
      <c r="H6494" s="17"/>
      <c r="K6494" s="17"/>
      <c r="N6494" s="17"/>
    </row>
    <row r="6495">
      <c r="B6495" s="11">
        <f>IFERROR(__xludf.DUMMYFUNCTION("""COMPUTED_VALUE"""),36934.0)</f>
        <v>36934</v>
      </c>
      <c r="C6495" s="9">
        <f>IFERROR(__xludf.DUMMYFUNCTION("""COMPUTED_VALUE"""),5.05)</f>
        <v>5.05</v>
      </c>
      <c r="H6495" s="17"/>
      <c r="K6495" s="17"/>
      <c r="N6495" s="17"/>
    </row>
    <row r="6496">
      <c r="B6496" s="11">
        <f>IFERROR(__xludf.DUMMYFUNCTION("""COMPUTED_VALUE"""),36931.0)</f>
        <v>36931</v>
      </c>
      <c r="C6496" s="9">
        <f>IFERROR(__xludf.DUMMYFUNCTION("""COMPUTED_VALUE"""),5.03)</f>
        <v>5.03</v>
      </c>
      <c r="H6496" s="17"/>
      <c r="K6496" s="17"/>
      <c r="N6496" s="17"/>
    </row>
    <row r="6497">
      <c r="B6497" s="11">
        <f>IFERROR(__xludf.DUMMYFUNCTION("""COMPUTED_VALUE"""),36930.0)</f>
        <v>36930</v>
      </c>
      <c r="C6497" s="9">
        <f>IFERROR(__xludf.DUMMYFUNCTION("""COMPUTED_VALUE"""),5.1)</f>
        <v>5.1</v>
      </c>
      <c r="H6497" s="17"/>
      <c r="K6497" s="17"/>
      <c r="N6497" s="17"/>
    </row>
    <row r="6498">
      <c r="B6498" s="11">
        <f>IFERROR(__xludf.DUMMYFUNCTION("""COMPUTED_VALUE"""),36929.0)</f>
        <v>36929</v>
      </c>
      <c r="C6498" s="9">
        <f>IFERROR(__xludf.DUMMYFUNCTION("""COMPUTED_VALUE"""),5.1)</f>
        <v>5.1</v>
      </c>
      <c r="H6498" s="17"/>
      <c r="K6498" s="17"/>
      <c r="N6498" s="17"/>
    </row>
    <row r="6499">
      <c r="B6499" s="11">
        <f>IFERROR(__xludf.DUMMYFUNCTION("""COMPUTED_VALUE"""),36928.0)</f>
        <v>36928</v>
      </c>
      <c r="C6499" s="9">
        <f>IFERROR(__xludf.DUMMYFUNCTION("""COMPUTED_VALUE"""),5.22)</f>
        <v>5.22</v>
      </c>
      <c r="H6499" s="17"/>
      <c r="K6499" s="17"/>
      <c r="N6499" s="17"/>
    </row>
    <row r="6500">
      <c r="B6500" s="11">
        <f>IFERROR(__xludf.DUMMYFUNCTION("""COMPUTED_VALUE"""),36927.0)</f>
        <v>36927</v>
      </c>
      <c r="C6500" s="9">
        <f>IFERROR(__xludf.DUMMYFUNCTION("""COMPUTED_VALUE"""),5.18)</f>
        <v>5.18</v>
      </c>
      <c r="H6500" s="17"/>
      <c r="K6500" s="17"/>
      <c r="N6500" s="17"/>
    </row>
    <row r="6501">
      <c r="B6501" s="11">
        <f>IFERROR(__xludf.DUMMYFUNCTION("""COMPUTED_VALUE"""),36924.0)</f>
        <v>36924</v>
      </c>
      <c r="C6501" s="9">
        <f>IFERROR(__xludf.DUMMYFUNCTION("""COMPUTED_VALUE"""),5.17)</f>
        <v>5.17</v>
      </c>
      <c r="H6501" s="17"/>
      <c r="K6501" s="17"/>
      <c r="N6501" s="17"/>
    </row>
    <row r="6502">
      <c r="B6502" s="11">
        <f>IFERROR(__xludf.DUMMYFUNCTION("""COMPUTED_VALUE"""),36923.0)</f>
        <v>36923</v>
      </c>
      <c r="C6502" s="9">
        <f>IFERROR(__xludf.DUMMYFUNCTION("""COMPUTED_VALUE"""),5.1)</f>
        <v>5.1</v>
      </c>
      <c r="H6502" s="17"/>
      <c r="K6502" s="17"/>
      <c r="N6502" s="17"/>
    </row>
    <row r="6503">
      <c r="B6503" s="11">
        <f>IFERROR(__xludf.DUMMYFUNCTION("""COMPUTED_VALUE"""),36922.0)</f>
        <v>36922</v>
      </c>
      <c r="C6503" s="9">
        <f>IFERROR(__xludf.DUMMYFUNCTION("""COMPUTED_VALUE"""),5.19)</f>
        <v>5.19</v>
      </c>
      <c r="H6503" s="17"/>
      <c r="K6503" s="17"/>
      <c r="N6503" s="17"/>
    </row>
    <row r="6504">
      <c r="B6504" s="11">
        <f>IFERROR(__xludf.DUMMYFUNCTION("""COMPUTED_VALUE"""),36921.0)</f>
        <v>36921</v>
      </c>
      <c r="C6504" s="9">
        <f>IFERROR(__xludf.DUMMYFUNCTION("""COMPUTED_VALUE"""),5.24)</f>
        <v>5.24</v>
      </c>
      <c r="H6504" s="17"/>
      <c r="K6504" s="17"/>
      <c r="N6504" s="17"/>
    </row>
    <row r="6505">
      <c r="B6505" s="11">
        <f>IFERROR(__xludf.DUMMYFUNCTION("""COMPUTED_VALUE"""),36920.0)</f>
        <v>36920</v>
      </c>
      <c r="C6505" s="9">
        <f>IFERROR(__xludf.DUMMYFUNCTION("""COMPUTED_VALUE"""),5.32)</f>
        <v>5.32</v>
      </c>
      <c r="H6505" s="17"/>
      <c r="K6505" s="17"/>
      <c r="N6505" s="17"/>
    </row>
    <row r="6506">
      <c r="B6506" s="11">
        <f>IFERROR(__xludf.DUMMYFUNCTION("""COMPUTED_VALUE"""),36917.0)</f>
        <v>36917</v>
      </c>
      <c r="C6506" s="9">
        <f>IFERROR(__xludf.DUMMYFUNCTION("""COMPUTED_VALUE"""),5.29)</f>
        <v>5.29</v>
      </c>
      <c r="H6506" s="17"/>
      <c r="K6506" s="17"/>
      <c r="N6506" s="17"/>
    </row>
    <row r="6507">
      <c r="B6507" s="11">
        <f>IFERROR(__xludf.DUMMYFUNCTION("""COMPUTED_VALUE"""),36916.0)</f>
        <v>36916</v>
      </c>
      <c r="C6507" s="9">
        <f>IFERROR(__xludf.DUMMYFUNCTION("""COMPUTED_VALUE"""),5.29)</f>
        <v>5.29</v>
      </c>
      <c r="H6507" s="17"/>
      <c r="K6507" s="17"/>
      <c r="N6507" s="17"/>
    </row>
    <row r="6508">
      <c r="B6508" s="11">
        <f>IFERROR(__xludf.DUMMYFUNCTION("""COMPUTED_VALUE"""),36915.0)</f>
        <v>36915</v>
      </c>
      <c r="C6508" s="9">
        <f>IFERROR(__xludf.DUMMYFUNCTION("""COMPUTED_VALUE"""),5.33)</f>
        <v>5.33</v>
      </c>
      <c r="H6508" s="17"/>
      <c r="K6508" s="17"/>
      <c r="N6508" s="17"/>
    </row>
    <row r="6509">
      <c r="B6509" s="11">
        <f>IFERROR(__xludf.DUMMYFUNCTION("""COMPUTED_VALUE"""),36914.0)</f>
        <v>36914</v>
      </c>
      <c r="C6509" s="9">
        <f>IFERROR(__xludf.DUMMYFUNCTION("""COMPUTED_VALUE"""),5.3)</f>
        <v>5.3</v>
      </c>
      <c r="H6509" s="17"/>
      <c r="K6509" s="17"/>
      <c r="N6509" s="17"/>
    </row>
    <row r="6510">
      <c r="B6510" s="11">
        <f>IFERROR(__xludf.DUMMYFUNCTION("""COMPUTED_VALUE"""),36913.0)</f>
        <v>36913</v>
      </c>
      <c r="C6510" s="9">
        <f>IFERROR(__xludf.DUMMYFUNCTION("""COMPUTED_VALUE"""),5.25)</f>
        <v>5.25</v>
      </c>
      <c r="H6510" s="17"/>
      <c r="K6510" s="17"/>
      <c r="N6510" s="17"/>
    </row>
    <row r="6511">
      <c r="B6511" s="11">
        <f>IFERROR(__xludf.DUMMYFUNCTION("""COMPUTED_VALUE"""),36910.0)</f>
        <v>36910</v>
      </c>
      <c r="C6511" s="9">
        <f>IFERROR(__xludf.DUMMYFUNCTION("""COMPUTED_VALUE"""),5.19)</f>
        <v>5.19</v>
      </c>
      <c r="H6511" s="17"/>
      <c r="K6511" s="17"/>
      <c r="N6511" s="17"/>
    </row>
    <row r="6512">
      <c r="B6512" s="11">
        <f>IFERROR(__xludf.DUMMYFUNCTION("""COMPUTED_VALUE"""),36909.0)</f>
        <v>36909</v>
      </c>
      <c r="C6512" s="9">
        <f>IFERROR(__xludf.DUMMYFUNCTION("""COMPUTED_VALUE"""),5.12)</f>
        <v>5.12</v>
      </c>
      <c r="H6512" s="17"/>
      <c r="K6512" s="17"/>
      <c r="N6512" s="17"/>
    </row>
    <row r="6513">
      <c r="B6513" s="11">
        <f>IFERROR(__xludf.DUMMYFUNCTION("""COMPUTED_VALUE"""),36908.0)</f>
        <v>36908</v>
      </c>
      <c r="C6513" s="9">
        <f>IFERROR(__xludf.DUMMYFUNCTION("""COMPUTED_VALUE"""),5.19)</f>
        <v>5.19</v>
      </c>
      <c r="H6513" s="17"/>
      <c r="K6513" s="17"/>
      <c r="N6513" s="17"/>
    </row>
    <row r="6514">
      <c r="B6514" s="11">
        <f>IFERROR(__xludf.DUMMYFUNCTION("""COMPUTED_VALUE"""),36907.0)</f>
        <v>36907</v>
      </c>
      <c r="C6514" s="9">
        <f>IFERROR(__xludf.DUMMYFUNCTION("""COMPUTED_VALUE"""),5.24)</f>
        <v>5.24</v>
      </c>
      <c r="H6514" s="17"/>
      <c r="K6514" s="17"/>
      <c r="N6514" s="17"/>
    </row>
    <row r="6515">
      <c r="B6515" s="11">
        <f>IFERROR(__xludf.DUMMYFUNCTION("""COMPUTED_VALUE"""),36906.0)</f>
        <v>36906</v>
      </c>
      <c r="C6515" s="9"/>
      <c r="H6515" s="17"/>
      <c r="K6515" s="17"/>
      <c r="N6515" s="17"/>
    </row>
    <row r="6516">
      <c r="B6516" s="11">
        <f>IFERROR(__xludf.DUMMYFUNCTION("""COMPUTED_VALUE"""),36903.0)</f>
        <v>36903</v>
      </c>
      <c r="C6516" s="9">
        <f>IFERROR(__xludf.DUMMYFUNCTION("""COMPUTED_VALUE"""),5.25)</f>
        <v>5.25</v>
      </c>
      <c r="H6516" s="17"/>
      <c r="K6516" s="17"/>
      <c r="N6516" s="17"/>
    </row>
    <row r="6517">
      <c r="B6517" s="11">
        <f>IFERROR(__xludf.DUMMYFUNCTION("""COMPUTED_VALUE"""),36902.0)</f>
        <v>36902</v>
      </c>
      <c r="C6517" s="9">
        <f>IFERROR(__xludf.DUMMYFUNCTION("""COMPUTED_VALUE"""),5.14)</f>
        <v>5.14</v>
      </c>
      <c r="H6517" s="17"/>
      <c r="K6517" s="17"/>
      <c r="N6517" s="17"/>
    </row>
    <row r="6518">
      <c r="B6518" s="11">
        <f>IFERROR(__xludf.DUMMYFUNCTION("""COMPUTED_VALUE"""),36901.0)</f>
        <v>36901</v>
      </c>
      <c r="C6518" s="9">
        <f>IFERROR(__xludf.DUMMYFUNCTION("""COMPUTED_VALUE"""),5.1)</f>
        <v>5.1</v>
      </c>
      <c r="H6518" s="17"/>
      <c r="K6518" s="17"/>
      <c r="N6518" s="17"/>
    </row>
    <row r="6519">
      <c r="B6519" s="11">
        <f>IFERROR(__xludf.DUMMYFUNCTION("""COMPUTED_VALUE"""),36900.0)</f>
        <v>36900</v>
      </c>
      <c r="C6519" s="9">
        <f>IFERROR(__xludf.DUMMYFUNCTION("""COMPUTED_VALUE"""),4.98)</f>
        <v>4.98</v>
      </c>
      <c r="H6519" s="17"/>
      <c r="K6519" s="17"/>
      <c r="N6519" s="17"/>
    </row>
    <row r="6520">
      <c r="B6520" s="11">
        <f>IFERROR(__xludf.DUMMYFUNCTION("""COMPUTED_VALUE"""),36899.0)</f>
        <v>36899</v>
      </c>
      <c r="C6520" s="9">
        <f>IFERROR(__xludf.DUMMYFUNCTION("""COMPUTED_VALUE"""),4.94)</f>
        <v>4.94</v>
      </c>
      <c r="H6520" s="17"/>
      <c r="K6520" s="17"/>
      <c r="N6520" s="17"/>
    </row>
    <row r="6521">
      <c r="B6521" s="11">
        <f>IFERROR(__xludf.DUMMYFUNCTION("""COMPUTED_VALUE"""),36896.0)</f>
        <v>36896</v>
      </c>
      <c r="C6521" s="9">
        <f>IFERROR(__xludf.DUMMYFUNCTION("""COMPUTED_VALUE"""),4.93)</f>
        <v>4.93</v>
      </c>
      <c r="H6521" s="17"/>
      <c r="K6521" s="17"/>
      <c r="N6521" s="17"/>
    </row>
    <row r="6522">
      <c r="B6522" s="11">
        <f>IFERROR(__xludf.DUMMYFUNCTION("""COMPUTED_VALUE"""),36895.0)</f>
        <v>36895</v>
      </c>
      <c r="C6522" s="9">
        <f>IFERROR(__xludf.DUMMYFUNCTION("""COMPUTED_VALUE"""),5.03)</f>
        <v>5.03</v>
      </c>
      <c r="H6522" s="17"/>
      <c r="K6522" s="17"/>
      <c r="N6522" s="17"/>
    </row>
    <row r="6523">
      <c r="B6523" s="11">
        <f>IFERROR(__xludf.DUMMYFUNCTION("""COMPUTED_VALUE"""),36894.0)</f>
        <v>36894</v>
      </c>
      <c r="C6523" s="9">
        <f>IFERROR(__xludf.DUMMYFUNCTION("""COMPUTED_VALUE"""),5.14)</f>
        <v>5.14</v>
      </c>
      <c r="H6523" s="17"/>
      <c r="K6523" s="17"/>
      <c r="N6523" s="17"/>
    </row>
    <row r="6524">
      <c r="B6524" s="11">
        <f>IFERROR(__xludf.DUMMYFUNCTION("""COMPUTED_VALUE"""),36893.0)</f>
        <v>36893</v>
      </c>
      <c r="C6524" s="9">
        <f>IFERROR(__xludf.DUMMYFUNCTION("""COMPUTED_VALUE"""),4.92)</f>
        <v>4.92</v>
      </c>
      <c r="H6524" s="17"/>
      <c r="K6524" s="17"/>
      <c r="N6524" s="17"/>
    </row>
    <row r="6525">
      <c r="B6525" s="11">
        <f>IFERROR(__xludf.DUMMYFUNCTION("""COMPUTED_VALUE"""),36892.0)</f>
        <v>36892</v>
      </c>
      <c r="C6525" s="9"/>
      <c r="H6525" s="17"/>
      <c r="K6525" s="17"/>
      <c r="N6525" s="17"/>
    </row>
    <row r="6526">
      <c r="B6526" s="11">
        <f>IFERROR(__xludf.DUMMYFUNCTION("""COMPUTED_VALUE"""),36889.0)</f>
        <v>36889</v>
      </c>
      <c r="C6526" s="9">
        <f>IFERROR(__xludf.DUMMYFUNCTION("""COMPUTED_VALUE"""),5.12)</f>
        <v>5.12</v>
      </c>
      <c r="H6526" s="17"/>
      <c r="K6526" s="17"/>
      <c r="N6526" s="17"/>
    </row>
    <row r="6527">
      <c r="B6527" s="11">
        <f>IFERROR(__xludf.DUMMYFUNCTION("""COMPUTED_VALUE"""),36888.0)</f>
        <v>36888</v>
      </c>
      <c r="C6527" s="9">
        <f>IFERROR(__xludf.DUMMYFUNCTION("""COMPUTED_VALUE"""),5.13)</f>
        <v>5.13</v>
      </c>
      <c r="H6527" s="17"/>
      <c r="K6527" s="17"/>
      <c r="N6527" s="17"/>
    </row>
    <row r="6528">
      <c r="B6528" s="11">
        <f>IFERROR(__xludf.DUMMYFUNCTION("""COMPUTED_VALUE"""),36887.0)</f>
        <v>36887</v>
      </c>
      <c r="C6528" s="9">
        <f>IFERROR(__xludf.DUMMYFUNCTION("""COMPUTED_VALUE"""),5.11)</f>
        <v>5.11</v>
      </c>
      <c r="H6528" s="17"/>
      <c r="K6528" s="17"/>
      <c r="N6528" s="17"/>
    </row>
    <row r="6529">
      <c r="B6529" s="11">
        <f>IFERROR(__xludf.DUMMYFUNCTION("""COMPUTED_VALUE"""),36886.0)</f>
        <v>36886</v>
      </c>
      <c r="C6529" s="9">
        <f>IFERROR(__xludf.DUMMYFUNCTION("""COMPUTED_VALUE"""),5.04)</f>
        <v>5.04</v>
      </c>
      <c r="H6529" s="17"/>
      <c r="K6529" s="17"/>
      <c r="N6529" s="17"/>
    </row>
    <row r="6530">
      <c r="B6530" s="11">
        <f>IFERROR(__xludf.DUMMYFUNCTION("""COMPUTED_VALUE"""),36885.0)</f>
        <v>36885</v>
      </c>
      <c r="C6530" s="9"/>
      <c r="H6530" s="17"/>
      <c r="K6530" s="17"/>
      <c r="N6530" s="17"/>
    </row>
    <row r="6531">
      <c r="B6531" s="11">
        <f>IFERROR(__xludf.DUMMYFUNCTION("""COMPUTED_VALUE"""),36882.0)</f>
        <v>36882</v>
      </c>
      <c r="C6531" s="9">
        <f>IFERROR(__xludf.DUMMYFUNCTION("""COMPUTED_VALUE"""),5.02)</f>
        <v>5.02</v>
      </c>
      <c r="H6531" s="17"/>
      <c r="K6531" s="17"/>
      <c r="N6531" s="17"/>
    </row>
    <row r="6532">
      <c r="B6532" s="11">
        <f>IFERROR(__xludf.DUMMYFUNCTION("""COMPUTED_VALUE"""),36881.0)</f>
        <v>36881</v>
      </c>
      <c r="C6532" s="9">
        <f>IFERROR(__xludf.DUMMYFUNCTION("""COMPUTED_VALUE"""),5.03)</f>
        <v>5.03</v>
      </c>
      <c r="H6532" s="17"/>
      <c r="K6532" s="17"/>
      <c r="N6532" s="17"/>
    </row>
    <row r="6533">
      <c r="B6533" s="11">
        <f>IFERROR(__xludf.DUMMYFUNCTION("""COMPUTED_VALUE"""),36880.0)</f>
        <v>36880</v>
      </c>
      <c r="C6533" s="9">
        <f>IFERROR(__xludf.DUMMYFUNCTION("""COMPUTED_VALUE"""),5.08)</f>
        <v>5.08</v>
      </c>
      <c r="H6533" s="17"/>
      <c r="K6533" s="17"/>
      <c r="N6533" s="17"/>
    </row>
    <row r="6534">
      <c r="B6534" s="11">
        <f>IFERROR(__xludf.DUMMYFUNCTION("""COMPUTED_VALUE"""),36879.0)</f>
        <v>36879</v>
      </c>
      <c r="C6534" s="9">
        <f>IFERROR(__xludf.DUMMYFUNCTION("""COMPUTED_VALUE"""),5.19)</f>
        <v>5.19</v>
      </c>
      <c r="H6534" s="17"/>
      <c r="K6534" s="17"/>
      <c r="N6534" s="17"/>
    </row>
    <row r="6535">
      <c r="B6535" s="11">
        <f>IFERROR(__xludf.DUMMYFUNCTION("""COMPUTED_VALUE"""),36878.0)</f>
        <v>36878</v>
      </c>
      <c r="C6535" s="9">
        <f>IFERROR(__xludf.DUMMYFUNCTION("""COMPUTED_VALUE"""),5.17)</f>
        <v>5.17</v>
      </c>
      <c r="H6535" s="17"/>
      <c r="K6535" s="17"/>
      <c r="N6535" s="17"/>
    </row>
    <row r="6536">
      <c r="B6536" s="11">
        <f>IFERROR(__xludf.DUMMYFUNCTION("""COMPUTED_VALUE"""),36875.0)</f>
        <v>36875</v>
      </c>
      <c r="C6536" s="9">
        <f>IFERROR(__xludf.DUMMYFUNCTION("""COMPUTED_VALUE"""),5.2)</f>
        <v>5.2</v>
      </c>
      <c r="H6536" s="17"/>
      <c r="K6536" s="17"/>
      <c r="N6536" s="17"/>
    </row>
    <row r="6537">
      <c r="B6537" s="11">
        <f>IFERROR(__xludf.DUMMYFUNCTION("""COMPUTED_VALUE"""),36874.0)</f>
        <v>36874</v>
      </c>
      <c r="C6537" s="9">
        <f>IFERROR(__xludf.DUMMYFUNCTION("""COMPUTED_VALUE"""),5.23)</f>
        <v>5.23</v>
      </c>
      <c r="H6537" s="17"/>
      <c r="K6537" s="17"/>
      <c r="N6537" s="17"/>
    </row>
    <row r="6538">
      <c r="B6538" s="11">
        <f>IFERROR(__xludf.DUMMYFUNCTION("""COMPUTED_VALUE"""),36873.0)</f>
        <v>36873</v>
      </c>
      <c r="C6538" s="9">
        <f>IFERROR(__xludf.DUMMYFUNCTION("""COMPUTED_VALUE"""),5.29)</f>
        <v>5.29</v>
      </c>
      <c r="H6538" s="17"/>
      <c r="K6538" s="17"/>
      <c r="N6538" s="17"/>
    </row>
    <row r="6539">
      <c r="B6539" s="11">
        <f>IFERROR(__xludf.DUMMYFUNCTION("""COMPUTED_VALUE"""),36872.0)</f>
        <v>36872</v>
      </c>
      <c r="C6539" s="9">
        <f>IFERROR(__xludf.DUMMYFUNCTION("""COMPUTED_VALUE"""),5.36)</f>
        <v>5.36</v>
      </c>
      <c r="H6539" s="17"/>
      <c r="K6539" s="17"/>
      <c r="N6539" s="17"/>
    </row>
    <row r="6540">
      <c r="B6540" s="11">
        <f>IFERROR(__xludf.DUMMYFUNCTION("""COMPUTED_VALUE"""),36871.0)</f>
        <v>36871</v>
      </c>
      <c r="C6540" s="9">
        <f>IFERROR(__xludf.DUMMYFUNCTION("""COMPUTED_VALUE"""),5.37)</f>
        <v>5.37</v>
      </c>
      <c r="H6540" s="17"/>
      <c r="K6540" s="17"/>
      <c r="N6540" s="17"/>
    </row>
    <row r="6541">
      <c r="B6541" s="11">
        <f>IFERROR(__xludf.DUMMYFUNCTION("""COMPUTED_VALUE"""),36868.0)</f>
        <v>36868</v>
      </c>
      <c r="C6541" s="9">
        <f>IFERROR(__xludf.DUMMYFUNCTION("""COMPUTED_VALUE"""),5.35)</f>
        <v>5.35</v>
      </c>
      <c r="H6541" s="17"/>
      <c r="K6541" s="17"/>
      <c r="N6541" s="17"/>
    </row>
    <row r="6542">
      <c r="B6542" s="11">
        <f>IFERROR(__xludf.DUMMYFUNCTION("""COMPUTED_VALUE"""),36867.0)</f>
        <v>36867</v>
      </c>
      <c r="C6542" s="9">
        <f>IFERROR(__xludf.DUMMYFUNCTION("""COMPUTED_VALUE"""),5.32)</f>
        <v>5.32</v>
      </c>
      <c r="H6542" s="17"/>
      <c r="K6542" s="17"/>
      <c r="N6542" s="17"/>
    </row>
    <row r="6543">
      <c r="B6543" s="11">
        <f>IFERROR(__xludf.DUMMYFUNCTION("""COMPUTED_VALUE"""),36866.0)</f>
        <v>36866</v>
      </c>
      <c r="C6543" s="9">
        <f>IFERROR(__xludf.DUMMYFUNCTION("""COMPUTED_VALUE"""),5.32)</f>
        <v>5.32</v>
      </c>
      <c r="H6543" s="17"/>
      <c r="K6543" s="17"/>
      <c r="N6543" s="17"/>
    </row>
    <row r="6544">
      <c r="B6544" s="11">
        <f>IFERROR(__xludf.DUMMYFUNCTION("""COMPUTED_VALUE"""),36865.0)</f>
        <v>36865</v>
      </c>
      <c r="C6544" s="9">
        <f>IFERROR(__xludf.DUMMYFUNCTION("""COMPUTED_VALUE"""),5.43)</f>
        <v>5.43</v>
      </c>
      <c r="H6544" s="17"/>
      <c r="K6544" s="17"/>
      <c r="N6544" s="17"/>
    </row>
    <row r="6545">
      <c r="B6545" s="11">
        <f>IFERROR(__xludf.DUMMYFUNCTION("""COMPUTED_VALUE"""),36864.0)</f>
        <v>36864</v>
      </c>
      <c r="C6545" s="9">
        <f>IFERROR(__xludf.DUMMYFUNCTION("""COMPUTED_VALUE"""),5.53)</f>
        <v>5.53</v>
      </c>
      <c r="H6545" s="17"/>
      <c r="K6545" s="17"/>
      <c r="N6545" s="17"/>
    </row>
    <row r="6546">
      <c r="B6546" s="11">
        <f>IFERROR(__xludf.DUMMYFUNCTION("""COMPUTED_VALUE"""),36861.0)</f>
        <v>36861</v>
      </c>
      <c r="C6546" s="9">
        <f>IFERROR(__xludf.DUMMYFUNCTION("""COMPUTED_VALUE"""),5.52)</f>
        <v>5.52</v>
      </c>
      <c r="H6546" s="17"/>
      <c r="K6546" s="17"/>
      <c r="N6546" s="17"/>
    </row>
    <row r="6547">
      <c r="B6547" s="11">
        <f>IFERROR(__xludf.DUMMYFUNCTION("""COMPUTED_VALUE"""),36860.0)</f>
        <v>36860</v>
      </c>
      <c r="C6547" s="9">
        <f>IFERROR(__xludf.DUMMYFUNCTION("""COMPUTED_VALUE"""),5.48)</f>
        <v>5.48</v>
      </c>
      <c r="H6547" s="17"/>
      <c r="K6547" s="17"/>
      <c r="N6547" s="17"/>
    </row>
    <row r="6548">
      <c r="B6548" s="11">
        <f>IFERROR(__xludf.DUMMYFUNCTION("""COMPUTED_VALUE"""),36859.0)</f>
        <v>36859</v>
      </c>
      <c r="C6548" s="9">
        <f>IFERROR(__xludf.DUMMYFUNCTION("""COMPUTED_VALUE"""),5.55)</f>
        <v>5.55</v>
      </c>
      <c r="H6548" s="17"/>
      <c r="K6548" s="17"/>
      <c r="N6548" s="17"/>
    </row>
    <row r="6549">
      <c r="B6549" s="11">
        <f>IFERROR(__xludf.DUMMYFUNCTION("""COMPUTED_VALUE"""),36858.0)</f>
        <v>36858</v>
      </c>
      <c r="C6549" s="9">
        <f>IFERROR(__xludf.DUMMYFUNCTION("""COMPUTED_VALUE"""),5.59)</f>
        <v>5.59</v>
      </c>
      <c r="H6549" s="17"/>
      <c r="K6549" s="17"/>
      <c r="N6549" s="17"/>
    </row>
    <row r="6550">
      <c r="B6550" s="11">
        <f>IFERROR(__xludf.DUMMYFUNCTION("""COMPUTED_VALUE"""),36857.0)</f>
        <v>36857</v>
      </c>
      <c r="C6550" s="9">
        <f>IFERROR(__xludf.DUMMYFUNCTION("""COMPUTED_VALUE"""),5.64)</f>
        <v>5.64</v>
      </c>
      <c r="H6550" s="17"/>
      <c r="K6550" s="17"/>
      <c r="N6550" s="17"/>
    </row>
    <row r="6551">
      <c r="B6551" s="11">
        <f>IFERROR(__xludf.DUMMYFUNCTION("""COMPUTED_VALUE"""),36854.0)</f>
        <v>36854</v>
      </c>
      <c r="C6551" s="9">
        <f>IFERROR(__xludf.DUMMYFUNCTION("""COMPUTED_VALUE"""),5.63)</f>
        <v>5.63</v>
      </c>
      <c r="H6551" s="17"/>
      <c r="K6551" s="17"/>
      <c r="N6551" s="17"/>
    </row>
    <row r="6552">
      <c r="B6552" s="11">
        <f>IFERROR(__xludf.DUMMYFUNCTION("""COMPUTED_VALUE"""),36853.0)</f>
        <v>36853</v>
      </c>
      <c r="C6552" s="9"/>
      <c r="H6552" s="17"/>
      <c r="K6552" s="17"/>
      <c r="N6552" s="17"/>
    </row>
    <row r="6553">
      <c r="B6553" s="11">
        <f>IFERROR(__xludf.DUMMYFUNCTION("""COMPUTED_VALUE"""),36852.0)</f>
        <v>36852</v>
      </c>
      <c r="C6553" s="9">
        <f>IFERROR(__xludf.DUMMYFUNCTION("""COMPUTED_VALUE"""),5.62)</f>
        <v>5.62</v>
      </c>
      <c r="H6553" s="17"/>
      <c r="K6553" s="17"/>
      <c r="N6553" s="17"/>
    </row>
    <row r="6554">
      <c r="B6554" s="11">
        <f>IFERROR(__xludf.DUMMYFUNCTION("""COMPUTED_VALUE"""),36851.0)</f>
        <v>36851</v>
      </c>
      <c r="C6554" s="9">
        <f>IFERROR(__xludf.DUMMYFUNCTION("""COMPUTED_VALUE"""),5.67)</f>
        <v>5.67</v>
      </c>
      <c r="H6554" s="17"/>
      <c r="K6554" s="17"/>
      <c r="N6554" s="17"/>
    </row>
    <row r="6555">
      <c r="B6555" s="11">
        <f>IFERROR(__xludf.DUMMYFUNCTION("""COMPUTED_VALUE"""),36850.0)</f>
        <v>36850</v>
      </c>
      <c r="C6555" s="9">
        <f>IFERROR(__xludf.DUMMYFUNCTION("""COMPUTED_VALUE"""),5.68)</f>
        <v>5.68</v>
      </c>
      <c r="H6555" s="17"/>
      <c r="K6555" s="17"/>
      <c r="N6555" s="17"/>
    </row>
    <row r="6556">
      <c r="B6556" s="11">
        <f>IFERROR(__xludf.DUMMYFUNCTION("""COMPUTED_VALUE"""),36847.0)</f>
        <v>36847</v>
      </c>
      <c r="C6556" s="9">
        <f>IFERROR(__xludf.DUMMYFUNCTION("""COMPUTED_VALUE"""),5.71)</f>
        <v>5.71</v>
      </c>
      <c r="H6556" s="17"/>
      <c r="K6556" s="17"/>
      <c r="N6556" s="17"/>
    </row>
    <row r="6557">
      <c r="B6557" s="11">
        <f>IFERROR(__xludf.DUMMYFUNCTION("""COMPUTED_VALUE"""),36846.0)</f>
        <v>36846</v>
      </c>
      <c r="C6557" s="9">
        <f>IFERROR(__xludf.DUMMYFUNCTION("""COMPUTED_VALUE"""),5.68)</f>
        <v>5.68</v>
      </c>
      <c r="H6557" s="17"/>
      <c r="K6557" s="17"/>
      <c r="N6557" s="17"/>
    </row>
    <row r="6558">
      <c r="B6558" s="11">
        <f>IFERROR(__xludf.DUMMYFUNCTION("""COMPUTED_VALUE"""),36845.0)</f>
        <v>36845</v>
      </c>
      <c r="C6558" s="9">
        <f>IFERROR(__xludf.DUMMYFUNCTION("""COMPUTED_VALUE"""),5.72)</f>
        <v>5.72</v>
      </c>
      <c r="H6558" s="17"/>
      <c r="K6558" s="17"/>
      <c r="N6558" s="17"/>
    </row>
    <row r="6559">
      <c r="B6559" s="11">
        <f>IFERROR(__xludf.DUMMYFUNCTION("""COMPUTED_VALUE"""),36844.0)</f>
        <v>36844</v>
      </c>
      <c r="C6559" s="9">
        <f>IFERROR(__xludf.DUMMYFUNCTION("""COMPUTED_VALUE"""),5.76)</f>
        <v>5.76</v>
      </c>
      <c r="H6559" s="17"/>
      <c r="K6559" s="17"/>
      <c r="N6559" s="17"/>
    </row>
    <row r="6560">
      <c r="B6560" s="11">
        <f>IFERROR(__xludf.DUMMYFUNCTION("""COMPUTED_VALUE"""),36843.0)</f>
        <v>36843</v>
      </c>
      <c r="C6560" s="9">
        <f>IFERROR(__xludf.DUMMYFUNCTION("""COMPUTED_VALUE"""),5.77)</f>
        <v>5.77</v>
      </c>
      <c r="H6560" s="17"/>
      <c r="K6560" s="17"/>
      <c r="N6560" s="17"/>
    </row>
    <row r="6561">
      <c r="B6561" s="11">
        <f>IFERROR(__xludf.DUMMYFUNCTION("""COMPUTED_VALUE"""),36840.0)</f>
        <v>36840</v>
      </c>
      <c r="C6561" s="9">
        <f>IFERROR(__xludf.DUMMYFUNCTION("""COMPUTED_VALUE"""),5.82)</f>
        <v>5.82</v>
      </c>
      <c r="H6561" s="17"/>
      <c r="K6561" s="17"/>
      <c r="N6561" s="17"/>
    </row>
    <row r="6562">
      <c r="B6562" s="11">
        <f>IFERROR(__xludf.DUMMYFUNCTION("""COMPUTED_VALUE"""),36839.0)</f>
        <v>36839</v>
      </c>
      <c r="C6562" s="9">
        <f>IFERROR(__xludf.DUMMYFUNCTION("""COMPUTED_VALUE"""),5.82)</f>
        <v>5.82</v>
      </c>
      <c r="H6562" s="17"/>
      <c r="K6562" s="17"/>
      <c r="N6562" s="17"/>
    </row>
    <row r="6563">
      <c r="B6563" s="11">
        <f>IFERROR(__xludf.DUMMYFUNCTION("""COMPUTED_VALUE"""),36838.0)</f>
        <v>36838</v>
      </c>
      <c r="C6563" s="9">
        <f>IFERROR(__xludf.DUMMYFUNCTION("""COMPUTED_VALUE"""),5.87)</f>
        <v>5.87</v>
      </c>
      <c r="H6563" s="17"/>
      <c r="K6563" s="17"/>
      <c r="N6563" s="17"/>
    </row>
    <row r="6564">
      <c r="B6564" s="11">
        <f>IFERROR(__xludf.DUMMYFUNCTION("""COMPUTED_VALUE"""),36837.0)</f>
        <v>36837</v>
      </c>
      <c r="C6564" s="9">
        <f>IFERROR(__xludf.DUMMYFUNCTION("""COMPUTED_VALUE"""),5.87)</f>
        <v>5.87</v>
      </c>
      <c r="H6564" s="17"/>
      <c r="K6564" s="17"/>
      <c r="N6564" s="17"/>
    </row>
    <row r="6565">
      <c r="B6565" s="11">
        <f>IFERROR(__xludf.DUMMYFUNCTION("""COMPUTED_VALUE"""),36836.0)</f>
        <v>36836</v>
      </c>
      <c r="C6565" s="9">
        <f>IFERROR(__xludf.DUMMYFUNCTION("""COMPUTED_VALUE"""),5.87)</f>
        <v>5.87</v>
      </c>
      <c r="H6565" s="17"/>
      <c r="K6565" s="17"/>
      <c r="N6565" s="17"/>
    </row>
    <row r="6566">
      <c r="B6566" s="11">
        <f>IFERROR(__xludf.DUMMYFUNCTION("""COMPUTED_VALUE"""),36833.0)</f>
        <v>36833</v>
      </c>
      <c r="C6566" s="9">
        <f>IFERROR(__xludf.DUMMYFUNCTION("""COMPUTED_VALUE"""),5.83)</f>
        <v>5.83</v>
      </c>
      <c r="H6566" s="17"/>
      <c r="K6566" s="17"/>
      <c r="N6566" s="17"/>
    </row>
    <row r="6567">
      <c r="B6567" s="11">
        <f>IFERROR(__xludf.DUMMYFUNCTION("""COMPUTED_VALUE"""),36832.0)</f>
        <v>36832</v>
      </c>
      <c r="C6567" s="9">
        <f>IFERROR(__xludf.DUMMYFUNCTION("""COMPUTED_VALUE"""),5.74)</f>
        <v>5.74</v>
      </c>
      <c r="H6567" s="17"/>
      <c r="K6567" s="17"/>
      <c r="N6567" s="17"/>
    </row>
    <row r="6568">
      <c r="B6568" s="11">
        <f>IFERROR(__xludf.DUMMYFUNCTION("""COMPUTED_VALUE"""),36831.0)</f>
        <v>36831</v>
      </c>
      <c r="C6568" s="9">
        <f>IFERROR(__xludf.DUMMYFUNCTION("""COMPUTED_VALUE"""),5.74)</f>
        <v>5.74</v>
      </c>
      <c r="H6568" s="17"/>
      <c r="K6568" s="17"/>
      <c r="N6568" s="17"/>
    </row>
    <row r="6569">
      <c r="B6569" s="11">
        <f>IFERROR(__xludf.DUMMYFUNCTION("""COMPUTED_VALUE"""),36830.0)</f>
        <v>36830</v>
      </c>
      <c r="C6569" s="9">
        <f>IFERROR(__xludf.DUMMYFUNCTION("""COMPUTED_VALUE"""),5.77)</f>
        <v>5.77</v>
      </c>
      <c r="H6569" s="17"/>
      <c r="K6569" s="17"/>
      <c r="N6569" s="17"/>
    </row>
    <row r="6570">
      <c r="B6570" s="11">
        <f>IFERROR(__xludf.DUMMYFUNCTION("""COMPUTED_VALUE"""),36829.0)</f>
        <v>36829</v>
      </c>
      <c r="C6570" s="9">
        <f>IFERROR(__xludf.DUMMYFUNCTION("""COMPUTED_VALUE"""),5.74)</f>
        <v>5.74</v>
      </c>
      <c r="H6570" s="17"/>
      <c r="K6570" s="17"/>
      <c r="N6570" s="17"/>
    </row>
    <row r="6571">
      <c r="B6571" s="11">
        <f>IFERROR(__xludf.DUMMYFUNCTION("""COMPUTED_VALUE"""),36826.0)</f>
        <v>36826</v>
      </c>
      <c r="C6571" s="9">
        <f>IFERROR(__xludf.DUMMYFUNCTION("""COMPUTED_VALUE"""),5.72)</f>
        <v>5.72</v>
      </c>
      <c r="H6571" s="17"/>
      <c r="K6571" s="17"/>
      <c r="N6571" s="17"/>
    </row>
    <row r="6572">
      <c r="B6572" s="11">
        <f>IFERROR(__xludf.DUMMYFUNCTION("""COMPUTED_VALUE"""),36825.0)</f>
        <v>36825</v>
      </c>
      <c r="C6572" s="9">
        <f>IFERROR(__xludf.DUMMYFUNCTION("""COMPUTED_VALUE"""),5.69)</f>
        <v>5.69</v>
      </c>
      <c r="H6572" s="17"/>
      <c r="K6572" s="17"/>
      <c r="N6572" s="17"/>
    </row>
    <row r="6573">
      <c r="B6573" s="11">
        <f>IFERROR(__xludf.DUMMYFUNCTION("""COMPUTED_VALUE"""),36824.0)</f>
        <v>36824</v>
      </c>
      <c r="C6573" s="9">
        <f>IFERROR(__xludf.DUMMYFUNCTION("""COMPUTED_VALUE"""),5.67)</f>
        <v>5.67</v>
      </c>
      <c r="H6573" s="17"/>
      <c r="K6573" s="17"/>
      <c r="N6573" s="17"/>
    </row>
    <row r="6574">
      <c r="B6574" s="11">
        <f>IFERROR(__xludf.DUMMYFUNCTION("""COMPUTED_VALUE"""),36823.0)</f>
        <v>36823</v>
      </c>
      <c r="C6574" s="9">
        <f>IFERROR(__xludf.DUMMYFUNCTION("""COMPUTED_VALUE"""),5.63)</f>
        <v>5.63</v>
      </c>
      <c r="H6574" s="17"/>
      <c r="K6574" s="17"/>
      <c r="N6574" s="17"/>
    </row>
    <row r="6575">
      <c r="B6575" s="11">
        <f>IFERROR(__xludf.DUMMYFUNCTION("""COMPUTED_VALUE"""),36822.0)</f>
        <v>36822</v>
      </c>
      <c r="C6575" s="9">
        <f>IFERROR(__xludf.DUMMYFUNCTION("""COMPUTED_VALUE"""),5.59)</f>
        <v>5.59</v>
      </c>
      <c r="H6575" s="17"/>
      <c r="K6575" s="17"/>
      <c r="N6575" s="17"/>
    </row>
    <row r="6576">
      <c r="B6576" s="11">
        <f>IFERROR(__xludf.DUMMYFUNCTION("""COMPUTED_VALUE"""),36819.0)</f>
        <v>36819</v>
      </c>
      <c r="C6576" s="9">
        <f>IFERROR(__xludf.DUMMYFUNCTION("""COMPUTED_VALUE"""),5.64)</f>
        <v>5.64</v>
      </c>
      <c r="H6576" s="17"/>
      <c r="K6576" s="17"/>
      <c r="N6576" s="17"/>
    </row>
    <row r="6577">
      <c r="B6577" s="11">
        <f>IFERROR(__xludf.DUMMYFUNCTION("""COMPUTED_VALUE"""),36818.0)</f>
        <v>36818</v>
      </c>
      <c r="C6577" s="9">
        <f>IFERROR(__xludf.DUMMYFUNCTION("""COMPUTED_VALUE"""),5.66)</f>
        <v>5.66</v>
      </c>
      <c r="H6577" s="17"/>
      <c r="K6577" s="17"/>
      <c r="N6577" s="17"/>
    </row>
    <row r="6578">
      <c r="B6578" s="11">
        <f>IFERROR(__xludf.DUMMYFUNCTION("""COMPUTED_VALUE"""),36817.0)</f>
        <v>36817</v>
      </c>
      <c r="C6578" s="9">
        <f>IFERROR(__xludf.DUMMYFUNCTION("""COMPUTED_VALUE"""),5.66)</f>
        <v>5.66</v>
      </c>
      <c r="H6578" s="17"/>
      <c r="K6578" s="17"/>
      <c r="N6578" s="17"/>
    </row>
    <row r="6579">
      <c r="B6579" s="11">
        <f>IFERROR(__xludf.DUMMYFUNCTION("""COMPUTED_VALUE"""),36816.0)</f>
        <v>36816</v>
      </c>
      <c r="C6579" s="9">
        <f>IFERROR(__xludf.DUMMYFUNCTION("""COMPUTED_VALUE"""),5.68)</f>
        <v>5.68</v>
      </c>
      <c r="H6579" s="17"/>
      <c r="K6579" s="17"/>
      <c r="N6579" s="17"/>
    </row>
    <row r="6580">
      <c r="B6580" s="11">
        <f>IFERROR(__xludf.DUMMYFUNCTION("""COMPUTED_VALUE"""),36815.0)</f>
        <v>36815</v>
      </c>
      <c r="C6580" s="9">
        <f>IFERROR(__xludf.DUMMYFUNCTION("""COMPUTED_VALUE"""),5.74)</f>
        <v>5.74</v>
      </c>
      <c r="H6580" s="17"/>
      <c r="K6580" s="17"/>
      <c r="N6580" s="17"/>
    </row>
    <row r="6581">
      <c r="B6581" s="11">
        <f>IFERROR(__xludf.DUMMYFUNCTION("""COMPUTED_VALUE"""),36812.0)</f>
        <v>36812</v>
      </c>
      <c r="C6581" s="9">
        <f>IFERROR(__xludf.DUMMYFUNCTION("""COMPUTED_VALUE"""),5.73)</f>
        <v>5.73</v>
      </c>
      <c r="H6581" s="17"/>
      <c r="K6581" s="17"/>
      <c r="N6581" s="17"/>
    </row>
    <row r="6582">
      <c r="B6582" s="11">
        <f>IFERROR(__xludf.DUMMYFUNCTION("""COMPUTED_VALUE"""),36811.0)</f>
        <v>36811</v>
      </c>
      <c r="C6582" s="9">
        <f>IFERROR(__xludf.DUMMYFUNCTION("""COMPUTED_VALUE"""),5.73)</f>
        <v>5.73</v>
      </c>
      <c r="H6582" s="17"/>
      <c r="K6582" s="17"/>
      <c r="N6582" s="17"/>
    </row>
    <row r="6583">
      <c r="B6583" s="11">
        <f>IFERROR(__xludf.DUMMYFUNCTION("""COMPUTED_VALUE"""),36810.0)</f>
        <v>36810</v>
      </c>
      <c r="C6583" s="9">
        <f>IFERROR(__xludf.DUMMYFUNCTION("""COMPUTED_VALUE"""),5.77)</f>
        <v>5.77</v>
      </c>
      <c r="H6583" s="17"/>
      <c r="K6583" s="17"/>
      <c r="N6583" s="17"/>
    </row>
    <row r="6584">
      <c r="B6584" s="11">
        <f>IFERROR(__xludf.DUMMYFUNCTION("""COMPUTED_VALUE"""),36809.0)</f>
        <v>36809</v>
      </c>
      <c r="C6584" s="9">
        <f>IFERROR(__xludf.DUMMYFUNCTION("""COMPUTED_VALUE"""),5.8)</f>
        <v>5.8</v>
      </c>
      <c r="H6584" s="17"/>
      <c r="K6584" s="17"/>
      <c r="N6584" s="17"/>
    </row>
    <row r="6585">
      <c r="B6585" s="11">
        <f>IFERROR(__xludf.DUMMYFUNCTION("""COMPUTED_VALUE"""),36808.0)</f>
        <v>36808</v>
      </c>
      <c r="C6585" s="9"/>
      <c r="H6585" s="17"/>
      <c r="K6585" s="17"/>
      <c r="N6585" s="17"/>
    </row>
    <row r="6586">
      <c r="B6586" s="11">
        <f>IFERROR(__xludf.DUMMYFUNCTION("""COMPUTED_VALUE"""),36805.0)</f>
        <v>36805</v>
      </c>
      <c r="C6586" s="9">
        <f>IFERROR(__xludf.DUMMYFUNCTION("""COMPUTED_VALUE"""),5.82)</f>
        <v>5.82</v>
      </c>
      <c r="H6586" s="17"/>
      <c r="K6586" s="17"/>
      <c r="N6586" s="17"/>
    </row>
    <row r="6587">
      <c r="B6587" s="11">
        <f>IFERROR(__xludf.DUMMYFUNCTION("""COMPUTED_VALUE"""),36804.0)</f>
        <v>36804</v>
      </c>
      <c r="C6587" s="9">
        <f>IFERROR(__xludf.DUMMYFUNCTION("""COMPUTED_VALUE"""),5.87)</f>
        <v>5.87</v>
      </c>
      <c r="H6587" s="17"/>
      <c r="K6587" s="17"/>
      <c r="N6587" s="17"/>
    </row>
    <row r="6588">
      <c r="B6588" s="11">
        <f>IFERROR(__xludf.DUMMYFUNCTION("""COMPUTED_VALUE"""),36803.0)</f>
        <v>36803</v>
      </c>
      <c r="C6588" s="9">
        <f>IFERROR(__xludf.DUMMYFUNCTION("""COMPUTED_VALUE"""),5.9)</f>
        <v>5.9</v>
      </c>
      <c r="H6588" s="17"/>
      <c r="K6588" s="17"/>
      <c r="N6588" s="17"/>
    </row>
    <row r="6589">
      <c r="B6589" s="11">
        <f>IFERROR(__xludf.DUMMYFUNCTION("""COMPUTED_VALUE"""),36802.0)</f>
        <v>36802</v>
      </c>
      <c r="C6589" s="9">
        <f>IFERROR(__xludf.DUMMYFUNCTION("""COMPUTED_VALUE"""),5.87)</f>
        <v>5.87</v>
      </c>
      <c r="H6589" s="17"/>
      <c r="K6589" s="17"/>
      <c r="N6589" s="17"/>
    </row>
    <row r="6590">
      <c r="B6590" s="11">
        <f>IFERROR(__xludf.DUMMYFUNCTION("""COMPUTED_VALUE"""),36801.0)</f>
        <v>36801</v>
      </c>
      <c r="C6590" s="9">
        <f>IFERROR(__xludf.DUMMYFUNCTION("""COMPUTED_VALUE"""),5.83)</f>
        <v>5.83</v>
      </c>
      <c r="H6590" s="17"/>
      <c r="K6590" s="17"/>
      <c r="N6590" s="17"/>
    </row>
    <row r="6591">
      <c r="B6591" s="11">
        <f>IFERROR(__xludf.DUMMYFUNCTION("""COMPUTED_VALUE"""),36798.0)</f>
        <v>36798</v>
      </c>
      <c r="C6591" s="9">
        <f>IFERROR(__xludf.DUMMYFUNCTION("""COMPUTED_VALUE"""),5.8)</f>
        <v>5.8</v>
      </c>
      <c r="H6591" s="17"/>
      <c r="K6591" s="17"/>
      <c r="N6591" s="17"/>
    </row>
    <row r="6592">
      <c r="B6592" s="11">
        <f>IFERROR(__xludf.DUMMYFUNCTION("""COMPUTED_VALUE"""),36797.0)</f>
        <v>36797</v>
      </c>
      <c r="C6592" s="9">
        <f>IFERROR(__xludf.DUMMYFUNCTION("""COMPUTED_VALUE"""),5.82)</f>
        <v>5.82</v>
      </c>
      <c r="H6592" s="17"/>
      <c r="K6592" s="17"/>
      <c r="N6592" s="17"/>
    </row>
    <row r="6593">
      <c r="B6593" s="11">
        <f>IFERROR(__xludf.DUMMYFUNCTION("""COMPUTED_VALUE"""),36796.0)</f>
        <v>36796</v>
      </c>
      <c r="C6593" s="9">
        <f>IFERROR(__xludf.DUMMYFUNCTION("""COMPUTED_VALUE"""),5.83)</f>
        <v>5.83</v>
      </c>
      <c r="H6593" s="17"/>
      <c r="K6593" s="17"/>
      <c r="N6593" s="17"/>
    </row>
    <row r="6594">
      <c r="B6594" s="11">
        <f>IFERROR(__xludf.DUMMYFUNCTION("""COMPUTED_VALUE"""),36795.0)</f>
        <v>36795</v>
      </c>
      <c r="C6594" s="9">
        <f>IFERROR(__xludf.DUMMYFUNCTION("""COMPUTED_VALUE"""),5.81)</f>
        <v>5.81</v>
      </c>
      <c r="H6594" s="17"/>
      <c r="K6594" s="17"/>
      <c r="N6594" s="17"/>
    </row>
    <row r="6595">
      <c r="B6595" s="11">
        <f>IFERROR(__xludf.DUMMYFUNCTION("""COMPUTED_VALUE"""),36794.0)</f>
        <v>36794</v>
      </c>
      <c r="C6595" s="9">
        <f>IFERROR(__xludf.DUMMYFUNCTION("""COMPUTED_VALUE"""),5.84)</f>
        <v>5.84</v>
      </c>
      <c r="H6595" s="17"/>
      <c r="K6595" s="17"/>
      <c r="N6595" s="17"/>
    </row>
    <row r="6596">
      <c r="B6596" s="11">
        <f>IFERROR(__xludf.DUMMYFUNCTION("""COMPUTED_VALUE"""),36791.0)</f>
        <v>36791</v>
      </c>
      <c r="C6596" s="9">
        <f>IFERROR(__xludf.DUMMYFUNCTION("""COMPUTED_VALUE"""),5.85)</f>
        <v>5.85</v>
      </c>
      <c r="H6596" s="17"/>
      <c r="K6596" s="17"/>
      <c r="N6596" s="17"/>
    </row>
    <row r="6597">
      <c r="B6597" s="11">
        <f>IFERROR(__xludf.DUMMYFUNCTION("""COMPUTED_VALUE"""),36790.0)</f>
        <v>36790</v>
      </c>
      <c r="C6597" s="9">
        <f>IFERROR(__xludf.DUMMYFUNCTION("""COMPUTED_VALUE"""),5.88)</f>
        <v>5.88</v>
      </c>
      <c r="H6597" s="17"/>
      <c r="K6597" s="17"/>
      <c r="N6597" s="17"/>
    </row>
    <row r="6598">
      <c r="B6598" s="11">
        <f>IFERROR(__xludf.DUMMYFUNCTION("""COMPUTED_VALUE"""),36789.0)</f>
        <v>36789</v>
      </c>
      <c r="C6598" s="9">
        <f>IFERROR(__xludf.DUMMYFUNCTION("""COMPUTED_VALUE"""),5.91)</f>
        <v>5.91</v>
      </c>
      <c r="H6598" s="17"/>
      <c r="K6598" s="17"/>
      <c r="N6598" s="17"/>
    </row>
    <row r="6599">
      <c r="B6599" s="11">
        <f>IFERROR(__xludf.DUMMYFUNCTION("""COMPUTED_VALUE"""),36788.0)</f>
        <v>36788</v>
      </c>
      <c r="C6599" s="9">
        <f>IFERROR(__xludf.DUMMYFUNCTION("""COMPUTED_VALUE"""),5.86)</f>
        <v>5.86</v>
      </c>
      <c r="H6599" s="17"/>
      <c r="K6599" s="17"/>
      <c r="N6599" s="17"/>
    </row>
    <row r="6600">
      <c r="B6600" s="11">
        <f>IFERROR(__xludf.DUMMYFUNCTION("""COMPUTED_VALUE"""),36787.0)</f>
        <v>36787</v>
      </c>
      <c r="C6600" s="9">
        <f>IFERROR(__xludf.DUMMYFUNCTION("""COMPUTED_VALUE"""),5.88)</f>
        <v>5.88</v>
      </c>
      <c r="H6600" s="17"/>
      <c r="K6600" s="17"/>
      <c r="N6600" s="17"/>
    </row>
    <row r="6601">
      <c r="B6601" s="11">
        <f>IFERROR(__xludf.DUMMYFUNCTION("""COMPUTED_VALUE"""),36784.0)</f>
        <v>36784</v>
      </c>
      <c r="C6601" s="9">
        <f>IFERROR(__xludf.DUMMYFUNCTION("""COMPUTED_VALUE"""),5.84)</f>
        <v>5.84</v>
      </c>
      <c r="H6601" s="17"/>
      <c r="K6601" s="17"/>
      <c r="N6601" s="17"/>
    </row>
    <row r="6602">
      <c r="B6602" s="11">
        <f>IFERROR(__xludf.DUMMYFUNCTION("""COMPUTED_VALUE"""),36783.0)</f>
        <v>36783</v>
      </c>
      <c r="C6602" s="9">
        <f>IFERROR(__xludf.DUMMYFUNCTION("""COMPUTED_VALUE"""),5.79)</f>
        <v>5.79</v>
      </c>
      <c r="H6602" s="17"/>
      <c r="K6602" s="17"/>
      <c r="N6602" s="17"/>
    </row>
    <row r="6603">
      <c r="B6603" s="11">
        <f>IFERROR(__xludf.DUMMYFUNCTION("""COMPUTED_VALUE"""),36782.0)</f>
        <v>36782</v>
      </c>
      <c r="C6603" s="9">
        <f>IFERROR(__xludf.DUMMYFUNCTION("""COMPUTED_VALUE"""),5.74)</f>
        <v>5.74</v>
      </c>
      <c r="H6603" s="17"/>
      <c r="K6603" s="17"/>
      <c r="N6603" s="17"/>
    </row>
    <row r="6604">
      <c r="B6604" s="11">
        <f>IFERROR(__xludf.DUMMYFUNCTION("""COMPUTED_VALUE"""),36781.0)</f>
        <v>36781</v>
      </c>
      <c r="C6604" s="9">
        <f>IFERROR(__xludf.DUMMYFUNCTION("""COMPUTED_VALUE"""),5.78)</f>
        <v>5.78</v>
      </c>
      <c r="H6604" s="17"/>
      <c r="K6604" s="17"/>
      <c r="N6604" s="17"/>
    </row>
    <row r="6605">
      <c r="B6605" s="11">
        <f>IFERROR(__xludf.DUMMYFUNCTION("""COMPUTED_VALUE"""),36780.0)</f>
        <v>36780</v>
      </c>
      <c r="C6605" s="9">
        <f>IFERROR(__xludf.DUMMYFUNCTION("""COMPUTED_VALUE"""),5.77)</f>
        <v>5.77</v>
      </c>
      <c r="H6605" s="17"/>
      <c r="K6605" s="17"/>
      <c r="N6605" s="17"/>
    </row>
    <row r="6606">
      <c r="B6606" s="11">
        <f>IFERROR(__xludf.DUMMYFUNCTION("""COMPUTED_VALUE"""),36777.0)</f>
        <v>36777</v>
      </c>
      <c r="C6606" s="9">
        <f>IFERROR(__xludf.DUMMYFUNCTION("""COMPUTED_VALUE"""),5.73)</f>
        <v>5.73</v>
      </c>
      <c r="H6606" s="17"/>
      <c r="K6606" s="17"/>
      <c r="N6606" s="17"/>
    </row>
    <row r="6607">
      <c r="B6607" s="11">
        <f>IFERROR(__xludf.DUMMYFUNCTION("""COMPUTED_VALUE"""),36776.0)</f>
        <v>36776</v>
      </c>
      <c r="C6607" s="9">
        <f>IFERROR(__xludf.DUMMYFUNCTION("""COMPUTED_VALUE"""),5.76)</f>
        <v>5.76</v>
      </c>
      <c r="H6607" s="17"/>
      <c r="K6607" s="17"/>
      <c r="N6607" s="17"/>
    </row>
    <row r="6608">
      <c r="B6608" s="11">
        <f>IFERROR(__xludf.DUMMYFUNCTION("""COMPUTED_VALUE"""),36775.0)</f>
        <v>36775</v>
      </c>
      <c r="C6608" s="9">
        <f>IFERROR(__xludf.DUMMYFUNCTION("""COMPUTED_VALUE"""),5.72)</f>
        <v>5.72</v>
      </c>
      <c r="H6608" s="17"/>
      <c r="K6608" s="17"/>
      <c r="N6608" s="17"/>
    </row>
    <row r="6609">
      <c r="B6609" s="11">
        <f>IFERROR(__xludf.DUMMYFUNCTION("""COMPUTED_VALUE"""),36774.0)</f>
        <v>36774</v>
      </c>
      <c r="C6609" s="9">
        <f>IFERROR(__xludf.DUMMYFUNCTION("""COMPUTED_VALUE"""),5.69)</f>
        <v>5.69</v>
      </c>
      <c r="H6609" s="17"/>
      <c r="K6609" s="17"/>
      <c r="N6609" s="17"/>
    </row>
    <row r="6610">
      <c r="B6610" s="11">
        <f>IFERROR(__xludf.DUMMYFUNCTION("""COMPUTED_VALUE"""),36773.0)</f>
        <v>36773</v>
      </c>
      <c r="C6610" s="9"/>
      <c r="H6610" s="17"/>
      <c r="K6610" s="17"/>
      <c r="N6610" s="17"/>
    </row>
    <row r="6611">
      <c r="B6611" s="11">
        <f>IFERROR(__xludf.DUMMYFUNCTION("""COMPUTED_VALUE"""),36770.0)</f>
        <v>36770</v>
      </c>
      <c r="C6611" s="9">
        <f>IFERROR(__xludf.DUMMYFUNCTION("""COMPUTED_VALUE"""),5.68)</f>
        <v>5.68</v>
      </c>
      <c r="H6611" s="17"/>
      <c r="K6611" s="17"/>
      <c r="N6611" s="17"/>
    </row>
    <row r="6612">
      <c r="B6612" s="11">
        <f>IFERROR(__xludf.DUMMYFUNCTION("""COMPUTED_VALUE"""),36769.0)</f>
        <v>36769</v>
      </c>
      <c r="C6612" s="9">
        <f>IFERROR(__xludf.DUMMYFUNCTION("""COMPUTED_VALUE"""),5.73)</f>
        <v>5.73</v>
      </c>
      <c r="H6612" s="17"/>
      <c r="K6612" s="17"/>
      <c r="N6612" s="17"/>
    </row>
    <row r="6613">
      <c r="B6613" s="11">
        <f>IFERROR(__xludf.DUMMYFUNCTION("""COMPUTED_VALUE"""),36768.0)</f>
        <v>36768</v>
      </c>
      <c r="C6613" s="9">
        <f>IFERROR(__xludf.DUMMYFUNCTION("""COMPUTED_VALUE"""),5.81)</f>
        <v>5.81</v>
      </c>
      <c r="H6613" s="17"/>
      <c r="K6613" s="17"/>
      <c r="N6613" s="17"/>
    </row>
    <row r="6614">
      <c r="B6614" s="11">
        <f>IFERROR(__xludf.DUMMYFUNCTION("""COMPUTED_VALUE"""),36767.0)</f>
        <v>36767</v>
      </c>
      <c r="C6614" s="9">
        <f>IFERROR(__xludf.DUMMYFUNCTION("""COMPUTED_VALUE"""),5.81)</f>
        <v>5.81</v>
      </c>
      <c r="H6614" s="17"/>
      <c r="K6614" s="17"/>
      <c r="N6614" s="17"/>
    </row>
    <row r="6615">
      <c r="B6615" s="11">
        <f>IFERROR(__xludf.DUMMYFUNCTION("""COMPUTED_VALUE"""),36766.0)</f>
        <v>36766</v>
      </c>
      <c r="C6615" s="9">
        <f>IFERROR(__xludf.DUMMYFUNCTION("""COMPUTED_VALUE"""),5.78)</f>
        <v>5.78</v>
      </c>
      <c r="H6615" s="17"/>
      <c r="K6615" s="17"/>
      <c r="N6615" s="17"/>
    </row>
    <row r="6616">
      <c r="B6616" s="11">
        <f>IFERROR(__xludf.DUMMYFUNCTION("""COMPUTED_VALUE"""),36763.0)</f>
        <v>36763</v>
      </c>
      <c r="C6616" s="9">
        <f>IFERROR(__xludf.DUMMYFUNCTION("""COMPUTED_VALUE"""),5.73)</f>
        <v>5.73</v>
      </c>
      <c r="H6616" s="17"/>
      <c r="K6616" s="17"/>
      <c r="N6616" s="17"/>
    </row>
    <row r="6617">
      <c r="B6617" s="11">
        <f>IFERROR(__xludf.DUMMYFUNCTION("""COMPUTED_VALUE"""),36762.0)</f>
        <v>36762</v>
      </c>
      <c r="C6617" s="9">
        <f>IFERROR(__xludf.DUMMYFUNCTION("""COMPUTED_VALUE"""),5.73)</f>
        <v>5.73</v>
      </c>
      <c r="H6617" s="17"/>
      <c r="K6617" s="17"/>
      <c r="N6617" s="17"/>
    </row>
    <row r="6618">
      <c r="B6618" s="11">
        <f>IFERROR(__xludf.DUMMYFUNCTION("""COMPUTED_VALUE"""),36761.0)</f>
        <v>36761</v>
      </c>
      <c r="C6618" s="9">
        <f>IFERROR(__xludf.DUMMYFUNCTION("""COMPUTED_VALUE"""),5.73)</f>
        <v>5.73</v>
      </c>
      <c r="H6618" s="17"/>
      <c r="K6618" s="17"/>
      <c r="N6618" s="17"/>
    </row>
    <row r="6619">
      <c r="B6619" s="11">
        <f>IFERROR(__xludf.DUMMYFUNCTION("""COMPUTED_VALUE"""),36760.0)</f>
        <v>36760</v>
      </c>
      <c r="C6619" s="9">
        <f>IFERROR(__xludf.DUMMYFUNCTION("""COMPUTED_VALUE"""),5.78)</f>
        <v>5.78</v>
      </c>
      <c r="H6619" s="17"/>
      <c r="K6619" s="17"/>
      <c r="N6619" s="17"/>
    </row>
    <row r="6620">
      <c r="B6620" s="11">
        <f>IFERROR(__xludf.DUMMYFUNCTION("""COMPUTED_VALUE"""),36759.0)</f>
        <v>36759</v>
      </c>
      <c r="C6620" s="9">
        <f>IFERROR(__xludf.DUMMYFUNCTION("""COMPUTED_VALUE"""),5.79)</f>
        <v>5.79</v>
      </c>
      <c r="H6620" s="17"/>
      <c r="K6620" s="17"/>
      <c r="N6620" s="17"/>
    </row>
    <row r="6621">
      <c r="B6621" s="11">
        <f>IFERROR(__xludf.DUMMYFUNCTION("""COMPUTED_VALUE"""),36756.0)</f>
        <v>36756</v>
      </c>
      <c r="C6621" s="9">
        <f>IFERROR(__xludf.DUMMYFUNCTION("""COMPUTED_VALUE"""),5.78)</f>
        <v>5.78</v>
      </c>
      <c r="H6621" s="17"/>
      <c r="K6621" s="17"/>
      <c r="N6621" s="17"/>
    </row>
    <row r="6622">
      <c r="B6622" s="11">
        <f>IFERROR(__xludf.DUMMYFUNCTION("""COMPUTED_VALUE"""),36755.0)</f>
        <v>36755</v>
      </c>
      <c r="C6622" s="9">
        <f>IFERROR(__xludf.DUMMYFUNCTION("""COMPUTED_VALUE"""),5.81)</f>
        <v>5.81</v>
      </c>
      <c r="H6622" s="17"/>
      <c r="K6622" s="17"/>
      <c r="N6622" s="17"/>
    </row>
    <row r="6623">
      <c r="B6623" s="11">
        <f>IFERROR(__xludf.DUMMYFUNCTION("""COMPUTED_VALUE"""),36754.0)</f>
        <v>36754</v>
      </c>
      <c r="C6623" s="9">
        <f>IFERROR(__xludf.DUMMYFUNCTION("""COMPUTED_VALUE"""),5.83)</f>
        <v>5.83</v>
      </c>
      <c r="H6623" s="17"/>
      <c r="K6623" s="17"/>
      <c r="N6623" s="17"/>
    </row>
    <row r="6624">
      <c r="B6624" s="11">
        <f>IFERROR(__xludf.DUMMYFUNCTION("""COMPUTED_VALUE"""),36753.0)</f>
        <v>36753</v>
      </c>
      <c r="C6624" s="9">
        <f>IFERROR(__xludf.DUMMYFUNCTION("""COMPUTED_VALUE"""),5.81)</f>
        <v>5.81</v>
      </c>
      <c r="H6624" s="17"/>
      <c r="K6624" s="17"/>
      <c r="N6624" s="17"/>
    </row>
    <row r="6625">
      <c r="B6625" s="11">
        <f>IFERROR(__xludf.DUMMYFUNCTION("""COMPUTED_VALUE"""),36752.0)</f>
        <v>36752</v>
      </c>
      <c r="C6625" s="9">
        <f>IFERROR(__xludf.DUMMYFUNCTION("""COMPUTED_VALUE"""),5.78)</f>
        <v>5.78</v>
      </c>
      <c r="H6625" s="17"/>
      <c r="K6625" s="17"/>
      <c r="N6625" s="17"/>
    </row>
    <row r="6626">
      <c r="B6626" s="11">
        <f>IFERROR(__xludf.DUMMYFUNCTION("""COMPUTED_VALUE"""),36749.0)</f>
        <v>36749</v>
      </c>
      <c r="C6626" s="9">
        <f>IFERROR(__xludf.DUMMYFUNCTION("""COMPUTED_VALUE"""),5.79)</f>
        <v>5.79</v>
      </c>
      <c r="H6626" s="17"/>
      <c r="K6626" s="17"/>
      <c r="N6626" s="17"/>
    </row>
    <row r="6627">
      <c r="B6627" s="11">
        <f>IFERROR(__xludf.DUMMYFUNCTION("""COMPUTED_VALUE"""),36748.0)</f>
        <v>36748</v>
      </c>
      <c r="C6627" s="9">
        <f>IFERROR(__xludf.DUMMYFUNCTION("""COMPUTED_VALUE"""),5.76)</f>
        <v>5.76</v>
      </c>
      <c r="H6627" s="17"/>
      <c r="K6627" s="17"/>
      <c r="N6627" s="17"/>
    </row>
    <row r="6628">
      <c r="B6628" s="11">
        <f>IFERROR(__xludf.DUMMYFUNCTION("""COMPUTED_VALUE"""),36747.0)</f>
        <v>36747</v>
      </c>
      <c r="C6628" s="9">
        <f>IFERROR(__xludf.DUMMYFUNCTION("""COMPUTED_VALUE"""),5.81)</f>
        <v>5.81</v>
      </c>
      <c r="H6628" s="17"/>
      <c r="K6628" s="17"/>
      <c r="N6628" s="17"/>
    </row>
    <row r="6629">
      <c r="B6629" s="11">
        <f>IFERROR(__xludf.DUMMYFUNCTION("""COMPUTED_VALUE"""),36746.0)</f>
        <v>36746</v>
      </c>
      <c r="C6629" s="9">
        <f>IFERROR(__xludf.DUMMYFUNCTION("""COMPUTED_VALUE"""),5.93)</f>
        <v>5.93</v>
      </c>
      <c r="H6629" s="17"/>
      <c r="K6629" s="17"/>
      <c r="N6629" s="17"/>
    </row>
    <row r="6630">
      <c r="B6630" s="11">
        <f>IFERROR(__xludf.DUMMYFUNCTION("""COMPUTED_VALUE"""),36745.0)</f>
        <v>36745</v>
      </c>
      <c r="C6630" s="9">
        <f>IFERROR(__xludf.DUMMYFUNCTION("""COMPUTED_VALUE"""),5.97)</f>
        <v>5.97</v>
      </c>
      <c r="H6630" s="17"/>
      <c r="K6630" s="17"/>
      <c r="N6630" s="17"/>
    </row>
    <row r="6631">
      <c r="B6631" s="11">
        <f>IFERROR(__xludf.DUMMYFUNCTION("""COMPUTED_VALUE"""),36742.0)</f>
        <v>36742</v>
      </c>
      <c r="C6631" s="9">
        <f>IFERROR(__xludf.DUMMYFUNCTION("""COMPUTED_VALUE"""),5.91)</f>
        <v>5.91</v>
      </c>
      <c r="H6631" s="17"/>
      <c r="K6631" s="17"/>
      <c r="N6631" s="17"/>
    </row>
    <row r="6632">
      <c r="B6632" s="11">
        <f>IFERROR(__xludf.DUMMYFUNCTION("""COMPUTED_VALUE"""),36741.0)</f>
        <v>36741</v>
      </c>
      <c r="C6632" s="9">
        <f>IFERROR(__xludf.DUMMYFUNCTION("""COMPUTED_VALUE"""),5.95)</f>
        <v>5.95</v>
      </c>
      <c r="H6632" s="17"/>
      <c r="K6632" s="17"/>
      <c r="N6632" s="17"/>
    </row>
    <row r="6633">
      <c r="B6633" s="11">
        <f>IFERROR(__xludf.DUMMYFUNCTION("""COMPUTED_VALUE"""),36740.0)</f>
        <v>36740</v>
      </c>
      <c r="C6633" s="9">
        <f>IFERROR(__xludf.DUMMYFUNCTION("""COMPUTED_VALUE"""),5.98)</f>
        <v>5.98</v>
      </c>
      <c r="H6633" s="17"/>
      <c r="K6633" s="17"/>
      <c r="N6633" s="17"/>
    </row>
    <row r="6634">
      <c r="B6634" s="11">
        <f>IFERROR(__xludf.DUMMYFUNCTION("""COMPUTED_VALUE"""),36739.0)</f>
        <v>36739</v>
      </c>
      <c r="C6634" s="9">
        <f>IFERROR(__xludf.DUMMYFUNCTION("""COMPUTED_VALUE"""),6.0)</f>
        <v>6</v>
      </c>
      <c r="H6634" s="17"/>
      <c r="K6634" s="17"/>
      <c r="N6634" s="17"/>
    </row>
    <row r="6635">
      <c r="B6635" s="11">
        <f>IFERROR(__xludf.DUMMYFUNCTION("""COMPUTED_VALUE"""),36738.0)</f>
        <v>36738</v>
      </c>
      <c r="C6635" s="9">
        <f>IFERROR(__xludf.DUMMYFUNCTION("""COMPUTED_VALUE"""),6.04)</f>
        <v>6.04</v>
      </c>
      <c r="H6635" s="17"/>
      <c r="K6635" s="17"/>
      <c r="N6635" s="17"/>
    </row>
    <row r="6636">
      <c r="B6636" s="11">
        <f>IFERROR(__xludf.DUMMYFUNCTION("""COMPUTED_VALUE"""),36735.0)</f>
        <v>36735</v>
      </c>
      <c r="C6636" s="9">
        <f>IFERROR(__xludf.DUMMYFUNCTION("""COMPUTED_VALUE"""),6.04)</f>
        <v>6.04</v>
      </c>
      <c r="H6636" s="17"/>
      <c r="K6636" s="17"/>
      <c r="N6636" s="17"/>
    </row>
    <row r="6637">
      <c r="B6637" s="11">
        <f>IFERROR(__xludf.DUMMYFUNCTION("""COMPUTED_VALUE"""),36734.0)</f>
        <v>36734</v>
      </c>
      <c r="C6637" s="9">
        <f>IFERROR(__xludf.DUMMYFUNCTION("""COMPUTED_VALUE"""),6.02)</f>
        <v>6.02</v>
      </c>
      <c r="H6637" s="17"/>
      <c r="K6637" s="17"/>
      <c r="N6637" s="17"/>
    </row>
    <row r="6638">
      <c r="B6638" s="11">
        <f>IFERROR(__xludf.DUMMYFUNCTION("""COMPUTED_VALUE"""),36733.0)</f>
        <v>36733</v>
      </c>
      <c r="C6638" s="9">
        <f>IFERROR(__xludf.DUMMYFUNCTION("""COMPUTED_VALUE"""),6.04)</f>
        <v>6.04</v>
      </c>
      <c r="H6638" s="17"/>
      <c r="K6638" s="17"/>
      <c r="N6638" s="17"/>
    </row>
    <row r="6639">
      <c r="B6639" s="11">
        <f>IFERROR(__xludf.DUMMYFUNCTION("""COMPUTED_VALUE"""),36732.0)</f>
        <v>36732</v>
      </c>
      <c r="C6639" s="9">
        <f>IFERROR(__xludf.DUMMYFUNCTION("""COMPUTED_VALUE"""),6.04)</f>
        <v>6.04</v>
      </c>
      <c r="H6639" s="17"/>
      <c r="K6639" s="17"/>
      <c r="N6639" s="17"/>
    </row>
    <row r="6640">
      <c r="B6640" s="11">
        <f>IFERROR(__xludf.DUMMYFUNCTION("""COMPUTED_VALUE"""),36731.0)</f>
        <v>36731</v>
      </c>
      <c r="C6640" s="9">
        <f>IFERROR(__xludf.DUMMYFUNCTION("""COMPUTED_VALUE"""),6.04)</f>
        <v>6.04</v>
      </c>
      <c r="H6640" s="17"/>
      <c r="K6640" s="17"/>
      <c r="N6640" s="17"/>
    </row>
    <row r="6641">
      <c r="B6641" s="11">
        <f>IFERROR(__xludf.DUMMYFUNCTION("""COMPUTED_VALUE"""),36728.0)</f>
        <v>36728</v>
      </c>
      <c r="C6641" s="9">
        <f>IFERROR(__xludf.DUMMYFUNCTION("""COMPUTED_VALUE"""),6.01)</f>
        <v>6.01</v>
      </c>
      <c r="H6641" s="17"/>
      <c r="K6641" s="17"/>
      <c r="N6641" s="17"/>
    </row>
    <row r="6642">
      <c r="B6642" s="11">
        <f>IFERROR(__xludf.DUMMYFUNCTION("""COMPUTED_VALUE"""),36727.0)</f>
        <v>36727</v>
      </c>
      <c r="C6642" s="9">
        <f>IFERROR(__xludf.DUMMYFUNCTION("""COMPUTED_VALUE"""),6.01)</f>
        <v>6.01</v>
      </c>
      <c r="H6642" s="17"/>
      <c r="K6642" s="17"/>
      <c r="N6642" s="17"/>
    </row>
    <row r="6643">
      <c r="B6643" s="11">
        <f>IFERROR(__xludf.DUMMYFUNCTION("""COMPUTED_VALUE"""),36726.0)</f>
        <v>36726</v>
      </c>
      <c r="C6643" s="9">
        <f>IFERROR(__xludf.DUMMYFUNCTION("""COMPUTED_VALUE"""),6.16)</f>
        <v>6.16</v>
      </c>
      <c r="H6643" s="17"/>
      <c r="K6643" s="17"/>
      <c r="N6643" s="17"/>
    </row>
    <row r="6644">
      <c r="B6644" s="11">
        <f>IFERROR(__xludf.DUMMYFUNCTION("""COMPUTED_VALUE"""),36725.0)</f>
        <v>36725</v>
      </c>
      <c r="C6644" s="9">
        <f>IFERROR(__xludf.DUMMYFUNCTION("""COMPUTED_VALUE"""),6.16)</f>
        <v>6.16</v>
      </c>
      <c r="H6644" s="17"/>
      <c r="K6644" s="17"/>
      <c r="N6644" s="17"/>
    </row>
    <row r="6645">
      <c r="B6645" s="11">
        <f>IFERROR(__xludf.DUMMYFUNCTION("""COMPUTED_VALUE"""),36724.0)</f>
        <v>36724</v>
      </c>
      <c r="C6645" s="9">
        <f>IFERROR(__xludf.DUMMYFUNCTION("""COMPUTED_VALUE"""),6.17)</f>
        <v>6.17</v>
      </c>
      <c r="H6645" s="17"/>
      <c r="K6645" s="17"/>
      <c r="N6645" s="17"/>
    </row>
    <row r="6646">
      <c r="B6646" s="11">
        <f>IFERROR(__xludf.DUMMYFUNCTION("""COMPUTED_VALUE"""),36721.0)</f>
        <v>36721</v>
      </c>
      <c r="C6646" s="9">
        <f>IFERROR(__xludf.DUMMYFUNCTION("""COMPUTED_VALUE"""),6.1)</f>
        <v>6.1</v>
      </c>
      <c r="H6646" s="17"/>
      <c r="K6646" s="17"/>
      <c r="N6646" s="17"/>
    </row>
    <row r="6647">
      <c r="B6647" s="11">
        <f>IFERROR(__xludf.DUMMYFUNCTION("""COMPUTED_VALUE"""),36720.0)</f>
        <v>36720</v>
      </c>
      <c r="C6647" s="9">
        <f>IFERROR(__xludf.DUMMYFUNCTION("""COMPUTED_VALUE"""),6.01)</f>
        <v>6.01</v>
      </c>
      <c r="H6647" s="17"/>
      <c r="K6647" s="17"/>
      <c r="N6647" s="17"/>
    </row>
    <row r="6648">
      <c r="B6648" s="11">
        <f>IFERROR(__xludf.DUMMYFUNCTION("""COMPUTED_VALUE"""),36719.0)</f>
        <v>36719</v>
      </c>
      <c r="C6648" s="9">
        <f>IFERROR(__xludf.DUMMYFUNCTION("""COMPUTED_VALUE"""),6.09)</f>
        <v>6.09</v>
      </c>
      <c r="H6648" s="17"/>
      <c r="K6648" s="17"/>
      <c r="N6648" s="17"/>
    </row>
    <row r="6649">
      <c r="B6649" s="11">
        <f>IFERROR(__xludf.DUMMYFUNCTION("""COMPUTED_VALUE"""),36718.0)</f>
        <v>36718</v>
      </c>
      <c r="C6649" s="9">
        <f>IFERROR(__xludf.DUMMYFUNCTION("""COMPUTED_VALUE"""),6.06)</f>
        <v>6.06</v>
      </c>
      <c r="H6649" s="17"/>
      <c r="K6649" s="17"/>
      <c r="N6649" s="17"/>
    </row>
    <row r="6650">
      <c r="B6650" s="11">
        <f>IFERROR(__xludf.DUMMYFUNCTION("""COMPUTED_VALUE"""),36717.0)</f>
        <v>36717</v>
      </c>
      <c r="C6650" s="9">
        <f>IFERROR(__xludf.DUMMYFUNCTION("""COMPUTED_VALUE"""),6.04)</f>
        <v>6.04</v>
      </c>
      <c r="H6650" s="17"/>
      <c r="K6650" s="17"/>
      <c r="N6650" s="17"/>
    </row>
    <row r="6651">
      <c r="B6651" s="11">
        <f>IFERROR(__xludf.DUMMYFUNCTION("""COMPUTED_VALUE"""),36714.0)</f>
        <v>36714</v>
      </c>
      <c r="C6651" s="9">
        <f>IFERROR(__xludf.DUMMYFUNCTION("""COMPUTED_VALUE"""),6.01)</f>
        <v>6.01</v>
      </c>
      <c r="H6651" s="17"/>
      <c r="K6651" s="17"/>
      <c r="N6651" s="17"/>
    </row>
    <row r="6652">
      <c r="B6652" s="11">
        <f>IFERROR(__xludf.DUMMYFUNCTION("""COMPUTED_VALUE"""),36713.0)</f>
        <v>36713</v>
      </c>
      <c r="C6652" s="9">
        <f>IFERROR(__xludf.DUMMYFUNCTION("""COMPUTED_VALUE"""),6.05)</f>
        <v>6.05</v>
      </c>
      <c r="H6652" s="17"/>
      <c r="K6652" s="17"/>
      <c r="N6652" s="17"/>
    </row>
    <row r="6653">
      <c r="B6653" s="11">
        <f>IFERROR(__xludf.DUMMYFUNCTION("""COMPUTED_VALUE"""),36712.0)</f>
        <v>36712</v>
      </c>
      <c r="C6653" s="9">
        <f>IFERROR(__xludf.DUMMYFUNCTION("""COMPUTED_VALUE"""),5.99)</f>
        <v>5.99</v>
      </c>
      <c r="H6653" s="17"/>
      <c r="K6653" s="17"/>
      <c r="N6653" s="17"/>
    </row>
    <row r="6654">
      <c r="B6654" s="11">
        <f>IFERROR(__xludf.DUMMYFUNCTION("""COMPUTED_VALUE"""),36711.0)</f>
        <v>36711</v>
      </c>
      <c r="C6654" s="9"/>
      <c r="H6654" s="17"/>
      <c r="K6654" s="17"/>
      <c r="N6654" s="17"/>
    </row>
    <row r="6655">
      <c r="B6655" s="11">
        <f>IFERROR(__xludf.DUMMYFUNCTION("""COMPUTED_VALUE"""),36710.0)</f>
        <v>36710</v>
      </c>
      <c r="C6655" s="9">
        <f>IFERROR(__xludf.DUMMYFUNCTION("""COMPUTED_VALUE"""),6.0)</f>
        <v>6</v>
      </c>
      <c r="H6655" s="17"/>
      <c r="K6655" s="17"/>
      <c r="N6655" s="17"/>
    </row>
    <row r="6656">
      <c r="B6656" s="11">
        <f>IFERROR(__xludf.DUMMYFUNCTION("""COMPUTED_VALUE"""),36707.0)</f>
        <v>36707</v>
      </c>
      <c r="C6656" s="9">
        <f>IFERROR(__xludf.DUMMYFUNCTION("""COMPUTED_VALUE"""),6.03)</f>
        <v>6.03</v>
      </c>
      <c r="H6656" s="17"/>
      <c r="K6656" s="17"/>
      <c r="N6656" s="17"/>
    </row>
    <row r="6657">
      <c r="B6657" s="11">
        <f>IFERROR(__xludf.DUMMYFUNCTION("""COMPUTED_VALUE"""),36706.0)</f>
        <v>36706</v>
      </c>
      <c r="C6657" s="9">
        <f>IFERROR(__xludf.DUMMYFUNCTION("""COMPUTED_VALUE"""),6.04)</f>
        <v>6.04</v>
      </c>
      <c r="H6657" s="17"/>
      <c r="K6657" s="17"/>
      <c r="N6657" s="17"/>
    </row>
    <row r="6658">
      <c r="B6658" s="11">
        <f>IFERROR(__xludf.DUMMYFUNCTION("""COMPUTED_VALUE"""),36705.0)</f>
        <v>36705</v>
      </c>
      <c r="C6658" s="9">
        <f>IFERROR(__xludf.DUMMYFUNCTION("""COMPUTED_VALUE"""),6.11)</f>
        <v>6.11</v>
      </c>
      <c r="H6658" s="17"/>
      <c r="K6658" s="17"/>
      <c r="N6658" s="17"/>
    </row>
    <row r="6659">
      <c r="B6659" s="11">
        <f>IFERROR(__xludf.DUMMYFUNCTION("""COMPUTED_VALUE"""),36704.0)</f>
        <v>36704</v>
      </c>
      <c r="C6659" s="9">
        <f>IFERROR(__xludf.DUMMYFUNCTION("""COMPUTED_VALUE"""),6.1)</f>
        <v>6.1</v>
      </c>
      <c r="H6659" s="17"/>
      <c r="K6659" s="17"/>
      <c r="N6659" s="17"/>
    </row>
    <row r="6660">
      <c r="B6660" s="11">
        <f>IFERROR(__xludf.DUMMYFUNCTION("""COMPUTED_VALUE"""),36703.0)</f>
        <v>36703</v>
      </c>
      <c r="C6660" s="9">
        <f>IFERROR(__xludf.DUMMYFUNCTION("""COMPUTED_VALUE"""),6.11)</f>
        <v>6.11</v>
      </c>
      <c r="H6660" s="17"/>
      <c r="K6660" s="17"/>
      <c r="N6660" s="17"/>
    </row>
    <row r="6661">
      <c r="B6661" s="11">
        <f>IFERROR(__xludf.DUMMYFUNCTION("""COMPUTED_VALUE"""),36700.0)</f>
        <v>36700</v>
      </c>
      <c r="C6661" s="9">
        <f>IFERROR(__xludf.DUMMYFUNCTION("""COMPUTED_VALUE"""),6.19)</f>
        <v>6.19</v>
      </c>
      <c r="H6661" s="17"/>
      <c r="K6661" s="17"/>
      <c r="N6661" s="17"/>
    </row>
    <row r="6662">
      <c r="B6662" s="11">
        <f>IFERROR(__xludf.DUMMYFUNCTION("""COMPUTED_VALUE"""),36699.0)</f>
        <v>36699</v>
      </c>
      <c r="C6662" s="9">
        <f>IFERROR(__xludf.DUMMYFUNCTION("""COMPUTED_VALUE"""),6.12)</f>
        <v>6.12</v>
      </c>
      <c r="H6662" s="17"/>
      <c r="K6662" s="17"/>
      <c r="N6662" s="17"/>
    </row>
    <row r="6663">
      <c r="B6663" s="11">
        <f>IFERROR(__xludf.DUMMYFUNCTION("""COMPUTED_VALUE"""),36698.0)</f>
        <v>36698</v>
      </c>
      <c r="C6663" s="9">
        <f>IFERROR(__xludf.DUMMYFUNCTION("""COMPUTED_VALUE"""),6.11)</f>
        <v>6.11</v>
      </c>
      <c r="H6663" s="17"/>
      <c r="K6663" s="17"/>
      <c r="N6663" s="17"/>
    </row>
    <row r="6664">
      <c r="B6664" s="11">
        <f>IFERROR(__xludf.DUMMYFUNCTION("""COMPUTED_VALUE"""),36697.0)</f>
        <v>36697</v>
      </c>
      <c r="C6664" s="9">
        <f>IFERROR(__xludf.DUMMYFUNCTION("""COMPUTED_VALUE"""),6.03)</f>
        <v>6.03</v>
      </c>
      <c r="H6664" s="17"/>
      <c r="K6664" s="17"/>
      <c r="N6664" s="17"/>
    </row>
    <row r="6665">
      <c r="B6665" s="11">
        <f>IFERROR(__xludf.DUMMYFUNCTION("""COMPUTED_VALUE"""),36696.0)</f>
        <v>36696</v>
      </c>
      <c r="C6665" s="9">
        <f>IFERROR(__xludf.DUMMYFUNCTION("""COMPUTED_VALUE"""),6.0)</f>
        <v>6</v>
      </c>
      <c r="H6665" s="17"/>
      <c r="K6665" s="17"/>
      <c r="N6665" s="17"/>
    </row>
    <row r="6666">
      <c r="B6666" s="11">
        <f>IFERROR(__xludf.DUMMYFUNCTION("""COMPUTED_VALUE"""),36693.0)</f>
        <v>36693</v>
      </c>
      <c r="C6666" s="9">
        <f>IFERROR(__xludf.DUMMYFUNCTION("""COMPUTED_VALUE"""),5.99)</f>
        <v>5.99</v>
      </c>
      <c r="H6666" s="17"/>
      <c r="K6666" s="17"/>
      <c r="N6666" s="17"/>
    </row>
    <row r="6667">
      <c r="B6667" s="11">
        <f>IFERROR(__xludf.DUMMYFUNCTION("""COMPUTED_VALUE"""),36692.0)</f>
        <v>36692</v>
      </c>
      <c r="C6667" s="9">
        <f>IFERROR(__xludf.DUMMYFUNCTION("""COMPUTED_VALUE"""),6.05)</f>
        <v>6.05</v>
      </c>
      <c r="H6667" s="17"/>
      <c r="K6667" s="17"/>
      <c r="N6667" s="17"/>
    </row>
    <row r="6668">
      <c r="B6668" s="11">
        <f>IFERROR(__xludf.DUMMYFUNCTION("""COMPUTED_VALUE"""),36691.0)</f>
        <v>36691</v>
      </c>
      <c r="C6668" s="9">
        <f>IFERROR(__xludf.DUMMYFUNCTION("""COMPUTED_VALUE"""),6.06)</f>
        <v>6.06</v>
      </c>
      <c r="H6668" s="17"/>
      <c r="K6668" s="17"/>
      <c r="N6668" s="17"/>
    </row>
    <row r="6669">
      <c r="B6669" s="11">
        <f>IFERROR(__xludf.DUMMYFUNCTION("""COMPUTED_VALUE"""),36690.0)</f>
        <v>36690</v>
      </c>
      <c r="C6669" s="9">
        <f>IFERROR(__xludf.DUMMYFUNCTION("""COMPUTED_VALUE"""),6.11)</f>
        <v>6.11</v>
      </c>
      <c r="H6669" s="17"/>
      <c r="K6669" s="17"/>
      <c r="N6669" s="17"/>
    </row>
    <row r="6670">
      <c r="B6670" s="11">
        <f>IFERROR(__xludf.DUMMYFUNCTION("""COMPUTED_VALUE"""),36689.0)</f>
        <v>36689</v>
      </c>
      <c r="C6670" s="9">
        <f>IFERROR(__xludf.DUMMYFUNCTION("""COMPUTED_VALUE"""),6.09)</f>
        <v>6.09</v>
      </c>
      <c r="H6670" s="17"/>
      <c r="K6670" s="17"/>
      <c r="N6670" s="17"/>
    </row>
    <row r="6671">
      <c r="B6671" s="11">
        <f>IFERROR(__xludf.DUMMYFUNCTION("""COMPUTED_VALUE"""),36686.0)</f>
        <v>36686</v>
      </c>
      <c r="C6671" s="9">
        <f>IFERROR(__xludf.DUMMYFUNCTION("""COMPUTED_VALUE"""),6.13)</f>
        <v>6.13</v>
      </c>
      <c r="H6671" s="17"/>
      <c r="K6671" s="17"/>
      <c r="N6671" s="17"/>
    </row>
    <row r="6672">
      <c r="B6672" s="11">
        <f>IFERROR(__xludf.DUMMYFUNCTION("""COMPUTED_VALUE"""),36685.0)</f>
        <v>36685</v>
      </c>
      <c r="C6672" s="9">
        <f>IFERROR(__xludf.DUMMYFUNCTION("""COMPUTED_VALUE"""),6.13)</f>
        <v>6.13</v>
      </c>
      <c r="H6672" s="17"/>
      <c r="K6672" s="17"/>
      <c r="N6672" s="17"/>
    </row>
    <row r="6673">
      <c r="B6673" s="11">
        <f>IFERROR(__xludf.DUMMYFUNCTION("""COMPUTED_VALUE"""),36684.0)</f>
        <v>36684</v>
      </c>
      <c r="C6673" s="9">
        <f>IFERROR(__xludf.DUMMYFUNCTION("""COMPUTED_VALUE"""),6.13)</f>
        <v>6.13</v>
      </c>
      <c r="H6673" s="17"/>
      <c r="K6673" s="17"/>
      <c r="N6673" s="17"/>
    </row>
    <row r="6674">
      <c r="B6674" s="11">
        <f>IFERROR(__xludf.DUMMYFUNCTION("""COMPUTED_VALUE"""),36683.0)</f>
        <v>36683</v>
      </c>
      <c r="C6674" s="9">
        <f>IFERROR(__xludf.DUMMYFUNCTION("""COMPUTED_VALUE"""),6.14)</f>
        <v>6.14</v>
      </c>
      <c r="H6674" s="17"/>
      <c r="K6674" s="17"/>
      <c r="N6674" s="17"/>
    </row>
    <row r="6675">
      <c r="B6675" s="11">
        <f>IFERROR(__xludf.DUMMYFUNCTION("""COMPUTED_VALUE"""),36682.0)</f>
        <v>36682</v>
      </c>
      <c r="C6675" s="9">
        <f>IFERROR(__xludf.DUMMYFUNCTION("""COMPUTED_VALUE"""),6.12)</f>
        <v>6.12</v>
      </c>
      <c r="H6675" s="17"/>
      <c r="K6675" s="17"/>
      <c r="N6675" s="17"/>
    </row>
    <row r="6676">
      <c r="B6676" s="11">
        <f>IFERROR(__xludf.DUMMYFUNCTION("""COMPUTED_VALUE"""),36679.0)</f>
        <v>36679</v>
      </c>
      <c r="C6676" s="9">
        <f>IFERROR(__xludf.DUMMYFUNCTION("""COMPUTED_VALUE"""),6.15)</f>
        <v>6.15</v>
      </c>
      <c r="H6676" s="17"/>
      <c r="K6676" s="17"/>
      <c r="N6676" s="17"/>
    </row>
    <row r="6677">
      <c r="B6677" s="11">
        <f>IFERROR(__xludf.DUMMYFUNCTION("""COMPUTED_VALUE"""),36678.0)</f>
        <v>36678</v>
      </c>
      <c r="C6677" s="9">
        <f>IFERROR(__xludf.DUMMYFUNCTION("""COMPUTED_VALUE"""),6.2)</f>
        <v>6.2</v>
      </c>
      <c r="H6677" s="17"/>
      <c r="K6677" s="17"/>
      <c r="N6677" s="17"/>
    </row>
    <row r="6678">
      <c r="B6678" s="11">
        <f>IFERROR(__xludf.DUMMYFUNCTION("""COMPUTED_VALUE"""),36677.0)</f>
        <v>36677</v>
      </c>
      <c r="C6678" s="9">
        <f>IFERROR(__xludf.DUMMYFUNCTION("""COMPUTED_VALUE"""),6.29)</f>
        <v>6.29</v>
      </c>
      <c r="H6678" s="17"/>
      <c r="K6678" s="17"/>
      <c r="N6678" s="17"/>
    </row>
    <row r="6679">
      <c r="B6679" s="11">
        <f>IFERROR(__xludf.DUMMYFUNCTION("""COMPUTED_VALUE"""),36676.0)</f>
        <v>36676</v>
      </c>
      <c r="C6679" s="9">
        <f>IFERROR(__xludf.DUMMYFUNCTION("""COMPUTED_VALUE"""),6.38)</f>
        <v>6.38</v>
      </c>
      <c r="H6679" s="17"/>
      <c r="K6679" s="17"/>
      <c r="N6679" s="17"/>
    </row>
    <row r="6680">
      <c r="B6680" s="11">
        <f>IFERROR(__xludf.DUMMYFUNCTION("""COMPUTED_VALUE"""),36675.0)</f>
        <v>36675</v>
      </c>
      <c r="C6680" s="9"/>
      <c r="H6680" s="17"/>
      <c r="K6680" s="17"/>
      <c r="N6680" s="17"/>
    </row>
    <row r="6681">
      <c r="B6681" s="11">
        <f>IFERROR(__xludf.DUMMYFUNCTION("""COMPUTED_VALUE"""),36672.0)</f>
        <v>36672</v>
      </c>
      <c r="C6681" s="9">
        <f>IFERROR(__xludf.DUMMYFUNCTION("""COMPUTED_VALUE"""),6.33)</f>
        <v>6.33</v>
      </c>
      <c r="H6681" s="17"/>
      <c r="K6681" s="17"/>
      <c r="N6681" s="17"/>
    </row>
    <row r="6682">
      <c r="B6682" s="11">
        <f>IFERROR(__xludf.DUMMYFUNCTION("""COMPUTED_VALUE"""),36671.0)</f>
        <v>36671</v>
      </c>
      <c r="C6682" s="9">
        <f>IFERROR(__xludf.DUMMYFUNCTION("""COMPUTED_VALUE"""),6.39)</f>
        <v>6.39</v>
      </c>
      <c r="H6682" s="17"/>
      <c r="K6682" s="17"/>
      <c r="N6682" s="17"/>
    </row>
    <row r="6683">
      <c r="B6683" s="11">
        <f>IFERROR(__xludf.DUMMYFUNCTION("""COMPUTED_VALUE"""),36670.0)</f>
        <v>36670</v>
      </c>
      <c r="C6683" s="9">
        <f>IFERROR(__xludf.DUMMYFUNCTION("""COMPUTED_VALUE"""),6.47)</f>
        <v>6.47</v>
      </c>
      <c r="H6683" s="17"/>
      <c r="K6683" s="17"/>
      <c r="N6683" s="17"/>
    </row>
    <row r="6684">
      <c r="B6684" s="11">
        <f>IFERROR(__xludf.DUMMYFUNCTION("""COMPUTED_VALUE"""),36669.0)</f>
        <v>36669</v>
      </c>
      <c r="C6684" s="9">
        <f>IFERROR(__xludf.DUMMYFUNCTION("""COMPUTED_VALUE"""),6.45)</f>
        <v>6.45</v>
      </c>
      <c r="H6684" s="17"/>
      <c r="K6684" s="17"/>
      <c r="N6684" s="17"/>
    </row>
    <row r="6685">
      <c r="B6685" s="11">
        <f>IFERROR(__xludf.DUMMYFUNCTION("""COMPUTED_VALUE"""),36668.0)</f>
        <v>36668</v>
      </c>
      <c r="C6685" s="9">
        <f>IFERROR(__xludf.DUMMYFUNCTION("""COMPUTED_VALUE"""),6.44)</f>
        <v>6.44</v>
      </c>
      <c r="H6685" s="17"/>
      <c r="K6685" s="17"/>
      <c r="N6685" s="17"/>
    </row>
    <row r="6686">
      <c r="B6686" s="11">
        <f>IFERROR(__xludf.DUMMYFUNCTION("""COMPUTED_VALUE"""),36665.0)</f>
        <v>36665</v>
      </c>
      <c r="C6686" s="9">
        <f>IFERROR(__xludf.DUMMYFUNCTION("""COMPUTED_VALUE"""),6.51)</f>
        <v>6.51</v>
      </c>
      <c r="H6686" s="17"/>
      <c r="K6686" s="17"/>
      <c r="N6686" s="17"/>
    </row>
    <row r="6687">
      <c r="B6687" s="11">
        <f>IFERROR(__xludf.DUMMYFUNCTION("""COMPUTED_VALUE"""),36664.0)</f>
        <v>36664</v>
      </c>
      <c r="C6687" s="9">
        <f>IFERROR(__xludf.DUMMYFUNCTION("""COMPUTED_VALUE"""),6.56)</f>
        <v>6.56</v>
      </c>
      <c r="H6687" s="17"/>
      <c r="K6687" s="17"/>
      <c r="N6687" s="17"/>
    </row>
    <row r="6688">
      <c r="B6688" s="11">
        <f>IFERROR(__xludf.DUMMYFUNCTION("""COMPUTED_VALUE"""),36663.0)</f>
        <v>36663</v>
      </c>
      <c r="C6688" s="9">
        <f>IFERROR(__xludf.DUMMYFUNCTION("""COMPUTED_VALUE"""),6.48)</f>
        <v>6.48</v>
      </c>
      <c r="H6688" s="17"/>
      <c r="K6688" s="17"/>
      <c r="N6688" s="17"/>
    </row>
    <row r="6689">
      <c r="B6689" s="11">
        <f>IFERROR(__xludf.DUMMYFUNCTION("""COMPUTED_VALUE"""),36662.0)</f>
        <v>36662</v>
      </c>
      <c r="C6689" s="9">
        <f>IFERROR(__xludf.DUMMYFUNCTION("""COMPUTED_VALUE"""),6.43)</f>
        <v>6.43</v>
      </c>
      <c r="H6689" s="17"/>
      <c r="K6689" s="17"/>
      <c r="N6689" s="17"/>
    </row>
    <row r="6690">
      <c r="B6690" s="11">
        <f>IFERROR(__xludf.DUMMYFUNCTION("""COMPUTED_VALUE"""),36661.0)</f>
        <v>36661</v>
      </c>
      <c r="C6690" s="9">
        <f>IFERROR(__xludf.DUMMYFUNCTION("""COMPUTED_VALUE"""),6.47)</f>
        <v>6.47</v>
      </c>
      <c r="H6690" s="17"/>
      <c r="K6690" s="17"/>
      <c r="N6690" s="17"/>
    </row>
    <row r="6691">
      <c r="B6691" s="11">
        <f>IFERROR(__xludf.DUMMYFUNCTION("""COMPUTED_VALUE"""),36658.0)</f>
        <v>36658</v>
      </c>
      <c r="C6691" s="9">
        <f>IFERROR(__xludf.DUMMYFUNCTION("""COMPUTED_VALUE"""),6.51)</f>
        <v>6.51</v>
      </c>
      <c r="H6691" s="17"/>
      <c r="K6691" s="17"/>
      <c r="N6691" s="17"/>
    </row>
    <row r="6692">
      <c r="B6692" s="11">
        <f>IFERROR(__xludf.DUMMYFUNCTION("""COMPUTED_VALUE"""),36657.0)</f>
        <v>36657</v>
      </c>
      <c r="C6692" s="9">
        <f>IFERROR(__xludf.DUMMYFUNCTION("""COMPUTED_VALUE"""),6.43)</f>
        <v>6.43</v>
      </c>
      <c r="H6692" s="17"/>
      <c r="K6692" s="17"/>
      <c r="N6692" s="17"/>
    </row>
    <row r="6693">
      <c r="B6693" s="11">
        <f>IFERROR(__xludf.DUMMYFUNCTION("""COMPUTED_VALUE"""),36656.0)</f>
        <v>36656</v>
      </c>
      <c r="C6693" s="9">
        <f>IFERROR(__xludf.DUMMYFUNCTION("""COMPUTED_VALUE"""),6.47)</f>
        <v>6.47</v>
      </c>
      <c r="H6693" s="17"/>
      <c r="K6693" s="17"/>
      <c r="N6693" s="17"/>
    </row>
    <row r="6694">
      <c r="B6694" s="11">
        <f>IFERROR(__xludf.DUMMYFUNCTION("""COMPUTED_VALUE"""),36655.0)</f>
        <v>36655</v>
      </c>
      <c r="C6694" s="9">
        <f>IFERROR(__xludf.DUMMYFUNCTION("""COMPUTED_VALUE"""),6.53)</f>
        <v>6.53</v>
      </c>
      <c r="H6694" s="17"/>
      <c r="K6694" s="17"/>
      <c r="N6694" s="17"/>
    </row>
    <row r="6695">
      <c r="B6695" s="11">
        <f>IFERROR(__xludf.DUMMYFUNCTION("""COMPUTED_VALUE"""),36654.0)</f>
        <v>36654</v>
      </c>
      <c r="C6695" s="9">
        <f>IFERROR(__xludf.DUMMYFUNCTION("""COMPUTED_VALUE"""),6.57)</f>
        <v>6.57</v>
      </c>
      <c r="H6695" s="17"/>
      <c r="K6695" s="17"/>
      <c r="N6695" s="17"/>
    </row>
    <row r="6696">
      <c r="B6696" s="11">
        <f>IFERROR(__xludf.DUMMYFUNCTION("""COMPUTED_VALUE"""),36651.0)</f>
        <v>36651</v>
      </c>
      <c r="C6696" s="9">
        <f>IFERROR(__xludf.DUMMYFUNCTION("""COMPUTED_VALUE"""),6.51)</f>
        <v>6.51</v>
      </c>
      <c r="H6696" s="17"/>
      <c r="K6696" s="17"/>
      <c r="N6696" s="17"/>
    </row>
    <row r="6697">
      <c r="B6697" s="11">
        <f>IFERROR(__xludf.DUMMYFUNCTION("""COMPUTED_VALUE"""),36650.0)</f>
        <v>36650</v>
      </c>
      <c r="C6697" s="9">
        <f>IFERROR(__xludf.DUMMYFUNCTION("""COMPUTED_VALUE"""),6.46)</f>
        <v>6.46</v>
      </c>
      <c r="H6697" s="17"/>
      <c r="K6697" s="17"/>
      <c r="N6697" s="17"/>
    </row>
    <row r="6698">
      <c r="B6698" s="11">
        <f>IFERROR(__xludf.DUMMYFUNCTION("""COMPUTED_VALUE"""),36649.0)</f>
        <v>36649</v>
      </c>
      <c r="C6698" s="9">
        <f>IFERROR(__xludf.DUMMYFUNCTION("""COMPUTED_VALUE"""),6.4)</f>
        <v>6.4</v>
      </c>
      <c r="H6698" s="17"/>
      <c r="K6698" s="17"/>
      <c r="N6698" s="17"/>
    </row>
    <row r="6699">
      <c r="B6699" s="11">
        <f>IFERROR(__xludf.DUMMYFUNCTION("""COMPUTED_VALUE"""),36648.0)</f>
        <v>36648</v>
      </c>
      <c r="C6699" s="9">
        <f>IFERROR(__xludf.DUMMYFUNCTION("""COMPUTED_VALUE"""),6.32)</f>
        <v>6.32</v>
      </c>
      <c r="H6699" s="17"/>
      <c r="K6699" s="17"/>
      <c r="N6699" s="17"/>
    </row>
    <row r="6700">
      <c r="B6700" s="11">
        <f>IFERROR(__xludf.DUMMYFUNCTION("""COMPUTED_VALUE"""),36647.0)</f>
        <v>36647</v>
      </c>
      <c r="C6700" s="9">
        <f>IFERROR(__xludf.DUMMYFUNCTION("""COMPUTED_VALUE"""),6.29)</f>
        <v>6.29</v>
      </c>
      <c r="H6700" s="17"/>
      <c r="K6700" s="17"/>
      <c r="N6700" s="17"/>
    </row>
    <row r="6701">
      <c r="B6701" s="11">
        <f>IFERROR(__xludf.DUMMYFUNCTION("""COMPUTED_VALUE"""),36644.0)</f>
        <v>36644</v>
      </c>
      <c r="C6701" s="9">
        <f>IFERROR(__xludf.DUMMYFUNCTION("""COMPUTED_VALUE"""),6.23)</f>
        <v>6.23</v>
      </c>
      <c r="H6701" s="17"/>
      <c r="K6701" s="17"/>
      <c r="N6701" s="17"/>
    </row>
    <row r="6702">
      <c r="B6702" s="11">
        <f>IFERROR(__xludf.DUMMYFUNCTION("""COMPUTED_VALUE"""),36643.0)</f>
        <v>36643</v>
      </c>
      <c r="C6702" s="9">
        <f>IFERROR(__xludf.DUMMYFUNCTION("""COMPUTED_VALUE"""),6.23)</f>
        <v>6.23</v>
      </c>
      <c r="H6702" s="17"/>
      <c r="K6702" s="17"/>
      <c r="N6702" s="17"/>
    </row>
    <row r="6703">
      <c r="B6703" s="11">
        <f>IFERROR(__xludf.DUMMYFUNCTION("""COMPUTED_VALUE"""),36642.0)</f>
        <v>36642</v>
      </c>
      <c r="C6703" s="9">
        <f>IFERROR(__xludf.DUMMYFUNCTION("""COMPUTED_VALUE"""),6.14)</f>
        <v>6.14</v>
      </c>
      <c r="H6703" s="17"/>
      <c r="K6703" s="17"/>
      <c r="N6703" s="17"/>
    </row>
    <row r="6704">
      <c r="B6704" s="11">
        <f>IFERROR(__xludf.DUMMYFUNCTION("""COMPUTED_VALUE"""),36641.0)</f>
        <v>36641</v>
      </c>
      <c r="C6704" s="9">
        <f>IFERROR(__xludf.DUMMYFUNCTION("""COMPUTED_VALUE"""),6.14)</f>
        <v>6.14</v>
      </c>
      <c r="H6704" s="17"/>
      <c r="K6704" s="17"/>
      <c r="N6704" s="17"/>
    </row>
    <row r="6705">
      <c r="B6705" s="11">
        <f>IFERROR(__xludf.DUMMYFUNCTION("""COMPUTED_VALUE"""),36640.0)</f>
        <v>36640</v>
      </c>
      <c r="C6705" s="9">
        <f>IFERROR(__xludf.DUMMYFUNCTION("""COMPUTED_VALUE"""),6.0)</f>
        <v>6</v>
      </c>
      <c r="H6705" s="17"/>
      <c r="K6705" s="17"/>
      <c r="N6705" s="17"/>
    </row>
    <row r="6706">
      <c r="B6706" s="11">
        <f>IFERROR(__xludf.DUMMYFUNCTION("""COMPUTED_VALUE"""),36637.0)</f>
        <v>36637</v>
      </c>
      <c r="C6706" s="9"/>
      <c r="H6706" s="17"/>
      <c r="K6706" s="17"/>
      <c r="N6706" s="17"/>
    </row>
    <row r="6707">
      <c r="B6707" s="11">
        <f>IFERROR(__xludf.DUMMYFUNCTION("""COMPUTED_VALUE"""),36636.0)</f>
        <v>36636</v>
      </c>
      <c r="C6707" s="9">
        <f>IFERROR(__xludf.DUMMYFUNCTION("""COMPUTED_VALUE"""),5.99)</f>
        <v>5.99</v>
      </c>
      <c r="H6707" s="17"/>
      <c r="K6707" s="17"/>
      <c r="N6707" s="17"/>
    </row>
    <row r="6708">
      <c r="B6708" s="11">
        <f>IFERROR(__xludf.DUMMYFUNCTION("""COMPUTED_VALUE"""),36635.0)</f>
        <v>36635</v>
      </c>
      <c r="C6708" s="9">
        <f>IFERROR(__xludf.DUMMYFUNCTION("""COMPUTED_VALUE"""),5.99)</f>
        <v>5.99</v>
      </c>
      <c r="H6708" s="17"/>
      <c r="K6708" s="17"/>
      <c r="N6708" s="17"/>
    </row>
    <row r="6709">
      <c r="B6709" s="11">
        <f>IFERROR(__xludf.DUMMYFUNCTION("""COMPUTED_VALUE"""),36634.0)</f>
        <v>36634</v>
      </c>
      <c r="C6709" s="9">
        <f>IFERROR(__xludf.DUMMYFUNCTION("""COMPUTED_VALUE"""),6.05)</f>
        <v>6.05</v>
      </c>
      <c r="H6709" s="17"/>
      <c r="K6709" s="17"/>
      <c r="N6709" s="17"/>
    </row>
    <row r="6710">
      <c r="B6710" s="11">
        <f>IFERROR(__xludf.DUMMYFUNCTION("""COMPUTED_VALUE"""),36633.0)</f>
        <v>36633</v>
      </c>
      <c r="C6710" s="9">
        <f>IFERROR(__xludf.DUMMYFUNCTION("""COMPUTED_VALUE"""),6.01)</f>
        <v>6.01</v>
      </c>
      <c r="H6710" s="17"/>
      <c r="K6710" s="17"/>
      <c r="N6710" s="17"/>
    </row>
    <row r="6711">
      <c r="B6711" s="11">
        <f>IFERROR(__xludf.DUMMYFUNCTION("""COMPUTED_VALUE"""),36630.0)</f>
        <v>36630</v>
      </c>
      <c r="C6711" s="9">
        <f>IFERROR(__xludf.DUMMYFUNCTION("""COMPUTED_VALUE"""),5.85)</f>
        <v>5.85</v>
      </c>
      <c r="H6711" s="17"/>
      <c r="K6711" s="17"/>
      <c r="N6711" s="17"/>
    </row>
    <row r="6712">
      <c r="B6712" s="11">
        <f>IFERROR(__xludf.DUMMYFUNCTION("""COMPUTED_VALUE"""),36629.0)</f>
        <v>36629</v>
      </c>
      <c r="C6712" s="9">
        <f>IFERROR(__xludf.DUMMYFUNCTION("""COMPUTED_VALUE"""),5.94)</f>
        <v>5.94</v>
      </c>
      <c r="H6712" s="17"/>
      <c r="K6712" s="17"/>
      <c r="N6712" s="17"/>
    </row>
    <row r="6713">
      <c r="B6713" s="11">
        <f>IFERROR(__xludf.DUMMYFUNCTION("""COMPUTED_VALUE"""),36628.0)</f>
        <v>36628</v>
      </c>
      <c r="C6713" s="9">
        <f>IFERROR(__xludf.DUMMYFUNCTION("""COMPUTED_VALUE"""),5.97)</f>
        <v>5.97</v>
      </c>
      <c r="H6713" s="17"/>
      <c r="K6713" s="17"/>
      <c r="N6713" s="17"/>
    </row>
    <row r="6714">
      <c r="B6714" s="11">
        <f>IFERROR(__xludf.DUMMYFUNCTION("""COMPUTED_VALUE"""),36627.0)</f>
        <v>36627</v>
      </c>
      <c r="C6714" s="9">
        <f>IFERROR(__xludf.DUMMYFUNCTION("""COMPUTED_VALUE"""),5.89)</f>
        <v>5.89</v>
      </c>
      <c r="H6714" s="17"/>
      <c r="K6714" s="17"/>
      <c r="N6714" s="17"/>
    </row>
    <row r="6715">
      <c r="B6715" s="11">
        <f>IFERROR(__xludf.DUMMYFUNCTION("""COMPUTED_VALUE"""),36626.0)</f>
        <v>36626</v>
      </c>
      <c r="C6715" s="9">
        <f>IFERROR(__xludf.DUMMYFUNCTION("""COMPUTED_VALUE"""),5.8)</f>
        <v>5.8</v>
      </c>
      <c r="H6715" s="17"/>
      <c r="K6715" s="17"/>
      <c r="N6715" s="17"/>
    </row>
    <row r="6716">
      <c r="B6716" s="11">
        <f>IFERROR(__xludf.DUMMYFUNCTION("""COMPUTED_VALUE"""),36623.0)</f>
        <v>36623</v>
      </c>
      <c r="C6716" s="9">
        <f>IFERROR(__xludf.DUMMYFUNCTION("""COMPUTED_VALUE"""),5.86)</f>
        <v>5.86</v>
      </c>
      <c r="H6716" s="17"/>
      <c r="K6716" s="17"/>
      <c r="N6716" s="17"/>
    </row>
    <row r="6717">
      <c r="B6717" s="11">
        <f>IFERROR(__xludf.DUMMYFUNCTION("""COMPUTED_VALUE"""),36622.0)</f>
        <v>36622</v>
      </c>
      <c r="C6717" s="9">
        <f>IFERROR(__xludf.DUMMYFUNCTION("""COMPUTED_VALUE"""),5.93)</f>
        <v>5.93</v>
      </c>
      <c r="H6717" s="17"/>
      <c r="K6717" s="17"/>
      <c r="N6717" s="17"/>
    </row>
    <row r="6718">
      <c r="B6718" s="11">
        <f>IFERROR(__xludf.DUMMYFUNCTION("""COMPUTED_VALUE"""),36621.0)</f>
        <v>36621</v>
      </c>
      <c r="C6718" s="9">
        <f>IFERROR(__xludf.DUMMYFUNCTION("""COMPUTED_VALUE"""),5.9)</f>
        <v>5.9</v>
      </c>
      <c r="H6718" s="17"/>
      <c r="K6718" s="17"/>
      <c r="N6718" s="17"/>
    </row>
    <row r="6719">
      <c r="B6719" s="11">
        <f>IFERROR(__xludf.DUMMYFUNCTION("""COMPUTED_VALUE"""),36620.0)</f>
        <v>36620</v>
      </c>
      <c r="C6719" s="9">
        <f>IFERROR(__xludf.DUMMYFUNCTION("""COMPUTED_VALUE"""),5.9)</f>
        <v>5.9</v>
      </c>
      <c r="H6719" s="17"/>
      <c r="K6719" s="17"/>
      <c r="N6719" s="17"/>
    </row>
    <row r="6720">
      <c r="B6720" s="11">
        <f>IFERROR(__xludf.DUMMYFUNCTION("""COMPUTED_VALUE"""),36619.0)</f>
        <v>36619</v>
      </c>
      <c r="C6720" s="9">
        <f>IFERROR(__xludf.DUMMYFUNCTION("""COMPUTED_VALUE"""),6.0)</f>
        <v>6</v>
      </c>
      <c r="H6720" s="17"/>
      <c r="K6720" s="17"/>
      <c r="N6720" s="17"/>
    </row>
    <row r="6721">
      <c r="B6721" s="11">
        <f>IFERROR(__xludf.DUMMYFUNCTION("""COMPUTED_VALUE"""),36616.0)</f>
        <v>36616</v>
      </c>
      <c r="C6721" s="9">
        <f>IFERROR(__xludf.DUMMYFUNCTION("""COMPUTED_VALUE"""),6.03)</f>
        <v>6.03</v>
      </c>
      <c r="H6721" s="17"/>
      <c r="K6721" s="17"/>
      <c r="N6721" s="17"/>
    </row>
    <row r="6722">
      <c r="B6722" s="11">
        <f>IFERROR(__xludf.DUMMYFUNCTION("""COMPUTED_VALUE"""),36615.0)</f>
        <v>36615</v>
      </c>
      <c r="C6722" s="9">
        <f>IFERROR(__xludf.DUMMYFUNCTION("""COMPUTED_VALUE"""),6.06)</f>
        <v>6.06</v>
      </c>
      <c r="H6722" s="17"/>
      <c r="K6722" s="17"/>
      <c r="N6722" s="17"/>
    </row>
    <row r="6723">
      <c r="B6723" s="11">
        <f>IFERROR(__xludf.DUMMYFUNCTION("""COMPUTED_VALUE"""),36614.0)</f>
        <v>36614</v>
      </c>
      <c r="C6723" s="9">
        <f>IFERROR(__xludf.DUMMYFUNCTION("""COMPUTED_VALUE"""),6.18)</f>
        <v>6.18</v>
      </c>
      <c r="H6723" s="17"/>
      <c r="K6723" s="17"/>
      <c r="N6723" s="17"/>
    </row>
    <row r="6724">
      <c r="B6724" s="11">
        <f>IFERROR(__xludf.DUMMYFUNCTION("""COMPUTED_VALUE"""),36613.0)</f>
        <v>36613</v>
      </c>
      <c r="C6724" s="9">
        <f>IFERROR(__xludf.DUMMYFUNCTION("""COMPUTED_VALUE"""),6.17)</f>
        <v>6.17</v>
      </c>
      <c r="H6724" s="17"/>
      <c r="K6724" s="17"/>
      <c r="N6724" s="17"/>
    </row>
    <row r="6725">
      <c r="B6725" s="11">
        <f>IFERROR(__xludf.DUMMYFUNCTION("""COMPUTED_VALUE"""),36612.0)</f>
        <v>36612</v>
      </c>
      <c r="C6725" s="9">
        <f>IFERROR(__xludf.DUMMYFUNCTION("""COMPUTED_VALUE"""),6.21)</f>
        <v>6.21</v>
      </c>
      <c r="H6725" s="17"/>
      <c r="K6725" s="17"/>
      <c r="N6725" s="17"/>
    </row>
    <row r="6726">
      <c r="B6726" s="11">
        <f>IFERROR(__xludf.DUMMYFUNCTION("""COMPUTED_VALUE"""),36609.0)</f>
        <v>36609</v>
      </c>
      <c r="C6726" s="9">
        <f>IFERROR(__xludf.DUMMYFUNCTION("""COMPUTED_VALUE"""),6.2)</f>
        <v>6.2</v>
      </c>
      <c r="H6726" s="17"/>
      <c r="K6726" s="17"/>
      <c r="N6726" s="17"/>
    </row>
    <row r="6727">
      <c r="B6727" s="11">
        <f>IFERROR(__xludf.DUMMYFUNCTION("""COMPUTED_VALUE"""),36608.0)</f>
        <v>36608</v>
      </c>
      <c r="C6727" s="9">
        <f>IFERROR(__xludf.DUMMYFUNCTION("""COMPUTED_VALUE"""),6.08)</f>
        <v>6.08</v>
      </c>
      <c r="H6727" s="17"/>
      <c r="K6727" s="17"/>
      <c r="N6727" s="17"/>
    </row>
    <row r="6728">
      <c r="B6728" s="11">
        <f>IFERROR(__xludf.DUMMYFUNCTION("""COMPUTED_VALUE"""),36607.0)</f>
        <v>36607</v>
      </c>
      <c r="C6728" s="9">
        <f>IFERROR(__xludf.DUMMYFUNCTION("""COMPUTED_VALUE"""),6.13)</f>
        <v>6.13</v>
      </c>
      <c r="H6728" s="17"/>
      <c r="K6728" s="17"/>
      <c r="N6728" s="17"/>
    </row>
    <row r="6729">
      <c r="B6729" s="11">
        <f>IFERROR(__xludf.DUMMYFUNCTION("""COMPUTED_VALUE"""),36606.0)</f>
        <v>36606</v>
      </c>
      <c r="C6729" s="9">
        <f>IFERROR(__xludf.DUMMYFUNCTION("""COMPUTED_VALUE"""),6.13)</f>
        <v>6.13</v>
      </c>
      <c r="H6729" s="17"/>
      <c r="K6729" s="17"/>
      <c r="N6729" s="17"/>
    </row>
    <row r="6730">
      <c r="B6730" s="11">
        <f>IFERROR(__xludf.DUMMYFUNCTION("""COMPUTED_VALUE"""),36605.0)</f>
        <v>36605</v>
      </c>
      <c r="C6730" s="9">
        <f>IFERROR(__xludf.DUMMYFUNCTION("""COMPUTED_VALUE"""),6.18)</f>
        <v>6.18</v>
      </c>
      <c r="H6730" s="17"/>
      <c r="K6730" s="17"/>
      <c r="N6730" s="17"/>
    </row>
    <row r="6731">
      <c r="B6731" s="11">
        <f>IFERROR(__xludf.DUMMYFUNCTION("""COMPUTED_VALUE"""),36602.0)</f>
        <v>36602</v>
      </c>
      <c r="C6731" s="9">
        <f>IFERROR(__xludf.DUMMYFUNCTION("""COMPUTED_VALUE"""),6.2)</f>
        <v>6.2</v>
      </c>
      <c r="H6731" s="17"/>
      <c r="K6731" s="17"/>
      <c r="N6731" s="17"/>
    </row>
    <row r="6732">
      <c r="B6732" s="11">
        <f>IFERROR(__xludf.DUMMYFUNCTION("""COMPUTED_VALUE"""),36601.0)</f>
        <v>36601</v>
      </c>
      <c r="C6732" s="9">
        <f>IFERROR(__xludf.DUMMYFUNCTION("""COMPUTED_VALUE"""),6.26)</f>
        <v>6.26</v>
      </c>
      <c r="H6732" s="17"/>
      <c r="K6732" s="17"/>
      <c r="N6732" s="17"/>
    </row>
    <row r="6733">
      <c r="B6733" s="11">
        <f>IFERROR(__xludf.DUMMYFUNCTION("""COMPUTED_VALUE"""),36600.0)</f>
        <v>36600</v>
      </c>
      <c r="C6733" s="9">
        <f>IFERROR(__xludf.DUMMYFUNCTION("""COMPUTED_VALUE"""),6.29)</f>
        <v>6.29</v>
      </c>
      <c r="H6733" s="17"/>
      <c r="K6733" s="17"/>
      <c r="N6733" s="17"/>
    </row>
    <row r="6734">
      <c r="B6734" s="11">
        <f>IFERROR(__xludf.DUMMYFUNCTION("""COMPUTED_VALUE"""),36599.0)</f>
        <v>36599</v>
      </c>
      <c r="C6734" s="9">
        <f>IFERROR(__xludf.DUMMYFUNCTION("""COMPUTED_VALUE"""),6.31)</f>
        <v>6.31</v>
      </c>
      <c r="H6734" s="17"/>
      <c r="K6734" s="17"/>
      <c r="N6734" s="17"/>
    </row>
    <row r="6735">
      <c r="B6735" s="11">
        <f>IFERROR(__xludf.DUMMYFUNCTION("""COMPUTED_VALUE"""),36598.0)</f>
        <v>36598</v>
      </c>
      <c r="C6735" s="9">
        <f>IFERROR(__xludf.DUMMYFUNCTION("""COMPUTED_VALUE"""),6.36)</f>
        <v>6.36</v>
      </c>
      <c r="H6735" s="17"/>
      <c r="K6735" s="17"/>
      <c r="N6735" s="17"/>
    </row>
    <row r="6736">
      <c r="B6736" s="11">
        <f>IFERROR(__xludf.DUMMYFUNCTION("""COMPUTED_VALUE"""),36595.0)</f>
        <v>36595</v>
      </c>
      <c r="C6736" s="9">
        <f>IFERROR(__xludf.DUMMYFUNCTION("""COMPUTED_VALUE"""),6.39)</f>
        <v>6.39</v>
      </c>
      <c r="H6736" s="17"/>
      <c r="K6736" s="17"/>
      <c r="N6736" s="17"/>
    </row>
    <row r="6737">
      <c r="B6737" s="11">
        <f>IFERROR(__xludf.DUMMYFUNCTION("""COMPUTED_VALUE"""),36594.0)</f>
        <v>36594</v>
      </c>
      <c r="C6737" s="9">
        <f>IFERROR(__xludf.DUMMYFUNCTION("""COMPUTED_VALUE"""),6.35)</f>
        <v>6.35</v>
      </c>
      <c r="H6737" s="17"/>
      <c r="K6737" s="17"/>
      <c r="N6737" s="17"/>
    </row>
    <row r="6738">
      <c r="B6738" s="11">
        <f>IFERROR(__xludf.DUMMYFUNCTION("""COMPUTED_VALUE"""),36593.0)</f>
        <v>36593</v>
      </c>
      <c r="C6738" s="9">
        <f>IFERROR(__xludf.DUMMYFUNCTION("""COMPUTED_VALUE"""),6.38)</f>
        <v>6.38</v>
      </c>
      <c r="H6738" s="17"/>
      <c r="K6738" s="17"/>
      <c r="N6738" s="17"/>
    </row>
    <row r="6739">
      <c r="B6739" s="11">
        <f>IFERROR(__xludf.DUMMYFUNCTION("""COMPUTED_VALUE"""),36592.0)</f>
        <v>36592</v>
      </c>
      <c r="C6739" s="9">
        <f>IFERROR(__xludf.DUMMYFUNCTION("""COMPUTED_VALUE"""),6.39)</f>
        <v>6.39</v>
      </c>
      <c r="H6739" s="17"/>
      <c r="K6739" s="17"/>
      <c r="N6739" s="17"/>
    </row>
    <row r="6740">
      <c r="B6740" s="11">
        <f>IFERROR(__xludf.DUMMYFUNCTION("""COMPUTED_VALUE"""),36591.0)</f>
        <v>36591</v>
      </c>
      <c r="C6740" s="9">
        <f>IFERROR(__xludf.DUMMYFUNCTION("""COMPUTED_VALUE"""),6.42)</f>
        <v>6.42</v>
      </c>
      <c r="H6740" s="17"/>
      <c r="K6740" s="17"/>
      <c r="N6740" s="17"/>
    </row>
    <row r="6741">
      <c r="B6741" s="11">
        <f>IFERROR(__xludf.DUMMYFUNCTION("""COMPUTED_VALUE"""),36588.0)</f>
        <v>36588</v>
      </c>
      <c r="C6741" s="9">
        <f>IFERROR(__xludf.DUMMYFUNCTION("""COMPUTED_VALUE"""),6.39)</f>
        <v>6.39</v>
      </c>
      <c r="H6741" s="17"/>
      <c r="K6741" s="17"/>
      <c r="N6741" s="17"/>
    </row>
    <row r="6742">
      <c r="B6742" s="11">
        <f>IFERROR(__xludf.DUMMYFUNCTION("""COMPUTED_VALUE"""),36587.0)</f>
        <v>36587</v>
      </c>
      <c r="C6742" s="9">
        <f>IFERROR(__xludf.DUMMYFUNCTION("""COMPUTED_VALUE"""),6.4)</f>
        <v>6.4</v>
      </c>
      <c r="H6742" s="17"/>
      <c r="K6742" s="17"/>
      <c r="N6742" s="17"/>
    </row>
    <row r="6743">
      <c r="B6743" s="11">
        <f>IFERROR(__xludf.DUMMYFUNCTION("""COMPUTED_VALUE"""),36586.0)</f>
        <v>36586</v>
      </c>
      <c r="C6743" s="9">
        <f>IFERROR(__xludf.DUMMYFUNCTION("""COMPUTED_VALUE"""),6.39)</f>
        <v>6.39</v>
      </c>
      <c r="H6743" s="17"/>
      <c r="K6743" s="17"/>
      <c r="N6743" s="17"/>
    </row>
    <row r="6744">
      <c r="B6744" s="11">
        <f>IFERROR(__xludf.DUMMYFUNCTION("""COMPUTED_VALUE"""),36585.0)</f>
        <v>36585</v>
      </c>
      <c r="C6744" s="9">
        <f>IFERROR(__xludf.DUMMYFUNCTION("""COMPUTED_VALUE"""),6.42)</f>
        <v>6.42</v>
      </c>
      <c r="H6744" s="17"/>
      <c r="K6744" s="17"/>
      <c r="N6744" s="17"/>
    </row>
    <row r="6745">
      <c r="B6745" s="11">
        <f>IFERROR(__xludf.DUMMYFUNCTION("""COMPUTED_VALUE"""),36584.0)</f>
        <v>36584</v>
      </c>
      <c r="C6745" s="9">
        <f>IFERROR(__xludf.DUMMYFUNCTION("""COMPUTED_VALUE"""),6.37)</f>
        <v>6.37</v>
      </c>
      <c r="H6745" s="17"/>
      <c r="K6745" s="17"/>
      <c r="N6745" s="17"/>
    </row>
    <row r="6746">
      <c r="B6746" s="11">
        <f>IFERROR(__xludf.DUMMYFUNCTION("""COMPUTED_VALUE"""),36581.0)</f>
        <v>36581</v>
      </c>
      <c r="C6746" s="9">
        <f>IFERROR(__xludf.DUMMYFUNCTION("""COMPUTED_VALUE"""),6.36)</f>
        <v>6.36</v>
      </c>
      <c r="H6746" s="17"/>
      <c r="K6746" s="17"/>
      <c r="N6746" s="17"/>
    </row>
    <row r="6747">
      <c r="B6747" s="11">
        <f>IFERROR(__xludf.DUMMYFUNCTION("""COMPUTED_VALUE"""),36580.0)</f>
        <v>36580</v>
      </c>
      <c r="C6747" s="9">
        <f>IFERROR(__xludf.DUMMYFUNCTION("""COMPUTED_VALUE"""),6.36)</f>
        <v>6.36</v>
      </c>
      <c r="H6747" s="17"/>
      <c r="K6747" s="17"/>
      <c r="N6747" s="17"/>
    </row>
    <row r="6748">
      <c r="B6748" s="11">
        <f>IFERROR(__xludf.DUMMYFUNCTION("""COMPUTED_VALUE"""),36579.0)</f>
        <v>36579</v>
      </c>
      <c r="C6748" s="9">
        <f>IFERROR(__xludf.DUMMYFUNCTION("""COMPUTED_VALUE"""),6.44)</f>
        <v>6.44</v>
      </c>
      <c r="H6748" s="17"/>
      <c r="K6748" s="17"/>
      <c r="N6748" s="17"/>
    </row>
    <row r="6749">
      <c r="B6749" s="11">
        <f>IFERROR(__xludf.DUMMYFUNCTION("""COMPUTED_VALUE"""),36578.0)</f>
        <v>36578</v>
      </c>
      <c r="C6749" s="9">
        <f>IFERROR(__xludf.DUMMYFUNCTION("""COMPUTED_VALUE"""),6.36)</f>
        <v>6.36</v>
      </c>
      <c r="H6749" s="17"/>
      <c r="K6749" s="17"/>
      <c r="N6749" s="17"/>
    </row>
    <row r="6750">
      <c r="B6750" s="11">
        <f>IFERROR(__xludf.DUMMYFUNCTION("""COMPUTED_VALUE"""),36577.0)</f>
        <v>36577</v>
      </c>
      <c r="C6750" s="9"/>
      <c r="H6750" s="17"/>
      <c r="K6750" s="17"/>
      <c r="N6750" s="17"/>
    </row>
    <row r="6751">
      <c r="B6751" s="11">
        <f>IFERROR(__xludf.DUMMYFUNCTION("""COMPUTED_VALUE"""),36574.0)</f>
        <v>36574</v>
      </c>
      <c r="C6751" s="9">
        <f>IFERROR(__xludf.DUMMYFUNCTION("""COMPUTED_VALUE"""),6.49)</f>
        <v>6.49</v>
      </c>
      <c r="H6751" s="17"/>
      <c r="K6751" s="17"/>
      <c r="N6751" s="17"/>
    </row>
    <row r="6752">
      <c r="B6752" s="11">
        <f>IFERROR(__xludf.DUMMYFUNCTION("""COMPUTED_VALUE"""),36573.0)</f>
        <v>36573</v>
      </c>
      <c r="C6752" s="9">
        <f>IFERROR(__xludf.DUMMYFUNCTION("""COMPUTED_VALUE"""),6.58)</f>
        <v>6.58</v>
      </c>
      <c r="H6752" s="17"/>
      <c r="K6752" s="17"/>
      <c r="N6752" s="17"/>
    </row>
    <row r="6753">
      <c r="B6753" s="11">
        <f>IFERROR(__xludf.DUMMYFUNCTION("""COMPUTED_VALUE"""),36572.0)</f>
        <v>36572</v>
      </c>
      <c r="C6753" s="9">
        <f>IFERROR(__xludf.DUMMYFUNCTION("""COMPUTED_VALUE"""),6.56)</f>
        <v>6.56</v>
      </c>
      <c r="H6753" s="17"/>
      <c r="K6753" s="17"/>
      <c r="N6753" s="17"/>
    </row>
    <row r="6754">
      <c r="B6754" s="11">
        <f>IFERROR(__xludf.DUMMYFUNCTION("""COMPUTED_VALUE"""),36571.0)</f>
        <v>36571</v>
      </c>
      <c r="C6754" s="9">
        <f>IFERROR(__xludf.DUMMYFUNCTION("""COMPUTED_VALUE"""),6.56)</f>
        <v>6.56</v>
      </c>
      <c r="H6754" s="17"/>
      <c r="K6754" s="17"/>
      <c r="N6754" s="17"/>
    </row>
    <row r="6755">
      <c r="B6755" s="11">
        <f>IFERROR(__xludf.DUMMYFUNCTION("""COMPUTED_VALUE"""),36570.0)</f>
        <v>36570</v>
      </c>
      <c r="C6755" s="9">
        <f>IFERROR(__xludf.DUMMYFUNCTION("""COMPUTED_VALUE"""),6.56)</f>
        <v>6.56</v>
      </c>
      <c r="H6755" s="17"/>
      <c r="K6755" s="17"/>
      <c r="N6755" s="17"/>
    </row>
    <row r="6756">
      <c r="B6756" s="11">
        <f>IFERROR(__xludf.DUMMYFUNCTION("""COMPUTED_VALUE"""),36567.0)</f>
        <v>36567</v>
      </c>
      <c r="C6756" s="9">
        <f>IFERROR(__xludf.DUMMYFUNCTION("""COMPUTED_VALUE"""),6.63)</f>
        <v>6.63</v>
      </c>
      <c r="H6756" s="17"/>
      <c r="K6756" s="17"/>
      <c r="N6756" s="17"/>
    </row>
    <row r="6757">
      <c r="B6757" s="11">
        <f>IFERROR(__xludf.DUMMYFUNCTION("""COMPUTED_VALUE"""),36566.0)</f>
        <v>36566</v>
      </c>
      <c r="C6757" s="9">
        <f>IFERROR(__xludf.DUMMYFUNCTION("""COMPUTED_VALUE"""),6.67)</f>
        <v>6.67</v>
      </c>
      <c r="H6757" s="17"/>
      <c r="K6757" s="17"/>
      <c r="N6757" s="17"/>
    </row>
    <row r="6758">
      <c r="B6758" s="11">
        <f>IFERROR(__xludf.DUMMYFUNCTION("""COMPUTED_VALUE"""),36565.0)</f>
        <v>36565</v>
      </c>
      <c r="C6758" s="9">
        <f>IFERROR(__xludf.DUMMYFUNCTION("""COMPUTED_VALUE"""),6.56)</f>
        <v>6.56</v>
      </c>
      <c r="H6758" s="17"/>
      <c r="K6758" s="17"/>
      <c r="N6758" s="17"/>
    </row>
    <row r="6759">
      <c r="B6759" s="11">
        <f>IFERROR(__xludf.DUMMYFUNCTION("""COMPUTED_VALUE"""),36564.0)</f>
        <v>36564</v>
      </c>
      <c r="C6759" s="9">
        <f>IFERROR(__xludf.DUMMYFUNCTION("""COMPUTED_VALUE"""),6.59)</f>
        <v>6.59</v>
      </c>
      <c r="H6759" s="17"/>
      <c r="K6759" s="17"/>
      <c r="N6759" s="17"/>
    </row>
    <row r="6760">
      <c r="B6760" s="11">
        <f>IFERROR(__xludf.DUMMYFUNCTION("""COMPUTED_VALUE"""),36563.0)</f>
        <v>36563</v>
      </c>
      <c r="C6760" s="9">
        <f>IFERROR(__xludf.DUMMYFUNCTION("""COMPUTED_VALUE"""),6.64)</f>
        <v>6.64</v>
      </c>
      <c r="H6760" s="17"/>
      <c r="K6760" s="17"/>
      <c r="N6760" s="17"/>
    </row>
    <row r="6761">
      <c r="B6761" s="11">
        <f>IFERROR(__xludf.DUMMYFUNCTION("""COMPUTED_VALUE"""),36560.0)</f>
        <v>36560</v>
      </c>
      <c r="C6761" s="9">
        <f>IFERROR(__xludf.DUMMYFUNCTION("""COMPUTED_VALUE"""),6.53)</f>
        <v>6.53</v>
      </c>
      <c r="H6761" s="17"/>
      <c r="K6761" s="17"/>
      <c r="N6761" s="17"/>
    </row>
    <row r="6762">
      <c r="B6762" s="11">
        <f>IFERROR(__xludf.DUMMYFUNCTION("""COMPUTED_VALUE"""),36559.0)</f>
        <v>36559</v>
      </c>
      <c r="C6762" s="9">
        <f>IFERROR(__xludf.DUMMYFUNCTION("""COMPUTED_VALUE"""),6.49)</f>
        <v>6.49</v>
      </c>
      <c r="H6762" s="17"/>
      <c r="K6762" s="17"/>
      <c r="N6762" s="17"/>
    </row>
    <row r="6763">
      <c r="B6763" s="11">
        <f>IFERROR(__xludf.DUMMYFUNCTION("""COMPUTED_VALUE"""),36558.0)</f>
        <v>36558</v>
      </c>
      <c r="C6763" s="9">
        <f>IFERROR(__xludf.DUMMYFUNCTION("""COMPUTED_VALUE"""),6.6)</f>
        <v>6.6</v>
      </c>
      <c r="H6763" s="17"/>
      <c r="K6763" s="17"/>
      <c r="N6763" s="17"/>
    </row>
    <row r="6764">
      <c r="B6764" s="11">
        <f>IFERROR(__xludf.DUMMYFUNCTION("""COMPUTED_VALUE"""),36557.0)</f>
        <v>36557</v>
      </c>
      <c r="C6764" s="9">
        <f>IFERROR(__xludf.DUMMYFUNCTION("""COMPUTED_VALUE"""),6.62)</f>
        <v>6.62</v>
      </c>
      <c r="H6764" s="17"/>
      <c r="K6764" s="17"/>
      <c r="N6764" s="17"/>
    </row>
    <row r="6765">
      <c r="B6765" s="11">
        <f>IFERROR(__xludf.DUMMYFUNCTION("""COMPUTED_VALUE"""),36556.0)</f>
        <v>36556</v>
      </c>
      <c r="C6765" s="9">
        <f>IFERROR(__xludf.DUMMYFUNCTION("""COMPUTED_VALUE"""),6.68)</f>
        <v>6.68</v>
      </c>
      <c r="H6765" s="17"/>
      <c r="K6765" s="17"/>
      <c r="N6765" s="17"/>
    </row>
    <row r="6766">
      <c r="B6766" s="11">
        <f>IFERROR(__xludf.DUMMYFUNCTION("""COMPUTED_VALUE"""),36553.0)</f>
        <v>36553</v>
      </c>
      <c r="C6766" s="9">
        <f>IFERROR(__xludf.DUMMYFUNCTION("""COMPUTED_VALUE"""),6.66)</f>
        <v>6.66</v>
      </c>
      <c r="H6766" s="17"/>
      <c r="K6766" s="17"/>
      <c r="N6766" s="17"/>
    </row>
    <row r="6767">
      <c r="B6767" s="11">
        <f>IFERROR(__xludf.DUMMYFUNCTION("""COMPUTED_VALUE"""),36552.0)</f>
        <v>36552</v>
      </c>
      <c r="C6767" s="9">
        <f>IFERROR(__xludf.DUMMYFUNCTION("""COMPUTED_VALUE"""),6.68)</f>
        <v>6.68</v>
      </c>
      <c r="H6767" s="17"/>
      <c r="K6767" s="17"/>
      <c r="N6767" s="17"/>
    </row>
    <row r="6768">
      <c r="B6768" s="11">
        <f>IFERROR(__xludf.DUMMYFUNCTION("""COMPUTED_VALUE"""),36551.0)</f>
        <v>36551</v>
      </c>
      <c r="C6768" s="9">
        <f>IFERROR(__xludf.DUMMYFUNCTION("""COMPUTED_VALUE"""),6.69)</f>
        <v>6.69</v>
      </c>
      <c r="H6768" s="17"/>
      <c r="K6768" s="17"/>
      <c r="N6768" s="17"/>
    </row>
    <row r="6769">
      <c r="B6769" s="11">
        <f>IFERROR(__xludf.DUMMYFUNCTION("""COMPUTED_VALUE"""),36550.0)</f>
        <v>36550</v>
      </c>
      <c r="C6769" s="9">
        <f>IFERROR(__xludf.DUMMYFUNCTION("""COMPUTED_VALUE"""),6.7)</f>
        <v>6.7</v>
      </c>
      <c r="H6769" s="17"/>
      <c r="K6769" s="17"/>
      <c r="N6769" s="17"/>
    </row>
    <row r="6770">
      <c r="B6770" s="11">
        <f>IFERROR(__xludf.DUMMYFUNCTION("""COMPUTED_VALUE"""),36549.0)</f>
        <v>36549</v>
      </c>
      <c r="C6770" s="9">
        <f>IFERROR(__xludf.DUMMYFUNCTION("""COMPUTED_VALUE"""),6.69)</f>
        <v>6.69</v>
      </c>
      <c r="H6770" s="17"/>
      <c r="K6770" s="17"/>
      <c r="N6770" s="17"/>
    </row>
    <row r="6771">
      <c r="B6771" s="11">
        <f>IFERROR(__xludf.DUMMYFUNCTION("""COMPUTED_VALUE"""),36546.0)</f>
        <v>36546</v>
      </c>
      <c r="C6771" s="9">
        <f>IFERROR(__xludf.DUMMYFUNCTION("""COMPUTED_VALUE"""),6.79)</f>
        <v>6.79</v>
      </c>
      <c r="H6771" s="17"/>
      <c r="K6771" s="17"/>
      <c r="N6771" s="17"/>
    </row>
    <row r="6772">
      <c r="B6772" s="11">
        <f>IFERROR(__xludf.DUMMYFUNCTION("""COMPUTED_VALUE"""),36545.0)</f>
        <v>36545</v>
      </c>
      <c r="C6772" s="9">
        <f>IFERROR(__xludf.DUMMYFUNCTION("""COMPUTED_VALUE"""),6.79)</f>
        <v>6.79</v>
      </c>
      <c r="H6772" s="17"/>
      <c r="K6772" s="17"/>
      <c r="N6772" s="17"/>
    </row>
    <row r="6773">
      <c r="B6773" s="11">
        <f>IFERROR(__xludf.DUMMYFUNCTION("""COMPUTED_VALUE"""),36544.0)</f>
        <v>36544</v>
      </c>
      <c r="C6773" s="9">
        <f>IFERROR(__xludf.DUMMYFUNCTION("""COMPUTED_VALUE"""),6.73)</f>
        <v>6.73</v>
      </c>
      <c r="H6773" s="17"/>
      <c r="K6773" s="17"/>
      <c r="N6773" s="17"/>
    </row>
    <row r="6774">
      <c r="B6774" s="11">
        <f>IFERROR(__xludf.DUMMYFUNCTION("""COMPUTED_VALUE"""),36543.0)</f>
        <v>36543</v>
      </c>
      <c r="C6774" s="9">
        <f>IFERROR(__xludf.DUMMYFUNCTION("""COMPUTED_VALUE"""),6.75)</f>
        <v>6.75</v>
      </c>
      <c r="H6774" s="17"/>
      <c r="K6774" s="17"/>
      <c r="N6774" s="17"/>
    </row>
    <row r="6775">
      <c r="B6775" s="11">
        <f>IFERROR(__xludf.DUMMYFUNCTION("""COMPUTED_VALUE"""),36542.0)</f>
        <v>36542</v>
      </c>
      <c r="C6775" s="9"/>
      <c r="H6775" s="17"/>
      <c r="K6775" s="17"/>
      <c r="N6775" s="17"/>
    </row>
    <row r="6776">
      <c r="B6776" s="11">
        <f>IFERROR(__xludf.DUMMYFUNCTION("""COMPUTED_VALUE"""),36539.0)</f>
        <v>36539</v>
      </c>
      <c r="C6776" s="9">
        <f>IFERROR(__xludf.DUMMYFUNCTION("""COMPUTED_VALUE"""),6.69)</f>
        <v>6.69</v>
      </c>
      <c r="H6776" s="17"/>
      <c r="K6776" s="17"/>
      <c r="N6776" s="17"/>
    </row>
    <row r="6777">
      <c r="B6777" s="11">
        <f>IFERROR(__xludf.DUMMYFUNCTION("""COMPUTED_VALUE"""),36538.0)</f>
        <v>36538</v>
      </c>
      <c r="C6777" s="9">
        <f>IFERROR(__xludf.DUMMYFUNCTION("""COMPUTED_VALUE"""),6.63)</f>
        <v>6.63</v>
      </c>
      <c r="H6777" s="17"/>
      <c r="K6777" s="17"/>
      <c r="N6777" s="17"/>
    </row>
    <row r="6778">
      <c r="B6778" s="11">
        <f>IFERROR(__xludf.DUMMYFUNCTION("""COMPUTED_VALUE"""),36537.0)</f>
        <v>36537</v>
      </c>
      <c r="C6778" s="9">
        <f>IFERROR(__xludf.DUMMYFUNCTION("""COMPUTED_VALUE"""),6.72)</f>
        <v>6.72</v>
      </c>
      <c r="H6778" s="17"/>
      <c r="K6778" s="17"/>
      <c r="N6778" s="17"/>
    </row>
    <row r="6779">
      <c r="B6779" s="11">
        <f>IFERROR(__xludf.DUMMYFUNCTION("""COMPUTED_VALUE"""),36536.0)</f>
        <v>36536</v>
      </c>
      <c r="C6779" s="9">
        <f>IFERROR(__xludf.DUMMYFUNCTION("""COMPUTED_VALUE"""),6.67)</f>
        <v>6.67</v>
      </c>
      <c r="H6779" s="17"/>
      <c r="K6779" s="17"/>
      <c r="N6779" s="17"/>
    </row>
    <row r="6780">
      <c r="B6780" s="11">
        <f>IFERROR(__xludf.DUMMYFUNCTION("""COMPUTED_VALUE"""),36535.0)</f>
        <v>36535</v>
      </c>
      <c r="C6780" s="9">
        <f>IFERROR(__xludf.DUMMYFUNCTION("""COMPUTED_VALUE"""),6.57)</f>
        <v>6.57</v>
      </c>
      <c r="H6780" s="17"/>
      <c r="K6780" s="17"/>
      <c r="N6780" s="17"/>
    </row>
    <row r="6781">
      <c r="B6781" s="11">
        <f>IFERROR(__xludf.DUMMYFUNCTION("""COMPUTED_VALUE"""),36532.0)</f>
        <v>36532</v>
      </c>
      <c r="C6781" s="9">
        <f>IFERROR(__xludf.DUMMYFUNCTION("""COMPUTED_VALUE"""),6.52)</f>
        <v>6.52</v>
      </c>
      <c r="H6781" s="17"/>
      <c r="K6781" s="17"/>
      <c r="N6781" s="17"/>
    </row>
    <row r="6782">
      <c r="B6782" s="11">
        <f>IFERROR(__xludf.DUMMYFUNCTION("""COMPUTED_VALUE"""),36531.0)</f>
        <v>36531</v>
      </c>
      <c r="C6782" s="9">
        <f>IFERROR(__xludf.DUMMYFUNCTION("""COMPUTED_VALUE"""),6.57)</f>
        <v>6.57</v>
      </c>
      <c r="H6782" s="17"/>
      <c r="K6782" s="17"/>
      <c r="N6782" s="17"/>
    </row>
    <row r="6783">
      <c r="B6783" s="11">
        <f>IFERROR(__xludf.DUMMYFUNCTION("""COMPUTED_VALUE"""),36530.0)</f>
        <v>36530</v>
      </c>
      <c r="C6783" s="9">
        <f>IFERROR(__xludf.DUMMYFUNCTION("""COMPUTED_VALUE"""),6.62)</f>
        <v>6.62</v>
      </c>
      <c r="H6783" s="17"/>
      <c r="K6783" s="17"/>
      <c r="N6783" s="17"/>
    </row>
    <row r="6784">
      <c r="B6784" s="11">
        <f>IFERROR(__xludf.DUMMYFUNCTION("""COMPUTED_VALUE"""),36529.0)</f>
        <v>36529</v>
      </c>
      <c r="C6784" s="9">
        <f>IFERROR(__xludf.DUMMYFUNCTION("""COMPUTED_VALUE"""),6.49)</f>
        <v>6.49</v>
      </c>
      <c r="H6784" s="17"/>
      <c r="K6784" s="17"/>
      <c r="N6784" s="17"/>
    </row>
    <row r="6785">
      <c r="B6785" s="11">
        <f>IFERROR(__xludf.DUMMYFUNCTION("""COMPUTED_VALUE"""),36528.0)</f>
        <v>36528</v>
      </c>
      <c r="C6785" s="9">
        <f>IFERROR(__xludf.DUMMYFUNCTION("""COMPUTED_VALUE"""),6.58)</f>
        <v>6.58</v>
      </c>
      <c r="H6785" s="17"/>
      <c r="K6785" s="17"/>
      <c r="N6785" s="17"/>
    </row>
    <row r="6786">
      <c r="B6786" s="11">
        <f>IFERROR(__xludf.DUMMYFUNCTION("""COMPUTED_VALUE"""),36525.0)</f>
        <v>36525</v>
      </c>
      <c r="C6786" s="9">
        <f>IFERROR(__xludf.DUMMYFUNCTION("""COMPUTED_VALUE"""),6.45)</f>
        <v>6.45</v>
      </c>
      <c r="H6786" s="17"/>
      <c r="K6786" s="17"/>
      <c r="N6786" s="17"/>
    </row>
    <row r="6787">
      <c r="B6787" s="11">
        <f>IFERROR(__xludf.DUMMYFUNCTION("""COMPUTED_VALUE"""),36524.0)</f>
        <v>36524</v>
      </c>
      <c r="C6787" s="9">
        <f>IFERROR(__xludf.DUMMYFUNCTION("""COMPUTED_VALUE"""),6.39)</f>
        <v>6.39</v>
      </c>
      <c r="H6787" s="17"/>
      <c r="K6787" s="17"/>
      <c r="N6787" s="17"/>
    </row>
    <row r="6788">
      <c r="B6788" s="11">
        <f>IFERROR(__xludf.DUMMYFUNCTION("""COMPUTED_VALUE"""),36523.0)</f>
        <v>36523</v>
      </c>
      <c r="C6788" s="9">
        <f>IFERROR(__xludf.DUMMYFUNCTION("""COMPUTED_VALUE"""),6.4)</f>
        <v>6.4</v>
      </c>
      <c r="H6788" s="17"/>
      <c r="K6788" s="17"/>
      <c r="N6788" s="17"/>
    </row>
    <row r="6789">
      <c r="B6789" s="11">
        <f>IFERROR(__xludf.DUMMYFUNCTION("""COMPUTED_VALUE"""),36522.0)</f>
        <v>36522</v>
      </c>
      <c r="C6789" s="9">
        <f>IFERROR(__xludf.DUMMYFUNCTION("""COMPUTED_VALUE"""),6.43)</f>
        <v>6.43</v>
      </c>
      <c r="H6789" s="17"/>
      <c r="K6789" s="17"/>
      <c r="N6789" s="17"/>
    </row>
    <row r="6790">
      <c r="B6790" s="11">
        <f>IFERROR(__xludf.DUMMYFUNCTION("""COMPUTED_VALUE"""),36521.0)</f>
        <v>36521</v>
      </c>
      <c r="C6790" s="9">
        <f>IFERROR(__xludf.DUMMYFUNCTION("""COMPUTED_VALUE"""),6.4)</f>
        <v>6.4</v>
      </c>
      <c r="H6790" s="17"/>
      <c r="K6790" s="17"/>
      <c r="N6790" s="17"/>
    </row>
    <row r="6791">
      <c r="B6791" s="11">
        <f>IFERROR(__xludf.DUMMYFUNCTION("""COMPUTED_VALUE"""),36518.0)</f>
        <v>36518</v>
      </c>
      <c r="C6791" s="9"/>
      <c r="H6791" s="17"/>
      <c r="K6791" s="17"/>
      <c r="N6791" s="17"/>
    </row>
    <row r="6792">
      <c r="B6792" s="11">
        <f>IFERROR(__xludf.DUMMYFUNCTION("""COMPUTED_VALUE"""),36517.0)</f>
        <v>36517</v>
      </c>
      <c r="C6792" s="9">
        <f>IFERROR(__xludf.DUMMYFUNCTION("""COMPUTED_VALUE"""),6.41)</f>
        <v>6.41</v>
      </c>
      <c r="H6792" s="17"/>
      <c r="K6792" s="17"/>
      <c r="N6792" s="17"/>
    </row>
    <row r="6793">
      <c r="B6793" s="11">
        <f>IFERROR(__xludf.DUMMYFUNCTION("""COMPUTED_VALUE"""),36516.0)</f>
        <v>36516</v>
      </c>
      <c r="C6793" s="9">
        <f>IFERROR(__xludf.DUMMYFUNCTION("""COMPUTED_VALUE"""),6.39)</f>
        <v>6.39</v>
      </c>
      <c r="H6793" s="17"/>
      <c r="K6793" s="17"/>
      <c r="N6793" s="17"/>
    </row>
    <row r="6794">
      <c r="B6794" s="11">
        <f>IFERROR(__xludf.DUMMYFUNCTION("""COMPUTED_VALUE"""),36515.0)</f>
        <v>36515</v>
      </c>
      <c r="C6794" s="9">
        <f>IFERROR(__xludf.DUMMYFUNCTION("""COMPUTED_VALUE"""),6.38)</f>
        <v>6.38</v>
      </c>
      <c r="H6794" s="17"/>
      <c r="K6794" s="17"/>
      <c r="N6794" s="17"/>
    </row>
    <row r="6795">
      <c r="B6795" s="11">
        <f>IFERROR(__xludf.DUMMYFUNCTION("""COMPUTED_VALUE"""),36514.0)</f>
        <v>36514</v>
      </c>
      <c r="C6795" s="9">
        <f>IFERROR(__xludf.DUMMYFUNCTION("""COMPUTED_VALUE"""),6.36)</f>
        <v>6.36</v>
      </c>
      <c r="H6795" s="17"/>
      <c r="K6795" s="17"/>
      <c r="N6795" s="17"/>
    </row>
    <row r="6796">
      <c r="B6796" s="11">
        <f>IFERROR(__xludf.DUMMYFUNCTION("""COMPUTED_VALUE"""),36511.0)</f>
        <v>36511</v>
      </c>
      <c r="C6796" s="9">
        <f>IFERROR(__xludf.DUMMYFUNCTION("""COMPUTED_VALUE"""),6.3)</f>
        <v>6.3</v>
      </c>
      <c r="H6796" s="17"/>
      <c r="K6796" s="17"/>
      <c r="N6796" s="17"/>
    </row>
    <row r="6797">
      <c r="B6797" s="11">
        <f>IFERROR(__xludf.DUMMYFUNCTION("""COMPUTED_VALUE"""),36510.0)</f>
        <v>36510</v>
      </c>
      <c r="C6797" s="9">
        <f>IFERROR(__xludf.DUMMYFUNCTION("""COMPUTED_VALUE"""),6.31)</f>
        <v>6.31</v>
      </c>
      <c r="H6797" s="17"/>
      <c r="K6797" s="17"/>
      <c r="N6797" s="17"/>
    </row>
    <row r="6798">
      <c r="B6798" s="11">
        <f>IFERROR(__xludf.DUMMYFUNCTION("""COMPUTED_VALUE"""),36509.0)</f>
        <v>36509</v>
      </c>
      <c r="C6798" s="9">
        <f>IFERROR(__xludf.DUMMYFUNCTION("""COMPUTED_VALUE"""),6.25)</f>
        <v>6.25</v>
      </c>
      <c r="H6798" s="17"/>
      <c r="K6798" s="17"/>
      <c r="N6798" s="17"/>
    </row>
    <row r="6799">
      <c r="B6799" s="11">
        <f>IFERROR(__xludf.DUMMYFUNCTION("""COMPUTED_VALUE"""),36508.0)</f>
        <v>36508</v>
      </c>
      <c r="C6799" s="9">
        <f>IFERROR(__xludf.DUMMYFUNCTION("""COMPUTED_VALUE"""),6.22)</f>
        <v>6.22</v>
      </c>
      <c r="H6799" s="17"/>
      <c r="K6799" s="17"/>
      <c r="N6799" s="17"/>
    </row>
    <row r="6800">
      <c r="B6800" s="11">
        <f>IFERROR(__xludf.DUMMYFUNCTION("""COMPUTED_VALUE"""),36507.0)</f>
        <v>36507</v>
      </c>
      <c r="C6800" s="9">
        <f>IFERROR(__xludf.DUMMYFUNCTION("""COMPUTED_VALUE"""),6.11)</f>
        <v>6.11</v>
      </c>
      <c r="H6800" s="17"/>
      <c r="K6800" s="17"/>
      <c r="N6800" s="17"/>
    </row>
    <row r="6801">
      <c r="B6801" s="11">
        <f>IFERROR(__xludf.DUMMYFUNCTION("""COMPUTED_VALUE"""),36504.0)</f>
        <v>36504</v>
      </c>
      <c r="C6801" s="9">
        <f>IFERROR(__xludf.DUMMYFUNCTION("""COMPUTED_VALUE"""),6.08)</f>
        <v>6.08</v>
      </c>
      <c r="H6801" s="17"/>
      <c r="K6801" s="17"/>
      <c r="N6801" s="17"/>
    </row>
    <row r="6802">
      <c r="B6802" s="11">
        <f>IFERROR(__xludf.DUMMYFUNCTION("""COMPUTED_VALUE"""),36503.0)</f>
        <v>36503</v>
      </c>
      <c r="C6802" s="9">
        <f>IFERROR(__xludf.DUMMYFUNCTION("""COMPUTED_VALUE"""),6.14)</f>
        <v>6.14</v>
      </c>
      <c r="H6802" s="17"/>
      <c r="K6802" s="17"/>
      <c r="N6802" s="17"/>
    </row>
    <row r="6803">
      <c r="B6803" s="11">
        <f>IFERROR(__xludf.DUMMYFUNCTION("""COMPUTED_VALUE"""),36502.0)</f>
        <v>36502</v>
      </c>
      <c r="C6803" s="9">
        <f>IFERROR(__xludf.DUMMYFUNCTION("""COMPUTED_VALUE"""),6.15)</f>
        <v>6.15</v>
      </c>
      <c r="H6803" s="17"/>
      <c r="K6803" s="17"/>
      <c r="N6803" s="17"/>
    </row>
    <row r="6804">
      <c r="B6804" s="11">
        <f>IFERROR(__xludf.DUMMYFUNCTION("""COMPUTED_VALUE"""),36501.0)</f>
        <v>36501</v>
      </c>
      <c r="C6804" s="9">
        <f>IFERROR(__xludf.DUMMYFUNCTION("""COMPUTED_VALUE"""),6.11)</f>
        <v>6.11</v>
      </c>
      <c r="H6804" s="17"/>
      <c r="K6804" s="17"/>
      <c r="N6804" s="17"/>
    </row>
    <row r="6805">
      <c r="B6805" s="11">
        <f>IFERROR(__xludf.DUMMYFUNCTION("""COMPUTED_VALUE"""),36500.0)</f>
        <v>36500</v>
      </c>
      <c r="C6805" s="9">
        <f>IFERROR(__xludf.DUMMYFUNCTION("""COMPUTED_VALUE"""),6.16)</f>
        <v>6.16</v>
      </c>
      <c r="H6805" s="17"/>
      <c r="K6805" s="17"/>
      <c r="N6805" s="17"/>
    </row>
    <row r="6806">
      <c r="B6806" s="11">
        <f>IFERROR(__xludf.DUMMYFUNCTION("""COMPUTED_VALUE"""),36497.0)</f>
        <v>36497</v>
      </c>
      <c r="C6806" s="9">
        <f>IFERROR(__xludf.DUMMYFUNCTION("""COMPUTED_VALUE"""),6.17)</f>
        <v>6.17</v>
      </c>
      <c r="H6806" s="17"/>
      <c r="K6806" s="17"/>
      <c r="N6806" s="17"/>
    </row>
    <row r="6807">
      <c r="B6807" s="11">
        <f>IFERROR(__xludf.DUMMYFUNCTION("""COMPUTED_VALUE"""),36496.0)</f>
        <v>36496</v>
      </c>
      <c r="C6807" s="9">
        <f>IFERROR(__xludf.DUMMYFUNCTION("""COMPUTED_VALUE"""),6.24)</f>
        <v>6.24</v>
      </c>
      <c r="H6807" s="17"/>
      <c r="K6807" s="17"/>
      <c r="N6807" s="17"/>
    </row>
    <row r="6808">
      <c r="B6808" s="11">
        <f>IFERROR(__xludf.DUMMYFUNCTION("""COMPUTED_VALUE"""),36495.0)</f>
        <v>36495</v>
      </c>
      <c r="C6808" s="9">
        <f>IFERROR(__xludf.DUMMYFUNCTION("""COMPUTED_VALUE"""),6.21)</f>
        <v>6.21</v>
      </c>
      <c r="H6808" s="17"/>
      <c r="K6808" s="17"/>
      <c r="N6808" s="17"/>
    </row>
    <row r="6809">
      <c r="B6809" s="11">
        <f>IFERROR(__xludf.DUMMYFUNCTION("""COMPUTED_VALUE"""),36494.0)</f>
        <v>36494</v>
      </c>
      <c r="C6809" s="9">
        <f>IFERROR(__xludf.DUMMYFUNCTION("""COMPUTED_VALUE"""),6.18)</f>
        <v>6.18</v>
      </c>
      <c r="H6809" s="17"/>
      <c r="K6809" s="17"/>
      <c r="N6809" s="17"/>
    </row>
    <row r="6810">
      <c r="B6810" s="11">
        <f>IFERROR(__xludf.DUMMYFUNCTION("""COMPUTED_VALUE"""),36493.0)</f>
        <v>36493</v>
      </c>
      <c r="C6810" s="9">
        <f>IFERROR(__xludf.DUMMYFUNCTION("""COMPUTED_VALUE"""),6.21)</f>
        <v>6.21</v>
      </c>
      <c r="H6810" s="17"/>
      <c r="K6810" s="17"/>
      <c r="N6810" s="17"/>
    </row>
    <row r="6811">
      <c r="B6811" s="11">
        <f>IFERROR(__xludf.DUMMYFUNCTION("""COMPUTED_VALUE"""),36490.0)</f>
        <v>36490</v>
      </c>
      <c r="C6811" s="9">
        <f>IFERROR(__xludf.DUMMYFUNCTION("""COMPUTED_VALUE"""),6.12)</f>
        <v>6.12</v>
      </c>
      <c r="H6811" s="17"/>
      <c r="K6811" s="17"/>
      <c r="N6811" s="17"/>
    </row>
    <row r="6812">
      <c r="B6812" s="11">
        <f>IFERROR(__xludf.DUMMYFUNCTION("""COMPUTED_VALUE"""),36489.0)</f>
        <v>36489</v>
      </c>
      <c r="C6812" s="9"/>
      <c r="H6812" s="17"/>
      <c r="K6812" s="17"/>
      <c r="N6812" s="17"/>
    </row>
    <row r="6813">
      <c r="B6813" s="11">
        <f>IFERROR(__xludf.DUMMYFUNCTION("""COMPUTED_VALUE"""),36488.0)</f>
        <v>36488</v>
      </c>
      <c r="C6813" s="9">
        <f>IFERROR(__xludf.DUMMYFUNCTION("""COMPUTED_VALUE"""),6.09)</f>
        <v>6.09</v>
      </c>
      <c r="H6813" s="17"/>
      <c r="K6813" s="17"/>
      <c r="N6813" s="17"/>
    </row>
    <row r="6814">
      <c r="B6814" s="11">
        <f>IFERROR(__xludf.DUMMYFUNCTION("""COMPUTED_VALUE"""),36487.0)</f>
        <v>36487</v>
      </c>
      <c r="C6814" s="9">
        <f>IFERROR(__xludf.DUMMYFUNCTION("""COMPUTED_VALUE"""),6.08)</f>
        <v>6.08</v>
      </c>
      <c r="H6814" s="17"/>
      <c r="K6814" s="17"/>
      <c r="N6814" s="17"/>
    </row>
    <row r="6815">
      <c r="B6815" s="11">
        <f>IFERROR(__xludf.DUMMYFUNCTION("""COMPUTED_VALUE"""),36486.0)</f>
        <v>36486</v>
      </c>
      <c r="C6815" s="9">
        <f>IFERROR(__xludf.DUMMYFUNCTION("""COMPUTED_VALUE"""),6.09)</f>
        <v>6.09</v>
      </c>
      <c r="H6815" s="17"/>
      <c r="K6815" s="17"/>
      <c r="N6815" s="17"/>
    </row>
    <row r="6816">
      <c r="B6816" s="11">
        <f>IFERROR(__xludf.DUMMYFUNCTION("""COMPUTED_VALUE"""),36483.0)</f>
        <v>36483</v>
      </c>
      <c r="C6816" s="9">
        <f>IFERROR(__xludf.DUMMYFUNCTION("""COMPUTED_VALUE"""),6.07)</f>
        <v>6.07</v>
      </c>
      <c r="H6816" s="17"/>
      <c r="K6816" s="17"/>
      <c r="N6816" s="17"/>
    </row>
    <row r="6817">
      <c r="B6817" s="11">
        <f>IFERROR(__xludf.DUMMYFUNCTION("""COMPUTED_VALUE"""),36482.0)</f>
        <v>36482</v>
      </c>
      <c r="C6817" s="9">
        <f>IFERROR(__xludf.DUMMYFUNCTION("""COMPUTED_VALUE"""),6.06)</f>
        <v>6.06</v>
      </c>
      <c r="H6817" s="17"/>
      <c r="K6817" s="17"/>
      <c r="N6817" s="17"/>
    </row>
    <row r="6818">
      <c r="B6818" s="11">
        <f>IFERROR(__xludf.DUMMYFUNCTION("""COMPUTED_VALUE"""),36481.0)</f>
        <v>36481</v>
      </c>
      <c r="C6818" s="9">
        <f>IFERROR(__xludf.DUMMYFUNCTION("""COMPUTED_VALUE"""),6.04)</f>
        <v>6.04</v>
      </c>
      <c r="H6818" s="17"/>
      <c r="K6818" s="17"/>
      <c r="N6818" s="17"/>
    </row>
    <row r="6819">
      <c r="B6819" s="11">
        <f>IFERROR(__xludf.DUMMYFUNCTION("""COMPUTED_VALUE"""),36480.0)</f>
        <v>36480</v>
      </c>
      <c r="C6819" s="9">
        <f>IFERROR(__xludf.DUMMYFUNCTION("""COMPUTED_VALUE"""),5.97)</f>
        <v>5.97</v>
      </c>
      <c r="H6819" s="17"/>
      <c r="K6819" s="17"/>
      <c r="N6819" s="17"/>
    </row>
    <row r="6820">
      <c r="B6820" s="11">
        <f>IFERROR(__xludf.DUMMYFUNCTION("""COMPUTED_VALUE"""),36479.0)</f>
        <v>36479</v>
      </c>
      <c r="C6820" s="9">
        <f>IFERROR(__xludf.DUMMYFUNCTION("""COMPUTED_VALUE"""),5.94)</f>
        <v>5.94</v>
      </c>
      <c r="H6820" s="17"/>
      <c r="K6820" s="17"/>
      <c r="N6820" s="17"/>
    </row>
    <row r="6821">
      <c r="B6821" s="11">
        <f>IFERROR(__xludf.DUMMYFUNCTION("""COMPUTED_VALUE"""),36476.0)</f>
        <v>36476</v>
      </c>
      <c r="C6821" s="9">
        <f>IFERROR(__xludf.DUMMYFUNCTION("""COMPUTED_VALUE"""),5.93)</f>
        <v>5.93</v>
      </c>
      <c r="H6821" s="17"/>
      <c r="K6821" s="17"/>
      <c r="N6821" s="17"/>
    </row>
    <row r="6822">
      <c r="B6822" s="11">
        <f>IFERROR(__xludf.DUMMYFUNCTION("""COMPUTED_VALUE"""),36475.0)</f>
        <v>36475</v>
      </c>
      <c r="C6822" s="9"/>
      <c r="H6822" s="17"/>
      <c r="K6822" s="17"/>
      <c r="N6822" s="17"/>
    </row>
    <row r="6823">
      <c r="B6823" s="11">
        <f>IFERROR(__xludf.DUMMYFUNCTION("""COMPUTED_VALUE"""),36474.0)</f>
        <v>36474</v>
      </c>
      <c r="C6823" s="9">
        <f>IFERROR(__xludf.DUMMYFUNCTION("""COMPUTED_VALUE"""),6.0)</f>
        <v>6</v>
      </c>
      <c r="H6823" s="17"/>
      <c r="K6823" s="17"/>
      <c r="N6823" s="17"/>
    </row>
    <row r="6824">
      <c r="B6824" s="11">
        <f>IFERROR(__xludf.DUMMYFUNCTION("""COMPUTED_VALUE"""),36473.0)</f>
        <v>36473</v>
      </c>
      <c r="C6824" s="9">
        <f>IFERROR(__xludf.DUMMYFUNCTION("""COMPUTED_VALUE"""),5.97)</f>
        <v>5.97</v>
      </c>
      <c r="H6824" s="17"/>
      <c r="K6824" s="17"/>
      <c r="N6824" s="17"/>
    </row>
    <row r="6825">
      <c r="B6825" s="11">
        <f>IFERROR(__xludf.DUMMYFUNCTION("""COMPUTED_VALUE"""),36472.0)</f>
        <v>36472</v>
      </c>
      <c r="C6825" s="9">
        <f>IFERROR(__xludf.DUMMYFUNCTION("""COMPUTED_VALUE"""),5.95)</f>
        <v>5.95</v>
      </c>
      <c r="H6825" s="17"/>
      <c r="K6825" s="17"/>
      <c r="N6825" s="17"/>
    </row>
    <row r="6826">
      <c r="B6826" s="11">
        <f>IFERROR(__xludf.DUMMYFUNCTION("""COMPUTED_VALUE"""),36469.0)</f>
        <v>36469</v>
      </c>
      <c r="C6826" s="9">
        <f>IFERROR(__xludf.DUMMYFUNCTION("""COMPUTED_VALUE"""),5.92)</f>
        <v>5.92</v>
      </c>
      <c r="H6826" s="17"/>
      <c r="K6826" s="17"/>
      <c r="N6826" s="17"/>
    </row>
    <row r="6827">
      <c r="B6827" s="11">
        <f>IFERROR(__xludf.DUMMYFUNCTION("""COMPUTED_VALUE"""),36468.0)</f>
        <v>36468</v>
      </c>
      <c r="C6827" s="9">
        <f>IFERROR(__xludf.DUMMYFUNCTION("""COMPUTED_VALUE"""),5.95)</f>
        <v>5.95</v>
      </c>
      <c r="H6827" s="17"/>
      <c r="K6827" s="17"/>
      <c r="N6827" s="17"/>
    </row>
    <row r="6828">
      <c r="B6828" s="11">
        <f>IFERROR(__xludf.DUMMYFUNCTION("""COMPUTED_VALUE"""),36467.0)</f>
        <v>36467</v>
      </c>
      <c r="C6828" s="9">
        <f>IFERROR(__xludf.DUMMYFUNCTION("""COMPUTED_VALUE"""),6.01)</f>
        <v>6.01</v>
      </c>
      <c r="H6828" s="17"/>
      <c r="K6828" s="17"/>
      <c r="N6828" s="17"/>
    </row>
    <row r="6829">
      <c r="B6829" s="11">
        <f>IFERROR(__xludf.DUMMYFUNCTION("""COMPUTED_VALUE"""),36466.0)</f>
        <v>36466</v>
      </c>
      <c r="C6829" s="9">
        <f>IFERROR(__xludf.DUMMYFUNCTION("""COMPUTED_VALUE"""),6.04)</f>
        <v>6.04</v>
      </c>
      <c r="H6829" s="17"/>
      <c r="K6829" s="17"/>
      <c r="N6829" s="17"/>
    </row>
    <row r="6830">
      <c r="B6830" s="11">
        <f>IFERROR(__xludf.DUMMYFUNCTION("""COMPUTED_VALUE"""),36465.0)</f>
        <v>36465</v>
      </c>
      <c r="C6830" s="9">
        <f>IFERROR(__xludf.DUMMYFUNCTION("""COMPUTED_VALUE"""),6.06)</f>
        <v>6.06</v>
      </c>
      <c r="H6830" s="17"/>
      <c r="K6830" s="17"/>
      <c r="N6830" s="17"/>
    </row>
    <row r="6831">
      <c r="B6831" s="11">
        <f>IFERROR(__xludf.DUMMYFUNCTION("""COMPUTED_VALUE"""),36462.0)</f>
        <v>36462</v>
      </c>
      <c r="C6831" s="9">
        <f>IFERROR(__xludf.DUMMYFUNCTION("""COMPUTED_VALUE"""),6.02)</f>
        <v>6.02</v>
      </c>
      <c r="H6831" s="17"/>
      <c r="K6831" s="17"/>
      <c r="N6831" s="17"/>
    </row>
    <row r="6832">
      <c r="B6832" s="11">
        <f>IFERROR(__xludf.DUMMYFUNCTION("""COMPUTED_VALUE"""),36461.0)</f>
        <v>36461</v>
      </c>
      <c r="C6832" s="9">
        <f>IFERROR(__xludf.DUMMYFUNCTION("""COMPUTED_VALUE"""),6.12)</f>
        <v>6.12</v>
      </c>
      <c r="H6832" s="17"/>
      <c r="K6832" s="17"/>
      <c r="N6832" s="17"/>
    </row>
    <row r="6833">
      <c r="B6833" s="11">
        <f>IFERROR(__xludf.DUMMYFUNCTION("""COMPUTED_VALUE"""),36460.0)</f>
        <v>36460</v>
      </c>
      <c r="C6833" s="9">
        <f>IFERROR(__xludf.DUMMYFUNCTION("""COMPUTED_VALUE"""),6.19)</f>
        <v>6.19</v>
      </c>
      <c r="H6833" s="17"/>
      <c r="K6833" s="17"/>
      <c r="N6833" s="17"/>
    </row>
    <row r="6834">
      <c r="B6834" s="11">
        <f>IFERROR(__xludf.DUMMYFUNCTION("""COMPUTED_VALUE"""),36459.0)</f>
        <v>36459</v>
      </c>
      <c r="C6834" s="9">
        <f>IFERROR(__xludf.DUMMYFUNCTION("""COMPUTED_VALUE"""),6.24)</f>
        <v>6.24</v>
      </c>
      <c r="H6834" s="17"/>
      <c r="K6834" s="17"/>
      <c r="N6834" s="17"/>
    </row>
    <row r="6835">
      <c r="B6835" s="11">
        <f>IFERROR(__xludf.DUMMYFUNCTION("""COMPUTED_VALUE"""),36458.0)</f>
        <v>36458</v>
      </c>
      <c r="C6835" s="9">
        <f>IFERROR(__xludf.DUMMYFUNCTION("""COMPUTED_VALUE"""),6.22)</f>
        <v>6.22</v>
      </c>
      <c r="H6835" s="17"/>
      <c r="K6835" s="17"/>
      <c r="N6835" s="17"/>
    </row>
    <row r="6836">
      <c r="B6836" s="11">
        <f>IFERROR(__xludf.DUMMYFUNCTION("""COMPUTED_VALUE"""),36455.0)</f>
        <v>36455</v>
      </c>
      <c r="C6836" s="9">
        <f>IFERROR(__xludf.DUMMYFUNCTION("""COMPUTED_VALUE"""),6.21)</f>
        <v>6.21</v>
      </c>
      <c r="H6836" s="17"/>
      <c r="K6836" s="17"/>
      <c r="N6836" s="17"/>
    </row>
    <row r="6837">
      <c r="B6837" s="11">
        <f>IFERROR(__xludf.DUMMYFUNCTION("""COMPUTED_VALUE"""),36454.0)</f>
        <v>36454</v>
      </c>
      <c r="C6837" s="9">
        <f>IFERROR(__xludf.DUMMYFUNCTION("""COMPUTED_VALUE"""),6.2)</f>
        <v>6.2</v>
      </c>
      <c r="H6837" s="17"/>
      <c r="K6837" s="17"/>
      <c r="N6837" s="17"/>
    </row>
    <row r="6838">
      <c r="B6838" s="11">
        <f>IFERROR(__xludf.DUMMYFUNCTION("""COMPUTED_VALUE"""),36453.0)</f>
        <v>36453</v>
      </c>
      <c r="C6838" s="9">
        <f>IFERROR(__xludf.DUMMYFUNCTION("""COMPUTED_VALUE"""),6.19)</f>
        <v>6.19</v>
      </c>
      <c r="H6838" s="17"/>
      <c r="K6838" s="17"/>
      <c r="N6838" s="17"/>
    </row>
    <row r="6839">
      <c r="B6839" s="11">
        <f>IFERROR(__xludf.DUMMYFUNCTION("""COMPUTED_VALUE"""),36452.0)</f>
        <v>36452</v>
      </c>
      <c r="C6839" s="9">
        <f>IFERROR(__xludf.DUMMYFUNCTION("""COMPUTED_VALUE"""),6.18)</f>
        <v>6.18</v>
      </c>
      <c r="H6839" s="17"/>
      <c r="K6839" s="17"/>
      <c r="N6839" s="17"/>
    </row>
    <row r="6840">
      <c r="B6840" s="11">
        <f>IFERROR(__xludf.DUMMYFUNCTION("""COMPUTED_VALUE"""),36451.0)</f>
        <v>36451</v>
      </c>
      <c r="C6840" s="9">
        <f>IFERROR(__xludf.DUMMYFUNCTION("""COMPUTED_VALUE"""),6.12)</f>
        <v>6.12</v>
      </c>
      <c r="H6840" s="17"/>
      <c r="K6840" s="17"/>
      <c r="N6840" s="17"/>
    </row>
    <row r="6841">
      <c r="B6841" s="11">
        <f>IFERROR(__xludf.DUMMYFUNCTION("""COMPUTED_VALUE"""),36448.0)</f>
        <v>36448</v>
      </c>
      <c r="C6841" s="9">
        <f>IFERROR(__xludf.DUMMYFUNCTION("""COMPUTED_VALUE"""),6.09)</f>
        <v>6.09</v>
      </c>
      <c r="H6841" s="17"/>
      <c r="K6841" s="17"/>
      <c r="N6841" s="17"/>
    </row>
    <row r="6842">
      <c r="B6842" s="11">
        <f>IFERROR(__xludf.DUMMYFUNCTION("""COMPUTED_VALUE"""),36447.0)</f>
        <v>36447</v>
      </c>
      <c r="C6842" s="9">
        <f>IFERROR(__xludf.DUMMYFUNCTION("""COMPUTED_VALUE"""),6.17)</f>
        <v>6.17</v>
      </c>
      <c r="H6842" s="17"/>
      <c r="K6842" s="17"/>
      <c r="N6842" s="17"/>
    </row>
    <row r="6843">
      <c r="B6843" s="11">
        <f>IFERROR(__xludf.DUMMYFUNCTION("""COMPUTED_VALUE"""),36446.0)</f>
        <v>36446</v>
      </c>
      <c r="C6843" s="9">
        <f>IFERROR(__xludf.DUMMYFUNCTION("""COMPUTED_VALUE"""),6.12)</f>
        <v>6.12</v>
      </c>
      <c r="H6843" s="17"/>
      <c r="K6843" s="17"/>
      <c r="N6843" s="17"/>
    </row>
    <row r="6844">
      <c r="B6844" s="11">
        <f>IFERROR(__xludf.DUMMYFUNCTION("""COMPUTED_VALUE"""),36445.0)</f>
        <v>36445</v>
      </c>
      <c r="C6844" s="9">
        <f>IFERROR(__xludf.DUMMYFUNCTION("""COMPUTED_VALUE"""),6.07)</f>
        <v>6.07</v>
      </c>
      <c r="H6844" s="17"/>
      <c r="K6844" s="17"/>
      <c r="N6844" s="17"/>
    </row>
    <row r="6845">
      <c r="B6845" s="11">
        <f>IFERROR(__xludf.DUMMYFUNCTION("""COMPUTED_VALUE"""),36444.0)</f>
        <v>36444</v>
      </c>
      <c r="C6845" s="9"/>
      <c r="H6845" s="17"/>
      <c r="K6845" s="17"/>
      <c r="N6845" s="17"/>
    </row>
    <row r="6846">
      <c r="B6846" s="11">
        <f>IFERROR(__xludf.DUMMYFUNCTION("""COMPUTED_VALUE"""),36441.0)</f>
        <v>36441</v>
      </c>
      <c r="C6846" s="9">
        <f>IFERROR(__xludf.DUMMYFUNCTION("""COMPUTED_VALUE"""),6.04)</f>
        <v>6.04</v>
      </c>
      <c r="H6846" s="17"/>
      <c r="K6846" s="17"/>
      <c r="N6846" s="17"/>
    </row>
    <row r="6847">
      <c r="B6847" s="11">
        <f>IFERROR(__xludf.DUMMYFUNCTION("""COMPUTED_VALUE"""),36440.0)</f>
        <v>36440</v>
      </c>
      <c r="C6847" s="9">
        <f>IFERROR(__xludf.DUMMYFUNCTION("""COMPUTED_VALUE"""),6.05)</f>
        <v>6.05</v>
      </c>
      <c r="H6847" s="17"/>
      <c r="K6847" s="17"/>
      <c r="N6847" s="17"/>
    </row>
    <row r="6848">
      <c r="B6848" s="11">
        <f>IFERROR(__xludf.DUMMYFUNCTION("""COMPUTED_VALUE"""),36439.0)</f>
        <v>36439</v>
      </c>
      <c r="C6848" s="9">
        <f>IFERROR(__xludf.DUMMYFUNCTION("""COMPUTED_VALUE"""),6.04)</f>
        <v>6.04</v>
      </c>
      <c r="H6848" s="17"/>
      <c r="K6848" s="17"/>
      <c r="N6848" s="17"/>
    </row>
    <row r="6849">
      <c r="B6849" s="11">
        <f>IFERROR(__xludf.DUMMYFUNCTION("""COMPUTED_VALUE"""),36438.0)</f>
        <v>36438</v>
      </c>
      <c r="C6849" s="9">
        <f>IFERROR(__xludf.DUMMYFUNCTION("""COMPUTED_VALUE"""),6.02)</f>
        <v>6.02</v>
      </c>
      <c r="H6849" s="17"/>
      <c r="K6849" s="17"/>
      <c r="N6849" s="17"/>
    </row>
    <row r="6850">
      <c r="B6850" s="11">
        <f>IFERROR(__xludf.DUMMYFUNCTION("""COMPUTED_VALUE"""),36437.0)</f>
        <v>36437</v>
      </c>
      <c r="C6850" s="9">
        <f>IFERROR(__xludf.DUMMYFUNCTION("""COMPUTED_VALUE"""),5.95)</f>
        <v>5.95</v>
      </c>
      <c r="H6850" s="17"/>
      <c r="K6850" s="17"/>
      <c r="N6850" s="17"/>
    </row>
    <row r="6851">
      <c r="B6851" s="11">
        <f>IFERROR(__xludf.DUMMYFUNCTION("""COMPUTED_VALUE"""),36434.0)</f>
        <v>36434</v>
      </c>
      <c r="C6851" s="9">
        <f>IFERROR(__xludf.DUMMYFUNCTION("""COMPUTED_VALUE"""),6.0)</f>
        <v>6</v>
      </c>
      <c r="H6851" s="17"/>
      <c r="K6851" s="17"/>
      <c r="N6851" s="17"/>
    </row>
    <row r="6852">
      <c r="B6852" s="11">
        <f>IFERROR(__xludf.DUMMYFUNCTION("""COMPUTED_VALUE"""),36433.0)</f>
        <v>36433</v>
      </c>
      <c r="C6852" s="9">
        <f>IFERROR(__xludf.DUMMYFUNCTION("""COMPUTED_VALUE"""),5.9)</f>
        <v>5.9</v>
      </c>
      <c r="H6852" s="17"/>
      <c r="K6852" s="17"/>
      <c r="N6852" s="17"/>
    </row>
    <row r="6853">
      <c r="B6853" s="11">
        <f>IFERROR(__xludf.DUMMYFUNCTION("""COMPUTED_VALUE"""),36432.0)</f>
        <v>36432</v>
      </c>
      <c r="C6853" s="9">
        <f>IFERROR(__xludf.DUMMYFUNCTION("""COMPUTED_VALUE"""),5.97)</f>
        <v>5.97</v>
      </c>
      <c r="H6853" s="17"/>
      <c r="K6853" s="17"/>
      <c r="N6853" s="17"/>
    </row>
    <row r="6854">
      <c r="B6854" s="11">
        <f>IFERROR(__xludf.DUMMYFUNCTION("""COMPUTED_VALUE"""),36431.0)</f>
        <v>36431</v>
      </c>
      <c r="C6854" s="9">
        <f>IFERROR(__xludf.DUMMYFUNCTION("""COMPUTED_VALUE"""),5.89)</f>
        <v>5.89</v>
      </c>
      <c r="H6854" s="17"/>
      <c r="K6854" s="17"/>
      <c r="N6854" s="17"/>
    </row>
    <row r="6855">
      <c r="B6855" s="11">
        <f>IFERROR(__xludf.DUMMYFUNCTION("""COMPUTED_VALUE"""),36430.0)</f>
        <v>36430</v>
      </c>
      <c r="C6855" s="9">
        <f>IFERROR(__xludf.DUMMYFUNCTION("""COMPUTED_VALUE"""),5.83)</f>
        <v>5.83</v>
      </c>
      <c r="H6855" s="17"/>
      <c r="K6855" s="17"/>
      <c r="N6855" s="17"/>
    </row>
    <row r="6856">
      <c r="B6856" s="11">
        <f>IFERROR(__xludf.DUMMYFUNCTION("""COMPUTED_VALUE"""),36427.0)</f>
        <v>36427</v>
      </c>
      <c r="C6856" s="9">
        <f>IFERROR(__xludf.DUMMYFUNCTION("""COMPUTED_VALUE"""),5.75)</f>
        <v>5.75</v>
      </c>
      <c r="H6856" s="17"/>
      <c r="K6856" s="17"/>
      <c r="N6856" s="17"/>
    </row>
    <row r="6857">
      <c r="B6857" s="11">
        <f>IFERROR(__xludf.DUMMYFUNCTION("""COMPUTED_VALUE"""),36426.0)</f>
        <v>36426</v>
      </c>
      <c r="C6857" s="9">
        <f>IFERROR(__xludf.DUMMYFUNCTION("""COMPUTED_VALUE"""),5.87)</f>
        <v>5.87</v>
      </c>
      <c r="H6857" s="17"/>
      <c r="K6857" s="17"/>
      <c r="N6857" s="17"/>
    </row>
    <row r="6858">
      <c r="B6858" s="11">
        <f>IFERROR(__xludf.DUMMYFUNCTION("""COMPUTED_VALUE"""),36425.0)</f>
        <v>36425</v>
      </c>
      <c r="C6858" s="9">
        <f>IFERROR(__xludf.DUMMYFUNCTION("""COMPUTED_VALUE"""),5.92)</f>
        <v>5.92</v>
      </c>
      <c r="H6858" s="17"/>
      <c r="K6858" s="17"/>
      <c r="N6858" s="17"/>
    </row>
    <row r="6859">
      <c r="B6859" s="11">
        <f>IFERROR(__xludf.DUMMYFUNCTION("""COMPUTED_VALUE"""),36424.0)</f>
        <v>36424</v>
      </c>
      <c r="C6859" s="9">
        <f>IFERROR(__xludf.DUMMYFUNCTION("""COMPUTED_VALUE"""),5.94)</f>
        <v>5.94</v>
      </c>
      <c r="H6859" s="17"/>
      <c r="K6859" s="17"/>
      <c r="N6859" s="17"/>
    </row>
    <row r="6860">
      <c r="B6860" s="11">
        <f>IFERROR(__xludf.DUMMYFUNCTION("""COMPUTED_VALUE"""),36423.0)</f>
        <v>36423</v>
      </c>
      <c r="C6860" s="9">
        <f>IFERROR(__xludf.DUMMYFUNCTION("""COMPUTED_VALUE"""),5.91)</f>
        <v>5.91</v>
      </c>
      <c r="H6860" s="17"/>
      <c r="K6860" s="17"/>
      <c r="N6860" s="17"/>
    </row>
    <row r="6861">
      <c r="B6861" s="11">
        <f>IFERROR(__xludf.DUMMYFUNCTION("""COMPUTED_VALUE"""),36420.0)</f>
        <v>36420</v>
      </c>
      <c r="C6861" s="9">
        <f>IFERROR(__xludf.DUMMYFUNCTION("""COMPUTED_VALUE"""),5.87)</f>
        <v>5.87</v>
      </c>
      <c r="H6861" s="17"/>
      <c r="K6861" s="17"/>
      <c r="N6861" s="17"/>
    </row>
    <row r="6862">
      <c r="B6862" s="11">
        <f>IFERROR(__xludf.DUMMYFUNCTION("""COMPUTED_VALUE"""),36419.0)</f>
        <v>36419</v>
      </c>
      <c r="C6862" s="9">
        <f>IFERROR(__xludf.DUMMYFUNCTION("""COMPUTED_VALUE"""),5.9)</f>
        <v>5.9</v>
      </c>
      <c r="H6862" s="17"/>
      <c r="K6862" s="17"/>
      <c r="N6862" s="17"/>
    </row>
    <row r="6863">
      <c r="B6863" s="11">
        <f>IFERROR(__xludf.DUMMYFUNCTION("""COMPUTED_VALUE"""),36418.0)</f>
        <v>36418</v>
      </c>
      <c r="C6863" s="9">
        <f>IFERROR(__xludf.DUMMYFUNCTION("""COMPUTED_VALUE"""),5.94)</f>
        <v>5.94</v>
      </c>
      <c r="H6863" s="17"/>
      <c r="K6863" s="17"/>
      <c r="N6863" s="17"/>
    </row>
    <row r="6864">
      <c r="B6864" s="11">
        <f>IFERROR(__xludf.DUMMYFUNCTION("""COMPUTED_VALUE"""),36417.0)</f>
        <v>36417</v>
      </c>
      <c r="C6864" s="9">
        <f>IFERROR(__xludf.DUMMYFUNCTION("""COMPUTED_VALUE"""),5.96)</f>
        <v>5.96</v>
      </c>
      <c r="H6864" s="17"/>
      <c r="K6864" s="17"/>
      <c r="N6864" s="17"/>
    </row>
    <row r="6865">
      <c r="B6865" s="11">
        <f>IFERROR(__xludf.DUMMYFUNCTION("""COMPUTED_VALUE"""),36416.0)</f>
        <v>36416</v>
      </c>
      <c r="C6865" s="9">
        <f>IFERROR(__xludf.DUMMYFUNCTION("""COMPUTED_VALUE"""),5.92)</f>
        <v>5.92</v>
      </c>
      <c r="H6865" s="17"/>
      <c r="K6865" s="17"/>
      <c r="N6865" s="17"/>
    </row>
    <row r="6866">
      <c r="B6866" s="11">
        <f>IFERROR(__xludf.DUMMYFUNCTION("""COMPUTED_VALUE"""),36413.0)</f>
        <v>36413</v>
      </c>
      <c r="C6866" s="9">
        <f>IFERROR(__xludf.DUMMYFUNCTION("""COMPUTED_VALUE"""),5.89)</f>
        <v>5.89</v>
      </c>
      <c r="H6866" s="17"/>
      <c r="K6866" s="17"/>
      <c r="N6866" s="17"/>
    </row>
    <row r="6867">
      <c r="B6867" s="11">
        <f>IFERROR(__xludf.DUMMYFUNCTION("""COMPUTED_VALUE"""),36412.0)</f>
        <v>36412</v>
      </c>
      <c r="C6867" s="9">
        <f>IFERROR(__xludf.DUMMYFUNCTION("""COMPUTED_VALUE"""),5.97)</f>
        <v>5.97</v>
      </c>
      <c r="H6867" s="17"/>
      <c r="K6867" s="17"/>
      <c r="N6867" s="17"/>
    </row>
    <row r="6868">
      <c r="B6868" s="11">
        <f>IFERROR(__xludf.DUMMYFUNCTION("""COMPUTED_VALUE"""),36411.0)</f>
        <v>36411</v>
      </c>
      <c r="C6868" s="9">
        <f>IFERROR(__xludf.DUMMYFUNCTION("""COMPUTED_VALUE"""),5.93)</f>
        <v>5.93</v>
      </c>
      <c r="H6868" s="17"/>
      <c r="K6868" s="17"/>
      <c r="N6868" s="17"/>
    </row>
    <row r="6869">
      <c r="B6869" s="11">
        <f>IFERROR(__xludf.DUMMYFUNCTION("""COMPUTED_VALUE"""),36410.0)</f>
        <v>36410</v>
      </c>
      <c r="C6869" s="9">
        <f>IFERROR(__xludf.DUMMYFUNCTION("""COMPUTED_VALUE"""),5.95)</f>
        <v>5.95</v>
      </c>
      <c r="H6869" s="17"/>
      <c r="K6869" s="17"/>
      <c r="N6869" s="17"/>
    </row>
    <row r="6870">
      <c r="B6870" s="11">
        <f>IFERROR(__xludf.DUMMYFUNCTION("""COMPUTED_VALUE"""),36409.0)</f>
        <v>36409</v>
      </c>
      <c r="C6870" s="9"/>
      <c r="H6870" s="17"/>
      <c r="K6870" s="17"/>
      <c r="N6870" s="17"/>
    </row>
    <row r="6871">
      <c r="B6871" s="11">
        <f>IFERROR(__xludf.DUMMYFUNCTION("""COMPUTED_VALUE"""),36406.0)</f>
        <v>36406</v>
      </c>
      <c r="C6871" s="9">
        <f>IFERROR(__xludf.DUMMYFUNCTION("""COMPUTED_VALUE"""),5.89)</f>
        <v>5.89</v>
      </c>
      <c r="H6871" s="17"/>
      <c r="K6871" s="17"/>
      <c r="N6871" s="17"/>
    </row>
    <row r="6872">
      <c r="B6872" s="11">
        <f>IFERROR(__xludf.DUMMYFUNCTION("""COMPUTED_VALUE"""),36405.0)</f>
        <v>36405</v>
      </c>
      <c r="C6872" s="9">
        <f>IFERROR(__xludf.DUMMYFUNCTION("""COMPUTED_VALUE"""),6.03)</f>
        <v>6.03</v>
      </c>
      <c r="H6872" s="17"/>
      <c r="K6872" s="17"/>
      <c r="N6872" s="17"/>
    </row>
    <row r="6873">
      <c r="B6873" s="11">
        <f>IFERROR(__xludf.DUMMYFUNCTION("""COMPUTED_VALUE"""),36404.0)</f>
        <v>36404</v>
      </c>
      <c r="C6873" s="9">
        <f>IFERROR(__xludf.DUMMYFUNCTION("""COMPUTED_VALUE"""),5.99)</f>
        <v>5.99</v>
      </c>
      <c r="H6873" s="17"/>
      <c r="K6873" s="17"/>
      <c r="N6873" s="17"/>
    </row>
    <row r="6874">
      <c r="B6874" s="11">
        <f>IFERROR(__xludf.DUMMYFUNCTION("""COMPUTED_VALUE"""),36403.0)</f>
        <v>36403</v>
      </c>
      <c r="C6874" s="9">
        <f>IFERROR(__xludf.DUMMYFUNCTION("""COMPUTED_VALUE"""),5.98)</f>
        <v>5.98</v>
      </c>
      <c r="H6874" s="17"/>
      <c r="K6874" s="17"/>
      <c r="N6874" s="17"/>
    </row>
    <row r="6875">
      <c r="B6875" s="11">
        <f>IFERROR(__xludf.DUMMYFUNCTION("""COMPUTED_VALUE"""),36402.0)</f>
        <v>36402</v>
      </c>
      <c r="C6875" s="9">
        <f>IFERROR(__xludf.DUMMYFUNCTION("""COMPUTED_VALUE"""),5.95)</f>
        <v>5.95</v>
      </c>
      <c r="H6875" s="17"/>
      <c r="K6875" s="17"/>
      <c r="N6875" s="17"/>
    </row>
    <row r="6876">
      <c r="B6876" s="11">
        <f>IFERROR(__xludf.DUMMYFUNCTION("""COMPUTED_VALUE"""),36399.0)</f>
        <v>36399</v>
      </c>
      <c r="C6876" s="9">
        <f>IFERROR(__xludf.DUMMYFUNCTION("""COMPUTED_VALUE"""),5.85)</f>
        <v>5.85</v>
      </c>
      <c r="H6876" s="17"/>
      <c r="K6876" s="17"/>
      <c r="N6876" s="17"/>
    </row>
    <row r="6877">
      <c r="B6877" s="11">
        <f>IFERROR(__xludf.DUMMYFUNCTION("""COMPUTED_VALUE"""),36398.0)</f>
        <v>36398</v>
      </c>
      <c r="C6877" s="9">
        <f>IFERROR(__xludf.DUMMYFUNCTION("""COMPUTED_VALUE"""),5.75)</f>
        <v>5.75</v>
      </c>
      <c r="H6877" s="17"/>
      <c r="K6877" s="17"/>
      <c r="N6877" s="17"/>
    </row>
    <row r="6878">
      <c r="B6878" s="11">
        <f>IFERROR(__xludf.DUMMYFUNCTION("""COMPUTED_VALUE"""),36397.0)</f>
        <v>36397</v>
      </c>
      <c r="C6878" s="9">
        <f>IFERROR(__xludf.DUMMYFUNCTION("""COMPUTED_VALUE"""),5.73)</f>
        <v>5.73</v>
      </c>
      <c r="H6878" s="17"/>
      <c r="K6878" s="17"/>
      <c r="N6878" s="17"/>
    </row>
    <row r="6879">
      <c r="B6879" s="11">
        <f>IFERROR(__xludf.DUMMYFUNCTION("""COMPUTED_VALUE"""),36396.0)</f>
        <v>36396</v>
      </c>
      <c r="C6879" s="9">
        <f>IFERROR(__xludf.DUMMYFUNCTION("""COMPUTED_VALUE"""),5.85)</f>
        <v>5.85</v>
      </c>
      <c r="H6879" s="17"/>
      <c r="K6879" s="17"/>
      <c r="N6879" s="17"/>
    </row>
    <row r="6880">
      <c r="B6880" s="11">
        <f>IFERROR(__xludf.DUMMYFUNCTION("""COMPUTED_VALUE"""),36395.0)</f>
        <v>36395</v>
      </c>
      <c r="C6880" s="9">
        <f>IFERROR(__xludf.DUMMYFUNCTION("""COMPUTED_VALUE"""),5.89)</f>
        <v>5.89</v>
      </c>
      <c r="H6880" s="17"/>
      <c r="K6880" s="17"/>
      <c r="N6880" s="17"/>
    </row>
    <row r="6881">
      <c r="B6881" s="11">
        <f>IFERROR(__xludf.DUMMYFUNCTION("""COMPUTED_VALUE"""),36392.0)</f>
        <v>36392</v>
      </c>
      <c r="C6881" s="9">
        <f>IFERROR(__xludf.DUMMYFUNCTION("""COMPUTED_VALUE"""),5.88)</f>
        <v>5.88</v>
      </c>
      <c r="H6881" s="17"/>
      <c r="K6881" s="17"/>
      <c r="N6881" s="17"/>
    </row>
    <row r="6882">
      <c r="B6882" s="11">
        <f>IFERROR(__xludf.DUMMYFUNCTION("""COMPUTED_VALUE"""),36391.0)</f>
        <v>36391</v>
      </c>
      <c r="C6882" s="9">
        <f>IFERROR(__xludf.DUMMYFUNCTION("""COMPUTED_VALUE"""),5.9)</f>
        <v>5.9</v>
      </c>
      <c r="H6882" s="17"/>
      <c r="K6882" s="17"/>
      <c r="N6882" s="17"/>
    </row>
    <row r="6883">
      <c r="B6883" s="11">
        <f>IFERROR(__xludf.DUMMYFUNCTION("""COMPUTED_VALUE"""),36390.0)</f>
        <v>36390</v>
      </c>
      <c r="C6883" s="9">
        <f>IFERROR(__xludf.DUMMYFUNCTION("""COMPUTED_VALUE"""),5.88)</f>
        <v>5.88</v>
      </c>
      <c r="H6883" s="17"/>
      <c r="K6883" s="17"/>
      <c r="N6883" s="17"/>
    </row>
    <row r="6884">
      <c r="B6884" s="11">
        <f>IFERROR(__xludf.DUMMYFUNCTION("""COMPUTED_VALUE"""),36389.0)</f>
        <v>36389</v>
      </c>
      <c r="C6884" s="9">
        <f>IFERROR(__xludf.DUMMYFUNCTION("""COMPUTED_VALUE"""),5.89)</f>
        <v>5.89</v>
      </c>
      <c r="H6884" s="17"/>
      <c r="K6884" s="17"/>
      <c r="N6884" s="17"/>
    </row>
    <row r="6885">
      <c r="B6885" s="11">
        <f>IFERROR(__xludf.DUMMYFUNCTION("""COMPUTED_VALUE"""),36388.0)</f>
        <v>36388</v>
      </c>
      <c r="C6885" s="9">
        <f>IFERROR(__xludf.DUMMYFUNCTION("""COMPUTED_VALUE"""),5.98)</f>
        <v>5.98</v>
      </c>
      <c r="H6885" s="17"/>
      <c r="K6885" s="17"/>
      <c r="N6885" s="17"/>
    </row>
    <row r="6886">
      <c r="B6886" s="11">
        <f>IFERROR(__xludf.DUMMYFUNCTION("""COMPUTED_VALUE"""),36385.0)</f>
        <v>36385</v>
      </c>
      <c r="C6886" s="9">
        <f>IFERROR(__xludf.DUMMYFUNCTION("""COMPUTED_VALUE"""),5.98)</f>
        <v>5.98</v>
      </c>
      <c r="H6886" s="17"/>
      <c r="K6886" s="17"/>
      <c r="N6886" s="17"/>
    </row>
    <row r="6887">
      <c r="B6887" s="11">
        <f>IFERROR(__xludf.DUMMYFUNCTION("""COMPUTED_VALUE"""),36384.0)</f>
        <v>36384</v>
      </c>
      <c r="C6887" s="9">
        <f>IFERROR(__xludf.DUMMYFUNCTION("""COMPUTED_VALUE"""),6.08)</f>
        <v>6.08</v>
      </c>
      <c r="H6887" s="17"/>
      <c r="K6887" s="17"/>
      <c r="N6887" s="17"/>
    </row>
    <row r="6888">
      <c r="B6888" s="11">
        <f>IFERROR(__xludf.DUMMYFUNCTION("""COMPUTED_VALUE"""),36383.0)</f>
        <v>36383</v>
      </c>
      <c r="C6888" s="9">
        <f>IFERROR(__xludf.DUMMYFUNCTION("""COMPUTED_VALUE"""),6.05)</f>
        <v>6.05</v>
      </c>
      <c r="H6888" s="17"/>
      <c r="K6888" s="17"/>
      <c r="N6888" s="17"/>
    </row>
    <row r="6889">
      <c r="B6889" s="11">
        <f>IFERROR(__xludf.DUMMYFUNCTION("""COMPUTED_VALUE"""),36382.0)</f>
        <v>36382</v>
      </c>
      <c r="C6889" s="9">
        <f>IFERROR(__xludf.DUMMYFUNCTION("""COMPUTED_VALUE"""),6.16)</f>
        <v>6.16</v>
      </c>
      <c r="H6889" s="17"/>
      <c r="K6889" s="17"/>
      <c r="N6889" s="17"/>
    </row>
    <row r="6890">
      <c r="B6890" s="11">
        <f>IFERROR(__xludf.DUMMYFUNCTION("""COMPUTED_VALUE"""),36381.0)</f>
        <v>36381</v>
      </c>
      <c r="C6890" s="9">
        <f>IFERROR(__xludf.DUMMYFUNCTION("""COMPUTED_VALUE"""),6.13)</f>
        <v>6.13</v>
      </c>
      <c r="H6890" s="17"/>
      <c r="K6890" s="17"/>
      <c r="N6890" s="17"/>
    </row>
    <row r="6891">
      <c r="B6891" s="11">
        <f>IFERROR(__xludf.DUMMYFUNCTION("""COMPUTED_VALUE"""),36378.0)</f>
        <v>36378</v>
      </c>
      <c r="C6891" s="9">
        <f>IFERROR(__xludf.DUMMYFUNCTION("""COMPUTED_VALUE"""),6.02)</f>
        <v>6.02</v>
      </c>
      <c r="H6891" s="17"/>
      <c r="K6891" s="17"/>
      <c r="N6891" s="17"/>
    </row>
    <row r="6892">
      <c r="B6892" s="11">
        <f>IFERROR(__xludf.DUMMYFUNCTION("""COMPUTED_VALUE"""),36377.0)</f>
        <v>36377</v>
      </c>
      <c r="C6892" s="9">
        <f>IFERROR(__xludf.DUMMYFUNCTION("""COMPUTED_VALUE"""),5.88)</f>
        <v>5.88</v>
      </c>
      <c r="H6892" s="17"/>
      <c r="K6892" s="17"/>
      <c r="N6892" s="17"/>
    </row>
    <row r="6893">
      <c r="B6893" s="11">
        <f>IFERROR(__xludf.DUMMYFUNCTION("""COMPUTED_VALUE"""),36376.0)</f>
        <v>36376</v>
      </c>
      <c r="C6893" s="9">
        <f>IFERROR(__xludf.DUMMYFUNCTION("""COMPUTED_VALUE"""),5.96)</f>
        <v>5.96</v>
      </c>
      <c r="H6893" s="17"/>
      <c r="K6893" s="17"/>
      <c r="N6893" s="17"/>
    </row>
    <row r="6894">
      <c r="B6894" s="11">
        <f>IFERROR(__xludf.DUMMYFUNCTION("""COMPUTED_VALUE"""),36375.0)</f>
        <v>36375</v>
      </c>
      <c r="C6894" s="9">
        <f>IFERROR(__xludf.DUMMYFUNCTION("""COMPUTED_VALUE"""),5.95)</f>
        <v>5.95</v>
      </c>
      <c r="H6894" s="17"/>
      <c r="K6894" s="17"/>
      <c r="N6894" s="17"/>
    </row>
    <row r="6895">
      <c r="B6895" s="11">
        <f>IFERROR(__xludf.DUMMYFUNCTION("""COMPUTED_VALUE"""),36374.0)</f>
        <v>36374</v>
      </c>
      <c r="C6895" s="9">
        <f>IFERROR(__xludf.DUMMYFUNCTION("""COMPUTED_VALUE"""),5.92)</f>
        <v>5.92</v>
      </c>
      <c r="H6895" s="17"/>
      <c r="K6895" s="17"/>
      <c r="N6895" s="17"/>
    </row>
    <row r="6896">
      <c r="B6896" s="11">
        <f>IFERROR(__xludf.DUMMYFUNCTION("""COMPUTED_VALUE"""),36371.0)</f>
        <v>36371</v>
      </c>
      <c r="C6896" s="9">
        <f>IFERROR(__xludf.DUMMYFUNCTION("""COMPUTED_VALUE"""),5.92)</f>
        <v>5.92</v>
      </c>
      <c r="H6896" s="17"/>
      <c r="K6896" s="17"/>
      <c r="N6896" s="17"/>
    </row>
    <row r="6897">
      <c r="B6897" s="11">
        <f>IFERROR(__xludf.DUMMYFUNCTION("""COMPUTED_VALUE"""),36370.0)</f>
        <v>36370</v>
      </c>
      <c r="C6897" s="9">
        <f>IFERROR(__xludf.DUMMYFUNCTION("""COMPUTED_VALUE"""),5.88)</f>
        <v>5.88</v>
      </c>
      <c r="H6897" s="17"/>
      <c r="K6897" s="17"/>
      <c r="N6897" s="17"/>
    </row>
    <row r="6898">
      <c r="B6898" s="11">
        <f>IFERROR(__xludf.DUMMYFUNCTION("""COMPUTED_VALUE"""),36369.0)</f>
        <v>36369</v>
      </c>
      <c r="C6898" s="9">
        <f>IFERROR(__xludf.DUMMYFUNCTION("""COMPUTED_VALUE"""),5.81)</f>
        <v>5.81</v>
      </c>
      <c r="H6898" s="17"/>
      <c r="K6898" s="17"/>
      <c r="N6898" s="17"/>
    </row>
    <row r="6899">
      <c r="B6899" s="11">
        <f>IFERROR(__xludf.DUMMYFUNCTION("""COMPUTED_VALUE"""),36368.0)</f>
        <v>36368</v>
      </c>
      <c r="C6899" s="9">
        <f>IFERROR(__xludf.DUMMYFUNCTION("""COMPUTED_VALUE"""),5.82)</f>
        <v>5.82</v>
      </c>
      <c r="H6899" s="17"/>
      <c r="K6899" s="17"/>
      <c r="N6899" s="17"/>
    </row>
    <row r="6900">
      <c r="B6900" s="11">
        <f>IFERROR(__xludf.DUMMYFUNCTION("""COMPUTED_VALUE"""),36367.0)</f>
        <v>36367</v>
      </c>
      <c r="C6900" s="9">
        <f>IFERROR(__xludf.DUMMYFUNCTION("""COMPUTED_VALUE"""),5.86)</f>
        <v>5.86</v>
      </c>
      <c r="H6900" s="17"/>
      <c r="K6900" s="17"/>
      <c r="N6900" s="17"/>
    </row>
    <row r="6901">
      <c r="B6901" s="11">
        <f>IFERROR(__xludf.DUMMYFUNCTION("""COMPUTED_VALUE"""),36364.0)</f>
        <v>36364</v>
      </c>
      <c r="C6901" s="9">
        <f>IFERROR(__xludf.DUMMYFUNCTION("""COMPUTED_VALUE"""),5.84)</f>
        <v>5.84</v>
      </c>
      <c r="H6901" s="17"/>
      <c r="K6901" s="17"/>
      <c r="N6901" s="17"/>
    </row>
    <row r="6902">
      <c r="B6902" s="11">
        <f>IFERROR(__xludf.DUMMYFUNCTION("""COMPUTED_VALUE"""),36363.0)</f>
        <v>36363</v>
      </c>
      <c r="C6902" s="9">
        <f>IFERROR(__xludf.DUMMYFUNCTION("""COMPUTED_VALUE"""),5.78)</f>
        <v>5.78</v>
      </c>
      <c r="H6902" s="17"/>
      <c r="K6902" s="17"/>
      <c r="N6902" s="17"/>
    </row>
    <row r="6903">
      <c r="B6903" s="11">
        <f>IFERROR(__xludf.DUMMYFUNCTION("""COMPUTED_VALUE"""),36362.0)</f>
        <v>36362</v>
      </c>
      <c r="C6903" s="9">
        <f>IFERROR(__xludf.DUMMYFUNCTION("""COMPUTED_VALUE"""),5.66)</f>
        <v>5.66</v>
      </c>
      <c r="H6903" s="17"/>
      <c r="K6903" s="17"/>
      <c r="N6903" s="17"/>
    </row>
    <row r="6904">
      <c r="B6904" s="11">
        <f>IFERROR(__xludf.DUMMYFUNCTION("""COMPUTED_VALUE"""),36361.0)</f>
        <v>36361</v>
      </c>
      <c r="C6904" s="9">
        <f>IFERROR(__xludf.DUMMYFUNCTION("""COMPUTED_VALUE"""),5.65)</f>
        <v>5.65</v>
      </c>
      <c r="H6904" s="17"/>
      <c r="K6904" s="17"/>
      <c r="N6904" s="17"/>
    </row>
    <row r="6905">
      <c r="B6905" s="11">
        <f>IFERROR(__xludf.DUMMYFUNCTION("""COMPUTED_VALUE"""),36360.0)</f>
        <v>36360</v>
      </c>
      <c r="C6905" s="9">
        <f>IFERROR(__xludf.DUMMYFUNCTION("""COMPUTED_VALUE"""),5.66)</f>
        <v>5.66</v>
      </c>
      <c r="H6905" s="17"/>
      <c r="K6905" s="17"/>
      <c r="N6905" s="17"/>
    </row>
    <row r="6906">
      <c r="B6906" s="11">
        <f>IFERROR(__xludf.DUMMYFUNCTION("""COMPUTED_VALUE"""),36357.0)</f>
        <v>36357</v>
      </c>
      <c r="C6906" s="9">
        <f>IFERROR(__xludf.DUMMYFUNCTION("""COMPUTED_VALUE"""),5.68)</f>
        <v>5.68</v>
      </c>
      <c r="H6906" s="17"/>
      <c r="K6906" s="17"/>
      <c r="N6906" s="17"/>
    </row>
    <row r="6907">
      <c r="B6907" s="11">
        <f>IFERROR(__xludf.DUMMYFUNCTION("""COMPUTED_VALUE"""),36356.0)</f>
        <v>36356</v>
      </c>
      <c r="C6907" s="9">
        <f>IFERROR(__xludf.DUMMYFUNCTION("""COMPUTED_VALUE"""),5.72)</f>
        <v>5.72</v>
      </c>
      <c r="H6907" s="17"/>
      <c r="K6907" s="17"/>
      <c r="N6907" s="17"/>
    </row>
    <row r="6908">
      <c r="B6908" s="11">
        <f>IFERROR(__xludf.DUMMYFUNCTION("""COMPUTED_VALUE"""),36355.0)</f>
        <v>36355</v>
      </c>
      <c r="C6908" s="9">
        <f>IFERROR(__xludf.DUMMYFUNCTION("""COMPUTED_VALUE"""),5.74)</f>
        <v>5.74</v>
      </c>
      <c r="H6908" s="17"/>
      <c r="K6908" s="17"/>
      <c r="N6908" s="17"/>
    </row>
    <row r="6909">
      <c r="B6909" s="11">
        <f>IFERROR(__xludf.DUMMYFUNCTION("""COMPUTED_VALUE"""),36354.0)</f>
        <v>36354</v>
      </c>
      <c r="C6909" s="9">
        <f>IFERROR(__xludf.DUMMYFUNCTION("""COMPUTED_VALUE"""),5.71)</f>
        <v>5.71</v>
      </c>
      <c r="H6909" s="17"/>
      <c r="K6909" s="17"/>
      <c r="N6909" s="17"/>
    </row>
    <row r="6910">
      <c r="B6910" s="11">
        <f>IFERROR(__xludf.DUMMYFUNCTION("""COMPUTED_VALUE"""),36353.0)</f>
        <v>36353</v>
      </c>
      <c r="C6910" s="9">
        <f>IFERROR(__xludf.DUMMYFUNCTION("""COMPUTED_VALUE"""),5.74)</f>
        <v>5.74</v>
      </c>
      <c r="H6910" s="17"/>
      <c r="K6910" s="17"/>
      <c r="N6910" s="17"/>
    </row>
    <row r="6911">
      <c r="B6911" s="11">
        <f>IFERROR(__xludf.DUMMYFUNCTION("""COMPUTED_VALUE"""),36350.0)</f>
        <v>36350</v>
      </c>
      <c r="C6911" s="9">
        <f>IFERROR(__xludf.DUMMYFUNCTION("""COMPUTED_VALUE"""),5.84)</f>
        <v>5.84</v>
      </c>
      <c r="H6911" s="17"/>
      <c r="K6911" s="17"/>
      <c r="N6911" s="17"/>
    </row>
    <row r="6912">
      <c r="B6912" s="11">
        <f>IFERROR(__xludf.DUMMYFUNCTION("""COMPUTED_VALUE"""),36349.0)</f>
        <v>36349</v>
      </c>
      <c r="C6912" s="9">
        <f>IFERROR(__xludf.DUMMYFUNCTION("""COMPUTED_VALUE"""),5.85)</f>
        <v>5.85</v>
      </c>
      <c r="H6912" s="17"/>
      <c r="K6912" s="17"/>
      <c r="N6912" s="17"/>
    </row>
    <row r="6913">
      <c r="B6913" s="11">
        <f>IFERROR(__xludf.DUMMYFUNCTION("""COMPUTED_VALUE"""),36348.0)</f>
        <v>36348</v>
      </c>
      <c r="C6913" s="9">
        <f>IFERROR(__xludf.DUMMYFUNCTION("""COMPUTED_VALUE"""),5.92)</f>
        <v>5.92</v>
      </c>
      <c r="H6913" s="17"/>
      <c r="K6913" s="17"/>
      <c r="N6913" s="17"/>
    </row>
    <row r="6914">
      <c r="B6914" s="11">
        <f>IFERROR(__xludf.DUMMYFUNCTION("""COMPUTED_VALUE"""),36347.0)</f>
        <v>36347</v>
      </c>
      <c r="C6914" s="9">
        <f>IFERROR(__xludf.DUMMYFUNCTION("""COMPUTED_VALUE"""),5.88)</f>
        <v>5.88</v>
      </c>
      <c r="H6914" s="17"/>
      <c r="K6914" s="17"/>
      <c r="N6914" s="17"/>
    </row>
    <row r="6915">
      <c r="B6915" s="11">
        <f>IFERROR(__xludf.DUMMYFUNCTION("""COMPUTED_VALUE"""),36346.0)</f>
        <v>36346</v>
      </c>
      <c r="C6915" s="9"/>
      <c r="H6915" s="17"/>
      <c r="K6915" s="17"/>
      <c r="N6915" s="17"/>
    </row>
    <row r="6916">
      <c r="B6916" s="11">
        <f>IFERROR(__xludf.DUMMYFUNCTION("""COMPUTED_VALUE"""),36343.0)</f>
        <v>36343</v>
      </c>
      <c r="C6916" s="9">
        <f>IFERROR(__xludf.DUMMYFUNCTION("""COMPUTED_VALUE"""),5.82)</f>
        <v>5.82</v>
      </c>
      <c r="H6916" s="17"/>
      <c r="K6916" s="17"/>
      <c r="N6916" s="17"/>
    </row>
    <row r="6917">
      <c r="B6917" s="11">
        <f>IFERROR(__xludf.DUMMYFUNCTION("""COMPUTED_VALUE"""),36342.0)</f>
        <v>36342</v>
      </c>
      <c r="C6917" s="9">
        <f>IFERROR(__xludf.DUMMYFUNCTION("""COMPUTED_VALUE"""),5.85)</f>
        <v>5.85</v>
      </c>
      <c r="H6917" s="17"/>
      <c r="K6917" s="17"/>
      <c r="N6917" s="17"/>
    </row>
    <row r="6918">
      <c r="B6918" s="11">
        <f>IFERROR(__xludf.DUMMYFUNCTION("""COMPUTED_VALUE"""),36341.0)</f>
        <v>36341</v>
      </c>
      <c r="C6918" s="9">
        <f>IFERROR(__xludf.DUMMYFUNCTION("""COMPUTED_VALUE"""),5.81)</f>
        <v>5.81</v>
      </c>
      <c r="H6918" s="17"/>
      <c r="K6918" s="17"/>
      <c r="N6918" s="17"/>
    </row>
    <row r="6919">
      <c r="B6919" s="11">
        <f>IFERROR(__xludf.DUMMYFUNCTION("""COMPUTED_VALUE"""),36340.0)</f>
        <v>36340</v>
      </c>
      <c r="C6919" s="9">
        <f>IFERROR(__xludf.DUMMYFUNCTION("""COMPUTED_VALUE"""),5.93)</f>
        <v>5.93</v>
      </c>
      <c r="H6919" s="17"/>
      <c r="K6919" s="17"/>
      <c r="N6919" s="17"/>
    </row>
    <row r="6920">
      <c r="B6920" s="11">
        <f>IFERROR(__xludf.DUMMYFUNCTION("""COMPUTED_VALUE"""),36339.0)</f>
        <v>36339</v>
      </c>
      <c r="C6920" s="9">
        <f>IFERROR(__xludf.DUMMYFUNCTION("""COMPUTED_VALUE"""),5.96)</f>
        <v>5.96</v>
      </c>
      <c r="H6920" s="17"/>
      <c r="K6920" s="17"/>
      <c r="N6920" s="17"/>
    </row>
    <row r="6921">
      <c r="B6921" s="11">
        <f>IFERROR(__xludf.DUMMYFUNCTION("""COMPUTED_VALUE"""),36336.0)</f>
        <v>36336</v>
      </c>
      <c r="C6921" s="9">
        <f>IFERROR(__xludf.DUMMYFUNCTION("""COMPUTED_VALUE"""),6.02)</f>
        <v>6.02</v>
      </c>
      <c r="H6921" s="17"/>
      <c r="K6921" s="17"/>
      <c r="N6921" s="17"/>
    </row>
    <row r="6922">
      <c r="B6922" s="11">
        <f>IFERROR(__xludf.DUMMYFUNCTION("""COMPUTED_VALUE"""),36335.0)</f>
        <v>36335</v>
      </c>
      <c r="C6922" s="9">
        <f>IFERROR(__xludf.DUMMYFUNCTION("""COMPUTED_VALUE"""),6.05)</f>
        <v>6.05</v>
      </c>
      <c r="H6922" s="17"/>
      <c r="K6922" s="17"/>
      <c r="N6922" s="17"/>
    </row>
    <row r="6923">
      <c r="B6923" s="11">
        <f>IFERROR(__xludf.DUMMYFUNCTION("""COMPUTED_VALUE"""),36334.0)</f>
        <v>36334</v>
      </c>
      <c r="C6923" s="9">
        <f>IFERROR(__xludf.DUMMYFUNCTION("""COMPUTED_VALUE"""),6.0)</f>
        <v>6</v>
      </c>
      <c r="H6923" s="17"/>
      <c r="K6923" s="17"/>
      <c r="N6923" s="17"/>
    </row>
    <row r="6924">
      <c r="B6924" s="11">
        <f>IFERROR(__xludf.DUMMYFUNCTION("""COMPUTED_VALUE"""),36333.0)</f>
        <v>36333</v>
      </c>
      <c r="C6924" s="9">
        <f>IFERROR(__xludf.DUMMYFUNCTION("""COMPUTED_VALUE"""),5.94)</f>
        <v>5.94</v>
      </c>
      <c r="H6924" s="17"/>
      <c r="K6924" s="17"/>
      <c r="N6924" s="17"/>
    </row>
    <row r="6925">
      <c r="B6925" s="11">
        <f>IFERROR(__xludf.DUMMYFUNCTION("""COMPUTED_VALUE"""),36332.0)</f>
        <v>36332</v>
      </c>
      <c r="C6925" s="9">
        <f>IFERROR(__xludf.DUMMYFUNCTION("""COMPUTED_VALUE"""),5.9)</f>
        <v>5.9</v>
      </c>
      <c r="H6925" s="17"/>
      <c r="K6925" s="17"/>
      <c r="N6925" s="17"/>
    </row>
    <row r="6926">
      <c r="B6926" s="11">
        <f>IFERROR(__xludf.DUMMYFUNCTION("""COMPUTED_VALUE"""),36329.0)</f>
        <v>36329</v>
      </c>
      <c r="C6926" s="9">
        <f>IFERROR(__xludf.DUMMYFUNCTION("""COMPUTED_VALUE"""),5.84)</f>
        <v>5.84</v>
      </c>
      <c r="H6926" s="17"/>
      <c r="K6926" s="17"/>
      <c r="N6926" s="17"/>
    </row>
    <row r="6927">
      <c r="B6927" s="11">
        <f>IFERROR(__xludf.DUMMYFUNCTION("""COMPUTED_VALUE"""),36328.0)</f>
        <v>36328</v>
      </c>
      <c r="C6927" s="9">
        <f>IFERROR(__xludf.DUMMYFUNCTION("""COMPUTED_VALUE"""),5.79)</f>
        <v>5.79</v>
      </c>
      <c r="H6927" s="17"/>
      <c r="K6927" s="17"/>
      <c r="N6927" s="17"/>
    </row>
    <row r="6928">
      <c r="B6928" s="11">
        <f>IFERROR(__xludf.DUMMYFUNCTION("""COMPUTED_VALUE"""),36327.0)</f>
        <v>36327</v>
      </c>
      <c r="C6928" s="9">
        <f>IFERROR(__xludf.DUMMYFUNCTION("""COMPUTED_VALUE"""),5.94)</f>
        <v>5.94</v>
      </c>
      <c r="H6928" s="17"/>
      <c r="K6928" s="17"/>
      <c r="N6928" s="17"/>
    </row>
    <row r="6929">
      <c r="B6929" s="11">
        <f>IFERROR(__xludf.DUMMYFUNCTION("""COMPUTED_VALUE"""),36326.0)</f>
        <v>36326</v>
      </c>
      <c r="C6929" s="9">
        <f>IFERROR(__xludf.DUMMYFUNCTION("""COMPUTED_VALUE"""),5.98)</f>
        <v>5.98</v>
      </c>
      <c r="H6929" s="17"/>
      <c r="K6929" s="17"/>
      <c r="N6929" s="17"/>
    </row>
    <row r="6930">
      <c r="B6930" s="11">
        <f>IFERROR(__xludf.DUMMYFUNCTION("""COMPUTED_VALUE"""),36325.0)</f>
        <v>36325</v>
      </c>
      <c r="C6930" s="9">
        <f>IFERROR(__xludf.DUMMYFUNCTION("""COMPUTED_VALUE"""),5.98)</f>
        <v>5.98</v>
      </c>
      <c r="H6930" s="17"/>
      <c r="K6930" s="17"/>
      <c r="N6930" s="17"/>
    </row>
    <row r="6931">
      <c r="B6931" s="11">
        <f>IFERROR(__xludf.DUMMYFUNCTION("""COMPUTED_VALUE"""),36322.0)</f>
        <v>36322</v>
      </c>
      <c r="C6931" s="9">
        <f>IFERROR(__xludf.DUMMYFUNCTION("""COMPUTED_VALUE"""),6.02)</f>
        <v>6.02</v>
      </c>
      <c r="H6931" s="17"/>
      <c r="K6931" s="17"/>
      <c r="N6931" s="17"/>
    </row>
    <row r="6932">
      <c r="B6932" s="11">
        <f>IFERROR(__xludf.DUMMYFUNCTION("""COMPUTED_VALUE"""),36321.0)</f>
        <v>36321</v>
      </c>
      <c r="C6932" s="9">
        <f>IFERROR(__xludf.DUMMYFUNCTION("""COMPUTED_VALUE"""),5.92)</f>
        <v>5.92</v>
      </c>
      <c r="H6932" s="17"/>
      <c r="K6932" s="17"/>
      <c r="N6932" s="17"/>
    </row>
    <row r="6933">
      <c r="B6933" s="11">
        <f>IFERROR(__xludf.DUMMYFUNCTION("""COMPUTED_VALUE"""),36320.0)</f>
        <v>36320</v>
      </c>
      <c r="C6933" s="9">
        <f>IFERROR(__xludf.DUMMYFUNCTION("""COMPUTED_VALUE"""),5.87)</f>
        <v>5.87</v>
      </c>
      <c r="H6933" s="17"/>
      <c r="K6933" s="17"/>
      <c r="N6933" s="17"/>
    </row>
    <row r="6934">
      <c r="B6934" s="11">
        <f>IFERROR(__xludf.DUMMYFUNCTION("""COMPUTED_VALUE"""),36319.0)</f>
        <v>36319</v>
      </c>
      <c r="C6934" s="9">
        <f>IFERROR(__xludf.DUMMYFUNCTION("""COMPUTED_VALUE"""),5.83)</f>
        <v>5.83</v>
      </c>
      <c r="H6934" s="17"/>
      <c r="K6934" s="17"/>
      <c r="N6934" s="17"/>
    </row>
    <row r="6935">
      <c r="B6935" s="11">
        <f>IFERROR(__xludf.DUMMYFUNCTION("""COMPUTED_VALUE"""),36318.0)</f>
        <v>36318</v>
      </c>
      <c r="C6935" s="9">
        <f>IFERROR(__xludf.DUMMYFUNCTION("""COMPUTED_VALUE"""),5.81)</f>
        <v>5.81</v>
      </c>
      <c r="H6935" s="17"/>
      <c r="K6935" s="17"/>
      <c r="N6935" s="17"/>
    </row>
    <row r="6936">
      <c r="B6936" s="11">
        <f>IFERROR(__xludf.DUMMYFUNCTION("""COMPUTED_VALUE"""),36315.0)</f>
        <v>36315</v>
      </c>
      <c r="C6936" s="9">
        <f>IFERROR(__xludf.DUMMYFUNCTION("""COMPUTED_VALUE"""),5.82)</f>
        <v>5.82</v>
      </c>
      <c r="H6936" s="17"/>
      <c r="K6936" s="17"/>
      <c r="N6936" s="17"/>
    </row>
    <row r="6937">
      <c r="B6937" s="11">
        <f>IFERROR(__xludf.DUMMYFUNCTION("""COMPUTED_VALUE"""),36314.0)</f>
        <v>36314</v>
      </c>
      <c r="C6937" s="9">
        <f>IFERROR(__xludf.DUMMYFUNCTION("""COMPUTED_VALUE"""),5.8)</f>
        <v>5.8</v>
      </c>
      <c r="H6937" s="17"/>
      <c r="K6937" s="17"/>
      <c r="N6937" s="17"/>
    </row>
    <row r="6938">
      <c r="B6938" s="11">
        <f>IFERROR(__xludf.DUMMYFUNCTION("""COMPUTED_VALUE"""),36313.0)</f>
        <v>36313</v>
      </c>
      <c r="C6938" s="9">
        <f>IFERROR(__xludf.DUMMYFUNCTION("""COMPUTED_VALUE"""),5.8)</f>
        <v>5.8</v>
      </c>
      <c r="H6938" s="17"/>
      <c r="K6938" s="17"/>
      <c r="N6938" s="17"/>
    </row>
    <row r="6939">
      <c r="B6939" s="11">
        <f>IFERROR(__xludf.DUMMYFUNCTION("""COMPUTED_VALUE"""),36312.0)</f>
        <v>36312</v>
      </c>
      <c r="C6939" s="9">
        <f>IFERROR(__xludf.DUMMYFUNCTION("""COMPUTED_VALUE"""),5.78)</f>
        <v>5.78</v>
      </c>
      <c r="H6939" s="17"/>
      <c r="K6939" s="17"/>
      <c r="N6939" s="17"/>
    </row>
    <row r="6940">
      <c r="B6940" s="11">
        <f>IFERROR(__xludf.DUMMYFUNCTION("""COMPUTED_VALUE"""),36311.0)</f>
        <v>36311</v>
      </c>
      <c r="C6940" s="9"/>
      <c r="H6940" s="17"/>
      <c r="K6940" s="17"/>
      <c r="N6940" s="17"/>
    </row>
    <row r="6941">
      <c r="B6941" s="11">
        <f>IFERROR(__xludf.DUMMYFUNCTION("""COMPUTED_VALUE"""),36308.0)</f>
        <v>36308</v>
      </c>
      <c r="C6941" s="9">
        <f>IFERROR(__xludf.DUMMYFUNCTION("""COMPUTED_VALUE"""),5.64)</f>
        <v>5.64</v>
      </c>
      <c r="H6941" s="17"/>
      <c r="K6941" s="17"/>
      <c r="N6941" s="17"/>
    </row>
    <row r="6942">
      <c r="B6942" s="11">
        <f>IFERROR(__xludf.DUMMYFUNCTION("""COMPUTED_VALUE"""),36307.0)</f>
        <v>36307</v>
      </c>
      <c r="C6942" s="9">
        <f>IFERROR(__xludf.DUMMYFUNCTION("""COMPUTED_VALUE"""),5.62)</f>
        <v>5.62</v>
      </c>
      <c r="H6942" s="17"/>
      <c r="K6942" s="17"/>
      <c r="N6942" s="17"/>
    </row>
    <row r="6943">
      <c r="B6943" s="11">
        <f>IFERROR(__xludf.DUMMYFUNCTION("""COMPUTED_VALUE"""),36306.0)</f>
        <v>36306</v>
      </c>
      <c r="C6943" s="9">
        <f>IFERROR(__xludf.DUMMYFUNCTION("""COMPUTED_VALUE"""),5.55)</f>
        <v>5.55</v>
      </c>
      <c r="H6943" s="17"/>
      <c r="K6943" s="17"/>
      <c r="N6943" s="17"/>
    </row>
    <row r="6944">
      <c r="B6944" s="11">
        <f>IFERROR(__xludf.DUMMYFUNCTION("""COMPUTED_VALUE"""),36305.0)</f>
        <v>36305</v>
      </c>
      <c r="C6944" s="9">
        <f>IFERROR(__xludf.DUMMYFUNCTION("""COMPUTED_VALUE"""),5.49)</f>
        <v>5.49</v>
      </c>
      <c r="H6944" s="17"/>
      <c r="K6944" s="17"/>
      <c r="N6944" s="17"/>
    </row>
    <row r="6945">
      <c r="B6945" s="11">
        <f>IFERROR(__xludf.DUMMYFUNCTION("""COMPUTED_VALUE"""),36304.0)</f>
        <v>36304</v>
      </c>
      <c r="C6945" s="9">
        <f>IFERROR(__xludf.DUMMYFUNCTION("""COMPUTED_VALUE"""),5.5)</f>
        <v>5.5</v>
      </c>
      <c r="H6945" s="17"/>
      <c r="K6945" s="17"/>
      <c r="N6945" s="17"/>
    </row>
    <row r="6946">
      <c r="B6946" s="11">
        <f>IFERROR(__xludf.DUMMYFUNCTION("""COMPUTED_VALUE"""),36301.0)</f>
        <v>36301</v>
      </c>
      <c r="C6946" s="9">
        <f>IFERROR(__xludf.DUMMYFUNCTION("""COMPUTED_VALUE"""),5.52)</f>
        <v>5.52</v>
      </c>
      <c r="H6946" s="17"/>
      <c r="K6946" s="17"/>
      <c r="N6946" s="17"/>
    </row>
    <row r="6947">
      <c r="B6947" s="11">
        <f>IFERROR(__xludf.DUMMYFUNCTION("""COMPUTED_VALUE"""),36300.0)</f>
        <v>36300</v>
      </c>
      <c r="C6947" s="9">
        <f>IFERROR(__xludf.DUMMYFUNCTION("""COMPUTED_VALUE"""),5.6)</f>
        <v>5.6</v>
      </c>
      <c r="H6947" s="17"/>
      <c r="K6947" s="17"/>
      <c r="N6947" s="17"/>
    </row>
    <row r="6948">
      <c r="B6948" s="11">
        <f>IFERROR(__xludf.DUMMYFUNCTION("""COMPUTED_VALUE"""),36299.0)</f>
        <v>36299</v>
      </c>
      <c r="C6948" s="9">
        <f>IFERROR(__xludf.DUMMYFUNCTION("""COMPUTED_VALUE"""),5.6)</f>
        <v>5.6</v>
      </c>
      <c r="H6948" s="17"/>
      <c r="K6948" s="17"/>
      <c r="N6948" s="17"/>
    </row>
    <row r="6949">
      <c r="B6949" s="11">
        <f>IFERROR(__xludf.DUMMYFUNCTION("""COMPUTED_VALUE"""),36298.0)</f>
        <v>36298</v>
      </c>
      <c r="C6949" s="9">
        <f>IFERROR(__xludf.DUMMYFUNCTION("""COMPUTED_VALUE"""),5.68)</f>
        <v>5.68</v>
      </c>
      <c r="H6949" s="17"/>
      <c r="K6949" s="17"/>
      <c r="N6949" s="17"/>
    </row>
    <row r="6950">
      <c r="B6950" s="11">
        <f>IFERROR(__xludf.DUMMYFUNCTION("""COMPUTED_VALUE"""),36297.0)</f>
        <v>36297</v>
      </c>
      <c r="C6950" s="9">
        <f>IFERROR(__xludf.DUMMYFUNCTION("""COMPUTED_VALUE"""),5.66)</f>
        <v>5.66</v>
      </c>
      <c r="H6950" s="17"/>
      <c r="K6950" s="17"/>
      <c r="N6950" s="17"/>
    </row>
    <row r="6951">
      <c r="B6951" s="11">
        <f>IFERROR(__xludf.DUMMYFUNCTION("""COMPUTED_VALUE"""),36294.0)</f>
        <v>36294</v>
      </c>
      <c r="C6951" s="9">
        <f>IFERROR(__xludf.DUMMYFUNCTION("""COMPUTED_VALUE"""),5.62)</f>
        <v>5.62</v>
      </c>
      <c r="H6951" s="17"/>
      <c r="K6951" s="17"/>
      <c r="N6951" s="17"/>
    </row>
    <row r="6952">
      <c r="B6952" s="11">
        <f>IFERROR(__xludf.DUMMYFUNCTION("""COMPUTED_VALUE"""),36293.0)</f>
        <v>36293</v>
      </c>
      <c r="C6952" s="9">
        <f>IFERROR(__xludf.DUMMYFUNCTION("""COMPUTED_VALUE"""),5.41)</f>
        <v>5.41</v>
      </c>
      <c r="H6952" s="17"/>
      <c r="K6952" s="17"/>
      <c r="N6952" s="17"/>
    </row>
    <row r="6953">
      <c r="B6953" s="11">
        <f>IFERROR(__xludf.DUMMYFUNCTION("""COMPUTED_VALUE"""),36292.0)</f>
        <v>36292</v>
      </c>
      <c r="C6953" s="9">
        <f>IFERROR(__xludf.DUMMYFUNCTION("""COMPUTED_VALUE"""),5.51)</f>
        <v>5.51</v>
      </c>
      <c r="H6953" s="17"/>
      <c r="K6953" s="17"/>
      <c r="N6953" s="17"/>
    </row>
    <row r="6954">
      <c r="B6954" s="11">
        <f>IFERROR(__xludf.DUMMYFUNCTION("""COMPUTED_VALUE"""),36291.0)</f>
        <v>36291</v>
      </c>
      <c r="C6954" s="9">
        <f>IFERROR(__xludf.DUMMYFUNCTION("""COMPUTED_VALUE"""),5.59)</f>
        <v>5.59</v>
      </c>
      <c r="H6954" s="17"/>
      <c r="K6954" s="17"/>
      <c r="N6954" s="17"/>
    </row>
    <row r="6955">
      <c r="B6955" s="11">
        <f>IFERROR(__xludf.DUMMYFUNCTION("""COMPUTED_VALUE"""),36290.0)</f>
        <v>36290</v>
      </c>
      <c r="C6955" s="9">
        <f>IFERROR(__xludf.DUMMYFUNCTION("""COMPUTED_VALUE"""),5.54)</f>
        <v>5.54</v>
      </c>
      <c r="H6955" s="17"/>
      <c r="K6955" s="17"/>
      <c r="N6955" s="17"/>
    </row>
    <row r="6956">
      <c r="B6956" s="11">
        <f>IFERROR(__xludf.DUMMYFUNCTION("""COMPUTED_VALUE"""),36287.0)</f>
        <v>36287</v>
      </c>
      <c r="C6956" s="9">
        <f>IFERROR(__xludf.DUMMYFUNCTION("""COMPUTED_VALUE"""),5.54)</f>
        <v>5.54</v>
      </c>
      <c r="H6956" s="17"/>
      <c r="K6956" s="17"/>
      <c r="N6956" s="17"/>
    </row>
    <row r="6957">
      <c r="B6957" s="11">
        <f>IFERROR(__xludf.DUMMYFUNCTION("""COMPUTED_VALUE"""),36286.0)</f>
        <v>36286</v>
      </c>
      <c r="C6957" s="9">
        <f>IFERROR(__xludf.DUMMYFUNCTION("""COMPUTED_VALUE"""),5.52)</f>
        <v>5.52</v>
      </c>
      <c r="H6957" s="17"/>
      <c r="K6957" s="17"/>
      <c r="N6957" s="17"/>
    </row>
    <row r="6958">
      <c r="B6958" s="11">
        <f>IFERROR(__xludf.DUMMYFUNCTION("""COMPUTED_VALUE"""),36285.0)</f>
        <v>36285</v>
      </c>
      <c r="C6958" s="9">
        <f>IFERROR(__xludf.DUMMYFUNCTION("""COMPUTED_VALUE"""),5.4)</f>
        <v>5.4</v>
      </c>
      <c r="H6958" s="17"/>
      <c r="K6958" s="17"/>
      <c r="N6958" s="17"/>
    </row>
    <row r="6959">
      <c r="B6959" s="11">
        <f>IFERROR(__xludf.DUMMYFUNCTION("""COMPUTED_VALUE"""),36284.0)</f>
        <v>36284</v>
      </c>
      <c r="C6959" s="9">
        <f>IFERROR(__xludf.DUMMYFUNCTION("""COMPUTED_VALUE"""),5.42)</f>
        <v>5.42</v>
      </c>
      <c r="H6959" s="17"/>
      <c r="K6959" s="17"/>
      <c r="N6959" s="17"/>
    </row>
    <row r="6960">
      <c r="B6960" s="11">
        <f>IFERROR(__xludf.DUMMYFUNCTION("""COMPUTED_VALUE"""),36283.0)</f>
        <v>36283</v>
      </c>
      <c r="C6960" s="9">
        <f>IFERROR(__xludf.DUMMYFUNCTION("""COMPUTED_VALUE"""),5.38)</f>
        <v>5.38</v>
      </c>
      <c r="H6960" s="17"/>
      <c r="K6960" s="17"/>
      <c r="N6960" s="17"/>
    </row>
    <row r="6961">
      <c r="B6961" s="11">
        <f>IFERROR(__xludf.DUMMYFUNCTION("""COMPUTED_VALUE"""),36280.0)</f>
        <v>36280</v>
      </c>
      <c r="C6961" s="9">
        <f>IFERROR(__xludf.DUMMYFUNCTION("""COMPUTED_VALUE"""),5.36)</f>
        <v>5.36</v>
      </c>
      <c r="H6961" s="17"/>
      <c r="K6961" s="17"/>
      <c r="N6961" s="17"/>
    </row>
    <row r="6962">
      <c r="B6962" s="11">
        <f>IFERROR(__xludf.DUMMYFUNCTION("""COMPUTED_VALUE"""),36279.0)</f>
        <v>36279</v>
      </c>
      <c r="C6962" s="9">
        <f>IFERROR(__xludf.DUMMYFUNCTION("""COMPUTED_VALUE"""),5.22)</f>
        <v>5.22</v>
      </c>
      <c r="H6962" s="17"/>
      <c r="K6962" s="17"/>
      <c r="N6962" s="17"/>
    </row>
    <row r="6963">
      <c r="B6963" s="11">
        <f>IFERROR(__xludf.DUMMYFUNCTION("""COMPUTED_VALUE"""),36278.0)</f>
        <v>36278</v>
      </c>
      <c r="C6963" s="9">
        <f>IFERROR(__xludf.DUMMYFUNCTION("""COMPUTED_VALUE"""),5.27)</f>
        <v>5.27</v>
      </c>
      <c r="H6963" s="17"/>
      <c r="K6963" s="17"/>
      <c r="N6963" s="17"/>
    </row>
    <row r="6964">
      <c r="B6964" s="11">
        <f>IFERROR(__xludf.DUMMYFUNCTION("""COMPUTED_VALUE"""),36277.0)</f>
        <v>36277</v>
      </c>
      <c r="C6964" s="9">
        <f>IFERROR(__xludf.DUMMYFUNCTION("""COMPUTED_VALUE"""),5.22)</f>
        <v>5.22</v>
      </c>
      <c r="H6964" s="17"/>
      <c r="K6964" s="17"/>
      <c r="N6964" s="17"/>
    </row>
    <row r="6965">
      <c r="B6965" s="11">
        <f>IFERROR(__xludf.DUMMYFUNCTION("""COMPUTED_VALUE"""),36276.0)</f>
        <v>36276</v>
      </c>
      <c r="C6965" s="9">
        <f>IFERROR(__xludf.DUMMYFUNCTION("""COMPUTED_VALUE"""),5.23)</f>
        <v>5.23</v>
      </c>
      <c r="H6965" s="17"/>
      <c r="K6965" s="17"/>
      <c r="N6965" s="17"/>
    </row>
    <row r="6966">
      <c r="B6966" s="11">
        <f>IFERROR(__xludf.DUMMYFUNCTION("""COMPUTED_VALUE"""),36273.0)</f>
        <v>36273</v>
      </c>
      <c r="C6966" s="9">
        <f>IFERROR(__xludf.DUMMYFUNCTION("""COMPUTED_VALUE"""),5.26)</f>
        <v>5.26</v>
      </c>
      <c r="H6966" s="17"/>
      <c r="K6966" s="17"/>
      <c r="N6966" s="17"/>
    </row>
    <row r="6967">
      <c r="B6967" s="11">
        <f>IFERROR(__xludf.DUMMYFUNCTION("""COMPUTED_VALUE"""),36272.0)</f>
        <v>36272</v>
      </c>
      <c r="C6967" s="9">
        <f>IFERROR(__xludf.DUMMYFUNCTION("""COMPUTED_VALUE"""),5.25)</f>
        <v>5.25</v>
      </c>
      <c r="H6967" s="17"/>
      <c r="K6967" s="17"/>
      <c r="N6967" s="17"/>
    </row>
    <row r="6968">
      <c r="B6968" s="11">
        <f>IFERROR(__xludf.DUMMYFUNCTION("""COMPUTED_VALUE"""),36271.0)</f>
        <v>36271</v>
      </c>
      <c r="C6968" s="9">
        <f>IFERROR(__xludf.DUMMYFUNCTION("""COMPUTED_VALUE"""),5.17)</f>
        <v>5.17</v>
      </c>
      <c r="H6968" s="17"/>
      <c r="K6968" s="17"/>
      <c r="N6968" s="17"/>
    </row>
    <row r="6969">
      <c r="B6969" s="11">
        <f>IFERROR(__xludf.DUMMYFUNCTION("""COMPUTED_VALUE"""),36270.0)</f>
        <v>36270</v>
      </c>
      <c r="C6969" s="9">
        <f>IFERROR(__xludf.DUMMYFUNCTION("""COMPUTED_VALUE"""),5.16)</f>
        <v>5.16</v>
      </c>
      <c r="H6969" s="17"/>
      <c r="K6969" s="17"/>
      <c r="N6969" s="17"/>
    </row>
    <row r="6970">
      <c r="B6970" s="11">
        <f>IFERROR(__xludf.DUMMYFUNCTION("""COMPUTED_VALUE"""),36269.0)</f>
        <v>36269</v>
      </c>
      <c r="C6970" s="9">
        <f>IFERROR(__xludf.DUMMYFUNCTION("""COMPUTED_VALUE"""),5.18)</f>
        <v>5.18</v>
      </c>
      <c r="H6970" s="17"/>
      <c r="K6970" s="17"/>
      <c r="N6970" s="17"/>
    </row>
    <row r="6971">
      <c r="B6971" s="11">
        <f>IFERROR(__xludf.DUMMYFUNCTION("""COMPUTED_VALUE"""),36266.0)</f>
        <v>36266</v>
      </c>
      <c r="C6971" s="9">
        <f>IFERROR(__xludf.DUMMYFUNCTION("""COMPUTED_VALUE"""),5.23)</f>
        <v>5.23</v>
      </c>
      <c r="H6971" s="17"/>
      <c r="K6971" s="17"/>
      <c r="N6971" s="17"/>
    </row>
    <row r="6972">
      <c r="B6972" s="11">
        <f>IFERROR(__xludf.DUMMYFUNCTION("""COMPUTED_VALUE"""),36265.0)</f>
        <v>36265</v>
      </c>
      <c r="C6972" s="9">
        <f>IFERROR(__xludf.DUMMYFUNCTION("""COMPUTED_VALUE"""),5.18)</f>
        <v>5.18</v>
      </c>
      <c r="H6972" s="17"/>
      <c r="K6972" s="17"/>
      <c r="N6972" s="17"/>
    </row>
    <row r="6973">
      <c r="B6973" s="11">
        <f>IFERROR(__xludf.DUMMYFUNCTION("""COMPUTED_VALUE"""),36264.0)</f>
        <v>36264</v>
      </c>
      <c r="C6973" s="9">
        <f>IFERROR(__xludf.DUMMYFUNCTION("""COMPUTED_VALUE"""),5.13)</f>
        <v>5.13</v>
      </c>
      <c r="H6973" s="17"/>
      <c r="K6973" s="17"/>
      <c r="N6973" s="17"/>
    </row>
    <row r="6974">
      <c r="B6974" s="11">
        <f>IFERROR(__xludf.DUMMYFUNCTION("""COMPUTED_VALUE"""),36263.0)</f>
        <v>36263</v>
      </c>
      <c r="C6974" s="9">
        <f>IFERROR(__xludf.DUMMYFUNCTION("""COMPUTED_VALUE"""),5.12)</f>
        <v>5.12</v>
      </c>
      <c r="H6974" s="17"/>
      <c r="K6974" s="17"/>
      <c r="N6974" s="17"/>
    </row>
    <row r="6975">
      <c r="B6975" s="11">
        <f>IFERROR(__xludf.DUMMYFUNCTION("""COMPUTED_VALUE"""),36262.0)</f>
        <v>36262</v>
      </c>
      <c r="C6975" s="9">
        <f>IFERROR(__xludf.DUMMYFUNCTION("""COMPUTED_VALUE"""),5.06)</f>
        <v>5.06</v>
      </c>
      <c r="H6975" s="17"/>
      <c r="K6975" s="17"/>
      <c r="N6975" s="17"/>
    </row>
    <row r="6976">
      <c r="B6976" s="11">
        <f>IFERROR(__xludf.DUMMYFUNCTION("""COMPUTED_VALUE"""),36259.0)</f>
        <v>36259</v>
      </c>
      <c r="C6976" s="9">
        <f>IFERROR(__xludf.DUMMYFUNCTION("""COMPUTED_VALUE"""),5.05)</f>
        <v>5.05</v>
      </c>
      <c r="H6976" s="17"/>
      <c r="K6976" s="17"/>
      <c r="N6976" s="17"/>
    </row>
    <row r="6977">
      <c r="B6977" s="11">
        <f>IFERROR(__xludf.DUMMYFUNCTION("""COMPUTED_VALUE"""),36258.0)</f>
        <v>36258</v>
      </c>
      <c r="C6977" s="9">
        <f>IFERROR(__xludf.DUMMYFUNCTION("""COMPUTED_VALUE"""),5.03)</f>
        <v>5.03</v>
      </c>
      <c r="H6977" s="17"/>
      <c r="K6977" s="17"/>
      <c r="N6977" s="17"/>
    </row>
    <row r="6978">
      <c r="B6978" s="11">
        <f>IFERROR(__xludf.DUMMYFUNCTION("""COMPUTED_VALUE"""),36257.0)</f>
        <v>36257</v>
      </c>
      <c r="C6978" s="9">
        <f>IFERROR(__xludf.DUMMYFUNCTION("""COMPUTED_VALUE"""),5.14)</f>
        <v>5.14</v>
      </c>
      <c r="H6978" s="17"/>
      <c r="K6978" s="17"/>
      <c r="N6978" s="17"/>
    </row>
    <row r="6979">
      <c r="B6979" s="11">
        <f>IFERROR(__xludf.DUMMYFUNCTION("""COMPUTED_VALUE"""),36256.0)</f>
        <v>36256</v>
      </c>
      <c r="C6979" s="9">
        <f>IFERROR(__xludf.DUMMYFUNCTION("""COMPUTED_VALUE"""),5.13)</f>
        <v>5.13</v>
      </c>
      <c r="H6979" s="17"/>
      <c r="K6979" s="17"/>
      <c r="N6979" s="17"/>
    </row>
    <row r="6980">
      <c r="B6980" s="11">
        <f>IFERROR(__xludf.DUMMYFUNCTION("""COMPUTED_VALUE"""),36255.0)</f>
        <v>36255</v>
      </c>
      <c r="C6980" s="9">
        <f>IFERROR(__xludf.DUMMYFUNCTION("""COMPUTED_VALUE"""),5.2)</f>
        <v>5.2</v>
      </c>
      <c r="H6980" s="17"/>
      <c r="K6980" s="17"/>
      <c r="N6980" s="17"/>
    </row>
    <row r="6981">
      <c r="B6981" s="11">
        <f>IFERROR(__xludf.DUMMYFUNCTION("""COMPUTED_VALUE"""),36252.0)</f>
        <v>36252</v>
      </c>
      <c r="C6981" s="9">
        <f>IFERROR(__xludf.DUMMYFUNCTION("""COMPUTED_VALUE"""),5.2)</f>
        <v>5.2</v>
      </c>
      <c r="H6981" s="17"/>
      <c r="K6981" s="17"/>
      <c r="N6981" s="17"/>
    </row>
    <row r="6982">
      <c r="B6982" s="11">
        <f>IFERROR(__xludf.DUMMYFUNCTION("""COMPUTED_VALUE"""),36251.0)</f>
        <v>36251</v>
      </c>
      <c r="C6982" s="9">
        <f>IFERROR(__xludf.DUMMYFUNCTION("""COMPUTED_VALUE"""),5.27)</f>
        <v>5.27</v>
      </c>
      <c r="H6982" s="17"/>
      <c r="K6982" s="17"/>
      <c r="N6982" s="17"/>
    </row>
    <row r="6983">
      <c r="B6983" s="11">
        <f>IFERROR(__xludf.DUMMYFUNCTION("""COMPUTED_VALUE"""),36250.0)</f>
        <v>36250</v>
      </c>
      <c r="C6983" s="9">
        <f>IFERROR(__xludf.DUMMYFUNCTION("""COMPUTED_VALUE"""),5.25)</f>
        <v>5.25</v>
      </c>
      <c r="H6983" s="17"/>
      <c r="K6983" s="17"/>
      <c r="N6983" s="17"/>
    </row>
    <row r="6984">
      <c r="B6984" s="11">
        <f>IFERROR(__xludf.DUMMYFUNCTION("""COMPUTED_VALUE"""),36249.0)</f>
        <v>36249</v>
      </c>
      <c r="C6984" s="9">
        <f>IFERROR(__xludf.DUMMYFUNCTION("""COMPUTED_VALUE"""),5.21)</f>
        <v>5.21</v>
      </c>
      <c r="H6984" s="17"/>
      <c r="K6984" s="17"/>
      <c r="N6984" s="17"/>
    </row>
    <row r="6985">
      <c r="B6985" s="11">
        <f>IFERROR(__xludf.DUMMYFUNCTION("""COMPUTED_VALUE"""),36248.0)</f>
        <v>36248</v>
      </c>
      <c r="C6985" s="9">
        <f>IFERROR(__xludf.DUMMYFUNCTION("""COMPUTED_VALUE"""),5.28)</f>
        <v>5.28</v>
      </c>
      <c r="H6985" s="17"/>
      <c r="K6985" s="17"/>
      <c r="N6985" s="17"/>
    </row>
    <row r="6986">
      <c r="B6986" s="11">
        <f>IFERROR(__xludf.DUMMYFUNCTION("""COMPUTED_VALUE"""),36245.0)</f>
        <v>36245</v>
      </c>
      <c r="C6986" s="9">
        <f>IFERROR(__xludf.DUMMYFUNCTION("""COMPUTED_VALUE"""),5.21)</f>
        <v>5.21</v>
      </c>
      <c r="H6986" s="17"/>
      <c r="K6986" s="17"/>
      <c r="N6986" s="17"/>
    </row>
    <row r="6987">
      <c r="B6987" s="11">
        <f>IFERROR(__xludf.DUMMYFUNCTION("""COMPUTED_VALUE"""),36244.0)</f>
        <v>36244</v>
      </c>
      <c r="C6987" s="9">
        <f>IFERROR(__xludf.DUMMYFUNCTION("""COMPUTED_VALUE"""),5.21)</f>
        <v>5.21</v>
      </c>
      <c r="H6987" s="17"/>
      <c r="K6987" s="17"/>
      <c r="N6987" s="17"/>
    </row>
    <row r="6988">
      <c r="B6988" s="11">
        <f>IFERROR(__xludf.DUMMYFUNCTION("""COMPUTED_VALUE"""),36243.0)</f>
        <v>36243</v>
      </c>
      <c r="C6988" s="9">
        <f>IFERROR(__xludf.DUMMYFUNCTION("""COMPUTED_VALUE"""),5.17)</f>
        <v>5.17</v>
      </c>
      <c r="H6988" s="17"/>
      <c r="K6988" s="17"/>
      <c r="N6988" s="17"/>
    </row>
    <row r="6989">
      <c r="B6989" s="11">
        <f>IFERROR(__xludf.DUMMYFUNCTION("""COMPUTED_VALUE"""),36242.0)</f>
        <v>36242</v>
      </c>
      <c r="C6989" s="9">
        <f>IFERROR(__xludf.DUMMYFUNCTION("""COMPUTED_VALUE"""),5.2)</f>
        <v>5.2</v>
      </c>
      <c r="H6989" s="17"/>
      <c r="K6989" s="17"/>
      <c r="N6989" s="17"/>
    </row>
    <row r="6990">
      <c r="B6990" s="11">
        <f>IFERROR(__xludf.DUMMYFUNCTION("""COMPUTED_VALUE"""),36241.0)</f>
        <v>36241</v>
      </c>
      <c r="C6990" s="9">
        <f>IFERROR(__xludf.DUMMYFUNCTION("""COMPUTED_VALUE"""),5.21)</f>
        <v>5.21</v>
      </c>
      <c r="H6990" s="17"/>
      <c r="K6990" s="17"/>
      <c r="N6990" s="17"/>
    </row>
    <row r="6991">
      <c r="B6991" s="11">
        <f>IFERROR(__xludf.DUMMYFUNCTION("""COMPUTED_VALUE"""),36238.0)</f>
        <v>36238</v>
      </c>
      <c r="C6991" s="9">
        <f>IFERROR(__xludf.DUMMYFUNCTION("""COMPUTED_VALUE"""),5.17)</f>
        <v>5.17</v>
      </c>
      <c r="H6991" s="17"/>
      <c r="K6991" s="17"/>
      <c r="N6991" s="17"/>
    </row>
    <row r="6992">
      <c r="B6992" s="11">
        <f>IFERROR(__xludf.DUMMYFUNCTION("""COMPUTED_VALUE"""),36237.0)</f>
        <v>36237</v>
      </c>
      <c r="C6992" s="9">
        <f>IFERROR(__xludf.DUMMYFUNCTION("""COMPUTED_VALUE"""),5.11)</f>
        <v>5.11</v>
      </c>
      <c r="H6992" s="17"/>
      <c r="K6992" s="17"/>
      <c r="N6992" s="17"/>
    </row>
    <row r="6993">
      <c r="B6993" s="11">
        <f>IFERROR(__xludf.DUMMYFUNCTION("""COMPUTED_VALUE"""),36236.0)</f>
        <v>36236</v>
      </c>
      <c r="C6993" s="9">
        <f>IFERROR(__xludf.DUMMYFUNCTION("""COMPUTED_VALUE"""),5.14)</f>
        <v>5.14</v>
      </c>
      <c r="H6993" s="17"/>
      <c r="K6993" s="17"/>
      <c r="N6993" s="17"/>
    </row>
    <row r="6994">
      <c r="B6994" s="11">
        <f>IFERROR(__xludf.DUMMYFUNCTION("""COMPUTED_VALUE"""),36235.0)</f>
        <v>36235</v>
      </c>
      <c r="C6994" s="9">
        <f>IFERROR(__xludf.DUMMYFUNCTION("""COMPUTED_VALUE"""),5.11)</f>
        <v>5.11</v>
      </c>
      <c r="H6994" s="17"/>
      <c r="K6994" s="17"/>
      <c r="N6994" s="17"/>
    </row>
    <row r="6995">
      <c r="B6995" s="11">
        <f>IFERROR(__xludf.DUMMYFUNCTION("""COMPUTED_VALUE"""),36234.0)</f>
        <v>36234</v>
      </c>
      <c r="C6995" s="9">
        <f>IFERROR(__xludf.DUMMYFUNCTION("""COMPUTED_VALUE"""),5.15)</f>
        <v>5.15</v>
      </c>
      <c r="H6995" s="17"/>
      <c r="K6995" s="17"/>
      <c r="N6995" s="17"/>
    </row>
    <row r="6996">
      <c r="B6996" s="11">
        <f>IFERROR(__xludf.DUMMYFUNCTION("""COMPUTED_VALUE"""),36231.0)</f>
        <v>36231</v>
      </c>
      <c r="C6996" s="9">
        <f>IFERROR(__xludf.DUMMYFUNCTION("""COMPUTED_VALUE"""),5.16)</f>
        <v>5.16</v>
      </c>
      <c r="H6996" s="17"/>
      <c r="K6996" s="17"/>
      <c r="N6996" s="17"/>
    </row>
    <row r="6997">
      <c r="B6997" s="11">
        <f>IFERROR(__xludf.DUMMYFUNCTION("""COMPUTED_VALUE"""),36230.0)</f>
        <v>36230</v>
      </c>
      <c r="C6997" s="9">
        <f>IFERROR(__xludf.DUMMYFUNCTION("""COMPUTED_VALUE"""),5.21)</f>
        <v>5.21</v>
      </c>
      <c r="H6997" s="17"/>
      <c r="K6997" s="17"/>
      <c r="N6997" s="17"/>
    </row>
    <row r="6998">
      <c r="B6998" s="11">
        <f>IFERROR(__xludf.DUMMYFUNCTION("""COMPUTED_VALUE"""),36229.0)</f>
        <v>36229</v>
      </c>
      <c r="C6998" s="9">
        <f>IFERROR(__xludf.DUMMYFUNCTION("""COMPUTED_VALUE"""),5.2)</f>
        <v>5.2</v>
      </c>
      <c r="H6998" s="17"/>
      <c r="K6998" s="17"/>
      <c r="N6998" s="17"/>
    </row>
    <row r="6999">
      <c r="B6999" s="11">
        <f>IFERROR(__xludf.DUMMYFUNCTION("""COMPUTED_VALUE"""),36228.0)</f>
        <v>36228</v>
      </c>
      <c r="C6999" s="9">
        <f>IFERROR(__xludf.DUMMYFUNCTION("""COMPUTED_VALUE"""),5.18)</f>
        <v>5.18</v>
      </c>
      <c r="H6999" s="17"/>
      <c r="K6999" s="17"/>
      <c r="N6999" s="17"/>
    </row>
    <row r="7000">
      <c r="B7000" s="11">
        <f>IFERROR(__xludf.DUMMYFUNCTION("""COMPUTED_VALUE"""),36227.0)</f>
        <v>36227</v>
      </c>
      <c r="C7000" s="9">
        <f>IFERROR(__xludf.DUMMYFUNCTION("""COMPUTED_VALUE"""),5.29)</f>
        <v>5.29</v>
      </c>
      <c r="H7000" s="17"/>
      <c r="K7000" s="17"/>
      <c r="N7000" s="17"/>
    </row>
    <row r="7001">
      <c r="B7001" s="11">
        <f>IFERROR(__xludf.DUMMYFUNCTION("""COMPUTED_VALUE"""),36224.0)</f>
        <v>36224</v>
      </c>
      <c r="C7001" s="9">
        <f>IFERROR(__xludf.DUMMYFUNCTION("""COMPUTED_VALUE"""),5.34)</f>
        <v>5.34</v>
      </c>
      <c r="H7001" s="17"/>
      <c r="K7001" s="17"/>
      <c r="N7001" s="17"/>
    </row>
    <row r="7002">
      <c r="B7002" s="11">
        <f>IFERROR(__xludf.DUMMYFUNCTION("""COMPUTED_VALUE"""),36223.0)</f>
        <v>36223</v>
      </c>
      <c r="C7002" s="9">
        <f>IFERROR(__xludf.DUMMYFUNCTION("""COMPUTED_VALUE"""),5.41)</f>
        <v>5.41</v>
      </c>
      <c r="H7002" s="17"/>
      <c r="K7002" s="17"/>
      <c r="N7002" s="17"/>
    </row>
    <row r="7003">
      <c r="B7003" s="11">
        <f>IFERROR(__xludf.DUMMYFUNCTION("""COMPUTED_VALUE"""),36222.0)</f>
        <v>36222</v>
      </c>
      <c r="C7003" s="9">
        <f>IFERROR(__xludf.DUMMYFUNCTION("""COMPUTED_VALUE"""),5.39)</f>
        <v>5.39</v>
      </c>
      <c r="H7003" s="17"/>
      <c r="K7003" s="17"/>
      <c r="N7003" s="17"/>
    </row>
    <row r="7004">
      <c r="B7004" s="11">
        <f>IFERROR(__xludf.DUMMYFUNCTION("""COMPUTED_VALUE"""),36221.0)</f>
        <v>36221</v>
      </c>
      <c r="C7004" s="9">
        <f>IFERROR(__xludf.DUMMYFUNCTION("""COMPUTED_VALUE"""),5.35)</f>
        <v>5.35</v>
      </c>
      <c r="H7004" s="17"/>
      <c r="K7004" s="17"/>
      <c r="N7004" s="17"/>
    </row>
    <row r="7005">
      <c r="B7005" s="11">
        <f>IFERROR(__xludf.DUMMYFUNCTION("""COMPUTED_VALUE"""),36220.0)</f>
        <v>36220</v>
      </c>
      <c r="C7005" s="9">
        <f>IFERROR(__xludf.DUMMYFUNCTION("""COMPUTED_VALUE"""),5.4)</f>
        <v>5.4</v>
      </c>
      <c r="H7005" s="17"/>
      <c r="K7005" s="17"/>
      <c r="N7005" s="17"/>
    </row>
    <row r="7006">
      <c r="B7006" s="11">
        <f>IFERROR(__xludf.DUMMYFUNCTION("""COMPUTED_VALUE"""),36217.0)</f>
        <v>36217</v>
      </c>
      <c r="C7006" s="9">
        <f>IFERROR(__xludf.DUMMYFUNCTION("""COMPUTED_VALUE"""),5.29)</f>
        <v>5.29</v>
      </c>
      <c r="H7006" s="17"/>
      <c r="K7006" s="17"/>
      <c r="N7006" s="17"/>
    </row>
    <row r="7007">
      <c r="B7007" s="11">
        <f>IFERROR(__xludf.DUMMYFUNCTION("""COMPUTED_VALUE"""),36216.0)</f>
        <v>36216</v>
      </c>
      <c r="C7007" s="9">
        <f>IFERROR(__xludf.DUMMYFUNCTION("""COMPUTED_VALUE"""),5.32)</f>
        <v>5.32</v>
      </c>
      <c r="H7007" s="17"/>
      <c r="K7007" s="17"/>
      <c r="N7007" s="17"/>
    </row>
    <row r="7008">
      <c r="B7008" s="11">
        <f>IFERROR(__xludf.DUMMYFUNCTION("""COMPUTED_VALUE"""),36215.0)</f>
        <v>36215</v>
      </c>
      <c r="C7008" s="9">
        <f>IFERROR(__xludf.DUMMYFUNCTION("""COMPUTED_VALUE"""),5.18)</f>
        <v>5.18</v>
      </c>
      <c r="H7008" s="17"/>
      <c r="K7008" s="17"/>
      <c r="N7008" s="17"/>
    </row>
    <row r="7009">
      <c r="B7009" s="11">
        <f>IFERROR(__xludf.DUMMYFUNCTION("""COMPUTED_VALUE"""),36214.0)</f>
        <v>36214</v>
      </c>
      <c r="C7009" s="9">
        <f>IFERROR(__xludf.DUMMYFUNCTION("""COMPUTED_VALUE"""),5.1)</f>
        <v>5.1</v>
      </c>
      <c r="H7009" s="17"/>
      <c r="K7009" s="17"/>
      <c r="N7009" s="17"/>
    </row>
    <row r="7010">
      <c r="B7010" s="11">
        <f>IFERROR(__xludf.DUMMYFUNCTION("""COMPUTED_VALUE"""),36213.0)</f>
        <v>36213</v>
      </c>
      <c r="C7010" s="9">
        <f>IFERROR(__xludf.DUMMYFUNCTION("""COMPUTED_VALUE"""),5.03)</f>
        <v>5.03</v>
      </c>
      <c r="H7010" s="17"/>
      <c r="K7010" s="17"/>
      <c r="N7010" s="17"/>
    </row>
    <row r="7011">
      <c r="B7011" s="11">
        <f>IFERROR(__xludf.DUMMYFUNCTION("""COMPUTED_VALUE"""),36210.0)</f>
        <v>36210</v>
      </c>
      <c r="C7011" s="9">
        <f>IFERROR(__xludf.DUMMYFUNCTION("""COMPUTED_VALUE"""),5.07)</f>
        <v>5.07</v>
      </c>
      <c r="H7011" s="17"/>
      <c r="K7011" s="17"/>
      <c r="N7011" s="17"/>
    </row>
    <row r="7012">
      <c r="B7012" s="11">
        <f>IFERROR(__xludf.DUMMYFUNCTION("""COMPUTED_VALUE"""),36209.0)</f>
        <v>36209</v>
      </c>
      <c r="C7012" s="9">
        <f>IFERROR(__xludf.DUMMYFUNCTION("""COMPUTED_VALUE"""),5.04)</f>
        <v>5.04</v>
      </c>
      <c r="H7012" s="17"/>
      <c r="K7012" s="17"/>
      <c r="N7012" s="17"/>
    </row>
    <row r="7013">
      <c r="B7013" s="11">
        <f>IFERROR(__xludf.DUMMYFUNCTION("""COMPUTED_VALUE"""),36208.0)</f>
        <v>36208</v>
      </c>
      <c r="C7013" s="9">
        <f>IFERROR(__xludf.DUMMYFUNCTION("""COMPUTED_VALUE"""),4.98)</f>
        <v>4.98</v>
      </c>
      <c r="H7013" s="17"/>
      <c r="K7013" s="17"/>
      <c r="N7013" s="17"/>
    </row>
    <row r="7014">
      <c r="B7014" s="11">
        <f>IFERROR(__xludf.DUMMYFUNCTION("""COMPUTED_VALUE"""),36207.0)</f>
        <v>36207</v>
      </c>
      <c r="C7014" s="9">
        <f>IFERROR(__xludf.DUMMYFUNCTION("""COMPUTED_VALUE"""),5.03)</f>
        <v>5.03</v>
      </c>
      <c r="H7014" s="17"/>
      <c r="K7014" s="17"/>
      <c r="N7014" s="17"/>
    </row>
    <row r="7015">
      <c r="B7015" s="11">
        <f>IFERROR(__xludf.DUMMYFUNCTION("""COMPUTED_VALUE"""),36206.0)</f>
        <v>36206</v>
      </c>
      <c r="C7015" s="9"/>
      <c r="H7015" s="17"/>
      <c r="K7015" s="17"/>
      <c r="N7015" s="17"/>
    </row>
    <row r="7016">
      <c r="B7016" s="11">
        <f>IFERROR(__xludf.DUMMYFUNCTION("""COMPUTED_VALUE"""),36203.0)</f>
        <v>36203</v>
      </c>
      <c r="C7016" s="9">
        <f>IFERROR(__xludf.DUMMYFUNCTION("""COMPUTED_VALUE"""),5.06)</f>
        <v>5.06</v>
      </c>
      <c r="H7016" s="17"/>
      <c r="K7016" s="17"/>
      <c r="N7016" s="17"/>
    </row>
    <row r="7017">
      <c r="B7017" s="11">
        <f>IFERROR(__xludf.DUMMYFUNCTION("""COMPUTED_VALUE"""),36202.0)</f>
        <v>36202</v>
      </c>
      <c r="C7017" s="9">
        <f>IFERROR(__xludf.DUMMYFUNCTION("""COMPUTED_VALUE"""),4.93)</f>
        <v>4.93</v>
      </c>
      <c r="H7017" s="17"/>
      <c r="K7017" s="17"/>
      <c r="N7017" s="17"/>
    </row>
    <row r="7018">
      <c r="B7018" s="11">
        <f>IFERROR(__xludf.DUMMYFUNCTION("""COMPUTED_VALUE"""),36201.0)</f>
        <v>36201</v>
      </c>
      <c r="C7018" s="9">
        <f>IFERROR(__xludf.DUMMYFUNCTION("""COMPUTED_VALUE"""),4.9)</f>
        <v>4.9</v>
      </c>
      <c r="H7018" s="17"/>
      <c r="K7018" s="17"/>
      <c r="N7018" s="17"/>
    </row>
    <row r="7019">
      <c r="B7019" s="11">
        <f>IFERROR(__xludf.DUMMYFUNCTION("""COMPUTED_VALUE"""),36200.0)</f>
        <v>36200</v>
      </c>
      <c r="C7019" s="9">
        <f>IFERROR(__xludf.DUMMYFUNCTION("""COMPUTED_VALUE"""),4.91)</f>
        <v>4.91</v>
      </c>
      <c r="H7019" s="17"/>
      <c r="K7019" s="17"/>
      <c r="N7019" s="17"/>
    </row>
    <row r="7020">
      <c r="B7020" s="11">
        <f>IFERROR(__xludf.DUMMYFUNCTION("""COMPUTED_VALUE"""),36199.0)</f>
        <v>36199</v>
      </c>
      <c r="C7020" s="9">
        <f>IFERROR(__xludf.DUMMYFUNCTION("""COMPUTED_VALUE"""),4.94)</f>
        <v>4.94</v>
      </c>
      <c r="H7020" s="17"/>
      <c r="K7020" s="17"/>
      <c r="N7020" s="17"/>
    </row>
    <row r="7021">
      <c r="B7021" s="11">
        <f>IFERROR(__xludf.DUMMYFUNCTION("""COMPUTED_VALUE"""),36196.0)</f>
        <v>36196</v>
      </c>
      <c r="C7021" s="9">
        <f>IFERROR(__xludf.DUMMYFUNCTION("""COMPUTED_VALUE"""),4.94)</f>
        <v>4.94</v>
      </c>
      <c r="H7021" s="17"/>
      <c r="K7021" s="17"/>
      <c r="N7021" s="17"/>
    </row>
    <row r="7022">
      <c r="B7022" s="11">
        <f>IFERROR(__xludf.DUMMYFUNCTION("""COMPUTED_VALUE"""),36195.0)</f>
        <v>36195</v>
      </c>
      <c r="C7022" s="9">
        <f>IFERROR(__xludf.DUMMYFUNCTION("""COMPUTED_VALUE"""),4.89)</f>
        <v>4.89</v>
      </c>
      <c r="H7022" s="17"/>
      <c r="K7022" s="17"/>
      <c r="N7022" s="17"/>
    </row>
    <row r="7023">
      <c r="B7023" s="11">
        <f>IFERROR(__xludf.DUMMYFUNCTION("""COMPUTED_VALUE"""),36194.0)</f>
        <v>36194</v>
      </c>
      <c r="C7023" s="9">
        <f>IFERROR(__xludf.DUMMYFUNCTION("""COMPUTED_VALUE"""),4.83)</f>
        <v>4.83</v>
      </c>
      <c r="H7023" s="17"/>
      <c r="K7023" s="17"/>
      <c r="N7023" s="17"/>
    </row>
    <row r="7024">
      <c r="B7024" s="11">
        <f>IFERROR(__xludf.DUMMYFUNCTION("""COMPUTED_VALUE"""),36193.0)</f>
        <v>36193</v>
      </c>
      <c r="C7024" s="9">
        <f>IFERROR(__xludf.DUMMYFUNCTION("""COMPUTED_VALUE"""),4.79)</f>
        <v>4.79</v>
      </c>
      <c r="H7024" s="17"/>
      <c r="K7024" s="17"/>
      <c r="N7024" s="17"/>
    </row>
    <row r="7025">
      <c r="B7025" s="11">
        <f>IFERROR(__xludf.DUMMYFUNCTION("""COMPUTED_VALUE"""),36192.0)</f>
        <v>36192</v>
      </c>
      <c r="C7025" s="9">
        <f>IFERROR(__xludf.DUMMYFUNCTION("""COMPUTED_VALUE"""),4.75)</f>
        <v>4.75</v>
      </c>
      <c r="H7025" s="17"/>
      <c r="K7025" s="17"/>
      <c r="N7025" s="17"/>
    </row>
    <row r="7026">
      <c r="B7026" s="11">
        <f>IFERROR(__xludf.DUMMYFUNCTION("""COMPUTED_VALUE"""),36189.0)</f>
        <v>36189</v>
      </c>
      <c r="C7026" s="9">
        <f>IFERROR(__xludf.DUMMYFUNCTION("""COMPUTED_VALUE"""),4.66)</f>
        <v>4.66</v>
      </c>
      <c r="H7026" s="17"/>
      <c r="K7026" s="17"/>
      <c r="N7026" s="17"/>
    </row>
    <row r="7027">
      <c r="B7027" s="11">
        <f>IFERROR(__xludf.DUMMYFUNCTION("""COMPUTED_VALUE"""),36188.0)</f>
        <v>36188</v>
      </c>
      <c r="C7027" s="9">
        <f>IFERROR(__xludf.DUMMYFUNCTION("""COMPUTED_VALUE"""),4.67)</f>
        <v>4.67</v>
      </c>
      <c r="H7027" s="17"/>
      <c r="K7027" s="17"/>
      <c r="N7027" s="17"/>
    </row>
    <row r="7028">
      <c r="B7028" s="11">
        <f>IFERROR(__xludf.DUMMYFUNCTION("""COMPUTED_VALUE"""),36187.0)</f>
        <v>36187</v>
      </c>
      <c r="C7028" s="9">
        <f>IFERROR(__xludf.DUMMYFUNCTION("""COMPUTED_VALUE"""),4.68)</f>
        <v>4.68</v>
      </c>
      <c r="H7028" s="17"/>
      <c r="K7028" s="17"/>
      <c r="N7028" s="17"/>
    </row>
    <row r="7029">
      <c r="B7029" s="11">
        <f>IFERROR(__xludf.DUMMYFUNCTION("""COMPUTED_VALUE"""),36186.0)</f>
        <v>36186</v>
      </c>
      <c r="C7029" s="9">
        <f>IFERROR(__xludf.DUMMYFUNCTION("""COMPUTED_VALUE"""),4.69)</f>
        <v>4.69</v>
      </c>
      <c r="H7029" s="17"/>
      <c r="K7029" s="17"/>
      <c r="N7029" s="17"/>
    </row>
    <row r="7030">
      <c r="B7030" s="11">
        <f>IFERROR(__xludf.DUMMYFUNCTION("""COMPUTED_VALUE"""),36185.0)</f>
        <v>36185</v>
      </c>
      <c r="C7030" s="9">
        <f>IFERROR(__xludf.DUMMYFUNCTION("""COMPUTED_VALUE"""),4.67)</f>
        <v>4.67</v>
      </c>
      <c r="H7030" s="17"/>
      <c r="K7030" s="17"/>
      <c r="N7030" s="17"/>
    </row>
    <row r="7031">
      <c r="B7031" s="11">
        <f>IFERROR(__xludf.DUMMYFUNCTION("""COMPUTED_VALUE"""),36182.0)</f>
        <v>36182</v>
      </c>
      <c r="C7031" s="9">
        <f>IFERROR(__xludf.DUMMYFUNCTION("""COMPUTED_VALUE"""),4.64)</f>
        <v>4.64</v>
      </c>
      <c r="H7031" s="17"/>
      <c r="K7031" s="17"/>
      <c r="N7031" s="17"/>
    </row>
    <row r="7032">
      <c r="B7032" s="11">
        <f>IFERROR(__xludf.DUMMYFUNCTION("""COMPUTED_VALUE"""),36181.0)</f>
        <v>36181</v>
      </c>
      <c r="C7032" s="9">
        <f>IFERROR(__xludf.DUMMYFUNCTION("""COMPUTED_VALUE"""),4.7)</f>
        <v>4.7</v>
      </c>
      <c r="H7032" s="17"/>
      <c r="K7032" s="17"/>
      <c r="N7032" s="17"/>
    </row>
    <row r="7033">
      <c r="B7033" s="11">
        <f>IFERROR(__xludf.DUMMYFUNCTION("""COMPUTED_VALUE"""),36180.0)</f>
        <v>36180</v>
      </c>
      <c r="C7033" s="9">
        <f>IFERROR(__xludf.DUMMYFUNCTION("""COMPUTED_VALUE"""),4.76)</f>
        <v>4.76</v>
      </c>
      <c r="H7033" s="17"/>
      <c r="K7033" s="17"/>
      <c r="N7033" s="17"/>
    </row>
    <row r="7034">
      <c r="B7034" s="11">
        <f>IFERROR(__xludf.DUMMYFUNCTION("""COMPUTED_VALUE"""),36179.0)</f>
        <v>36179</v>
      </c>
      <c r="C7034" s="9">
        <f>IFERROR(__xludf.DUMMYFUNCTION("""COMPUTED_VALUE"""),4.71)</f>
        <v>4.71</v>
      </c>
      <c r="H7034" s="17"/>
      <c r="K7034" s="17"/>
      <c r="N7034" s="17"/>
    </row>
    <row r="7035">
      <c r="B7035" s="11">
        <f>IFERROR(__xludf.DUMMYFUNCTION("""COMPUTED_VALUE"""),36178.0)</f>
        <v>36178</v>
      </c>
      <c r="C7035" s="9"/>
      <c r="H7035" s="17"/>
      <c r="K7035" s="17"/>
      <c r="N7035" s="17"/>
    </row>
    <row r="7036">
      <c r="B7036" s="11">
        <f>IFERROR(__xludf.DUMMYFUNCTION("""COMPUTED_VALUE"""),36175.0)</f>
        <v>36175</v>
      </c>
      <c r="C7036" s="9">
        <f>IFERROR(__xludf.DUMMYFUNCTION("""COMPUTED_VALUE"""),4.66)</f>
        <v>4.66</v>
      </c>
      <c r="H7036" s="17"/>
      <c r="K7036" s="17"/>
      <c r="N7036" s="17"/>
    </row>
    <row r="7037">
      <c r="B7037" s="11">
        <f>IFERROR(__xludf.DUMMYFUNCTION("""COMPUTED_VALUE"""),36174.0)</f>
        <v>36174</v>
      </c>
      <c r="C7037" s="9">
        <f>IFERROR(__xludf.DUMMYFUNCTION("""COMPUTED_VALUE"""),4.63)</f>
        <v>4.63</v>
      </c>
      <c r="H7037" s="17"/>
      <c r="K7037" s="17"/>
      <c r="N7037" s="17"/>
    </row>
    <row r="7038">
      <c r="B7038" s="11">
        <f>IFERROR(__xludf.DUMMYFUNCTION("""COMPUTED_VALUE"""),36173.0)</f>
        <v>36173</v>
      </c>
      <c r="C7038" s="9">
        <f>IFERROR(__xludf.DUMMYFUNCTION("""COMPUTED_VALUE"""),4.74)</f>
        <v>4.74</v>
      </c>
      <c r="H7038" s="17"/>
      <c r="K7038" s="17"/>
      <c r="N7038" s="17"/>
    </row>
    <row r="7039">
      <c r="B7039" s="11">
        <f>IFERROR(__xludf.DUMMYFUNCTION("""COMPUTED_VALUE"""),36172.0)</f>
        <v>36172</v>
      </c>
      <c r="C7039" s="9">
        <f>IFERROR(__xludf.DUMMYFUNCTION("""COMPUTED_VALUE"""),4.82)</f>
        <v>4.82</v>
      </c>
      <c r="H7039" s="17"/>
      <c r="K7039" s="17"/>
      <c r="N7039" s="17"/>
    </row>
    <row r="7040">
      <c r="B7040" s="11">
        <f>IFERROR(__xludf.DUMMYFUNCTION("""COMPUTED_VALUE"""),36171.0)</f>
        <v>36171</v>
      </c>
      <c r="C7040" s="9">
        <f>IFERROR(__xludf.DUMMYFUNCTION("""COMPUTED_VALUE"""),4.9)</f>
        <v>4.9</v>
      </c>
      <c r="H7040" s="17"/>
      <c r="K7040" s="17"/>
      <c r="N7040" s="17"/>
    </row>
    <row r="7041">
      <c r="B7041" s="11">
        <f>IFERROR(__xludf.DUMMYFUNCTION("""COMPUTED_VALUE"""),36168.0)</f>
        <v>36168</v>
      </c>
      <c r="C7041" s="9">
        <f>IFERROR(__xludf.DUMMYFUNCTION("""COMPUTED_VALUE"""),4.86)</f>
        <v>4.86</v>
      </c>
      <c r="H7041" s="17"/>
      <c r="K7041" s="17"/>
      <c r="N7041" s="17"/>
    </row>
    <row r="7042">
      <c r="B7042" s="11">
        <f>IFERROR(__xludf.DUMMYFUNCTION("""COMPUTED_VALUE"""),36167.0)</f>
        <v>36167</v>
      </c>
      <c r="C7042" s="9">
        <f>IFERROR(__xludf.DUMMYFUNCTION("""COMPUTED_VALUE"""),4.77)</f>
        <v>4.77</v>
      </c>
      <c r="H7042" s="17"/>
      <c r="K7042" s="17"/>
      <c r="N7042" s="17"/>
    </row>
    <row r="7043">
      <c r="B7043" s="11">
        <f>IFERROR(__xludf.DUMMYFUNCTION("""COMPUTED_VALUE"""),36166.0)</f>
        <v>36166</v>
      </c>
      <c r="C7043" s="9">
        <f>IFERROR(__xludf.DUMMYFUNCTION("""COMPUTED_VALUE"""),4.73)</f>
        <v>4.73</v>
      </c>
      <c r="H7043" s="17"/>
      <c r="K7043" s="17"/>
      <c r="N7043" s="17"/>
    </row>
    <row r="7044">
      <c r="B7044" s="11">
        <f>IFERROR(__xludf.DUMMYFUNCTION("""COMPUTED_VALUE"""),36165.0)</f>
        <v>36165</v>
      </c>
      <c r="C7044" s="9">
        <f>IFERROR(__xludf.DUMMYFUNCTION("""COMPUTED_VALUE"""),4.74)</f>
        <v>4.74</v>
      </c>
      <c r="H7044" s="17"/>
      <c r="K7044" s="17"/>
      <c r="N7044" s="17"/>
    </row>
    <row r="7045">
      <c r="B7045" s="11">
        <f>IFERROR(__xludf.DUMMYFUNCTION("""COMPUTED_VALUE"""),36164.0)</f>
        <v>36164</v>
      </c>
      <c r="C7045" s="9">
        <f>IFERROR(__xludf.DUMMYFUNCTION("""COMPUTED_VALUE"""),4.69)</f>
        <v>4.69</v>
      </c>
      <c r="H7045" s="17"/>
      <c r="K7045" s="17"/>
      <c r="N7045" s="17"/>
    </row>
    <row r="7046">
      <c r="B7046" s="11">
        <f>IFERROR(__xludf.DUMMYFUNCTION("""COMPUTED_VALUE"""),36161.0)</f>
        <v>36161</v>
      </c>
      <c r="C7046" s="9"/>
      <c r="H7046" s="17"/>
      <c r="K7046" s="17"/>
      <c r="N7046" s="17"/>
    </row>
    <row r="7047">
      <c r="B7047" s="11">
        <f>IFERROR(__xludf.DUMMYFUNCTION("""COMPUTED_VALUE"""),36160.0)</f>
        <v>36160</v>
      </c>
      <c r="C7047" s="9">
        <f>IFERROR(__xludf.DUMMYFUNCTION("""COMPUTED_VALUE"""),4.65)</f>
        <v>4.65</v>
      </c>
      <c r="H7047" s="17"/>
      <c r="K7047" s="17"/>
      <c r="N7047" s="17"/>
    </row>
    <row r="7048">
      <c r="B7048" s="11">
        <f>IFERROR(__xludf.DUMMYFUNCTION("""COMPUTED_VALUE"""),36159.0)</f>
        <v>36159</v>
      </c>
      <c r="C7048" s="9">
        <f>IFERROR(__xludf.DUMMYFUNCTION("""COMPUTED_VALUE"""),4.65)</f>
        <v>4.65</v>
      </c>
      <c r="H7048" s="17"/>
      <c r="K7048" s="17"/>
      <c r="N7048" s="17"/>
    </row>
    <row r="7049">
      <c r="B7049" s="11">
        <f>IFERROR(__xludf.DUMMYFUNCTION("""COMPUTED_VALUE"""),36158.0)</f>
        <v>36158</v>
      </c>
      <c r="C7049" s="9">
        <f>IFERROR(__xludf.DUMMYFUNCTION("""COMPUTED_VALUE"""),4.71)</f>
        <v>4.71</v>
      </c>
      <c r="H7049" s="17"/>
      <c r="K7049" s="17"/>
      <c r="N7049" s="17"/>
    </row>
    <row r="7050">
      <c r="B7050" s="11">
        <f>IFERROR(__xludf.DUMMYFUNCTION("""COMPUTED_VALUE"""),36157.0)</f>
        <v>36157</v>
      </c>
      <c r="C7050" s="9">
        <f>IFERROR(__xludf.DUMMYFUNCTION("""COMPUTED_VALUE"""),4.78)</f>
        <v>4.78</v>
      </c>
      <c r="H7050" s="17"/>
      <c r="K7050" s="17"/>
      <c r="N7050" s="17"/>
    </row>
    <row r="7051">
      <c r="B7051" s="11">
        <f>IFERROR(__xludf.DUMMYFUNCTION("""COMPUTED_VALUE"""),36154.0)</f>
        <v>36154</v>
      </c>
      <c r="C7051" s="9"/>
      <c r="H7051" s="17"/>
      <c r="K7051" s="17"/>
      <c r="N7051" s="17"/>
    </row>
    <row r="7052">
      <c r="B7052" s="11">
        <f>IFERROR(__xludf.DUMMYFUNCTION("""COMPUTED_VALUE"""),36153.0)</f>
        <v>36153</v>
      </c>
      <c r="C7052" s="9">
        <f>IFERROR(__xludf.DUMMYFUNCTION("""COMPUTED_VALUE"""),4.86)</f>
        <v>4.86</v>
      </c>
      <c r="H7052" s="17"/>
      <c r="K7052" s="17"/>
      <c r="N7052" s="17"/>
    </row>
    <row r="7053">
      <c r="B7053" s="11">
        <f>IFERROR(__xludf.DUMMYFUNCTION("""COMPUTED_VALUE"""),36152.0)</f>
        <v>36152</v>
      </c>
      <c r="C7053" s="9">
        <f>IFERROR(__xludf.DUMMYFUNCTION("""COMPUTED_VALUE"""),4.81)</f>
        <v>4.81</v>
      </c>
      <c r="H7053" s="17"/>
      <c r="K7053" s="17"/>
      <c r="N7053" s="17"/>
    </row>
    <row r="7054">
      <c r="B7054" s="11">
        <f>IFERROR(__xludf.DUMMYFUNCTION("""COMPUTED_VALUE"""),36151.0)</f>
        <v>36151</v>
      </c>
      <c r="C7054" s="9">
        <f>IFERROR(__xludf.DUMMYFUNCTION("""COMPUTED_VALUE"""),4.7)</f>
        <v>4.7</v>
      </c>
      <c r="H7054" s="17"/>
      <c r="K7054" s="17"/>
      <c r="N7054" s="17"/>
    </row>
    <row r="7055">
      <c r="B7055" s="11">
        <f>IFERROR(__xludf.DUMMYFUNCTION("""COMPUTED_VALUE"""),36150.0)</f>
        <v>36150</v>
      </c>
      <c r="C7055" s="9">
        <f>IFERROR(__xludf.DUMMYFUNCTION("""COMPUTED_VALUE"""),4.64)</f>
        <v>4.64</v>
      </c>
      <c r="H7055" s="17"/>
      <c r="K7055" s="17"/>
      <c r="N7055" s="17"/>
    </row>
    <row r="7056">
      <c r="B7056" s="11">
        <f>IFERROR(__xludf.DUMMYFUNCTION("""COMPUTED_VALUE"""),36147.0)</f>
        <v>36147</v>
      </c>
      <c r="C7056" s="9">
        <f>IFERROR(__xludf.DUMMYFUNCTION("""COMPUTED_VALUE"""),4.58)</f>
        <v>4.58</v>
      </c>
      <c r="H7056" s="17"/>
      <c r="K7056" s="17"/>
      <c r="N7056" s="17"/>
    </row>
    <row r="7057">
      <c r="B7057" s="11">
        <f>IFERROR(__xludf.DUMMYFUNCTION("""COMPUTED_VALUE"""),36146.0)</f>
        <v>36146</v>
      </c>
      <c r="C7057" s="9">
        <f>IFERROR(__xludf.DUMMYFUNCTION("""COMPUTED_VALUE"""),4.58)</f>
        <v>4.58</v>
      </c>
      <c r="H7057" s="17"/>
      <c r="K7057" s="17"/>
      <c r="N7057" s="17"/>
    </row>
    <row r="7058">
      <c r="B7058" s="11">
        <f>IFERROR(__xludf.DUMMYFUNCTION("""COMPUTED_VALUE"""),36145.0)</f>
        <v>36145</v>
      </c>
      <c r="C7058" s="9">
        <f>IFERROR(__xludf.DUMMYFUNCTION("""COMPUTED_VALUE"""),4.58)</f>
        <v>4.58</v>
      </c>
      <c r="H7058" s="17"/>
      <c r="K7058" s="17"/>
      <c r="N7058" s="17"/>
    </row>
    <row r="7059">
      <c r="B7059" s="11">
        <f>IFERROR(__xludf.DUMMYFUNCTION("""COMPUTED_VALUE"""),36144.0)</f>
        <v>36144</v>
      </c>
      <c r="C7059" s="9">
        <f>IFERROR(__xludf.DUMMYFUNCTION("""COMPUTED_VALUE"""),4.62)</f>
        <v>4.62</v>
      </c>
      <c r="H7059" s="17"/>
      <c r="K7059" s="17"/>
      <c r="N7059" s="17"/>
    </row>
    <row r="7060">
      <c r="B7060" s="11">
        <f>IFERROR(__xludf.DUMMYFUNCTION("""COMPUTED_VALUE"""),36143.0)</f>
        <v>36143</v>
      </c>
      <c r="C7060" s="9">
        <f>IFERROR(__xludf.DUMMYFUNCTION("""COMPUTED_VALUE"""),4.58)</f>
        <v>4.58</v>
      </c>
      <c r="H7060" s="17"/>
      <c r="K7060" s="17"/>
      <c r="N7060" s="17"/>
    </row>
    <row r="7061">
      <c r="B7061" s="11">
        <f>IFERROR(__xludf.DUMMYFUNCTION("""COMPUTED_VALUE"""),36140.0)</f>
        <v>36140</v>
      </c>
      <c r="C7061" s="9">
        <f>IFERROR(__xludf.DUMMYFUNCTION("""COMPUTED_VALUE"""),4.61)</f>
        <v>4.61</v>
      </c>
      <c r="H7061" s="17"/>
      <c r="K7061" s="17"/>
      <c r="N7061" s="17"/>
    </row>
    <row r="7062">
      <c r="B7062" s="11">
        <f>IFERROR(__xludf.DUMMYFUNCTION("""COMPUTED_VALUE"""),36139.0)</f>
        <v>36139</v>
      </c>
      <c r="C7062" s="9">
        <f>IFERROR(__xludf.DUMMYFUNCTION("""COMPUTED_VALUE"""),4.53)</f>
        <v>4.53</v>
      </c>
      <c r="H7062" s="17"/>
      <c r="K7062" s="17"/>
      <c r="N7062" s="17"/>
    </row>
    <row r="7063">
      <c r="B7063" s="11">
        <f>IFERROR(__xludf.DUMMYFUNCTION("""COMPUTED_VALUE"""),36138.0)</f>
        <v>36138</v>
      </c>
      <c r="C7063" s="9">
        <f>IFERROR(__xludf.DUMMYFUNCTION("""COMPUTED_VALUE"""),4.56)</f>
        <v>4.56</v>
      </c>
      <c r="H7063" s="17"/>
      <c r="K7063" s="17"/>
      <c r="N7063" s="17"/>
    </row>
    <row r="7064">
      <c r="B7064" s="11">
        <f>IFERROR(__xludf.DUMMYFUNCTION("""COMPUTED_VALUE"""),36137.0)</f>
        <v>36137</v>
      </c>
      <c r="C7064" s="9">
        <f>IFERROR(__xludf.DUMMYFUNCTION("""COMPUTED_VALUE"""),4.6)</f>
        <v>4.6</v>
      </c>
      <c r="H7064" s="17"/>
      <c r="K7064" s="17"/>
      <c r="N7064" s="17"/>
    </row>
    <row r="7065">
      <c r="B7065" s="11">
        <f>IFERROR(__xludf.DUMMYFUNCTION("""COMPUTED_VALUE"""),36136.0)</f>
        <v>36136</v>
      </c>
      <c r="C7065" s="9">
        <f>IFERROR(__xludf.DUMMYFUNCTION("""COMPUTED_VALUE"""),4.69)</f>
        <v>4.69</v>
      </c>
      <c r="H7065" s="17"/>
      <c r="K7065" s="17"/>
      <c r="N7065" s="17"/>
    </row>
    <row r="7066">
      <c r="B7066" s="11">
        <f>IFERROR(__xludf.DUMMYFUNCTION("""COMPUTED_VALUE"""),36133.0)</f>
        <v>36133</v>
      </c>
      <c r="C7066" s="9">
        <f>IFERROR(__xludf.DUMMYFUNCTION("""COMPUTED_VALUE"""),4.62)</f>
        <v>4.62</v>
      </c>
      <c r="H7066" s="17"/>
      <c r="K7066" s="17"/>
      <c r="N7066" s="17"/>
    </row>
    <row r="7067">
      <c r="B7067" s="11">
        <f>IFERROR(__xludf.DUMMYFUNCTION("""COMPUTED_VALUE"""),36132.0)</f>
        <v>36132</v>
      </c>
      <c r="C7067" s="9">
        <f>IFERROR(__xludf.DUMMYFUNCTION("""COMPUTED_VALUE"""),4.58)</f>
        <v>4.58</v>
      </c>
      <c r="H7067" s="17"/>
      <c r="K7067" s="17"/>
      <c r="N7067" s="17"/>
    </row>
    <row r="7068">
      <c r="B7068" s="11">
        <f>IFERROR(__xludf.DUMMYFUNCTION("""COMPUTED_VALUE"""),36131.0)</f>
        <v>36131</v>
      </c>
      <c r="C7068" s="9">
        <f>IFERROR(__xludf.DUMMYFUNCTION("""COMPUTED_VALUE"""),4.59)</f>
        <v>4.59</v>
      </c>
      <c r="H7068" s="17"/>
      <c r="K7068" s="17"/>
      <c r="N7068" s="17"/>
    </row>
    <row r="7069">
      <c r="B7069" s="11">
        <f>IFERROR(__xludf.DUMMYFUNCTION("""COMPUTED_VALUE"""),36130.0)</f>
        <v>36130</v>
      </c>
      <c r="C7069" s="9">
        <f>IFERROR(__xludf.DUMMYFUNCTION("""COMPUTED_VALUE"""),4.67)</f>
        <v>4.67</v>
      </c>
      <c r="H7069" s="17"/>
      <c r="K7069" s="17"/>
      <c r="N7069" s="17"/>
    </row>
    <row r="7070">
      <c r="B7070" s="11">
        <f>IFERROR(__xludf.DUMMYFUNCTION("""COMPUTED_VALUE"""),36129.0)</f>
        <v>36129</v>
      </c>
      <c r="C7070" s="9">
        <f>IFERROR(__xludf.DUMMYFUNCTION("""COMPUTED_VALUE"""),4.74)</f>
        <v>4.74</v>
      </c>
      <c r="H7070" s="17"/>
      <c r="K7070" s="17"/>
      <c r="N7070" s="17"/>
    </row>
    <row r="7071">
      <c r="B7071" s="11">
        <f>IFERROR(__xludf.DUMMYFUNCTION("""COMPUTED_VALUE"""),36126.0)</f>
        <v>36126</v>
      </c>
      <c r="C7071" s="9">
        <f>IFERROR(__xludf.DUMMYFUNCTION("""COMPUTED_VALUE"""),4.81)</f>
        <v>4.81</v>
      </c>
      <c r="H7071" s="17"/>
      <c r="K7071" s="17"/>
      <c r="N7071" s="17"/>
    </row>
    <row r="7072">
      <c r="B7072" s="11">
        <f>IFERROR(__xludf.DUMMYFUNCTION("""COMPUTED_VALUE"""),36125.0)</f>
        <v>36125</v>
      </c>
      <c r="C7072" s="9"/>
      <c r="H7072" s="17"/>
      <c r="K7072" s="17"/>
      <c r="N7072" s="17"/>
    </row>
    <row r="7073">
      <c r="B7073" s="11">
        <f>IFERROR(__xludf.DUMMYFUNCTION("""COMPUTED_VALUE"""),36124.0)</f>
        <v>36124</v>
      </c>
      <c r="C7073" s="9">
        <f>IFERROR(__xludf.DUMMYFUNCTION("""COMPUTED_VALUE"""),4.83)</f>
        <v>4.83</v>
      </c>
      <c r="H7073" s="17"/>
      <c r="K7073" s="17"/>
      <c r="N7073" s="17"/>
    </row>
    <row r="7074">
      <c r="B7074" s="11">
        <f>IFERROR(__xludf.DUMMYFUNCTION("""COMPUTED_VALUE"""),36123.0)</f>
        <v>36123</v>
      </c>
      <c r="C7074" s="9">
        <f>IFERROR(__xludf.DUMMYFUNCTION("""COMPUTED_VALUE"""),4.85)</f>
        <v>4.85</v>
      </c>
      <c r="H7074" s="17"/>
      <c r="K7074" s="17"/>
      <c r="N7074" s="17"/>
    </row>
    <row r="7075">
      <c r="B7075" s="11">
        <f>IFERROR(__xludf.DUMMYFUNCTION("""COMPUTED_VALUE"""),36122.0)</f>
        <v>36122</v>
      </c>
      <c r="C7075" s="9">
        <f>IFERROR(__xludf.DUMMYFUNCTION("""COMPUTED_VALUE"""),4.84)</f>
        <v>4.84</v>
      </c>
      <c r="H7075" s="17"/>
      <c r="K7075" s="17"/>
      <c r="N7075" s="17"/>
    </row>
    <row r="7076">
      <c r="B7076" s="11">
        <f>IFERROR(__xludf.DUMMYFUNCTION("""COMPUTED_VALUE"""),36119.0)</f>
        <v>36119</v>
      </c>
      <c r="C7076" s="9">
        <f>IFERROR(__xludf.DUMMYFUNCTION("""COMPUTED_VALUE"""),4.82)</f>
        <v>4.82</v>
      </c>
      <c r="H7076" s="17"/>
      <c r="K7076" s="17"/>
      <c r="N7076" s="17"/>
    </row>
    <row r="7077">
      <c r="B7077" s="11">
        <f>IFERROR(__xludf.DUMMYFUNCTION("""COMPUTED_VALUE"""),36118.0)</f>
        <v>36118</v>
      </c>
      <c r="C7077" s="9">
        <f>IFERROR(__xludf.DUMMYFUNCTION("""COMPUTED_VALUE"""),4.85)</f>
        <v>4.85</v>
      </c>
      <c r="H7077" s="17"/>
      <c r="K7077" s="17"/>
      <c r="N7077" s="17"/>
    </row>
    <row r="7078">
      <c r="B7078" s="11">
        <f>IFERROR(__xludf.DUMMYFUNCTION("""COMPUTED_VALUE"""),36117.0)</f>
        <v>36117</v>
      </c>
      <c r="C7078" s="9">
        <f>IFERROR(__xludf.DUMMYFUNCTION("""COMPUTED_VALUE"""),4.85)</f>
        <v>4.85</v>
      </c>
      <c r="H7078" s="17"/>
      <c r="K7078" s="17"/>
      <c r="N7078" s="17"/>
    </row>
    <row r="7079">
      <c r="B7079" s="11">
        <f>IFERROR(__xludf.DUMMYFUNCTION("""COMPUTED_VALUE"""),36116.0)</f>
        <v>36116</v>
      </c>
      <c r="C7079" s="9">
        <f>IFERROR(__xludf.DUMMYFUNCTION("""COMPUTED_VALUE"""),4.87)</f>
        <v>4.87</v>
      </c>
      <c r="H7079" s="17"/>
      <c r="K7079" s="17"/>
      <c r="N7079" s="17"/>
    </row>
    <row r="7080">
      <c r="B7080" s="11">
        <f>IFERROR(__xludf.DUMMYFUNCTION("""COMPUTED_VALUE"""),36115.0)</f>
        <v>36115</v>
      </c>
      <c r="C7080" s="9">
        <f>IFERROR(__xludf.DUMMYFUNCTION("""COMPUTED_VALUE"""),4.85)</f>
        <v>4.85</v>
      </c>
      <c r="H7080" s="17"/>
      <c r="K7080" s="17"/>
      <c r="N7080" s="17"/>
    </row>
    <row r="7081">
      <c r="B7081" s="11">
        <f>IFERROR(__xludf.DUMMYFUNCTION("""COMPUTED_VALUE"""),36112.0)</f>
        <v>36112</v>
      </c>
      <c r="C7081" s="9">
        <f>IFERROR(__xludf.DUMMYFUNCTION("""COMPUTED_VALUE"""),4.82)</f>
        <v>4.82</v>
      </c>
      <c r="H7081" s="17"/>
      <c r="K7081" s="17"/>
      <c r="N7081" s="17"/>
    </row>
    <row r="7082">
      <c r="B7082" s="11">
        <f>IFERROR(__xludf.DUMMYFUNCTION("""COMPUTED_VALUE"""),36111.0)</f>
        <v>36111</v>
      </c>
      <c r="C7082" s="9">
        <f>IFERROR(__xludf.DUMMYFUNCTION("""COMPUTED_VALUE"""),4.77)</f>
        <v>4.77</v>
      </c>
      <c r="H7082" s="17"/>
      <c r="K7082" s="17"/>
      <c r="N7082" s="17"/>
    </row>
    <row r="7083">
      <c r="B7083" s="11">
        <f>IFERROR(__xludf.DUMMYFUNCTION("""COMPUTED_VALUE"""),36110.0)</f>
        <v>36110</v>
      </c>
      <c r="C7083" s="9"/>
      <c r="H7083" s="17"/>
      <c r="K7083" s="17"/>
      <c r="N7083" s="17"/>
    </row>
    <row r="7084">
      <c r="B7084" s="11">
        <f>IFERROR(__xludf.DUMMYFUNCTION("""COMPUTED_VALUE"""),36109.0)</f>
        <v>36109</v>
      </c>
      <c r="C7084" s="9">
        <f>IFERROR(__xludf.DUMMYFUNCTION("""COMPUTED_VALUE"""),4.81)</f>
        <v>4.81</v>
      </c>
      <c r="H7084" s="17"/>
      <c r="K7084" s="17"/>
      <c r="N7084" s="17"/>
    </row>
    <row r="7085">
      <c r="B7085" s="11">
        <f>IFERROR(__xludf.DUMMYFUNCTION("""COMPUTED_VALUE"""),36108.0)</f>
        <v>36108</v>
      </c>
      <c r="C7085" s="9">
        <f>IFERROR(__xludf.DUMMYFUNCTION("""COMPUTED_VALUE"""),4.88)</f>
        <v>4.88</v>
      </c>
      <c r="H7085" s="17"/>
      <c r="K7085" s="17"/>
      <c r="N7085" s="17"/>
    </row>
    <row r="7086">
      <c r="B7086" s="11">
        <f>IFERROR(__xludf.DUMMYFUNCTION("""COMPUTED_VALUE"""),36105.0)</f>
        <v>36105</v>
      </c>
      <c r="C7086" s="9">
        <f>IFERROR(__xludf.DUMMYFUNCTION("""COMPUTED_VALUE"""),4.93)</f>
        <v>4.93</v>
      </c>
      <c r="H7086" s="17"/>
      <c r="K7086" s="17"/>
      <c r="N7086" s="17"/>
    </row>
    <row r="7087">
      <c r="B7087" s="11">
        <f>IFERROR(__xludf.DUMMYFUNCTION("""COMPUTED_VALUE"""),36104.0)</f>
        <v>36104</v>
      </c>
      <c r="C7087" s="9">
        <f>IFERROR(__xludf.DUMMYFUNCTION("""COMPUTED_VALUE"""),4.82)</f>
        <v>4.82</v>
      </c>
      <c r="H7087" s="17"/>
      <c r="K7087" s="17"/>
      <c r="N7087" s="17"/>
    </row>
    <row r="7088">
      <c r="B7088" s="11">
        <f>IFERROR(__xludf.DUMMYFUNCTION("""COMPUTED_VALUE"""),36103.0)</f>
        <v>36103</v>
      </c>
      <c r="C7088" s="9">
        <f>IFERROR(__xludf.DUMMYFUNCTION("""COMPUTED_VALUE"""),4.83)</f>
        <v>4.83</v>
      </c>
      <c r="H7088" s="17"/>
      <c r="K7088" s="17"/>
      <c r="N7088" s="17"/>
    </row>
    <row r="7089">
      <c r="B7089" s="11">
        <f>IFERROR(__xludf.DUMMYFUNCTION("""COMPUTED_VALUE"""),36102.0)</f>
        <v>36102</v>
      </c>
      <c r="C7089" s="9">
        <f>IFERROR(__xludf.DUMMYFUNCTION("""COMPUTED_VALUE"""),4.78)</f>
        <v>4.78</v>
      </c>
      <c r="H7089" s="17"/>
      <c r="K7089" s="17"/>
      <c r="N7089" s="17"/>
    </row>
    <row r="7090">
      <c r="B7090" s="11">
        <f>IFERROR(__xludf.DUMMYFUNCTION("""COMPUTED_VALUE"""),36101.0)</f>
        <v>36101</v>
      </c>
      <c r="C7090" s="9">
        <f>IFERROR(__xludf.DUMMYFUNCTION("""COMPUTED_VALUE"""),4.77)</f>
        <v>4.77</v>
      </c>
      <c r="H7090" s="17"/>
      <c r="K7090" s="17"/>
      <c r="N7090" s="17"/>
    </row>
    <row r="7091">
      <c r="B7091" s="11">
        <f>IFERROR(__xludf.DUMMYFUNCTION("""COMPUTED_VALUE"""),36098.0)</f>
        <v>36098</v>
      </c>
      <c r="C7091" s="9">
        <f>IFERROR(__xludf.DUMMYFUNCTION("""COMPUTED_VALUE"""),4.64)</f>
        <v>4.64</v>
      </c>
      <c r="H7091" s="17"/>
      <c r="K7091" s="17"/>
      <c r="N7091" s="17"/>
    </row>
    <row r="7092">
      <c r="B7092" s="11">
        <f>IFERROR(__xludf.DUMMYFUNCTION("""COMPUTED_VALUE"""),36097.0)</f>
        <v>36097</v>
      </c>
      <c r="C7092" s="9">
        <f>IFERROR(__xludf.DUMMYFUNCTION("""COMPUTED_VALUE"""),4.54)</f>
        <v>4.54</v>
      </c>
      <c r="H7092" s="17"/>
      <c r="K7092" s="17"/>
      <c r="N7092" s="17"/>
    </row>
    <row r="7093">
      <c r="B7093" s="11">
        <f>IFERROR(__xludf.DUMMYFUNCTION("""COMPUTED_VALUE"""),36096.0)</f>
        <v>36096</v>
      </c>
      <c r="C7093" s="9">
        <f>IFERROR(__xludf.DUMMYFUNCTION("""COMPUTED_VALUE"""),4.6)</f>
        <v>4.6</v>
      </c>
      <c r="H7093" s="17"/>
      <c r="K7093" s="17"/>
      <c r="N7093" s="17"/>
    </row>
    <row r="7094">
      <c r="B7094" s="11">
        <f>IFERROR(__xludf.DUMMYFUNCTION("""COMPUTED_VALUE"""),36095.0)</f>
        <v>36095</v>
      </c>
      <c r="C7094" s="9">
        <f>IFERROR(__xludf.DUMMYFUNCTION("""COMPUTED_VALUE"""),4.63)</f>
        <v>4.63</v>
      </c>
      <c r="H7094" s="17"/>
      <c r="K7094" s="17"/>
      <c r="N7094" s="17"/>
    </row>
    <row r="7095">
      <c r="B7095" s="11">
        <f>IFERROR(__xludf.DUMMYFUNCTION("""COMPUTED_VALUE"""),36094.0)</f>
        <v>36094</v>
      </c>
      <c r="C7095" s="9">
        <f>IFERROR(__xludf.DUMMYFUNCTION("""COMPUTED_VALUE"""),4.73)</f>
        <v>4.73</v>
      </c>
      <c r="H7095" s="17"/>
      <c r="K7095" s="17"/>
      <c r="N7095" s="17"/>
    </row>
    <row r="7096">
      <c r="B7096" s="11">
        <f>IFERROR(__xludf.DUMMYFUNCTION("""COMPUTED_VALUE"""),36091.0)</f>
        <v>36091</v>
      </c>
      <c r="C7096" s="9">
        <f>IFERROR(__xludf.DUMMYFUNCTION("""COMPUTED_VALUE"""),4.7)</f>
        <v>4.7</v>
      </c>
      <c r="H7096" s="17"/>
      <c r="K7096" s="17"/>
      <c r="N7096" s="17"/>
    </row>
    <row r="7097">
      <c r="B7097" s="11">
        <f>IFERROR(__xludf.DUMMYFUNCTION("""COMPUTED_VALUE"""),36090.0)</f>
        <v>36090</v>
      </c>
      <c r="C7097" s="9">
        <f>IFERROR(__xludf.DUMMYFUNCTION("""COMPUTED_VALUE"""),4.62)</f>
        <v>4.62</v>
      </c>
      <c r="H7097" s="17"/>
      <c r="K7097" s="17"/>
      <c r="N7097" s="17"/>
    </row>
    <row r="7098">
      <c r="B7098" s="11">
        <f>IFERROR(__xludf.DUMMYFUNCTION("""COMPUTED_VALUE"""),36089.0)</f>
        <v>36089</v>
      </c>
      <c r="C7098" s="9">
        <f>IFERROR(__xludf.DUMMYFUNCTION("""COMPUTED_VALUE"""),4.59)</f>
        <v>4.59</v>
      </c>
      <c r="H7098" s="17"/>
      <c r="K7098" s="17"/>
      <c r="N7098" s="17"/>
    </row>
    <row r="7099">
      <c r="B7099" s="11">
        <f>IFERROR(__xludf.DUMMYFUNCTION("""COMPUTED_VALUE"""),36088.0)</f>
        <v>36088</v>
      </c>
      <c r="C7099" s="9">
        <f>IFERROR(__xludf.DUMMYFUNCTION("""COMPUTED_VALUE"""),4.57)</f>
        <v>4.57</v>
      </c>
      <c r="H7099" s="17"/>
      <c r="K7099" s="17"/>
      <c r="N7099" s="17"/>
    </row>
    <row r="7100">
      <c r="B7100" s="11">
        <f>IFERROR(__xludf.DUMMYFUNCTION("""COMPUTED_VALUE"""),36087.0)</f>
        <v>36087</v>
      </c>
      <c r="C7100" s="9">
        <f>IFERROR(__xludf.DUMMYFUNCTION("""COMPUTED_VALUE"""),4.47)</f>
        <v>4.47</v>
      </c>
      <c r="H7100" s="17"/>
      <c r="K7100" s="17"/>
      <c r="N7100" s="17"/>
    </row>
    <row r="7101">
      <c r="B7101" s="11">
        <f>IFERROR(__xludf.DUMMYFUNCTION("""COMPUTED_VALUE"""),36084.0)</f>
        <v>36084</v>
      </c>
      <c r="C7101" s="9">
        <f>IFERROR(__xludf.DUMMYFUNCTION("""COMPUTED_VALUE"""),4.44)</f>
        <v>4.44</v>
      </c>
      <c r="H7101" s="17"/>
      <c r="K7101" s="17"/>
      <c r="N7101" s="17"/>
    </row>
    <row r="7102">
      <c r="B7102" s="11">
        <f>IFERROR(__xludf.DUMMYFUNCTION("""COMPUTED_VALUE"""),36083.0)</f>
        <v>36083</v>
      </c>
      <c r="C7102" s="9">
        <f>IFERROR(__xludf.DUMMYFUNCTION("""COMPUTED_VALUE"""),4.58)</f>
        <v>4.58</v>
      </c>
      <c r="H7102" s="17"/>
      <c r="K7102" s="17"/>
      <c r="N7102" s="17"/>
    </row>
    <row r="7103">
      <c r="B7103" s="11">
        <f>IFERROR(__xludf.DUMMYFUNCTION("""COMPUTED_VALUE"""),36082.0)</f>
        <v>36082</v>
      </c>
      <c r="C7103" s="9">
        <f>IFERROR(__xludf.DUMMYFUNCTION("""COMPUTED_VALUE"""),4.58)</f>
        <v>4.58</v>
      </c>
      <c r="H7103" s="17"/>
      <c r="K7103" s="17"/>
      <c r="N7103" s="17"/>
    </row>
    <row r="7104">
      <c r="B7104" s="11">
        <f>IFERROR(__xludf.DUMMYFUNCTION("""COMPUTED_VALUE"""),36081.0)</f>
        <v>36081</v>
      </c>
      <c r="C7104" s="9">
        <f>IFERROR(__xludf.DUMMYFUNCTION("""COMPUTED_VALUE"""),4.73)</f>
        <v>4.73</v>
      </c>
      <c r="H7104" s="17"/>
      <c r="K7104" s="17"/>
      <c r="N7104" s="17"/>
    </row>
    <row r="7105">
      <c r="B7105" s="11">
        <f>IFERROR(__xludf.DUMMYFUNCTION("""COMPUTED_VALUE"""),36080.0)</f>
        <v>36080</v>
      </c>
      <c r="C7105" s="9"/>
      <c r="H7105" s="17"/>
      <c r="K7105" s="17"/>
      <c r="N7105" s="17"/>
    </row>
    <row r="7106">
      <c r="B7106" s="11">
        <f>IFERROR(__xludf.DUMMYFUNCTION("""COMPUTED_VALUE"""),36077.0)</f>
        <v>36077</v>
      </c>
      <c r="C7106" s="9">
        <f>IFERROR(__xludf.DUMMYFUNCTION("""COMPUTED_VALUE"""),4.77)</f>
        <v>4.77</v>
      </c>
      <c r="H7106" s="17"/>
      <c r="K7106" s="17"/>
      <c r="N7106" s="17"/>
    </row>
    <row r="7107">
      <c r="B7107" s="11">
        <f>IFERROR(__xludf.DUMMYFUNCTION("""COMPUTED_VALUE"""),36076.0)</f>
        <v>36076</v>
      </c>
      <c r="C7107" s="9">
        <f>IFERROR(__xludf.DUMMYFUNCTION("""COMPUTED_VALUE"""),4.56)</f>
        <v>4.56</v>
      </c>
      <c r="H7107" s="17"/>
      <c r="K7107" s="17"/>
      <c r="N7107" s="17"/>
    </row>
    <row r="7108">
      <c r="B7108" s="11">
        <f>IFERROR(__xludf.DUMMYFUNCTION("""COMPUTED_VALUE"""),36075.0)</f>
        <v>36075</v>
      </c>
      <c r="C7108" s="9">
        <f>IFERROR(__xludf.DUMMYFUNCTION("""COMPUTED_VALUE"""),4.34)</f>
        <v>4.34</v>
      </c>
      <c r="H7108" s="17"/>
      <c r="K7108" s="17"/>
      <c r="N7108" s="17"/>
    </row>
    <row r="7109">
      <c r="B7109" s="11">
        <f>IFERROR(__xludf.DUMMYFUNCTION("""COMPUTED_VALUE"""),36074.0)</f>
        <v>36074</v>
      </c>
      <c r="C7109" s="9">
        <f>IFERROR(__xludf.DUMMYFUNCTION("""COMPUTED_VALUE"""),4.24)</f>
        <v>4.24</v>
      </c>
      <c r="H7109" s="17"/>
      <c r="K7109" s="17"/>
      <c r="N7109" s="17"/>
    </row>
    <row r="7110">
      <c r="B7110" s="11">
        <f>IFERROR(__xludf.DUMMYFUNCTION("""COMPUTED_VALUE"""),36073.0)</f>
        <v>36073</v>
      </c>
      <c r="C7110" s="9">
        <f>IFERROR(__xludf.DUMMYFUNCTION("""COMPUTED_VALUE"""),4.16)</f>
        <v>4.16</v>
      </c>
      <c r="H7110" s="17"/>
      <c r="K7110" s="17"/>
      <c r="N7110" s="17"/>
    </row>
    <row r="7111">
      <c r="B7111" s="11">
        <f>IFERROR(__xludf.DUMMYFUNCTION("""COMPUTED_VALUE"""),36070.0)</f>
        <v>36070</v>
      </c>
      <c r="C7111" s="9">
        <f>IFERROR(__xludf.DUMMYFUNCTION("""COMPUTED_VALUE"""),4.31)</f>
        <v>4.31</v>
      </c>
      <c r="H7111" s="17"/>
      <c r="K7111" s="17"/>
      <c r="N7111" s="17"/>
    </row>
    <row r="7112">
      <c r="B7112" s="11">
        <f>IFERROR(__xludf.DUMMYFUNCTION("""COMPUTED_VALUE"""),36069.0)</f>
        <v>36069</v>
      </c>
      <c r="C7112" s="9">
        <f>IFERROR(__xludf.DUMMYFUNCTION("""COMPUTED_VALUE"""),4.33)</f>
        <v>4.33</v>
      </c>
      <c r="H7112" s="17"/>
      <c r="K7112" s="17"/>
      <c r="N7112" s="17"/>
    </row>
    <row r="7113">
      <c r="B7113" s="11">
        <f>IFERROR(__xludf.DUMMYFUNCTION("""COMPUTED_VALUE"""),36068.0)</f>
        <v>36068</v>
      </c>
      <c r="C7113" s="9">
        <f>IFERROR(__xludf.DUMMYFUNCTION("""COMPUTED_VALUE"""),4.44)</f>
        <v>4.44</v>
      </c>
      <c r="H7113" s="17"/>
      <c r="K7113" s="17"/>
      <c r="N7113" s="17"/>
    </row>
    <row r="7114">
      <c r="B7114" s="11">
        <f>IFERROR(__xludf.DUMMYFUNCTION("""COMPUTED_VALUE"""),36067.0)</f>
        <v>36067</v>
      </c>
      <c r="C7114" s="9">
        <f>IFERROR(__xludf.DUMMYFUNCTION("""COMPUTED_VALUE"""),4.59)</f>
        <v>4.59</v>
      </c>
      <c r="H7114" s="17"/>
      <c r="K7114" s="17"/>
      <c r="N7114" s="17"/>
    </row>
    <row r="7115">
      <c r="B7115" s="11">
        <f>IFERROR(__xludf.DUMMYFUNCTION("""COMPUTED_VALUE"""),36066.0)</f>
        <v>36066</v>
      </c>
      <c r="C7115" s="9">
        <f>IFERROR(__xludf.DUMMYFUNCTION("""COMPUTED_VALUE"""),4.61)</f>
        <v>4.61</v>
      </c>
      <c r="H7115" s="17"/>
      <c r="K7115" s="17"/>
      <c r="N7115" s="17"/>
    </row>
    <row r="7116">
      <c r="B7116" s="11">
        <f>IFERROR(__xludf.DUMMYFUNCTION("""COMPUTED_VALUE"""),36063.0)</f>
        <v>36063</v>
      </c>
      <c r="C7116" s="9">
        <f>IFERROR(__xludf.DUMMYFUNCTION("""COMPUTED_VALUE"""),4.6)</f>
        <v>4.6</v>
      </c>
      <c r="H7116" s="17"/>
      <c r="K7116" s="17"/>
      <c r="N7116" s="17"/>
    </row>
    <row r="7117">
      <c r="B7117" s="11">
        <f>IFERROR(__xludf.DUMMYFUNCTION("""COMPUTED_VALUE"""),36062.0)</f>
        <v>36062</v>
      </c>
      <c r="C7117" s="9">
        <f>IFERROR(__xludf.DUMMYFUNCTION("""COMPUTED_VALUE"""),4.64)</f>
        <v>4.64</v>
      </c>
      <c r="H7117" s="17"/>
      <c r="K7117" s="17"/>
      <c r="N7117" s="17"/>
    </row>
    <row r="7118">
      <c r="B7118" s="11">
        <f>IFERROR(__xludf.DUMMYFUNCTION("""COMPUTED_VALUE"""),36061.0)</f>
        <v>36061</v>
      </c>
      <c r="C7118" s="9">
        <f>IFERROR(__xludf.DUMMYFUNCTION("""COMPUTED_VALUE"""),4.69)</f>
        <v>4.69</v>
      </c>
      <c r="H7118" s="17"/>
      <c r="K7118" s="17"/>
      <c r="N7118" s="17"/>
    </row>
    <row r="7119">
      <c r="B7119" s="11">
        <f>IFERROR(__xludf.DUMMYFUNCTION("""COMPUTED_VALUE"""),36060.0)</f>
        <v>36060</v>
      </c>
      <c r="C7119" s="9">
        <f>IFERROR(__xludf.DUMMYFUNCTION("""COMPUTED_VALUE"""),4.73)</f>
        <v>4.73</v>
      </c>
      <c r="H7119" s="17"/>
      <c r="K7119" s="17"/>
      <c r="N7119" s="17"/>
    </row>
    <row r="7120">
      <c r="B7120" s="11">
        <f>IFERROR(__xludf.DUMMYFUNCTION("""COMPUTED_VALUE"""),36059.0)</f>
        <v>36059</v>
      </c>
      <c r="C7120" s="9">
        <f>IFERROR(__xludf.DUMMYFUNCTION("""COMPUTED_VALUE"""),4.69)</f>
        <v>4.69</v>
      </c>
      <c r="H7120" s="17"/>
      <c r="K7120" s="17"/>
      <c r="N7120" s="17"/>
    </row>
    <row r="7121">
      <c r="B7121" s="11">
        <f>IFERROR(__xludf.DUMMYFUNCTION("""COMPUTED_VALUE"""),36056.0)</f>
        <v>36056</v>
      </c>
      <c r="C7121" s="9">
        <f>IFERROR(__xludf.DUMMYFUNCTION("""COMPUTED_VALUE"""),4.7)</f>
        <v>4.7</v>
      </c>
      <c r="H7121" s="17"/>
      <c r="K7121" s="17"/>
      <c r="N7121" s="17"/>
    </row>
    <row r="7122">
      <c r="B7122" s="11">
        <f>IFERROR(__xludf.DUMMYFUNCTION("""COMPUTED_VALUE"""),36055.0)</f>
        <v>36055</v>
      </c>
      <c r="C7122" s="9">
        <f>IFERROR(__xludf.DUMMYFUNCTION("""COMPUTED_VALUE"""),4.8)</f>
        <v>4.8</v>
      </c>
      <c r="H7122" s="17"/>
      <c r="K7122" s="17"/>
      <c r="N7122" s="17"/>
    </row>
    <row r="7123">
      <c r="B7123" s="11">
        <f>IFERROR(__xludf.DUMMYFUNCTION("""COMPUTED_VALUE"""),36054.0)</f>
        <v>36054</v>
      </c>
      <c r="C7123" s="9">
        <f>IFERROR(__xludf.DUMMYFUNCTION("""COMPUTED_VALUE"""),4.88)</f>
        <v>4.88</v>
      </c>
      <c r="H7123" s="17"/>
      <c r="K7123" s="17"/>
      <c r="N7123" s="17"/>
    </row>
    <row r="7124">
      <c r="B7124" s="11">
        <f>IFERROR(__xludf.DUMMYFUNCTION("""COMPUTED_VALUE"""),36053.0)</f>
        <v>36053</v>
      </c>
      <c r="C7124" s="9">
        <f>IFERROR(__xludf.DUMMYFUNCTION("""COMPUTED_VALUE"""),4.9)</f>
        <v>4.9</v>
      </c>
      <c r="H7124" s="17"/>
      <c r="K7124" s="17"/>
      <c r="N7124" s="17"/>
    </row>
    <row r="7125">
      <c r="B7125" s="11">
        <f>IFERROR(__xludf.DUMMYFUNCTION("""COMPUTED_VALUE"""),36052.0)</f>
        <v>36052</v>
      </c>
      <c r="C7125" s="9">
        <f>IFERROR(__xludf.DUMMYFUNCTION("""COMPUTED_VALUE"""),4.87)</f>
        <v>4.87</v>
      </c>
      <c r="H7125" s="17"/>
      <c r="K7125" s="17"/>
      <c r="N7125" s="17"/>
    </row>
    <row r="7126">
      <c r="B7126" s="11">
        <f>IFERROR(__xludf.DUMMYFUNCTION("""COMPUTED_VALUE"""),36049.0)</f>
        <v>36049</v>
      </c>
      <c r="C7126" s="9">
        <f>IFERROR(__xludf.DUMMYFUNCTION("""COMPUTED_VALUE"""),4.85)</f>
        <v>4.85</v>
      </c>
      <c r="H7126" s="17"/>
      <c r="K7126" s="17"/>
      <c r="N7126" s="17"/>
    </row>
    <row r="7127">
      <c r="B7127" s="11">
        <f>IFERROR(__xludf.DUMMYFUNCTION("""COMPUTED_VALUE"""),36048.0)</f>
        <v>36048</v>
      </c>
      <c r="C7127" s="9">
        <f>IFERROR(__xludf.DUMMYFUNCTION("""COMPUTED_VALUE"""),4.76)</f>
        <v>4.76</v>
      </c>
      <c r="H7127" s="17"/>
      <c r="K7127" s="17"/>
      <c r="N7127" s="17"/>
    </row>
    <row r="7128">
      <c r="B7128" s="11">
        <f>IFERROR(__xludf.DUMMYFUNCTION("""COMPUTED_VALUE"""),36047.0)</f>
        <v>36047</v>
      </c>
      <c r="C7128" s="9">
        <f>IFERROR(__xludf.DUMMYFUNCTION("""COMPUTED_VALUE"""),4.95)</f>
        <v>4.95</v>
      </c>
      <c r="H7128" s="17"/>
      <c r="K7128" s="17"/>
      <c r="N7128" s="17"/>
    </row>
    <row r="7129">
      <c r="B7129" s="11">
        <f>IFERROR(__xludf.DUMMYFUNCTION("""COMPUTED_VALUE"""),36046.0)</f>
        <v>36046</v>
      </c>
      <c r="C7129" s="9">
        <f>IFERROR(__xludf.DUMMYFUNCTION("""COMPUTED_VALUE"""),5.04)</f>
        <v>5.04</v>
      </c>
      <c r="H7129" s="17"/>
      <c r="K7129" s="17"/>
      <c r="N7129" s="17"/>
    </row>
    <row r="7130">
      <c r="B7130" s="11">
        <f>IFERROR(__xludf.DUMMYFUNCTION("""COMPUTED_VALUE"""),36045.0)</f>
        <v>36045</v>
      </c>
      <c r="C7130" s="9"/>
      <c r="H7130" s="17"/>
      <c r="K7130" s="17"/>
      <c r="N7130" s="17"/>
    </row>
    <row r="7131">
      <c r="B7131" s="11">
        <f>IFERROR(__xludf.DUMMYFUNCTION("""COMPUTED_VALUE"""),36042.0)</f>
        <v>36042</v>
      </c>
      <c r="C7131" s="9">
        <f>IFERROR(__xludf.DUMMYFUNCTION("""COMPUTED_VALUE"""),5.02)</f>
        <v>5.02</v>
      </c>
      <c r="H7131" s="17"/>
      <c r="K7131" s="17"/>
      <c r="N7131" s="17"/>
    </row>
    <row r="7132">
      <c r="B7132" s="11">
        <f>IFERROR(__xludf.DUMMYFUNCTION("""COMPUTED_VALUE"""),36041.0)</f>
        <v>36041</v>
      </c>
      <c r="C7132" s="9">
        <f>IFERROR(__xludf.DUMMYFUNCTION("""COMPUTED_VALUE"""),5.03)</f>
        <v>5.03</v>
      </c>
      <c r="H7132" s="17"/>
      <c r="K7132" s="17"/>
      <c r="N7132" s="17"/>
    </row>
    <row r="7133">
      <c r="B7133" s="11">
        <f>IFERROR(__xludf.DUMMYFUNCTION("""COMPUTED_VALUE"""),36040.0)</f>
        <v>36040</v>
      </c>
      <c r="C7133" s="9">
        <f>IFERROR(__xludf.DUMMYFUNCTION("""COMPUTED_VALUE"""),5.1)</f>
        <v>5.1</v>
      </c>
      <c r="H7133" s="17"/>
      <c r="K7133" s="17"/>
      <c r="N7133" s="17"/>
    </row>
    <row r="7134">
      <c r="B7134" s="11">
        <f>IFERROR(__xludf.DUMMYFUNCTION("""COMPUTED_VALUE"""),36039.0)</f>
        <v>36039</v>
      </c>
      <c r="C7134" s="9">
        <f>IFERROR(__xludf.DUMMYFUNCTION("""COMPUTED_VALUE"""),5.05)</f>
        <v>5.05</v>
      </c>
      <c r="H7134" s="17"/>
      <c r="K7134" s="17"/>
      <c r="N7134" s="17"/>
    </row>
    <row r="7135">
      <c r="B7135" s="11">
        <f>IFERROR(__xludf.DUMMYFUNCTION("""COMPUTED_VALUE"""),36038.0)</f>
        <v>36038</v>
      </c>
      <c r="C7135" s="9">
        <f>IFERROR(__xludf.DUMMYFUNCTION("""COMPUTED_VALUE"""),5.05)</f>
        <v>5.05</v>
      </c>
      <c r="H7135" s="17"/>
      <c r="K7135" s="17"/>
      <c r="N7135" s="17"/>
    </row>
    <row r="7136">
      <c r="B7136" s="11">
        <f>IFERROR(__xludf.DUMMYFUNCTION("""COMPUTED_VALUE"""),36035.0)</f>
        <v>36035</v>
      </c>
      <c r="C7136" s="9">
        <f>IFERROR(__xludf.DUMMYFUNCTION("""COMPUTED_VALUE"""),5.09)</f>
        <v>5.09</v>
      </c>
      <c r="H7136" s="17"/>
      <c r="K7136" s="17"/>
      <c r="N7136" s="17"/>
    </row>
    <row r="7137">
      <c r="B7137" s="11">
        <f>IFERROR(__xludf.DUMMYFUNCTION("""COMPUTED_VALUE"""),36034.0)</f>
        <v>36034</v>
      </c>
      <c r="C7137" s="9">
        <f>IFERROR(__xludf.DUMMYFUNCTION("""COMPUTED_VALUE"""),5.12)</f>
        <v>5.12</v>
      </c>
      <c r="H7137" s="17"/>
      <c r="K7137" s="17"/>
      <c r="N7137" s="17"/>
    </row>
    <row r="7138">
      <c r="B7138" s="11">
        <f>IFERROR(__xludf.DUMMYFUNCTION("""COMPUTED_VALUE"""),36033.0)</f>
        <v>36033</v>
      </c>
      <c r="C7138" s="9">
        <f>IFERROR(__xludf.DUMMYFUNCTION("""COMPUTED_VALUE"""),5.26)</f>
        <v>5.26</v>
      </c>
      <c r="H7138" s="17"/>
      <c r="K7138" s="17"/>
      <c r="N7138" s="17"/>
    </row>
    <row r="7139">
      <c r="B7139" s="11">
        <f>IFERROR(__xludf.DUMMYFUNCTION("""COMPUTED_VALUE"""),36032.0)</f>
        <v>36032</v>
      </c>
      <c r="C7139" s="9">
        <f>IFERROR(__xludf.DUMMYFUNCTION("""COMPUTED_VALUE"""),5.25)</f>
        <v>5.25</v>
      </c>
      <c r="H7139" s="17"/>
      <c r="K7139" s="17"/>
      <c r="N7139" s="17"/>
    </row>
    <row r="7140">
      <c r="B7140" s="11">
        <f>IFERROR(__xludf.DUMMYFUNCTION("""COMPUTED_VALUE"""),36031.0)</f>
        <v>36031</v>
      </c>
      <c r="C7140" s="9">
        <f>IFERROR(__xludf.DUMMYFUNCTION("""COMPUTED_VALUE"""),5.3)</f>
        <v>5.3</v>
      </c>
      <c r="H7140" s="17"/>
      <c r="K7140" s="17"/>
      <c r="N7140" s="17"/>
    </row>
    <row r="7141">
      <c r="B7141" s="11">
        <f>IFERROR(__xludf.DUMMYFUNCTION("""COMPUTED_VALUE"""),36028.0)</f>
        <v>36028</v>
      </c>
      <c r="C7141" s="9">
        <f>IFERROR(__xludf.DUMMYFUNCTION("""COMPUTED_VALUE"""),5.32)</f>
        <v>5.32</v>
      </c>
      <c r="H7141" s="17"/>
      <c r="K7141" s="17"/>
      <c r="N7141" s="17"/>
    </row>
    <row r="7142">
      <c r="B7142" s="11">
        <f>IFERROR(__xludf.DUMMYFUNCTION("""COMPUTED_VALUE"""),36027.0)</f>
        <v>36027</v>
      </c>
      <c r="C7142" s="9">
        <f>IFERROR(__xludf.DUMMYFUNCTION("""COMPUTED_VALUE"""),5.38)</f>
        <v>5.38</v>
      </c>
      <c r="H7142" s="17"/>
      <c r="K7142" s="17"/>
      <c r="N7142" s="17"/>
    </row>
    <row r="7143">
      <c r="B7143" s="11">
        <f>IFERROR(__xludf.DUMMYFUNCTION("""COMPUTED_VALUE"""),36026.0)</f>
        <v>36026</v>
      </c>
      <c r="C7143" s="9">
        <f>IFERROR(__xludf.DUMMYFUNCTION("""COMPUTED_VALUE"""),5.42)</f>
        <v>5.42</v>
      </c>
      <c r="H7143" s="17"/>
      <c r="K7143" s="17"/>
      <c r="N7143" s="17"/>
    </row>
    <row r="7144">
      <c r="B7144" s="11">
        <f>IFERROR(__xludf.DUMMYFUNCTION("""COMPUTED_VALUE"""),36025.0)</f>
        <v>36025</v>
      </c>
      <c r="C7144" s="9">
        <f>IFERROR(__xludf.DUMMYFUNCTION("""COMPUTED_VALUE"""),5.41)</f>
        <v>5.41</v>
      </c>
      <c r="H7144" s="17"/>
      <c r="K7144" s="17"/>
      <c r="N7144" s="17"/>
    </row>
    <row r="7145">
      <c r="B7145" s="11">
        <f>IFERROR(__xludf.DUMMYFUNCTION("""COMPUTED_VALUE"""),36024.0)</f>
        <v>36024</v>
      </c>
      <c r="C7145" s="9">
        <f>IFERROR(__xludf.DUMMYFUNCTION("""COMPUTED_VALUE"""),5.4)</f>
        <v>5.4</v>
      </c>
      <c r="H7145" s="17"/>
      <c r="K7145" s="17"/>
      <c r="N7145" s="17"/>
    </row>
    <row r="7146">
      <c r="B7146" s="11">
        <f>IFERROR(__xludf.DUMMYFUNCTION("""COMPUTED_VALUE"""),36021.0)</f>
        <v>36021</v>
      </c>
      <c r="C7146" s="9">
        <f>IFERROR(__xludf.DUMMYFUNCTION("""COMPUTED_VALUE"""),5.4)</f>
        <v>5.4</v>
      </c>
      <c r="H7146" s="17"/>
      <c r="K7146" s="17"/>
      <c r="N7146" s="17"/>
    </row>
    <row r="7147">
      <c r="B7147" s="11">
        <f>IFERROR(__xludf.DUMMYFUNCTION("""COMPUTED_VALUE"""),36020.0)</f>
        <v>36020</v>
      </c>
      <c r="C7147" s="9">
        <f>IFERROR(__xludf.DUMMYFUNCTION("""COMPUTED_VALUE"""),5.44)</f>
        <v>5.44</v>
      </c>
      <c r="H7147" s="17"/>
      <c r="K7147" s="17"/>
      <c r="N7147" s="17"/>
    </row>
    <row r="7148">
      <c r="B7148" s="11">
        <f>IFERROR(__xludf.DUMMYFUNCTION("""COMPUTED_VALUE"""),36019.0)</f>
        <v>36019</v>
      </c>
      <c r="C7148" s="9">
        <f>IFERROR(__xludf.DUMMYFUNCTION("""COMPUTED_VALUE"""),5.4)</f>
        <v>5.4</v>
      </c>
      <c r="H7148" s="17"/>
      <c r="K7148" s="17"/>
      <c r="N7148" s="17"/>
    </row>
    <row r="7149">
      <c r="B7149" s="11">
        <f>IFERROR(__xludf.DUMMYFUNCTION("""COMPUTED_VALUE"""),36018.0)</f>
        <v>36018</v>
      </c>
      <c r="C7149" s="9">
        <f>IFERROR(__xludf.DUMMYFUNCTION("""COMPUTED_VALUE"""),5.37)</f>
        <v>5.37</v>
      </c>
      <c r="H7149" s="17"/>
      <c r="K7149" s="17"/>
      <c r="N7149" s="17"/>
    </row>
    <row r="7150">
      <c r="B7150" s="11">
        <f>IFERROR(__xludf.DUMMYFUNCTION("""COMPUTED_VALUE"""),36017.0)</f>
        <v>36017</v>
      </c>
      <c r="C7150" s="9">
        <f>IFERROR(__xludf.DUMMYFUNCTION("""COMPUTED_VALUE"""),5.41)</f>
        <v>5.41</v>
      </c>
      <c r="H7150" s="17"/>
      <c r="K7150" s="17"/>
      <c r="N7150" s="17"/>
    </row>
    <row r="7151">
      <c r="B7151" s="11">
        <f>IFERROR(__xludf.DUMMYFUNCTION("""COMPUTED_VALUE"""),36014.0)</f>
        <v>36014</v>
      </c>
      <c r="C7151" s="9">
        <f>IFERROR(__xludf.DUMMYFUNCTION("""COMPUTED_VALUE"""),5.4)</f>
        <v>5.4</v>
      </c>
      <c r="H7151" s="17"/>
      <c r="K7151" s="17"/>
      <c r="N7151" s="17"/>
    </row>
    <row r="7152">
      <c r="B7152" s="11">
        <f>IFERROR(__xludf.DUMMYFUNCTION("""COMPUTED_VALUE"""),36013.0)</f>
        <v>36013</v>
      </c>
      <c r="C7152" s="9">
        <f>IFERROR(__xludf.DUMMYFUNCTION("""COMPUTED_VALUE"""),5.44)</f>
        <v>5.44</v>
      </c>
      <c r="H7152" s="17"/>
      <c r="K7152" s="17"/>
      <c r="N7152" s="17"/>
    </row>
    <row r="7153">
      <c r="B7153" s="11">
        <f>IFERROR(__xludf.DUMMYFUNCTION("""COMPUTED_VALUE"""),36012.0)</f>
        <v>36012</v>
      </c>
      <c r="C7153" s="9">
        <f>IFERROR(__xludf.DUMMYFUNCTION("""COMPUTED_VALUE"""),5.43)</f>
        <v>5.43</v>
      </c>
      <c r="H7153" s="17"/>
      <c r="K7153" s="17"/>
      <c r="N7153" s="17"/>
    </row>
    <row r="7154">
      <c r="B7154" s="11">
        <f>IFERROR(__xludf.DUMMYFUNCTION("""COMPUTED_VALUE"""),36011.0)</f>
        <v>36011</v>
      </c>
      <c r="C7154" s="9">
        <f>IFERROR(__xludf.DUMMYFUNCTION("""COMPUTED_VALUE"""),5.43)</f>
        <v>5.43</v>
      </c>
      <c r="H7154" s="17"/>
      <c r="K7154" s="17"/>
      <c r="N7154" s="17"/>
    </row>
    <row r="7155">
      <c r="B7155" s="11">
        <f>IFERROR(__xludf.DUMMYFUNCTION("""COMPUTED_VALUE"""),36010.0)</f>
        <v>36010</v>
      </c>
      <c r="C7155" s="9">
        <f>IFERROR(__xludf.DUMMYFUNCTION("""COMPUTED_VALUE"""),5.46)</f>
        <v>5.46</v>
      </c>
      <c r="H7155" s="17"/>
      <c r="K7155" s="17"/>
      <c r="N7155" s="17"/>
    </row>
    <row r="7156">
      <c r="B7156" s="11">
        <f>IFERROR(__xludf.DUMMYFUNCTION("""COMPUTED_VALUE"""),36007.0)</f>
        <v>36007</v>
      </c>
      <c r="C7156" s="9">
        <f>IFERROR(__xludf.DUMMYFUNCTION("""COMPUTED_VALUE"""),5.5)</f>
        <v>5.5</v>
      </c>
      <c r="H7156" s="17"/>
      <c r="K7156" s="17"/>
      <c r="N7156" s="17"/>
    </row>
    <row r="7157">
      <c r="B7157" s="11">
        <f>IFERROR(__xludf.DUMMYFUNCTION("""COMPUTED_VALUE"""),36006.0)</f>
        <v>36006</v>
      </c>
      <c r="C7157" s="9">
        <f>IFERROR(__xludf.DUMMYFUNCTION("""COMPUTED_VALUE"""),5.5)</f>
        <v>5.5</v>
      </c>
      <c r="H7157" s="17"/>
      <c r="K7157" s="17"/>
      <c r="N7157" s="17"/>
    </row>
    <row r="7158">
      <c r="B7158" s="11">
        <f>IFERROR(__xludf.DUMMYFUNCTION("""COMPUTED_VALUE"""),36005.0)</f>
        <v>36005</v>
      </c>
      <c r="C7158" s="9">
        <f>IFERROR(__xludf.DUMMYFUNCTION("""COMPUTED_VALUE"""),5.52)</f>
        <v>5.52</v>
      </c>
      <c r="H7158" s="17"/>
      <c r="K7158" s="17"/>
      <c r="N7158" s="17"/>
    </row>
    <row r="7159">
      <c r="B7159" s="11">
        <f>IFERROR(__xludf.DUMMYFUNCTION("""COMPUTED_VALUE"""),36004.0)</f>
        <v>36004</v>
      </c>
      <c r="C7159" s="9">
        <f>IFERROR(__xludf.DUMMYFUNCTION("""COMPUTED_VALUE"""),5.5)</f>
        <v>5.5</v>
      </c>
      <c r="H7159" s="17"/>
      <c r="K7159" s="17"/>
      <c r="N7159" s="17"/>
    </row>
    <row r="7160">
      <c r="B7160" s="11">
        <f>IFERROR(__xludf.DUMMYFUNCTION("""COMPUTED_VALUE"""),36003.0)</f>
        <v>36003</v>
      </c>
      <c r="C7160" s="9">
        <f>IFERROR(__xludf.DUMMYFUNCTION("""COMPUTED_VALUE"""),5.47)</f>
        <v>5.47</v>
      </c>
      <c r="H7160" s="17"/>
      <c r="K7160" s="17"/>
      <c r="N7160" s="17"/>
    </row>
    <row r="7161">
      <c r="B7161" s="11">
        <f>IFERROR(__xludf.DUMMYFUNCTION("""COMPUTED_VALUE"""),36000.0)</f>
        <v>36000</v>
      </c>
      <c r="C7161" s="9">
        <f>IFERROR(__xludf.DUMMYFUNCTION("""COMPUTED_VALUE"""),5.45)</f>
        <v>5.45</v>
      </c>
      <c r="H7161" s="17"/>
      <c r="K7161" s="17"/>
      <c r="N7161" s="17"/>
    </row>
    <row r="7162">
      <c r="B7162" s="11">
        <f>IFERROR(__xludf.DUMMYFUNCTION("""COMPUTED_VALUE"""),35999.0)</f>
        <v>35999</v>
      </c>
      <c r="C7162" s="9">
        <f>IFERROR(__xludf.DUMMYFUNCTION("""COMPUTED_VALUE"""),5.45)</f>
        <v>5.45</v>
      </c>
      <c r="H7162" s="17"/>
      <c r="K7162" s="17"/>
      <c r="N7162" s="17"/>
    </row>
    <row r="7163">
      <c r="B7163" s="11">
        <f>IFERROR(__xludf.DUMMYFUNCTION("""COMPUTED_VALUE"""),35998.0)</f>
        <v>35998</v>
      </c>
      <c r="C7163" s="9">
        <f>IFERROR(__xludf.DUMMYFUNCTION("""COMPUTED_VALUE"""),5.46)</f>
        <v>5.46</v>
      </c>
      <c r="H7163" s="17"/>
      <c r="K7163" s="17"/>
      <c r="N7163" s="17"/>
    </row>
    <row r="7164">
      <c r="B7164" s="11">
        <f>IFERROR(__xludf.DUMMYFUNCTION("""COMPUTED_VALUE"""),35997.0)</f>
        <v>35997</v>
      </c>
      <c r="C7164" s="9">
        <f>IFERROR(__xludf.DUMMYFUNCTION("""COMPUTED_VALUE"""),5.45)</f>
        <v>5.45</v>
      </c>
      <c r="H7164" s="17"/>
      <c r="K7164" s="17"/>
      <c r="N7164" s="17"/>
    </row>
    <row r="7165">
      <c r="B7165" s="11">
        <f>IFERROR(__xludf.DUMMYFUNCTION("""COMPUTED_VALUE"""),35996.0)</f>
        <v>35996</v>
      </c>
      <c r="C7165" s="9">
        <f>IFERROR(__xludf.DUMMYFUNCTION("""COMPUTED_VALUE"""),5.48)</f>
        <v>5.48</v>
      </c>
      <c r="H7165" s="17"/>
      <c r="K7165" s="17"/>
      <c r="N7165" s="17"/>
    </row>
    <row r="7166">
      <c r="B7166" s="11">
        <f>IFERROR(__xludf.DUMMYFUNCTION("""COMPUTED_VALUE"""),35993.0)</f>
        <v>35993</v>
      </c>
      <c r="C7166" s="9">
        <f>IFERROR(__xludf.DUMMYFUNCTION("""COMPUTED_VALUE"""),5.51)</f>
        <v>5.51</v>
      </c>
      <c r="H7166" s="17"/>
      <c r="K7166" s="17"/>
      <c r="N7166" s="17"/>
    </row>
    <row r="7167">
      <c r="B7167" s="11">
        <f>IFERROR(__xludf.DUMMYFUNCTION("""COMPUTED_VALUE"""),35992.0)</f>
        <v>35992</v>
      </c>
      <c r="C7167" s="9">
        <f>IFERROR(__xludf.DUMMYFUNCTION("""COMPUTED_VALUE"""),5.5)</f>
        <v>5.5</v>
      </c>
      <c r="H7167" s="17"/>
      <c r="K7167" s="17"/>
      <c r="N7167" s="17"/>
    </row>
    <row r="7168">
      <c r="B7168" s="11">
        <f>IFERROR(__xludf.DUMMYFUNCTION("""COMPUTED_VALUE"""),35991.0)</f>
        <v>35991</v>
      </c>
      <c r="C7168" s="9">
        <f>IFERROR(__xludf.DUMMYFUNCTION("""COMPUTED_VALUE"""),5.48)</f>
        <v>5.48</v>
      </c>
      <c r="H7168" s="17"/>
      <c r="K7168" s="17"/>
      <c r="N7168" s="17"/>
    </row>
    <row r="7169">
      <c r="B7169" s="11">
        <f>IFERROR(__xludf.DUMMYFUNCTION("""COMPUTED_VALUE"""),35990.0)</f>
        <v>35990</v>
      </c>
      <c r="C7169" s="9">
        <f>IFERROR(__xludf.DUMMYFUNCTION("""COMPUTED_VALUE"""),5.49)</f>
        <v>5.49</v>
      </c>
      <c r="H7169" s="17"/>
      <c r="K7169" s="17"/>
      <c r="N7169" s="17"/>
    </row>
    <row r="7170">
      <c r="B7170" s="11">
        <f>IFERROR(__xludf.DUMMYFUNCTION("""COMPUTED_VALUE"""),35989.0)</f>
        <v>35989</v>
      </c>
      <c r="C7170" s="9">
        <f>IFERROR(__xludf.DUMMYFUNCTION("""COMPUTED_VALUE"""),5.46)</f>
        <v>5.46</v>
      </c>
      <c r="H7170" s="17"/>
      <c r="K7170" s="17"/>
      <c r="N7170" s="17"/>
    </row>
    <row r="7171">
      <c r="B7171" s="11">
        <f>IFERROR(__xludf.DUMMYFUNCTION("""COMPUTED_VALUE"""),35986.0)</f>
        <v>35986</v>
      </c>
      <c r="C7171" s="9">
        <f>IFERROR(__xludf.DUMMYFUNCTION("""COMPUTED_VALUE"""),5.42)</f>
        <v>5.42</v>
      </c>
      <c r="H7171" s="17"/>
      <c r="K7171" s="17"/>
      <c r="N7171" s="17"/>
    </row>
    <row r="7172">
      <c r="B7172" s="11">
        <f>IFERROR(__xludf.DUMMYFUNCTION("""COMPUTED_VALUE"""),35985.0)</f>
        <v>35985</v>
      </c>
      <c r="C7172" s="9">
        <f>IFERROR(__xludf.DUMMYFUNCTION("""COMPUTED_VALUE"""),5.41)</f>
        <v>5.41</v>
      </c>
      <c r="H7172" s="17"/>
      <c r="K7172" s="17"/>
      <c r="N7172" s="17"/>
    </row>
    <row r="7173">
      <c r="B7173" s="11">
        <f>IFERROR(__xludf.DUMMYFUNCTION("""COMPUTED_VALUE"""),35984.0)</f>
        <v>35984</v>
      </c>
      <c r="C7173" s="9">
        <f>IFERROR(__xludf.DUMMYFUNCTION("""COMPUTED_VALUE"""),5.43)</f>
        <v>5.43</v>
      </c>
      <c r="H7173" s="17"/>
      <c r="K7173" s="17"/>
      <c r="N7173" s="17"/>
    </row>
    <row r="7174">
      <c r="B7174" s="11">
        <f>IFERROR(__xludf.DUMMYFUNCTION("""COMPUTED_VALUE"""),35983.0)</f>
        <v>35983</v>
      </c>
      <c r="C7174" s="9">
        <f>IFERROR(__xludf.DUMMYFUNCTION("""COMPUTED_VALUE"""),5.42)</f>
        <v>5.42</v>
      </c>
      <c r="H7174" s="17"/>
      <c r="K7174" s="17"/>
      <c r="N7174" s="17"/>
    </row>
    <row r="7175">
      <c r="B7175" s="11">
        <f>IFERROR(__xludf.DUMMYFUNCTION("""COMPUTED_VALUE"""),35982.0)</f>
        <v>35982</v>
      </c>
      <c r="C7175" s="9">
        <f>IFERROR(__xludf.DUMMYFUNCTION("""COMPUTED_VALUE"""),5.39)</f>
        <v>5.39</v>
      </c>
      <c r="H7175" s="17"/>
      <c r="K7175" s="17"/>
      <c r="N7175" s="17"/>
    </row>
    <row r="7176">
      <c r="B7176" s="11">
        <f>IFERROR(__xludf.DUMMYFUNCTION("""COMPUTED_VALUE"""),35979.0)</f>
        <v>35979</v>
      </c>
      <c r="C7176" s="9"/>
      <c r="H7176" s="17"/>
      <c r="K7176" s="17"/>
      <c r="N7176" s="17"/>
    </row>
    <row r="7177">
      <c r="B7177" s="11">
        <f>IFERROR(__xludf.DUMMYFUNCTION("""COMPUTED_VALUE"""),35978.0)</f>
        <v>35978</v>
      </c>
      <c r="C7177" s="9">
        <f>IFERROR(__xludf.DUMMYFUNCTION("""COMPUTED_VALUE"""),5.42)</f>
        <v>5.42</v>
      </c>
      <c r="H7177" s="17"/>
      <c r="K7177" s="17"/>
      <c r="N7177" s="17"/>
    </row>
    <row r="7178">
      <c r="B7178" s="11">
        <f>IFERROR(__xludf.DUMMYFUNCTION("""COMPUTED_VALUE"""),35977.0)</f>
        <v>35977</v>
      </c>
      <c r="C7178" s="9">
        <f>IFERROR(__xludf.DUMMYFUNCTION("""COMPUTED_VALUE"""),5.44)</f>
        <v>5.44</v>
      </c>
      <c r="H7178" s="17"/>
      <c r="K7178" s="17"/>
      <c r="N7178" s="17"/>
    </row>
    <row r="7179">
      <c r="B7179" s="11">
        <f>IFERROR(__xludf.DUMMYFUNCTION("""COMPUTED_VALUE"""),35976.0)</f>
        <v>35976</v>
      </c>
      <c r="C7179" s="9">
        <f>IFERROR(__xludf.DUMMYFUNCTION("""COMPUTED_VALUE"""),5.44)</f>
        <v>5.44</v>
      </c>
      <c r="H7179" s="17"/>
      <c r="K7179" s="17"/>
      <c r="N7179" s="17"/>
    </row>
    <row r="7180">
      <c r="B7180" s="11">
        <f>IFERROR(__xludf.DUMMYFUNCTION("""COMPUTED_VALUE"""),35975.0)</f>
        <v>35975</v>
      </c>
      <c r="C7180" s="9">
        <f>IFERROR(__xludf.DUMMYFUNCTION("""COMPUTED_VALUE"""),5.47)</f>
        <v>5.47</v>
      </c>
      <c r="H7180" s="17"/>
      <c r="K7180" s="17"/>
      <c r="N7180" s="17"/>
    </row>
    <row r="7181">
      <c r="B7181" s="11">
        <f>IFERROR(__xludf.DUMMYFUNCTION("""COMPUTED_VALUE"""),35972.0)</f>
        <v>35972</v>
      </c>
      <c r="C7181" s="9">
        <f>IFERROR(__xludf.DUMMYFUNCTION("""COMPUTED_VALUE"""),5.46)</f>
        <v>5.46</v>
      </c>
      <c r="H7181" s="17"/>
      <c r="K7181" s="17"/>
      <c r="N7181" s="17"/>
    </row>
    <row r="7182">
      <c r="B7182" s="11">
        <f>IFERROR(__xludf.DUMMYFUNCTION("""COMPUTED_VALUE"""),35971.0)</f>
        <v>35971</v>
      </c>
      <c r="C7182" s="9">
        <f>IFERROR(__xludf.DUMMYFUNCTION("""COMPUTED_VALUE"""),5.46)</f>
        <v>5.46</v>
      </c>
      <c r="H7182" s="17"/>
      <c r="K7182" s="17"/>
      <c r="N7182" s="17"/>
    </row>
    <row r="7183">
      <c r="B7183" s="11">
        <f>IFERROR(__xludf.DUMMYFUNCTION("""COMPUTED_VALUE"""),35970.0)</f>
        <v>35970</v>
      </c>
      <c r="C7183" s="9">
        <f>IFERROR(__xludf.DUMMYFUNCTION("""COMPUTED_VALUE"""),5.46)</f>
        <v>5.46</v>
      </c>
      <c r="H7183" s="17"/>
      <c r="K7183" s="17"/>
      <c r="N7183" s="17"/>
    </row>
    <row r="7184">
      <c r="B7184" s="11">
        <f>IFERROR(__xludf.DUMMYFUNCTION("""COMPUTED_VALUE"""),35969.0)</f>
        <v>35969</v>
      </c>
      <c r="C7184" s="9">
        <f>IFERROR(__xludf.DUMMYFUNCTION("""COMPUTED_VALUE"""),5.45)</f>
        <v>5.45</v>
      </c>
      <c r="H7184" s="17"/>
      <c r="K7184" s="17"/>
      <c r="N7184" s="17"/>
    </row>
    <row r="7185">
      <c r="B7185" s="11">
        <f>IFERROR(__xludf.DUMMYFUNCTION("""COMPUTED_VALUE"""),35968.0)</f>
        <v>35968</v>
      </c>
      <c r="C7185" s="9">
        <f>IFERROR(__xludf.DUMMYFUNCTION("""COMPUTED_VALUE"""),5.46)</f>
        <v>5.46</v>
      </c>
      <c r="H7185" s="17"/>
      <c r="K7185" s="17"/>
      <c r="N7185" s="17"/>
    </row>
    <row r="7186">
      <c r="B7186" s="11">
        <f>IFERROR(__xludf.DUMMYFUNCTION("""COMPUTED_VALUE"""),35965.0)</f>
        <v>35965</v>
      </c>
      <c r="C7186" s="9">
        <f>IFERROR(__xludf.DUMMYFUNCTION("""COMPUTED_VALUE"""),5.47)</f>
        <v>5.47</v>
      </c>
      <c r="H7186" s="17"/>
      <c r="K7186" s="17"/>
      <c r="N7186" s="17"/>
    </row>
    <row r="7187">
      <c r="B7187" s="11">
        <f>IFERROR(__xludf.DUMMYFUNCTION("""COMPUTED_VALUE"""),35964.0)</f>
        <v>35964</v>
      </c>
      <c r="C7187" s="9">
        <f>IFERROR(__xludf.DUMMYFUNCTION("""COMPUTED_VALUE"""),5.5)</f>
        <v>5.5</v>
      </c>
      <c r="H7187" s="17"/>
      <c r="K7187" s="17"/>
      <c r="N7187" s="17"/>
    </row>
    <row r="7188">
      <c r="B7188" s="11">
        <f>IFERROR(__xludf.DUMMYFUNCTION("""COMPUTED_VALUE"""),35963.0)</f>
        <v>35963</v>
      </c>
      <c r="C7188" s="9">
        <f>IFERROR(__xludf.DUMMYFUNCTION("""COMPUTED_VALUE"""),5.54)</f>
        <v>5.54</v>
      </c>
      <c r="H7188" s="17"/>
      <c r="K7188" s="17"/>
      <c r="N7188" s="17"/>
    </row>
    <row r="7189">
      <c r="B7189" s="11">
        <f>IFERROR(__xludf.DUMMYFUNCTION("""COMPUTED_VALUE"""),35962.0)</f>
        <v>35962</v>
      </c>
      <c r="C7189" s="9">
        <f>IFERROR(__xludf.DUMMYFUNCTION("""COMPUTED_VALUE"""),5.45)</f>
        <v>5.45</v>
      </c>
      <c r="H7189" s="17"/>
      <c r="K7189" s="17"/>
      <c r="N7189" s="17"/>
    </row>
    <row r="7190">
      <c r="B7190" s="11">
        <f>IFERROR(__xludf.DUMMYFUNCTION("""COMPUTED_VALUE"""),35961.0)</f>
        <v>35961</v>
      </c>
      <c r="C7190" s="9">
        <f>IFERROR(__xludf.DUMMYFUNCTION("""COMPUTED_VALUE"""),5.38)</f>
        <v>5.38</v>
      </c>
      <c r="H7190" s="17"/>
      <c r="K7190" s="17"/>
      <c r="N7190" s="17"/>
    </row>
    <row r="7191">
      <c r="B7191" s="11">
        <f>IFERROR(__xludf.DUMMYFUNCTION("""COMPUTED_VALUE"""),35958.0)</f>
        <v>35958</v>
      </c>
      <c r="C7191" s="9">
        <f>IFERROR(__xludf.DUMMYFUNCTION("""COMPUTED_VALUE"""),5.43)</f>
        <v>5.43</v>
      </c>
      <c r="H7191" s="17"/>
      <c r="K7191" s="17"/>
      <c r="N7191" s="17"/>
    </row>
    <row r="7192">
      <c r="B7192" s="11">
        <f>IFERROR(__xludf.DUMMYFUNCTION("""COMPUTED_VALUE"""),35957.0)</f>
        <v>35957</v>
      </c>
      <c r="C7192" s="9">
        <f>IFERROR(__xludf.DUMMYFUNCTION("""COMPUTED_VALUE"""),5.44)</f>
        <v>5.44</v>
      </c>
      <c r="H7192" s="17"/>
      <c r="K7192" s="17"/>
      <c r="N7192" s="17"/>
    </row>
    <row r="7193">
      <c r="B7193" s="11">
        <f>IFERROR(__xludf.DUMMYFUNCTION("""COMPUTED_VALUE"""),35956.0)</f>
        <v>35956</v>
      </c>
      <c r="C7193" s="9">
        <f>IFERROR(__xludf.DUMMYFUNCTION("""COMPUTED_VALUE"""),5.51)</f>
        <v>5.51</v>
      </c>
      <c r="H7193" s="17"/>
      <c r="K7193" s="17"/>
      <c r="N7193" s="17"/>
    </row>
    <row r="7194">
      <c r="B7194" s="11">
        <f>IFERROR(__xludf.DUMMYFUNCTION("""COMPUTED_VALUE"""),35955.0)</f>
        <v>35955</v>
      </c>
      <c r="C7194" s="9">
        <f>IFERROR(__xludf.DUMMYFUNCTION("""COMPUTED_VALUE"""),5.59)</f>
        <v>5.59</v>
      </c>
      <c r="H7194" s="17"/>
      <c r="K7194" s="17"/>
      <c r="N7194" s="17"/>
    </row>
    <row r="7195">
      <c r="B7195" s="11">
        <f>IFERROR(__xludf.DUMMYFUNCTION("""COMPUTED_VALUE"""),35954.0)</f>
        <v>35954</v>
      </c>
      <c r="C7195" s="9">
        <f>IFERROR(__xludf.DUMMYFUNCTION("""COMPUTED_VALUE"""),5.58)</f>
        <v>5.58</v>
      </c>
      <c r="H7195" s="17"/>
      <c r="K7195" s="17"/>
      <c r="N7195" s="17"/>
    </row>
    <row r="7196">
      <c r="B7196" s="11">
        <f>IFERROR(__xludf.DUMMYFUNCTION("""COMPUTED_VALUE"""),35951.0)</f>
        <v>35951</v>
      </c>
      <c r="C7196" s="9">
        <f>IFERROR(__xludf.DUMMYFUNCTION("""COMPUTED_VALUE"""),5.58)</f>
        <v>5.58</v>
      </c>
      <c r="H7196" s="17"/>
      <c r="K7196" s="17"/>
      <c r="N7196" s="17"/>
    </row>
    <row r="7197">
      <c r="B7197" s="11">
        <f>IFERROR(__xludf.DUMMYFUNCTION("""COMPUTED_VALUE"""),35950.0)</f>
        <v>35950</v>
      </c>
      <c r="C7197" s="9">
        <f>IFERROR(__xludf.DUMMYFUNCTION("""COMPUTED_VALUE"""),5.59)</f>
        <v>5.59</v>
      </c>
      <c r="H7197" s="17"/>
      <c r="K7197" s="17"/>
      <c r="N7197" s="17"/>
    </row>
    <row r="7198">
      <c r="B7198" s="11">
        <f>IFERROR(__xludf.DUMMYFUNCTION("""COMPUTED_VALUE"""),35949.0)</f>
        <v>35949</v>
      </c>
      <c r="C7198" s="9">
        <f>IFERROR(__xludf.DUMMYFUNCTION("""COMPUTED_VALUE"""),5.57)</f>
        <v>5.57</v>
      </c>
      <c r="H7198" s="17"/>
      <c r="K7198" s="17"/>
      <c r="N7198" s="17"/>
    </row>
    <row r="7199">
      <c r="B7199" s="11">
        <f>IFERROR(__xludf.DUMMYFUNCTION("""COMPUTED_VALUE"""),35948.0)</f>
        <v>35948</v>
      </c>
      <c r="C7199" s="9">
        <f>IFERROR(__xludf.DUMMYFUNCTION("""COMPUTED_VALUE"""),5.56)</f>
        <v>5.56</v>
      </c>
      <c r="H7199" s="17"/>
      <c r="K7199" s="17"/>
      <c r="N7199" s="17"/>
    </row>
    <row r="7200">
      <c r="B7200" s="11">
        <f>IFERROR(__xludf.DUMMYFUNCTION("""COMPUTED_VALUE"""),35947.0)</f>
        <v>35947</v>
      </c>
      <c r="C7200" s="9">
        <f>IFERROR(__xludf.DUMMYFUNCTION("""COMPUTED_VALUE"""),5.53)</f>
        <v>5.53</v>
      </c>
      <c r="H7200" s="17"/>
      <c r="K7200" s="17"/>
      <c r="N7200" s="17"/>
    </row>
    <row r="7201">
      <c r="B7201" s="11">
        <f>IFERROR(__xludf.DUMMYFUNCTION("""COMPUTED_VALUE"""),35944.0)</f>
        <v>35944</v>
      </c>
      <c r="C7201" s="9">
        <f>IFERROR(__xludf.DUMMYFUNCTION("""COMPUTED_VALUE"""),5.56)</f>
        <v>5.56</v>
      </c>
      <c r="H7201" s="17"/>
      <c r="K7201" s="17"/>
      <c r="N7201" s="17"/>
    </row>
    <row r="7202">
      <c r="B7202" s="11">
        <f>IFERROR(__xludf.DUMMYFUNCTION("""COMPUTED_VALUE"""),35943.0)</f>
        <v>35943</v>
      </c>
      <c r="C7202" s="9">
        <f>IFERROR(__xludf.DUMMYFUNCTION("""COMPUTED_VALUE"""),5.58)</f>
        <v>5.58</v>
      </c>
      <c r="H7202" s="17"/>
      <c r="K7202" s="17"/>
      <c r="N7202" s="17"/>
    </row>
    <row r="7203">
      <c r="B7203" s="11">
        <f>IFERROR(__xludf.DUMMYFUNCTION("""COMPUTED_VALUE"""),35942.0)</f>
        <v>35942</v>
      </c>
      <c r="C7203" s="9">
        <f>IFERROR(__xludf.DUMMYFUNCTION("""COMPUTED_VALUE"""),5.56)</f>
        <v>5.56</v>
      </c>
      <c r="H7203" s="17"/>
      <c r="K7203" s="17"/>
      <c r="N7203" s="17"/>
    </row>
    <row r="7204">
      <c r="B7204" s="11">
        <f>IFERROR(__xludf.DUMMYFUNCTION("""COMPUTED_VALUE"""),35941.0)</f>
        <v>35941</v>
      </c>
      <c r="C7204" s="9">
        <f>IFERROR(__xludf.DUMMYFUNCTION("""COMPUTED_VALUE"""),5.59)</f>
        <v>5.59</v>
      </c>
      <c r="H7204" s="17"/>
      <c r="K7204" s="17"/>
      <c r="N7204" s="17"/>
    </row>
    <row r="7205">
      <c r="B7205" s="11">
        <f>IFERROR(__xludf.DUMMYFUNCTION("""COMPUTED_VALUE"""),35940.0)</f>
        <v>35940</v>
      </c>
      <c r="C7205" s="9"/>
      <c r="H7205" s="17"/>
      <c r="K7205" s="17"/>
      <c r="N7205" s="17"/>
    </row>
    <row r="7206">
      <c r="B7206" s="11">
        <f>IFERROR(__xludf.DUMMYFUNCTION("""COMPUTED_VALUE"""),35937.0)</f>
        <v>35937</v>
      </c>
      <c r="C7206" s="9">
        <f>IFERROR(__xludf.DUMMYFUNCTION("""COMPUTED_VALUE"""),5.64)</f>
        <v>5.64</v>
      </c>
      <c r="H7206" s="17"/>
      <c r="K7206" s="17"/>
      <c r="N7206" s="17"/>
    </row>
    <row r="7207">
      <c r="B7207" s="11">
        <f>IFERROR(__xludf.DUMMYFUNCTION("""COMPUTED_VALUE"""),35936.0)</f>
        <v>35936</v>
      </c>
      <c r="C7207" s="9">
        <f>IFERROR(__xludf.DUMMYFUNCTION("""COMPUTED_VALUE"""),5.65)</f>
        <v>5.65</v>
      </c>
      <c r="H7207" s="17"/>
      <c r="K7207" s="17"/>
      <c r="N7207" s="17"/>
    </row>
    <row r="7208">
      <c r="B7208" s="11">
        <f>IFERROR(__xludf.DUMMYFUNCTION("""COMPUTED_VALUE"""),35935.0)</f>
        <v>35935</v>
      </c>
      <c r="C7208" s="9">
        <f>IFERROR(__xludf.DUMMYFUNCTION("""COMPUTED_VALUE"""),5.61)</f>
        <v>5.61</v>
      </c>
      <c r="H7208" s="17"/>
      <c r="K7208" s="17"/>
      <c r="N7208" s="17"/>
    </row>
    <row r="7209">
      <c r="B7209" s="11">
        <f>IFERROR(__xludf.DUMMYFUNCTION("""COMPUTED_VALUE"""),35934.0)</f>
        <v>35934</v>
      </c>
      <c r="C7209" s="9">
        <f>IFERROR(__xludf.DUMMYFUNCTION("""COMPUTED_VALUE"""),5.65)</f>
        <v>5.65</v>
      </c>
      <c r="H7209" s="17"/>
      <c r="K7209" s="17"/>
      <c r="N7209" s="17"/>
    </row>
    <row r="7210">
      <c r="B7210" s="11">
        <f>IFERROR(__xludf.DUMMYFUNCTION("""COMPUTED_VALUE"""),35933.0)</f>
        <v>35933</v>
      </c>
      <c r="C7210" s="9">
        <f>IFERROR(__xludf.DUMMYFUNCTION("""COMPUTED_VALUE"""),5.64)</f>
        <v>5.64</v>
      </c>
      <c r="H7210" s="17"/>
      <c r="K7210" s="17"/>
      <c r="N7210" s="17"/>
    </row>
    <row r="7211">
      <c r="B7211" s="11">
        <f>IFERROR(__xludf.DUMMYFUNCTION("""COMPUTED_VALUE"""),35930.0)</f>
        <v>35930</v>
      </c>
      <c r="C7211" s="9">
        <f>IFERROR(__xludf.DUMMYFUNCTION("""COMPUTED_VALUE"""),5.68)</f>
        <v>5.68</v>
      </c>
      <c r="H7211" s="17"/>
      <c r="K7211" s="17"/>
      <c r="N7211" s="17"/>
    </row>
    <row r="7212">
      <c r="B7212" s="11">
        <f>IFERROR(__xludf.DUMMYFUNCTION("""COMPUTED_VALUE"""),35929.0)</f>
        <v>35929</v>
      </c>
      <c r="C7212" s="9">
        <f>IFERROR(__xludf.DUMMYFUNCTION("""COMPUTED_VALUE"""),5.67)</f>
        <v>5.67</v>
      </c>
      <c r="H7212" s="17"/>
      <c r="K7212" s="17"/>
      <c r="N7212" s="17"/>
    </row>
    <row r="7213">
      <c r="B7213" s="11">
        <f>IFERROR(__xludf.DUMMYFUNCTION("""COMPUTED_VALUE"""),35928.0)</f>
        <v>35928</v>
      </c>
      <c r="C7213" s="9">
        <f>IFERROR(__xludf.DUMMYFUNCTION("""COMPUTED_VALUE"""),5.64)</f>
        <v>5.64</v>
      </c>
      <c r="H7213" s="17"/>
      <c r="K7213" s="17"/>
      <c r="N7213" s="17"/>
    </row>
    <row r="7214">
      <c r="B7214" s="11">
        <f>IFERROR(__xludf.DUMMYFUNCTION("""COMPUTED_VALUE"""),35927.0)</f>
        <v>35927</v>
      </c>
      <c r="C7214" s="9">
        <f>IFERROR(__xludf.DUMMYFUNCTION("""COMPUTED_VALUE"""),5.7)</f>
        <v>5.7</v>
      </c>
      <c r="H7214" s="17"/>
      <c r="K7214" s="17"/>
      <c r="N7214" s="17"/>
    </row>
    <row r="7215">
      <c r="B7215" s="11">
        <f>IFERROR(__xludf.DUMMYFUNCTION("""COMPUTED_VALUE"""),35926.0)</f>
        <v>35926</v>
      </c>
      <c r="C7215" s="9">
        <f>IFERROR(__xludf.DUMMYFUNCTION("""COMPUTED_VALUE"""),5.79)</f>
        <v>5.79</v>
      </c>
      <c r="H7215" s="17"/>
      <c r="K7215" s="17"/>
      <c r="N7215" s="17"/>
    </row>
    <row r="7216">
      <c r="B7216" s="11">
        <f>IFERROR(__xludf.DUMMYFUNCTION("""COMPUTED_VALUE"""),35923.0)</f>
        <v>35923</v>
      </c>
      <c r="C7216" s="9">
        <f>IFERROR(__xludf.DUMMYFUNCTION("""COMPUTED_VALUE"""),5.71)</f>
        <v>5.71</v>
      </c>
      <c r="H7216" s="17"/>
      <c r="K7216" s="17"/>
      <c r="N7216" s="17"/>
    </row>
    <row r="7217">
      <c r="B7217" s="11">
        <f>IFERROR(__xludf.DUMMYFUNCTION("""COMPUTED_VALUE"""),35922.0)</f>
        <v>35922</v>
      </c>
      <c r="C7217" s="9">
        <f>IFERROR(__xludf.DUMMYFUNCTION("""COMPUTED_VALUE"""),5.67)</f>
        <v>5.67</v>
      </c>
      <c r="H7217" s="17"/>
      <c r="K7217" s="17"/>
      <c r="N7217" s="17"/>
    </row>
    <row r="7218">
      <c r="B7218" s="11">
        <f>IFERROR(__xludf.DUMMYFUNCTION("""COMPUTED_VALUE"""),35921.0)</f>
        <v>35921</v>
      </c>
      <c r="C7218" s="9">
        <f>IFERROR(__xludf.DUMMYFUNCTION("""COMPUTED_VALUE"""),5.67)</f>
        <v>5.67</v>
      </c>
      <c r="H7218" s="17"/>
      <c r="K7218" s="17"/>
      <c r="N7218" s="17"/>
    </row>
    <row r="7219">
      <c r="B7219" s="11">
        <f>IFERROR(__xludf.DUMMYFUNCTION("""COMPUTED_VALUE"""),35920.0)</f>
        <v>35920</v>
      </c>
      <c r="C7219" s="9">
        <f>IFERROR(__xludf.DUMMYFUNCTION("""COMPUTED_VALUE"""),5.7)</f>
        <v>5.7</v>
      </c>
      <c r="H7219" s="17"/>
      <c r="K7219" s="17"/>
      <c r="N7219" s="17"/>
    </row>
    <row r="7220">
      <c r="B7220" s="11">
        <f>IFERROR(__xludf.DUMMYFUNCTION("""COMPUTED_VALUE"""),35919.0)</f>
        <v>35919</v>
      </c>
      <c r="C7220" s="9">
        <f>IFERROR(__xludf.DUMMYFUNCTION("""COMPUTED_VALUE"""),5.67)</f>
        <v>5.67</v>
      </c>
      <c r="H7220" s="17"/>
      <c r="K7220" s="17"/>
      <c r="N7220" s="17"/>
    </row>
    <row r="7221">
      <c r="B7221" s="11">
        <f>IFERROR(__xludf.DUMMYFUNCTION("""COMPUTED_VALUE"""),35916.0)</f>
        <v>35916</v>
      </c>
      <c r="C7221" s="9">
        <f>IFERROR(__xludf.DUMMYFUNCTION("""COMPUTED_VALUE"""),5.67)</f>
        <v>5.67</v>
      </c>
      <c r="H7221" s="17"/>
      <c r="K7221" s="17"/>
      <c r="N7221" s="17"/>
    </row>
    <row r="7222">
      <c r="B7222" s="11">
        <f>IFERROR(__xludf.DUMMYFUNCTION("""COMPUTED_VALUE"""),35915.0)</f>
        <v>35915</v>
      </c>
      <c r="C7222" s="9">
        <f>IFERROR(__xludf.DUMMYFUNCTION("""COMPUTED_VALUE"""),5.68)</f>
        <v>5.68</v>
      </c>
      <c r="H7222" s="17"/>
      <c r="K7222" s="17"/>
      <c r="N7222" s="17"/>
    </row>
    <row r="7223">
      <c r="B7223" s="11">
        <f>IFERROR(__xludf.DUMMYFUNCTION("""COMPUTED_VALUE"""),35914.0)</f>
        <v>35914</v>
      </c>
      <c r="C7223" s="9">
        <f>IFERROR(__xludf.DUMMYFUNCTION("""COMPUTED_VALUE"""),5.81)</f>
        <v>5.81</v>
      </c>
      <c r="H7223" s="17"/>
      <c r="K7223" s="17"/>
      <c r="N7223" s="17"/>
    </row>
    <row r="7224">
      <c r="B7224" s="11">
        <f>IFERROR(__xludf.DUMMYFUNCTION("""COMPUTED_VALUE"""),35913.0)</f>
        <v>35913</v>
      </c>
      <c r="C7224" s="9">
        <f>IFERROR(__xludf.DUMMYFUNCTION("""COMPUTED_VALUE"""),5.8)</f>
        <v>5.8</v>
      </c>
      <c r="H7224" s="17"/>
      <c r="K7224" s="17"/>
      <c r="N7224" s="17"/>
    </row>
    <row r="7225">
      <c r="B7225" s="11">
        <f>IFERROR(__xludf.DUMMYFUNCTION("""COMPUTED_VALUE"""),35912.0)</f>
        <v>35912</v>
      </c>
      <c r="C7225" s="9">
        <f>IFERROR(__xludf.DUMMYFUNCTION("""COMPUTED_VALUE"""),5.8)</f>
        <v>5.8</v>
      </c>
      <c r="H7225" s="17"/>
      <c r="K7225" s="17"/>
      <c r="N7225" s="17"/>
    </row>
    <row r="7226">
      <c r="B7226" s="11">
        <f>IFERROR(__xludf.DUMMYFUNCTION("""COMPUTED_VALUE"""),35909.0)</f>
        <v>35909</v>
      </c>
      <c r="C7226" s="9">
        <f>IFERROR(__xludf.DUMMYFUNCTION("""COMPUTED_VALUE"""),5.67)</f>
        <v>5.67</v>
      </c>
      <c r="H7226" s="17"/>
      <c r="K7226" s="17"/>
      <c r="N7226" s="17"/>
    </row>
    <row r="7227">
      <c r="B7227" s="11">
        <f>IFERROR(__xludf.DUMMYFUNCTION("""COMPUTED_VALUE"""),35908.0)</f>
        <v>35908</v>
      </c>
      <c r="C7227" s="9">
        <f>IFERROR(__xludf.DUMMYFUNCTION("""COMPUTED_VALUE"""),5.69)</f>
        <v>5.69</v>
      </c>
      <c r="H7227" s="17"/>
      <c r="K7227" s="17"/>
      <c r="N7227" s="17"/>
    </row>
    <row r="7228">
      <c r="B7228" s="11">
        <f>IFERROR(__xludf.DUMMYFUNCTION("""COMPUTED_VALUE"""),35907.0)</f>
        <v>35907</v>
      </c>
      <c r="C7228" s="9">
        <f>IFERROR(__xludf.DUMMYFUNCTION("""COMPUTED_VALUE"""),5.68)</f>
        <v>5.68</v>
      </c>
      <c r="H7228" s="17"/>
      <c r="K7228" s="17"/>
      <c r="N7228" s="17"/>
    </row>
    <row r="7229">
      <c r="B7229" s="11">
        <f>IFERROR(__xludf.DUMMYFUNCTION("""COMPUTED_VALUE"""),35906.0)</f>
        <v>35906</v>
      </c>
      <c r="C7229" s="9">
        <f>IFERROR(__xludf.DUMMYFUNCTION("""COMPUTED_VALUE"""),5.68)</f>
        <v>5.68</v>
      </c>
      <c r="H7229" s="17"/>
      <c r="K7229" s="17"/>
      <c r="N7229" s="17"/>
    </row>
    <row r="7230">
      <c r="B7230" s="11">
        <f>IFERROR(__xludf.DUMMYFUNCTION("""COMPUTED_VALUE"""),35905.0)</f>
        <v>35905</v>
      </c>
      <c r="C7230" s="9">
        <f>IFERROR(__xludf.DUMMYFUNCTION("""COMPUTED_VALUE"""),5.65)</f>
        <v>5.65</v>
      </c>
      <c r="H7230" s="17"/>
      <c r="K7230" s="17"/>
      <c r="N7230" s="17"/>
    </row>
    <row r="7231">
      <c r="B7231" s="11">
        <f>IFERROR(__xludf.DUMMYFUNCTION("""COMPUTED_VALUE"""),35902.0)</f>
        <v>35902</v>
      </c>
      <c r="C7231" s="9">
        <f>IFERROR(__xludf.DUMMYFUNCTION("""COMPUTED_VALUE"""),5.59)</f>
        <v>5.59</v>
      </c>
      <c r="H7231" s="17"/>
      <c r="K7231" s="17"/>
      <c r="N7231" s="17"/>
    </row>
    <row r="7232">
      <c r="B7232" s="11">
        <f>IFERROR(__xludf.DUMMYFUNCTION("""COMPUTED_VALUE"""),35901.0)</f>
        <v>35901</v>
      </c>
      <c r="C7232" s="9">
        <f>IFERROR(__xludf.DUMMYFUNCTION("""COMPUTED_VALUE"""),5.59)</f>
        <v>5.59</v>
      </c>
      <c r="H7232" s="17"/>
      <c r="K7232" s="17"/>
      <c r="N7232" s="17"/>
    </row>
    <row r="7233">
      <c r="B7233" s="11">
        <f>IFERROR(__xludf.DUMMYFUNCTION("""COMPUTED_VALUE"""),35900.0)</f>
        <v>35900</v>
      </c>
      <c r="C7233" s="9">
        <f>IFERROR(__xludf.DUMMYFUNCTION("""COMPUTED_VALUE"""),5.6)</f>
        <v>5.6</v>
      </c>
      <c r="H7233" s="17"/>
      <c r="K7233" s="17"/>
      <c r="N7233" s="17"/>
    </row>
    <row r="7234">
      <c r="B7234" s="11">
        <f>IFERROR(__xludf.DUMMYFUNCTION("""COMPUTED_VALUE"""),35899.0)</f>
        <v>35899</v>
      </c>
      <c r="C7234" s="9">
        <f>IFERROR(__xludf.DUMMYFUNCTION("""COMPUTED_VALUE"""),5.63)</f>
        <v>5.63</v>
      </c>
      <c r="H7234" s="17"/>
      <c r="K7234" s="17"/>
      <c r="N7234" s="17"/>
    </row>
    <row r="7235">
      <c r="B7235" s="11">
        <f>IFERROR(__xludf.DUMMYFUNCTION("""COMPUTED_VALUE"""),35898.0)</f>
        <v>35898</v>
      </c>
      <c r="C7235" s="9">
        <f>IFERROR(__xludf.DUMMYFUNCTION("""COMPUTED_VALUE"""),5.66)</f>
        <v>5.66</v>
      </c>
      <c r="H7235" s="17"/>
      <c r="K7235" s="17"/>
      <c r="N7235" s="17"/>
    </row>
    <row r="7236">
      <c r="B7236" s="11">
        <f>IFERROR(__xludf.DUMMYFUNCTION("""COMPUTED_VALUE"""),35895.0)</f>
        <v>35895</v>
      </c>
      <c r="C7236" s="9"/>
      <c r="H7236" s="17"/>
      <c r="K7236" s="17"/>
      <c r="N7236" s="17"/>
    </row>
    <row r="7237">
      <c r="B7237" s="11">
        <f>IFERROR(__xludf.DUMMYFUNCTION("""COMPUTED_VALUE"""),35894.0)</f>
        <v>35894</v>
      </c>
      <c r="C7237" s="9">
        <f>IFERROR(__xludf.DUMMYFUNCTION("""COMPUTED_VALUE"""),5.59)</f>
        <v>5.59</v>
      </c>
      <c r="H7237" s="17"/>
      <c r="K7237" s="17"/>
      <c r="N7237" s="17"/>
    </row>
    <row r="7238">
      <c r="B7238" s="11">
        <f>IFERROR(__xludf.DUMMYFUNCTION("""COMPUTED_VALUE"""),35893.0)</f>
        <v>35893</v>
      </c>
      <c r="C7238" s="9">
        <f>IFERROR(__xludf.DUMMYFUNCTION("""COMPUTED_VALUE"""),5.58)</f>
        <v>5.58</v>
      </c>
      <c r="H7238" s="17"/>
      <c r="K7238" s="17"/>
      <c r="N7238" s="17"/>
    </row>
    <row r="7239">
      <c r="B7239" s="11">
        <f>IFERROR(__xludf.DUMMYFUNCTION("""COMPUTED_VALUE"""),35892.0)</f>
        <v>35892</v>
      </c>
      <c r="C7239" s="9">
        <f>IFERROR(__xludf.DUMMYFUNCTION("""COMPUTED_VALUE"""),5.53)</f>
        <v>5.53</v>
      </c>
      <c r="H7239" s="17"/>
      <c r="K7239" s="17"/>
      <c r="N7239" s="17"/>
    </row>
    <row r="7240">
      <c r="B7240" s="11">
        <f>IFERROR(__xludf.DUMMYFUNCTION("""COMPUTED_VALUE"""),35891.0)</f>
        <v>35891</v>
      </c>
      <c r="C7240" s="9">
        <f>IFERROR(__xludf.DUMMYFUNCTION("""COMPUTED_VALUE"""),5.51)</f>
        <v>5.51</v>
      </c>
      <c r="H7240" s="17"/>
      <c r="K7240" s="17"/>
      <c r="N7240" s="17"/>
    </row>
    <row r="7241">
      <c r="B7241" s="11">
        <f>IFERROR(__xludf.DUMMYFUNCTION("""COMPUTED_VALUE"""),35888.0)</f>
        <v>35888</v>
      </c>
      <c r="C7241" s="9">
        <f>IFERROR(__xludf.DUMMYFUNCTION("""COMPUTED_VALUE"""),5.47)</f>
        <v>5.47</v>
      </c>
      <c r="H7241" s="17"/>
      <c r="K7241" s="17"/>
      <c r="N7241" s="17"/>
    </row>
    <row r="7242">
      <c r="B7242" s="11">
        <f>IFERROR(__xludf.DUMMYFUNCTION("""COMPUTED_VALUE"""),35887.0)</f>
        <v>35887</v>
      </c>
      <c r="C7242" s="9">
        <f>IFERROR(__xludf.DUMMYFUNCTION("""COMPUTED_VALUE"""),5.56)</f>
        <v>5.56</v>
      </c>
      <c r="H7242" s="17"/>
      <c r="K7242" s="17"/>
      <c r="N7242" s="17"/>
    </row>
    <row r="7243">
      <c r="B7243" s="11">
        <f>IFERROR(__xludf.DUMMYFUNCTION("""COMPUTED_VALUE"""),35886.0)</f>
        <v>35886</v>
      </c>
      <c r="C7243" s="9">
        <f>IFERROR(__xludf.DUMMYFUNCTION("""COMPUTED_VALUE"""),5.62)</f>
        <v>5.62</v>
      </c>
      <c r="H7243" s="17"/>
      <c r="K7243" s="17"/>
      <c r="N7243" s="17"/>
    </row>
    <row r="7244">
      <c r="B7244" s="11">
        <f>IFERROR(__xludf.DUMMYFUNCTION("""COMPUTED_VALUE"""),35885.0)</f>
        <v>35885</v>
      </c>
      <c r="C7244" s="9">
        <f>IFERROR(__xludf.DUMMYFUNCTION("""COMPUTED_VALUE"""),5.67)</f>
        <v>5.67</v>
      </c>
      <c r="H7244" s="17"/>
      <c r="K7244" s="17"/>
      <c r="N7244" s="17"/>
    </row>
    <row r="7245">
      <c r="B7245" s="11">
        <f>IFERROR(__xludf.DUMMYFUNCTION("""COMPUTED_VALUE"""),35884.0)</f>
        <v>35884</v>
      </c>
      <c r="C7245" s="9">
        <f>IFERROR(__xludf.DUMMYFUNCTION("""COMPUTED_VALUE"""),5.72)</f>
        <v>5.72</v>
      </c>
      <c r="H7245" s="17"/>
      <c r="K7245" s="17"/>
      <c r="N7245" s="17"/>
    </row>
    <row r="7246">
      <c r="B7246" s="11">
        <f>IFERROR(__xludf.DUMMYFUNCTION("""COMPUTED_VALUE"""),35881.0)</f>
        <v>35881</v>
      </c>
      <c r="C7246" s="9">
        <f>IFERROR(__xludf.DUMMYFUNCTION("""COMPUTED_VALUE"""),5.68)</f>
        <v>5.68</v>
      </c>
      <c r="H7246" s="17"/>
      <c r="K7246" s="17"/>
      <c r="N7246" s="17"/>
    </row>
    <row r="7247">
      <c r="B7247" s="11">
        <f>IFERROR(__xludf.DUMMYFUNCTION("""COMPUTED_VALUE"""),35880.0)</f>
        <v>35880</v>
      </c>
      <c r="C7247" s="9">
        <f>IFERROR(__xludf.DUMMYFUNCTION("""COMPUTED_VALUE"""),5.68)</f>
        <v>5.68</v>
      </c>
      <c r="H7247" s="17"/>
      <c r="K7247" s="17"/>
      <c r="N7247" s="17"/>
    </row>
    <row r="7248">
      <c r="B7248" s="11">
        <f>IFERROR(__xludf.DUMMYFUNCTION("""COMPUTED_VALUE"""),35879.0)</f>
        <v>35879</v>
      </c>
      <c r="C7248" s="9">
        <f>IFERROR(__xludf.DUMMYFUNCTION("""COMPUTED_VALUE"""),5.64)</f>
        <v>5.64</v>
      </c>
      <c r="H7248" s="17"/>
      <c r="K7248" s="17"/>
      <c r="N7248" s="17"/>
    </row>
    <row r="7249">
      <c r="B7249" s="11">
        <f>IFERROR(__xludf.DUMMYFUNCTION("""COMPUTED_VALUE"""),35878.0)</f>
        <v>35878</v>
      </c>
      <c r="C7249" s="9">
        <f>IFERROR(__xludf.DUMMYFUNCTION("""COMPUTED_VALUE"""),5.58)</f>
        <v>5.58</v>
      </c>
      <c r="H7249" s="17"/>
      <c r="K7249" s="17"/>
      <c r="N7249" s="17"/>
    </row>
    <row r="7250">
      <c r="B7250" s="11">
        <f>IFERROR(__xludf.DUMMYFUNCTION("""COMPUTED_VALUE"""),35877.0)</f>
        <v>35877</v>
      </c>
      <c r="C7250" s="9">
        <f>IFERROR(__xludf.DUMMYFUNCTION("""COMPUTED_VALUE"""),5.57)</f>
        <v>5.57</v>
      </c>
      <c r="H7250" s="17"/>
      <c r="K7250" s="17"/>
      <c r="N7250" s="17"/>
    </row>
    <row r="7251">
      <c r="B7251" s="11">
        <f>IFERROR(__xludf.DUMMYFUNCTION("""COMPUTED_VALUE"""),35874.0)</f>
        <v>35874</v>
      </c>
      <c r="C7251" s="9">
        <f>IFERROR(__xludf.DUMMYFUNCTION("""COMPUTED_VALUE"""),5.57)</f>
        <v>5.57</v>
      </c>
      <c r="H7251" s="17"/>
      <c r="K7251" s="17"/>
      <c r="N7251" s="17"/>
    </row>
    <row r="7252">
      <c r="B7252" s="11">
        <f>IFERROR(__xludf.DUMMYFUNCTION("""COMPUTED_VALUE"""),35873.0)</f>
        <v>35873</v>
      </c>
      <c r="C7252" s="9">
        <f>IFERROR(__xludf.DUMMYFUNCTION("""COMPUTED_VALUE"""),5.58)</f>
        <v>5.58</v>
      </c>
      <c r="H7252" s="17"/>
      <c r="K7252" s="17"/>
      <c r="N7252" s="17"/>
    </row>
    <row r="7253">
      <c r="B7253" s="11">
        <f>IFERROR(__xludf.DUMMYFUNCTION("""COMPUTED_VALUE"""),35872.0)</f>
        <v>35872</v>
      </c>
      <c r="C7253" s="9">
        <f>IFERROR(__xludf.DUMMYFUNCTION("""COMPUTED_VALUE"""),5.58)</f>
        <v>5.58</v>
      </c>
      <c r="H7253" s="17"/>
      <c r="K7253" s="17"/>
      <c r="N7253" s="17"/>
    </row>
    <row r="7254">
      <c r="B7254" s="11">
        <f>IFERROR(__xludf.DUMMYFUNCTION("""COMPUTED_VALUE"""),35871.0)</f>
        <v>35871</v>
      </c>
      <c r="C7254" s="9">
        <f>IFERROR(__xludf.DUMMYFUNCTION("""COMPUTED_VALUE"""),5.56)</f>
        <v>5.56</v>
      </c>
      <c r="H7254" s="17"/>
      <c r="K7254" s="17"/>
      <c r="N7254" s="17"/>
    </row>
    <row r="7255">
      <c r="B7255" s="11">
        <f>IFERROR(__xludf.DUMMYFUNCTION("""COMPUTED_VALUE"""),35870.0)</f>
        <v>35870</v>
      </c>
      <c r="C7255" s="9">
        <f>IFERROR(__xludf.DUMMYFUNCTION("""COMPUTED_VALUE"""),5.54)</f>
        <v>5.54</v>
      </c>
      <c r="H7255" s="17"/>
      <c r="K7255" s="17"/>
      <c r="N7255" s="17"/>
    </row>
    <row r="7256">
      <c r="B7256" s="11">
        <f>IFERROR(__xludf.DUMMYFUNCTION("""COMPUTED_VALUE"""),35867.0)</f>
        <v>35867</v>
      </c>
      <c r="C7256" s="9">
        <f>IFERROR(__xludf.DUMMYFUNCTION("""COMPUTED_VALUE"""),5.58)</f>
        <v>5.58</v>
      </c>
      <c r="H7256" s="17"/>
      <c r="K7256" s="17"/>
      <c r="N7256" s="17"/>
    </row>
    <row r="7257">
      <c r="B7257" s="11">
        <f>IFERROR(__xludf.DUMMYFUNCTION("""COMPUTED_VALUE"""),35866.0)</f>
        <v>35866</v>
      </c>
      <c r="C7257" s="9">
        <f>IFERROR(__xludf.DUMMYFUNCTION("""COMPUTED_VALUE"""),5.56)</f>
        <v>5.56</v>
      </c>
      <c r="H7257" s="17"/>
      <c r="K7257" s="17"/>
      <c r="N7257" s="17"/>
    </row>
    <row r="7258">
      <c r="B7258" s="11">
        <f>IFERROR(__xludf.DUMMYFUNCTION("""COMPUTED_VALUE"""),35865.0)</f>
        <v>35865</v>
      </c>
      <c r="C7258" s="9">
        <f>IFERROR(__xludf.DUMMYFUNCTION("""COMPUTED_VALUE"""),5.63)</f>
        <v>5.63</v>
      </c>
      <c r="H7258" s="17"/>
      <c r="K7258" s="17"/>
      <c r="N7258" s="17"/>
    </row>
    <row r="7259">
      <c r="B7259" s="11">
        <f>IFERROR(__xludf.DUMMYFUNCTION("""COMPUTED_VALUE"""),35864.0)</f>
        <v>35864</v>
      </c>
      <c r="C7259" s="9">
        <f>IFERROR(__xludf.DUMMYFUNCTION("""COMPUTED_VALUE"""),5.67)</f>
        <v>5.67</v>
      </c>
      <c r="H7259" s="17"/>
      <c r="K7259" s="17"/>
      <c r="N7259" s="17"/>
    </row>
    <row r="7260">
      <c r="B7260" s="11">
        <f>IFERROR(__xludf.DUMMYFUNCTION("""COMPUTED_VALUE"""),35863.0)</f>
        <v>35863</v>
      </c>
      <c r="C7260" s="9">
        <f>IFERROR(__xludf.DUMMYFUNCTION("""COMPUTED_VALUE"""),5.67)</f>
        <v>5.67</v>
      </c>
      <c r="H7260" s="17"/>
      <c r="K7260" s="17"/>
      <c r="N7260" s="17"/>
    </row>
    <row r="7261">
      <c r="B7261" s="11">
        <f>IFERROR(__xludf.DUMMYFUNCTION("""COMPUTED_VALUE"""),35860.0)</f>
        <v>35860</v>
      </c>
      <c r="C7261" s="9">
        <f>IFERROR(__xludf.DUMMYFUNCTION("""COMPUTED_VALUE"""),5.73)</f>
        <v>5.73</v>
      </c>
      <c r="H7261" s="17"/>
      <c r="K7261" s="17"/>
      <c r="N7261" s="17"/>
    </row>
    <row r="7262">
      <c r="B7262" s="11">
        <f>IFERROR(__xludf.DUMMYFUNCTION("""COMPUTED_VALUE"""),35859.0)</f>
        <v>35859</v>
      </c>
      <c r="C7262" s="9">
        <f>IFERROR(__xludf.DUMMYFUNCTION("""COMPUTED_VALUE"""),5.78)</f>
        <v>5.78</v>
      </c>
      <c r="H7262" s="17"/>
      <c r="K7262" s="17"/>
      <c r="N7262" s="17"/>
    </row>
    <row r="7263">
      <c r="B7263" s="11">
        <f>IFERROR(__xludf.DUMMYFUNCTION("""COMPUTED_VALUE"""),35858.0)</f>
        <v>35858</v>
      </c>
      <c r="C7263" s="9">
        <f>IFERROR(__xludf.DUMMYFUNCTION("""COMPUTED_VALUE"""),5.76)</f>
        <v>5.76</v>
      </c>
      <c r="H7263" s="17"/>
      <c r="K7263" s="17"/>
      <c r="N7263" s="17"/>
    </row>
    <row r="7264">
      <c r="B7264" s="11">
        <f>IFERROR(__xludf.DUMMYFUNCTION("""COMPUTED_VALUE"""),35857.0)</f>
        <v>35857</v>
      </c>
      <c r="C7264" s="9">
        <f>IFERROR(__xludf.DUMMYFUNCTION("""COMPUTED_VALUE"""),5.77)</f>
        <v>5.77</v>
      </c>
      <c r="H7264" s="17"/>
      <c r="K7264" s="17"/>
      <c r="N7264" s="17"/>
    </row>
    <row r="7265">
      <c r="B7265" s="11">
        <f>IFERROR(__xludf.DUMMYFUNCTION("""COMPUTED_VALUE"""),35856.0)</f>
        <v>35856</v>
      </c>
      <c r="C7265" s="9">
        <f>IFERROR(__xludf.DUMMYFUNCTION("""COMPUTED_VALUE"""),5.72)</f>
        <v>5.72</v>
      </c>
      <c r="H7265" s="17"/>
      <c r="K7265" s="17"/>
      <c r="N7265" s="17"/>
    </row>
    <row r="7266">
      <c r="B7266" s="11">
        <f>IFERROR(__xludf.DUMMYFUNCTION("""COMPUTED_VALUE"""),35853.0)</f>
        <v>35853</v>
      </c>
      <c r="C7266" s="9">
        <f>IFERROR(__xludf.DUMMYFUNCTION("""COMPUTED_VALUE"""),5.62)</f>
        <v>5.62</v>
      </c>
      <c r="H7266" s="17"/>
      <c r="K7266" s="17"/>
      <c r="N7266" s="17"/>
    </row>
    <row r="7267">
      <c r="B7267" s="11">
        <f>IFERROR(__xludf.DUMMYFUNCTION("""COMPUTED_VALUE"""),35852.0)</f>
        <v>35852</v>
      </c>
      <c r="C7267" s="9">
        <f>IFERROR(__xludf.DUMMYFUNCTION("""COMPUTED_VALUE"""),5.65)</f>
        <v>5.65</v>
      </c>
      <c r="H7267" s="17"/>
      <c r="K7267" s="17"/>
      <c r="N7267" s="17"/>
    </row>
    <row r="7268">
      <c r="B7268" s="11">
        <f>IFERROR(__xludf.DUMMYFUNCTION("""COMPUTED_VALUE"""),35851.0)</f>
        <v>35851</v>
      </c>
      <c r="C7268" s="9">
        <f>IFERROR(__xludf.DUMMYFUNCTION("""COMPUTED_VALUE"""),5.63)</f>
        <v>5.63</v>
      </c>
      <c r="H7268" s="17"/>
      <c r="K7268" s="17"/>
      <c r="N7268" s="17"/>
    </row>
    <row r="7269">
      <c r="B7269" s="11">
        <f>IFERROR(__xludf.DUMMYFUNCTION("""COMPUTED_VALUE"""),35850.0)</f>
        <v>35850</v>
      </c>
      <c r="C7269" s="9">
        <f>IFERROR(__xludf.DUMMYFUNCTION("""COMPUTED_VALUE"""),5.69)</f>
        <v>5.69</v>
      </c>
      <c r="H7269" s="17"/>
      <c r="K7269" s="17"/>
      <c r="N7269" s="17"/>
    </row>
    <row r="7270">
      <c r="B7270" s="11">
        <f>IFERROR(__xludf.DUMMYFUNCTION("""COMPUTED_VALUE"""),35849.0)</f>
        <v>35849</v>
      </c>
      <c r="C7270" s="9">
        <f>IFERROR(__xludf.DUMMYFUNCTION("""COMPUTED_VALUE"""),5.58)</f>
        <v>5.58</v>
      </c>
      <c r="H7270" s="17"/>
      <c r="K7270" s="17"/>
      <c r="N7270" s="17"/>
    </row>
    <row r="7271">
      <c r="B7271" s="11">
        <f>IFERROR(__xludf.DUMMYFUNCTION("""COMPUTED_VALUE"""),35846.0)</f>
        <v>35846</v>
      </c>
      <c r="C7271" s="9">
        <f>IFERROR(__xludf.DUMMYFUNCTION("""COMPUTED_VALUE"""),5.54)</f>
        <v>5.54</v>
      </c>
      <c r="H7271" s="17"/>
      <c r="K7271" s="17"/>
      <c r="N7271" s="17"/>
    </row>
    <row r="7272">
      <c r="B7272" s="11">
        <f>IFERROR(__xludf.DUMMYFUNCTION("""COMPUTED_VALUE"""),35845.0)</f>
        <v>35845</v>
      </c>
      <c r="C7272" s="9">
        <f>IFERROR(__xludf.DUMMYFUNCTION("""COMPUTED_VALUE"""),5.51)</f>
        <v>5.51</v>
      </c>
      <c r="H7272" s="17"/>
      <c r="K7272" s="17"/>
      <c r="N7272" s="17"/>
    </row>
    <row r="7273">
      <c r="B7273" s="11">
        <f>IFERROR(__xludf.DUMMYFUNCTION("""COMPUTED_VALUE"""),35844.0)</f>
        <v>35844</v>
      </c>
      <c r="C7273" s="9">
        <f>IFERROR(__xludf.DUMMYFUNCTION("""COMPUTED_VALUE"""),5.49)</f>
        <v>5.49</v>
      </c>
      <c r="H7273" s="17"/>
      <c r="K7273" s="17"/>
      <c r="N7273" s="17"/>
    </row>
    <row r="7274">
      <c r="B7274" s="11">
        <f>IFERROR(__xludf.DUMMYFUNCTION("""COMPUTED_VALUE"""),35843.0)</f>
        <v>35843</v>
      </c>
      <c r="C7274" s="9">
        <f>IFERROR(__xludf.DUMMYFUNCTION("""COMPUTED_VALUE"""),5.44)</f>
        <v>5.44</v>
      </c>
      <c r="H7274" s="17"/>
      <c r="K7274" s="17"/>
      <c r="N7274" s="17"/>
    </row>
    <row r="7275">
      <c r="B7275" s="11">
        <f>IFERROR(__xludf.DUMMYFUNCTION("""COMPUTED_VALUE"""),35842.0)</f>
        <v>35842</v>
      </c>
      <c r="C7275" s="9"/>
      <c r="H7275" s="17"/>
      <c r="K7275" s="17"/>
      <c r="N7275" s="17"/>
    </row>
    <row r="7276">
      <c r="B7276" s="11">
        <f>IFERROR(__xludf.DUMMYFUNCTION("""COMPUTED_VALUE"""),35839.0)</f>
        <v>35839</v>
      </c>
      <c r="C7276" s="9">
        <f>IFERROR(__xludf.DUMMYFUNCTION("""COMPUTED_VALUE"""),5.49)</f>
        <v>5.49</v>
      </c>
      <c r="H7276" s="17"/>
      <c r="K7276" s="17"/>
      <c r="N7276" s="17"/>
    </row>
    <row r="7277">
      <c r="B7277" s="11">
        <f>IFERROR(__xludf.DUMMYFUNCTION("""COMPUTED_VALUE"""),35838.0)</f>
        <v>35838</v>
      </c>
      <c r="C7277" s="9">
        <f>IFERROR(__xludf.DUMMYFUNCTION("""COMPUTED_VALUE"""),5.52)</f>
        <v>5.52</v>
      </c>
      <c r="H7277" s="17"/>
      <c r="K7277" s="17"/>
      <c r="N7277" s="17"/>
    </row>
    <row r="7278">
      <c r="B7278" s="11">
        <f>IFERROR(__xludf.DUMMYFUNCTION("""COMPUTED_VALUE"""),35837.0)</f>
        <v>35837</v>
      </c>
      <c r="C7278" s="9">
        <f>IFERROR(__xludf.DUMMYFUNCTION("""COMPUTED_VALUE"""),5.53)</f>
        <v>5.53</v>
      </c>
      <c r="H7278" s="17"/>
      <c r="K7278" s="17"/>
      <c r="N7278" s="17"/>
    </row>
    <row r="7279">
      <c r="B7279" s="11">
        <f>IFERROR(__xludf.DUMMYFUNCTION("""COMPUTED_VALUE"""),35836.0)</f>
        <v>35836</v>
      </c>
      <c r="C7279" s="9">
        <f>IFERROR(__xludf.DUMMYFUNCTION("""COMPUTED_VALUE"""),5.64)</f>
        <v>5.64</v>
      </c>
      <c r="H7279" s="17"/>
      <c r="K7279" s="17"/>
      <c r="N7279" s="17"/>
    </row>
    <row r="7280">
      <c r="B7280" s="11">
        <f>IFERROR(__xludf.DUMMYFUNCTION("""COMPUTED_VALUE"""),35835.0)</f>
        <v>35835</v>
      </c>
      <c r="C7280" s="9">
        <f>IFERROR(__xludf.DUMMYFUNCTION("""COMPUTED_VALUE"""),5.65)</f>
        <v>5.65</v>
      </c>
      <c r="H7280" s="17"/>
      <c r="K7280" s="17"/>
      <c r="N7280" s="17"/>
    </row>
    <row r="7281">
      <c r="B7281" s="11">
        <f>IFERROR(__xludf.DUMMYFUNCTION("""COMPUTED_VALUE"""),35832.0)</f>
        <v>35832</v>
      </c>
      <c r="C7281" s="9">
        <f>IFERROR(__xludf.DUMMYFUNCTION("""COMPUTED_VALUE"""),5.62)</f>
        <v>5.62</v>
      </c>
      <c r="H7281" s="17"/>
      <c r="K7281" s="17"/>
      <c r="N7281" s="17"/>
    </row>
    <row r="7282">
      <c r="B7282" s="11">
        <f>IFERROR(__xludf.DUMMYFUNCTION("""COMPUTED_VALUE"""),35831.0)</f>
        <v>35831</v>
      </c>
      <c r="C7282" s="9">
        <f>IFERROR(__xludf.DUMMYFUNCTION("""COMPUTED_VALUE"""),5.62)</f>
        <v>5.62</v>
      </c>
      <c r="H7282" s="17"/>
      <c r="K7282" s="17"/>
      <c r="N7282" s="17"/>
    </row>
    <row r="7283">
      <c r="B7283" s="11">
        <f>IFERROR(__xludf.DUMMYFUNCTION("""COMPUTED_VALUE"""),35830.0)</f>
        <v>35830</v>
      </c>
      <c r="C7283" s="9">
        <f>IFERROR(__xludf.DUMMYFUNCTION("""COMPUTED_VALUE"""),5.57)</f>
        <v>5.57</v>
      </c>
      <c r="H7283" s="17"/>
      <c r="K7283" s="17"/>
      <c r="N7283" s="17"/>
    </row>
    <row r="7284">
      <c r="B7284" s="11">
        <f>IFERROR(__xludf.DUMMYFUNCTION("""COMPUTED_VALUE"""),35829.0)</f>
        <v>35829</v>
      </c>
      <c r="C7284" s="9">
        <f>IFERROR(__xludf.DUMMYFUNCTION("""COMPUTED_VALUE"""),5.56)</f>
        <v>5.56</v>
      </c>
      <c r="H7284" s="17"/>
      <c r="K7284" s="17"/>
      <c r="N7284" s="17"/>
    </row>
    <row r="7285">
      <c r="B7285" s="11">
        <f>IFERROR(__xludf.DUMMYFUNCTION("""COMPUTED_VALUE"""),35828.0)</f>
        <v>35828</v>
      </c>
      <c r="C7285" s="9">
        <f>IFERROR(__xludf.DUMMYFUNCTION("""COMPUTED_VALUE"""),5.57)</f>
        <v>5.57</v>
      </c>
      <c r="H7285" s="17"/>
      <c r="K7285" s="17"/>
      <c r="N7285" s="17"/>
    </row>
    <row r="7286">
      <c r="B7286" s="11">
        <f>IFERROR(__xludf.DUMMYFUNCTION("""COMPUTED_VALUE"""),35825.0)</f>
        <v>35825</v>
      </c>
      <c r="C7286" s="9">
        <f>IFERROR(__xludf.DUMMYFUNCTION("""COMPUTED_VALUE"""),5.53)</f>
        <v>5.53</v>
      </c>
      <c r="H7286" s="17"/>
      <c r="K7286" s="17"/>
      <c r="N7286" s="17"/>
    </row>
    <row r="7287">
      <c r="B7287" s="11">
        <f>IFERROR(__xludf.DUMMYFUNCTION("""COMPUTED_VALUE"""),35824.0)</f>
        <v>35824</v>
      </c>
      <c r="C7287" s="9">
        <f>IFERROR(__xludf.DUMMYFUNCTION("""COMPUTED_VALUE"""),5.58)</f>
        <v>5.58</v>
      </c>
      <c r="H7287" s="17"/>
      <c r="K7287" s="17"/>
      <c r="N7287" s="17"/>
    </row>
    <row r="7288">
      <c r="B7288" s="11">
        <f>IFERROR(__xludf.DUMMYFUNCTION("""COMPUTED_VALUE"""),35823.0)</f>
        <v>35823</v>
      </c>
      <c r="C7288" s="9">
        <f>IFERROR(__xludf.DUMMYFUNCTION("""COMPUTED_VALUE"""),5.69)</f>
        <v>5.69</v>
      </c>
      <c r="H7288" s="17"/>
      <c r="K7288" s="17"/>
      <c r="N7288" s="17"/>
    </row>
    <row r="7289">
      <c r="B7289" s="11">
        <f>IFERROR(__xludf.DUMMYFUNCTION("""COMPUTED_VALUE"""),35822.0)</f>
        <v>35822</v>
      </c>
      <c r="C7289" s="9">
        <f>IFERROR(__xludf.DUMMYFUNCTION("""COMPUTED_VALUE"""),5.7)</f>
        <v>5.7</v>
      </c>
      <c r="H7289" s="17"/>
      <c r="K7289" s="17"/>
      <c r="N7289" s="17"/>
    </row>
    <row r="7290">
      <c r="B7290" s="11">
        <f>IFERROR(__xludf.DUMMYFUNCTION("""COMPUTED_VALUE"""),35821.0)</f>
        <v>35821</v>
      </c>
      <c r="C7290" s="9">
        <f>IFERROR(__xludf.DUMMYFUNCTION("""COMPUTED_VALUE"""),5.63)</f>
        <v>5.63</v>
      </c>
      <c r="H7290" s="17"/>
      <c r="K7290" s="17"/>
      <c r="N7290" s="17"/>
    </row>
    <row r="7291">
      <c r="B7291" s="11">
        <f>IFERROR(__xludf.DUMMYFUNCTION("""COMPUTED_VALUE"""),35818.0)</f>
        <v>35818</v>
      </c>
      <c r="C7291" s="9">
        <f>IFERROR(__xludf.DUMMYFUNCTION("""COMPUTED_VALUE"""),5.7)</f>
        <v>5.7</v>
      </c>
      <c r="H7291" s="17"/>
      <c r="K7291" s="17"/>
      <c r="N7291" s="17"/>
    </row>
    <row r="7292">
      <c r="B7292" s="11">
        <f>IFERROR(__xludf.DUMMYFUNCTION("""COMPUTED_VALUE"""),35817.0)</f>
        <v>35817</v>
      </c>
      <c r="C7292" s="9">
        <f>IFERROR(__xludf.DUMMYFUNCTION("""COMPUTED_VALUE"""),5.56)</f>
        <v>5.56</v>
      </c>
      <c r="H7292" s="17"/>
      <c r="K7292" s="17"/>
      <c r="N7292" s="17"/>
    </row>
    <row r="7293">
      <c r="B7293" s="11">
        <f>IFERROR(__xludf.DUMMYFUNCTION("""COMPUTED_VALUE"""),35816.0)</f>
        <v>35816</v>
      </c>
      <c r="C7293" s="9">
        <f>IFERROR(__xludf.DUMMYFUNCTION("""COMPUTED_VALUE"""),5.54)</f>
        <v>5.54</v>
      </c>
      <c r="H7293" s="17"/>
      <c r="K7293" s="17"/>
      <c r="N7293" s="17"/>
    </row>
    <row r="7294">
      <c r="B7294" s="11">
        <f>IFERROR(__xludf.DUMMYFUNCTION("""COMPUTED_VALUE"""),35815.0)</f>
        <v>35815</v>
      </c>
      <c r="C7294" s="9">
        <f>IFERROR(__xludf.DUMMYFUNCTION("""COMPUTED_VALUE"""),5.57)</f>
        <v>5.57</v>
      </c>
      <c r="H7294" s="17"/>
      <c r="K7294" s="17"/>
      <c r="N7294" s="17"/>
    </row>
    <row r="7295">
      <c r="B7295" s="11">
        <f>IFERROR(__xludf.DUMMYFUNCTION("""COMPUTED_VALUE"""),35814.0)</f>
        <v>35814</v>
      </c>
      <c r="C7295" s="9"/>
      <c r="H7295" s="17"/>
      <c r="K7295" s="17"/>
      <c r="N7295" s="17"/>
    </row>
    <row r="7296">
      <c r="B7296" s="11">
        <f>IFERROR(__xludf.DUMMYFUNCTION("""COMPUTED_VALUE"""),35811.0)</f>
        <v>35811</v>
      </c>
      <c r="C7296" s="9">
        <f>IFERROR(__xludf.DUMMYFUNCTION("""COMPUTED_VALUE"""),5.54)</f>
        <v>5.54</v>
      </c>
      <c r="H7296" s="17"/>
      <c r="K7296" s="17"/>
      <c r="N7296" s="17"/>
    </row>
    <row r="7297">
      <c r="B7297" s="11">
        <f>IFERROR(__xludf.DUMMYFUNCTION("""COMPUTED_VALUE"""),35810.0)</f>
        <v>35810</v>
      </c>
      <c r="C7297" s="9">
        <f>IFERROR(__xludf.DUMMYFUNCTION("""COMPUTED_VALUE"""),5.48)</f>
        <v>5.48</v>
      </c>
      <c r="H7297" s="17"/>
      <c r="K7297" s="17"/>
      <c r="N7297" s="17"/>
    </row>
    <row r="7298">
      <c r="B7298" s="11">
        <f>IFERROR(__xludf.DUMMYFUNCTION("""COMPUTED_VALUE"""),35809.0)</f>
        <v>35809</v>
      </c>
      <c r="C7298" s="9">
        <f>IFERROR(__xludf.DUMMYFUNCTION("""COMPUTED_VALUE"""),5.45)</f>
        <v>5.45</v>
      </c>
      <c r="H7298" s="17"/>
      <c r="K7298" s="17"/>
      <c r="N7298" s="17"/>
    </row>
    <row r="7299">
      <c r="B7299" s="11">
        <f>IFERROR(__xludf.DUMMYFUNCTION("""COMPUTED_VALUE"""),35808.0)</f>
        <v>35808</v>
      </c>
      <c r="C7299" s="9">
        <f>IFERROR(__xludf.DUMMYFUNCTION("""COMPUTED_VALUE"""),5.41)</f>
        <v>5.41</v>
      </c>
      <c r="H7299" s="17"/>
      <c r="K7299" s="17"/>
      <c r="N7299" s="17"/>
    </row>
    <row r="7300">
      <c r="B7300" s="11">
        <f>IFERROR(__xludf.DUMMYFUNCTION("""COMPUTED_VALUE"""),35807.0)</f>
        <v>35807</v>
      </c>
      <c r="C7300" s="9">
        <f>IFERROR(__xludf.DUMMYFUNCTION("""COMPUTED_VALUE"""),5.39)</f>
        <v>5.39</v>
      </c>
      <c r="H7300" s="17"/>
      <c r="K7300" s="17"/>
      <c r="N7300" s="17"/>
    </row>
    <row r="7301">
      <c r="B7301" s="11">
        <f>IFERROR(__xludf.DUMMYFUNCTION("""COMPUTED_VALUE"""),35804.0)</f>
        <v>35804</v>
      </c>
      <c r="C7301" s="9">
        <f>IFERROR(__xludf.DUMMYFUNCTION("""COMPUTED_VALUE"""),5.4)</f>
        <v>5.4</v>
      </c>
      <c r="H7301" s="17"/>
      <c r="K7301" s="17"/>
      <c r="N7301" s="17"/>
    </row>
    <row r="7302">
      <c r="B7302" s="11">
        <f>IFERROR(__xludf.DUMMYFUNCTION("""COMPUTED_VALUE"""),35803.0)</f>
        <v>35803</v>
      </c>
      <c r="C7302" s="9">
        <f>IFERROR(__xludf.DUMMYFUNCTION("""COMPUTED_VALUE"""),5.49)</f>
        <v>5.49</v>
      </c>
      <c r="H7302" s="17"/>
      <c r="K7302" s="17"/>
      <c r="N7302" s="17"/>
    </row>
    <row r="7303">
      <c r="B7303" s="11">
        <f>IFERROR(__xludf.DUMMYFUNCTION("""COMPUTED_VALUE"""),35802.0)</f>
        <v>35802</v>
      </c>
      <c r="C7303" s="9">
        <f>IFERROR(__xludf.DUMMYFUNCTION("""COMPUTED_VALUE"""),5.55)</f>
        <v>5.55</v>
      </c>
      <c r="H7303" s="17"/>
      <c r="K7303" s="17"/>
      <c r="N7303" s="17"/>
    </row>
    <row r="7304">
      <c r="B7304" s="11">
        <f>IFERROR(__xludf.DUMMYFUNCTION("""COMPUTED_VALUE"""),35801.0)</f>
        <v>35801</v>
      </c>
      <c r="C7304" s="9">
        <f>IFERROR(__xludf.DUMMYFUNCTION("""COMPUTED_VALUE"""),5.49)</f>
        <v>5.49</v>
      </c>
      <c r="H7304" s="17"/>
      <c r="K7304" s="17"/>
      <c r="N7304" s="17"/>
    </row>
    <row r="7305">
      <c r="B7305" s="11">
        <f>IFERROR(__xludf.DUMMYFUNCTION("""COMPUTED_VALUE"""),35800.0)</f>
        <v>35800</v>
      </c>
      <c r="C7305" s="9">
        <f>IFERROR(__xludf.DUMMYFUNCTION("""COMPUTED_VALUE"""),5.52)</f>
        <v>5.52</v>
      </c>
      <c r="H7305" s="17"/>
      <c r="K7305" s="17"/>
      <c r="N7305" s="17"/>
    </row>
    <row r="7306">
      <c r="B7306" s="11">
        <f>IFERROR(__xludf.DUMMYFUNCTION("""COMPUTED_VALUE"""),35797.0)</f>
        <v>35797</v>
      </c>
      <c r="C7306" s="9">
        <f>IFERROR(__xludf.DUMMYFUNCTION("""COMPUTED_VALUE"""),5.67)</f>
        <v>5.67</v>
      </c>
      <c r="H7306" s="17"/>
      <c r="K7306" s="17"/>
      <c r="N7306" s="17"/>
    </row>
    <row r="7307">
      <c r="B7307" s="11">
        <f>IFERROR(__xludf.DUMMYFUNCTION("""COMPUTED_VALUE"""),35796.0)</f>
        <v>35796</v>
      </c>
      <c r="C7307" s="9"/>
      <c r="H7307" s="17"/>
      <c r="K7307" s="17"/>
      <c r="N7307" s="17"/>
    </row>
    <row r="7308">
      <c r="B7308" s="11">
        <f>IFERROR(__xludf.DUMMYFUNCTION("""COMPUTED_VALUE"""),35795.0)</f>
        <v>35795</v>
      </c>
      <c r="C7308" s="9">
        <f>IFERROR(__xludf.DUMMYFUNCTION("""COMPUTED_VALUE"""),5.75)</f>
        <v>5.75</v>
      </c>
      <c r="H7308" s="17"/>
      <c r="K7308" s="17"/>
      <c r="N7308" s="17"/>
    </row>
    <row r="7309">
      <c r="B7309" s="11">
        <f>IFERROR(__xludf.DUMMYFUNCTION("""COMPUTED_VALUE"""),35794.0)</f>
        <v>35794</v>
      </c>
      <c r="C7309" s="9">
        <f>IFERROR(__xludf.DUMMYFUNCTION("""COMPUTED_VALUE"""),5.8)</f>
        <v>5.8</v>
      </c>
      <c r="H7309" s="17"/>
      <c r="K7309" s="17"/>
      <c r="N7309" s="17"/>
    </row>
    <row r="7310">
      <c r="B7310" s="11">
        <f>IFERROR(__xludf.DUMMYFUNCTION("""COMPUTED_VALUE"""),35793.0)</f>
        <v>35793</v>
      </c>
      <c r="C7310" s="9">
        <f>IFERROR(__xludf.DUMMYFUNCTION("""COMPUTED_VALUE"""),5.76)</f>
        <v>5.76</v>
      </c>
      <c r="H7310" s="17"/>
      <c r="K7310" s="17"/>
      <c r="N7310" s="17"/>
    </row>
    <row r="7311">
      <c r="B7311" s="11">
        <f>IFERROR(__xludf.DUMMYFUNCTION("""COMPUTED_VALUE"""),35790.0)</f>
        <v>35790</v>
      </c>
      <c r="C7311" s="9">
        <f>IFERROR(__xludf.DUMMYFUNCTION("""COMPUTED_VALUE"""),5.75)</f>
        <v>5.75</v>
      </c>
      <c r="H7311" s="17"/>
      <c r="K7311" s="17"/>
      <c r="N7311" s="17"/>
    </row>
    <row r="7312">
      <c r="B7312" s="11">
        <f>IFERROR(__xludf.DUMMYFUNCTION("""COMPUTED_VALUE"""),35789.0)</f>
        <v>35789</v>
      </c>
      <c r="C7312" s="9"/>
      <c r="H7312" s="17"/>
      <c r="K7312" s="17"/>
      <c r="N7312" s="17"/>
    </row>
    <row r="7313">
      <c r="B7313" s="11">
        <f>IFERROR(__xludf.DUMMYFUNCTION("""COMPUTED_VALUE"""),35788.0)</f>
        <v>35788</v>
      </c>
      <c r="C7313" s="9">
        <f>IFERROR(__xludf.DUMMYFUNCTION("""COMPUTED_VALUE"""),5.76)</f>
        <v>5.76</v>
      </c>
      <c r="H7313" s="17"/>
      <c r="K7313" s="17"/>
      <c r="N7313" s="17"/>
    </row>
    <row r="7314">
      <c r="B7314" s="11">
        <f>IFERROR(__xludf.DUMMYFUNCTION("""COMPUTED_VALUE"""),35787.0)</f>
        <v>35787</v>
      </c>
      <c r="C7314" s="9">
        <f>IFERROR(__xludf.DUMMYFUNCTION("""COMPUTED_VALUE"""),5.73)</f>
        <v>5.73</v>
      </c>
      <c r="H7314" s="17"/>
      <c r="K7314" s="17"/>
      <c r="N7314" s="17"/>
    </row>
    <row r="7315">
      <c r="B7315" s="11">
        <f>IFERROR(__xludf.DUMMYFUNCTION("""COMPUTED_VALUE"""),35786.0)</f>
        <v>35786</v>
      </c>
      <c r="C7315" s="9">
        <f>IFERROR(__xludf.DUMMYFUNCTION("""COMPUTED_VALUE"""),5.72)</f>
        <v>5.72</v>
      </c>
      <c r="H7315" s="17"/>
      <c r="K7315" s="17"/>
      <c r="N7315" s="17"/>
    </row>
    <row r="7316">
      <c r="B7316" s="11">
        <f>IFERROR(__xludf.DUMMYFUNCTION("""COMPUTED_VALUE"""),35783.0)</f>
        <v>35783</v>
      </c>
      <c r="C7316" s="9">
        <f>IFERROR(__xludf.DUMMYFUNCTION("""COMPUTED_VALUE"""),5.72)</f>
        <v>5.72</v>
      </c>
      <c r="H7316" s="17"/>
      <c r="K7316" s="17"/>
      <c r="N7316" s="17"/>
    </row>
    <row r="7317">
      <c r="B7317" s="11">
        <f>IFERROR(__xludf.DUMMYFUNCTION("""COMPUTED_VALUE"""),35782.0)</f>
        <v>35782</v>
      </c>
      <c r="C7317" s="9">
        <f>IFERROR(__xludf.DUMMYFUNCTION("""COMPUTED_VALUE"""),5.76)</f>
        <v>5.76</v>
      </c>
      <c r="H7317" s="17"/>
      <c r="K7317" s="17"/>
      <c r="N7317" s="17"/>
    </row>
    <row r="7318">
      <c r="B7318" s="11">
        <f>IFERROR(__xludf.DUMMYFUNCTION("""COMPUTED_VALUE"""),35781.0)</f>
        <v>35781</v>
      </c>
      <c r="C7318" s="9">
        <f>IFERROR(__xludf.DUMMYFUNCTION("""COMPUTED_VALUE"""),5.81)</f>
        <v>5.81</v>
      </c>
      <c r="H7318" s="17"/>
      <c r="K7318" s="17"/>
      <c r="N7318" s="17"/>
    </row>
    <row r="7319">
      <c r="B7319" s="11">
        <f>IFERROR(__xludf.DUMMYFUNCTION("""COMPUTED_VALUE"""),35780.0)</f>
        <v>35780</v>
      </c>
      <c r="C7319" s="9">
        <f>IFERROR(__xludf.DUMMYFUNCTION("""COMPUTED_VALUE"""),5.77)</f>
        <v>5.77</v>
      </c>
      <c r="H7319" s="17"/>
      <c r="K7319" s="17"/>
      <c r="N7319" s="17"/>
    </row>
    <row r="7320">
      <c r="B7320" s="11">
        <f>IFERROR(__xludf.DUMMYFUNCTION("""COMPUTED_VALUE"""),35779.0)</f>
        <v>35779</v>
      </c>
      <c r="C7320" s="9">
        <f>IFERROR(__xludf.DUMMYFUNCTION("""COMPUTED_VALUE"""),5.78)</f>
        <v>5.78</v>
      </c>
      <c r="H7320" s="17"/>
      <c r="K7320" s="17"/>
      <c r="N7320" s="17"/>
    </row>
    <row r="7321">
      <c r="B7321" s="11">
        <f>IFERROR(__xludf.DUMMYFUNCTION("""COMPUTED_VALUE"""),35776.0)</f>
        <v>35776</v>
      </c>
      <c r="C7321" s="9">
        <f>IFERROR(__xludf.DUMMYFUNCTION("""COMPUTED_VALUE"""),5.74)</f>
        <v>5.74</v>
      </c>
      <c r="H7321" s="17"/>
      <c r="K7321" s="17"/>
      <c r="N7321" s="17"/>
    </row>
    <row r="7322">
      <c r="B7322" s="11">
        <f>IFERROR(__xludf.DUMMYFUNCTION("""COMPUTED_VALUE"""),35775.0)</f>
        <v>35775</v>
      </c>
      <c r="C7322" s="9">
        <f>IFERROR(__xludf.DUMMYFUNCTION("""COMPUTED_VALUE"""),5.82)</f>
        <v>5.82</v>
      </c>
      <c r="H7322" s="17"/>
      <c r="K7322" s="17"/>
      <c r="N7322" s="17"/>
    </row>
    <row r="7323">
      <c r="B7323" s="11">
        <f>IFERROR(__xludf.DUMMYFUNCTION("""COMPUTED_VALUE"""),35774.0)</f>
        <v>35774</v>
      </c>
      <c r="C7323" s="9">
        <f>IFERROR(__xludf.DUMMYFUNCTION("""COMPUTED_VALUE"""),5.9)</f>
        <v>5.9</v>
      </c>
      <c r="H7323" s="17"/>
      <c r="K7323" s="17"/>
      <c r="N7323" s="17"/>
    </row>
    <row r="7324">
      <c r="B7324" s="11">
        <f>IFERROR(__xludf.DUMMYFUNCTION("""COMPUTED_VALUE"""),35773.0)</f>
        <v>35773</v>
      </c>
      <c r="C7324" s="9">
        <f>IFERROR(__xludf.DUMMYFUNCTION("""COMPUTED_VALUE"""),5.95)</f>
        <v>5.95</v>
      </c>
      <c r="H7324" s="17"/>
      <c r="K7324" s="17"/>
      <c r="N7324" s="17"/>
    </row>
    <row r="7325">
      <c r="B7325" s="11">
        <f>IFERROR(__xludf.DUMMYFUNCTION("""COMPUTED_VALUE"""),35772.0)</f>
        <v>35772</v>
      </c>
      <c r="C7325" s="9">
        <f>IFERROR(__xludf.DUMMYFUNCTION("""COMPUTED_VALUE"""),5.96)</f>
        <v>5.96</v>
      </c>
      <c r="H7325" s="17"/>
      <c r="K7325" s="17"/>
      <c r="N7325" s="17"/>
    </row>
    <row r="7326">
      <c r="B7326" s="11">
        <f>IFERROR(__xludf.DUMMYFUNCTION("""COMPUTED_VALUE"""),35769.0)</f>
        <v>35769</v>
      </c>
      <c r="C7326" s="9">
        <f>IFERROR(__xludf.DUMMYFUNCTION("""COMPUTED_VALUE"""),5.92)</f>
        <v>5.92</v>
      </c>
      <c r="H7326" s="17"/>
      <c r="K7326" s="17"/>
      <c r="N7326" s="17"/>
    </row>
    <row r="7327">
      <c r="B7327" s="11">
        <f>IFERROR(__xludf.DUMMYFUNCTION("""COMPUTED_VALUE"""),35768.0)</f>
        <v>35768</v>
      </c>
      <c r="C7327" s="9">
        <f>IFERROR(__xludf.DUMMYFUNCTION("""COMPUTED_VALUE"""),5.84)</f>
        <v>5.84</v>
      </c>
      <c r="H7327" s="17"/>
      <c r="K7327" s="17"/>
      <c r="N7327" s="17"/>
    </row>
    <row r="7328">
      <c r="B7328" s="11">
        <f>IFERROR(__xludf.DUMMYFUNCTION("""COMPUTED_VALUE"""),35767.0)</f>
        <v>35767</v>
      </c>
      <c r="C7328" s="9">
        <f>IFERROR(__xludf.DUMMYFUNCTION("""COMPUTED_VALUE"""),5.83)</f>
        <v>5.83</v>
      </c>
      <c r="H7328" s="17"/>
      <c r="K7328" s="17"/>
      <c r="N7328" s="17"/>
    </row>
    <row r="7329">
      <c r="B7329" s="11">
        <f>IFERROR(__xludf.DUMMYFUNCTION("""COMPUTED_VALUE"""),35766.0)</f>
        <v>35766</v>
      </c>
      <c r="C7329" s="9">
        <f>IFERROR(__xludf.DUMMYFUNCTION("""COMPUTED_VALUE"""),5.86)</f>
        <v>5.86</v>
      </c>
      <c r="H7329" s="17"/>
      <c r="K7329" s="17"/>
      <c r="N7329" s="17"/>
    </row>
    <row r="7330">
      <c r="B7330" s="11">
        <f>IFERROR(__xludf.DUMMYFUNCTION("""COMPUTED_VALUE"""),35765.0)</f>
        <v>35765</v>
      </c>
      <c r="C7330" s="9">
        <f>IFERROR(__xludf.DUMMYFUNCTION("""COMPUTED_VALUE"""),5.86)</f>
        <v>5.86</v>
      </c>
      <c r="H7330" s="17"/>
      <c r="K7330" s="17"/>
      <c r="N7330" s="17"/>
    </row>
    <row r="7331">
      <c r="B7331" s="11">
        <f>IFERROR(__xludf.DUMMYFUNCTION("""COMPUTED_VALUE"""),35762.0)</f>
        <v>35762</v>
      </c>
      <c r="C7331" s="9">
        <f>IFERROR(__xludf.DUMMYFUNCTION("""COMPUTED_VALUE"""),5.86)</f>
        <v>5.86</v>
      </c>
      <c r="H7331" s="17"/>
      <c r="K7331" s="17"/>
      <c r="N7331" s="17"/>
    </row>
    <row r="7332">
      <c r="B7332" s="11">
        <f>IFERROR(__xludf.DUMMYFUNCTION("""COMPUTED_VALUE"""),35761.0)</f>
        <v>35761</v>
      </c>
      <c r="C7332" s="9"/>
      <c r="H7332" s="17"/>
      <c r="K7332" s="17"/>
      <c r="N7332" s="17"/>
    </row>
    <row r="7333">
      <c r="B7333" s="11">
        <f>IFERROR(__xludf.DUMMYFUNCTION("""COMPUTED_VALUE"""),35760.0)</f>
        <v>35760</v>
      </c>
      <c r="C7333" s="9">
        <f>IFERROR(__xludf.DUMMYFUNCTION("""COMPUTED_VALUE"""),5.86)</f>
        <v>5.86</v>
      </c>
      <c r="H7333" s="17"/>
      <c r="K7333" s="17"/>
      <c r="N7333" s="17"/>
    </row>
    <row r="7334">
      <c r="B7334" s="11">
        <f>IFERROR(__xludf.DUMMYFUNCTION("""COMPUTED_VALUE"""),35759.0)</f>
        <v>35759</v>
      </c>
      <c r="C7334" s="9">
        <f>IFERROR(__xludf.DUMMYFUNCTION("""COMPUTED_VALUE"""),5.85)</f>
        <v>5.85</v>
      </c>
      <c r="H7334" s="17"/>
      <c r="K7334" s="17"/>
      <c r="N7334" s="17"/>
    </row>
    <row r="7335">
      <c r="B7335" s="11">
        <f>IFERROR(__xludf.DUMMYFUNCTION("""COMPUTED_VALUE"""),35758.0)</f>
        <v>35758</v>
      </c>
      <c r="C7335" s="9">
        <f>IFERROR(__xludf.DUMMYFUNCTION("""COMPUTED_VALUE"""),5.86)</f>
        <v>5.86</v>
      </c>
      <c r="H7335" s="17"/>
      <c r="K7335" s="17"/>
      <c r="N7335" s="17"/>
    </row>
    <row r="7336">
      <c r="B7336" s="11">
        <f>IFERROR(__xludf.DUMMYFUNCTION("""COMPUTED_VALUE"""),35755.0)</f>
        <v>35755</v>
      </c>
      <c r="C7336" s="9">
        <f>IFERROR(__xludf.DUMMYFUNCTION("""COMPUTED_VALUE"""),5.82)</f>
        <v>5.82</v>
      </c>
      <c r="H7336" s="17"/>
      <c r="K7336" s="17"/>
      <c r="N7336" s="17"/>
    </row>
    <row r="7337">
      <c r="B7337" s="11">
        <f>IFERROR(__xludf.DUMMYFUNCTION("""COMPUTED_VALUE"""),35754.0)</f>
        <v>35754</v>
      </c>
      <c r="C7337" s="9">
        <f>IFERROR(__xludf.DUMMYFUNCTION("""COMPUTED_VALUE"""),5.84)</f>
        <v>5.84</v>
      </c>
      <c r="H7337" s="17"/>
      <c r="K7337" s="17"/>
      <c r="N7337" s="17"/>
    </row>
    <row r="7338">
      <c r="B7338" s="11">
        <f>IFERROR(__xludf.DUMMYFUNCTION("""COMPUTED_VALUE"""),35753.0)</f>
        <v>35753</v>
      </c>
      <c r="C7338" s="9">
        <f>IFERROR(__xludf.DUMMYFUNCTION("""COMPUTED_VALUE"""),5.82)</f>
        <v>5.82</v>
      </c>
      <c r="H7338" s="17"/>
      <c r="K7338" s="17"/>
      <c r="N7338" s="17"/>
    </row>
    <row r="7339">
      <c r="B7339" s="11">
        <f>IFERROR(__xludf.DUMMYFUNCTION("""COMPUTED_VALUE"""),35752.0)</f>
        <v>35752</v>
      </c>
      <c r="C7339" s="9">
        <f>IFERROR(__xludf.DUMMYFUNCTION("""COMPUTED_VALUE"""),5.85)</f>
        <v>5.85</v>
      </c>
      <c r="H7339" s="17"/>
      <c r="K7339" s="17"/>
      <c r="N7339" s="17"/>
    </row>
    <row r="7340">
      <c r="B7340" s="11">
        <f>IFERROR(__xludf.DUMMYFUNCTION("""COMPUTED_VALUE"""),35751.0)</f>
        <v>35751</v>
      </c>
      <c r="C7340" s="9">
        <f>IFERROR(__xludf.DUMMYFUNCTION("""COMPUTED_VALUE"""),5.85)</f>
        <v>5.85</v>
      </c>
      <c r="H7340" s="17"/>
      <c r="K7340" s="17"/>
      <c r="N7340" s="17"/>
    </row>
    <row r="7341">
      <c r="B7341" s="11">
        <f>IFERROR(__xludf.DUMMYFUNCTION("""COMPUTED_VALUE"""),35748.0)</f>
        <v>35748</v>
      </c>
      <c r="C7341" s="9">
        <f>IFERROR(__xludf.DUMMYFUNCTION("""COMPUTED_VALUE"""),5.86)</f>
        <v>5.86</v>
      </c>
      <c r="H7341" s="17"/>
      <c r="K7341" s="17"/>
      <c r="N7341" s="17"/>
    </row>
    <row r="7342">
      <c r="B7342" s="11">
        <f>IFERROR(__xludf.DUMMYFUNCTION("""COMPUTED_VALUE"""),35747.0)</f>
        <v>35747</v>
      </c>
      <c r="C7342" s="9">
        <f>IFERROR(__xludf.DUMMYFUNCTION("""COMPUTED_VALUE"""),5.87)</f>
        <v>5.87</v>
      </c>
      <c r="H7342" s="17"/>
      <c r="K7342" s="17"/>
      <c r="N7342" s="17"/>
    </row>
    <row r="7343">
      <c r="B7343" s="11">
        <f>IFERROR(__xludf.DUMMYFUNCTION("""COMPUTED_VALUE"""),35746.0)</f>
        <v>35746</v>
      </c>
      <c r="C7343" s="9">
        <f>IFERROR(__xludf.DUMMYFUNCTION("""COMPUTED_VALUE"""),5.89)</f>
        <v>5.89</v>
      </c>
      <c r="H7343" s="17"/>
      <c r="K7343" s="17"/>
      <c r="N7343" s="17"/>
    </row>
    <row r="7344">
      <c r="B7344" s="11">
        <f>IFERROR(__xludf.DUMMYFUNCTION("""COMPUTED_VALUE"""),35745.0)</f>
        <v>35745</v>
      </c>
      <c r="C7344" s="9"/>
      <c r="H7344" s="17"/>
      <c r="K7344" s="17"/>
      <c r="N7344" s="17"/>
    </row>
    <row r="7345">
      <c r="B7345" s="11">
        <f>IFERROR(__xludf.DUMMYFUNCTION("""COMPUTED_VALUE"""),35744.0)</f>
        <v>35744</v>
      </c>
      <c r="C7345" s="9">
        <f>IFERROR(__xludf.DUMMYFUNCTION("""COMPUTED_VALUE"""),5.91)</f>
        <v>5.91</v>
      </c>
      <c r="H7345" s="17"/>
      <c r="K7345" s="17"/>
      <c r="N7345" s="17"/>
    </row>
    <row r="7346">
      <c r="B7346" s="11">
        <f>IFERROR(__xludf.DUMMYFUNCTION("""COMPUTED_VALUE"""),35741.0)</f>
        <v>35741</v>
      </c>
      <c r="C7346" s="9">
        <f>IFERROR(__xludf.DUMMYFUNCTION("""COMPUTED_VALUE"""),5.9)</f>
        <v>5.9</v>
      </c>
      <c r="H7346" s="17"/>
      <c r="K7346" s="17"/>
      <c r="N7346" s="17"/>
    </row>
    <row r="7347">
      <c r="B7347" s="11">
        <f>IFERROR(__xludf.DUMMYFUNCTION("""COMPUTED_VALUE"""),35740.0)</f>
        <v>35740</v>
      </c>
      <c r="C7347" s="9">
        <f>IFERROR(__xludf.DUMMYFUNCTION("""COMPUTED_VALUE"""),5.9)</f>
        <v>5.9</v>
      </c>
      <c r="H7347" s="17"/>
      <c r="K7347" s="17"/>
      <c r="N7347" s="17"/>
    </row>
    <row r="7348">
      <c r="B7348" s="11">
        <f>IFERROR(__xludf.DUMMYFUNCTION("""COMPUTED_VALUE"""),35739.0)</f>
        <v>35739</v>
      </c>
      <c r="C7348" s="9">
        <f>IFERROR(__xludf.DUMMYFUNCTION("""COMPUTED_VALUE"""),5.95)</f>
        <v>5.95</v>
      </c>
      <c r="H7348" s="17"/>
      <c r="K7348" s="17"/>
      <c r="N7348" s="17"/>
    </row>
    <row r="7349">
      <c r="B7349" s="11">
        <f>IFERROR(__xludf.DUMMYFUNCTION("""COMPUTED_VALUE"""),35738.0)</f>
        <v>35738</v>
      </c>
      <c r="C7349" s="9">
        <f>IFERROR(__xludf.DUMMYFUNCTION("""COMPUTED_VALUE"""),5.95)</f>
        <v>5.95</v>
      </c>
      <c r="H7349" s="17"/>
      <c r="K7349" s="17"/>
      <c r="N7349" s="17"/>
    </row>
    <row r="7350">
      <c r="B7350" s="11">
        <f>IFERROR(__xludf.DUMMYFUNCTION("""COMPUTED_VALUE"""),35737.0)</f>
        <v>35737</v>
      </c>
      <c r="C7350" s="9">
        <f>IFERROR(__xludf.DUMMYFUNCTION("""COMPUTED_VALUE"""),5.91)</f>
        <v>5.91</v>
      </c>
      <c r="H7350" s="17"/>
      <c r="K7350" s="17"/>
      <c r="N7350" s="17"/>
    </row>
    <row r="7351">
      <c r="B7351" s="11">
        <f>IFERROR(__xludf.DUMMYFUNCTION("""COMPUTED_VALUE"""),35734.0)</f>
        <v>35734</v>
      </c>
      <c r="C7351" s="9">
        <f>IFERROR(__xludf.DUMMYFUNCTION("""COMPUTED_VALUE"""),5.84)</f>
        <v>5.84</v>
      </c>
      <c r="H7351" s="17"/>
      <c r="K7351" s="17"/>
      <c r="N7351" s="17"/>
    </row>
    <row r="7352">
      <c r="B7352" s="11">
        <f>IFERROR(__xludf.DUMMYFUNCTION("""COMPUTED_VALUE"""),35733.0)</f>
        <v>35733</v>
      </c>
      <c r="C7352" s="9">
        <f>IFERROR(__xludf.DUMMYFUNCTION("""COMPUTED_VALUE"""),5.84)</f>
        <v>5.84</v>
      </c>
      <c r="H7352" s="17"/>
      <c r="K7352" s="17"/>
      <c r="N7352" s="17"/>
    </row>
    <row r="7353">
      <c r="B7353" s="11">
        <f>IFERROR(__xludf.DUMMYFUNCTION("""COMPUTED_VALUE"""),35732.0)</f>
        <v>35732</v>
      </c>
      <c r="C7353" s="9">
        <f>IFERROR(__xludf.DUMMYFUNCTION("""COMPUTED_VALUE"""),5.91)</f>
        <v>5.91</v>
      </c>
      <c r="H7353" s="17"/>
      <c r="K7353" s="17"/>
      <c r="N7353" s="17"/>
    </row>
    <row r="7354">
      <c r="B7354" s="11">
        <f>IFERROR(__xludf.DUMMYFUNCTION("""COMPUTED_VALUE"""),35731.0)</f>
        <v>35731</v>
      </c>
      <c r="C7354" s="9">
        <f>IFERROR(__xludf.DUMMYFUNCTION("""COMPUTED_VALUE"""),5.98)</f>
        <v>5.98</v>
      </c>
      <c r="H7354" s="17"/>
      <c r="K7354" s="17"/>
      <c r="N7354" s="17"/>
    </row>
    <row r="7355">
      <c r="B7355" s="11">
        <f>IFERROR(__xludf.DUMMYFUNCTION("""COMPUTED_VALUE"""),35730.0)</f>
        <v>35730</v>
      </c>
      <c r="C7355" s="9">
        <f>IFERROR(__xludf.DUMMYFUNCTION("""COMPUTED_VALUE"""),5.91)</f>
        <v>5.91</v>
      </c>
      <c r="H7355" s="17"/>
      <c r="K7355" s="17"/>
      <c r="N7355" s="17"/>
    </row>
    <row r="7356">
      <c r="B7356" s="11">
        <f>IFERROR(__xludf.DUMMYFUNCTION("""COMPUTED_VALUE"""),35727.0)</f>
        <v>35727</v>
      </c>
      <c r="C7356" s="9">
        <f>IFERROR(__xludf.DUMMYFUNCTION("""COMPUTED_VALUE"""),6.01)</f>
        <v>6.01</v>
      </c>
      <c r="H7356" s="17"/>
      <c r="K7356" s="17"/>
      <c r="N7356" s="17"/>
    </row>
    <row r="7357">
      <c r="B7357" s="11">
        <f>IFERROR(__xludf.DUMMYFUNCTION("""COMPUTED_VALUE"""),35726.0)</f>
        <v>35726</v>
      </c>
      <c r="C7357" s="9">
        <f>IFERROR(__xludf.DUMMYFUNCTION("""COMPUTED_VALUE"""),6.04)</f>
        <v>6.04</v>
      </c>
      <c r="H7357" s="17"/>
      <c r="K7357" s="17"/>
      <c r="N7357" s="17"/>
    </row>
    <row r="7358">
      <c r="B7358" s="11">
        <f>IFERROR(__xludf.DUMMYFUNCTION("""COMPUTED_VALUE"""),35725.0)</f>
        <v>35725</v>
      </c>
      <c r="C7358" s="9">
        <f>IFERROR(__xludf.DUMMYFUNCTION("""COMPUTED_VALUE"""),6.12)</f>
        <v>6.12</v>
      </c>
      <c r="H7358" s="17"/>
      <c r="K7358" s="17"/>
      <c r="N7358" s="17"/>
    </row>
    <row r="7359">
      <c r="B7359" s="11">
        <f>IFERROR(__xludf.DUMMYFUNCTION("""COMPUTED_VALUE"""),35724.0)</f>
        <v>35724</v>
      </c>
      <c r="C7359" s="9">
        <f>IFERROR(__xludf.DUMMYFUNCTION("""COMPUTED_VALUE"""),6.14)</f>
        <v>6.14</v>
      </c>
      <c r="H7359" s="17"/>
      <c r="K7359" s="17"/>
      <c r="N7359" s="17"/>
    </row>
    <row r="7360">
      <c r="B7360" s="11">
        <f>IFERROR(__xludf.DUMMYFUNCTION("""COMPUTED_VALUE"""),35723.0)</f>
        <v>35723</v>
      </c>
      <c r="C7360" s="9">
        <f>IFERROR(__xludf.DUMMYFUNCTION("""COMPUTED_VALUE"""),6.15)</f>
        <v>6.15</v>
      </c>
      <c r="H7360" s="17"/>
      <c r="K7360" s="17"/>
      <c r="N7360" s="17"/>
    </row>
    <row r="7361">
      <c r="B7361" s="11">
        <f>IFERROR(__xludf.DUMMYFUNCTION("""COMPUTED_VALUE"""),35720.0)</f>
        <v>35720</v>
      </c>
      <c r="C7361" s="9">
        <f>IFERROR(__xludf.DUMMYFUNCTION("""COMPUTED_VALUE"""),6.17)</f>
        <v>6.17</v>
      </c>
      <c r="H7361" s="17"/>
      <c r="K7361" s="17"/>
      <c r="N7361" s="17"/>
    </row>
    <row r="7362">
      <c r="B7362" s="11">
        <f>IFERROR(__xludf.DUMMYFUNCTION("""COMPUTED_VALUE"""),35719.0)</f>
        <v>35719</v>
      </c>
      <c r="C7362" s="9">
        <f>IFERROR(__xludf.DUMMYFUNCTION("""COMPUTED_VALUE"""),6.09)</f>
        <v>6.09</v>
      </c>
      <c r="H7362" s="17"/>
      <c r="K7362" s="17"/>
      <c r="N7362" s="17"/>
    </row>
    <row r="7363">
      <c r="B7363" s="11">
        <f>IFERROR(__xludf.DUMMYFUNCTION("""COMPUTED_VALUE"""),35718.0)</f>
        <v>35718</v>
      </c>
      <c r="C7363" s="9">
        <f>IFERROR(__xludf.DUMMYFUNCTION("""COMPUTED_VALUE"""),6.1)</f>
        <v>6.1</v>
      </c>
      <c r="H7363" s="17"/>
      <c r="K7363" s="17"/>
      <c r="N7363" s="17"/>
    </row>
    <row r="7364">
      <c r="B7364" s="11">
        <f>IFERROR(__xludf.DUMMYFUNCTION("""COMPUTED_VALUE"""),35717.0)</f>
        <v>35717</v>
      </c>
      <c r="C7364" s="9">
        <f>IFERROR(__xludf.DUMMYFUNCTION("""COMPUTED_VALUE"""),6.07)</f>
        <v>6.07</v>
      </c>
      <c r="H7364" s="17"/>
      <c r="K7364" s="17"/>
      <c r="N7364" s="17"/>
    </row>
    <row r="7365">
      <c r="B7365" s="11">
        <f>IFERROR(__xludf.DUMMYFUNCTION("""COMPUTED_VALUE"""),35716.0)</f>
        <v>35716</v>
      </c>
      <c r="C7365" s="9"/>
      <c r="H7365" s="17"/>
      <c r="K7365" s="17"/>
      <c r="N7365" s="17"/>
    </row>
    <row r="7366">
      <c r="B7366" s="11">
        <f>IFERROR(__xludf.DUMMYFUNCTION("""COMPUTED_VALUE"""),35713.0)</f>
        <v>35713</v>
      </c>
      <c r="C7366" s="9">
        <f>IFERROR(__xludf.DUMMYFUNCTION("""COMPUTED_VALUE"""),6.15)</f>
        <v>6.15</v>
      </c>
      <c r="H7366" s="17"/>
      <c r="K7366" s="17"/>
      <c r="N7366" s="17"/>
    </row>
    <row r="7367">
      <c r="B7367" s="11">
        <f>IFERROR(__xludf.DUMMYFUNCTION("""COMPUTED_VALUE"""),35712.0)</f>
        <v>35712</v>
      </c>
      <c r="C7367" s="9">
        <f>IFERROR(__xludf.DUMMYFUNCTION("""COMPUTED_VALUE"""),6.09)</f>
        <v>6.09</v>
      </c>
      <c r="H7367" s="17"/>
      <c r="K7367" s="17"/>
      <c r="N7367" s="17"/>
    </row>
    <row r="7368">
      <c r="B7368" s="11">
        <f>IFERROR(__xludf.DUMMYFUNCTION("""COMPUTED_VALUE"""),35711.0)</f>
        <v>35711</v>
      </c>
      <c r="C7368" s="9">
        <f>IFERROR(__xludf.DUMMYFUNCTION("""COMPUTED_VALUE"""),6.08)</f>
        <v>6.08</v>
      </c>
      <c r="H7368" s="17"/>
      <c r="K7368" s="17"/>
      <c r="N7368" s="17"/>
    </row>
    <row r="7369">
      <c r="B7369" s="11">
        <f>IFERROR(__xludf.DUMMYFUNCTION("""COMPUTED_VALUE"""),35710.0)</f>
        <v>35710</v>
      </c>
      <c r="C7369" s="9">
        <f>IFERROR(__xludf.DUMMYFUNCTION("""COMPUTED_VALUE"""),5.94)</f>
        <v>5.94</v>
      </c>
      <c r="H7369" s="17"/>
      <c r="K7369" s="17"/>
      <c r="N7369" s="17"/>
    </row>
    <row r="7370">
      <c r="B7370" s="11">
        <f>IFERROR(__xludf.DUMMYFUNCTION("""COMPUTED_VALUE"""),35709.0)</f>
        <v>35709</v>
      </c>
      <c r="C7370" s="9">
        <f>IFERROR(__xludf.DUMMYFUNCTION("""COMPUTED_VALUE"""),5.96)</f>
        <v>5.96</v>
      </c>
      <c r="H7370" s="17"/>
      <c r="K7370" s="17"/>
      <c r="N7370" s="17"/>
    </row>
    <row r="7371">
      <c r="B7371" s="11">
        <f>IFERROR(__xludf.DUMMYFUNCTION("""COMPUTED_VALUE"""),35706.0)</f>
        <v>35706</v>
      </c>
      <c r="C7371" s="9">
        <f>IFERROR(__xludf.DUMMYFUNCTION("""COMPUTED_VALUE"""),6.01)</f>
        <v>6.01</v>
      </c>
      <c r="H7371" s="17"/>
      <c r="K7371" s="17"/>
      <c r="N7371" s="17"/>
    </row>
    <row r="7372">
      <c r="B7372" s="11">
        <f>IFERROR(__xludf.DUMMYFUNCTION("""COMPUTED_VALUE"""),35705.0)</f>
        <v>35705</v>
      </c>
      <c r="C7372" s="9">
        <f>IFERROR(__xludf.DUMMYFUNCTION("""COMPUTED_VALUE"""),6.01)</f>
        <v>6.01</v>
      </c>
      <c r="H7372" s="17"/>
      <c r="K7372" s="17"/>
      <c r="N7372" s="17"/>
    </row>
    <row r="7373">
      <c r="B7373" s="11">
        <f>IFERROR(__xludf.DUMMYFUNCTION("""COMPUTED_VALUE"""),35704.0)</f>
        <v>35704</v>
      </c>
      <c r="C7373" s="9">
        <f>IFERROR(__xludf.DUMMYFUNCTION("""COMPUTED_VALUE"""),6.04)</f>
        <v>6.04</v>
      </c>
      <c r="H7373" s="17"/>
      <c r="K7373" s="17"/>
      <c r="N7373" s="17"/>
    </row>
    <row r="7374">
      <c r="B7374" s="11">
        <f>IFERROR(__xludf.DUMMYFUNCTION("""COMPUTED_VALUE"""),35703.0)</f>
        <v>35703</v>
      </c>
      <c r="C7374" s="9">
        <f>IFERROR(__xludf.DUMMYFUNCTION("""COMPUTED_VALUE"""),6.12)</f>
        <v>6.12</v>
      </c>
      <c r="H7374" s="17"/>
      <c r="K7374" s="17"/>
      <c r="N7374" s="17"/>
    </row>
    <row r="7375">
      <c r="B7375" s="11">
        <f>IFERROR(__xludf.DUMMYFUNCTION("""COMPUTED_VALUE"""),35702.0)</f>
        <v>35702</v>
      </c>
      <c r="C7375" s="9">
        <f>IFERROR(__xludf.DUMMYFUNCTION("""COMPUTED_VALUE"""),6.1)</f>
        <v>6.1</v>
      </c>
      <c r="H7375" s="17"/>
      <c r="K7375" s="17"/>
      <c r="N7375" s="17"/>
    </row>
    <row r="7376">
      <c r="B7376" s="11">
        <f>IFERROR(__xludf.DUMMYFUNCTION("""COMPUTED_VALUE"""),35699.0)</f>
        <v>35699</v>
      </c>
      <c r="C7376" s="9">
        <f>IFERROR(__xludf.DUMMYFUNCTION("""COMPUTED_VALUE"""),6.08)</f>
        <v>6.08</v>
      </c>
      <c r="H7376" s="17"/>
      <c r="K7376" s="17"/>
      <c r="N7376" s="17"/>
    </row>
    <row r="7377">
      <c r="B7377" s="11">
        <f>IFERROR(__xludf.DUMMYFUNCTION("""COMPUTED_VALUE"""),35698.0)</f>
        <v>35698</v>
      </c>
      <c r="C7377" s="9">
        <f>IFERROR(__xludf.DUMMYFUNCTION("""COMPUTED_VALUE"""),6.13)</f>
        <v>6.13</v>
      </c>
      <c r="H7377" s="17"/>
      <c r="K7377" s="17"/>
      <c r="N7377" s="17"/>
    </row>
    <row r="7378">
      <c r="B7378" s="11">
        <f>IFERROR(__xludf.DUMMYFUNCTION("""COMPUTED_VALUE"""),35697.0)</f>
        <v>35697</v>
      </c>
      <c r="C7378" s="9">
        <f>IFERROR(__xludf.DUMMYFUNCTION("""COMPUTED_VALUE"""),6.04)</f>
        <v>6.04</v>
      </c>
      <c r="H7378" s="17"/>
      <c r="K7378" s="17"/>
      <c r="N7378" s="17"/>
    </row>
    <row r="7379">
      <c r="B7379" s="11">
        <f>IFERROR(__xludf.DUMMYFUNCTION("""COMPUTED_VALUE"""),35696.0)</f>
        <v>35696</v>
      </c>
      <c r="C7379" s="9">
        <f>IFERROR(__xludf.DUMMYFUNCTION("""COMPUTED_VALUE"""),6.1)</f>
        <v>6.1</v>
      </c>
      <c r="H7379" s="17"/>
      <c r="K7379" s="17"/>
      <c r="N7379" s="17"/>
    </row>
    <row r="7380">
      <c r="B7380" s="11">
        <f>IFERROR(__xludf.DUMMYFUNCTION("""COMPUTED_VALUE"""),35695.0)</f>
        <v>35695</v>
      </c>
      <c r="C7380" s="9">
        <f>IFERROR(__xludf.DUMMYFUNCTION("""COMPUTED_VALUE"""),6.06)</f>
        <v>6.06</v>
      </c>
      <c r="H7380" s="17"/>
      <c r="K7380" s="17"/>
      <c r="N7380" s="17"/>
    </row>
    <row r="7381">
      <c r="B7381" s="11">
        <f>IFERROR(__xludf.DUMMYFUNCTION("""COMPUTED_VALUE"""),35692.0)</f>
        <v>35692</v>
      </c>
      <c r="C7381" s="9">
        <f>IFERROR(__xludf.DUMMYFUNCTION("""COMPUTED_VALUE"""),6.09)</f>
        <v>6.09</v>
      </c>
      <c r="H7381" s="17"/>
      <c r="K7381" s="17"/>
      <c r="N7381" s="17"/>
    </row>
    <row r="7382">
      <c r="B7382" s="11">
        <f>IFERROR(__xludf.DUMMYFUNCTION("""COMPUTED_VALUE"""),35691.0)</f>
        <v>35691</v>
      </c>
      <c r="C7382" s="9">
        <f>IFERROR(__xludf.DUMMYFUNCTION("""COMPUTED_VALUE"""),6.11)</f>
        <v>6.11</v>
      </c>
      <c r="H7382" s="17"/>
      <c r="K7382" s="17"/>
      <c r="N7382" s="17"/>
    </row>
    <row r="7383">
      <c r="B7383" s="11">
        <f>IFERROR(__xludf.DUMMYFUNCTION("""COMPUTED_VALUE"""),35690.0)</f>
        <v>35690</v>
      </c>
      <c r="C7383" s="9">
        <f>IFERROR(__xludf.DUMMYFUNCTION("""COMPUTED_VALUE"""),6.1)</f>
        <v>6.1</v>
      </c>
      <c r="H7383" s="17"/>
      <c r="K7383" s="17"/>
      <c r="N7383" s="17"/>
    </row>
    <row r="7384">
      <c r="B7384" s="11">
        <f>IFERROR(__xludf.DUMMYFUNCTION("""COMPUTED_VALUE"""),35689.0)</f>
        <v>35689</v>
      </c>
      <c r="C7384" s="9">
        <f>IFERROR(__xludf.DUMMYFUNCTION("""COMPUTED_VALUE"""),6.11)</f>
        <v>6.11</v>
      </c>
      <c r="H7384" s="17"/>
      <c r="K7384" s="17"/>
      <c r="N7384" s="17"/>
    </row>
    <row r="7385">
      <c r="B7385" s="11">
        <f>IFERROR(__xludf.DUMMYFUNCTION("""COMPUTED_VALUE"""),35688.0)</f>
        <v>35688</v>
      </c>
      <c r="C7385" s="9">
        <f>IFERROR(__xludf.DUMMYFUNCTION("""COMPUTED_VALUE"""),6.28)</f>
        <v>6.28</v>
      </c>
      <c r="H7385" s="17"/>
      <c r="K7385" s="17"/>
      <c r="N7385" s="17"/>
    </row>
    <row r="7386">
      <c r="B7386" s="11">
        <f>IFERROR(__xludf.DUMMYFUNCTION("""COMPUTED_VALUE"""),35685.0)</f>
        <v>35685</v>
      </c>
      <c r="C7386" s="9">
        <f>IFERROR(__xludf.DUMMYFUNCTION("""COMPUTED_VALUE"""),6.29)</f>
        <v>6.29</v>
      </c>
      <c r="H7386" s="17"/>
      <c r="K7386" s="17"/>
      <c r="N7386" s="17"/>
    </row>
    <row r="7387">
      <c r="B7387" s="11">
        <f>IFERROR(__xludf.DUMMYFUNCTION("""COMPUTED_VALUE"""),35684.0)</f>
        <v>35684</v>
      </c>
      <c r="C7387" s="9">
        <f>IFERROR(__xludf.DUMMYFUNCTION("""COMPUTED_VALUE"""),6.39)</f>
        <v>6.39</v>
      </c>
      <c r="H7387" s="17"/>
      <c r="K7387" s="17"/>
      <c r="N7387" s="17"/>
    </row>
    <row r="7388">
      <c r="B7388" s="11">
        <f>IFERROR(__xludf.DUMMYFUNCTION("""COMPUTED_VALUE"""),35683.0)</f>
        <v>35683</v>
      </c>
      <c r="C7388" s="9">
        <f>IFERROR(__xludf.DUMMYFUNCTION("""COMPUTED_VALUE"""),6.37)</f>
        <v>6.37</v>
      </c>
      <c r="H7388" s="17"/>
      <c r="K7388" s="17"/>
      <c r="N7388" s="17"/>
    </row>
    <row r="7389">
      <c r="B7389" s="11">
        <f>IFERROR(__xludf.DUMMYFUNCTION("""COMPUTED_VALUE"""),35682.0)</f>
        <v>35682</v>
      </c>
      <c r="C7389" s="9">
        <f>IFERROR(__xludf.DUMMYFUNCTION("""COMPUTED_VALUE"""),6.34)</f>
        <v>6.34</v>
      </c>
      <c r="H7389" s="17"/>
      <c r="K7389" s="17"/>
      <c r="N7389" s="17"/>
    </row>
    <row r="7390">
      <c r="B7390" s="11">
        <f>IFERROR(__xludf.DUMMYFUNCTION("""COMPUTED_VALUE"""),35681.0)</f>
        <v>35681</v>
      </c>
      <c r="C7390" s="9">
        <f>IFERROR(__xludf.DUMMYFUNCTION("""COMPUTED_VALUE"""),6.33)</f>
        <v>6.33</v>
      </c>
      <c r="H7390" s="17"/>
      <c r="K7390" s="17"/>
      <c r="N7390" s="17"/>
    </row>
    <row r="7391">
      <c r="B7391" s="11">
        <f>IFERROR(__xludf.DUMMYFUNCTION("""COMPUTED_VALUE"""),35678.0)</f>
        <v>35678</v>
      </c>
      <c r="C7391" s="9">
        <f>IFERROR(__xludf.DUMMYFUNCTION("""COMPUTED_VALUE"""),6.37)</f>
        <v>6.37</v>
      </c>
      <c r="H7391" s="17"/>
      <c r="K7391" s="17"/>
      <c r="N7391" s="17"/>
    </row>
    <row r="7392">
      <c r="B7392" s="11">
        <f>IFERROR(__xludf.DUMMYFUNCTION("""COMPUTED_VALUE"""),35677.0)</f>
        <v>35677</v>
      </c>
      <c r="C7392" s="9">
        <f>IFERROR(__xludf.DUMMYFUNCTION("""COMPUTED_VALUE"""),6.33)</f>
        <v>6.33</v>
      </c>
      <c r="H7392" s="17"/>
      <c r="K7392" s="17"/>
      <c r="N7392" s="17"/>
    </row>
    <row r="7393">
      <c r="B7393" s="11">
        <f>IFERROR(__xludf.DUMMYFUNCTION("""COMPUTED_VALUE"""),35676.0)</f>
        <v>35676</v>
      </c>
      <c r="C7393" s="9">
        <f>IFERROR(__xludf.DUMMYFUNCTION("""COMPUTED_VALUE"""),6.33)</f>
        <v>6.33</v>
      </c>
      <c r="H7393" s="17"/>
      <c r="K7393" s="17"/>
      <c r="N7393" s="17"/>
    </row>
    <row r="7394">
      <c r="B7394" s="11">
        <f>IFERROR(__xludf.DUMMYFUNCTION("""COMPUTED_VALUE"""),35675.0)</f>
        <v>35675</v>
      </c>
      <c r="C7394" s="9">
        <f>IFERROR(__xludf.DUMMYFUNCTION("""COMPUTED_VALUE"""),6.31)</f>
        <v>6.31</v>
      </c>
      <c r="H7394" s="17"/>
      <c r="K7394" s="17"/>
      <c r="N7394" s="17"/>
    </row>
    <row r="7395">
      <c r="B7395" s="11">
        <f>IFERROR(__xludf.DUMMYFUNCTION("""COMPUTED_VALUE"""),35674.0)</f>
        <v>35674</v>
      </c>
      <c r="C7395" s="9"/>
      <c r="H7395" s="17"/>
      <c r="K7395" s="17"/>
      <c r="N7395" s="17"/>
    </row>
    <row r="7396">
      <c r="B7396" s="11">
        <f>IFERROR(__xludf.DUMMYFUNCTION("""COMPUTED_VALUE"""),35671.0)</f>
        <v>35671</v>
      </c>
      <c r="C7396" s="9">
        <f>IFERROR(__xludf.DUMMYFUNCTION("""COMPUTED_VALUE"""),6.34)</f>
        <v>6.34</v>
      </c>
      <c r="H7396" s="17"/>
      <c r="K7396" s="17"/>
      <c r="N7396" s="17"/>
    </row>
    <row r="7397">
      <c r="B7397" s="11">
        <f>IFERROR(__xludf.DUMMYFUNCTION("""COMPUTED_VALUE"""),35670.0)</f>
        <v>35670</v>
      </c>
      <c r="C7397" s="9">
        <f>IFERROR(__xludf.DUMMYFUNCTION("""COMPUTED_VALUE"""),6.3)</f>
        <v>6.3</v>
      </c>
      <c r="H7397" s="17"/>
      <c r="K7397" s="17"/>
      <c r="N7397" s="17"/>
    </row>
    <row r="7398">
      <c r="B7398" s="11">
        <f>IFERROR(__xludf.DUMMYFUNCTION("""COMPUTED_VALUE"""),35669.0)</f>
        <v>35669</v>
      </c>
      <c r="C7398" s="9">
        <f>IFERROR(__xludf.DUMMYFUNCTION("""COMPUTED_VALUE"""),6.38)</f>
        <v>6.38</v>
      </c>
      <c r="H7398" s="17"/>
      <c r="K7398" s="17"/>
      <c r="N7398" s="17"/>
    </row>
    <row r="7399">
      <c r="B7399" s="11">
        <f>IFERROR(__xludf.DUMMYFUNCTION("""COMPUTED_VALUE"""),35668.0)</f>
        <v>35668</v>
      </c>
      <c r="C7399" s="9">
        <f>IFERROR(__xludf.DUMMYFUNCTION("""COMPUTED_VALUE"""),6.38)</f>
        <v>6.38</v>
      </c>
      <c r="H7399" s="17"/>
      <c r="K7399" s="17"/>
      <c r="N7399" s="17"/>
    </row>
    <row r="7400">
      <c r="B7400" s="11">
        <f>IFERROR(__xludf.DUMMYFUNCTION("""COMPUTED_VALUE"""),35667.0)</f>
        <v>35667</v>
      </c>
      <c r="C7400" s="9">
        <f>IFERROR(__xludf.DUMMYFUNCTION("""COMPUTED_VALUE"""),6.39)</f>
        <v>6.39</v>
      </c>
      <c r="H7400" s="17"/>
      <c r="K7400" s="17"/>
      <c r="N7400" s="17"/>
    </row>
    <row r="7401">
      <c r="B7401" s="11">
        <f>IFERROR(__xludf.DUMMYFUNCTION("""COMPUTED_VALUE"""),35664.0)</f>
        <v>35664</v>
      </c>
      <c r="C7401" s="9">
        <f>IFERROR(__xludf.DUMMYFUNCTION("""COMPUTED_VALUE"""),6.38)</f>
        <v>6.38</v>
      </c>
      <c r="H7401" s="17"/>
      <c r="K7401" s="17"/>
      <c r="N7401" s="17"/>
    </row>
    <row r="7402">
      <c r="B7402" s="11">
        <f>IFERROR(__xludf.DUMMYFUNCTION("""COMPUTED_VALUE"""),35663.0)</f>
        <v>35663</v>
      </c>
      <c r="C7402" s="9">
        <f>IFERROR(__xludf.DUMMYFUNCTION("""COMPUTED_VALUE"""),6.3)</f>
        <v>6.3</v>
      </c>
      <c r="H7402" s="17"/>
      <c r="K7402" s="17"/>
      <c r="N7402" s="17"/>
    </row>
    <row r="7403">
      <c r="B7403" s="11">
        <f>IFERROR(__xludf.DUMMYFUNCTION("""COMPUTED_VALUE"""),35662.0)</f>
        <v>35662</v>
      </c>
      <c r="C7403" s="9">
        <f>IFERROR(__xludf.DUMMYFUNCTION("""COMPUTED_VALUE"""),6.24)</f>
        <v>6.24</v>
      </c>
      <c r="H7403" s="17"/>
      <c r="K7403" s="17"/>
      <c r="N7403" s="17"/>
    </row>
    <row r="7404">
      <c r="B7404" s="11">
        <f>IFERROR(__xludf.DUMMYFUNCTION("""COMPUTED_VALUE"""),35661.0)</f>
        <v>35661</v>
      </c>
      <c r="C7404" s="9">
        <f>IFERROR(__xludf.DUMMYFUNCTION("""COMPUTED_VALUE"""),6.21)</f>
        <v>6.21</v>
      </c>
      <c r="H7404" s="17"/>
      <c r="K7404" s="17"/>
      <c r="N7404" s="17"/>
    </row>
    <row r="7405">
      <c r="B7405" s="11">
        <f>IFERROR(__xludf.DUMMYFUNCTION("""COMPUTED_VALUE"""),35660.0)</f>
        <v>35660</v>
      </c>
      <c r="C7405" s="9">
        <f>IFERROR(__xludf.DUMMYFUNCTION("""COMPUTED_VALUE"""),6.21)</f>
        <v>6.21</v>
      </c>
      <c r="H7405" s="17"/>
      <c r="K7405" s="17"/>
      <c r="N7405" s="17"/>
    </row>
    <row r="7406">
      <c r="B7406" s="11">
        <f>IFERROR(__xludf.DUMMYFUNCTION("""COMPUTED_VALUE"""),35657.0)</f>
        <v>35657</v>
      </c>
      <c r="C7406" s="9">
        <f>IFERROR(__xludf.DUMMYFUNCTION("""COMPUTED_VALUE"""),6.27)</f>
        <v>6.27</v>
      </c>
      <c r="H7406" s="17"/>
      <c r="K7406" s="17"/>
      <c r="N7406" s="17"/>
    </row>
    <row r="7407">
      <c r="B7407" s="11">
        <f>IFERROR(__xludf.DUMMYFUNCTION("""COMPUTED_VALUE"""),35656.0)</f>
        <v>35656</v>
      </c>
      <c r="C7407" s="9">
        <f>IFERROR(__xludf.DUMMYFUNCTION("""COMPUTED_VALUE"""),6.27)</f>
        <v>6.27</v>
      </c>
      <c r="H7407" s="17"/>
      <c r="K7407" s="17"/>
      <c r="N7407" s="17"/>
    </row>
    <row r="7408">
      <c r="B7408" s="11">
        <f>IFERROR(__xludf.DUMMYFUNCTION("""COMPUTED_VALUE"""),35655.0)</f>
        <v>35655</v>
      </c>
      <c r="C7408" s="9">
        <f>IFERROR(__xludf.DUMMYFUNCTION("""COMPUTED_VALUE"""),6.36)</f>
        <v>6.36</v>
      </c>
      <c r="H7408" s="17"/>
      <c r="K7408" s="17"/>
      <c r="N7408" s="17"/>
    </row>
    <row r="7409">
      <c r="B7409" s="11">
        <f>IFERROR(__xludf.DUMMYFUNCTION("""COMPUTED_VALUE"""),35654.0)</f>
        <v>35654</v>
      </c>
      <c r="C7409" s="9">
        <f>IFERROR(__xludf.DUMMYFUNCTION("""COMPUTED_VALUE"""),6.39)</f>
        <v>6.39</v>
      </c>
      <c r="H7409" s="17"/>
      <c r="K7409" s="17"/>
      <c r="N7409" s="17"/>
    </row>
    <row r="7410">
      <c r="B7410" s="11">
        <f>IFERROR(__xludf.DUMMYFUNCTION("""COMPUTED_VALUE"""),35653.0)</f>
        <v>35653</v>
      </c>
      <c r="C7410" s="9">
        <f>IFERROR(__xludf.DUMMYFUNCTION("""COMPUTED_VALUE"""),6.36)</f>
        <v>6.36</v>
      </c>
      <c r="H7410" s="17"/>
      <c r="K7410" s="17"/>
      <c r="N7410" s="17"/>
    </row>
    <row r="7411">
      <c r="B7411" s="11">
        <f>IFERROR(__xludf.DUMMYFUNCTION("""COMPUTED_VALUE"""),35650.0)</f>
        <v>35650</v>
      </c>
      <c r="C7411" s="9">
        <f>IFERROR(__xludf.DUMMYFUNCTION("""COMPUTED_VALUE"""),6.38)</f>
        <v>6.38</v>
      </c>
      <c r="H7411" s="17"/>
      <c r="K7411" s="17"/>
      <c r="N7411" s="17"/>
    </row>
    <row r="7412">
      <c r="B7412" s="11">
        <f>IFERROR(__xludf.DUMMYFUNCTION("""COMPUTED_VALUE"""),35649.0)</f>
        <v>35649</v>
      </c>
      <c r="C7412" s="9">
        <f>IFERROR(__xludf.DUMMYFUNCTION("""COMPUTED_VALUE"""),6.24)</f>
        <v>6.24</v>
      </c>
      <c r="H7412" s="17"/>
      <c r="K7412" s="17"/>
      <c r="N7412" s="17"/>
    </row>
    <row r="7413">
      <c r="B7413" s="11">
        <f>IFERROR(__xludf.DUMMYFUNCTION("""COMPUTED_VALUE"""),35648.0)</f>
        <v>35648</v>
      </c>
      <c r="C7413" s="9">
        <f>IFERROR(__xludf.DUMMYFUNCTION("""COMPUTED_VALUE"""),6.21)</f>
        <v>6.21</v>
      </c>
      <c r="H7413" s="17"/>
      <c r="K7413" s="17"/>
      <c r="N7413" s="17"/>
    </row>
    <row r="7414">
      <c r="B7414" s="11">
        <f>IFERROR(__xludf.DUMMYFUNCTION("""COMPUTED_VALUE"""),35647.0)</f>
        <v>35647</v>
      </c>
      <c r="C7414" s="9">
        <f>IFERROR(__xludf.DUMMYFUNCTION("""COMPUTED_VALUE"""),6.23)</f>
        <v>6.23</v>
      </c>
      <c r="H7414" s="17"/>
      <c r="K7414" s="17"/>
      <c r="N7414" s="17"/>
    </row>
    <row r="7415">
      <c r="B7415" s="11">
        <f>IFERROR(__xludf.DUMMYFUNCTION("""COMPUTED_VALUE"""),35646.0)</f>
        <v>35646</v>
      </c>
      <c r="C7415" s="9">
        <f>IFERROR(__xludf.DUMMYFUNCTION("""COMPUTED_VALUE"""),6.23)</f>
        <v>6.23</v>
      </c>
      <c r="H7415" s="17"/>
      <c r="K7415" s="17"/>
      <c r="N7415" s="17"/>
    </row>
    <row r="7416">
      <c r="B7416" s="11">
        <f>IFERROR(__xludf.DUMMYFUNCTION("""COMPUTED_VALUE"""),35643.0)</f>
        <v>35643</v>
      </c>
      <c r="C7416" s="9">
        <f>IFERROR(__xludf.DUMMYFUNCTION("""COMPUTED_VALUE"""),6.2)</f>
        <v>6.2</v>
      </c>
      <c r="H7416" s="17"/>
      <c r="K7416" s="17"/>
      <c r="N7416" s="17"/>
    </row>
    <row r="7417">
      <c r="B7417" s="11">
        <f>IFERROR(__xludf.DUMMYFUNCTION("""COMPUTED_VALUE"""),35642.0)</f>
        <v>35642</v>
      </c>
      <c r="C7417" s="9">
        <f>IFERROR(__xludf.DUMMYFUNCTION("""COMPUTED_VALUE"""),6.02)</f>
        <v>6.02</v>
      </c>
      <c r="H7417" s="17"/>
      <c r="K7417" s="17"/>
      <c r="N7417" s="17"/>
    </row>
    <row r="7418">
      <c r="B7418" s="11">
        <f>IFERROR(__xludf.DUMMYFUNCTION("""COMPUTED_VALUE"""),35641.0)</f>
        <v>35641</v>
      </c>
      <c r="C7418" s="9">
        <f>IFERROR(__xludf.DUMMYFUNCTION("""COMPUTED_VALUE"""),6.05)</f>
        <v>6.05</v>
      </c>
      <c r="H7418" s="17"/>
      <c r="K7418" s="17"/>
      <c r="N7418" s="17"/>
    </row>
    <row r="7419">
      <c r="B7419" s="11">
        <f>IFERROR(__xludf.DUMMYFUNCTION("""COMPUTED_VALUE"""),35640.0)</f>
        <v>35640</v>
      </c>
      <c r="C7419" s="9">
        <f>IFERROR(__xludf.DUMMYFUNCTION("""COMPUTED_VALUE"""),6.11)</f>
        <v>6.11</v>
      </c>
      <c r="H7419" s="17"/>
      <c r="K7419" s="17"/>
      <c r="N7419" s="17"/>
    </row>
    <row r="7420">
      <c r="B7420" s="11">
        <f>IFERROR(__xludf.DUMMYFUNCTION("""COMPUTED_VALUE"""),35639.0)</f>
        <v>35639</v>
      </c>
      <c r="C7420" s="9">
        <f>IFERROR(__xludf.DUMMYFUNCTION("""COMPUTED_VALUE"""),6.16)</f>
        <v>6.16</v>
      </c>
      <c r="H7420" s="17"/>
      <c r="K7420" s="17"/>
      <c r="N7420" s="17"/>
    </row>
    <row r="7421">
      <c r="B7421" s="11">
        <f>IFERROR(__xludf.DUMMYFUNCTION("""COMPUTED_VALUE"""),35636.0)</f>
        <v>35636</v>
      </c>
      <c r="C7421" s="9">
        <f>IFERROR(__xludf.DUMMYFUNCTION("""COMPUTED_VALUE"""),6.18)</f>
        <v>6.18</v>
      </c>
      <c r="H7421" s="17"/>
      <c r="K7421" s="17"/>
      <c r="N7421" s="17"/>
    </row>
    <row r="7422">
      <c r="B7422" s="11">
        <f>IFERROR(__xludf.DUMMYFUNCTION("""COMPUTED_VALUE"""),35635.0)</f>
        <v>35635</v>
      </c>
      <c r="C7422" s="9">
        <f>IFERROR(__xludf.DUMMYFUNCTION("""COMPUTED_VALUE"""),6.16)</f>
        <v>6.16</v>
      </c>
      <c r="H7422" s="17"/>
      <c r="K7422" s="17"/>
      <c r="N7422" s="17"/>
    </row>
    <row r="7423">
      <c r="B7423" s="11">
        <f>IFERROR(__xludf.DUMMYFUNCTION("""COMPUTED_VALUE"""),35634.0)</f>
        <v>35634</v>
      </c>
      <c r="C7423" s="9">
        <f>IFERROR(__xludf.DUMMYFUNCTION("""COMPUTED_VALUE"""),6.14)</f>
        <v>6.14</v>
      </c>
      <c r="H7423" s="17"/>
      <c r="K7423" s="17"/>
      <c r="N7423" s="17"/>
    </row>
    <row r="7424">
      <c r="B7424" s="11">
        <f>IFERROR(__xludf.DUMMYFUNCTION("""COMPUTED_VALUE"""),35633.0)</f>
        <v>35633</v>
      </c>
      <c r="C7424" s="9">
        <f>IFERROR(__xludf.DUMMYFUNCTION("""COMPUTED_VALUE"""),6.15)</f>
        <v>6.15</v>
      </c>
      <c r="H7424" s="17"/>
      <c r="K7424" s="17"/>
      <c r="N7424" s="17"/>
    </row>
    <row r="7425">
      <c r="B7425" s="11">
        <f>IFERROR(__xludf.DUMMYFUNCTION("""COMPUTED_VALUE"""),35632.0)</f>
        <v>35632</v>
      </c>
      <c r="C7425" s="9">
        <f>IFERROR(__xludf.DUMMYFUNCTION("""COMPUTED_VALUE"""),6.27)</f>
        <v>6.27</v>
      </c>
      <c r="H7425" s="17"/>
      <c r="K7425" s="17"/>
      <c r="N7425" s="17"/>
    </row>
    <row r="7426">
      <c r="B7426" s="11">
        <f>IFERROR(__xludf.DUMMYFUNCTION("""COMPUTED_VALUE"""),35629.0)</f>
        <v>35629</v>
      </c>
      <c r="C7426" s="9">
        <f>IFERROR(__xludf.DUMMYFUNCTION("""COMPUTED_VALUE"""),6.24)</f>
        <v>6.24</v>
      </c>
      <c r="H7426" s="17"/>
      <c r="K7426" s="17"/>
      <c r="N7426" s="17"/>
    </row>
    <row r="7427">
      <c r="B7427" s="11">
        <f>IFERROR(__xludf.DUMMYFUNCTION("""COMPUTED_VALUE"""),35628.0)</f>
        <v>35628</v>
      </c>
      <c r="C7427" s="9">
        <f>IFERROR(__xludf.DUMMYFUNCTION("""COMPUTED_VALUE"""),6.19)</f>
        <v>6.19</v>
      </c>
      <c r="H7427" s="17"/>
      <c r="K7427" s="17"/>
      <c r="N7427" s="17"/>
    </row>
    <row r="7428">
      <c r="B7428" s="11">
        <f>IFERROR(__xludf.DUMMYFUNCTION("""COMPUTED_VALUE"""),35627.0)</f>
        <v>35627</v>
      </c>
      <c r="C7428" s="9">
        <f>IFERROR(__xludf.DUMMYFUNCTION("""COMPUTED_VALUE"""),6.2)</f>
        <v>6.2</v>
      </c>
      <c r="H7428" s="17"/>
      <c r="K7428" s="17"/>
      <c r="N7428" s="17"/>
    </row>
    <row r="7429">
      <c r="B7429" s="11">
        <f>IFERROR(__xludf.DUMMYFUNCTION("""COMPUTED_VALUE"""),35626.0)</f>
        <v>35626</v>
      </c>
      <c r="C7429" s="9">
        <f>IFERROR(__xludf.DUMMYFUNCTION("""COMPUTED_VALUE"""),6.26)</f>
        <v>6.26</v>
      </c>
      <c r="H7429" s="17"/>
      <c r="K7429" s="17"/>
      <c r="N7429" s="17"/>
    </row>
    <row r="7430">
      <c r="B7430" s="11">
        <f>IFERROR(__xludf.DUMMYFUNCTION("""COMPUTED_VALUE"""),35625.0)</f>
        <v>35625</v>
      </c>
      <c r="C7430" s="9">
        <f>IFERROR(__xludf.DUMMYFUNCTION("""COMPUTED_VALUE"""),6.26)</f>
        <v>6.26</v>
      </c>
      <c r="H7430" s="17"/>
      <c r="K7430" s="17"/>
      <c r="N7430" s="17"/>
    </row>
    <row r="7431">
      <c r="B7431" s="11">
        <f>IFERROR(__xludf.DUMMYFUNCTION("""COMPUTED_VALUE"""),35622.0)</f>
        <v>35622</v>
      </c>
      <c r="C7431" s="9">
        <f>IFERROR(__xludf.DUMMYFUNCTION("""COMPUTED_VALUE"""),6.23)</f>
        <v>6.23</v>
      </c>
      <c r="H7431" s="17"/>
      <c r="K7431" s="17"/>
      <c r="N7431" s="17"/>
    </row>
    <row r="7432">
      <c r="B7432" s="11">
        <f>IFERROR(__xludf.DUMMYFUNCTION("""COMPUTED_VALUE"""),35621.0)</f>
        <v>35621</v>
      </c>
      <c r="C7432" s="9">
        <f>IFERROR(__xludf.DUMMYFUNCTION("""COMPUTED_VALUE"""),6.26)</f>
        <v>6.26</v>
      </c>
      <c r="H7432" s="17"/>
      <c r="K7432" s="17"/>
      <c r="N7432" s="17"/>
    </row>
    <row r="7433">
      <c r="B7433" s="11">
        <f>IFERROR(__xludf.DUMMYFUNCTION("""COMPUTED_VALUE"""),35620.0)</f>
        <v>35620</v>
      </c>
      <c r="C7433" s="9">
        <f>IFERROR(__xludf.DUMMYFUNCTION("""COMPUTED_VALUE"""),6.25)</f>
        <v>6.25</v>
      </c>
      <c r="H7433" s="17"/>
      <c r="K7433" s="17"/>
      <c r="N7433" s="17"/>
    </row>
    <row r="7434">
      <c r="B7434" s="11">
        <f>IFERROR(__xludf.DUMMYFUNCTION("""COMPUTED_VALUE"""),35619.0)</f>
        <v>35619</v>
      </c>
      <c r="C7434" s="9">
        <f>IFERROR(__xludf.DUMMYFUNCTION("""COMPUTED_VALUE"""),6.27)</f>
        <v>6.27</v>
      </c>
      <c r="H7434" s="17"/>
      <c r="K7434" s="17"/>
      <c r="N7434" s="17"/>
    </row>
    <row r="7435">
      <c r="B7435" s="11">
        <f>IFERROR(__xludf.DUMMYFUNCTION("""COMPUTED_VALUE"""),35618.0)</f>
        <v>35618</v>
      </c>
      <c r="C7435" s="9">
        <f>IFERROR(__xludf.DUMMYFUNCTION("""COMPUTED_VALUE"""),6.27)</f>
        <v>6.27</v>
      </c>
      <c r="H7435" s="17"/>
      <c r="K7435" s="17"/>
      <c r="N7435" s="17"/>
    </row>
    <row r="7436">
      <c r="B7436" s="11">
        <f>IFERROR(__xludf.DUMMYFUNCTION("""COMPUTED_VALUE"""),35615.0)</f>
        <v>35615</v>
      </c>
      <c r="C7436" s="9"/>
      <c r="H7436" s="17"/>
      <c r="K7436" s="17"/>
      <c r="N7436" s="17"/>
    </row>
    <row r="7437">
      <c r="B7437" s="11">
        <f>IFERROR(__xludf.DUMMYFUNCTION("""COMPUTED_VALUE"""),35614.0)</f>
        <v>35614</v>
      </c>
      <c r="C7437" s="9">
        <f>IFERROR(__xludf.DUMMYFUNCTION("""COMPUTED_VALUE"""),6.31)</f>
        <v>6.31</v>
      </c>
      <c r="H7437" s="17"/>
      <c r="K7437" s="17"/>
      <c r="N7437" s="17"/>
    </row>
    <row r="7438">
      <c r="B7438" s="11">
        <f>IFERROR(__xludf.DUMMYFUNCTION("""COMPUTED_VALUE"""),35613.0)</f>
        <v>35613</v>
      </c>
      <c r="C7438" s="9">
        <f>IFERROR(__xludf.DUMMYFUNCTION("""COMPUTED_VALUE"""),6.42)</f>
        <v>6.42</v>
      </c>
      <c r="H7438" s="17"/>
      <c r="K7438" s="17"/>
      <c r="N7438" s="17"/>
    </row>
    <row r="7439">
      <c r="B7439" s="11">
        <f>IFERROR(__xludf.DUMMYFUNCTION("""COMPUTED_VALUE"""),35612.0)</f>
        <v>35612</v>
      </c>
      <c r="C7439" s="9">
        <f>IFERROR(__xludf.DUMMYFUNCTION("""COMPUTED_VALUE"""),6.45)</f>
        <v>6.45</v>
      </c>
      <c r="H7439" s="17"/>
      <c r="K7439" s="17"/>
      <c r="N7439" s="17"/>
    </row>
    <row r="7440">
      <c r="B7440" s="11">
        <f>IFERROR(__xludf.DUMMYFUNCTION("""COMPUTED_VALUE"""),35611.0)</f>
        <v>35611</v>
      </c>
      <c r="C7440" s="9">
        <f>IFERROR(__xludf.DUMMYFUNCTION("""COMPUTED_VALUE"""),6.51)</f>
        <v>6.51</v>
      </c>
      <c r="H7440" s="17"/>
      <c r="K7440" s="17"/>
      <c r="N7440" s="17"/>
    </row>
    <row r="7441">
      <c r="B7441" s="11">
        <f>IFERROR(__xludf.DUMMYFUNCTION("""COMPUTED_VALUE"""),35608.0)</f>
        <v>35608</v>
      </c>
      <c r="C7441" s="9">
        <f>IFERROR(__xludf.DUMMYFUNCTION("""COMPUTED_VALUE"""),6.46)</f>
        <v>6.46</v>
      </c>
      <c r="H7441" s="17"/>
      <c r="K7441" s="17"/>
      <c r="N7441" s="17"/>
    </row>
    <row r="7442">
      <c r="B7442" s="11">
        <f>IFERROR(__xludf.DUMMYFUNCTION("""COMPUTED_VALUE"""),35607.0)</f>
        <v>35607</v>
      </c>
      <c r="C7442" s="9">
        <f>IFERROR(__xludf.DUMMYFUNCTION("""COMPUTED_VALUE"""),6.5)</f>
        <v>6.5</v>
      </c>
      <c r="H7442" s="17"/>
      <c r="K7442" s="17"/>
      <c r="N7442" s="17"/>
    </row>
    <row r="7443">
      <c r="B7443" s="11">
        <f>IFERROR(__xludf.DUMMYFUNCTION("""COMPUTED_VALUE"""),35606.0)</f>
        <v>35606</v>
      </c>
      <c r="C7443" s="9">
        <f>IFERROR(__xludf.DUMMYFUNCTION("""COMPUTED_VALUE"""),6.45)</f>
        <v>6.45</v>
      </c>
      <c r="H7443" s="17"/>
      <c r="K7443" s="17"/>
      <c r="N7443" s="17"/>
    </row>
    <row r="7444">
      <c r="B7444" s="11">
        <f>IFERROR(__xludf.DUMMYFUNCTION("""COMPUTED_VALUE"""),35605.0)</f>
        <v>35605</v>
      </c>
      <c r="C7444" s="9">
        <f>IFERROR(__xludf.DUMMYFUNCTION("""COMPUTED_VALUE"""),6.42)</f>
        <v>6.42</v>
      </c>
      <c r="H7444" s="17"/>
      <c r="K7444" s="17"/>
      <c r="N7444" s="17"/>
    </row>
    <row r="7445">
      <c r="B7445" s="11">
        <f>IFERROR(__xludf.DUMMYFUNCTION("""COMPUTED_VALUE"""),35604.0)</f>
        <v>35604</v>
      </c>
      <c r="C7445" s="9">
        <f>IFERROR(__xludf.DUMMYFUNCTION("""COMPUTED_VALUE"""),6.4)</f>
        <v>6.4</v>
      </c>
      <c r="H7445" s="17"/>
      <c r="K7445" s="17"/>
      <c r="N7445" s="17"/>
    </row>
    <row r="7446">
      <c r="B7446" s="11">
        <f>IFERROR(__xludf.DUMMYFUNCTION("""COMPUTED_VALUE"""),35601.0)</f>
        <v>35601</v>
      </c>
      <c r="C7446" s="9">
        <f>IFERROR(__xludf.DUMMYFUNCTION("""COMPUTED_VALUE"""),6.37)</f>
        <v>6.37</v>
      </c>
      <c r="H7446" s="17"/>
      <c r="K7446" s="17"/>
      <c r="N7446" s="17"/>
    </row>
    <row r="7447">
      <c r="B7447" s="11">
        <f>IFERROR(__xludf.DUMMYFUNCTION("""COMPUTED_VALUE"""),35600.0)</f>
        <v>35600</v>
      </c>
      <c r="C7447" s="9">
        <f>IFERROR(__xludf.DUMMYFUNCTION("""COMPUTED_VALUE"""),6.4)</f>
        <v>6.4</v>
      </c>
      <c r="H7447" s="17"/>
      <c r="K7447" s="17"/>
      <c r="N7447" s="17"/>
    </row>
    <row r="7448">
      <c r="B7448" s="11">
        <f>IFERROR(__xludf.DUMMYFUNCTION("""COMPUTED_VALUE"""),35599.0)</f>
        <v>35599</v>
      </c>
      <c r="C7448" s="9">
        <f>IFERROR(__xludf.DUMMYFUNCTION("""COMPUTED_VALUE"""),6.4)</f>
        <v>6.4</v>
      </c>
      <c r="H7448" s="17"/>
      <c r="K7448" s="17"/>
      <c r="N7448" s="17"/>
    </row>
    <row r="7449">
      <c r="B7449" s="11">
        <f>IFERROR(__xludf.DUMMYFUNCTION("""COMPUTED_VALUE"""),35598.0)</f>
        <v>35598</v>
      </c>
      <c r="C7449" s="9">
        <f>IFERROR(__xludf.DUMMYFUNCTION("""COMPUTED_VALUE"""),6.43)</f>
        <v>6.43</v>
      </c>
      <c r="H7449" s="17"/>
      <c r="K7449" s="17"/>
      <c r="N7449" s="17"/>
    </row>
    <row r="7450">
      <c r="B7450" s="11">
        <f>IFERROR(__xludf.DUMMYFUNCTION("""COMPUTED_VALUE"""),35597.0)</f>
        <v>35597</v>
      </c>
      <c r="C7450" s="9">
        <f>IFERROR(__xludf.DUMMYFUNCTION("""COMPUTED_VALUE"""),6.4)</f>
        <v>6.4</v>
      </c>
      <c r="H7450" s="17"/>
      <c r="K7450" s="17"/>
      <c r="N7450" s="17"/>
    </row>
    <row r="7451">
      <c r="B7451" s="11">
        <f>IFERROR(__xludf.DUMMYFUNCTION("""COMPUTED_VALUE"""),35594.0)</f>
        <v>35594</v>
      </c>
      <c r="C7451" s="9">
        <f>IFERROR(__xludf.DUMMYFUNCTION("""COMPUTED_VALUE"""),6.43)</f>
        <v>6.43</v>
      </c>
      <c r="H7451" s="17"/>
      <c r="K7451" s="17"/>
      <c r="N7451" s="17"/>
    </row>
    <row r="7452">
      <c r="B7452" s="11">
        <f>IFERROR(__xludf.DUMMYFUNCTION("""COMPUTED_VALUE"""),35593.0)</f>
        <v>35593</v>
      </c>
      <c r="C7452" s="9">
        <f>IFERROR(__xludf.DUMMYFUNCTION("""COMPUTED_VALUE"""),6.48)</f>
        <v>6.48</v>
      </c>
      <c r="H7452" s="17"/>
      <c r="K7452" s="17"/>
      <c r="N7452" s="17"/>
    </row>
    <row r="7453">
      <c r="B7453" s="11">
        <f>IFERROR(__xludf.DUMMYFUNCTION("""COMPUTED_VALUE"""),35592.0)</f>
        <v>35592</v>
      </c>
      <c r="C7453" s="9">
        <f>IFERROR(__xludf.DUMMYFUNCTION("""COMPUTED_VALUE"""),6.56)</f>
        <v>6.56</v>
      </c>
      <c r="H7453" s="17"/>
      <c r="K7453" s="17"/>
      <c r="N7453" s="17"/>
    </row>
    <row r="7454">
      <c r="B7454" s="11">
        <f>IFERROR(__xludf.DUMMYFUNCTION("""COMPUTED_VALUE"""),35591.0)</f>
        <v>35591</v>
      </c>
      <c r="C7454" s="9">
        <f>IFERROR(__xludf.DUMMYFUNCTION("""COMPUTED_VALUE"""),6.57)</f>
        <v>6.57</v>
      </c>
      <c r="H7454" s="17"/>
      <c r="K7454" s="17"/>
      <c r="N7454" s="17"/>
    </row>
    <row r="7455">
      <c r="B7455" s="11">
        <f>IFERROR(__xludf.DUMMYFUNCTION("""COMPUTED_VALUE"""),35590.0)</f>
        <v>35590</v>
      </c>
      <c r="C7455" s="9">
        <f>IFERROR(__xludf.DUMMYFUNCTION("""COMPUTED_VALUE"""),6.55)</f>
        <v>6.55</v>
      </c>
      <c r="H7455" s="17"/>
      <c r="K7455" s="17"/>
      <c r="N7455" s="17"/>
    </row>
    <row r="7456">
      <c r="B7456" s="11">
        <f>IFERROR(__xludf.DUMMYFUNCTION("""COMPUTED_VALUE"""),35587.0)</f>
        <v>35587</v>
      </c>
      <c r="C7456" s="9">
        <f>IFERROR(__xludf.DUMMYFUNCTION("""COMPUTED_VALUE"""),6.51)</f>
        <v>6.51</v>
      </c>
      <c r="H7456" s="17"/>
      <c r="K7456" s="17"/>
      <c r="N7456" s="17"/>
    </row>
    <row r="7457">
      <c r="B7457" s="11">
        <f>IFERROR(__xludf.DUMMYFUNCTION("""COMPUTED_VALUE"""),35586.0)</f>
        <v>35586</v>
      </c>
      <c r="C7457" s="9">
        <f>IFERROR(__xludf.DUMMYFUNCTION("""COMPUTED_VALUE"""),6.62)</f>
        <v>6.62</v>
      </c>
      <c r="H7457" s="17"/>
      <c r="K7457" s="17"/>
      <c r="N7457" s="17"/>
    </row>
    <row r="7458">
      <c r="B7458" s="11">
        <f>IFERROR(__xludf.DUMMYFUNCTION("""COMPUTED_VALUE"""),35585.0)</f>
        <v>35585</v>
      </c>
      <c r="C7458" s="9">
        <f>IFERROR(__xludf.DUMMYFUNCTION("""COMPUTED_VALUE"""),6.62)</f>
        <v>6.62</v>
      </c>
      <c r="H7458" s="17"/>
      <c r="K7458" s="17"/>
      <c r="N7458" s="17"/>
    </row>
    <row r="7459">
      <c r="B7459" s="11">
        <f>IFERROR(__xludf.DUMMYFUNCTION("""COMPUTED_VALUE"""),35584.0)</f>
        <v>35584</v>
      </c>
      <c r="C7459" s="9">
        <f>IFERROR(__xludf.DUMMYFUNCTION("""COMPUTED_VALUE"""),6.63)</f>
        <v>6.63</v>
      </c>
      <c r="H7459" s="17"/>
      <c r="K7459" s="17"/>
      <c r="N7459" s="17"/>
    </row>
    <row r="7460">
      <c r="B7460" s="11">
        <f>IFERROR(__xludf.DUMMYFUNCTION("""COMPUTED_VALUE"""),35583.0)</f>
        <v>35583</v>
      </c>
      <c r="C7460" s="9">
        <f>IFERROR(__xludf.DUMMYFUNCTION("""COMPUTED_VALUE"""),6.66)</f>
        <v>6.66</v>
      </c>
      <c r="H7460" s="17"/>
      <c r="K7460" s="17"/>
      <c r="N7460" s="17"/>
    </row>
    <row r="7461">
      <c r="B7461" s="11">
        <f>IFERROR(__xludf.DUMMYFUNCTION("""COMPUTED_VALUE"""),35580.0)</f>
        <v>35580</v>
      </c>
      <c r="C7461" s="9">
        <f>IFERROR(__xludf.DUMMYFUNCTION("""COMPUTED_VALUE"""),6.67)</f>
        <v>6.67</v>
      </c>
      <c r="H7461" s="17"/>
      <c r="K7461" s="17"/>
      <c r="N7461" s="17"/>
    </row>
    <row r="7462">
      <c r="B7462" s="11">
        <f>IFERROR(__xludf.DUMMYFUNCTION("""COMPUTED_VALUE"""),35579.0)</f>
        <v>35579</v>
      </c>
      <c r="C7462" s="9">
        <f>IFERROR(__xludf.DUMMYFUNCTION("""COMPUTED_VALUE"""),6.75)</f>
        <v>6.75</v>
      </c>
      <c r="H7462" s="17"/>
      <c r="K7462" s="17"/>
      <c r="N7462" s="17"/>
    </row>
    <row r="7463">
      <c r="B7463" s="11">
        <f>IFERROR(__xludf.DUMMYFUNCTION("""COMPUTED_VALUE"""),35578.0)</f>
        <v>35578</v>
      </c>
      <c r="C7463" s="9">
        <f>IFERROR(__xludf.DUMMYFUNCTION("""COMPUTED_VALUE"""),6.8)</f>
        <v>6.8</v>
      </c>
      <c r="H7463" s="17"/>
      <c r="K7463" s="17"/>
      <c r="N7463" s="17"/>
    </row>
    <row r="7464">
      <c r="B7464" s="11">
        <f>IFERROR(__xludf.DUMMYFUNCTION("""COMPUTED_VALUE"""),35577.0)</f>
        <v>35577</v>
      </c>
      <c r="C7464" s="9">
        <f>IFERROR(__xludf.DUMMYFUNCTION("""COMPUTED_VALUE"""),6.79)</f>
        <v>6.79</v>
      </c>
      <c r="H7464" s="17"/>
      <c r="K7464" s="17"/>
      <c r="N7464" s="17"/>
    </row>
    <row r="7465">
      <c r="B7465" s="11">
        <f>IFERROR(__xludf.DUMMYFUNCTION("""COMPUTED_VALUE"""),35576.0)</f>
        <v>35576</v>
      </c>
      <c r="C7465" s="9"/>
      <c r="H7465" s="17"/>
      <c r="K7465" s="17"/>
      <c r="N7465" s="17"/>
    </row>
    <row r="7466">
      <c r="B7466" s="11">
        <f>IFERROR(__xludf.DUMMYFUNCTION("""COMPUTED_VALUE"""),35573.0)</f>
        <v>35573</v>
      </c>
      <c r="C7466" s="9">
        <f>IFERROR(__xludf.DUMMYFUNCTION("""COMPUTED_VALUE"""),6.74)</f>
        <v>6.74</v>
      </c>
      <c r="H7466" s="17"/>
      <c r="K7466" s="17"/>
      <c r="N7466" s="17"/>
    </row>
    <row r="7467">
      <c r="B7467" s="11">
        <f>IFERROR(__xludf.DUMMYFUNCTION("""COMPUTED_VALUE"""),35572.0)</f>
        <v>35572</v>
      </c>
      <c r="C7467" s="9">
        <f>IFERROR(__xludf.DUMMYFUNCTION("""COMPUTED_VALUE"""),6.76)</f>
        <v>6.76</v>
      </c>
      <c r="H7467" s="17"/>
      <c r="K7467" s="17"/>
      <c r="N7467" s="17"/>
    </row>
    <row r="7468">
      <c r="B7468" s="11">
        <f>IFERROR(__xludf.DUMMYFUNCTION("""COMPUTED_VALUE"""),35571.0)</f>
        <v>35571</v>
      </c>
      <c r="C7468" s="9">
        <f>IFERROR(__xludf.DUMMYFUNCTION("""COMPUTED_VALUE"""),6.74)</f>
        <v>6.74</v>
      </c>
      <c r="H7468" s="17"/>
      <c r="K7468" s="17"/>
      <c r="N7468" s="17"/>
    </row>
    <row r="7469">
      <c r="B7469" s="11">
        <f>IFERROR(__xludf.DUMMYFUNCTION("""COMPUTED_VALUE"""),35570.0)</f>
        <v>35570</v>
      </c>
      <c r="C7469" s="9">
        <f>IFERROR(__xludf.DUMMYFUNCTION("""COMPUTED_VALUE"""),6.7)</f>
        <v>6.7</v>
      </c>
      <c r="H7469" s="17"/>
      <c r="K7469" s="17"/>
      <c r="N7469" s="17"/>
    </row>
    <row r="7470">
      <c r="B7470" s="11">
        <f>IFERROR(__xludf.DUMMYFUNCTION("""COMPUTED_VALUE"""),35569.0)</f>
        <v>35569</v>
      </c>
      <c r="C7470" s="9">
        <f>IFERROR(__xludf.DUMMYFUNCTION("""COMPUTED_VALUE"""),6.71)</f>
        <v>6.71</v>
      </c>
      <c r="H7470" s="17"/>
      <c r="K7470" s="17"/>
      <c r="N7470" s="17"/>
    </row>
    <row r="7471">
      <c r="B7471" s="11">
        <f>IFERROR(__xludf.DUMMYFUNCTION("""COMPUTED_VALUE"""),35566.0)</f>
        <v>35566</v>
      </c>
      <c r="C7471" s="9">
        <f>IFERROR(__xludf.DUMMYFUNCTION("""COMPUTED_VALUE"""),6.7)</f>
        <v>6.7</v>
      </c>
      <c r="H7471" s="17"/>
      <c r="K7471" s="17"/>
      <c r="N7471" s="17"/>
    </row>
    <row r="7472">
      <c r="B7472" s="11">
        <f>IFERROR(__xludf.DUMMYFUNCTION("""COMPUTED_VALUE"""),35565.0)</f>
        <v>35565</v>
      </c>
      <c r="C7472" s="9">
        <f>IFERROR(__xludf.DUMMYFUNCTION("""COMPUTED_VALUE"""),6.67)</f>
        <v>6.67</v>
      </c>
      <c r="H7472" s="17"/>
      <c r="K7472" s="17"/>
      <c r="N7472" s="17"/>
    </row>
    <row r="7473">
      <c r="B7473" s="11">
        <f>IFERROR(__xludf.DUMMYFUNCTION("""COMPUTED_VALUE"""),35564.0)</f>
        <v>35564</v>
      </c>
      <c r="C7473" s="9">
        <f>IFERROR(__xludf.DUMMYFUNCTION("""COMPUTED_VALUE"""),6.68)</f>
        <v>6.68</v>
      </c>
      <c r="H7473" s="17"/>
      <c r="K7473" s="17"/>
      <c r="N7473" s="17"/>
    </row>
    <row r="7474">
      <c r="B7474" s="11">
        <f>IFERROR(__xludf.DUMMYFUNCTION("""COMPUTED_VALUE"""),35563.0)</f>
        <v>35563</v>
      </c>
      <c r="C7474" s="9">
        <f>IFERROR(__xludf.DUMMYFUNCTION("""COMPUTED_VALUE"""),6.71)</f>
        <v>6.71</v>
      </c>
      <c r="H7474" s="17"/>
      <c r="K7474" s="17"/>
      <c r="N7474" s="17"/>
    </row>
    <row r="7475">
      <c r="B7475" s="11">
        <f>IFERROR(__xludf.DUMMYFUNCTION("""COMPUTED_VALUE"""),35562.0)</f>
        <v>35562</v>
      </c>
      <c r="C7475" s="9">
        <f>IFERROR(__xludf.DUMMYFUNCTION("""COMPUTED_VALUE"""),6.65)</f>
        <v>6.65</v>
      </c>
      <c r="H7475" s="17"/>
      <c r="K7475" s="17"/>
      <c r="N7475" s="17"/>
    </row>
    <row r="7476">
      <c r="B7476" s="11">
        <f>IFERROR(__xludf.DUMMYFUNCTION("""COMPUTED_VALUE"""),35559.0)</f>
        <v>35559</v>
      </c>
      <c r="C7476" s="9">
        <f>IFERROR(__xludf.DUMMYFUNCTION("""COMPUTED_VALUE"""),6.67)</f>
        <v>6.67</v>
      </c>
      <c r="H7476" s="17"/>
      <c r="K7476" s="17"/>
      <c r="N7476" s="17"/>
    </row>
    <row r="7477">
      <c r="B7477" s="11">
        <f>IFERROR(__xludf.DUMMYFUNCTION("""COMPUTED_VALUE"""),35558.0)</f>
        <v>35558</v>
      </c>
      <c r="C7477" s="9">
        <f>IFERROR(__xludf.DUMMYFUNCTION("""COMPUTED_VALUE"""),6.72)</f>
        <v>6.72</v>
      </c>
      <c r="H7477" s="17"/>
      <c r="K7477" s="17"/>
      <c r="N7477" s="17"/>
    </row>
    <row r="7478">
      <c r="B7478" s="11">
        <f>IFERROR(__xludf.DUMMYFUNCTION("""COMPUTED_VALUE"""),35557.0)</f>
        <v>35557</v>
      </c>
      <c r="C7478" s="9">
        <f>IFERROR(__xludf.DUMMYFUNCTION("""COMPUTED_VALUE"""),6.76)</f>
        <v>6.76</v>
      </c>
      <c r="H7478" s="17"/>
      <c r="K7478" s="17"/>
      <c r="N7478" s="17"/>
    </row>
    <row r="7479">
      <c r="B7479" s="11">
        <f>IFERROR(__xludf.DUMMYFUNCTION("""COMPUTED_VALUE"""),35556.0)</f>
        <v>35556</v>
      </c>
      <c r="C7479" s="9">
        <f>IFERROR(__xludf.DUMMYFUNCTION("""COMPUTED_VALUE"""),6.67)</f>
        <v>6.67</v>
      </c>
      <c r="H7479" s="17"/>
      <c r="K7479" s="17"/>
      <c r="N7479" s="17"/>
    </row>
    <row r="7480">
      <c r="B7480" s="11">
        <f>IFERROR(__xludf.DUMMYFUNCTION("""COMPUTED_VALUE"""),35555.0)</f>
        <v>35555</v>
      </c>
      <c r="C7480" s="9">
        <f>IFERROR(__xludf.DUMMYFUNCTION("""COMPUTED_VALUE"""),6.67)</f>
        <v>6.67</v>
      </c>
      <c r="H7480" s="17"/>
      <c r="K7480" s="17"/>
      <c r="N7480" s="17"/>
    </row>
    <row r="7481">
      <c r="B7481" s="11">
        <f>IFERROR(__xludf.DUMMYFUNCTION("""COMPUTED_VALUE"""),35552.0)</f>
        <v>35552</v>
      </c>
      <c r="C7481" s="9">
        <f>IFERROR(__xludf.DUMMYFUNCTION("""COMPUTED_VALUE"""),6.68)</f>
        <v>6.68</v>
      </c>
      <c r="H7481" s="17"/>
      <c r="K7481" s="17"/>
      <c r="N7481" s="17"/>
    </row>
    <row r="7482">
      <c r="B7482" s="11">
        <f>IFERROR(__xludf.DUMMYFUNCTION("""COMPUTED_VALUE"""),35551.0)</f>
        <v>35551</v>
      </c>
      <c r="C7482" s="9">
        <f>IFERROR(__xludf.DUMMYFUNCTION("""COMPUTED_VALUE"""),6.69)</f>
        <v>6.69</v>
      </c>
      <c r="H7482" s="17"/>
      <c r="K7482" s="17"/>
      <c r="N7482" s="17"/>
    </row>
    <row r="7483">
      <c r="B7483" s="11">
        <f>IFERROR(__xludf.DUMMYFUNCTION("""COMPUTED_VALUE"""),35550.0)</f>
        <v>35550</v>
      </c>
      <c r="C7483" s="9">
        <f>IFERROR(__xludf.DUMMYFUNCTION("""COMPUTED_VALUE"""),6.72)</f>
        <v>6.72</v>
      </c>
      <c r="H7483" s="17"/>
      <c r="K7483" s="17"/>
      <c r="N7483" s="17"/>
    </row>
    <row r="7484">
      <c r="B7484" s="11">
        <f>IFERROR(__xludf.DUMMYFUNCTION("""COMPUTED_VALUE"""),35549.0)</f>
        <v>35549</v>
      </c>
      <c r="C7484" s="9">
        <f>IFERROR(__xludf.DUMMYFUNCTION("""COMPUTED_VALUE"""),6.77)</f>
        <v>6.77</v>
      </c>
      <c r="H7484" s="17"/>
      <c r="K7484" s="17"/>
      <c r="N7484" s="17"/>
    </row>
    <row r="7485">
      <c r="B7485" s="11">
        <f>IFERROR(__xludf.DUMMYFUNCTION("""COMPUTED_VALUE"""),35548.0)</f>
        <v>35548</v>
      </c>
      <c r="C7485" s="9">
        <f>IFERROR(__xludf.DUMMYFUNCTION("""COMPUTED_VALUE"""),6.92)</f>
        <v>6.92</v>
      </c>
      <c r="H7485" s="17"/>
      <c r="K7485" s="17"/>
      <c r="N7485" s="17"/>
    </row>
    <row r="7486">
      <c r="B7486" s="11">
        <f>IFERROR(__xludf.DUMMYFUNCTION("""COMPUTED_VALUE"""),35545.0)</f>
        <v>35545</v>
      </c>
      <c r="C7486" s="9">
        <f>IFERROR(__xludf.DUMMYFUNCTION("""COMPUTED_VALUE"""),6.94)</f>
        <v>6.94</v>
      </c>
      <c r="H7486" s="17"/>
      <c r="K7486" s="17"/>
      <c r="N7486" s="17"/>
    </row>
    <row r="7487">
      <c r="B7487" s="11">
        <f>IFERROR(__xludf.DUMMYFUNCTION("""COMPUTED_VALUE"""),35544.0)</f>
        <v>35544</v>
      </c>
      <c r="C7487" s="9">
        <f>IFERROR(__xludf.DUMMYFUNCTION("""COMPUTED_VALUE"""),6.93)</f>
        <v>6.93</v>
      </c>
      <c r="H7487" s="17"/>
      <c r="K7487" s="17"/>
      <c r="N7487" s="17"/>
    </row>
    <row r="7488">
      <c r="B7488" s="11">
        <f>IFERROR(__xludf.DUMMYFUNCTION("""COMPUTED_VALUE"""),35543.0)</f>
        <v>35543</v>
      </c>
      <c r="C7488" s="9">
        <f>IFERROR(__xludf.DUMMYFUNCTION("""COMPUTED_VALUE"""),6.89)</f>
        <v>6.89</v>
      </c>
      <c r="H7488" s="17"/>
      <c r="K7488" s="17"/>
      <c r="N7488" s="17"/>
    </row>
    <row r="7489">
      <c r="B7489" s="11">
        <f>IFERROR(__xludf.DUMMYFUNCTION("""COMPUTED_VALUE"""),35542.0)</f>
        <v>35542</v>
      </c>
      <c r="C7489" s="9">
        <f>IFERROR(__xludf.DUMMYFUNCTION("""COMPUTED_VALUE"""),6.84)</f>
        <v>6.84</v>
      </c>
      <c r="H7489" s="17"/>
      <c r="K7489" s="17"/>
      <c r="N7489" s="17"/>
    </row>
    <row r="7490">
      <c r="B7490" s="11">
        <f>IFERROR(__xludf.DUMMYFUNCTION("""COMPUTED_VALUE"""),35541.0)</f>
        <v>35541</v>
      </c>
      <c r="C7490" s="9">
        <f>IFERROR(__xludf.DUMMYFUNCTION("""COMPUTED_VALUE"""),6.87)</f>
        <v>6.87</v>
      </c>
      <c r="H7490" s="17"/>
      <c r="K7490" s="17"/>
      <c r="N7490" s="17"/>
    </row>
    <row r="7491">
      <c r="B7491" s="11">
        <f>IFERROR(__xludf.DUMMYFUNCTION("""COMPUTED_VALUE"""),35538.0)</f>
        <v>35538</v>
      </c>
      <c r="C7491" s="9">
        <f>IFERROR(__xludf.DUMMYFUNCTION("""COMPUTED_VALUE"""),6.84)</f>
        <v>6.84</v>
      </c>
      <c r="H7491" s="17"/>
      <c r="K7491" s="17"/>
      <c r="N7491" s="17"/>
    </row>
    <row r="7492">
      <c r="B7492" s="11">
        <f>IFERROR(__xludf.DUMMYFUNCTION("""COMPUTED_VALUE"""),35537.0)</f>
        <v>35537</v>
      </c>
      <c r="C7492" s="9">
        <f>IFERROR(__xludf.DUMMYFUNCTION("""COMPUTED_VALUE"""),6.86)</f>
        <v>6.86</v>
      </c>
      <c r="H7492" s="17"/>
      <c r="K7492" s="17"/>
      <c r="N7492" s="17"/>
    </row>
    <row r="7493">
      <c r="B7493" s="11">
        <f>IFERROR(__xludf.DUMMYFUNCTION("""COMPUTED_VALUE"""),35536.0)</f>
        <v>35536</v>
      </c>
      <c r="C7493" s="9">
        <f>IFERROR(__xludf.DUMMYFUNCTION("""COMPUTED_VALUE"""),6.9)</f>
        <v>6.9</v>
      </c>
      <c r="H7493" s="17"/>
      <c r="K7493" s="17"/>
      <c r="N7493" s="17"/>
    </row>
    <row r="7494">
      <c r="B7494" s="11">
        <f>IFERROR(__xludf.DUMMYFUNCTION("""COMPUTED_VALUE"""),35535.0)</f>
        <v>35535</v>
      </c>
      <c r="C7494" s="9">
        <f>IFERROR(__xludf.DUMMYFUNCTION("""COMPUTED_VALUE"""),6.88)</f>
        <v>6.88</v>
      </c>
      <c r="H7494" s="17"/>
      <c r="K7494" s="17"/>
      <c r="N7494" s="17"/>
    </row>
    <row r="7495">
      <c r="B7495" s="11">
        <f>IFERROR(__xludf.DUMMYFUNCTION("""COMPUTED_VALUE"""),35534.0)</f>
        <v>35534</v>
      </c>
      <c r="C7495" s="9">
        <f>IFERROR(__xludf.DUMMYFUNCTION("""COMPUTED_VALUE"""),6.98)</f>
        <v>6.98</v>
      </c>
      <c r="H7495" s="17"/>
      <c r="K7495" s="17"/>
      <c r="N7495" s="17"/>
    </row>
    <row r="7496">
      <c r="B7496" s="11">
        <f>IFERROR(__xludf.DUMMYFUNCTION("""COMPUTED_VALUE"""),35531.0)</f>
        <v>35531</v>
      </c>
      <c r="C7496" s="9">
        <f>IFERROR(__xludf.DUMMYFUNCTION("""COMPUTED_VALUE"""),6.98)</f>
        <v>6.98</v>
      </c>
      <c r="H7496" s="17"/>
      <c r="K7496" s="17"/>
      <c r="N7496" s="17"/>
    </row>
    <row r="7497">
      <c r="B7497" s="11">
        <f>IFERROR(__xludf.DUMMYFUNCTION("""COMPUTED_VALUE"""),35530.0)</f>
        <v>35530</v>
      </c>
      <c r="C7497" s="9">
        <f>IFERROR(__xludf.DUMMYFUNCTION("""COMPUTED_VALUE"""),6.91)</f>
        <v>6.91</v>
      </c>
      <c r="H7497" s="17"/>
      <c r="K7497" s="17"/>
      <c r="N7497" s="17"/>
    </row>
    <row r="7498">
      <c r="B7498" s="11">
        <f>IFERROR(__xludf.DUMMYFUNCTION("""COMPUTED_VALUE"""),35529.0)</f>
        <v>35529</v>
      </c>
      <c r="C7498" s="9">
        <f>IFERROR(__xludf.DUMMYFUNCTION("""COMPUTED_VALUE"""),6.91)</f>
        <v>6.91</v>
      </c>
      <c r="H7498" s="17"/>
      <c r="K7498" s="17"/>
      <c r="N7498" s="17"/>
    </row>
    <row r="7499">
      <c r="B7499" s="11">
        <f>IFERROR(__xludf.DUMMYFUNCTION("""COMPUTED_VALUE"""),35528.0)</f>
        <v>35528</v>
      </c>
      <c r="C7499" s="9">
        <f>IFERROR(__xludf.DUMMYFUNCTION("""COMPUTED_VALUE"""),6.91)</f>
        <v>6.91</v>
      </c>
      <c r="H7499" s="17"/>
      <c r="K7499" s="17"/>
      <c r="N7499" s="17"/>
    </row>
    <row r="7500">
      <c r="B7500" s="11">
        <f>IFERROR(__xludf.DUMMYFUNCTION("""COMPUTED_VALUE"""),35527.0)</f>
        <v>35527</v>
      </c>
      <c r="C7500" s="9">
        <f>IFERROR(__xludf.DUMMYFUNCTION("""COMPUTED_VALUE"""),6.87)</f>
        <v>6.87</v>
      </c>
      <c r="H7500" s="17"/>
      <c r="K7500" s="17"/>
      <c r="N7500" s="17"/>
    </row>
    <row r="7501">
      <c r="B7501" s="11">
        <f>IFERROR(__xludf.DUMMYFUNCTION("""COMPUTED_VALUE"""),35524.0)</f>
        <v>35524</v>
      </c>
      <c r="C7501" s="9">
        <f>IFERROR(__xludf.DUMMYFUNCTION("""COMPUTED_VALUE"""),6.92)</f>
        <v>6.92</v>
      </c>
      <c r="H7501" s="17"/>
      <c r="K7501" s="17"/>
      <c r="N7501" s="17"/>
    </row>
    <row r="7502">
      <c r="B7502" s="11">
        <f>IFERROR(__xludf.DUMMYFUNCTION("""COMPUTED_VALUE"""),35523.0)</f>
        <v>35523</v>
      </c>
      <c r="C7502" s="9">
        <f>IFERROR(__xludf.DUMMYFUNCTION("""COMPUTED_VALUE"""),6.86)</f>
        <v>6.86</v>
      </c>
      <c r="H7502" s="17"/>
      <c r="K7502" s="17"/>
      <c r="N7502" s="17"/>
    </row>
    <row r="7503">
      <c r="B7503" s="11">
        <f>IFERROR(__xludf.DUMMYFUNCTION("""COMPUTED_VALUE"""),35522.0)</f>
        <v>35522</v>
      </c>
      <c r="C7503" s="9">
        <f>IFERROR(__xludf.DUMMYFUNCTION("""COMPUTED_VALUE"""),6.88)</f>
        <v>6.88</v>
      </c>
      <c r="H7503" s="17"/>
      <c r="K7503" s="17"/>
      <c r="N7503" s="17"/>
    </row>
    <row r="7504">
      <c r="B7504" s="11">
        <f>IFERROR(__xludf.DUMMYFUNCTION("""COMPUTED_VALUE"""),35521.0)</f>
        <v>35521</v>
      </c>
      <c r="C7504" s="9">
        <f>IFERROR(__xludf.DUMMYFUNCTION("""COMPUTED_VALUE"""),6.9)</f>
        <v>6.9</v>
      </c>
      <c r="H7504" s="17"/>
      <c r="K7504" s="17"/>
      <c r="N7504" s="17"/>
    </row>
    <row r="7505">
      <c r="B7505" s="11">
        <f>IFERROR(__xludf.DUMMYFUNCTION("""COMPUTED_VALUE"""),35520.0)</f>
        <v>35520</v>
      </c>
      <c r="C7505" s="9">
        <f>IFERROR(__xludf.DUMMYFUNCTION("""COMPUTED_VALUE"""),6.92)</f>
        <v>6.92</v>
      </c>
      <c r="H7505" s="17"/>
      <c r="K7505" s="17"/>
      <c r="N7505" s="17"/>
    </row>
    <row r="7506">
      <c r="B7506" s="11">
        <f>IFERROR(__xludf.DUMMYFUNCTION("""COMPUTED_VALUE"""),35517.0)</f>
        <v>35517</v>
      </c>
      <c r="C7506" s="9"/>
      <c r="H7506" s="17"/>
      <c r="K7506" s="17"/>
      <c r="N7506" s="17"/>
    </row>
    <row r="7507">
      <c r="B7507" s="11">
        <f>IFERROR(__xludf.DUMMYFUNCTION("""COMPUTED_VALUE"""),35516.0)</f>
        <v>35516</v>
      </c>
      <c r="C7507" s="9">
        <f>IFERROR(__xludf.DUMMYFUNCTION("""COMPUTED_VALUE"""),6.9)</f>
        <v>6.9</v>
      </c>
      <c r="H7507" s="17"/>
      <c r="K7507" s="17"/>
      <c r="N7507" s="17"/>
    </row>
    <row r="7508">
      <c r="B7508" s="11">
        <f>IFERROR(__xludf.DUMMYFUNCTION("""COMPUTED_VALUE"""),35515.0)</f>
        <v>35515</v>
      </c>
      <c r="C7508" s="9">
        <f>IFERROR(__xludf.DUMMYFUNCTION("""COMPUTED_VALUE"""),6.8)</f>
        <v>6.8</v>
      </c>
      <c r="H7508" s="17"/>
      <c r="K7508" s="17"/>
      <c r="N7508" s="17"/>
    </row>
    <row r="7509">
      <c r="B7509" s="11">
        <f>IFERROR(__xludf.DUMMYFUNCTION("""COMPUTED_VALUE"""),35514.0)</f>
        <v>35514</v>
      </c>
      <c r="C7509" s="9">
        <f>IFERROR(__xludf.DUMMYFUNCTION("""COMPUTED_VALUE"""),6.75)</f>
        <v>6.75</v>
      </c>
      <c r="H7509" s="17"/>
      <c r="K7509" s="17"/>
      <c r="N7509" s="17"/>
    </row>
    <row r="7510">
      <c r="B7510" s="11">
        <f>IFERROR(__xludf.DUMMYFUNCTION("""COMPUTED_VALUE"""),35513.0)</f>
        <v>35513</v>
      </c>
      <c r="C7510" s="9">
        <f>IFERROR(__xludf.DUMMYFUNCTION("""COMPUTED_VALUE"""),6.72)</f>
        <v>6.72</v>
      </c>
      <c r="H7510" s="17"/>
      <c r="K7510" s="17"/>
      <c r="N7510" s="17"/>
    </row>
    <row r="7511">
      <c r="B7511" s="11">
        <f>IFERROR(__xludf.DUMMYFUNCTION("""COMPUTED_VALUE"""),35510.0)</f>
        <v>35510</v>
      </c>
      <c r="C7511" s="9">
        <f>IFERROR(__xludf.DUMMYFUNCTION("""COMPUTED_VALUE"""),6.74)</f>
        <v>6.74</v>
      </c>
      <c r="H7511" s="17"/>
      <c r="K7511" s="17"/>
      <c r="N7511" s="17"/>
    </row>
    <row r="7512">
      <c r="B7512" s="11">
        <f>IFERROR(__xludf.DUMMYFUNCTION("""COMPUTED_VALUE"""),35509.0)</f>
        <v>35509</v>
      </c>
      <c r="C7512" s="9">
        <f>IFERROR(__xludf.DUMMYFUNCTION("""COMPUTED_VALUE"""),6.75)</f>
        <v>6.75</v>
      </c>
      <c r="H7512" s="17"/>
      <c r="K7512" s="17"/>
      <c r="N7512" s="17"/>
    </row>
    <row r="7513">
      <c r="B7513" s="11">
        <f>IFERROR(__xludf.DUMMYFUNCTION("""COMPUTED_VALUE"""),35508.0)</f>
        <v>35508</v>
      </c>
      <c r="C7513" s="9">
        <f>IFERROR(__xludf.DUMMYFUNCTION("""COMPUTED_VALUE"""),6.74)</f>
        <v>6.74</v>
      </c>
      <c r="H7513" s="17"/>
      <c r="K7513" s="17"/>
      <c r="N7513" s="17"/>
    </row>
    <row r="7514">
      <c r="B7514" s="11">
        <f>IFERROR(__xludf.DUMMYFUNCTION("""COMPUTED_VALUE"""),35507.0)</f>
        <v>35507</v>
      </c>
      <c r="C7514" s="9">
        <f>IFERROR(__xludf.DUMMYFUNCTION("""COMPUTED_VALUE"""),6.72)</f>
        <v>6.72</v>
      </c>
      <c r="H7514" s="17"/>
      <c r="K7514" s="17"/>
      <c r="N7514" s="17"/>
    </row>
    <row r="7515">
      <c r="B7515" s="11">
        <f>IFERROR(__xludf.DUMMYFUNCTION("""COMPUTED_VALUE"""),35506.0)</f>
        <v>35506</v>
      </c>
      <c r="C7515" s="9">
        <f>IFERROR(__xludf.DUMMYFUNCTION("""COMPUTED_VALUE"""),6.72)</f>
        <v>6.72</v>
      </c>
      <c r="H7515" s="17"/>
      <c r="K7515" s="17"/>
      <c r="N7515" s="17"/>
    </row>
    <row r="7516">
      <c r="B7516" s="11">
        <f>IFERROR(__xludf.DUMMYFUNCTION("""COMPUTED_VALUE"""),35503.0)</f>
        <v>35503</v>
      </c>
      <c r="C7516" s="9">
        <f>IFERROR(__xludf.DUMMYFUNCTION("""COMPUTED_VALUE"""),6.71)</f>
        <v>6.71</v>
      </c>
      <c r="H7516" s="17"/>
      <c r="K7516" s="17"/>
      <c r="N7516" s="17"/>
    </row>
    <row r="7517">
      <c r="B7517" s="11">
        <f>IFERROR(__xludf.DUMMYFUNCTION("""COMPUTED_VALUE"""),35502.0)</f>
        <v>35502</v>
      </c>
      <c r="C7517" s="9">
        <f>IFERROR(__xludf.DUMMYFUNCTION("""COMPUTED_VALUE"""),6.72)</f>
        <v>6.72</v>
      </c>
      <c r="H7517" s="17"/>
      <c r="K7517" s="17"/>
      <c r="N7517" s="17"/>
    </row>
    <row r="7518">
      <c r="B7518" s="11">
        <f>IFERROR(__xludf.DUMMYFUNCTION("""COMPUTED_VALUE"""),35501.0)</f>
        <v>35501</v>
      </c>
      <c r="C7518" s="9">
        <f>IFERROR(__xludf.DUMMYFUNCTION("""COMPUTED_VALUE"""),6.6)</f>
        <v>6.6</v>
      </c>
      <c r="H7518" s="17"/>
      <c r="K7518" s="17"/>
      <c r="N7518" s="17"/>
    </row>
    <row r="7519">
      <c r="B7519" s="11">
        <f>IFERROR(__xludf.DUMMYFUNCTION("""COMPUTED_VALUE"""),35500.0)</f>
        <v>35500</v>
      </c>
      <c r="C7519" s="9">
        <f>IFERROR(__xludf.DUMMYFUNCTION("""COMPUTED_VALUE"""),6.57)</f>
        <v>6.57</v>
      </c>
      <c r="H7519" s="17"/>
      <c r="K7519" s="17"/>
      <c r="N7519" s="17"/>
    </row>
    <row r="7520">
      <c r="B7520" s="11">
        <f>IFERROR(__xludf.DUMMYFUNCTION("""COMPUTED_VALUE"""),35499.0)</f>
        <v>35499</v>
      </c>
      <c r="C7520" s="9">
        <f>IFERROR(__xludf.DUMMYFUNCTION("""COMPUTED_VALUE"""),6.56)</f>
        <v>6.56</v>
      </c>
      <c r="H7520" s="17"/>
      <c r="K7520" s="17"/>
      <c r="N7520" s="17"/>
    </row>
    <row r="7521">
      <c r="B7521" s="11">
        <f>IFERROR(__xludf.DUMMYFUNCTION("""COMPUTED_VALUE"""),35496.0)</f>
        <v>35496</v>
      </c>
      <c r="C7521" s="9">
        <f>IFERROR(__xludf.DUMMYFUNCTION("""COMPUTED_VALUE"""),6.57)</f>
        <v>6.57</v>
      </c>
      <c r="H7521" s="17"/>
      <c r="K7521" s="17"/>
      <c r="N7521" s="17"/>
    </row>
    <row r="7522">
      <c r="B7522" s="11">
        <f>IFERROR(__xludf.DUMMYFUNCTION("""COMPUTED_VALUE"""),35495.0)</f>
        <v>35495</v>
      </c>
      <c r="C7522" s="9">
        <f>IFERROR(__xludf.DUMMYFUNCTION("""COMPUTED_VALUE"""),6.62)</f>
        <v>6.62</v>
      </c>
      <c r="H7522" s="17"/>
      <c r="K7522" s="17"/>
      <c r="N7522" s="17"/>
    </row>
    <row r="7523">
      <c r="B7523" s="11">
        <f>IFERROR(__xludf.DUMMYFUNCTION("""COMPUTED_VALUE"""),35494.0)</f>
        <v>35494</v>
      </c>
      <c r="C7523" s="9">
        <f>IFERROR(__xludf.DUMMYFUNCTION("""COMPUTED_VALUE"""),6.6)</f>
        <v>6.6</v>
      </c>
      <c r="H7523" s="17"/>
      <c r="K7523" s="17"/>
      <c r="N7523" s="17"/>
    </row>
    <row r="7524">
      <c r="B7524" s="11">
        <f>IFERROR(__xludf.DUMMYFUNCTION("""COMPUTED_VALUE"""),35493.0)</f>
        <v>35493</v>
      </c>
      <c r="C7524" s="9">
        <f>IFERROR(__xludf.DUMMYFUNCTION("""COMPUTED_VALUE"""),6.6)</f>
        <v>6.6</v>
      </c>
      <c r="H7524" s="17"/>
      <c r="K7524" s="17"/>
      <c r="N7524" s="17"/>
    </row>
    <row r="7525">
      <c r="B7525" s="11">
        <f>IFERROR(__xludf.DUMMYFUNCTION("""COMPUTED_VALUE"""),35492.0)</f>
        <v>35492</v>
      </c>
      <c r="C7525" s="9">
        <f>IFERROR(__xludf.DUMMYFUNCTION("""COMPUTED_VALUE"""),6.58)</f>
        <v>6.58</v>
      </c>
      <c r="H7525" s="17"/>
      <c r="K7525" s="17"/>
      <c r="N7525" s="17"/>
    </row>
    <row r="7526">
      <c r="B7526" s="11">
        <f>IFERROR(__xludf.DUMMYFUNCTION("""COMPUTED_VALUE"""),35489.0)</f>
        <v>35489</v>
      </c>
      <c r="C7526" s="9">
        <f>IFERROR(__xludf.DUMMYFUNCTION("""COMPUTED_VALUE"""),6.56)</f>
        <v>6.56</v>
      </c>
      <c r="H7526" s="17"/>
      <c r="K7526" s="17"/>
      <c r="N7526" s="17"/>
    </row>
    <row r="7527">
      <c r="B7527" s="11">
        <f>IFERROR(__xludf.DUMMYFUNCTION("""COMPUTED_VALUE"""),35488.0)</f>
        <v>35488</v>
      </c>
      <c r="C7527" s="9">
        <f>IFERROR(__xludf.DUMMYFUNCTION("""COMPUTED_VALUE"""),6.58)</f>
        <v>6.58</v>
      </c>
      <c r="H7527" s="17"/>
      <c r="K7527" s="17"/>
      <c r="N7527" s="17"/>
    </row>
    <row r="7528">
      <c r="B7528" s="11">
        <f>IFERROR(__xludf.DUMMYFUNCTION("""COMPUTED_VALUE"""),35487.0)</f>
        <v>35487</v>
      </c>
      <c r="C7528" s="9">
        <f>IFERROR(__xludf.DUMMYFUNCTION("""COMPUTED_VALUE"""),6.56)</f>
        <v>6.56</v>
      </c>
      <c r="H7528" s="17"/>
      <c r="K7528" s="17"/>
      <c r="N7528" s="17"/>
    </row>
    <row r="7529">
      <c r="B7529" s="11">
        <f>IFERROR(__xludf.DUMMYFUNCTION("""COMPUTED_VALUE"""),35486.0)</f>
        <v>35486</v>
      </c>
      <c r="C7529" s="9">
        <f>IFERROR(__xludf.DUMMYFUNCTION("""COMPUTED_VALUE"""),6.4)</f>
        <v>6.4</v>
      </c>
      <c r="H7529" s="17"/>
      <c r="K7529" s="17"/>
      <c r="N7529" s="17"/>
    </row>
    <row r="7530">
      <c r="B7530" s="11">
        <f>IFERROR(__xludf.DUMMYFUNCTION("""COMPUTED_VALUE"""),35485.0)</f>
        <v>35485</v>
      </c>
      <c r="C7530" s="9">
        <f>IFERROR(__xludf.DUMMYFUNCTION("""COMPUTED_VALUE"""),6.39)</f>
        <v>6.39</v>
      </c>
      <c r="H7530" s="17"/>
      <c r="K7530" s="17"/>
      <c r="N7530" s="17"/>
    </row>
    <row r="7531">
      <c r="B7531" s="11">
        <f>IFERROR(__xludf.DUMMYFUNCTION("""COMPUTED_VALUE"""),35482.0)</f>
        <v>35482</v>
      </c>
      <c r="C7531" s="9">
        <f>IFERROR(__xludf.DUMMYFUNCTION("""COMPUTED_VALUE"""),6.36)</f>
        <v>6.36</v>
      </c>
      <c r="H7531" s="17"/>
      <c r="K7531" s="17"/>
      <c r="N7531" s="17"/>
    </row>
    <row r="7532">
      <c r="B7532" s="11">
        <f>IFERROR(__xludf.DUMMYFUNCTION("""COMPUTED_VALUE"""),35481.0)</f>
        <v>35481</v>
      </c>
      <c r="C7532" s="9">
        <f>IFERROR(__xludf.DUMMYFUNCTION("""COMPUTED_VALUE"""),6.38)</f>
        <v>6.38</v>
      </c>
      <c r="H7532" s="17"/>
      <c r="K7532" s="17"/>
      <c r="N7532" s="17"/>
    </row>
    <row r="7533">
      <c r="B7533" s="11">
        <f>IFERROR(__xludf.DUMMYFUNCTION("""COMPUTED_VALUE"""),35480.0)</f>
        <v>35480</v>
      </c>
      <c r="C7533" s="9">
        <f>IFERROR(__xludf.DUMMYFUNCTION("""COMPUTED_VALUE"""),6.3)</f>
        <v>6.3</v>
      </c>
      <c r="H7533" s="17"/>
      <c r="K7533" s="17"/>
      <c r="N7533" s="17"/>
    </row>
    <row r="7534">
      <c r="B7534" s="11">
        <f>IFERROR(__xludf.DUMMYFUNCTION("""COMPUTED_VALUE"""),35479.0)</f>
        <v>35479</v>
      </c>
      <c r="C7534" s="9">
        <f>IFERROR(__xludf.DUMMYFUNCTION("""COMPUTED_VALUE"""),6.28)</f>
        <v>6.28</v>
      </c>
      <c r="H7534" s="17"/>
      <c r="K7534" s="17"/>
      <c r="N7534" s="17"/>
    </row>
    <row r="7535">
      <c r="B7535" s="11">
        <f>IFERROR(__xludf.DUMMYFUNCTION("""COMPUTED_VALUE"""),35478.0)</f>
        <v>35478</v>
      </c>
      <c r="C7535" s="9"/>
      <c r="H7535" s="17"/>
      <c r="K7535" s="17"/>
      <c r="N7535" s="17"/>
    </row>
    <row r="7536">
      <c r="B7536" s="11">
        <f>IFERROR(__xludf.DUMMYFUNCTION("""COMPUTED_VALUE"""),35475.0)</f>
        <v>35475</v>
      </c>
      <c r="C7536" s="9">
        <f>IFERROR(__xludf.DUMMYFUNCTION("""COMPUTED_VALUE"""),6.28)</f>
        <v>6.28</v>
      </c>
      <c r="H7536" s="17"/>
      <c r="K7536" s="17"/>
      <c r="N7536" s="17"/>
    </row>
    <row r="7537">
      <c r="B7537" s="11">
        <f>IFERROR(__xludf.DUMMYFUNCTION("""COMPUTED_VALUE"""),35474.0)</f>
        <v>35474</v>
      </c>
      <c r="C7537" s="9">
        <f>IFERROR(__xludf.DUMMYFUNCTION("""COMPUTED_VALUE"""),6.32)</f>
        <v>6.32</v>
      </c>
      <c r="H7537" s="17"/>
      <c r="K7537" s="17"/>
      <c r="N7537" s="17"/>
    </row>
    <row r="7538">
      <c r="B7538" s="11">
        <f>IFERROR(__xludf.DUMMYFUNCTION("""COMPUTED_VALUE"""),35473.0)</f>
        <v>35473</v>
      </c>
      <c r="C7538" s="9">
        <f>IFERROR(__xludf.DUMMYFUNCTION("""COMPUTED_VALUE"""),6.39)</f>
        <v>6.39</v>
      </c>
      <c r="H7538" s="17"/>
      <c r="K7538" s="17"/>
      <c r="N7538" s="17"/>
    </row>
    <row r="7539">
      <c r="B7539" s="11">
        <f>IFERROR(__xludf.DUMMYFUNCTION("""COMPUTED_VALUE"""),35472.0)</f>
        <v>35472</v>
      </c>
      <c r="C7539" s="9">
        <f>IFERROR(__xludf.DUMMYFUNCTION("""COMPUTED_VALUE"""),6.43)</f>
        <v>6.43</v>
      </c>
      <c r="H7539" s="17"/>
      <c r="K7539" s="17"/>
      <c r="N7539" s="17"/>
    </row>
    <row r="7540">
      <c r="B7540" s="11">
        <f>IFERROR(__xludf.DUMMYFUNCTION("""COMPUTED_VALUE"""),35471.0)</f>
        <v>35471</v>
      </c>
      <c r="C7540" s="9">
        <f>IFERROR(__xludf.DUMMYFUNCTION("""COMPUTED_VALUE"""),6.43)</f>
        <v>6.43</v>
      </c>
      <c r="H7540" s="17"/>
      <c r="K7540" s="17"/>
      <c r="N7540" s="17"/>
    </row>
    <row r="7541">
      <c r="B7541" s="11">
        <f>IFERROR(__xludf.DUMMYFUNCTION("""COMPUTED_VALUE"""),35468.0)</f>
        <v>35468</v>
      </c>
      <c r="C7541" s="9">
        <f>IFERROR(__xludf.DUMMYFUNCTION("""COMPUTED_VALUE"""),6.43)</f>
        <v>6.43</v>
      </c>
      <c r="H7541" s="17"/>
      <c r="K7541" s="17"/>
      <c r="N7541" s="17"/>
    </row>
    <row r="7542">
      <c r="B7542" s="11">
        <f>IFERROR(__xludf.DUMMYFUNCTION("""COMPUTED_VALUE"""),35467.0)</f>
        <v>35467</v>
      </c>
      <c r="C7542" s="9">
        <f>IFERROR(__xludf.DUMMYFUNCTION("""COMPUTED_VALUE"""),6.49)</f>
        <v>6.49</v>
      </c>
      <c r="H7542" s="17"/>
      <c r="K7542" s="17"/>
      <c r="N7542" s="17"/>
    </row>
    <row r="7543">
      <c r="B7543" s="11">
        <f>IFERROR(__xludf.DUMMYFUNCTION("""COMPUTED_VALUE"""),35466.0)</f>
        <v>35466</v>
      </c>
      <c r="C7543" s="9">
        <f>IFERROR(__xludf.DUMMYFUNCTION("""COMPUTED_VALUE"""),6.47)</f>
        <v>6.47</v>
      </c>
      <c r="H7543" s="17"/>
      <c r="K7543" s="17"/>
      <c r="N7543" s="17"/>
    </row>
    <row r="7544">
      <c r="B7544" s="11">
        <f>IFERROR(__xludf.DUMMYFUNCTION("""COMPUTED_VALUE"""),35465.0)</f>
        <v>35465</v>
      </c>
      <c r="C7544" s="9">
        <f>IFERROR(__xludf.DUMMYFUNCTION("""COMPUTED_VALUE"""),6.45)</f>
        <v>6.45</v>
      </c>
      <c r="H7544" s="17"/>
      <c r="K7544" s="17"/>
      <c r="N7544" s="17"/>
    </row>
    <row r="7545">
      <c r="B7545" s="11">
        <f>IFERROR(__xludf.DUMMYFUNCTION("""COMPUTED_VALUE"""),35464.0)</f>
        <v>35464</v>
      </c>
      <c r="C7545" s="9">
        <f>IFERROR(__xludf.DUMMYFUNCTION("""COMPUTED_VALUE"""),6.47)</f>
        <v>6.47</v>
      </c>
      <c r="H7545" s="17"/>
      <c r="K7545" s="17"/>
      <c r="N7545" s="17"/>
    </row>
    <row r="7546">
      <c r="B7546" s="11">
        <f>IFERROR(__xludf.DUMMYFUNCTION("""COMPUTED_VALUE"""),35461.0)</f>
        <v>35461</v>
      </c>
      <c r="C7546" s="9">
        <f>IFERROR(__xludf.DUMMYFUNCTION("""COMPUTED_VALUE"""),6.53)</f>
        <v>6.53</v>
      </c>
      <c r="H7546" s="17"/>
      <c r="K7546" s="17"/>
      <c r="N7546" s="17"/>
    </row>
    <row r="7547">
      <c r="B7547" s="11">
        <f>IFERROR(__xludf.DUMMYFUNCTION("""COMPUTED_VALUE"""),35460.0)</f>
        <v>35460</v>
      </c>
      <c r="C7547" s="9">
        <f>IFERROR(__xludf.DUMMYFUNCTION("""COMPUTED_VALUE"""),6.61)</f>
        <v>6.61</v>
      </c>
      <c r="H7547" s="17"/>
      <c r="K7547" s="17"/>
      <c r="N7547" s="17"/>
    </row>
    <row r="7548">
      <c r="B7548" s="11">
        <f>IFERROR(__xludf.DUMMYFUNCTION("""COMPUTED_VALUE"""),35459.0)</f>
        <v>35459</v>
      </c>
      <c r="C7548" s="9">
        <f>IFERROR(__xludf.DUMMYFUNCTION("""COMPUTED_VALUE"""),6.63)</f>
        <v>6.63</v>
      </c>
      <c r="H7548" s="17"/>
      <c r="K7548" s="17"/>
      <c r="N7548" s="17"/>
    </row>
    <row r="7549">
      <c r="B7549" s="11">
        <f>IFERROR(__xludf.DUMMYFUNCTION("""COMPUTED_VALUE"""),35458.0)</f>
        <v>35458</v>
      </c>
      <c r="C7549" s="9">
        <f>IFERROR(__xludf.DUMMYFUNCTION("""COMPUTED_VALUE"""),6.64)</f>
        <v>6.64</v>
      </c>
      <c r="H7549" s="17"/>
      <c r="K7549" s="17"/>
      <c r="N7549" s="17"/>
    </row>
    <row r="7550">
      <c r="B7550" s="11">
        <f>IFERROR(__xludf.DUMMYFUNCTION("""COMPUTED_VALUE"""),35457.0)</f>
        <v>35457</v>
      </c>
      <c r="C7550" s="9">
        <f>IFERROR(__xludf.DUMMYFUNCTION("""COMPUTED_VALUE"""),6.69)</f>
        <v>6.69</v>
      </c>
      <c r="H7550" s="17"/>
      <c r="K7550" s="17"/>
      <c r="N7550" s="17"/>
    </row>
    <row r="7551">
      <c r="B7551" s="11">
        <f>IFERROR(__xludf.DUMMYFUNCTION("""COMPUTED_VALUE"""),35454.0)</f>
        <v>35454</v>
      </c>
      <c r="C7551" s="9">
        <f>IFERROR(__xludf.DUMMYFUNCTION("""COMPUTED_VALUE"""),6.64)</f>
        <v>6.64</v>
      </c>
      <c r="H7551" s="17"/>
      <c r="K7551" s="17"/>
      <c r="N7551" s="17"/>
    </row>
    <row r="7552">
      <c r="B7552" s="11">
        <f>IFERROR(__xludf.DUMMYFUNCTION("""COMPUTED_VALUE"""),35453.0)</f>
        <v>35453</v>
      </c>
      <c r="C7552" s="9">
        <f>IFERROR(__xludf.DUMMYFUNCTION("""COMPUTED_VALUE"""),6.6)</f>
        <v>6.6</v>
      </c>
      <c r="H7552" s="17"/>
      <c r="K7552" s="17"/>
      <c r="N7552" s="17"/>
    </row>
    <row r="7553">
      <c r="B7553" s="11">
        <f>IFERROR(__xludf.DUMMYFUNCTION("""COMPUTED_VALUE"""),35452.0)</f>
        <v>35452</v>
      </c>
      <c r="C7553" s="9">
        <f>IFERROR(__xludf.DUMMYFUNCTION("""COMPUTED_VALUE"""),6.56)</f>
        <v>6.56</v>
      </c>
      <c r="H7553" s="17"/>
      <c r="K7553" s="17"/>
      <c r="N7553" s="17"/>
    </row>
    <row r="7554">
      <c r="B7554" s="11">
        <f>IFERROR(__xludf.DUMMYFUNCTION("""COMPUTED_VALUE"""),35451.0)</f>
        <v>35451</v>
      </c>
      <c r="C7554" s="9">
        <f>IFERROR(__xludf.DUMMYFUNCTION("""COMPUTED_VALUE"""),6.52)</f>
        <v>6.52</v>
      </c>
      <c r="H7554" s="17"/>
      <c r="K7554" s="17"/>
      <c r="N7554" s="17"/>
    </row>
    <row r="7555">
      <c r="B7555" s="11">
        <f>IFERROR(__xludf.DUMMYFUNCTION("""COMPUTED_VALUE"""),35450.0)</f>
        <v>35450</v>
      </c>
      <c r="C7555" s="9"/>
      <c r="H7555" s="17"/>
      <c r="K7555" s="17"/>
      <c r="N7555" s="17"/>
    </row>
    <row r="7556">
      <c r="B7556" s="11">
        <f>IFERROR(__xludf.DUMMYFUNCTION("""COMPUTED_VALUE"""),35447.0)</f>
        <v>35447</v>
      </c>
      <c r="C7556" s="9">
        <f>IFERROR(__xludf.DUMMYFUNCTION("""COMPUTED_VALUE"""),6.56)</f>
        <v>6.56</v>
      </c>
      <c r="H7556" s="17"/>
      <c r="K7556" s="17"/>
      <c r="N7556" s="17"/>
    </row>
    <row r="7557">
      <c r="B7557" s="11">
        <f>IFERROR(__xludf.DUMMYFUNCTION("""COMPUTED_VALUE"""),35446.0)</f>
        <v>35446</v>
      </c>
      <c r="C7557" s="9">
        <f>IFERROR(__xludf.DUMMYFUNCTION("""COMPUTED_VALUE"""),6.57)</f>
        <v>6.57</v>
      </c>
      <c r="H7557" s="17"/>
      <c r="K7557" s="17"/>
      <c r="N7557" s="17"/>
    </row>
    <row r="7558">
      <c r="B7558" s="11">
        <f>IFERROR(__xludf.DUMMYFUNCTION("""COMPUTED_VALUE"""),35445.0)</f>
        <v>35445</v>
      </c>
      <c r="C7558" s="9">
        <f>IFERROR(__xludf.DUMMYFUNCTION("""COMPUTED_VALUE"""),6.53)</f>
        <v>6.53</v>
      </c>
      <c r="H7558" s="17"/>
      <c r="K7558" s="17"/>
      <c r="N7558" s="17"/>
    </row>
    <row r="7559">
      <c r="B7559" s="11">
        <f>IFERROR(__xludf.DUMMYFUNCTION("""COMPUTED_VALUE"""),35444.0)</f>
        <v>35444</v>
      </c>
      <c r="C7559" s="9">
        <f>IFERROR(__xludf.DUMMYFUNCTION("""COMPUTED_VALUE"""),6.53)</f>
        <v>6.53</v>
      </c>
      <c r="H7559" s="17"/>
      <c r="K7559" s="17"/>
      <c r="N7559" s="17"/>
    </row>
    <row r="7560">
      <c r="B7560" s="11">
        <f>IFERROR(__xludf.DUMMYFUNCTION("""COMPUTED_VALUE"""),35443.0)</f>
        <v>35443</v>
      </c>
      <c r="C7560" s="9">
        <f>IFERROR(__xludf.DUMMYFUNCTION("""COMPUTED_VALUE"""),6.63)</f>
        <v>6.63</v>
      </c>
      <c r="H7560" s="17"/>
      <c r="K7560" s="17"/>
      <c r="N7560" s="17"/>
    </row>
    <row r="7561">
      <c r="B7561" s="11">
        <f>IFERROR(__xludf.DUMMYFUNCTION("""COMPUTED_VALUE"""),35440.0)</f>
        <v>35440</v>
      </c>
      <c r="C7561" s="9">
        <f>IFERROR(__xludf.DUMMYFUNCTION("""COMPUTED_VALUE"""),6.63)</f>
        <v>6.63</v>
      </c>
      <c r="H7561" s="17"/>
      <c r="K7561" s="17"/>
      <c r="N7561" s="17"/>
    </row>
    <row r="7562">
      <c r="B7562" s="11">
        <f>IFERROR(__xludf.DUMMYFUNCTION("""COMPUTED_VALUE"""),35439.0)</f>
        <v>35439</v>
      </c>
      <c r="C7562" s="9">
        <f>IFERROR(__xludf.DUMMYFUNCTION("""COMPUTED_VALUE"""),6.52)</f>
        <v>6.52</v>
      </c>
      <c r="H7562" s="17"/>
      <c r="K7562" s="17"/>
      <c r="N7562" s="17"/>
    </row>
    <row r="7563">
      <c r="B7563" s="11">
        <f>IFERROR(__xludf.DUMMYFUNCTION("""COMPUTED_VALUE"""),35438.0)</f>
        <v>35438</v>
      </c>
      <c r="C7563" s="9">
        <f>IFERROR(__xludf.DUMMYFUNCTION("""COMPUTED_VALUE"""),6.6)</f>
        <v>6.6</v>
      </c>
      <c r="H7563" s="17"/>
      <c r="K7563" s="17"/>
      <c r="N7563" s="17"/>
    </row>
    <row r="7564">
      <c r="B7564" s="11">
        <f>IFERROR(__xludf.DUMMYFUNCTION("""COMPUTED_VALUE"""),35437.0)</f>
        <v>35437</v>
      </c>
      <c r="C7564" s="9">
        <f>IFERROR(__xludf.DUMMYFUNCTION("""COMPUTED_VALUE"""),6.57)</f>
        <v>6.57</v>
      </c>
      <c r="H7564" s="17"/>
      <c r="K7564" s="17"/>
      <c r="N7564" s="17"/>
    </row>
    <row r="7565">
      <c r="B7565" s="11">
        <f>IFERROR(__xludf.DUMMYFUNCTION("""COMPUTED_VALUE"""),35436.0)</f>
        <v>35436</v>
      </c>
      <c r="C7565" s="9">
        <f>IFERROR(__xludf.DUMMYFUNCTION("""COMPUTED_VALUE"""),6.54)</f>
        <v>6.54</v>
      </c>
      <c r="H7565" s="17"/>
      <c r="K7565" s="17"/>
      <c r="N7565" s="17"/>
    </row>
    <row r="7566">
      <c r="B7566" s="11">
        <f>IFERROR(__xludf.DUMMYFUNCTION("""COMPUTED_VALUE"""),35433.0)</f>
        <v>35433</v>
      </c>
      <c r="C7566" s="9">
        <f>IFERROR(__xludf.DUMMYFUNCTION("""COMPUTED_VALUE"""),6.52)</f>
        <v>6.52</v>
      </c>
      <c r="H7566" s="17"/>
      <c r="K7566" s="17"/>
      <c r="N7566" s="17"/>
    </row>
    <row r="7567">
      <c r="B7567" s="11">
        <f>IFERROR(__xludf.DUMMYFUNCTION("""COMPUTED_VALUE"""),35432.0)</f>
        <v>35432</v>
      </c>
      <c r="C7567" s="9">
        <f>IFERROR(__xludf.DUMMYFUNCTION("""COMPUTED_VALUE"""),6.54)</f>
        <v>6.54</v>
      </c>
      <c r="H7567" s="17"/>
      <c r="K7567" s="17"/>
      <c r="N7567" s="17"/>
    </row>
    <row r="7568">
      <c r="B7568" s="11">
        <f>IFERROR(__xludf.DUMMYFUNCTION("""COMPUTED_VALUE"""),35431.0)</f>
        <v>35431</v>
      </c>
      <c r="C7568" s="9"/>
      <c r="H7568" s="17"/>
      <c r="K7568" s="17"/>
      <c r="N7568" s="17"/>
    </row>
    <row r="7569">
      <c r="B7569" s="11">
        <f>IFERROR(__xludf.DUMMYFUNCTION("""COMPUTED_VALUE"""),35430.0)</f>
        <v>35430</v>
      </c>
      <c r="C7569" s="9">
        <f>IFERROR(__xludf.DUMMYFUNCTION("""COMPUTED_VALUE"""),6.43)</f>
        <v>6.43</v>
      </c>
      <c r="H7569" s="17"/>
      <c r="K7569" s="17"/>
      <c r="N7569" s="17"/>
    </row>
    <row r="7570">
      <c r="B7570" s="11">
        <f>IFERROR(__xludf.DUMMYFUNCTION("""COMPUTED_VALUE"""),35429.0)</f>
        <v>35429</v>
      </c>
      <c r="C7570" s="9">
        <f>IFERROR(__xludf.DUMMYFUNCTION("""COMPUTED_VALUE"""),6.31)</f>
        <v>6.31</v>
      </c>
      <c r="H7570" s="17"/>
      <c r="K7570" s="17"/>
      <c r="N7570" s="17"/>
    </row>
    <row r="7571">
      <c r="B7571" s="11">
        <f>IFERROR(__xludf.DUMMYFUNCTION("""COMPUTED_VALUE"""),35426.0)</f>
        <v>35426</v>
      </c>
      <c r="C7571" s="9">
        <f>IFERROR(__xludf.DUMMYFUNCTION("""COMPUTED_VALUE"""),6.3)</f>
        <v>6.3</v>
      </c>
      <c r="H7571" s="17"/>
      <c r="K7571" s="17"/>
      <c r="N7571" s="17"/>
    </row>
    <row r="7572">
      <c r="B7572" s="11">
        <f>IFERROR(__xludf.DUMMYFUNCTION("""COMPUTED_VALUE"""),35425.0)</f>
        <v>35425</v>
      </c>
      <c r="C7572" s="9">
        <f>IFERROR(__xludf.DUMMYFUNCTION("""COMPUTED_VALUE"""),6.35)</f>
        <v>6.35</v>
      </c>
      <c r="H7572" s="17"/>
      <c r="K7572" s="17"/>
      <c r="N7572" s="17"/>
    </row>
    <row r="7573">
      <c r="B7573" s="11">
        <f>IFERROR(__xludf.DUMMYFUNCTION("""COMPUTED_VALUE"""),35424.0)</f>
        <v>35424</v>
      </c>
      <c r="C7573" s="9"/>
      <c r="H7573" s="17"/>
      <c r="K7573" s="17"/>
      <c r="N7573" s="17"/>
    </row>
    <row r="7574">
      <c r="B7574" s="11">
        <f>IFERROR(__xludf.DUMMYFUNCTION("""COMPUTED_VALUE"""),35423.0)</f>
        <v>35423</v>
      </c>
      <c r="C7574" s="9">
        <f>IFERROR(__xludf.DUMMYFUNCTION("""COMPUTED_VALUE"""),6.36)</f>
        <v>6.36</v>
      </c>
      <c r="H7574" s="17"/>
      <c r="K7574" s="17"/>
      <c r="N7574" s="17"/>
    </row>
    <row r="7575">
      <c r="B7575" s="11">
        <f>IFERROR(__xludf.DUMMYFUNCTION("""COMPUTED_VALUE"""),35422.0)</f>
        <v>35422</v>
      </c>
      <c r="C7575" s="9">
        <f>IFERROR(__xludf.DUMMYFUNCTION("""COMPUTED_VALUE"""),6.34)</f>
        <v>6.34</v>
      </c>
      <c r="H7575" s="17"/>
      <c r="K7575" s="17"/>
      <c r="N7575" s="17"/>
    </row>
    <row r="7576">
      <c r="B7576" s="11">
        <f>IFERROR(__xludf.DUMMYFUNCTION("""COMPUTED_VALUE"""),35419.0)</f>
        <v>35419</v>
      </c>
      <c r="C7576" s="9">
        <f>IFERROR(__xludf.DUMMYFUNCTION("""COMPUTED_VALUE"""),6.35)</f>
        <v>6.35</v>
      </c>
      <c r="H7576" s="17"/>
      <c r="K7576" s="17"/>
      <c r="N7576" s="17"/>
    </row>
    <row r="7577">
      <c r="B7577" s="11">
        <f>IFERROR(__xludf.DUMMYFUNCTION("""COMPUTED_VALUE"""),35418.0)</f>
        <v>35418</v>
      </c>
      <c r="C7577" s="9">
        <f>IFERROR(__xludf.DUMMYFUNCTION("""COMPUTED_VALUE"""),6.36)</f>
        <v>6.36</v>
      </c>
      <c r="H7577" s="17"/>
      <c r="K7577" s="17"/>
      <c r="N7577" s="17"/>
    </row>
    <row r="7578">
      <c r="B7578" s="11">
        <f>IFERROR(__xludf.DUMMYFUNCTION("""COMPUTED_VALUE"""),35417.0)</f>
        <v>35417</v>
      </c>
      <c r="C7578" s="9">
        <f>IFERROR(__xludf.DUMMYFUNCTION("""COMPUTED_VALUE"""),6.46)</f>
        <v>6.46</v>
      </c>
      <c r="H7578" s="17"/>
      <c r="K7578" s="17"/>
      <c r="N7578" s="17"/>
    </row>
    <row r="7579">
      <c r="B7579" s="11">
        <f>IFERROR(__xludf.DUMMYFUNCTION("""COMPUTED_VALUE"""),35416.0)</f>
        <v>35416</v>
      </c>
      <c r="C7579" s="9">
        <f>IFERROR(__xludf.DUMMYFUNCTION("""COMPUTED_VALUE"""),6.42)</f>
        <v>6.42</v>
      </c>
      <c r="H7579" s="17"/>
      <c r="K7579" s="17"/>
      <c r="N7579" s="17"/>
    </row>
    <row r="7580">
      <c r="B7580" s="11">
        <f>IFERROR(__xludf.DUMMYFUNCTION("""COMPUTED_VALUE"""),35415.0)</f>
        <v>35415</v>
      </c>
      <c r="C7580" s="9">
        <f>IFERROR(__xludf.DUMMYFUNCTION("""COMPUTED_VALUE"""),6.39)</f>
        <v>6.39</v>
      </c>
      <c r="H7580" s="17"/>
      <c r="K7580" s="17"/>
      <c r="N7580" s="17"/>
    </row>
    <row r="7581">
      <c r="B7581" s="11">
        <f>IFERROR(__xludf.DUMMYFUNCTION("""COMPUTED_VALUE"""),35412.0)</f>
        <v>35412</v>
      </c>
      <c r="C7581" s="9">
        <f>IFERROR(__xludf.DUMMYFUNCTION("""COMPUTED_VALUE"""),6.33)</f>
        <v>6.33</v>
      </c>
      <c r="H7581" s="17"/>
      <c r="K7581" s="17"/>
      <c r="N7581" s="17"/>
    </row>
    <row r="7582">
      <c r="B7582" s="11">
        <f>IFERROR(__xludf.DUMMYFUNCTION("""COMPUTED_VALUE"""),35411.0)</f>
        <v>35411</v>
      </c>
      <c r="C7582" s="9">
        <f>IFERROR(__xludf.DUMMYFUNCTION("""COMPUTED_VALUE"""),6.4)</f>
        <v>6.4</v>
      </c>
      <c r="H7582" s="17"/>
      <c r="K7582" s="17"/>
      <c r="N7582" s="17"/>
    </row>
    <row r="7583">
      <c r="B7583" s="11">
        <f>IFERROR(__xludf.DUMMYFUNCTION("""COMPUTED_VALUE"""),35410.0)</f>
        <v>35410</v>
      </c>
      <c r="C7583" s="9">
        <f>IFERROR(__xludf.DUMMYFUNCTION("""COMPUTED_VALUE"""),6.38)</f>
        <v>6.38</v>
      </c>
      <c r="H7583" s="17"/>
      <c r="K7583" s="17"/>
      <c r="N7583" s="17"/>
    </row>
    <row r="7584">
      <c r="B7584" s="11">
        <f>IFERROR(__xludf.DUMMYFUNCTION("""COMPUTED_VALUE"""),35409.0)</f>
        <v>35409</v>
      </c>
      <c r="C7584" s="9">
        <f>IFERROR(__xludf.DUMMYFUNCTION("""COMPUTED_VALUE"""),6.23)</f>
        <v>6.23</v>
      </c>
      <c r="H7584" s="17"/>
      <c r="K7584" s="17"/>
      <c r="N7584" s="17"/>
    </row>
    <row r="7585">
      <c r="B7585" s="11">
        <f>IFERROR(__xludf.DUMMYFUNCTION("""COMPUTED_VALUE"""),35408.0)</f>
        <v>35408</v>
      </c>
      <c r="C7585" s="9">
        <f>IFERROR(__xludf.DUMMYFUNCTION("""COMPUTED_VALUE"""),6.21)</f>
        <v>6.21</v>
      </c>
      <c r="H7585" s="17"/>
      <c r="K7585" s="17"/>
      <c r="N7585" s="17"/>
    </row>
    <row r="7586">
      <c r="B7586" s="11">
        <f>IFERROR(__xludf.DUMMYFUNCTION("""COMPUTED_VALUE"""),35405.0)</f>
        <v>35405</v>
      </c>
      <c r="C7586" s="9">
        <f>IFERROR(__xludf.DUMMYFUNCTION("""COMPUTED_VALUE"""),6.26)</f>
        <v>6.26</v>
      </c>
      <c r="H7586" s="17"/>
      <c r="K7586" s="17"/>
      <c r="N7586" s="17"/>
    </row>
    <row r="7587">
      <c r="B7587" s="11">
        <f>IFERROR(__xludf.DUMMYFUNCTION("""COMPUTED_VALUE"""),35404.0)</f>
        <v>35404</v>
      </c>
      <c r="C7587" s="9">
        <f>IFERROR(__xludf.DUMMYFUNCTION("""COMPUTED_VALUE"""),6.22)</f>
        <v>6.22</v>
      </c>
      <c r="H7587" s="17"/>
      <c r="K7587" s="17"/>
      <c r="N7587" s="17"/>
    </row>
    <row r="7588">
      <c r="B7588" s="11">
        <f>IFERROR(__xludf.DUMMYFUNCTION("""COMPUTED_VALUE"""),35403.0)</f>
        <v>35403</v>
      </c>
      <c r="C7588" s="9">
        <f>IFERROR(__xludf.DUMMYFUNCTION("""COMPUTED_VALUE"""),6.11)</f>
        <v>6.11</v>
      </c>
      <c r="H7588" s="17"/>
      <c r="K7588" s="17"/>
      <c r="N7588" s="17"/>
    </row>
    <row r="7589">
      <c r="B7589" s="11">
        <f>IFERROR(__xludf.DUMMYFUNCTION("""COMPUTED_VALUE"""),35402.0)</f>
        <v>35402</v>
      </c>
      <c r="C7589" s="9">
        <f>IFERROR(__xludf.DUMMYFUNCTION("""COMPUTED_VALUE"""),6.06)</f>
        <v>6.06</v>
      </c>
      <c r="H7589" s="17"/>
      <c r="K7589" s="17"/>
      <c r="N7589" s="17"/>
    </row>
    <row r="7590">
      <c r="B7590" s="11">
        <f>IFERROR(__xludf.DUMMYFUNCTION("""COMPUTED_VALUE"""),35401.0)</f>
        <v>35401</v>
      </c>
      <c r="C7590" s="9">
        <f>IFERROR(__xludf.DUMMYFUNCTION("""COMPUTED_VALUE"""),6.08)</f>
        <v>6.08</v>
      </c>
      <c r="H7590" s="17"/>
      <c r="K7590" s="17"/>
      <c r="N7590" s="17"/>
    </row>
    <row r="7591">
      <c r="B7591" s="11">
        <f>IFERROR(__xludf.DUMMYFUNCTION("""COMPUTED_VALUE"""),35398.0)</f>
        <v>35398</v>
      </c>
      <c r="C7591" s="9">
        <f>IFERROR(__xludf.DUMMYFUNCTION("""COMPUTED_VALUE"""),6.06)</f>
        <v>6.06</v>
      </c>
      <c r="H7591" s="17"/>
      <c r="K7591" s="17"/>
      <c r="N7591" s="17"/>
    </row>
    <row r="7592">
      <c r="B7592" s="11">
        <f>IFERROR(__xludf.DUMMYFUNCTION("""COMPUTED_VALUE"""),35397.0)</f>
        <v>35397</v>
      </c>
      <c r="C7592" s="9"/>
      <c r="H7592" s="17"/>
      <c r="K7592" s="17"/>
      <c r="N7592" s="17"/>
    </row>
    <row r="7593">
      <c r="B7593" s="11">
        <f>IFERROR(__xludf.DUMMYFUNCTION("""COMPUTED_VALUE"""),35396.0)</f>
        <v>35396</v>
      </c>
      <c r="C7593" s="9">
        <f>IFERROR(__xludf.DUMMYFUNCTION("""COMPUTED_VALUE"""),6.14)</f>
        <v>6.14</v>
      </c>
      <c r="H7593" s="17"/>
      <c r="K7593" s="17"/>
      <c r="N7593" s="17"/>
    </row>
    <row r="7594">
      <c r="B7594" s="11">
        <f>IFERROR(__xludf.DUMMYFUNCTION("""COMPUTED_VALUE"""),35395.0)</f>
        <v>35395</v>
      </c>
      <c r="C7594" s="9">
        <f>IFERROR(__xludf.DUMMYFUNCTION("""COMPUTED_VALUE"""),6.13)</f>
        <v>6.13</v>
      </c>
      <c r="H7594" s="17"/>
      <c r="K7594" s="17"/>
      <c r="N7594" s="17"/>
    </row>
    <row r="7595">
      <c r="B7595" s="11">
        <f>IFERROR(__xludf.DUMMYFUNCTION("""COMPUTED_VALUE"""),35394.0)</f>
        <v>35394</v>
      </c>
      <c r="C7595" s="9">
        <f>IFERROR(__xludf.DUMMYFUNCTION("""COMPUTED_VALUE"""),6.13)</f>
        <v>6.13</v>
      </c>
      <c r="H7595" s="17"/>
      <c r="K7595" s="17"/>
      <c r="N7595" s="17"/>
    </row>
    <row r="7596">
      <c r="B7596" s="11">
        <f>IFERROR(__xludf.DUMMYFUNCTION("""COMPUTED_VALUE"""),35391.0)</f>
        <v>35391</v>
      </c>
      <c r="C7596" s="9">
        <f>IFERROR(__xludf.DUMMYFUNCTION("""COMPUTED_VALUE"""),6.15)</f>
        <v>6.15</v>
      </c>
      <c r="H7596" s="17"/>
      <c r="K7596" s="17"/>
      <c r="N7596" s="17"/>
    </row>
    <row r="7597">
      <c r="B7597" s="11">
        <f>IFERROR(__xludf.DUMMYFUNCTION("""COMPUTED_VALUE"""),35390.0)</f>
        <v>35390</v>
      </c>
      <c r="C7597" s="9">
        <f>IFERROR(__xludf.DUMMYFUNCTION("""COMPUTED_VALUE"""),6.15)</f>
        <v>6.15</v>
      </c>
      <c r="H7597" s="17"/>
      <c r="K7597" s="17"/>
      <c r="N7597" s="17"/>
    </row>
    <row r="7598">
      <c r="B7598" s="11">
        <f>IFERROR(__xludf.DUMMYFUNCTION("""COMPUTED_VALUE"""),35389.0)</f>
        <v>35389</v>
      </c>
      <c r="C7598" s="9">
        <f>IFERROR(__xludf.DUMMYFUNCTION("""COMPUTED_VALUE"""),6.14)</f>
        <v>6.14</v>
      </c>
      <c r="H7598" s="17"/>
      <c r="K7598" s="17"/>
      <c r="N7598" s="17"/>
    </row>
    <row r="7599">
      <c r="B7599" s="11">
        <f>IFERROR(__xludf.DUMMYFUNCTION("""COMPUTED_VALUE"""),35388.0)</f>
        <v>35388</v>
      </c>
      <c r="C7599" s="9">
        <f>IFERROR(__xludf.DUMMYFUNCTION("""COMPUTED_VALUE"""),6.17)</f>
        <v>6.17</v>
      </c>
      <c r="H7599" s="17"/>
      <c r="K7599" s="17"/>
      <c r="N7599" s="17"/>
    </row>
    <row r="7600">
      <c r="B7600" s="11">
        <f>IFERROR(__xludf.DUMMYFUNCTION("""COMPUTED_VALUE"""),35387.0)</f>
        <v>35387</v>
      </c>
      <c r="C7600" s="9">
        <f>IFERROR(__xludf.DUMMYFUNCTION("""COMPUTED_VALUE"""),6.2)</f>
        <v>6.2</v>
      </c>
      <c r="H7600" s="17"/>
      <c r="K7600" s="17"/>
      <c r="N7600" s="17"/>
    </row>
    <row r="7601">
      <c r="B7601" s="11">
        <f>IFERROR(__xludf.DUMMYFUNCTION("""COMPUTED_VALUE"""),35384.0)</f>
        <v>35384</v>
      </c>
      <c r="C7601" s="9">
        <f>IFERROR(__xludf.DUMMYFUNCTION("""COMPUTED_VALUE"""),6.19)</f>
        <v>6.19</v>
      </c>
      <c r="H7601" s="17"/>
      <c r="K7601" s="17"/>
      <c r="N7601" s="17"/>
    </row>
    <row r="7602">
      <c r="B7602" s="11">
        <f>IFERROR(__xludf.DUMMYFUNCTION("""COMPUTED_VALUE"""),35383.0)</f>
        <v>35383</v>
      </c>
      <c r="C7602" s="9">
        <f>IFERROR(__xludf.DUMMYFUNCTION("""COMPUTED_VALUE"""),6.15)</f>
        <v>6.15</v>
      </c>
      <c r="H7602" s="17"/>
      <c r="K7602" s="17"/>
      <c r="N7602" s="17"/>
    </row>
    <row r="7603">
      <c r="B7603" s="11">
        <f>IFERROR(__xludf.DUMMYFUNCTION("""COMPUTED_VALUE"""),35382.0)</f>
        <v>35382</v>
      </c>
      <c r="C7603" s="9">
        <f>IFERROR(__xludf.DUMMYFUNCTION("""COMPUTED_VALUE"""),6.2)</f>
        <v>6.2</v>
      </c>
      <c r="H7603" s="17"/>
      <c r="K7603" s="17"/>
      <c r="N7603" s="17"/>
    </row>
    <row r="7604">
      <c r="B7604" s="11">
        <f>IFERROR(__xludf.DUMMYFUNCTION("""COMPUTED_VALUE"""),35381.0)</f>
        <v>35381</v>
      </c>
      <c r="C7604" s="9">
        <f>IFERROR(__xludf.DUMMYFUNCTION("""COMPUTED_VALUE"""),6.19)</f>
        <v>6.19</v>
      </c>
      <c r="H7604" s="17"/>
      <c r="K7604" s="17"/>
      <c r="N7604" s="17"/>
    </row>
    <row r="7605">
      <c r="B7605" s="11">
        <f>IFERROR(__xludf.DUMMYFUNCTION("""COMPUTED_VALUE"""),35380.0)</f>
        <v>35380</v>
      </c>
      <c r="C7605" s="9"/>
      <c r="H7605" s="17"/>
      <c r="K7605" s="17"/>
      <c r="N7605" s="17"/>
    </row>
    <row r="7606">
      <c r="B7606" s="11">
        <f>IFERROR(__xludf.DUMMYFUNCTION("""COMPUTED_VALUE"""),35377.0)</f>
        <v>35377</v>
      </c>
      <c r="C7606" s="9">
        <f>IFERROR(__xludf.DUMMYFUNCTION("""COMPUTED_VALUE"""),6.29)</f>
        <v>6.29</v>
      </c>
      <c r="H7606" s="17"/>
      <c r="K7606" s="17"/>
      <c r="N7606" s="17"/>
    </row>
    <row r="7607">
      <c r="B7607" s="11">
        <f>IFERROR(__xludf.DUMMYFUNCTION("""COMPUTED_VALUE"""),35376.0)</f>
        <v>35376</v>
      </c>
      <c r="C7607" s="9">
        <f>IFERROR(__xludf.DUMMYFUNCTION("""COMPUTED_VALUE"""),6.26)</f>
        <v>6.26</v>
      </c>
      <c r="H7607" s="17"/>
      <c r="K7607" s="17"/>
      <c r="N7607" s="17"/>
    </row>
    <row r="7608">
      <c r="B7608" s="11">
        <f>IFERROR(__xludf.DUMMYFUNCTION("""COMPUTED_VALUE"""),35375.0)</f>
        <v>35375</v>
      </c>
      <c r="C7608" s="9">
        <f>IFERROR(__xludf.DUMMYFUNCTION("""COMPUTED_VALUE"""),6.3)</f>
        <v>6.3</v>
      </c>
      <c r="H7608" s="17"/>
      <c r="K7608" s="17"/>
      <c r="N7608" s="17"/>
    </row>
    <row r="7609">
      <c r="B7609" s="11">
        <f>IFERROR(__xludf.DUMMYFUNCTION("""COMPUTED_VALUE"""),35374.0)</f>
        <v>35374</v>
      </c>
      <c r="C7609" s="9">
        <f>IFERROR(__xludf.DUMMYFUNCTION("""COMPUTED_VALUE"""),6.28)</f>
        <v>6.28</v>
      </c>
      <c r="H7609" s="17"/>
      <c r="K7609" s="17"/>
      <c r="N7609" s="17"/>
    </row>
    <row r="7610">
      <c r="B7610" s="11">
        <f>IFERROR(__xludf.DUMMYFUNCTION("""COMPUTED_VALUE"""),35373.0)</f>
        <v>35373</v>
      </c>
      <c r="C7610" s="9">
        <f>IFERROR(__xludf.DUMMYFUNCTION("""COMPUTED_VALUE"""),6.36)</f>
        <v>6.36</v>
      </c>
      <c r="H7610" s="17"/>
      <c r="K7610" s="17"/>
      <c r="N7610" s="17"/>
    </row>
    <row r="7611">
      <c r="B7611" s="11">
        <f>IFERROR(__xludf.DUMMYFUNCTION("""COMPUTED_VALUE"""),35370.0)</f>
        <v>35370</v>
      </c>
      <c r="C7611" s="9">
        <f>IFERROR(__xludf.DUMMYFUNCTION("""COMPUTED_VALUE"""),6.38)</f>
        <v>6.38</v>
      </c>
      <c r="H7611" s="17"/>
      <c r="K7611" s="17"/>
      <c r="N7611" s="17"/>
    </row>
    <row r="7612">
      <c r="B7612" s="11">
        <f>IFERROR(__xludf.DUMMYFUNCTION("""COMPUTED_VALUE"""),35369.0)</f>
        <v>35369</v>
      </c>
      <c r="C7612" s="9">
        <f>IFERROR(__xludf.DUMMYFUNCTION("""COMPUTED_VALUE"""),6.37)</f>
        <v>6.37</v>
      </c>
      <c r="H7612" s="17"/>
      <c r="K7612" s="17"/>
      <c r="N7612" s="17"/>
    </row>
    <row r="7613">
      <c r="B7613" s="11">
        <f>IFERROR(__xludf.DUMMYFUNCTION("""COMPUTED_VALUE"""),35368.0)</f>
        <v>35368</v>
      </c>
      <c r="C7613" s="9">
        <f>IFERROR(__xludf.DUMMYFUNCTION("""COMPUTED_VALUE"""),6.4)</f>
        <v>6.4</v>
      </c>
      <c r="H7613" s="17"/>
      <c r="K7613" s="17"/>
      <c r="N7613" s="17"/>
    </row>
    <row r="7614">
      <c r="B7614" s="11">
        <f>IFERROR(__xludf.DUMMYFUNCTION("""COMPUTED_VALUE"""),35367.0)</f>
        <v>35367</v>
      </c>
      <c r="C7614" s="9">
        <f>IFERROR(__xludf.DUMMYFUNCTION("""COMPUTED_VALUE"""),6.4)</f>
        <v>6.4</v>
      </c>
      <c r="H7614" s="17"/>
      <c r="K7614" s="17"/>
      <c r="N7614" s="17"/>
    </row>
    <row r="7615">
      <c r="B7615" s="11">
        <f>IFERROR(__xludf.DUMMYFUNCTION("""COMPUTED_VALUE"""),35366.0)</f>
        <v>35366</v>
      </c>
      <c r="C7615" s="9">
        <f>IFERROR(__xludf.DUMMYFUNCTION("""COMPUTED_VALUE"""),6.56)</f>
        <v>6.56</v>
      </c>
      <c r="H7615" s="17"/>
      <c r="K7615" s="17"/>
      <c r="N7615" s="17"/>
    </row>
    <row r="7616">
      <c r="B7616" s="11">
        <f>IFERROR(__xludf.DUMMYFUNCTION("""COMPUTED_VALUE"""),35363.0)</f>
        <v>35363</v>
      </c>
      <c r="C7616" s="9">
        <f>IFERROR(__xludf.DUMMYFUNCTION("""COMPUTED_VALUE"""),6.54)</f>
        <v>6.54</v>
      </c>
      <c r="H7616" s="17"/>
      <c r="K7616" s="17"/>
      <c r="N7616" s="17"/>
    </row>
    <row r="7617">
      <c r="B7617" s="11">
        <f>IFERROR(__xludf.DUMMYFUNCTION("""COMPUTED_VALUE"""),35362.0)</f>
        <v>35362</v>
      </c>
      <c r="C7617" s="9">
        <f>IFERROR(__xludf.DUMMYFUNCTION("""COMPUTED_VALUE"""),6.57)</f>
        <v>6.57</v>
      </c>
      <c r="H7617" s="17"/>
      <c r="K7617" s="17"/>
      <c r="N7617" s="17"/>
    </row>
    <row r="7618">
      <c r="B7618" s="11">
        <f>IFERROR(__xludf.DUMMYFUNCTION("""COMPUTED_VALUE"""),35361.0)</f>
        <v>35361</v>
      </c>
      <c r="C7618" s="9">
        <f>IFERROR(__xludf.DUMMYFUNCTION("""COMPUTED_VALUE"""),6.56)</f>
        <v>6.56</v>
      </c>
      <c r="H7618" s="17"/>
      <c r="K7618" s="17"/>
      <c r="N7618" s="17"/>
    </row>
    <row r="7619">
      <c r="B7619" s="11">
        <f>IFERROR(__xludf.DUMMYFUNCTION("""COMPUTED_VALUE"""),35360.0)</f>
        <v>35360</v>
      </c>
      <c r="C7619" s="9">
        <f>IFERROR(__xludf.DUMMYFUNCTION("""COMPUTED_VALUE"""),6.56)</f>
        <v>6.56</v>
      </c>
      <c r="H7619" s="17"/>
      <c r="K7619" s="17"/>
      <c r="N7619" s="17"/>
    </row>
    <row r="7620">
      <c r="B7620" s="11">
        <f>IFERROR(__xludf.DUMMYFUNCTION("""COMPUTED_VALUE"""),35359.0)</f>
        <v>35359</v>
      </c>
      <c r="C7620" s="9">
        <f>IFERROR(__xludf.DUMMYFUNCTION("""COMPUTED_VALUE"""),6.52)</f>
        <v>6.52</v>
      </c>
      <c r="H7620" s="17"/>
      <c r="K7620" s="17"/>
      <c r="N7620" s="17"/>
    </row>
    <row r="7621">
      <c r="B7621" s="11">
        <f>IFERROR(__xludf.DUMMYFUNCTION("""COMPUTED_VALUE"""),35356.0)</f>
        <v>35356</v>
      </c>
      <c r="C7621" s="9">
        <f>IFERROR(__xludf.DUMMYFUNCTION("""COMPUTED_VALUE"""),6.5)</f>
        <v>6.5</v>
      </c>
      <c r="H7621" s="17"/>
      <c r="K7621" s="17"/>
      <c r="N7621" s="17"/>
    </row>
    <row r="7622">
      <c r="B7622" s="11">
        <f>IFERROR(__xludf.DUMMYFUNCTION("""COMPUTED_VALUE"""),35355.0)</f>
        <v>35355</v>
      </c>
      <c r="C7622" s="9">
        <f>IFERROR(__xludf.DUMMYFUNCTION("""COMPUTED_VALUE"""),6.51)</f>
        <v>6.51</v>
      </c>
      <c r="H7622" s="17"/>
      <c r="K7622" s="17"/>
      <c r="N7622" s="17"/>
    </row>
    <row r="7623">
      <c r="B7623" s="11">
        <f>IFERROR(__xludf.DUMMYFUNCTION("""COMPUTED_VALUE"""),35354.0)</f>
        <v>35354</v>
      </c>
      <c r="C7623" s="9">
        <f>IFERROR(__xludf.DUMMYFUNCTION("""COMPUTED_VALUE"""),6.57)</f>
        <v>6.57</v>
      </c>
      <c r="H7623" s="17"/>
      <c r="K7623" s="17"/>
      <c r="N7623" s="17"/>
    </row>
    <row r="7624">
      <c r="B7624" s="11">
        <f>IFERROR(__xludf.DUMMYFUNCTION("""COMPUTED_VALUE"""),35353.0)</f>
        <v>35353</v>
      </c>
      <c r="C7624" s="9">
        <f>IFERROR(__xludf.DUMMYFUNCTION("""COMPUTED_VALUE"""),6.56)</f>
        <v>6.56</v>
      </c>
      <c r="H7624" s="17"/>
      <c r="K7624" s="17"/>
      <c r="N7624" s="17"/>
    </row>
    <row r="7625">
      <c r="B7625" s="11">
        <f>IFERROR(__xludf.DUMMYFUNCTION("""COMPUTED_VALUE"""),35352.0)</f>
        <v>35352</v>
      </c>
      <c r="C7625" s="9"/>
      <c r="H7625" s="17"/>
      <c r="K7625" s="17"/>
      <c r="N7625" s="17"/>
    </row>
    <row r="7626">
      <c r="B7626" s="11">
        <f>IFERROR(__xludf.DUMMYFUNCTION("""COMPUTED_VALUE"""),35349.0)</f>
        <v>35349</v>
      </c>
      <c r="C7626" s="9">
        <f>IFERROR(__xludf.DUMMYFUNCTION("""COMPUTED_VALUE"""),6.55)</f>
        <v>6.55</v>
      </c>
      <c r="H7626" s="17"/>
      <c r="K7626" s="17"/>
      <c r="N7626" s="17"/>
    </row>
    <row r="7627">
      <c r="B7627" s="11">
        <f>IFERROR(__xludf.DUMMYFUNCTION("""COMPUTED_VALUE"""),35348.0)</f>
        <v>35348</v>
      </c>
      <c r="C7627" s="9">
        <f>IFERROR(__xludf.DUMMYFUNCTION("""COMPUTED_VALUE"""),6.61)</f>
        <v>6.61</v>
      </c>
      <c r="H7627" s="17"/>
      <c r="K7627" s="17"/>
      <c r="N7627" s="17"/>
    </row>
    <row r="7628">
      <c r="B7628" s="11">
        <f>IFERROR(__xludf.DUMMYFUNCTION("""COMPUTED_VALUE"""),35347.0)</f>
        <v>35347</v>
      </c>
      <c r="C7628" s="9">
        <f>IFERROR(__xludf.DUMMYFUNCTION("""COMPUTED_VALUE"""),6.55)</f>
        <v>6.55</v>
      </c>
      <c r="H7628" s="17"/>
      <c r="K7628" s="17"/>
      <c r="N7628" s="17"/>
    </row>
    <row r="7629">
      <c r="B7629" s="11">
        <f>IFERROR(__xludf.DUMMYFUNCTION("""COMPUTED_VALUE"""),35346.0)</f>
        <v>35346</v>
      </c>
      <c r="C7629" s="9">
        <f>IFERROR(__xludf.DUMMYFUNCTION("""COMPUTED_VALUE"""),6.53)</f>
        <v>6.53</v>
      </c>
      <c r="H7629" s="17"/>
      <c r="K7629" s="17"/>
      <c r="N7629" s="17"/>
    </row>
    <row r="7630">
      <c r="B7630" s="11">
        <f>IFERROR(__xludf.DUMMYFUNCTION("""COMPUTED_VALUE"""),35345.0)</f>
        <v>35345</v>
      </c>
      <c r="C7630" s="9">
        <f>IFERROR(__xludf.DUMMYFUNCTION("""COMPUTED_VALUE"""),6.53)</f>
        <v>6.53</v>
      </c>
      <c r="H7630" s="17"/>
      <c r="K7630" s="17"/>
      <c r="N7630" s="17"/>
    </row>
    <row r="7631">
      <c r="B7631" s="11">
        <f>IFERROR(__xludf.DUMMYFUNCTION("""COMPUTED_VALUE"""),35342.0)</f>
        <v>35342</v>
      </c>
      <c r="C7631" s="9">
        <f>IFERROR(__xludf.DUMMYFUNCTION("""COMPUTED_VALUE"""),6.48)</f>
        <v>6.48</v>
      </c>
      <c r="H7631" s="17"/>
      <c r="K7631" s="17"/>
      <c r="N7631" s="17"/>
    </row>
    <row r="7632">
      <c r="B7632" s="11">
        <f>IFERROR(__xludf.DUMMYFUNCTION("""COMPUTED_VALUE"""),35341.0)</f>
        <v>35341</v>
      </c>
      <c r="C7632" s="9">
        <f>IFERROR(__xludf.DUMMYFUNCTION("""COMPUTED_VALUE"""),6.61)</f>
        <v>6.61</v>
      </c>
      <c r="H7632" s="17"/>
      <c r="K7632" s="17"/>
      <c r="N7632" s="17"/>
    </row>
    <row r="7633">
      <c r="B7633" s="11">
        <f>IFERROR(__xludf.DUMMYFUNCTION("""COMPUTED_VALUE"""),35340.0)</f>
        <v>35340</v>
      </c>
      <c r="C7633" s="9">
        <f>IFERROR(__xludf.DUMMYFUNCTION("""COMPUTED_VALUE"""),6.61)</f>
        <v>6.61</v>
      </c>
      <c r="H7633" s="17"/>
      <c r="K7633" s="17"/>
      <c r="N7633" s="17"/>
    </row>
    <row r="7634">
      <c r="B7634" s="11">
        <f>IFERROR(__xludf.DUMMYFUNCTION("""COMPUTED_VALUE"""),35339.0)</f>
        <v>35339</v>
      </c>
      <c r="C7634" s="9">
        <f>IFERROR(__xludf.DUMMYFUNCTION("""COMPUTED_VALUE"""),6.65)</f>
        <v>6.65</v>
      </c>
      <c r="H7634" s="17"/>
      <c r="K7634" s="17"/>
      <c r="N7634" s="17"/>
    </row>
    <row r="7635">
      <c r="B7635" s="11">
        <f>IFERROR(__xludf.DUMMYFUNCTION("""COMPUTED_VALUE"""),35338.0)</f>
        <v>35338</v>
      </c>
      <c r="C7635" s="9">
        <f>IFERROR(__xludf.DUMMYFUNCTION("""COMPUTED_VALUE"""),6.72)</f>
        <v>6.72</v>
      </c>
      <c r="H7635" s="17"/>
      <c r="K7635" s="17"/>
      <c r="N7635" s="17"/>
    </row>
    <row r="7636">
      <c r="B7636" s="11">
        <f>IFERROR(__xludf.DUMMYFUNCTION("""COMPUTED_VALUE"""),35335.0)</f>
        <v>35335</v>
      </c>
      <c r="C7636" s="9">
        <f>IFERROR(__xludf.DUMMYFUNCTION("""COMPUTED_VALUE"""),6.68)</f>
        <v>6.68</v>
      </c>
      <c r="H7636" s="17"/>
      <c r="K7636" s="17"/>
      <c r="N7636" s="17"/>
    </row>
    <row r="7637">
      <c r="B7637" s="11">
        <f>IFERROR(__xludf.DUMMYFUNCTION("""COMPUTED_VALUE"""),35334.0)</f>
        <v>35334</v>
      </c>
      <c r="C7637" s="9">
        <f>IFERROR(__xludf.DUMMYFUNCTION("""COMPUTED_VALUE"""),6.66)</f>
        <v>6.66</v>
      </c>
      <c r="H7637" s="17"/>
      <c r="K7637" s="17"/>
      <c r="N7637" s="17"/>
    </row>
    <row r="7638">
      <c r="B7638" s="11">
        <f>IFERROR(__xludf.DUMMYFUNCTION("""COMPUTED_VALUE"""),35333.0)</f>
        <v>35333</v>
      </c>
      <c r="C7638" s="9">
        <f>IFERROR(__xludf.DUMMYFUNCTION("""COMPUTED_VALUE"""),6.71)</f>
        <v>6.71</v>
      </c>
      <c r="H7638" s="17"/>
      <c r="K7638" s="17"/>
      <c r="N7638" s="17"/>
    </row>
    <row r="7639">
      <c r="B7639" s="11">
        <f>IFERROR(__xludf.DUMMYFUNCTION("""COMPUTED_VALUE"""),35332.0)</f>
        <v>35332</v>
      </c>
      <c r="C7639" s="9">
        <f>IFERROR(__xludf.DUMMYFUNCTION("""COMPUTED_VALUE"""),6.77)</f>
        <v>6.77</v>
      </c>
      <c r="H7639" s="17"/>
      <c r="K7639" s="17"/>
      <c r="N7639" s="17"/>
    </row>
    <row r="7640">
      <c r="B7640" s="11">
        <f>IFERROR(__xludf.DUMMYFUNCTION("""COMPUTED_VALUE"""),35331.0)</f>
        <v>35331</v>
      </c>
      <c r="C7640" s="9">
        <f>IFERROR(__xludf.DUMMYFUNCTION("""COMPUTED_VALUE"""),6.83)</f>
        <v>6.83</v>
      </c>
      <c r="H7640" s="17"/>
      <c r="K7640" s="17"/>
      <c r="N7640" s="17"/>
    </row>
    <row r="7641">
      <c r="B7641" s="11">
        <f>IFERROR(__xludf.DUMMYFUNCTION("""COMPUTED_VALUE"""),35328.0)</f>
        <v>35328</v>
      </c>
      <c r="C7641" s="9">
        <f>IFERROR(__xludf.DUMMYFUNCTION("""COMPUTED_VALUE"""),6.85)</f>
        <v>6.85</v>
      </c>
      <c r="H7641" s="17"/>
      <c r="K7641" s="17"/>
      <c r="N7641" s="17"/>
    </row>
    <row r="7642">
      <c r="B7642" s="11">
        <f>IFERROR(__xludf.DUMMYFUNCTION("""COMPUTED_VALUE"""),35327.0)</f>
        <v>35327</v>
      </c>
      <c r="C7642" s="9">
        <f>IFERROR(__xludf.DUMMYFUNCTION("""COMPUTED_VALUE"""),6.87)</f>
        <v>6.87</v>
      </c>
      <c r="H7642" s="17"/>
      <c r="K7642" s="17"/>
      <c r="N7642" s="17"/>
    </row>
    <row r="7643">
      <c r="B7643" s="11">
        <f>IFERROR(__xludf.DUMMYFUNCTION("""COMPUTED_VALUE"""),35326.0)</f>
        <v>35326</v>
      </c>
      <c r="C7643" s="9">
        <f>IFERROR(__xludf.DUMMYFUNCTION("""COMPUTED_VALUE"""),6.83)</f>
        <v>6.83</v>
      </c>
      <c r="H7643" s="17"/>
      <c r="K7643" s="17"/>
      <c r="N7643" s="17"/>
    </row>
    <row r="7644">
      <c r="B7644" s="11">
        <f>IFERROR(__xludf.DUMMYFUNCTION("""COMPUTED_VALUE"""),35325.0)</f>
        <v>35325</v>
      </c>
      <c r="C7644" s="9">
        <f>IFERROR(__xludf.DUMMYFUNCTION("""COMPUTED_VALUE"""),6.81)</f>
        <v>6.81</v>
      </c>
      <c r="H7644" s="17"/>
      <c r="K7644" s="17"/>
      <c r="N7644" s="17"/>
    </row>
    <row r="7645">
      <c r="B7645" s="11">
        <f>IFERROR(__xludf.DUMMYFUNCTION("""COMPUTED_VALUE"""),35324.0)</f>
        <v>35324</v>
      </c>
      <c r="C7645" s="9">
        <f>IFERROR(__xludf.DUMMYFUNCTION("""COMPUTED_VALUE"""),6.73)</f>
        <v>6.73</v>
      </c>
      <c r="H7645" s="17"/>
      <c r="K7645" s="17"/>
      <c r="N7645" s="17"/>
    </row>
    <row r="7646">
      <c r="B7646" s="11">
        <f>IFERROR(__xludf.DUMMYFUNCTION("""COMPUTED_VALUE"""),35321.0)</f>
        <v>35321</v>
      </c>
      <c r="C7646" s="9">
        <f>IFERROR(__xludf.DUMMYFUNCTION("""COMPUTED_VALUE"""),6.74)</f>
        <v>6.74</v>
      </c>
      <c r="H7646" s="17"/>
      <c r="K7646" s="17"/>
      <c r="N7646" s="17"/>
    </row>
    <row r="7647">
      <c r="B7647" s="11">
        <f>IFERROR(__xludf.DUMMYFUNCTION("""COMPUTED_VALUE"""),35320.0)</f>
        <v>35320</v>
      </c>
      <c r="C7647" s="9">
        <f>IFERROR(__xludf.DUMMYFUNCTION("""COMPUTED_VALUE"""),6.88)</f>
        <v>6.88</v>
      </c>
      <c r="H7647" s="17"/>
      <c r="K7647" s="17"/>
      <c r="N7647" s="17"/>
    </row>
    <row r="7648">
      <c r="B7648" s="11">
        <f>IFERROR(__xludf.DUMMYFUNCTION("""COMPUTED_VALUE"""),35319.0)</f>
        <v>35319</v>
      </c>
      <c r="C7648" s="9">
        <f>IFERROR(__xludf.DUMMYFUNCTION("""COMPUTED_VALUE"""),6.94)</f>
        <v>6.94</v>
      </c>
      <c r="H7648" s="17"/>
      <c r="K7648" s="17"/>
      <c r="N7648" s="17"/>
    </row>
    <row r="7649">
      <c r="B7649" s="11">
        <f>IFERROR(__xludf.DUMMYFUNCTION("""COMPUTED_VALUE"""),35318.0)</f>
        <v>35318</v>
      </c>
      <c r="C7649" s="9">
        <f>IFERROR(__xludf.DUMMYFUNCTION("""COMPUTED_VALUE"""),6.94)</f>
        <v>6.94</v>
      </c>
      <c r="H7649" s="17"/>
      <c r="K7649" s="17"/>
      <c r="N7649" s="17"/>
    </row>
    <row r="7650">
      <c r="B7650" s="11">
        <f>IFERROR(__xludf.DUMMYFUNCTION("""COMPUTED_VALUE"""),35317.0)</f>
        <v>35317</v>
      </c>
      <c r="C7650" s="9">
        <f>IFERROR(__xludf.DUMMYFUNCTION("""COMPUTED_VALUE"""),6.9)</f>
        <v>6.9</v>
      </c>
      <c r="H7650" s="17"/>
      <c r="K7650" s="17"/>
      <c r="N7650" s="17"/>
    </row>
    <row r="7651">
      <c r="B7651" s="11">
        <f>IFERROR(__xludf.DUMMYFUNCTION("""COMPUTED_VALUE"""),35314.0)</f>
        <v>35314</v>
      </c>
      <c r="C7651" s="9">
        <f>IFERROR(__xludf.DUMMYFUNCTION("""COMPUTED_VALUE"""),6.94)</f>
        <v>6.94</v>
      </c>
      <c r="H7651" s="17"/>
      <c r="K7651" s="17"/>
      <c r="N7651" s="17"/>
    </row>
    <row r="7652">
      <c r="B7652" s="11">
        <f>IFERROR(__xludf.DUMMYFUNCTION("""COMPUTED_VALUE"""),35313.0)</f>
        <v>35313</v>
      </c>
      <c r="C7652" s="9">
        <f>IFERROR(__xludf.DUMMYFUNCTION("""COMPUTED_VALUE"""),6.98)</f>
        <v>6.98</v>
      </c>
      <c r="H7652" s="17"/>
      <c r="K7652" s="17"/>
      <c r="N7652" s="17"/>
    </row>
    <row r="7653">
      <c r="B7653" s="11">
        <f>IFERROR(__xludf.DUMMYFUNCTION("""COMPUTED_VALUE"""),35312.0)</f>
        <v>35312</v>
      </c>
      <c r="C7653" s="9">
        <f>IFERROR(__xludf.DUMMYFUNCTION("""COMPUTED_VALUE"""),6.94)</f>
        <v>6.94</v>
      </c>
      <c r="H7653" s="17"/>
      <c r="K7653" s="17"/>
      <c r="N7653" s="17"/>
    </row>
    <row r="7654">
      <c r="B7654" s="11">
        <f>IFERROR(__xludf.DUMMYFUNCTION("""COMPUTED_VALUE"""),35311.0)</f>
        <v>35311</v>
      </c>
      <c r="C7654" s="9">
        <f>IFERROR(__xludf.DUMMYFUNCTION("""COMPUTED_VALUE"""),6.92)</f>
        <v>6.92</v>
      </c>
      <c r="H7654" s="17"/>
      <c r="K7654" s="17"/>
      <c r="N7654" s="17"/>
    </row>
    <row r="7655">
      <c r="B7655" s="11">
        <f>IFERROR(__xludf.DUMMYFUNCTION("""COMPUTED_VALUE"""),35310.0)</f>
        <v>35310</v>
      </c>
      <c r="C7655" s="9"/>
      <c r="H7655" s="17"/>
      <c r="K7655" s="17"/>
      <c r="N7655" s="17"/>
    </row>
    <row r="7656">
      <c r="B7656" s="11">
        <f>IFERROR(__xludf.DUMMYFUNCTION("""COMPUTED_VALUE"""),35307.0)</f>
        <v>35307</v>
      </c>
      <c r="C7656" s="9">
        <f>IFERROR(__xludf.DUMMYFUNCTION("""COMPUTED_VALUE"""),6.96)</f>
        <v>6.96</v>
      </c>
      <c r="H7656" s="17"/>
      <c r="K7656" s="17"/>
      <c r="N7656" s="17"/>
    </row>
    <row r="7657">
      <c r="B7657" s="11">
        <f>IFERROR(__xludf.DUMMYFUNCTION("""COMPUTED_VALUE"""),35306.0)</f>
        <v>35306</v>
      </c>
      <c r="C7657" s="9">
        <f>IFERROR(__xludf.DUMMYFUNCTION("""COMPUTED_VALUE"""),6.86)</f>
        <v>6.86</v>
      </c>
      <c r="H7657" s="17"/>
      <c r="K7657" s="17"/>
      <c r="N7657" s="17"/>
    </row>
    <row r="7658">
      <c r="B7658" s="11">
        <f>IFERROR(__xludf.DUMMYFUNCTION("""COMPUTED_VALUE"""),35305.0)</f>
        <v>35305</v>
      </c>
      <c r="C7658" s="9">
        <f>IFERROR(__xludf.DUMMYFUNCTION("""COMPUTED_VALUE"""),6.79)</f>
        <v>6.79</v>
      </c>
      <c r="H7658" s="17"/>
      <c r="K7658" s="17"/>
      <c r="N7658" s="17"/>
    </row>
    <row r="7659">
      <c r="B7659" s="11">
        <f>IFERROR(__xludf.DUMMYFUNCTION("""COMPUTED_VALUE"""),35304.0)</f>
        <v>35304</v>
      </c>
      <c r="C7659" s="9">
        <f>IFERROR(__xludf.DUMMYFUNCTION("""COMPUTED_VALUE"""),6.78)</f>
        <v>6.78</v>
      </c>
      <c r="H7659" s="17"/>
      <c r="K7659" s="17"/>
      <c r="N7659" s="17"/>
    </row>
    <row r="7660">
      <c r="B7660" s="11">
        <f>IFERROR(__xludf.DUMMYFUNCTION("""COMPUTED_VALUE"""),35303.0)</f>
        <v>35303</v>
      </c>
      <c r="C7660" s="9">
        <f>IFERROR(__xludf.DUMMYFUNCTION("""COMPUTED_VALUE"""),6.8)</f>
        <v>6.8</v>
      </c>
      <c r="H7660" s="17"/>
      <c r="K7660" s="17"/>
      <c r="N7660" s="17"/>
    </row>
    <row r="7661">
      <c r="B7661" s="11">
        <f>IFERROR(__xludf.DUMMYFUNCTION("""COMPUTED_VALUE"""),35300.0)</f>
        <v>35300</v>
      </c>
      <c r="C7661" s="9">
        <f>IFERROR(__xludf.DUMMYFUNCTION("""COMPUTED_VALUE"""),6.72)</f>
        <v>6.72</v>
      </c>
      <c r="H7661" s="17"/>
      <c r="K7661" s="17"/>
      <c r="N7661" s="17"/>
    </row>
    <row r="7662">
      <c r="B7662" s="11">
        <f>IFERROR(__xludf.DUMMYFUNCTION("""COMPUTED_VALUE"""),35299.0)</f>
        <v>35299</v>
      </c>
      <c r="C7662" s="9">
        <f>IFERROR(__xludf.DUMMYFUNCTION("""COMPUTED_VALUE"""),6.62)</f>
        <v>6.62</v>
      </c>
      <c r="H7662" s="17"/>
      <c r="K7662" s="17"/>
      <c r="N7662" s="17"/>
    </row>
    <row r="7663">
      <c r="B7663" s="11">
        <f>IFERROR(__xludf.DUMMYFUNCTION("""COMPUTED_VALUE"""),35298.0)</f>
        <v>35298</v>
      </c>
      <c r="C7663" s="9">
        <f>IFERROR(__xludf.DUMMYFUNCTION("""COMPUTED_VALUE"""),6.61)</f>
        <v>6.61</v>
      </c>
      <c r="H7663" s="17"/>
      <c r="K7663" s="17"/>
      <c r="N7663" s="17"/>
    </row>
    <row r="7664">
      <c r="B7664" s="11">
        <f>IFERROR(__xludf.DUMMYFUNCTION("""COMPUTED_VALUE"""),35297.0)</f>
        <v>35297</v>
      </c>
      <c r="C7664" s="9">
        <f>IFERROR(__xludf.DUMMYFUNCTION("""COMPUTED_VALUE"""),6.59)</f>
        <v>6.59</v>
      </c>
      <c r="H7664" s="17"/>
      <c r="K7664" s="17"/>
      <c r="N7664" s="17"/>
    </row>
    <row r="7665">
      <c r="B7665" s="11">
        <f>IFERROR(__xludf.DUMMYFUNCTION("""COMPUTED_VALUE"""),35296.0)</f>
        <v>35296</v>
      </c>
      <c r="C7665" s="9">
        <f>IFERROR(__xludf.DUMMYFUNCTION("""COMPUTED_VALUE"""),6.59)</f>
        <v>6.59</v>
      </c>
      <c r="H7665" s="17"/>
      <c r="K7665" s="17"/>
      <c r="N7665" s="17"/>
    </row>
    <row r="7666">
      <c r="B7666" s="11">
        <f>IFERROR(__xludf.DUMMYFUNCTION("""COMPUTED_VALUE"""),35293.0)</f>
        <v>35293</v>
      </c>
      <c r="C7666" s="9">
        <f>IFERROR(__xludf.DUMMYFUNCTION("""COMPUTED_VALUE"""),6.56)</f>
        <v>6.56</v>
      </c>
      <c r="H7666" s="17"/>
      <c r="K7666" s="17"/>
      <c r="N7666" s="17"/>
    </row>
    <row r="7667">
      <c r="B7667" s="11">
        <f>IFERROR(__xludf.DUMMYFUNCTION("""COMPUTED_VALUE"""),35292.0)</f>
        <v>35292</v>
      </c>
      <c r="C7667" s="9">
        <f>IFERROR(__xludf.DUMMYFUNCTION("""COMPUTED_VALUE"""),6.62)</f>
        <v>6.62</v>
      </c>
      <c r="H7667" s="17"/>
      <c r="K7667" s="17"/>
      <c r="N7667" s="17"/>
    </row>
    <row r="7668">
      <c r="B7668" s="11">
        <f>IFERROR(__xludf.DUMMYFUNCTION("""COMPUTED_VALUE"""),35291.0)</f>
        <v>35291</v>
      </c>
      <c r="C7668" s="9">
        <f>IFERROR(__xludf.DUMMYFUNCTION("""COMPUTED_VALUE"""),6.58)</f>
        <v>6.58</v>
      </c>
      <c r="H7668" s="17"/>
      <c r="K7668" s="17"/>
      <c r="N7668" s="17"/>
    </row>
    <row r="7669">
      <c r="B7669" s="11">
        <f>IFERROR(__xludf.DUMMYFUNCTION("""COMPUTED_VALUE"""),35290.0)</f>
        <v>35290</v>
      </c>
      <c r="C7669" s="9">
        <f>IFERROR(__xludf.DUMMYFUNCTION("""COMPUTED_VALUE"""),6.57)</f>
        <v>6.57</v>
      </c>
      <c r="H7669" s="17"/>
      <c r="K7669" s="17"/>
      <c r="N7669" s="17"/>
    </row>
    <row r="7670">
      <c r="B7670" s="11">
        <f>IFERROR(__xludf.DUMMYFUNCTION("""COMPUTED_VALUE"""),35289.0)</f>
        <v>35289</v>
      </c>
      <c r="C7670" s="9">
        <f>IFERROR(__xludf.DUMMYFUNCTION("""COMPUTED_VALUE"""),6.49)</f>
        <v>6.49</v>
      </c>
      <c r="H7670" s="17"/>
      <c r="K7670" s="17"/>
      <c r="N7670" s="17"/>
    </row>
    <row r="7671">
      <c r="B7671" s="11">
        <f>IFERROR(__xludf.DUMMYFUNCTION("""COMPUTED_VALUE"""),35286.0)</f>
        <v>35286</v>
      </c>
      <c r="C7671" s="9">
        <f>IFERROR(__xludf.DUMMYFUNCTION("""COMPUTED_VALUE"""),6.5)</f>
        <v>6.5</v>
      </c>
      <c r="H7671" s="17"/>
      <c r="K7671" s="17"/>
      <c r="N7671" s="17"/>
    </row>
    <row r="7672">
      <c r="B7672" s="11">
        <f>IFERROR(__xludf.DUMMYFUNCTION("""COMPUTED_VALUE"""),35285.0)</f>
        <v>35285</v>
      </c>
      <c r="C7672" s="9">
        <f>IFERROR(__xludf.DUMMYFUNCTION("""COMPUTED_VALUE"""),6.56)</f>
        <v>6.56</v>
      </c>
      <c r="H7672" s="17"/>
      <c r="K7672" s="17"/>
      <c r="N7672" s="17"/>
    </row>
    <row r="7673">
      <c r="B7673" s="11">
        <f>IFERROR(__xludf.DUMMYFUNCTION("""COMPUTED_VALUE"""),35284.0)</f>
        <v>35284</v>
      </c>
      <c r="C7673" s="9">
        <f>IFERROR(__xludf.DUMMYFUNCTION("""COMPUTED_VALUE"""),6.55)</f>
        <v>6.55</v>
      </c>
      <c r="H7673" s="17"/>
      <c r="K7673" s="17"/>
      <c r="N7673" s="17"/>
    </row>
    <row r="7674">
      <c r="B7674" s="11">
        <f>IFERROR(__xludf.DUMMYFUNCTION("""COMPUTED_VALUE"""),35283.0)</f>
        <v>35283</v>
      </c>
      <c r="C7674" s="9">
        <f>IFERROR(__xludf.DUMMYFUNCTION("""COMPUTED_VALUE"""),6.54)</f>
        <v>6.54</v>
      </c>
      <c r="H7674" s="17"/>
      <c r="K7674" s="17"/>
      <c r="N7674" s="17"/>
    </row>
    <row r="7675">
      <c r="B7675" s="11">
        <f>IFERROR(__xludf.DUMMYFUNCTION("""COMPUTED_VALUE"""),35282.0)</f>
        <v>35282</v>
      </c>
      <c r="C7675" s="9">
        <f>IFERROR(__xludf.DUMMYFUNCTION("""COMPUTED_VALUE"""),6.53)</f>
        <v>6.53</v>
      </c>
      <c r="H7675" s="17"/>
      <c r="K7675" s="17"/>
      <c r="N7675" s="17"/>
    </row>
    <row r="7676">
      <c r="B7676" s="11">
        <f>IFERROR(__xludf.DUMMYFUNCTION("""COMPUTED_VALUE"""),35279.0)</f>
        <v>35279</v>
      </c>
      <c r="C7676" s="9">
        <f>IFERROR(__xludf.DUMMYFUNCTION("""COMPUTED_VALUE"""),6.51)</f>
        <v>6.51</v>
      </c>
      <c r="H7676" s="17"/>
      <c r="K7676" s="17"/>
      <c r="N7676" s="17"/>
    </row>
    <row r="7677">
      <c r="B7677" s="11">
        <f>IFERROR(__xludf.DUMMYFUNCTION("""COMPUTED_VALUE"""),35278.0)</f>
        <v>35278</v>
      </c>
      <c r="C7677" s="9">
        <f>IFERROR(__xludf.DUMMYFUNCTION("""COMPUTED_VALUE"""),6.65)</f>
        <v>6.65</v>
      </c>
      <c r="H7677" s="17"/>
      <c r="K7677" s="17"/>
      <c r="N7677" s="17"/>
    </row>
    <row r="7678">
      <c r="B7678" s="11">
        <f>IFERROR(__xludf.DUMMYFUNCTION("""COMPUTED_VALUE"""),35277.0)</f>
        <v>35277</v>
      </c>
      <c r="C7678" s="9">
        <f>IFERROR(__xludf.DUMMYFUNCTION("""COMPUTED_VALUE"""),6.8)</f>
        <v>6.8</v>
      </c>
      <c r="H7678" s="17"/>
      <c r="K7678" s="17"/>
      <c r="N7678" s="17"/>
    </row>
    <row r="7679">
      <c r="B7679" s="11">
        <f>IFERROR(__xludf.DUMMYFUNCTION("""COMPUTED_VALUE"""),35276.0)</f>
        <v>35276</v>
      </c>
      <c r="C7679" s="9">
        <f>IFERROR(__xludf.DUMMYFUNCTION("""COMPUTED_VALUE"""),6.89)</f>
        <v>6.89</v>
      </c>
      <c r="H7679" s="17"/>
      <c r="K7679" s="17"/>
      <c r="N7679" s="17"/>
    </row>
    <row r="7680">
      <c r="B7680" s="11">
        <f>IFERROR(__xludf.DUMMYFUNCTION("""COMPUTED_VALUE"""),35275.0)</f>
        <v>35275</v>
      </c>
      <c r="C7680" s="9">
        <f>IFERROR(__xludf.DUMMYFUNCTION("""COMPUTED_VALUE"""),6.93)</f>
        <v>6.93</v>
      </c>
      <c r="H7680" s="17"/>
      <c r="K7680" s="17"/>
      <c r="N7680" s="17"/>
    </row>
    <row r="7681">
      <c r="B7681" s="11">
        <f>IFERROR(__xludf.DUMMYFUNCTION("""COMPUTED_VALUE"""),35272.0)</f>
        <v>35272</v>
      </c>
      <c r="C7681" s="9">
        <f>IFERROR(__xludf.DUMMYFUNCTION("""COMPUTED_VALUE"""),6.85)</f>
        <v>6.85</v>
      </c>
      <c r="H7681" s="17"/>
      <c r="K7681" s="17"/>
      <c r="N7681" s="17"/>
    </row>
    <row r="7682">
      <c r="B7682" s="11">
        <f>IFERROR(__xludf.DUMMYFUNCTION("""COMPUTED_VALUE"""),35271.0)</f>
        <v>35271</v>
      </c>
      <c r="C7682" s="9">
        <f>IFERROR(__xludf.DUMMYFUNCTION("""COMPUTED_VALUE"""),6.87)</f>
        <v>6.87</v>
      </c>
      <c r="H7682" s="17"/>
      <c r="K7682" s="17"/>
      <c r="N7682" s="17"/>
    </row>
    <row r="7683">
      <c r="B7683" s="11">
        <f>IFERROR(__xludf.DUMMYFUNCTION("""COMPUTED_VALUE"""),35270.0)</f>
        <v>35270</v>
      </c>
      <c r="C7683" s="9">
        <f>IFERROR(__xludf.DUMMYFUNCTION("""COMPUTED_VALUE"""),6.87)</f>
        <v>6.87</v>
      </c>
      <c r="H7683" s="17"/>
      <c r="K7683" s="17"/>
      <c r="N7683" s="17"/>
    </row>
    <row r="7684">
      <c r="B7684" s="11">
        <f>IFERROR(__xludf.DUMMYFUNCTION("""COMPUTED_VALUE"""),35269.0)</f>
        <v>35269</v>
      </c>
      <c r="C7684" s="9">
        <f>IFERROR(__xludf.DUMMYFUNCTION("""COMPUTED_VALUE"""),6.8)</f>
        <v>6.8</v>
      </c>
      <c r="H7684" s="17"/>
      <c r="K7684" s="17"/>
      <c r="N7684" s="17"/>
    </row>
    <row r="7685">
      <c r="B7685" s="11">
        <f>IFERROR(__xludf.DUMMYFUNCTION("""COMPUTED_VALUE"""),35268.0)</f>
        <v>35268</v>
      </c>
      <c r="C7685" s="9">
        <f>IFERROR(__xludf.DUMMYFUNCTION("""COMPUTED_VALUE"""),6.84)</f>
        <v>6.84</v>
      </c>
      <c r="H7685" s="17"/>
      <c r="K7685" s="17"/>
      <c r="N7685" s="17"/>
    </row>
    <row r="7686">
      <c r="B7686" s="11">
        <f>IFERROR(__xludf.DUMMYFUNCTION("""COMPUTED_VALUE"""),35265.0)</f>
        <v>35265</v>
      </c>
      <c r="C7686" s="9">
        <f>IFERROR(__xludf.DUMMYFUNCTION("""COMPUTED_VALUE"""),6.78)</f>
        <v>6.78</v>
      </c>
      <c r="H7686" s="17"/>
      <c r="K7686" s="17"/>
      <c r="N7686" s="17"/>
    </row>
    <row r="7687">
      <c r="B7687" s="11">
        <f>IFERROR(__xludf.DUMMYFUNCTION("""COMPUTED_VALUE"""),35264.0)</f>
        <v>35264</v>
      </c>
      <c r="C7687" s="9">
        <f>IFERROR(__xludf.DUMMYFUNCTION("""COMPUTED_VALUE"""),6.72)</f>
        <v>6.72</v>
      </c>
      <c r="H7687" s="17"/>
      <c r="K7687" s="17"/>
      <c r="N7687" s="17"/>
    </row>
    <row r="7688">
      <c r="B7688" s="11">
        <f>IFERROR(__xludf.DUMMYFUNCTION("""COMPUTED_VALUE"""),35263.0)</f>
        <v>35263</v>
      </c>
      <c r="C7688" s="9">
        <f>IFERROR(__xludf.DUMMYFUNCTION("""COMPUTED_VALUE"""),6.83)</f>
        <v>6.83</v>
      </c>
      <c r="H7688" s="17"/>
      <c r="K7688" s="17"/>
      <c r="N7688" s="17"/>
    </row>
    <row r="7689">
      <c r="B7689" s="11">
        <f>IFERROR(__xludf.DUMMYFUNCTION("""COMPUTED_VALUE"""),35262.0)</f>
        <v>35262</v>
      </c>
      <c r="C7689" s="9">
        <f>IFERROR(__xludf.DUMMYFUNCTION("""COMPUTED_VALUE"""),6.84)</f>
        <v>6.84</v>
      </c>
      <c r="H7689" s="17"/>
      <c r="K7689" s="17"/>
      <c r="N7689" s="17"/>
    </row>
    <row r="7690">
      <c r="B7690" s="11">
        <f>IFERROR(__xludf.DUMMYFUNCTION("""COMPUTED_VALUE"""),35261.0)</f>
        <v>35261</v>
      </c>
      <c r="C7690" s="9">
        <f>IFERROR(__xludf.DUMMYFUNCTION("""COMPUTED_VALUE"""),6.89)</f>
        <v>6.89</v>
      </c>
      <c r="H7690" s="17"/>
      <c r="K7690" s="17"/>
      <c r="N7690" s="17"/>
    </row>
    <row r="7691">
      <c r="B7691" s="11">
        <f>IFERROR(__xludf.DUMMYFUNCTION("""COMPUTED_VALUE"""),35258.0)</f>
        <v>35258</v>
      </c>
      <c r="C7691" s="9">
        <f>IFERROR(__xludf.DUMMYFUNCTION("""COMPUTED_VALUE"""),6.85)</f>
        <v>6.85</v>
      </c>
      <c r="H7691" s="17"/>
      <c r="K7691" s="17"/>
      <c r="N7691" s="17"/>
    </row>
    <row r="7692">
      <c r="B7692" s="11">
        <f>IFERROR(__xludf.DUMMYFUNCTION("""COMPUTED_VALUE"""),35257.0)</f>
        <v>35257</v>
      </c>
      <c r="C7692" s="9">
        <f>IFERROR(__xludf.DUMMYFUNCTION("""COMPUTED_VALUE"""),6.9)</f>
        <v>6.9</v>
      </c>
      <c r="H7692" s="17"/>
      <c r="K7692" s="17"/>
      <c r="N7692" s="17"/>
    </row>
    <row r="7693">
      <c r="B7693" s="11">
        <f>IFERROR(__xludf.DUMMYFUNCTION("""COMPUTED_VALUE"""),35256.0)</f>
        <v>35256</v>
      </c>
      <c r="C7693" s="9">
        <f>IFERROR(__xludf.DUMMYFUNCTION("""COMPUTED_VALUE"""),6.95)</f>
        <v>6.95</v>
      </c>
      <c r="H7693" s="17"/>
      <c r="K7693" s="17"/>
      <c r="N7693" s="17"/>
    </row>
    <row r="7694">
      <c r="B7694" s="11">
        <f>IFERROR(__xludf.DUMMYFUNCTION("""COMPUTED_VALUE"""),35255.0)</f>
        <v>35255</v>
      </c>
      <c r="C7694" s="9">
        <f>IFERROR(__xludf.DUMMYFUNCTION("""COMPUTED_VALUE"""),7.0)</f>
        <v>7</v>
      </c>
      <c r="H7694" s="17"/>
      <c r="K7694" s="17"/>
      <c r="N7694" s="17"/>
    </row>
    <row r="7695">
      <c r="B7695" s="11">
        <f>IFERROR(__xludf.DUMMYFUNCTION("""COMPUTED_VALUE"""),35254.0)</f>
        <v>35254</v>
      </c>
      <c r="C7695" s="9">
        <f>IFERROR(__xludf.DUMMYFUNCTION("""COMPUTED_VALUE"""),7.05)</f>
        <v>7.05</v>
      </c>
      <c r="H7695" s="17"/>
      <c r="K7695" s="17"/>
      <c r="N7695" s="17"/>
    </row>
    <row r="7696">
      <c r="B7696" s="11">
        <f>IFERROR(__xludf.DUMMYFUNCTION("""COMPUTED_VALUE"""),35251.0)</f>
        <v>35251</v>
      </c>
      <c r="C7696" s="9">
        <f>IFERROR(__xludf.DUMMYFUNCTION("""COMPUTED_VALUE"""),7.06)</f>
        <v>7.06</v>
      </c>
      <c r="H7696" s="17"/>
      <c r="K7696" s="17"/>
      <c r="N7696" s="17"/>
    </row>
    <row r="7697">
      <c r="B7697" s="11">
        <f>IFERROR(__xludf.DUMMYFUNCTION("""COMPUTED_VALUE"""),35250.0)</f>
        <v>35250</v>
      </c>
      <c r="C7697" s="9"/>
      <c r="H7697" s="17"/>
      <c r="K7697" s="17"/>
      <c r="N7697" s="17"/>
    </row>
    <row r="7698">
      <c r="B7698" s="11">
        <f>IFERROR(__xludf.DUMMYFUNCTION("""COMPUTED_VALUE"""),35249.0)</f>
        <v>35249</v>
      </c>
      <c r="C7698" s="9">
        <f>IFERROR(__xludf.DUMMYFUNCTION("""COMPUTED_VALUE"""),6.78)</f>
        <v>6.78</v>
      </c>
      <c r="H7698" s="17"/>
      <c r="K7698" s="17"/>
      <c r="N7698" s="17"/>
    </row>
    <row r="7699">
      <c r="B7699" s="11">
        <f>IFERROR(__xludf.DUMMYFUNCTION("""COMPUTED_VALUE"""),35248.0)</f>
        <v>35248</v>
      </c>
      <c r="C7699" s="9">
        <f>IFERROR(__xludf.DUMMYFUNCTION("""COMPUTED_VALUE"""),6.8)</f>
        <v>6.8</v>
      </c>
      <c r="H7699" s="17"/>
      <c r="K7699" s="17"/>
      <c r="N7699" s="17"/>
    </row>
    <row r="7700">
      <c r="B7700" s="11">
        <f>IFERROR(__xludf.DUMMYFUNCTION("""COMPUTED_VALUE"""),35247.0)</f>
        <v>35247</v>
      </c>
      <c r="C7700" s="9">
        <f>IFERROR(__xludf.DUMMYFUNCTION("""COMPUTED_VALUE"""),6.74)</f>
        <v>6.74</v>
      </c>
      <c r="H7700" s="17"/>
      <c r="K7700" s="17"/>
      <c r="N7700" s="17"/>
    </row>
    <row r="7701">
      <c r="B7701" s="11">
        <f>IFERROR(__xludf.DUMMYFUNCTION("""COMPUTED_VALUE"""),35244.0)</f>
        <v>35244</v>
      </c>
      <c r="C7701" s="9">
        <f>IFERROR(__xludf.DUMMYFUNCTION("""COMPUTED_VALUE"""),6.73)</f>
        <v>6.73</v>
      </c>
      <c r="H7701" s="17"/>
      <c r="K7701" s="17"/>
      <c r="N7701" s="17"/>
    </row>
    <row r="7702">
      <c r="B7702" s="11">
        <f>IFERROR(__xludf.DUMMYFUNCTION("""COMPUTED_VALUE"""),35243.0)</f>
        <v>35243</v>
      </c>
      <c r="C7702" s="9">
        <f>IFERROR(__xludf.DUMMYFUNCTION("""COMPUTED_VALUE"""),6.83)</f>
        <v>6.83</v>
      </c>
      <c r="H7702" s="17"/>
      <c r="K7702" s="17"/>
      <c r="N7702" s="17"/>
    </row>
    <row r="7703">
      <c r="B7703" s="11">
        <f>IFERROR(__xludf.DUMMYFUNCTION("""COMPUTED_VALUE"""),35242.0)</f>
        <v>35242</v>
      </c>
      <c r="C7703" s="9">
        <f>IFERROR(__xludf.DUMMYFUNCTION("""COMPUTED_VALUE"""),6.91)</f>
        <v>6.91</v>
      </c>
      <c r="H7703" s="17"/>
      <c r="K7703" s="17"/>
      <c r="N7703" s="17"/>
    </row>
    <row r="7704">
      <c r="B7704" s="11">
        <f>IFERROR(__xludf.DUMMYFUNCTION("""COMPUTED_VALUE"""),35241.0)</f>
        <v>35241</v>
      </c>
      <c r="C7704" s="9">
        <f>IFERROR(__xludf.DUMMYFUNCTION("""COMPUTED_VALUE"""),6.91)</f>
        <v>6.91</v>
      </c>
      <c r="H7704" s="17"/>
      <c r="K7704" s="17"/>
      <c r="N7704" s="17"/>
    </row>
    <row r="7705">
      <c r="B7705" s="11">
        <f>IFERROR(__xludf.DUMMYFUNCTION("""COMPUTED_VALUE"""),35240.0)</f>
        <v>35240</v>
      </c>
      <c r="C7705" s="9">
        <f>IFERROR(__xludf.DUMMYFUNCTION("""COMPUTED_VALUE"""),6.94)</f>
        <v>6.94</v>
      </c>
      <c r="H7705" s="17"/>
      <c r="K7705" s="17"/>
      <c r="N7705" s="17"/>
    </row>
    <row r="7706">
      <c r="B7706" s="11">
        <f>IFERROR(__xludf.DUMMYFUNCTION("""COMPUTED_VALUE"""),35237.0)</f>
        <v>35237</v>
      </c>
      <c r="C7706" s="9">
        <f>IFERROR(__xludf.DUMMYFUNCTION("""COMPUTED_VALUE"""),6.96)</f>
        <v>6.96</v>
      </c>
      <c r="H7706" s="17"/>
      <c r="K7706" s="17"/>
      <c r="N7706" s="17"/>
    </row>
    <row r="7707">
      <c r="B7707" s="11">
        <f>IFERROR(__xludf.DUMMYFUNCTION("""COMPUTED_VALUE"""),35236.0)</f>
        <v>35236</v>
      </c>
      <c r="C7707" s="9">
        <f>IFERROR(__xludf.DUMMYFUNCTION("""COMPUTED_VALUE"""),6.98)</f>
        <v>6.98</v>
      </c>
      <c r="H7707" s="17"/>
      <c r="K7707" s="17"/>
      <c r="N7707" s="17"/>
    </row>
    <row r="7708">
      <c r="B7708" s="11">
        <f>IFERROR(__xludf.DUMMYFUNCTION("""COMPUTED_VALUE"""),35235.0)</f>
        <v>35235</v>
      </c>
      <c r="C7708" s="9">
        <f>IFERROR(__xludf.DUMMYFUNCTION("""COMPUTED_VALUE"""),6.96)</f>
        <v>6.96</v>
      </c>
      <c r="H7708" s="17"/>
      <c r="K7708" s="17"/>
      <c r="N7708" s="17"/>
    </row>
    <row r="7709">
      <c r="B7709" s="11">
        <f>IFERROR(__xludf.DUMMYFUNCTION("""COMPUTED_VALUE"""),35234.0)</f>
        <v>35234</v>
      </c>
      <c r="C7709" s="9">
        <f>IFERROR(__xludf.DUMMYFUNCTION("""COMPUTED_VALUE"""),6.93)</f>
        <v>6.93</v>
      </c>
      <c r="H7709" s="17"/>
      <c r="K7709" s="17"/>
      <c r="N7709" s="17"/>
    </row>
    <row r="7710">
      <c r="B7710" s="11">
        <f>IFERROR(__xludf.DUMMYFUNCTION("""COMPUTED_VALUE"""),35233.0)</f>
        <v>35233</v>
      </c>
      <c r="C7710" s="9">
        <f>IFERROR(__xludf.DUMMYFUNCTION("""COMPUTED_VALUE"""),6.9)</f>
        <v>6.9</v>
      </c>
      <c r="H7710" s="17"/>
      <c r="K7710" s="17"/>
      <c r="N7710" s="17"/>
    </row>
    <row r="7711">
      <c r="B7711" s="11">
        <f>IFERROR(__xludf.DUMMYFUNCTION("""COMPUTED_VALUE"""),35230.0)</f>
        <v>35230</v>
      </c>
      <c r="C7711" s="9">
        <f>IFERROR(__xludf.DUMMYFUNCTION("""COMPUTED_VALUE"""),6.95)</f>
        <v>6.95</v>
      </c>
      <c r="H7711" s="17"/>
      <c r="K7711" s="17"/>
      <c r="N7711" s="17"/>
    </row>
    <row r="7712">
      <c r="B7712" s="11">
        <f>IFERROR(__xludf.DUMMYFUNCTION("""COMPUTED_VALUE"""),35229.0)</f>
        <v>35229</v>
      </c>
      <c r="C7712" s="9">
        <f>IFERROR(__xludf.DUMMYFUNCTION("""COMPUTED_VALUE"""),7.01)</f>
        <v>7.01</v>
      </c>
      <c r="H7712" s="17"/>
      <c r="K7712" s="17"/>
      <c r="N7712" s="17"/>
    </row>
    <row r="7713">
      <c r="B7713" s="11">
        <f>IFERROR(__xludf.DUMMYFUNCTION("""COMPUTED_VALUE"""),35228.0)</f>
        <v>35228</v>
      </c>
      <c r="C7713" s="9">
        <f>IFERROR(__xludf.DUMMYFUNCTION("""COMPUTED_VALUE"""),7.03)</f>
        <v>7.03</v>
      </c>
      <c r="H7713" s="17"/>
      <c r="K7713" s="17"/>
      <c r="N7713" s="17"/>
    </row>
    <row r="7714">
      <c r="B7714" s="11">
        <f>IFERROR(__xludf.DUMMYFUNCTION("""COMPUTED_VALUE"""),35227.0)</f>
        <v>35227</v>
      </c>
      <c r="C7714" s="9">
        <f>IFERROR(__xludf.DUMMYFUNCTION("""COMPUTED_VALUE"""),6.99)</f>
        <v>6.99</v>
      </c>
      <c r="H7714" s="17"/>
      <c r="K7714" s="17"/>
      <c r="N7714" s="17"/>
    </row>
    <row r="7715">
      <c r="B7715" s="11">
        <f>IFERROR(__xludf.DUMMYFUNCTION("""COMPUTED_VALUE"""),35226.0)</f>
        <v>35226</v>
      </c>
      <c r="C7715" s="9">
        <f>IFERROR(__xludf.DUMMYFUNCTION("""COMPUTED_VALUE"""),6.97)</f>
        <v>6.97</v>
      </c>
      <c r="H7715" s="17"/>
      <c r="K7715" s="17"/>
      <c r="N7715" s="17"/>
    </row>
    <row r="7716">
      <c r="B7716" s="11">
        <f>IFERROR(__xludf.DUMMYFUNCTION("""COMPUTED_VALUE"""),35223.0)</f>
        <v>35223</v>
      </c>
      <c r="C7716" s="9">
        <f>IFERROR(__xludf.DUMMYFUNCTION("""COMPUTED_VALUE"""),6.93)</f>
        <v>6.93</v>
      </c>
      <c r="H7716" s="17"/>
      <c r="K7716" s="17"/>
      <c r="N7716" s="17"/>
    </row>
    <row r="7717">
      <c r="B7717" s="11">
        <f>IFERROR(__xludf.DUMMYFUNCTION("""COMPUTED_VALUE"""),35222.0)</f>
        <v>35222</v>
      </c>
      <c r="C7717" s="9">
        <f>IFERROR(__xludf.DUMMYFUNCTION("""COMPUTED_VALUE"""),6.76)</f>
        <v>6.76</v>
      </c>
      <c r="H7717" s="17"/>
      <c r="K7717" s="17"/>
      <c r="N7717" s="17"/>
    </row>
    <row r="7718">
      <c r="B7718" s="11">
        <f>IFERROR(__xludf.DUMMYFUNCTION("""COMPUTED_VALUE"""),35221.0)</f>
        <v>35221</v>
      </c>
      <c r="C7718" s="9">
        <f>IFERROR(__xludf.DUMMYFUNCTION("""COMPUTED_VALUE"""),6.82)</f>
        <v>6.82</v>
      </c>
      <c r="H7718" s="17"/>
      <c r="K7718" s="17"/>
      <c r="N7718" s="17"/>
    </row>
    <row r="7719">
      <c r="B7719" s="11">
        <f>IFERROR(__xludf.DUMMYFUNCTION("""COMPUTED_VALUE"""),35220.0)</f>
        <v>35220</v>
      </c>
      <c r="C7719" s="9">
        <f>IFERROR(__xludf.DUMMYFUNCTION("""COMPUTED_VALUE"""),6.86)</f>
        <v>6.86</v>
      </c>
      <c r="H7719" s="17"/>
      <c r="K7719" s="17"/>
      <c r="N7719" s="17"/>
    </row>
    <row r="7720">
      <c r="B7720" s="11">
        <f>IFERROR(__xludf.DUMMYFUNCTION("""COMPUTED_VALUE"""),35219.0)</f>
        <v>35219</v>
      </c>
      <c r="C7720" s="9">
        <f>IFERROR(__xludf.DUMMYFUNCTION("""COMPUTED_VALUE"""),6.87)</f>
        <v>6.87</v>
      </c>
      <c r="H7720" s="17"/>
      <c r="K7720" s="17"/>
      <c r="N7720" s="17"/>
    </row>
    <row r="7721">
      <c r="B7721" s="11">
        <f>IFERROR(__xludf.DUMMYFUNCTION("""COMPUTED_VALUE"""),35216.0)</f>
        <v>35216</v>
      </c>
      <c r="C7721" s="9">
        <f>IFERROR(__xludf.DUMMYFUNCTION("""COMPUTED_VALUE"""),6.85)</f>
        <v>6.85</v>
      </c>
      <c r="H7721" s="17"/>
      <c r="K7721" s="17"/>
      <c r="N7721" s="17"/>
    </row>
    <row r="7722">
      <c r="B7722" s="11">
        <f>IFERROR(__xludf.DUMMYFUNCTION("""COMPUTED_VALUE"""),35215.0)</f>
        <v>35215</v>
      </c>
      <c r="C7722" s="9">
        <f>IFERROR(__xludf.DUMMYFUNCTION("""COMPUTED_VALUE"""),6.78)</f>
        <v>6.78</v>
      </c>
      <c r="H7722" s="17"/>
      <c r="K7722" s="17"/>
      <c r="N7722" s="17"/>
    </row>
    <row r="7723">
      <c r="B7723" s="11">
        <f>IFERROR(__xludf.DUMMYFUNCTION("""COMPUTED_VALUE"""),35214.0)</f>
        <v>35214</v>
      </c>
      <c r="C7723" s="9">
        <f>IFERROR(__xludf.DUMMYFUNCTION("""COMPUTED_VALUE"""),6.77)</f>
        <v>6.77</v>
      </c>
      <c r="H7723" s="17"/>
      <c r="K7723" s="17"/>
      <c r="N7723" s="17"/>
    </row>
    <row r="7724">
      <c r="B7724" s="11">
        <f>IFERROR(__xludf.DUMMYFUNCTION("""COMPUTED_VALUE"""),35213.0)</f>
        <v>35213</v>
      </c>
      <c r="C7724" s="9">
        <f>IFERROR(__xludf.DUMMYFUNCTION("""COMPUTED_VALUE"""),6.67)</f>
        <v>6.67</v>
      </c>
      <c r="H7724" s="17"/>
      <c r="K7724" s="17"/>
      <c r="N7724" s="17"/>
    </row>
    <row r="7725">
      <c r="B7725" s="11">
        <f>IFERROR(__xludf.DUMMYFUNCTION("""COMPUTED_VALUE"""),35212.0)</f>
        <v>35212</v>
      </c>
      <c r="C7725" s="9"/>
      <c r="H7725" s="17"/>
      <c r="K7725" s="17"/>
      <c r="N7725" s="17"/>
    </row>
    <row r="7726">
      <c r="B7726" s="11">
        <f>IFERROR(__xludf.DUMMYFUNCTION("""COMPUTED_VALUE"""),35209.0)</f>
        <v>35209</v>
      </c>
      <c r="C7726" s="9">
        <f>IFERROR(__xludf.DUMMYFUNCTION("""COMPUTED_VALUE"""),6.65)</f>
        <v>6.65</v>
      </c>
      <c r="H7726" s="17"/>
      <c r="K7726" s="17"/>
      <c r="N7726" s="17"/>
    </row>
    <row r="7727">
      <c r="B7727" s="11">
        <f>IFERROR(__xludf.DUMMYFUNCTION("""COMPUTED_VALUE"""),35208.0)</f>
        <v>35208</v>
      </c>
      <c r="C7727" s="9">
        <f>IFERROR(__xludf.DUMMYFUNCTION("""COMPUTED_VALUE"""),6.68)</f>
        <v>6.68</v>
      </c>
      <c r="H7727" s="17"/>
      <c r="K7727" s="17"/>
      <c r="N7727" s="17"/>
    </row>
    <row r="7728">
      <c r="B7728" s="11">
        <f>IFERROR(__xludf.DUMMYFUNCTION("""COMPUTED_VALUE"""),35207.0)</f>
        <v>35207</v>
      </c>
      <c r="C7728" s="9">
        <f>IFERROR(__xludf.DUMMYFUNCTION("""COMPUTED_VALUE"""),6.63)</f>
        <v>6.63</v>
      </c>
      <c r="H7728" s="17"/>
      <c r="K7728" s="17"/>
      <c r="N7728" s="17"/>
    </row>
    <row r="7729">
      <c r="B7729" s="11">
        <f>IFERROR(__xludf.DUMMYFUNCTION("""COMPUTED_VALUE"""),35206.0)</f>
        <v>35206</v>
      </c>
      <c r="C7729" s="9">
        <f>IFERROR(__xludf.DUMMYFUNCTION("""COMPUTED_VALUE"""),6.65)</f>
        <v>6.65</v>
      </c>
      <c r="H7729" s="17"/>
      <c r="K7729" s="17"/>
      <c r="N7729" s="17"/>
    </row>
    <row r="7730">
      <c r="B7730" s="11">
        <f>IFERROR(__xludf.DUMMYFUNCTION("""COMPUTED_VALUE"""),35205.0)</f>
        <v>35205</v>
      </c>
      <c r="C7730" s="9">
        <f>IFERROR(__xludf.DUMMYFUNCTION("""COMPUTED_VALUE"""),6.62)</f>
        <v>6.62</v>
      </c>
      <c r="H7730" s="17"/>
      <c r="K7730" s="17"/>
      <c r="N7730" s="17"/>
    </row>
    <row r="7731">
      <c r="B7731" s="11">
        <f>IFERROR(__xludf.DUMMYFUNCTION("""COMPUTED_VALUE"""),35202.0)</f>
        <v>35202</v>
      </c>
      <c r="C7731" s="9">
        <f>IFERROR(__xludf.DUMMYFUNCTION("""COMPUTED_VALUE"""),6.65)</f>
        <v>6.65</v>
      </c>
      <c r="H7731" s="17"/>
      <c r="K7731" s="17"/>
      <c r="N7731" s="17"/>
    </row>
    <row r="7732">
      <c r="B7732" s="11">
        <f>IFERROR(__xludf.DUMMYFUNCTION("""COMPUTED_VALUE"""),35201.0)</f>
        <v>35201</v>
      </c>
      <c r="C7732" s="9">
        <f>IFERROR(__xludf.DUMMYFUNCTION("""COMPUTED_VALUE"""),6.7)</f>
        <v>6.7</v>
      </c>
      <c r="H7732" s="17"/>
      <c r="K7732" s="17"/>
      <c r="N7732" s="17"/>
    </row>
    <row r="7733">
      <c r="B7733" s="11">
        <f>IFERROR(__xludf.DUMMYFUNCTION("""COMPUTED_VALUE"""),35200.0)</f>
        <v>35200</v>
      </c>
      <c r="C7733" s="9">
        <f>IFERROR(__xludf.DUMMYFUNCTION("""COMPUTED_VALUE"""),6.65)</f>
        <v>6.65</v>
      </c>
      <c r="H7733" s="17"/>
      <c r="K7733" s="17"/>
      <c r="N7733" s="17"/>
    </row>
    <row r="7734">
      <c r="B7734" s="11">
        <f>IFERROR(__xludf.DUMMYFUNCTION("""COMPUTED_VALUE"""),35199.0)</f>
        <v>35199</v>
      </c>
      <c r="C7734" s="9">
        <f>IFERROR(__xludf.DUMMYFUNCTION("""COMPUTED_VALUE"""),6.66)</f>
        <v>6.66</v>
      </c>
      <c r="H7734" s="17"/>
      <c r="K7734" s="17"/>
      <c r="N7734" s="17"/>
    </row>
    <row r="7735">
      <c r="B7735" s="11">
        <f>IFERROR(__xludf.DUMMYFUNCTION("""COMPUTED_VALUE"""),35198.0)</f>
        <v>35198</v>
      </c>
      <c r="C7735" s="9">
        <f>IFERROR(__xludf.DUMMYFUNCTION("""COMPUTED_VALUE"""),6.72)</f>
        <v>6.72</v>
      </c>
      <c r="H7735" s="17"/>
      <c r="K7735" s="17"/>
      <c r="N7735" s="17"/>
    </row>
    <row r="7736">
      <c r="B7736" s="11">
        <f>IFERROR(__xludf.DUMMYFUNCTION("""COMPUTED_VALUE"""),35195.0)</f>
        <v>35195</v>
      </c>
      <c r="C7736" s="9">
        <f>IFERROR(__xludf.DUMMYFUNCTION("""COMPUTED_VALUE"""),6.75)</f>
        <v>6.75</v>
      </c>
      <c r="H7736" s="17"/>
      <c r="K7736" s="17"/>
      <c r="N7736" s="17"/>
    </row>
    <row r="7737">
      <c r="B7737" s="11">
        <f>IFERROR(__xludf.DUMMYFUNCTION("""COMPUTED_VALUE"""),35194.0)</f>
        <v>35194</v>
      </c>
      <c r="C7737" s="9">
        <f>IFERROR(__xludf.DUMMYFUNCTION("""COMPUTED_VALUE"""),6.84)</f>
        <v>6.84</v>
      </c>
      <c r="H7737" s="17"/>
      <c r="K7737" s="17"/>
      <c r="N7737" s="17"/>
    </row>
    <row r="7738">
      <c r="B7738" s="11">
        <f>IFERROR(__xludf.DUMMYFUNCTION("""COMPUTED_VALUE"""),35193.0)</f>
        <v>35193</v>
      </c>
      <c r="C7738" s="9">
        <f>IFERROR(__xludf.DUMMYFUNCTION("""COMPUTED_VALUE"""),6.78)</f>
        <v>6.78</v>
      </c>
      <c r="H7738" s="17"/>
      <c r="K7738" s="17"/>
      <c r="N7738" s="17"/>
    </row>
    <row r="7739">
      <c r="B7739" s="11">
        <f>IFERROR(__xludf.DUMMYFUNCTION("""COMPUTED_VALUE"""),35192.0)</f>
        <v>35192</v>
      </c>
      <c r="C7739" s="9">
        <f>IFERROR(__xludf.DUMMYFUNCTION("""COMPUTED_VALUE"""),6.87)</f>
        <v>6.87</v>
      </c>
      <c r="H7739" s="17"/>
      <c r="K7739" s="17"/>
      <c r="N7739" s="17"/>
    </row>
    <row r="7740">
      <c r="B7740" s="11">
        <f>IFERROR(__xludf.DUMMYFUNCTION("""COMPUTED_VALUE"""),35191.0)</f>
        <v>35191</v>
      </c>
      <c r="C7740" s="9">
        <f>IFERROR(__xludf.DUMMYFUNCTION("""COMPUTED_VALUE"""),6.86)</f>
        <v>6.86</v>
      </c>
      <c r="H7740" s="17"/>
      <c r="K7740" s="17"/>
      <c r="N7740" s="17"/>
    </row>
    <row r="7741">
      <c r="B7741" s="11">
        <f>IFERROR(__xludf.DUMMYFUNCTION("""COMPUTED_VALUE"""),35188.0)</f>
        <v>35188</v>
      </c>
      <c r="C7741" s="9">
        <f>IFERROR(__xludf.DUMMYFUNCTION("""COMPUTED_VALUE"""),6.9)</f>
        <v>6.9</v>
      </c>
      <c r="H7741" s="17"/>
      <c r="K7741" s="17"/>
      <c r="N7741" s="17"/>
    </row>
    <row r="7742">
      <c r="B7742" s="11">
        <f>IFERROR(__xludf.DUMMYFUNCTION("""COMPUTED_VALUE"""),35187.0)</f>
        <v>35187</v>
      </c>
      <c r="C7742" s="9">
        <f>IFERROR(__xludf.DUMMYFUNCTION("""COMPUTED_VALUE"""),6.85)</f>
        <v>6.85</v>
      </c>
      <c r="H7742" s="17"/>
      <c r="K7742" s="17"/>
      <c r="N7742" s="17"/>
    </row>
    <row r="7743">
      <c r="B7743" s="11">
        <f>IFERROR(__xludf.DUMMYFUNCTION("""COMPUTED_VALUE"""),35186.0)</f>
        <v>35186</v>
      </c>
      <c r="C7743" s="9">
        <f>IFERROR(__xludf.DUMMYFUNCTION("""COMPUTED_VALUE"""),6.68)</f>
        <v>6.68</v>
      </c>
      <c r="H7743" s="17"/>
      <c r="K7743" s="17"/>
      <c r="N7743" s="17"/>
    </row>
    <row r="7744">
      <c r="B7744" s="11">
        <f>IFERROR(__xludf.DUMMYFUNCTION("""COMPUTED_VALUE"""),35185.0)</f>
        <v>35185</v>
      </c>
      <c r="C7744" s="9">
        <f>IFERROR(__xludf.DUMMYFUNCTION("""COMPUTED_VALUE"""),6.66)</f>
        <v>6.66</v>
      </c>
      <c r="H7744" s="17"/>
      <c r="K7744" s="17"/>
      <c r="N7744" s="17"/>
    </row>
    <row r="7745">
      <c r="B7745" s="11">
        <f>IFERROR(__xludf.DUMMYFUNCTION("""COMPUTED_VALUE"""),35184.0)</f>
        <v>35184</v>
      </c>
      <c r="C7745" s="9">
        <f>IFERROR(__xludf.DUMMYFUNCTION("""COMPUTED_VALUE"""),6.59)</f>
        <v>6.59</v>
      </c>
      <c r="H7745" s="17"/>
      <c r="K7745" s="17"/>
      <c r="N7745" s="17"/>
    </row>
    <row r="7746">
      <c r="B7746" s="11">
        <f>IFERROR(__xludf.DUMMYFUNCTION("""COMPUTED_VALUE"""),35181.0)</f>
        <v>35181</v>
      </c>
      <c r="C7746" s="9">
        <f>IFERROR(__xludf.DUMMYFUNCTION("""COMPUTED_VALUE"""),6.54)</f>
        <v>6.54</v>
      </c>
      <c r="H7746" s="17"/>
      <c r="K7746" s="17"/>
      <c r="N7746" s="17"/>
    </row>
    <row r="7747">
      <c r="B7747" s="11">
        <f>IFERROR(__xludf.DUMMYFUNCTION("""COMPUTED_VALUE"""),35180.0)</f>
        <v>35180</v>
      </c>
      <c r="C7747" s="9">
        <f>IFERROR(__xludf.DUMMYFUNCTION("""COMPUTED_VALUE"""),6.56)</f>
        <v>6.56</v>
      </c>
      <c r="H7747" s="17"/>
      <c r="K7747" s="17"/>
      <c r="N7747" s="17"/>
    </row>
    <row r="7748">
      <c r="B7748" s="11">
        <f>IFERROR(__xludf.DUMMYFUNCTION("""COMPUTED_VALUE"""),35179.0)</f>
        <v>35179</v>
      </c>
      <c r="C7748" s="9">
        <f>IFERROR(__xludf.DUMMYFUNCTION("""COMPUTED_VALUE"""),6.57)</f>
        <v>6.57</v>
      </c>
      <c r="H7748" s="17"/>
      <c r="K7748" s="17"/>
      <c r="N7748" s="17"/>
    </row>
    <row r="7749">
      <c r="B7749" s="11">
        <f>IFERROR(__xludf.DUMMYFUNCTION("""COMPUTED_VALUE"""),35178.0)</f>
        <v>35178</v>
      </c>
      <c r="C7749" s="9">
        <f>IFERROR(__xludf.DUMMYFUNCTION("""COMPUTED_VALUE"""),6.52)</f>
        <v>6.52</v>
      </c>
      <c r="H7749" s="17"/>
      <c r="K7749" s="17"/>
      <c r="N7749" s="17"/>
    </row>
    <row r="7750">
      <c r="B7750" s="11">
        <f>IFERROR(__xludf.DUMMYFUNCTION("""COMPUTED_VALUE"""),35177.0)</f>
        <v>35177</v>
      </c>
      <c r="C7750" s="9">
        <f>IFERROR(__xludf.DUMMYFUNCTION("""COMPUTED_VALUE"""),6.48)</f>
        <v>6.48</v>
      </c>
      <c r="H7750" s="17"/>
      <c r="K7750" s="17"/>
      <c r="N7750" s="17"/>
    </row>
    <row r="7751">
      <c r="B7751" s="11">
        <f>IFERROR(__xludf.DUMMYFUNCTION("""COMPUTED_VALUE"""),35174.0)</f>
        <v>35174</v>
      </c>
      <c r="C7751" s="9">
        <f>IFERROR(__xludf.DUMMYFUNCTION("""COMPUTED_VALUE"""),6.53)</f>
        <v>6.53</v>
      </c>
      <c r="H7751" s="17"/>
      <c r="K7751" s="17"/>
      <c r="N7751" s="17"/>
    </row>
    <row r="7752">
      <c r="B7752" s="11">
        <f>IFERROR(__xludf.DUMMYFUNCTION("""COMPUTED_VALUE"""),35173.0)</f>
        <v>35173</v>
      </c>
      <c r="C7752" s="9">
        <f>IFERROR(__xludf.DUMMYFUNCTION("""COMPUTED_VALUE"""),6.58)</f>
        <v>6.58</v>
      </c>
      <c r="H7752" s="17"/>
      <c r="K7752" s="17"/>
      <c r="N7752" s="17"/>
    </row>
    <row r="7753">
      <c r="B7753" s="11">
        <f>IFERROR(__xludf.DUMMYFUNCTION("""COMPUTED_VALUE"""),35172.0)</f>
        <v>35172</v>
      </c>
      <c r="C7753" s="9">
        <f>IFERROR(__xludf.DUMMYFUNCTION("""COMPUTED_VALUE"""),6.52)</f>
        <v>6.52</v>
      </c>
      <c r="H7753" s="17"/>
      <c r="K7753" s="17"/>
      <c r="N7753" s="17"/>
    </row>
    <row r="7754">
      <c r="B7754" s="11">
        <f>IFERROR(__xludf.DUMMYFUNCTION("""COMPUTED_VALUE"""),35171.0)</f>
        <v>35171</v>
      </c>
      <c r="C7754" s="9">
        <f>IFERROR(__xludf.DUMMYFUNCTION("""COMPUTED_VALUE"""),6.48)</f>
        <v>6.48</v>
      </c>
      <c r="H7754" s="17"/>
      <c r="K7754" s="17"/>
      <c r="N7754" s="17"/>
    </row>
    <row r="7755">
      <c r="B7755" s="11">
        <f>IFERROR(__xludf.DUMMYFUNCTION("""COMPUTED_VALUE"""),35170.0)</f>
        <v>35170</v>
      </c>
      <c r="C7755" s="9">
        <f>IFERROR(__xludf.DUMMYFUNCTION("""COMPUTED_VALUE"""),6.47)</f>
        <v>6.47</v>
      </c>
      <c r="H7755" s="17"/>
      <c r="K7755" s="17"/>
      <c r="N7755" s="17"/>
    </row>
    <row r="7756">
      <c r="B7756" s="11">
        <f>IFERROR(__xludf.DUMMYFUNCTION("""COMPUTED_VALUE"""),35167.0)</f>
        <v>35167</v>
      </c>
      <c r="C7756" s="9">
        <f>IFERROR(__xludf.DUMMYFUNCTION("""COMPUTED_VALUE"""),6.52)</f>
        <v>6.52</v>
      </c>
      <c r="H7756" s="17"/>
      <c r="K7756" s="17"/>
      <c r="N7756" s="17"/>
    </row>
    <row r="7757">
      <c r="B7757" s="11">
        <f>IFERROR(__xludf.DUMMYFUNCTION("""COMPUTED_VALUE"""),35166.0)</f>
        <v>35166</v>
      </c>
      <c r="C7757" s="9">
        <f>IFERROR(__xludf.DUMMYFUNCTION("""COMPUTED_VALUE"""),6.68)</f>
        <v>6.68</v>
      </c>
      <c r="H7757" s="17"/>
      <c r="K7757" s="17"/>
      <c r="N7757" s="17"/>
    </row>
    <row r="7758">
      <c r="B7758" s="11">
        <f>IFERROR(__xludf.DUMMYFUNCTION("""COMPUTED_VALUE"""),35165.0)</f>
        <v>35165</v>
      </c>
      <c r="C7758" s="9">
        <f>IFERROR(__xludf.DUMMYFUNCTION("""COMPUTED_VALUE"""),6.63)</f>
        <v>6.63</v>
      </c>
      <c r="H7758" s="17"/>
      <c r="K7758" s="17"/>
      <c r="N7758" s="17"/>
    </row>
    <row r="7759">
      <c r="B7759" s="11">
        <f>IFERROR(__xludf.DUMMYFUNCTION("""COMPUTED_VALUE"""),35164.0)</f>
        <v>35164</v>
      </c>
      <c r="C7759" s="9">
        <f>IFERROR(__xludf.DUMMYFUNCTION("""COMPUTED_VALUE"""),6.56)</f>
        <v>6.56</v>
      </c>
      <c r="H7759" s="17"/>
      <c r="K7759" s="17"/>
      <c r="N7759" s="17"/>
    </row>
    <row r="7760">
      <c r="B7760" s="11">
        <f>IFERROR(__xludf.DUMMYFUNCTION("""COMPUTED_VALUE"""),35163.0)</f>
        <v>35163</v>
      </c>
      <c r="C7760" s="9">
        <f>IFERROR(__xludf.DUMMYFUNCTION("""COMPUTED_VALUE"""),6.63)</f>
        <v>6.63</v>
      </c>
      <c r="H7760" s="17"/>
      <c r="K7760" s="17"/>
      <c r="N7760" s="17"/>
    </row>
    <row r="7761">
      <c r="B7761" s="11">
        <f>IFERROR(__xludf.DUMMYFUNCTION("""COMPUTED_VALUE"""),35160.0)</f>
        <v>35160</v>
      </c>
      <c r="C7761" s="9">
        <f>IFERROR(__xludf.DUMMYFUNCTION("""COMPUTED_VALUE"""),6.57)</f>
        <v>6.57</v>
      </c>
      <c r="H7761" s="17"/>
      <c r="K7761" s="17"/>
      <c r="N7761" s="17"/>
    </row>
    <row r="7762">
      <c r="B7762" s="11">
        <f>IFERROR(__xludf.DUMMYFUNCTION("""COMPUTED_VALUE"""),35159.0)</f>
        <v>35159</v>
      </c>
      <c r="C7762" s="9">
        <f>IFERROR(__xludf.DUMMYFUNCTION("""COMPUTED_VALUE"""),6.33)</f>
        <v>6.33</v>
      </c>
      <c r="H7762" s="17"/>
      <c r="K7762" s="17"/>
      <c r="N7762" s="17"/>
    </row>
    <row r="7763">
      <c r="B7763" s="11">
        <f>IFERROR(__xludf.DUMMYFUNCTION("""COMPUTED_VALUE"""),35158.0)</f>
        <v>35158</v>
      </c>
      <c r="C7763" s="9">
        <f>IFERROR(__xludf.DUMMYFUNCTION("""COMPUTED_VALUE"""),6.27)</f>
        <v>6.27</v>
      </c>
      <c r="H7763" s="17"/>
      <c r="K7763" s="17"/>
      <c r="N7763" s="17"/>
    </row>
    <row r="7764">
      <c r="B7764" s="11">
        <f>IFERROR(__xludf.DUMMYFUNCTION("""COMPUTED_VALUE"""),35157.0)</f>
        <v>35157</v>
      </c>
      <c r="C7764" s="9">
        <f>IFERROR(__xludf.DUMMYFUNCTION("""COMPUTED_VALUE"""),6.25)</f>
        <v>6.25</v>
      </c>
      <c r="H7764" s="17"/>
      <c r="K7764" s="17"/>
      <c r="N7764" s="17"/>
    </row>
    <row r="7765">
      <c r="B7765" s="11">
        <f>IFERROR(__xludf.DUMMYFUNCTION("""COMPUTED_VALUE"""),35156.0)</f>
        <v>35156</v>
      </c>
      <c r="C7765" s="9">
        <f>IFERROR(__xludf.DUMMYFUNCTION("""COMPUTED_VALUE"""),6.31)</f>
        <v>6.31</v>
      </c>
      <c r="H7765" s="17"/>
      <c r="K7765" s="17"/>
      <c r="N7765" s="17"/>
    </row>
    <row r="7766">
      <c r="B7766" s="11">
        <f>IFERROR(__xludf.DUMMYFUNCTION("""COMPUTED_VALUE"""),35153.0)</f>
        <v>35153</v>
      </c>
      <c r="C7766" s="9">
        <f>IFERROR(__xludf.DUMMYFUNCTION("""COMPUTED_VALUE"""),6.34)</f>
        <v>6.34</v>
      </c>
      <c r="H7766" s="17"/>
      <c r="K7766" s="17"/>
      <c r="N7766" s="17"/>
    </row>
    <row r="7767">
      <c r="B7767" s="11">
        <f>IFERROR(__xludf.DUMMYFUNCTION("""COMPUTED_VALUE"""),35152.0)</f>
        <v>35152</v>
      </c>
      <c r="C7767" s="9">
        <f>IFERROR(__xludf.DUMMYFUNCTION("""COMPUTED_VALUE"""),6.41)</f>
        <v>6.41</v>
      </c>
      <c r="H7767" s="17"/>
      <c r="K7767" s="17"/>
      <c r="N7767" s="17"/>
    </row>
    <row r="7768">
      <c r="B7768" s="11">
        <f>IFERROR(__xludf.DUMMYFUNCTION("""COMPUTED_VALUE"""),35151.0)</f>
        <v>35151</v>
      </c>
      <c r="C7768" s="9">
        <f>IFERROR(__xludf.DUMMYFUNCTION("""COMPUTED_VALUE"""),6.34)</f>
        <v>6.34</v>
      </c>
      <c r="H7768" s="17"/>
      <c r="K7768" s="17"/>
      <c r="N7768" s="17"/>
    </row>
    <row r="7769">
      <c r="B7769" s="11">
        <f>IFERROR(__xludf.DUMMYFUNCTION("""COMPUTED_VALUE"""),35150.0)</f>
        <v>35150</v>
      </c>
      <c r="C7769" s="9">
        <f>IFERROR(__xludf.DUMMYFUNCTION("""COMPUTED_VALUE"""),6.25)</f>
        <v>6.25</v>
      </c>
      <c r="H7769" s="17"/>
      <c r="K7769" s="17"/>
      <c r="N7769" s="17"/>
    </row>
    <row r="7770">
      <c r="B7770" s="11">
        <f>IFERROR(__xludf.DUMMYFUNCTION("""COMPUTED_VALUE"""),35149.0)</f>
        <v>35149</v>
      </c>
      <c r="C7770" s="9">
        <f>IFERROR(__xludf.DUMMYFUNCTION("""COMPUTED_VALUE"""),6.26)</f>
        <v>6.26</v>
      </c>
      <c r="H7770" s="17"/>
      <c r="K7770" s="17"/>
      <c r="N7770" s="17"/>
    </row>
    <row r="7771">
      <c r="B7771" s="11">
        <f>IFERROR(__xludf.DUMMYFUNCTION("""COMPUTED_VALUE"""),35146.0)</f>
        <v>35146</v>
      </c>
      <c r="C7771" s="9">
        <f>IFERROR(__xludf.DUMMYFUNCTION("""COMPUTED_VALUE"""),6.32)</f>
        <v>6.32</v>
      </c>
      <c r="H7771" s="17"/>
      <c r="K7771" s="17"/>
      <c r="N7771" s="17"/>
    </row>
    <row r="7772">
      <c r="B7772" s="11">
        <f>IFERROR(__xludf.DUMMYFUNCTION("""COMPUTED_VALUE"""),35145.0)</f>
        <v>35145</v>
      </c>
      <c r="C7772" s="9">
        <f>IFERROR(__xludf.DUMMYFUNCTION("""COMPUTED_VALUE"""),6.28)</f>
        <v>6.28</v>
      </c>
      <c r="H7772" s="17"/>
      <c r="K7772" s="17"/>
      <c r="N7772" s="17"/>
    </row>
    <row r="7773">
      <c r="B7773" s="11">
        <f>IFERROR(__xludf.DUMMYFUNCTION("""COMPUTED_VALUE"""),35144.0)</f>
        <v>35144</v>
      </c>
      <c r="C7773" s="9">
        <f>IFERROR(__xludf.DUMMYFUNCTION("""COMPUTED_VALUE"""),6.34)</f>
        <v>6.34</v>
      </c>
      <c r="H7773" s="17"/>
      <c r="K7773" s="17"/>
      <c r="N7773" s="17"/>
    </row>
    <row r="7774">
      <c r="B7774" s="11">
        <f>IFERROR(__xludf.DUMMYFUNCTION("""COMPUTED_VALUE"""),35143.0)</f>
        <v>35143</v>
      </c>
      <c r="C7774" s="9">
        <f>IFERROR(__xludf.DUMMYFUNCTION("""COMPUTED_VALUE"""),6.41)</f>
        <v>6.41</v>
      </c>
      <c r="H7774" s="17"/>
      <c r="K7774" s="17"/>
      <c r="N7774" s="17"/>
    </row>
    <row r="7775">
      <c r="B7775" s="11">
        <f>IFERROR(__xludf.DUMMYFUNCTION("""COMPUTED_VALUE"""),35142.0)</f>
        <v>35142</v>
      </c>
      <c r="C7775" s="9">
        <f>IFERROR(__xludf.DUMMYFUNCTION("""COMPUTED_VALUE"""),6.43)</f>
        <v>6.43</v>
      </c>
      <c r="H7775" s="17"/>
      <c r="K7775" s="17"/>
      <c r="N7775" s="17"/>
    </row>
    <row r="7776">
      <c r="B7776" s="11">
        <f>IFERROR(__xludf.DUMMYFUNCTION("""COMPUTED_VALUE"""),35139.0)</f>
        <v>35139</v>
      </c>
      <c r="C7776" s="9">
        <f>IFERROR(__xludf.DUMMYFUNCTION("""COMPUTED_VALUE"""),6.46)</f>
        <v>6.46</v>
      </c>
      <c r="H7776" s="17"/>
      <c r="K7776" s="17"/>
      <c r="N7776" s="17"/>
    </row>
    <row r="7777">
      <c r="B7777" s="11">
        <f>IFERROR(__xludf.DUMMYFUNCTION("""COMPUTED_VALUE"""),35138.0)</f>
        <v>35138</v>
      </c>
      <c r="C7777" s="9">
        <f>IFERROR(__xludf.DUMMYFUNCTION("""COMPUTED_VALUE"""),6.36)</f>
        <v>6.36</v>
      </c>
      <c r="H7777" s="17"/>
      <c r="K7777" s="17"/>
      <c r="N7777" s="17"/>
    </row>
    <row r="7778">
      <c r="B7778" s="11">
        <f>IFERROR(__xludf.DUMMYFUNCTION("""COMPUTED_VALUE"""),35137.0)</f>
        <v>35137</v>
      </c>
      <c r="C7778" s="9">
        <f>IFERROR(__xludf.DUMMYFUNCTION("""COMPUTED_VALUE"""),6.35)</f>
        <v>6.35</v>
      </c>
      <c r="H7778" s="17"/>
      <c r="K7778" s="17"/>
      <c r="N7778" s="17"/>
    </row>
    <row r="7779">
      <c r="B7779" s="11">
        <f>IFERROR(__xludf.DUMMYFUNCTION("""COMPUTED_VALUE"""),35136.0)</f>
        <v>35136</v>
      </c>
      <c r="C7779" s="9">
        <f>IFERROR(__xludf.DUMMYFUNCTION("""COMPUTED_VALUE"""),6.36)</f>
        <v>6.36</v>
      </c>
      <c r="H7779" s="17"/>
      <c r="K7779" s="17"/>
      <c r="N7779" s="17"/>
    </row>
    <row r="7780">
      <c r="B7780" s="11">
        <f>IFERROR(__xludf.DUMMYFUNCTION("""COMPUTED_VALUE"""),35135.0)</f>
        <v>35135</v>
      </c>
      <c r="C7780" s="9">
        <f>IFERROR(__xludf.DUMMYFUNCTION("""COMPUTED_VALUE"""),6.33)</f>
        <v>6.33</v>
      </c>
      <c r="H7780" s="17"/>
      <c r="K7780" s="17"/>
      <c r="N7780" s="17"/>
    </row>
    <row r="7781">
      <c r="B7781" s="11">
        <f>IFERROR(__xludf.DUMMYFUNCTION("""COMPUTED_VALUE"""),35132.0)</f>
        <v>35132</v>
      </c>
      <c r="C7781" s="9">
        <f>IFERROR(__xludf.DUMMYFUNCTION("""COMPUTED_VALUE"""),6.41)</f>
        <v>6.41</v>
      </c>
      <c r="H7781" s="17"/>
      <c r="K7781" s="17"/>
      <c r="N7781" s="17"/>
    </row>
    <row r="7782">
      <c r="B7782" s="11">
        <f>IFERROR(__xludf.DUMMYFUNCTION("""COMPUTED_VALUE"""),35131.0)</f>
        <v>35131</v>
      </c>
      <c r="C7782" s="9">
        <f>IFERROR(__xludf.DUMMYFUNCTION("""COMPUTED_VALUE"""),6.07)</f>
        <v>6.07</v>
      </c>
      <c r="H7782" s="17"/>
      <c r="K7782" s="17"/>
      <c r="N7782" s="17"/>
    </row>
    <row r="7783">
      <c r="B7783" s="11">
        <f>IFERROR(__xludf.DUMMYFUNCTION("""COMPUTED_VALUE"""),35130.0)</f>
        <v>35130</v>
      </c>
      <c r="C7783" s="9">
        <f>IFERROR(__xludf.DUMMYFUNCTION("""COMPUTED_VALUE"""),6.05)</f>
        <v>6.05</v>
      </c>
      <c r="H7783" s="17"/>
      <c r="K7783" s="17"/>
      <c r="N7783" s="17"/>
    </row>
    <row r="7784">
      <c r="B7784" s="11">
        <f>IFERROR(__xludf.DUMMYFUNCTION("""COMPUTED_VALUE"""),35129.0)</f>
        <v>35129</v>
      </c>
      <c r="C7784" s="9">
        <f>IFERROR(__xludf.DUMMYFUNCTION("""COMPUTED_VALUE"""),5.96)</f>
        <v>5.96</v>
      </c>
      <c r="H7784" s="17"/>
      <c r="K7784" s="17"/>
      <c r="N7784" s="17"/>
    </row>
    <row r="7785">
      <c r="B7785" s="11">
        <f>IFERROR(__xludf.DUMMYFUNCTION("""COMPUTED_VALUE"""),35128.0)</f>
        <v>35128</v>
      </c>
      <c r="C7785" s="9">
        <f>IFERROR(__xludf.DUMMYFUNCTION("""COMPUTED_VALUE"""),5.92)</f>
        <v>5.92</v>
      </c>
      <c r="H7785" s="17"/>
      <c r="K7785" s="17"/>
      <c r="N7785" s="17"/>
    </row>
    <row r="7786">
      <c r="B7786" s="11">
        <f>IFERROR(__xludf.DUMMYFUNCTION("""COMPUTED_VALUE"""),35125.0)</f>
        <v>35125</v>
      </c>
      <c r="C7786" s="9">
        <f>IFERROR(__xludf.DUMMYFUNCTION("""COMPUTED_VALUE"""),5.99)</f>
        <v>5.99</v>
      </c>
      <c r="H7786" s="17"/>
      <c r="K7786" s="17"/>
      <c r="N7786" s="17"/>
    </row>
    <row r="7787">
      <c r="B7787" s="11">
        <f>IFERROR(__xludf.DUMMYFUNCTION("""COMPUTED_VALUE"""),35124.0)</f>
        <v>35124</v>
      </c>
      <c r="C7787" s="9">
        <f>IFERROR(__xludf.DUMMYFUNCTION("""COMPUTED_VALUE"""),6.13)</f>
        <v>6.13</v>
      </c>
      <c r="H7787" s="17"/>
      <c r="K7787" s="17"/>
      <c r="N7787" s="17"/>
    </row>
    <row r="7788">
      <c r="B7788" s="11">
        <f>IFERROR(__xludf.DUMMYFUNCTION("""COMPUTED_VALUE"""),35123.0)</f>
        <v>35123</v>
      </c>
      <c r="C7788" s="9">
        <f>IFERROR(__xludf.DUMMYFUNCTION("""COMPUTED_VALUE"""),6.11)</f>
        <v>6.11</v>
      </c>
      <c r="H7788" s="17"/>
      <c r="K7788" s="17"/>
      <c r="N7788" s="17"/>
    </row>
    <row r="7789">
      <c r="B7789" s="11">
        <f>IFERROR(__xludf.DUMMYFUNCTION("""COMPUTED_VALUE"""),35122.0)</f>
        <v>35122</v>
      </c>
      <c r="C7789" s="9">
        <f>IFERROR(__xludf.DUMMYFUNCTION("""COMPUTED_VALUE"""),6.06)</f>
        <v>6.06</v>
      </c>
      <c r="H7789" s="17"/>
      <c r="K7789" s="17"/>
      <c r="N7789" s="17"/>
    </row>
    <row r="7790">
      <c r="B7790" s="11">
        <f>IFERROR(__xludf.DUMMYFUNCTION("""COMPUTED_VALUE"""),35121.0)</f>
        <v>35121</v>
      </c>
      <c r="C7790" s="9">
        <f>IFERROR(__xludf.DUMMYFUNCTION("""COMPUTED_VALUE"""),6.01)</f>
        <v>6.01</v>
      </c>
      <c r="H7790" s="17"/>
      <c r="K7790" s="17"/>
      <c r="N7790" s="17"/>
    </row>
    <row r="7791">
      <c r="B7791" s="11">
        <f>IFERROR(__xludf.DUMMYFUNCTION("""COMPUTED_VALUE"""),35118.0)</f>
        <v>35118</v>
      </c>
      <c r="C7791" s="9">
        <f>IFERROR(__xludf.DUMMYFUNCTION("""COMPUTED_VALUE"""),5.97)</f>
        <v>5.97</v>
      </c>
      <c r="H7791" s="17"/>
      <c r="K7791" s="17"/>
      <c r="N7791" s="17"/>
    </row>
    <row r="7792">
      <c r="B7792" s="11">
        <f>IFERROR(__xludf.DUMMYFUNCTION("""COMPUTED_VALUE"""),35117.0)</f>
        <v>35117</v>
      </c>
      <c r="C7792" s="9">
        <f>IFERROR(__xludf.DUMMYFUNCTION("""COMPUTED_VALUE"""),5.92)</f>
        <v>5.92</v>
      </c>
      <c r="H7792" s="17"/>
      <c r="K7792" s="17"/>
      <c r="N7792" s="17"/>
    </row>
    <row r="7793">
      <c r="B7793" s="11">
        <f>IFERROR(__xludf.DUMMYFUNCTION("""COMPUTED_VALUE"""),35116.0)</f>
        <v>35116</v>
      </c>
      <c r="C7793" s="9">
        <f>IFERROR(__xludf.DUMMYFUNCTION("""COMPUTED_VALUE"""),5.98)</f>
        <v>5.98</v>
      </c>
      <c r="H7793" s="17"/>
      <c r="K7793" s="17"/>
      <c r="N7793" s="17"/>
    </row>
    <row r="7794">
      <c r="B7794" s="11">
        <f>IFERROR(__xludf.DUMMYFUNCTION("""COMPUTED_VALUE"""),35115.0)</f>
        <v>35115</v>
      </c>
      <c r="C7794" s="9">
        <f>IFERROR(__xludf.DUMMYFUNCTION("""COMPUTED_VALUE"""),6.01)</f>
        <v>6.01</v>
      </c>
      <c r="H7794" s="17"/>
      <c r="K7794" s="17"/>
      <c r="N7794" s="17"/>
    </row>
    <row r="7795">
      <c r="B7795" s="11">
        <f>IFERROR(__xludf.DUMMYFUNCTION("""COMPUTED_VALUE"""),35114.0)</f>
        <v>35114</v>
      </c>
      <c r="C7795" s="9"/>
      <c r="H7795" s="17"/>
      <c r="K7795" s="17"/>
      <c r="N7795" s="17"/>
    </row>
    <row r="7796">
      <c r="B7796" s="11">
        <f>IFERROR(__xludf.DUMMYFUNCTION("""COMPUTED_VALUE"""),35111.0)</f>
        <v>35111</v>
      </c>
      <c r="C7796" s="9">
        <f>IFERROR(__xludf.DUMMYFUNCTION("""COMPUTED_VALUE"""),5.76)</f>
        <v>5.76</v>
      </c>
      <c r="H7796" s="17"/>
      <c r="K7796" s="17"/>
      <c r="N7796" s="17"/>
    </row>
    <row r="7797">
      <c r="B7797" s="11">
        <f>IFERROR(__xludf.DUMMYFUNCTION("""COMPUTED_VALUE"""),35110.0)</f>
        <v>35110</v>
      </c>
      <c r="C7797" s="9">
        <f>IFERROR(__xludf.DUMMYFUNCTION("""COMPUTED_VALUE"""),5.7)</f>
        <v>5.7</v>
      </c>
      <c r="H7797" s="17"/>
      <c r="K7797" s="17"/>
      <c r="N7797" s="17"/>
    </row>
    <row r="7798">
      <c r="B7798" s="11">
        <f>IFERROR(__xludf.DUMMYFUNCTION("""COMPUTED_VALUE"""),35109.0)</f>
        <v>35109</v>
      </c>
      <c r="C7798" s="9">
        <f>IFERROR(__xludf.DUMMYFUNCTION("""COMPUTED_VALUE"""),5.62)</f>
        <v>5.62</v>
      </c>
      <c r="H7798" s="17"/>
      <c r="K7798" s="17"/>
      <c r="N7798" s="17"/>
    </row>
    <row r="7799">
      <c r="B7799" s="11">
        <f>IFERROR(__xludf.DUMMYFUNCTION("""COMPUTED_VALUE"""),35108.0)</f>
        <v>35108</v>
      </c>
      <c r="C7799" s="9">
        <f>IFERROR(__xludf.DUMMYFUNCTION("""COMPUTED_VALUE"""),5.58)</f>
        <v>5.58</v>
      </c>
      <c r="H7799" s="17"/>
      <c r="K7799" s="17"/>
      <c r="N7799" s="17"/>
    </row>
    <row r="7800">
      <c r="B7800" s="11">
        <f>IFERROR(__xludf.DUMMYFUNCTION("""COMPUTED_VALUE"""),35107.0)</f>
        <v>35107</v>
      </c>
      <c r="C7800" s="9">
        <f>IFERROR(__xludf.DUMMYFUNCTION("""COMPUTED_VALUE"""),5.61)</f>
        <v>5.61</v>
      </c>
      <c r="H7800" s="17"/>
      <c r="K7800" s="17"/>
      <c r="N7800" s="17"/>
    </row>
    <row r="7801">
      <c r="B7801" s="11">
        <f>IFERROR(__xludf.DUMMYFUNCTION("""COMPUTED_VALUE"""),35104.0)</f>
        <v>35104</v>
      </c>
      <c r="C7801" s="9">
        <f>IFERROR(__xludf.DUMMYFUNCTION("""COMPUTED_VALUE"""),5.66)</f>
        <v>5.66</v>
      </c>
      <c r="H7801" s="17"/>
      <c r="K7801" s="17"/>
      <c r="N7801" s="17"/>
    </row>
    <row r="7802">
      <c r="B7802" s="11">
        <f>IFERROR(__xludf.DUMMYFUNCTION("""COMPUTED_VALUE"""),35103.0)</f>
        <v>35103</v>
      </c>
      <c r="C7802" s="9">
        <f>IFERROR(__xludf.DUMMYFUNCTION("""COMPUTED_VALUE"""),5.66)</f>
        <v>5.66</v>
      </c>
      <c r="H7802" s="17"/>
      <c r="K7802" s="17"/>
      <c r="N7802" s="17"/>
    </row>
    <row r="7803">
      <c r="B7803" s="11">
        <f>IFERROR(__xludf.DUMMYFUNCTION("""COMPUTED_VALUE"""),35102.0)</f>
        <v>35102</v>
      </c>
      <c r="C7803" s="9">
        <f>IFERROR(__xludf.DUMMYFUNCTION("""COMPUTED_VALUE"""),5.66)</f>
        <v>5.66</v>
      </c>
      <c r="H7803" s="17"/>
      <c r="K7803" s="17"/>
      <c r="N7803" s="17"/>
    </row>
    <row r="7804">
      <c r="B7804" s="11">
        <f>IFERROR(__xludf.DUMMYFUNCTION("""COMPUTED_VALUE"""),35101.0)</f>
        <v>35101</v>
      </c>
      <c r="C7804" s="9">
        <f>IFERROR(__xludf.DUMMYFUNCTION("""COMPUTED_VALUE"""),5.68)</f>
        <v>5.68</v>
      </c>
      <c r="H7804" s="17"/>
      <c r="K7804" s="17"/>
      <c r="N7804" s="17"/>
    </row>
    <row r="7805">
      <c r="B7805" s="11">
        <f>IFERROR(__xludf.DUMMYFUNCTION("""COMPUTED_VALUE"""),35100.0)</f>
        <v>35100</v>
      </c>
      <c r="C7805" s="9">
        <f>IFERROR(__xludf.DUMMYFUNCTION("""COMPUTED_VALUE"""),5.7)</f>
        <v>5.7</v>
      </c>
      <c r="H7805" s="17"/>
      <c r="K7805" s="17"/>
      <c r="N7805" s="17"/>
    </row>
    <row r="7806">
      <c r="B7806" s="11">
        <f>IFERROR(__xludf.DUMMYFUNCTION("""COMPUTED_VALUE"""),35097.0)</f>
        <v>35097</v>
      </c>
      <c r="C7806" s="9">
        <f>IFERROR(__xludf.DUMMYFUNCTION("""COMPUTED_VALUE"""),5.66)</f>
        <v>5.66</v>
      </c>
      <c r="H7806" s="17"/>
      <c r="K7806" s="17"/>
      <c r="N7806" s="17"/>
    </row>
    <row r="7807">
      <c r="B7807" s="11">
        <f>IFERROR(__xludf.DUMMYFUNCTION("""COMPUTED_VALUE"""),35096.0)</f>
        <v>35096</v>
      </c>
      <c r="C7807" s="9">
        <f>IFERROR(__xludf.DUMMYFUNCTION("""COMPUTED_VALUE"""),5.63)</f>
        <v>5.63</v>
      </c>
      <c r="H7807" s="17"/>
      <c r="K7807" s="17"/>
      <c r="N7807" s="17"/>
    </row>
    <row r="7808">
      <c r="B7808" s="11">
        <f>IFERROR(__xludf.DUMMYFUNCTION("""COMPUTED_VALUE"""),35095.0)</f>
        <v>35095</v>
      </c>
      <c r="C7808" s="9">
        <f>IFERROR(__xludf.DUMMYFUNCTION("""COMPUTED_VALUE"""),5.6)</f>
        <v>5.6</v>
      </c>
      <c r="H7808" s="17"/>
      <c r="K7808" s="17"/>
      <c r="N7808" s="17"/>
    </row>
    <row r="7809">
      <c r="B7809" s="11">
        <f>IFERROR(__xludf.DUMMYFUNCTION("""COMPUTED_VALUE"""),35094.0)</f>
        <v>35094</v>
      </c>
      <c r="C7809" s="9">
        <f>IFERROR(__xludf.DUMMYFUNCTION("""COMPUTED_VALUE"""),5.63)</f>
        <v>5.63</v>
      </c>
      <c r="H7809" s="17"/>
      <c r="K7809" s="17"/>
      <c r="N7809" s="17"/>
    </row>
    <row r="7810">
      <c r="B7810" s="11">
        <f>IFERROR(__xludf.DUMMYFUNCTION("""COMPUTED_VALUE"""),35093.0)</f>
        <v>35093</v>
      </c>
      <c r="C7810" s="9">
        <f>IFERROR(__xludf.DUMMYFUNCTION("""COMPUTED_VALUE"""),5.69)</f>
        <v>5.69</v>
      </c>
      <c r="H7810" s="17"/>
      <c r="K7810" s="17"/>
      <c r="N7810" s="17"/>
    </row>
    <row r="7811">
      <c r="B7811" s="11">
        <f>IFERROR(__xludf.DUMMYFUNCTION("""COMPUTED_VALUE"""),35090.0)</f>
        <v>35090</v>
      </c>
      <c r="C7811" s="9">
        <f>IFERROR(__xludf.DUMMYFUNCTION("""COMPUTED_VALUE"""),5.65)</f>
        <v>5.65</v>
      </c>
      <c r="H7811" s="17"/>
      <c r="K7811" s="17"/>
      <c r="N7811" s="17"/>
    </row>
    <row r="7812">
      <c r="B7812" s="11">
        <f>IFERROR(__xludf.DUMMYFUNCTION("""COMPUTED_VALUE"""),35089.0)</f>
        <v>35089</v>
      </c>
      <c r="C7812" s="9">
        <f>IFERROR(__xludf.DUMMYFUNCTION("""COMPUTED_VALUE"""),5.7)</f>
        <v>5.7</v>
      </c>
      <c r="H7812" s="17"/>
      <c r="K7812" s="17"/>
      <c r="N7812" s="17"/>
    </row>
    <row r="7813">
      <c r="B7813" s="11">
        <f>IFERROR(__xludf.DUMMYFUNCTION("""COMPUTED_VALUE"""),35088.0)</f>
        <v>35088</v>
      </c>
      <c r="C7813" s="9">
        <f>IFERROR(__xludf.DUMMYFUNCTION("""COMPUTED_VALUE"""),5.62)</f>
        <v>5.62</v>
      </c>
      <c r="H7813" s="17"/>
      <c r="K7813" s="17"/>
      <c r="N7813" s="17"/>
    </row>
    <row r="7814">
      <c r="B7814" s="11">
        <f>IFERROR(__xludf.DUMMYFUNCTION("""COMPUTED_VALUE"""),35087.0)</f>
        <v>35087</v>
      </c>
      <c r="C7814" s="9">
        <f>IFERROR(__xludf.DUMMYFUNCTION("""COMPUTED_VALUE"""),5.66)</f>
        <v>5.66</v>
      </c>
      <c r="H7814" s="17"/>
      <c r="K7814" s="17"/>
      <c r="N7814" s="17"/>
    </row>
    <row r="7815">
      <c r="B7815" s="11">
        <f>IFERROR(__xludf.DUMMYFUNCTION("""COMPUTED_VALUE"""),35086.0)</f>
        <v>35086</v>
      </c>
      <c r="C7815" s="9">
        <f>IFERROR(__xludf.DUMMYFUNCTION("""COMPUTED_VALUE"""),5.61)</f>
        <v>5.61</v>
      </c>
      <c r="H7815" s="17"/>
      <c r="K7815" s="17"/>
      <c r="N7815" s="17"/>
    </row>
    <row r="7816">
      <c r="B7816" s="11">
        <f>IFERROR(__xludf.DUMMYFUNCTION("""COMPUTED_VALUE"""),35083.0)</f>
        <v>35083</v>
      </c>
      <c r="C7816" s="9">
        <f>IFERROR(__xludf.DUMMYFUNCTION("""COMPUTED_VALUE"""),5.54)</f>
        <v>5.54</v>
      </c>
      <c r="H7816" s="17"/>
      <c r="K7816" s="17"/>
      <c r="N7816" s="17"/>
    </row>
    <row r="7817">
      <c r="B7817" s="11">
        <f>IFERROR(__xludf.DUMMYFUNCTION("""COMPUTED_VALUE"""),35082.0)</f>
        <v>35082</v>
      </c>
      <c r="C7817" s="9">
        <f>IFERROR(__xludf.DUMMYFUNCTION("""COMPUTED_VALUE"""),5.53)</f>
        <v>5.53</v>
      </c>
      <c r="H7817" s="17"/>
      <c r="K7817" s="17"/>
      <c r="N7817" s="17"/>
    </row>
    <row r="7818">
      <c r="B7818" s="11">
        <f>IFERROR(__xludf.DUMMYFUNCTION("""COMPUTED_VALUE"""),35081.0)</f>
        <v>35081</v>
      </c>
      <c r="C7818" s="9">
        <f>IFERROR(__xludf.DUMMYFUNCTION("""COMPUTED_VALUE"""),5.58)</f>
        <v>5.58</v>
      </c>
      <c r="H7818" s="17"/>
      <c r="K7818" s="17"/>
      <c r="N7818" s="17"/>
    </row>
    <row r="7819">
      <c r="B7819" s="11">
        <f>IFERROR(__xludf.DUMMYFUNCTION("""COMPUTED_VALUE"""),35080.0)</f>
        <v>35080</v>
      </c>
      <c r="C7819" s="9">
        <f>IFERROR(__xludf.DUMMYFUNCTION("""COMPUTED_VALUE"""),5.66)</f>
        <v>5.66</v>
      </c>
      <c r="H7819" s="17"/>
      <c r="K7819" s="17"/>
      <c r="N7819" s="17"/>
    </row>
    <row r="7820">
      <c r="B7820" s="11">
        <f>IFERROR(__xludf.DUMMYFUNCTION("""COMPUTED_VALUE"""),35079.0)</f>
        <v>35079</v>
      </c>
      <c r="C7820" s="9"/>
      <c r="H7820" s="17"/>
      <c r="K7820" s="17"/>
      <c r="N7820" s="17"/>
    </row>
    <row r="7821">
      <c r="B7821" s="11">
        <f>IFERROR(__xludf.DUMMYFUNCTION("""COMPUTED_VALUE"""),35076.0)</f>
        <v>35076</v>
      </c>
      <c r="C7821" s="9">
        <f>IFERROR(__xludf.DUMMYFUNCTION("""COMPUTED_VALUE"""),5.75)</f>
        <v>5.75</v>
      </c>
      <c r="H7821" s="17"/>
      <c r="K7821" s="17"/>
      <c r="N7821" s="17"/>
    </row>
    <row r="7822">
      <c r="B7822" s="11">
        <f>IFERROR(__xludf.DUMMYFUNCTION("""COMPUTED_VALUE"""),35075.0)</f>
        <v>35075</v>
      </c>
      <c r="C7822" s="9">
        <f>IFERROR(__xludf.DUMMYFUNCTION("""COMPUTED_VALUE"""),5.78)</f>
        <v>5.78</v>
      </c>
      <c r="H7822" s="17"/>
      <c r="K7822" s="17"/>
      <c r="N7822" s="17"/>
    </row>
    <row r="7823">
      <c r="B7823" s="11">
        <f>IFERROR(__xludf.DUMMYFUNCTION("""COMPUTED_VALUE"""),35074.0)</f>
        <v>35074</v>
      </c>
      <c r="C7823" s="9">
        <f>IFERROR(__xludf.DUMMYFUNCTION("""COMPUTED_VALUE"""),5.8)</f>
        <v>5.8</v>
      </c>
      <c r="H7823" s="17"/>
      <c r="K7823" s="17"/>
      <c r="N7823" s="17"/>
    </row>
    <row r="7824">
      <c r="B7824" s="11">
        <f>IFERROR(__xludf.DUMMYFUNCTION("""COMPUTED_VALUE"""),35073.0)</f>
        <v>35073</v>
      </c>
      <c r="C7824" s="9">
        <f>IFERROR(__xludf.DUMMYFUNCTION("""COMPUTED_VALUE"""),5.7)</f>
        <v>5.7</v>
      </c>
      <c r="H7824" s="17"/>
      <c r="K7824" s="17"/>
      <c r="N7824" s="17"/>
    </row>
    <row r="7825">
      <c r="B7825" s="11">
        <f>IFERROR(__xludf.DUMMYFUNCTION("""COMPUTED_VALUE"""),35072.0)</f>
        <v>35072</v>
      </c>
      <c r="C7825" s="9">
        <f>IFERROR(__xludf.DUMMYFUNCTION("""COMPUTED_VALUE"""),5.68)</f>
        <v>5.68</v>
      </c>
      <c r="H7825" s="17"/>
      <c r="K7825" s="17"/>
      <c r="N7825" s="17"/>
    </row>
    <row r="7826">
      <c r="B7826" s="11">
        <f>IFERROR(__xludf.DUMMYFUNCTION("""COMPUTED_VALUE"""),35069.0)</f>
        <v>35069</v>
      </c>
      <c r="C7826" s="9">
        <f>IFERROR(__xludf.DUMMYFUNCTION("""COMPUTED_VALUE"""),5.69)</f>
        <v>5.69</v>
      </c>
      <c r="H7826" s="17"/>
      <c r="K7826" s="17"/>
      <c r="N7826" s="17"/>
    </row>
    <row r="7827">
      <c r="B7827" s="11">
        <f>IFERROR(__xludf.DUMMYFUNCTION("""COMPUTED_VALUE"""),35068.0)</f>
        <v>35068</v>
      </c>
      <c r="C7827" s="9">
        <f>IFERROR(__xludf.DUMMYFUNCTION("""COMPUTED_VALUE"""),5.65)</f>
        <v>5.65</v>
      </c>
      <c r="H7827" s="17"/>
      <c r="K7827" s="17"/>
      <c r="N7827" s="17"/>
    </row>
    <row r="7828">
      <c r="B7828" s="11">
        <f>IFERROR(__xludf.DUMMYFUNCTION("""COMPUTED_VALUE"""),35067.0)</f>
        <v>35067</v>
      </c>
      <c r="C7828" s="9">
        <f>IFERROR(__xludf.DUMMYFUNCTION("""COMPUTED_VALUE"""),5.58)</f>
        <v>5.58</v>
      </c>
      <c r="H7828" s="17"/>
      <c r="K7828" s="17"/>
      <c r="N7828" s="17"/>
    </row>
    <row r="7829">
      <c r="B7829" s="11">
        <f>IFERROR(__xludf.DUMMYFUNCTION("""COMPUTED_VALUE"""),35066.0)</f>
        <v>35066</v>
      </c>
      <c r="C7829" s="9">
        <f>IFERROR(__xludf.DUMMYFUNCTION("""COMPUTED_VALUE"""),5.6)</f>
        <v>5.6</v>
      </c>
      <c r="H7829" s="17"/>
      <c r="K7829" s="17"/>
      <c r="N7829" s="17"/>
    </row>
    <row r="7830">
      <c r="B7830" s="11">
        <f>IFERROR(__xludf.DUMMYFUNCTION("""COMPUTED_VALUE"""),35065.0)</f>
        <v>35065</v>
      </c>
      <c r="C7830" s="9"/>
      <c r="H7830" s="17"/>
      <c r="K7830" s="17"/>
      <c r="N7830" s="17"/>
    </row>
    <row r="7831">
      <c r="B7831" s="11">
        <f>IFERROR(__xludf.DUMMYFUNCTION("""COMPUTED_VALUE"""),35062.0)</f>
        <v>35062</v>
      </c>
      <c r="C7831" s="9">
        <f>IFERROR(__xludf.DUMMYFUNCTION("""COMPUTED_VALUE"""),5.58)</f>
        <v>5.58</v>
      </c>
      <c r="H7831" s="17"/>
      <c r="K7831" s="17"/>
      <c r="N7831" s="17"/>
    </row>
    <row r="7832">
      <c r="B7832" s="11">
        <f>IFERROR(__xludf.DUMMYFUNCTION("""COMPUTED_VALUE"""),35061.0)</f>
        <v>35061</v>
      </c>
      <c r="C7832" s="9">
        <f>IFERROR(__xludf.DUMMYFUNCTION("""COMPUTED_VALUE"""),5.63)</f>
        <v>5.63</v>
      </c>
      <c r="H7832" s="17"/>
      <c r="K7832" s="17"/>
      <c r="N7832" s="17"/>
    </row>
    <row r="7833">
      <c r="B7833" s="11">
        <f>IFERROR(__xludf.DUMMYFUNCTION("""COMPUTED_VALUE"""),35060.0)</f>
        <v>35060</v>
      </c>
      <c r="C7833" s="9">
        <f>IFERROR(__xludf.DUMMYFUNCTION("""COMPUTED_VALUE"""),5.66)</f>
        <v>5.66</v>
      </c>
      <c r="H7833" s="17"/>
      <c r="K7833" s="17"/>
      <c r="N7833" s="17"/>
    </row>
    <row r="7834">
      <c r="B7834" s="11">
        <f>IFERROR(__xludf.DUMMYFUNCTION("""COMPUTED_VALUE"""),35059.0)</f>
        <v>35059</v>
      </c>
      <c r="C7834" s="9">
        <f>IFERROR(__xludf.DUMMYFUNCTION("""COMPUTED_VALUE"""),5.69)</f>
        <v>5.69</v>
      </c>
      <c r="H7834" s="17"/>
      <c r="K7834" s="17"/>
      <c r="N7834" s="17"/>
    </row>
    <row r="7835">
      <c r="B7835" s="11">
        <f>IFERROR(__xludf.DUMMYFUNCTION("""COMPUTED_VALUE"""),35058.0)</f>
        <v>35058</v>
      </c>
      <c r="C7835" s="9"/>
      <c r="H7835" s="17"/>
      <c r="K7835" s="17"/>
      <c r="N7835" s="17"/>
    </row>
    <row r="7836">
      <c r="B7836" s="11">
        <f>IFERROR(__xludf.DUMMYFUNCTION("""COMPUTED_VALUE"""),35055.0)</f>
        <v>35055</v>
      </c>
      <c r="C7836" s="9">
        <f>IFERROR(__xludf.DUMMYFUNCTION("""COMPUTED_VALUE"""),5.71)</f>
        <v>5.71</v>
      </c>
      <c r="H7836" s="17"/>
      <c r="K7836" s="17"/>
      <c r="N7836" s="17"/>
    </row>
    <row r="7837">
      <c r="B7837" s="11">
        <f>IFERROR(__xludf.DUMMYFUNCTION("""COMPUTED_VALUE"""),35054.0)</f>
        <v>35054</v>
      </c>
      <c r="C7837" s="9">
        <f>IFERROR(__xludf.DUMMYFUNCTION("""COMPUTED_VALUE"""),5.77)</f>
        <v>5.77</v>
      </c>
      <c r="H7837" s="17"/>
      <c r="K7837" s="17"/>
      <c r="N7837" s="17"/>
    </row>
    <row r="7838">
      <c r="B7838" s="11">
        <f>IFERROR(__xludf.DUMMYFUNCTION("""COMPUTED_VALUE"""),35053.0)</f>
        <v>35053</v>
      </c>
      <c r="C7838" s="9">
        <f>IFERROR(__xludf.DUMMYFUNCTION("""COMPUTED_VALUE"""),5.76)</f>
        <v>5.76</v>
      </c>
      <c r="H7838" s="17"/>
      <c r="K7838" s="17"/>
      <c r="N7838" s="17"/>
    </row>
    <row r="7839">
      <c r="B7839" s="11">
        <f>IFERROR(__xludf.DUMMYFUNCTION("""COMPUTED_VALUE"""),35052.0)</f>
        <v>35052</v>
      </c>
      <c r="C7839" s="9">
        <f>IFERROR(__xludf.DUMMYFUNCTION("""COMPUTED_VALUE"""),5.81)</f>
        <v>5.81</v>
      </c>
      <c r="H7839" s="17"/>
      <c r="K7839" s="17"/>
      <c r="N7839" s="17"/>
    </row>
    <row r="7840">
      <c r="B7840" s="11">
        <f>IFERROR(__xludf.DUMMYFUNCTION("""COMPUTED_VALUE"""),35051.0)</f>
        <v>35051</v>
      </c>
      <c r="C7840" s="9">
        <f>IFERROR(__xludf.DUMMYFUNCTION("""COMPUTED_VALUE"""),5.85)</f>
        <v>5.85</v>
      </c>
      <c r="H7840" s="17"/>
      <c r="K7840" s="17"/>
      <c r="N7840" s="17"/>
    </row>
    <row r="7841">
      <c r="B7841" s="11">
        <f>IFERROR(__xludf.DUMMYFUNCTION("""COMPUTED_VALUE"""),35048.0)</f>
        <v>35048</v>
      </c>
      <c r="C7841" s="9">
        <f>IFERROR(__xludf.DUMMYFUNCTION("""COMPUTED_VALUE"""),5.75)</f>
        <v>5.75</v>
      </c>
      <c r="H7841" s="17"/>
      <c r="K7841" s="17"/>
      <c r="N7841" s="17"/>
    </row>
    <row r="7842">
      <c r="B7842" s="11">
        <f>IFERROR(__xludf.DUMMYFUNCTION("""COMPUTED_VALUE"""),35047.0)</f>
        <v>35047</v>
      </c>
      <c r="C7842" s="9">
        <f>IFERROR(__xludf.DUMMYFUNCTION("""COMPUTED_VALUE"""),5.74)</f>
        <v>5.74</v>
      </c>
      <c r="H7842" s="17"/>
      <c r="K7842" s="17"/>
      <c r="N7842" s="17"/>
    </row>
    <row r="7843">
      <c r="B7843" s="11">
        <f>IFERROR(__xludf.DUMMYFUNCTION("""COMPUTED_VALUE"""),35046.0)</f>
        <v>35046</v>
      </c>
      <c r="C7843" s="9">
        <f>IFERROR(__xludf.DUMMYFUNCTION("""COMPUTED_VALUE"""),5.74)</f>
        <v>5.74</v>
      </c>
      <c r="H7843" s="17"/>
      <c r="K7843" s="17"/>
      <c r="N7843" s="17"/>
    </row>
    <row r="7844">
      <c r="B7844" s="11">
        <f>IFERROR(__xludf.DUMMYFUNCTION("""COMPUTED_VALUE"""),35045.0)</f>
        <v>35045</v>
      </c>
      <c r="C7844" s="9">
        <f>IFERROR(__xludf.DUMMYFUNCTION("""COMPUTED_VALUE"""),5.72)</f>
        <v>5.72</v>
      </c>
      <c r="H7844" s="17"/>
      <c r="K7844" s="17"/>
      <c r="N7844" s="17"/>
    </row>
    <row r="7845">
      <c r="B7845" s="11">
        <f>IFERROR(__xludf.DUMMYFUNCTION("""COMPUTED_VALUE"""),35044.0)</f>
        <v>35044</v>
      </c>
      <c r="C7845" s="9">
        <f>IFERROR(__xludf.DUMMYFUNCTION("""COMPUTED_VALUE"""),5.71)</f>
        <v>5.71</v>
      </c>
      <c r="H7845" s="17"/>
      <c r="K7845" s="17"/>
      <c r="N7845" s="17"/>
    </row>
    <row r="7846">
      <c r="B7846" s="11">
        <f>IFERROR(__xludf.DUMMYFUNCTION("""COMPUTED_VALUE"""),35041.0)</f>
        <v>35041</v>
      </c>
      <c r="C7846" s="9">
        <f>IFERROR(__xludf.DUMMYFUNCTION("""COMPUTED_VALUE"""),5.73)</f>
        <v>5.73</v>
      </c>
      <c r="H7846" s="17"/>
      <c r="K7846" s="17"/>
      <c r="N7846" s="17"/>
    </row>
    <row r="7847">
      <c r="B7847" s="11">
        <f>IFERROR(__xludf.DUMMYFUNCTION("""COMPUTED_VALUE"""),35040.0)</f>
        <v>35040</v>
      </c>
      <c r="C7847" s="9">
        <f>IFERROR(__xludf.DUMMYFUNCTION("""COMPUTED_VALUE"""),5.72)</f>
        <v>5.72</v>
      </c>
      <c r="H7847" s="17"/>
      <c r="K7847" s="17"/>
      <c r="N7847" s="17"/>
    </row>
    <row r="7848">
      <c r="B7848" s="11">
        <f>IFERROR(__xludf.DUMMYFUNCTION("""COMPUTED_VALUE"""),35039.0)</f>
        <v>35039</v>
      </c>
      <c r="C7848" s="9">
        <f>IFERROR(__xludf.DUMMYFUNCTION("""COMPUTED_VALUE"""),5.67)</f>
        <v>5.67</v>
      </c>
      <c r="H7848" s="17"/>
      <c r="K7848" s="17"/>
      <c r="N7848" s="17"/>
    </row>
    <row r="7849">
      <c r="B7849" s="11">
        <f>IFERROR(__xludf.DUMMYFUNCTION("""COMPUTED_VALUE"""),35038.0)</f>
        <v>35038</v>
      </c>
      <c r="C7849" s="9">
        <f>IFERROR(__xludf.DUMMYFUNCTION("""COMPUTED_VALUE"""),5.65)</f>
        <v>5.65</v>
      </c>
      <c r="H7849" s="17"/>
      <c r="K7849" s="17"/>
      <c r="N7849" s="17"/>
    </row>
    <row r="7850">
      <c r="B7850" s="11">
        <f>IFERROR(__xludf.DUMMYFUNCTION("""COMPUTED_VALUE"""),35037.0)</f>
        <v>35037</v>
      </c>
      <c r="C7850" s="9">
        <f>IFERROR(__xludf.DUMMYFUNCTION("""COMPUTED_VALUE"""),5.63)</f>
        <v>5.63</v>
      </c>
      <c r="H7850" s="17"/>
      <c r="K7850" s="17"/>
      <c r="N7850" s="17"/>
    </row>
    <row r="7851">
      <c r="B7851" s="11">
        <f>IFERROR(__xludf.DUMMYFUNCTION("""COMPUTED_VALUE"""),35034.0)</f>
        <v>35034</v>
      </c>
      <c r="C7851" s="9">
        <f>IFERROR(__xludf.DUMMYFUNCTION("""COMPUTED_VALUE"""),5.71)</f>
        <v>5.71</v>
      </c>
      <c r="H7851" s="17"/>
      <c r="K7851" s="17"/>
      <c r="N7851" s="17"/>
    </row>
    <row r="7852">
      <c r="B7852" s="11">
        <f>IFERROR(__xludf.DUMMYFUNCTION("""COMPUTED_VALUE"""),35033.0)</f>
        <v>35033</v>
      </c>
      <c r="C7852" s="9">
        <f>IFERROR(__xludf.DUMMYFUNCTION("""COMPUTED_VALUE"""),5.76)</f>
        <v>5.76</v>
      </c>
      <c r="H7852" s="17"/>
      <c r="K7852" s="17"/>
      <c r="N7852" s="17"/>
    </row>
    <row r="7853">
      <c r="B7853" s="11">
        <f>IFERROR(__xludf.DUMMYFUNCTION("""COMPUTED_VALUE"""),35032.0)</f>
        <v>35032</v>
      </c>
      <c r="C7853" s="9">
        <f>IFERROR(__xludf.DUMMYFUNCTION("""COMPUTED_VALUE"""),5.85)</f>
        <v>5.85</v>
      </c>
      <c r="H7853" s="17"/>
      <c r="K7853" s="17"/>
      <c r="N7853" s="17"/>
    </row>
    <row r="7854">
      <c r="B7854" s="11">
        <f>IFERROR(__xludf.DUMMYFUNCTION("""COMPUTED_VALUE"""),35031.0)</f>
        <v>35031</v>
      </c>
      <c r="C7854" s="9">
        <f>IFERROR(__xludf.DUMMYFUNCTION("""COMPUTED_VALUE"""),5.88)</f>
        <v>5.88</v>
      </c>
      <c r="H7854" s="17"/>
      <c r="K7854" s="17"/>
      <c r="N7854" s="17"/>
    </row>
    <row r="7855">
      <c r="B7855" s="11">
        <f>IFERROR(__xludf.DUMMYFUNCTION("""COMPUTED_VALUE"""),35030.0)</f>
        <v>35030</v>
      </c>
      <c r="C7855" s="9">
        <f>IFERROR(__xludf.DUMMYFUNCTION("""COMPUTED_VALUE"""),5.88)</f>
        <v>5.88</v>
      </c>
      <c r="H7855" s="17"/>
      <c r="K7855" s="17"/>
      <c r="N7855" s="17"/>
    </row>
    <row r="7856">
      <c r="B7856" s="11">
        <f>IFERROR(__xludf.DUMMYFUNCTION("""COMPUTED_VALUE"""),35027.0)</f>
        <v>35027</v>
      </c>
      <c r="C7856" s="9">
        <f>IFERROR(__xludf.DUMMYFUNCTION("""COMPUTED_VALUE"""),5.91)</f>
        <v>5.91</v>
      </c>
      <c r="H7856" s="17"/>
      <c r="K7856" s="17"/>
      <c r="N7856" s="17"/>
    </row>
    <row r="7857">
      <c r="B7857" s="11">
        <f>IFERROR(__xludf.DUMMYFUNCTION("""COMPUTED_VALUE"""),35026.0)</f>
        <v>35026</v>
      </c>
      <c r="C7857" s="9"/>
      <c r="H7857" s="17"/>
      <c r="K7857" s="17"/>
      <c r="N7857" s="17"/>
    </row>
    <row r="7858">
      <c r="B7858" s="11">
        <f>IFERROR(__xludf.DUMMYFUNCTION("""COMPUTED_VALUE"""),35025.0)</f>
        <v>35025</v>
      </c>
      <c r="C7858" s="9">
        <f>IFERROR(__xludf.DUMMYFUNCTION("""COMPUTED_VALUE"""),5.93)</f>
        <v>5.93</v>
      </c>
      <c r="H7858" s="17"/>
      <c r="K7858" s="17"/>
      <c r="N7858" s="17"/>
    </row>
    <row r="7859">
      <c r="B7859" s="11">
        <f>IFERROR(__xludf.DUMMYFUNCTION("""COMPUTED_VALUE"""),35024.0)</f>
        <v>35024</v>
      </c>
      <c r="C7859" s="9">
        <f>IFERROR(__xludf.DUMMYFUNCTION("""COMPUTED_VALUE"""),5.92)</f>
        <v>5.92</v>
      </c>
      <c r="H7859" s="17"/>
      <c r="K7859" s="17"/>
      <c r="N7859" s="17"/>
    </row>
    <row r="7860">
      <c r="B7860" s="11">
        <f>IFERROR(__xludf.DUMMYFUNCTION("""COMPUTED_VALUE"""),35023.0)</f>
        <v>35023</v>
      </c>
      <c r="C7860" s="9">
        <f>IFERROR(__xludf.DUMMYFUNCTION("""COMPUTED_VALUE"""),5.93)</f>
        <v>5.93</v>
      </c>
      <c r="H7860" s="17"/>
      <c r="K7860" s="17"/>
      <c r="N7860" s="17"/>
    </row>
    <row r="7861">
      <c r="B7861" s="11">
        <f>IFERROR(__xludf.DUMMYFUNCTION("""COMPUTED_VALUE"""),35020.0)</f>
        <v>35020</v>
      </c>
      <c r="C7861" s="9">
        <f>IFERROR(__xludf.DUMMYFUNCTION("""COMPUTED_VALUE"""),5.92)</f>
        <v>5.92</v>
      </c>
      <c r="H7861" s="17"/>
      <c r="K7861" s="17"/>
      <c r="N7861" s="17"/>
    </row>
    <row r="7862">
      <c r="B7862" s="11">
        <f>IFERROR(__xludf.DUMMYFUNCTION("""COMPUTED_VALUE"""),35019.0)</f>
        <v>35019</v>
      </c>
      <c r="C7862" s="9">
        <f>IFERROR(__xludf.DUMMYFUNCTION("""COMPUTED_VALUE"""),5.93)</f>
        <v>5.93</v>
      </c>
      <c r="H7862" s="17"/>
      <c r="K7862" s="17"/>
      <c r="N7862" s="17"/>
    </row>
    <row r="7863">
      <c r="B7863" s="11">
        <f>IFERROR(__xludf.DUMMYFUNCTION("""COMPUTED_VALUE"""),35018.0)</f>
        <v>35018</v>
      </c>
      <c r="C7863" s="9">
        <f>IFERROR(__xludf.DUMMYFUNCTION("""COMPUTED_VALUE"""),6.0)</f>
        <v>6</v>
      </c>
      <c r="H7863" s="17"/>
      <c r="K7863" s="17"/>
      <c r="N7863" s="17"/>
    </row>
    <row r="7864">
      <c r="B7864" s="11">
        <f>IFERROR(__xludf.DUMMYFUNCTION("""COMPUTED_VALUE"""),35017.0)</f>
        <v>35017</v>
      </c>
      <c r="C7864" s="9">
        <f>IFERROR(__xludf.DUMMYFUNCTION("""COMPUTED_VALUE"""),5.97)</f>
        <v>5.97</v>
      </c>
      <c r="H7864" s="17"/>
      <c r="K7864" s="17"/>
      <c r="N7864" s="17"/>
    </row>
    <row r="7865">
      <c r="B7865" s="11">
        <f>IFERROR(__xludf.DUMMYFUNCTION("""COMPUTED_VALUE"""),35016.0)</f>
        <v>35016</v>
      </c>
      <c r="C7865" s="9">
        <f>IFERROR(__xludf.DUMMYFUNCTION("""COMPUTED_VALUE"""),5.98)</f>
        <v>5.98</v>
      </c>
      <c r="H7865" s="17"/>
      <c r="K7865" s="17"/>
      <c r="N7865" s="17"/>
    </row>
    <row r="7866">
      <c r="B7866" s="11">
        <f>IFERROR(__xludf.DUMMYFUNCTION("""COMPUTED_VALUE"""),35013.0)</f>
        <v>35013</v>
      </c>
      <c r="C7866" s="9">
        <f>IFERROR(__xludf.DUMMYFUNCTION("""COMPUTED_VALUE"""),6.0)</f>
        <v>6</v>
      </c>
      <c r="H7866" s="17"/>
      <c r="K7866" s="17"/>
      <c r="N7866" s="17"/>
    </row>
    <row r="7867">
      <c r="B7867" s="11">
        <f>IFERROR(__xludf.DUMMYFUNCTION("""COMPUTED_VALUE"""),35012.0)</f>
        <v>35012</v>
      </c>
      <c r="C7867" s="9">
        <f>IFERROR(__xludf.DUMMYFUNCTION("""COMPUTED_VALUE"""),5.97)</f>
        <v>5.97</v>
      </c>
      <c r="H7867" s="17"/>
      <c r="K7867" s="17"/>
      <c r="N7867" s="17"/>
    </row>
    <row r="7868">
      <c r="B7868" s="11">
        <f>IFERROR(__xludf.DUMMYFUNCTION("""COMPUTED_VALUE"""),35011.0)</f>
        <v>35011</v>
      </c>
      <c r="C7868" s="9">
        <f>IFERROR(__xludf.DUMMYFUNCTION("""COMPUTED_VALUE"""),5.92)</f>
        <v>5.92</v>
      </c>
      <c r="H7868" s="17"/>
      <c r="K7868" s="17"/>
      <c r="N7868" s="17"/>
    </row>
    <row r="7869">
      <c r="B7869" s="11">
        <f>IFERROR(__xludf.DUMMYFUNCTION("""COMPUTED_VALUE"""),35010.0)</f>
        <v>35010</v>
      </c>
      <c r="C7869" s="9">
        <f>IFERROR(__xludf.DUMMYFUNCTION("""COMPUTED_VALUE"""),5.99)</f>
        <v>5.99</v>
      </c>
      <c r="H7869" s="17"/>
      <c r="K7869" s="17"/>
      <c r="N7869" s="17"/>
    </row>
    <row r="7870">
      <c r="B7870" s="11">
        <f>IFERROR(__xludf.DUMMYFUNCTION("""COMPUTED_VALUE"""),35009.0)</f>
        <v>35009</v>
      </c>
      <c r="C7870" s="9">
        <f>IFERROR(__xludf.DUMMYFUNCTION("""COMPUTED_VALUE"""),5.96)</f>
        <v>5.96</v>
      </c>
      <c r="H7870" s="17"/>
      <c r="K7870" s="17"/>
      <c r="N7870" s="17"/>
    </row>
    <row r="7871">
      <c r="B7871" s="11">
        <f>IFERROR(__xludf.DUMMYFUNCTION("""COMPUTED_VALUE"""),35006.0)</f>
        <v>35006</v>
      </c>
      <c r="C7871" s="9">
        <f>IFERROR(__xludf.DUMMYFUNCTION("""COMPUTED_VALUE"""),5.94)</f>
        <v>5.94</v>
      </c>
      <c r="H7871" s="17"/>
      <c r="K7871" s="17"/>
      <c r="N7871" s="17"/>
    </row>
    <row r="7872">
      <c r="B7872" s="11">
        <f>IFERROR(__xludf.DUMMYFUNCTION("""COMPUTED_VALUE"""),35005.0)</f>
        <v>35005</v>
      </c>
      <c r="C7872" s="9">
        <f>IFERROR(__xludf.DUMMYFUNCTION("""COMPUTED_VALUE"""),5.92)</f>
        <v>5.92</v>
      </c>
      <c r="H7872" s="17"/>
      <c r="K7872" s="17"/>
      <c r="N7872" s="17"/>
    </row>
    <row r="7873">
      <c r="B7873" s="11">
        <f>IFERROR(__xludf.DUMMYFUNCTION("""COMPUTED_VALUE"""),35004.0)</f>
        <v>35004</v>
      </c>
      <c r="C7873" s="9">
        <f>IFERROR(__xludf.DUMMYFUNCTION("""COMPUTED_VALUE"""),5.98)</f>
        <v>5.98</v>
      </c>
      <c r="H7873" s="17"/>
      <c r="K7873" s="17"/>
      <c r="N7873" s="17"/>
    </row>
    <row r="7874">
      <c r="B7874" s="11">
        <f>IFERROR(__xludf.DUMMYFUNCTION("""COMPUTED_VALUE"""),35003.0)</f>
        <v>35003</v>
      </c>
      <c r="C7874" s="9">
        <f>IFERROR(__xludf.DUMMYFUNCTION("""COMPUTED_VALUE"""),6.03)</f>
        <v>6.03</v>
      </c>
      <c r="H7874" s="17"/>
      <c r="K7874" s="17"/>
      <c r="N7874" s="17"/>
    </row>
    <row r="7875">
      <c r="B7875" s="11">
        <f>IFERROR(__xludf.DUMMYFUNCTION("""COMPUTED_VALUE"""),35002.0)</f>
        <v>35002</v>
      </c>
      <c r="C7875" s="9">
        <f>IFERROR(__xludf.DUMMYFUNCTION("""COMPUTED_VALUE"""),6.04)</f>
        <v>6.04</v>
      </c>
      <c r="H7875" s="17"/>
      <c r="K7875" s="17"/>
      <c r="N7875" s="17"/>
    </row>
    <row r="7876">
      <c r="B7876" s="11">
        <f>IFERROR(__xludf.DUMMYFUNCTION("""COMPUTED_VALUE"""),34999.0)</f>
        <v>34999</v>
      </c>
      <c r="C7876" s="9">
        <f>IFERROR(__xludf.DUMMYFUNCTION("""COMPUTED_VALUE"""),6.05)</f>
        <v>6.05</v>
      </c>
      <c r="H7876" s="17"/>
      <c r="K7876" s="17"/>
      <c r="N7876" s="17"/>
    </row>
    <row r="7877">
      <c r="B7877" s="11">
        <f>IFERROR(__xludf.DUMMYFUNCTION("""COMPUTED_VALUE"""),34998.0)</f>
        <v>34998</v>
      </c>
      <c r="C7877" s="9">
        <f>IFERROR(__xludf.DUMMYFUNCTION("""COMPUTED_VALUE"""),6.06)</f>
        <v>6.06</v>
      </c>
      <c r="H7877" s="17"/>
      <c r="K7877" s="17"/>
      <c r="N7877" s="17"/>
    </row>
    <row r="7878">
      <c r="B7878" s="11">
        <f>IFERROR(__xludf.DUMMYFUNCTION("""COMPUTED_VALUE"""),34997.0)</f>
        <v>34997</v>
      </c>
      <c r="C7878" s="9">
        <f>IFERROR(__xludf.DUMMYFUNCTION("""COMPUTED_VALUE"""),6.0)</f>
        <v>6</v>
      </c>
      <c r="H7878" s="17"/>
      <c r="K7878" s="17"/>
      <c r="N7878" s="17"/>
    </row>
    <row r="7879">
      <c r="B7879" s="11">
        <f>IFERROR(__xludf.DUMMYFUNCTION("""COMPUTED_VALUE"""),34996.0)</f>
        <v>34996</v>
      </c>
      <c r="C7879" s="9">
        <f>IFERROR(__xludf.DUMMYFUNCTION("""COMPUTED_VALUE"""),6.02)</f>
        <v>6.02</v>
      </c>
      <c r="H7879" s="17"/>
      <c r="K7879" s="17"/>
      <c r="N7879" s="17"/>
    </row>
    <row r="7880">
      <c r="B7880" s="11">
        <f>IFERROR(__xludf.DUMMYFUNCTION("""COMPUTED_VALUE"""),34995.0)</f>
        <v>34995</v>
      </c>
      <c r="C7880" s="9">
        <f>IFERROR(__xludf.DUMMYFUNCTION("""COMPUTED_VALUE"""),6.07)</f>
        <v>6.07</v>
      </c>
      <c r="H7880" s="17"/>
      <c r="K7880" s="17"/>
      <c r="N7880" s="17"/>
    </row>
    <row r="7881">
      <c r="B7881" s="11">
        <f>IFERROR(__xludf.DUMMYFUNCTION("""COMPUTED_VALUE"""),34992.0)</f>
        <v>34992</v>
      </c>
      <c r="C7881" s="9">
        <f>IFERROR(__xludf.DUMMYFUNCTION("""COMPUTED_VALUE"""),6.04)</f>
        <v>6.04</v>
      </c>
      <c r="H7881" s="17"/>
      <c r="K7881" s="17"/>
      <c r="N7881" s="17"/>
    </row>
    <row r="7882">
      <c r="B7882" s="11">
        <f>IFERROR(__xludf.DUMMYFUNCTION("""COMPUTED_VALUE"""),34991.0)</f>
        <v>34991</v>
      </c>
      <c r="C7882" s="9">
        <f>IFERROR(__xludf.DUMMYFUNCTION("""COMPUTED_VALUE"""),5.98)</f>
        <v>5.98</v>
      </c>
      <c r="H7882" s="17"/>
      <c r="K7882" s="17"/>
      <c r="N7882" s="17"/>
    </row>
    <row r="7883">
      <c r="B7883" s="11">
        <f>IFERROR(__xludf.DUMMYFUNCTION("""COMPUTED_VALUE"""),34990.0)</f>
        <v>34990</v>
      </c>
      <c r="C7883" s="9">
        <f>IFERROR(__xludf.DUMMYFUNCTION("""COMPUTED_VALUE"""),5.99)</f>
        <v>5.99</v>
      </c>
      <c r="H7883" s="17"/>
      <c r="K7883" s="17"/>
      <c r="N7883" s="17"/>
    </row>
    <row r="7884">
      <c r="B7884" s="11">
        <f>IFERROR(__xludf.DUMMYFUNCTION("""COMPUTED_VALUE"""),34989.0)</f>
        <v>34989</v>
      </c>
      <c r="C7884" s="9">
        <f>IFERROR(__xludf.DUMMYFUNCTION("""COMPUTED_VALUE"""),5.97)</f>
        <v>5.97</v>
      </c>
      <c r="H7884" s="17"/>
      <c r="K7884" s="17"/>
      <c r="N7884" s="17"/>
    </row>
    <row r="7885">
      <c r="B7885" s="11">
        <f>IFERROR(__xludf.DUMMYFUNCTION("""COMPUTED_VALUE"""),34988.0)</f>
        <v>34988</v>
      </c>
      <c r="C7885" s="9">
        <f>IFERROR(__xludf.DUMMYFUNCTION("""COMPUTED_VALUE"""),5.97)</f>
        <v>5.97</v>
      </c>
      <c r="H7885" s="17"/>
      <c r="K7885" s="17"/>
      <c r="N7885" s="17"/>
    </row>
    <row r="7886">
      <c r="B7886" s="11">
        <f>IFERROR(__xludf.DUMMYFUNCTION("""COMPUTED_VALUE"""),34985.0)</f>
        <v>34985</v>
      </c>
      <c r="C7886" s="9">
        <f>IFERROR(__xludf.DUMMYFUNCTION("""COMPUTED_VALUE"""),5.97)</f>
        <v>5.97</v>
      </c>
      <c r="H7886" s="17"/>
      <c r="K7886" s="17"/>
      <c r="N7886" s="17"/>
    </row>
    <row r="7887">
      <c r="B7887" s="11">
        <f>IFERROR(__xludf.DUMMYFUNCTION("""COMPUTED_VALUE"""),34984.0)</f>
        <v>34984</v>
      </c>
      <c r="C7887" s="9">
        <f>IFERROR(__xludf.DUMMYFUNCTION("""COMPUTED_VALUE"""),6.07)</f>
        <v>6.07</v>
      </c>
      <c r="H7887" s="17"/>
      <c r="K7887" s="17"/>
      <c r="N7887" s="17"/>
    </row>
    <row r="7888">
      <c r="B7888" s="11">
        <f>IFERROR(__xludf.DUMMYFUNCTION("""COMPUTED_VALUE"""),34983.0)</f>
        <v>34983</v>
      </c>
      <c r="C7888" s="9">
        <f>IFERROR(__xludf.DUMMYFUNCTION("""COMPUTED_VALUE"""),6.09)</f>
        <v>6.09</v>
      </c>
      <c r="H7888" s="17"/>
      <c r="K7888" s="17"/>
      <c r="N7888" s="17"/>
    </row>
    <row r="7889">
      <c r="B7889" s="11">
        <f>IFERROR(__xludf.DUMMYFUNCTION("""COMPUTED_VALUE"""),34982.0)</f>
        <v>34982</v>
      </c>
      <c r="C7889" s="9">
        <f>IFERROR(__xludf.DUMMYFUNCTION("""COMPUTED_VALUE"""),6.07)</f>
        <v>6.07</v>
      </c>
      <c r="H7889" s="17"/>
      <c r="K7889" s="17"/>
      <c r="N7889" s="17"/>
    </row>
    <row r="7890">
      <c r="B7890" s="11">
        <f>IFERROR(__xludf.DUMMYFUNCTION("""COMPUTED_VALUE"""),34981.0)</f>
        <v>34981</v>
      </c>
      <c r="C7890" s="9"/>
      <c r="H7890" s="17"/>
      <c r="K7890" s="17"/>
      <c r="N7890" s="17"/>
    </row>
    <row r="7891">
      <c r="B7891" s="11">
        <f>IFERROR(__xludf.DUMMYFUNCTION("""COMPUTED_VALUE"""),34978.0)</f>
        <v>34978</v>
      </c>
      <c r="C7891" s="9">
        <f>IFERROR(__xludf.DUMMYFUNCTION("""COMPUTED_VALUE"""),6.06)</f>
        <v>6.06</v>
      </c>
      <c r="H7891" s="17"/>
      <c r="K7891" s="17"/>
      <c r="N7891" s="17"/>
    </row>
    <row r="7892">
      <c r="B7892" s="11">
        <f>IFERROR(__xludf.DUMMYFUNCTION("""COMPUTED_VALUE"""),34977.0)</f>
        <v>34977</v>
      </c>
      <c r="C7892" s="9">
        <f>IFERROR(__xludf.DUMMYFUNCTION("""COMPUTED_VALUE"""),6.06)</f>
        <v>6.06</v>
      </c>
      <c r="H7892" s="17"/>
      <c r="K7892" s="17"/>
      <c r="N7892" s="17"/>
    </row>
    <row r="7893">
      <c r="B7893" s="11">
        <f>IFERROR(__xludf.DUMMYFUNCTION("""COMPUTED_VALUE"""),34976.0)</f>
        <v>34976</v>
      </c>
      <c r="C7893" s="9">
        <f>IFERROR(__xludf.DUMMYFUNCTION("""COMPUTED_VALUE"""),6.12)</f>
        <v>6.12</v>
      </c>
      <c r="H7893" s="17"/>
      <c r="K7893" s="17"/>
      <c r="N7893" s="17"/>
    </row>
    <row r="7894">
      <c r="B7894" s="11">
        <f>IFERROR(__xludf.DUMMYFUNCTION("""COMPUTED_VALUE"""),34975.0)</f>
        <v>34975</v>
      </c>
      <c r="C7894" s="9">
        <f>IFERROR(__xludf.DUMMYFUNCTION("""COMPUTED_VALUE"""),6.13)</f>
        <v>6.13</v>
      </c>
      <c r="H7894" s="17"/>
      <c r="K7894" s="17"/>
      <c r="N7894" s="17"/>
    </row>
    <row r="7895">
      <c r="B7895" s="11">
        <f>IFERROR(__xludf.DUMMYFUNCTION("""COMPUTED_VALUE"""),34974.0)</f>
        <v>34974</v>
      </c>
      <c r="C7895" s="9">
        <f>IFERROR(__xludf.DUMMYFUNCTION("""COMPUTED_VALUE"""),6.15)</f>
        <v>6.15</v>
      </c>
      <c r="H7895" s="17"/>
      <c r="K7895" s="17"/>
      <c r="N7895" s="17"/>
    </row>
    <row r="7896">
      <c r="B7896" s="11">
        <f>IFERROR(__xludf.DUMMYFUNCTION("""COMPUTED_VALUE"""),34971.0)</f>
        <v>34971</v>
      </c>
      <c r="C7896" s="9">
        <f>IFERROR(__xludf.DUMMYFUNCTION("""COMPUTED_VALUE"""),6.17)</f>
        <v>6.17</v>
      </c>
      <c r="H7896" s="17"/>
      <c r="K7896" s="17"/>
      <c r="N7896" s="17"/>
    </row>
    <row r="7897">
      <c r="B7897" s="11">
        <f>IFERROR(__xludf.DUMMYFUNCTION("""COMPUTED_VALUE"""),34970.0)</f>
        <v>34970</v>
      </c>
      <c r="C7897" s="9">
        <f>IFERROR(__xludf.DUMMYFUNCTION("""COMPUTED_VALUE"""),6.28)</f>
        <v>6.28</v>
      </c>
      <c r="H7897" s="17"/>
      <c r="K7897" s="17"/>
      <c r="N7897" s="17"/>
    </row>
    <row r="7898">
      <c r="B7898" s="11">
        <f>IFERROR(__xludf.DUMMYFUNCTION("""COMPUTED_VALUE"""),34969.0)</f>
        <v>34969</v>
      </c>
      <c r="C7898" s="9">
        <f>IFERROR(__xludf.DUMMYFUNCTION("""COMPUTED_VALUE"""),6.3)</f>
        <v>6.3</v>
      </c>
      <c r="H7898" s="17"/>
      <c r="K7898" s="17"/>
      <c r="N7898" s="17"/>
    </row>
    <row r="7899">
      <c r="B7899" s="11">
        <f>IFERROR(__xludf.DUMMYFUNCTION("""COMPUTED_VALUE"""),34968.0)</f>
        <v>34968</v>
      </c>
      <c r="C7899" s="9">
        <f>IFERROR(__xludf.DUMMYFUNCTION("""COMPUTED_VALUE"""),6.28)</f>
        <v>6.28</v>
      </c>
      <c r="H7899" s="17"/>
      <c r="K7899" s="17"/>
      <c r="N7899" s="17"/>
    </row>
    <row r="7900">
      <c r="B7900" s="11">
        <f>IFERROR(__xludf.DUMMYFUNCTION("""COMPUTED_VALUE"""),34967.0)</f>
        <v>34967</v>
      </c>
      <c r="C7900" s="9">
        <f>IFERROR(__xludf.DUMMYFUNCTION("""COMPUTED_VALUE"""),6.26)</f>
        <v>6.26</v>
      </c>
      <c r="H7900" s="17"/>
      <c r="K7900" s="17"/>
      <c r="N7900" s="17"/>
    </row>
    <row r="7901">
      <c r="B7901" s="11">
        <f>IFERROR(__xludf.DUMMYFUNCTION("""COMPUTED_VALUE"""),34964.0)</f>
        <v>34964</v>
      </c>
      <c r="C7901" s="9">
        <f>IFERROR(__xludf.DUMMYFUNCTION("""COMPUTED_VALUE"""),6.25)</f>
        <v>6.25</v>
      </c>
      <c r="H7901" s="17"/>
      <c r="K7901" s="17"/>
      <c r="N7901" s="17"/>
    </row>
    <row r="7902">
      <c r="B7902" s="11">
        <f>IFERROR(__xludf.DUMMYFUNCTION("""COMPUTED_VALUE"""),34963.0)</f>
        <v>34963</v>
      </c>
      <c r="C7902" s="9">
        <f>IFERROR(__xludf.DUMMYFUNCTION("""COMPUTED_VALUE"""),6.21)</f>
        <v>6.21</v>
      </c>
      <c r="H7902" s="17"/>
      <c r="K7902" s="17"/>
      <c r="N7902" s="17"/>
    </row>
    <row r="7903">
      <c r="B7903" s="11">
        <f>IFERROR(__xludf.DUMMYFUNCTION("""COMPUTED_VALUE"""),34962.0)</f>
        <v>34962</v>
      </c>
      <c r="C7903" s="9">
        <f>IFERROR(__xludf.DUMMYFUNCTION("""COMPUTED_VALUE"""),6.1)</f>
        <v>6.1</v>
      </c>
      <c r="H7903" s="17"/>
      <c r="K7903" s="17"/>
      <c r="N7903" s="17"/>
    </row>
    <row r="7904">
      <c r="B7904" s="11">
        <f>IFERROR(__xludf.DUMMYFUNCTION("""COMPUTED_VALUE"""),34961.0)</f>
        <v>34961</v>
      </c>
      <c r="C7904" s="9">
        <f>IFERROR(__xludf.DUMMYFUNCTION("""COMPUTED_VALUE"""),6.14)</f>
        <v>6.14</v>
      </c>
      <c r="H7904" s="17"/>
      <c r="K7904" s="17"/>
      <c r="N7904" s="17"/>
    </row>
    <row r="7905">
      <c r="B7905" s="11">
        <f>IFERROR(__xludf.DUMMYFUNCTION("""COMPUTED_VALUE"""),34960.0)</f>
        <v>34960</v>
      </c>
      <c r="C7905" s="9">
        <f>IFERROR(__xludf.DUMMYFUNCTION("""COMPUTED_VALUE"""),6.17)</f>
        <v>6.17</v>
      </c>
      <c r="H7905" s="17"/>
      <c r="K7905" s="17"/>
      <c r="N7905" s="17"/>
    </row>
    <row r="7906">
      <c r="B7906" s="11">
        <f>IFERROR(__xludf.DUMMYFUNCTION("""COMPUTED_VALUE"""),34957.0)</f>
        <v>34957</v>
      </c>
      <c r="C7906" s="9">
        <f>IFERROR(__xludf.DUMMYFUNCTION("""COMPUTED_VALUE"""),6.11)</f>
        <v>6.11</v>
      </c>
      <c r="H7906" s="17"/>
      <c r="K7906" s="17"/>
      <c r="N7906" s="17"/>
    </row>
    <row r="7907">
      <c r="B7907" s="11">
        <f>IFERROR(__xludf.DUMMYFUNCTION("""COMPUTED_VALUE"""),34956.0)</f>
        <v>34956</v>
      </c>
      <c r="C7907" s="9">
        <f>IFERROR(__xludf.DUMMYFUNCTION("""COMPUTED_VALUE"""),6.08)</f>
        <v>6.08</v>
      </c>
      <c r="H7907" s="17"/>
      <c r="K7907" s="17"/>
      <c r="N7907" s="17"/>
    </row>
    <row r="7908">
      <c r="B7908" s="11">
        <f>IFERROR(__xludf.DUMMYFUNCTION("""COMPUTED_VALUE"""),34955.0)</f>
        <v>34955</v>
      </c>
      <c r="C7908" s="9">
        <f>IFERROR(__xludf.DUMMYFUNCTION("""COMPUTED_VALUE"""),6.18)</f>
        <v>6.18</v>
      </c>
      <c r="H7908" s="17"/>
      <c r="K7908" s="17"/>
      <c r="N7908" s="17"/>
    </row>
    <row r="7909">
      <c r="B7909" s="11">
        <f>IFERROR(__xludf.DUMMYFUNCTION("""COMPUTED_VALUE"""),34954.0)</f>
        <v>34954</v>
      </c>
      <c r="C7909" s="9">
        <f>IFERROR(__xludf.DUMMYFUNCTION("""COMPUTED_VALUE"""),6.16)</f>
        <v>6.16</v>
      </c>
      <c r="H7909" s="17"/>
      <c r="K7909" s="17"/>
      <c r="N7909" s="17"/>
    </row>
    <row r="7910">
      <c r="B7910" s="11">
        <f>IFERROR(__xludf.DUMMYFUNCTION("""COMPUTED_VALUE"""),34953.0)</f>
        <v>34953</v>
      </c>
      <c r="C7910" s="9">
        <f>IFERROR(__xludf.DUMMYFUNCTION("""COMPUTED_VALUE"""),6.24)</f>
        <v>6.24</v>
      </c>
      <c r="H7910" s="17"/>
      <c r="K7910" s="17"/>
      <c r="N7910" s="17"/>
    </row>
    <row r="7911">
      <c r="B7911" s="11">
        <f>IFERROR(__xludf.DUMMYFUNCTION("""COMPUTED_VALUE"""),34950.0)</f>
        <v>34950</v>
      </c>
      <c r="C7911" s="9">
        <f>IFERROR(__xludf.DUMMYFUNCTION("""COMPUTED_VALUE"""),6.24)</f>
        <v>6.24</v>
      </c>
      <c r="H7911" s="17"/>
      <c r="K7911" s="17"/>
      <c r="N7911" s="17"/>
    </row>
    <row r="7912">
      <c r="B7912" s="11">
        <f>IFERROR(__xludf.DUMMYFUNCTION("""COMPUTED_VALUE"""),34949.0)</f>
        <v>34949</v>
      </c>
      <c r="C7912" s="9">
        <f>IFERROR(__xludf.DUMMYFUNCTION("""COMPUTED_VALUE"""),6.21)</f>
        <v>6.21</v>
      </c>
      <c r="H7912" s="17"/>
      <c r="K7912" s="17"/>
      <c r="N7912" s="17"/>
    </row>
    <row r="7913">
      <c r="B7913" s="11">
        <f>IFERROR(__xludf.DUMMYFUNCTION("""COMPUTED_VALUE"""),34948.0)</f>
        <v>34948</v>
      </c>
      <c r="C7913" s="9">
        <f>IFERROR(__xludf.DUMMYFUNCTION("""COMPUTED_VALUE"""),6.17)</f>
        <v>6.17</v>
      </c>
      <c r="H7913" s="17"/>
      <c r="K7913" s="17"/>
      <c r="N7913" s="17"/>
    </row>
    <row r="7914">
      <c r="B7914" s="11">
        <f>IFERROR(__xludf.DUMMYFUNCTION("""COMPUTED_VALUE"""),34947.0)</f>
        <v>34947</v>
      </c>
      <c r="C7914" s="9">
        <f>IFERROR(__xludf.DUMMYFUNCTION("""COMPUTED_VALUE"""),6.18)</f>
        <v>6.18</v>
      </c>
      <c r="H7914" s="17"/>
      <c r="K7914" s="17"/>
      <c r="N7914" s="17"/>
    </row>
    <row r="7915">
      <c r="B7915" s="11">
        <f>IFERROR(__xludf.DUMMYFUNCTION("""COMPUTED_VALUE"""),34946.0)</f>
        <v>34946</v>
      </c>
      <c r="C7915" s="9"/>
      <c r="H7915" s="17"/>
      <c r="K7915" s="17"/>
      <c r="N7915" s="17"/>
    </row>
    <row r="7916">
      <c r="B7916" s="11">
        <f>IFERROR(__xludf.DUMMYFUNCTION("""COMPUTED_VALUE"""),34943.0)</f>
        <v>34943</v>
      </c>
      <c r="C7916" s="9">
        <f>IFERROR(__xludf.DUMMYFUNCTION("""COMPUTED_VALUE"""),6.22)</f>
        <v>6.22</v>
      </c>
      <c r="H7916" s="17"/>
      <c r="K7916" s="17"/>
      <c r="N7916" s="17"/>
    </row>
    <row r="7917">
      <c r="B7917" s="11">
        <f>IFERROR(__xludf.DUMMYFUNCTION("""COMPUTED_VALUE"""),34942.0)</f>
        <v>34942</v>
      </c>
      <c r="C7917" s="9">
        <f>IFERROR(__xludf.DUMMYFUNCTION("""COMPUTED_VALUE"""),6.28)</f>
        <v>6.28</v>
      </c>
      <c r="H7917" s="17"/>
      <c r="K7917" s="17"/>
      <c r="N7917" s="17"/>
    </row>
    <row r="7918">
      <c r="B7918" s="11">
        <f>IFERROR(__xludf.DUMMYFUNCTION("""COMPUTED_VALUE"""),34941.0)</f>
        <v>34941</v>
      </c>
      <c r="C7918" s="9">
        <f>IFERROR(__xludf.DUMMYFUNCTION("""COMPUTED_VALUE"""),6.33)</f>
        <v>6.33</v>
      </c>
      <c r="H7918" s="17"/>
      <c r="K7918" s="17"/>
      <c r="N7918" s="17"/>
    </row>
    <row r="7919">
      <c r="B7919" s="11">
        <f>IFERROR(__xludf.DUMMYFUNCTION("""COMPUTED_VALUE"""),34940.0)</f>
        <v>34940</v>
      </c>
      <c r="C7919" s="9">
        <f>IFERROR(__xludf.DUMMYFUNCTION("""COMPUTED_VALUE"""),6.36)</f>
        <v>6.36</v>
      </c>
      <c r="H7919" s="17"/>
      <c r="K7919" s="17"/>
      <c r="N7919" s="17"/>
    </row>
    <row r="7920">
      <c r="B7920" s="11">
        <f>IFERROR(__xludf.DUMMYFUNCTION("""COMPUTED_VALUE"""),34939.0)</f>
        <v>34939</v>
      </c>
      <c r="C7920" s="9">
        <f>IFERROR(__xludf.DUMMYFUNCTION("""COMPUTED_VALUE"""),6.34)</f>
        <v>6.34</v>
      </c>
      <c r="H7920" s="17"/>
      <c r="K7920" s="17"/>
      <c r="N7920" s="17"/>
    </row>
    <row r="7921">
      <c r="B7921" s="11">
        <f>IFERROR(__xludf.DUMMYFUNCTION("""COMPUTED_VALUE"""),34936.0)</f>
        <v>34936</v>
      </c>
      <c r="C7921" s="9">
        <f>IFERROR(__xludf.DUMMYFUNCTION("""COMPUTED_VALUE"""),6.38)</f>
        <v>6.38</v>
      </c>
      <c r="H7921" s="17"/>
      <c r="K7921" s="17"/>
      <c r="N7921" s="17"/>
    </row>
    <row r="7922">
      <c r="B7922" s="11">
        <f>IFERROR(__xludf.DUMMYFUNCTION("""COMPUTED_VALUE"""),34935.0)</f>
        <v>34935</v>
      </c>
      <c r="C7922" s="9">
        <f>IFERROR(__xludf.DUMMYFUNCTION("""COMPUTED_VALUE"""),6.5)</f>
        <v>6.5</v>
      </c>
      <c r="H7922" s="17"/>
      <c r="K7922" s="17"/>
      <c r="N7922" s="17"/>
    </row>
    <row r="7923">
      <c r="B7923" s="11">
        <f>IFERROR(__xludf.DUMMYFUNCTION("""COMPUTED_VALUE"""),34934.0)</f>
        <v>34934</v>
      </c>
      <c r="C7923" s="9">
        <f>IFERROR(__xludf.DUMMYFUNCTION("""COMPUTED_VALUE"""),6.6)</f>
        <v>6.6</v>
      </c>
      <c r="H7923" s="17"/>
      <c r="K7923" s="17"/>
      <c r="N7923" s="17"/>
    </row>
    <row r="7924">
      <c r="B7924" s="11">
        <f>IFERROR(__xludf.DUMMYFUNCTION("""COMPUTED_VALUE"""),34933.0)</f>
        <v>34933</v>
      </c>
      <c r="C7924" s="9">
        <f>IFERROR(__xludf.DUMMYFUNCTION("""COMPUTED_VALUE"""),6.57)</f>
        <v>6.57</v>
      </c>
      <c r="H7924" s="17"/>
      <c r="K7924" s="17"/>
      <c r="N7924" s="17"/>
    </row>
    <row r="7925">
      <c r="B7925" s="11">
        <f>IFERROR(__xludf.DUMMYFUNCTION("""COMPUTED_VALUE"""),34932.0)</f>
        <v>34932</v>
      </c>
      <c r="C7925" s="9">
        <f>IFERROR(__xludf.DUMMYFUNCTION("""COMPUTED_VALUE"""),6.54)</f>
        <v>6.54</v>
      </c>
      <c r="H7925" s="17"/>
      <c r="K7925" s="17"/>
      <c r="N7925" s="17"/>
    </row>
    <row r="7926">
      <c r="B7926" s="11">
        <f>IFERROR(__xludf.DUMMYFUNCTION("""COMPUTED_VALUE"""),34929.0)</f>
        <v>34929</v>
      </c>
      <c r="C7926" s="9">
        <f>IFERROR(__xludf.DUMMYFUNCTION("""COMPUTED_VALUE"""),6.57)</f>
        <v>6.57</v>
      </c>
      <c r="H7926" s="17"/>
      <c r="K7926" s="17"/>
      <c r="N7926" s="17"/>
    </row>
    <row r="7927">
      <c r="B7927" s="11">
        <f>IFERROR(__xludf.DUMMYFUNCTION("""COMPUTED_VALUE"""),34928.0)</f>
        <v>34928</v>
      </c>
      <c r="C7927" s="9">
        <f>IFERROR(__xludf.DUMMYFUNCTION("""COMPUTED_VALUE"""),6.57)</f>
        <v>6.57</v>
      </c>
      <c r="H7927" s="17"/>
      <c r="K7927" s="17"/>
      <c r="N7927" s="17"/>
    </row>
    <row r="7928">
      <c r="B7928" s="11">
        <f>IFERROR(__xludf.DUMMYFUNCTION("""COMPUTED_VALUE"""),34927.0)</f>
        <v>34927</v>
      </c>
      <c r="C7928" s="9">
        <f>IFERROR(__xludf.DUMMYFUNCTION("""COMPUTED_VALUE"""),6.54)</f>
        <v>6.54</v>
      </c>
      <c r="H7928" s="17"/>
      <c r="K7928" s="17"/>
      <c r="N7928" s="17"/>
    </row>
    <row r="7929">
      <c r="B7929" s="11">
        <f>IFERROR(__xludf.DUMMYFUNCTION("""COMPUTED_VALUE"""),34926.0)</f>
        <v>34926</v>
      </c>
      <c r="C7929" s="9">
        <f>IFERROR(__xludf.DUMMYFUNCTION("""COMPUTED_VALUE"""),6.57)</f>
        <v>6.57</v>
      </c>
      <c r="H7929" s="17"/>
      <c r="K7929" s="17"/>
      <c r="N7929" s="17"/>
    </row>
    <row r="7930">
      <c r="B7930" s="11">
        <f>IFERROR(__xludf.DUMMYFUNCTION("""COMPUTED_VALUE"""),34925.0)</f>
        <v>34925</v>
      </c>
      <c r="C7930" s="9">
        <f>IFERROR(__xludf.DUMMYFUNCTION("""COMPUTED_VALUE"""),6.59)</f>
        <v>6.59</v>
      </c>
      <c r="H7930" s="17"/>
      <c r="K7930" s="17"/>
      <c r="N7930" s="17"/>
    </row>
    <row r="7931">
      <c r="B7931" s="11">
        <f>IFERROR(__xludf.DUMMYFUNCTION("""COMPUTED_VALUE"""),34922.0)</f>
        <v>34922</v>
      </c>
      <c r="C7931" s="9">
        <f>IFERROR(__xludf.DUMMYFUNCTION("""COMPUTED_VALUE"""),6.59)</f>
        <v>6.59</v>
      </c>
      <c r="H7931" s="17"/>
      <c r="K7931" s="17"/>
      <c r="N7931" s="17"/>
    </row>
    <row r="7932">
      <c r="B7932" s="11">
        <f>IFERROR(__xludf.DUMMYFUNCTION("""COMPUTED_VALUE"""),34921.0)</f>
        <v>34921</v>
      </c>
      <c r="C7932" s="9">
        <f>IFERROR(__xludf.DUMMYFUNCTION("""COMPUTED_VALUE"""),6.51)</f>
        <v>6.51</v>
      </c>
      <c r="H7932" s="17"/>
      <c r="K7932" s="17"/>
      <c r="N7932" s="17"/>
    </row>
    <row r="7933">
      <c r="B7933" s="11">
        <f>IFERROR(__xludf.DUMMYFUNCTION("""COMPUTED_VALUE"""),34920.0)</f>
        <v>34920</v>
      </c>
      <c r="C7933" s="9">
        <f>IFERROR(__xludf.DUMMYFUNCTION("""COMPUTED_VALUE"""),6.47)</f>
        <v>6.47</v>
      </c>
      <c r="H7933" s="17"/>
      <c r="K7933" s="17"/>
      <c r="N7933" s="17"/>
    </row>
    <row r="7934">
      <c r="B7934" s="11">
        <f>IFERROR(__xludf.DUMMYFUNCTION("""COMPUTED_VALUE"""),34919.0)</f>
        <v>34919</v>
      </c>
      <c r="C7934" s="9">
        <f>IFERROR(__xludf.DUMMYFUNCTION("""COMPUTED_VALUE"""),6.47)</f>
        <v>6.47</v>
      </c>
      <c r="H7934" s="17"/>
      <c r="K7934" s="17"/>
      <c r="N7934" s="17"/>
    </row>
    <row r="7935">
      <c r="B7935" s="11">
        <f>IFERROR(__xludf.DUMMYFUNCTION("""COMPUTED_VALUE"""),34918.0)</f>
        <v>34918</v>
      </c>
      <c r="C7935" s="9">
        <f>IFERROR(__xludf.DUMMYFUNCTION("""COMPUTED_VALUE"""),6.48)</f>
        <v>6.48</v>
      </c>
      <c r="H7935" s="17"/>
      <c r="K7935" s="17"/>
      <c r="N7935" s="17"/>
    </row>
    <row r="7936">
      <c r="B7936" s="11">
        <f>IFERROR(__xludf.DUMMYFUNCTION("""COMPUTED_VALUE"""),34915.0)</f>
        <v>34915</v>
      </c>
      <c r="C7936" s="9">
        <f>IFERROR(__xludf.DUMMYFUNCTION("""COMPUTED_VALUE"""),6.5)</f>
        <v>6.5</v>
      </c>
      <c r="H7936" s="17"/>
      <c r="K7936" s="17"/>
      <c r="N7936" s="17"/>
    </row>
    <row r="7937">
      <c r="B7937" s="11">
        <f>IFERROR(__xludf.DUMMYFUNCTION("""COMPUTED_VALUE"""),34914.0)</f>
        <v>34914</v>
      </c>
      <c r="C7937" s="9">
        <f>IFERROR(__xludf.DUMMYFUNCTION("""COMPUTED_VALUE"""),6.53)</f>
        <v>6.53</v>
      </c>
      <c r="H7937" s="17"/>
      <c r="K7937" s="17"/>
      <c r="N7937" s="17"/>
    </row>
    <row r="7938">
      <c r="B7938" s="11">
        <f>IFERROR(__xludf.DUMMYFUNCTION("""COMPUTED_VALUE"""),34913.0)</f>
        <v>34913</v>
      </c>
      <c r="C7938" s="9">
        <f>IFERROR(__xludf.DUMMYFUNCTION("""COMPUTED_VALUE"""),6.44)</f>
        <v>6.44</v>
      </c>
      <c r="H7938" s="17"/>
      <c r="K7938" s="17"/>
      <c r="N7938" s="17"/>
    </row>
    <row r="7939">
      <c r="B7939" s="11">
        <f>IFERROR(__xludf.DUMMYFUNCTION("""COMPUTED_VALUE"""),34912.0)</f>
        <v>34912</v>
      </c>
      <c r="C7939" s="9">
        <f>IFERROR(__xludf.DUMMYFUNCTION("""COMPUTED_VALUE"""),6.5)</f>
        <v>6.5</v>
      </c>
      <c r="H7939" s="17"/>
      <c r="K7939" s="17"/>
      <c r="N7939" s="17"/>
    </row>
    <row r="7940">
      <c r="B7940" s="11">
        <f>IFERROR(__xludf.DUMMYFUNCTION("""COMPUTED_VALUE"""),34911.0)</f>
        <v>34911</v>
      </c>
      <c r="C7940" s="9">
        <f>IFERROR(__xludf.DUMMYFUNCTION("""COMPUTED_VALUE"""),6.45)</f>
        <v>6.45</v>
      </c>
      <c r="H7940" s="17"/>
      <c r="K7940" s="17"/>
      <c r="N7940" s="17"/>
    </row>
    <row r="7941">
      <c r="B7941" s="11">
        <f>IFERROR(__xludf.DUMMYFUNCTION("""COMPUTED_VALUE"""),34908.0)</f>
        <v>34908</v>
      </c>
      <c r="C7941" s="9">
        <f>IFERROR(__xludf.DUMMYFUNCTION("""COMPUTED_VALUE"""),6.49)</f>
        <v>6.49</v>
      </c>
      <c r="H7941" s="17"/>
      <c r="K7941" s="17"/>
      <c r="N7941" s="17"/>
    </row>
    <row r="7942">
      <c r="B7942" s="11">
        <f>IFERROR(__xludf.DUMMYFUNCTION("""COMPUTED_VALUE"""),34907.0)</f>
        <v>34907</v>
      </c>
      <c r="C7942" s="9">
        <f>IFERROR(__xludf.DUMMYFUNCTION("""COMPUTED_VALUE"""),6.43)</f>
        <v>6.43</v>
      </c>
      <c r="H7942" s="17"/>
      <c r="K7942" s="17"/>
      <c r="N7942" s="17"/>
    </row>
    <row r="7943">
      <c r="B7943" s="11">
        <f>IFERROR(__xludf.DUMMYFUNCTION("""COMPUTED_VALUE"""),34906.0)</f>
        <v>34906</v>
      </c>
      <c r="C7943" s="9">
        <f>IFERROR(__xludf.DUMMYFUNCTION("""COMPUTED_VALUE"""),6.48)</f>
        <v>6.48</v>
      </c>
      <c r="H7943" s="17"/>
      <c r="K7943" s="17"/>
      <c r="N7943" s="17"/>
    </row>
    <row r="7944">
      <c r="B7944" s="11">
        <f>IFERROR(__xludf.DUMMYFUNCTION("""COMPUTED_VALUE"""),34905.0)</f>
        <v>34905</v>
      </c>
      <c r="C7944" s="9">
        <f>IFERROR(__xludf.DUMMYFUNCTION("""COMPUTED_VALUE"""),6.43)</f>
        <v>6.43</v>
      </c>
      <c r="H7944" s="17"/>
      <c r="K7944" s="17"/>
      <c r="N7944" s="17"/>
    </row>
    <row r="7945">
      <c r="B7945" s="11">
        <f>IFERROR(__xludf.DUMMYFUNCTION("""COMPUTED_VALUE"""),34904.0)</f>
        <v>34904</v>
      </c>
      <c r="C7945" s="9">
        <f>IFERROR(__xludf.DUMMYFUNCTION("""COMPUTED_VALUE"""),6.46)</f>
        <v>6.46</v>
      </c>
      <c r="H7945" s="17"/>
      <c r="K7945" s="17"/>
      <c r="N7945" s="17"/>
    </row>
    <row r="7946">
      <c r="B7946" s="11">
        <f>IFERROR(__xludf.DUMMYFUNCTION("""COMPUTED_VALUE"""),34901.0)</f>
        <v>34901</v>
      </c>
      <c r="C7946" s="9">
        <f>IFERROR(__xludf.DUMMYFUNCTION("""COMPUTED_VALUE"""),6.53)</f>
        <v>6.53</v>
      </c>
      <c r="H7946" s="17"/>
      <c r="K7946" s="17"/>
      <c r="N7946" s="17"/>
    </row>
    <row r="7947">
      <c r="B7947" s="11">
        <f>IFERROR(__xludf.DUMMYFUNCTION("""COMPUTED_VALUE"""),34900.0)</f>
        <v>34900</v>
      </c>
      <c r="C7947" s="9">
        <f>IFERROR(__xludf.DUMMYFUNCTION("""COMPUTED_VALUE"""),6.43)</f>
        <v>6.43</v>
      </c>
      <c r="H7947" s="17"/>
      <c r="K7947" s="17"/>
      <c r="N7947" s="17"/>
    </row>
    <row r="7948">
      <c r="B7948" s="11">
        <f>IFERROR(__xludf.DUMMYFUNCTION("""COMPUTED_VALUE"""),34899.0)</f>
        <v>34899</v>
      </c>
      <c r="C7948" s="9">
        <f>IFERROR(__xludf.DUMMYFUNCTION("""COMPUTED_VALUE"""),6.43)</f>
        <v>6.43</v>
      </c>
      <c r="H7948" s="17"/>
      <c r="K7948" s="17"/>
      <c r="N7948" s="17"/>
    </row>
    <row r="7949">
      <c r="B7949" s="11">
        <f>IFERROR(__xludf.DUMMYFUNCTION("""COMPUTED_VALUE"""),34898.0)</f>
        <v>34898</v>
      </c>
      <c r="C7949" s="9">
        <f>IFERROR(__xludf.DUMMYFUNCTION("""COMPUTED_VALUE"""),6.25)</f>
        <v>6.25</v>
      </c>
      <c r="H7949" s="17"/>
      <c r="K7949" s="17"/>
      <c r="N7949" s="17"/>
    </row>
    <row r="7950">
      <c r="B7950" s="11">
        <f>IFERROR(__xludf.DUMMYFUNCTION("""COMPUTED_VALUE"""),34897.0)</f>
        <v>34897</v>
      </c>
      <c r="C7950" s="9">
        <f>IFERROR(__xludf.DUMMYFUNCTION("""COMPUTED_VALUE"""),6.22)</f>
        <v>6.22</v>
      </c>
      <c r="H7950" s="17"/>
      <c r="K7950" s="17"/>
      <c r="N7950" s="17"/>
    </row>
    <row r="7951">
      <c r="B7951" s="11">
        <f>IFERROR(__xludf.DUMMYFUNCTION("""COMPUTED_VALUE"""),34894.0)</f>
        <v>34894</v>
      </c>
      <c r="C7951" s="9">
        <f>IFERROR(__xludf.DUMMYFUNCTION("""COMPUTED_VALUE"""),6.15)</f>
        <v>6.15</v>
      </c>
      <c r="H7951" s="17"/>
      <c r="K7951" s="17"/>
      <c r="N7951" s="17"/>
    </row>
    <row r="7952">
      <c r="B7952" s="11">
        <f>IFERROR(__xludf.DUMMYFUNCTION("""COMPUTED_VALUE"""),34893.0)</f>
        <v>34893</v>
      </c>
      <c r="C7952" s="9">
        <f>IFERROR(__xludf.DUMMYFUNCTION("""COMPUTED_VALUE"""),6.09)</f>
        <v>6.09</v>
      </c>
      <c r="H7952" s="17"/>
      <c r="K7952" s="17"/>
      <c r="N7952" s="17"/>
    </row>
    <row r="7953">
      <c r="B7953" s="11">
        <f>IFERROR(__xludf.DUMMYFUNCTION("""COMPUTED_VALUE"""),34892.0)</f>
        <v>34892</v>
      </c>
      <c r="C7953" s="9">
        <f>IFERROR(__xludf.DUMMYFUNCTION("""COMPUTED_VALUE"""),6.1)</f>
        <v>6.1</v>
      </c>
      <c r="H7953" s="17"/>
      <c r="K7953" s="17"/>
      <c r="N7953" s="17"/>
    </row>
    <row r="7954">
      <c r="B7954" s="11">
        <f>IFERROR(__xludf.DUMMYFUNCTION("""COMPUTED_VALUE"""),34891.0)</f>
        <v>34891</v>
      </c>
      <c r="C7954" s="9">
        <f>IFERROR(__xludf.DUMMYFUNCTION("""COMPUTED_VALUE"""),6.09)</f>
        <v>6.09</v>
      </c>
      <c r="H7954" s="17"/>
      <c r="K7954" s="17"/>
      <c r="N7954" s="17"/>
    </row>
    <row r="7955">
      <c r="B7955" s="11">
        <f>IFERROR(__xludf.DUMMYFUNCTION("""COMPUTED_VALUE"""),34890.0)</f>
        <v>34890</v>
      </c>
      <c r="C7955" s="9">
        <f>IFERROR(__xludf.DUMMYFUNCTION("""COMPUTED_VALUE"""),6.04)</f>
        <v>6.04</v>
      </c>
      <c r="H7955" s="17"/>
      <c r="K7955" s="17"/>
      <c r="N7955" s="17"/>
    </row>
    <row r="7956">
      <c r="B7956" s="11">
        <f>IFERROR(__xludf.DUMMYFUNCTION("""COMPUTED_VALUE"""),34887.0)</f>
        <v>34887</v>
      </c>
      <c r="C7956" s="9">
        <f>IFERROR(__xludf.DUMMYFUNCTION("""COMPUTED_VALUE"""),6.04)</f>
        <v>6.04</v>
      </c>
      <c r="H7956" s="17"/>
      <c r="K7956" s="17"/>
      <c r="N7956" s="17"/>
    </row>
    <row r="7957">
      <c r="B7957" s="11">
        <f>IFERROR(__xludf.DUMMYFUNCTION("""COMPUTED_VALUE"""),34886.0)</f>
        <v>34886</v>
      </c>
      <c r="C7957" s="9">
        <f>IFERROR(__xludf.DUMMYFUNCTION("""COMPUTED_VALUE"""),6.05)</f>
        <v>6.05</v>
      </c>
      <c r="H7957" s="17"/>
      <c r="K7957" s="17"/>
      <c r="N7957" s="17"/>
    </row>
    <row r="7958">
      <c r="B7958" s="11">
        <f>IFERROR(__xludf.DUMMYFUNCTION("""COMPUTED_VALUE"""),34885.0)</f>
        <v>34885</v>
      </c>
      <c r="C7958" s="9">
        <f>IFERROR(__xludf.DUMMYFUNCTION("""COMPUTED_VALUE"""),6.19)</f>
        <v>6.19</v>
      </c>
      <c r="H7958" s="17"/>
      <c r="K7958" s="17"/>
      <c r="N7958" s="17"/>
    </row>
    <row r="7959">
      <c r="B7959" s="11">
        <f>IFERROR(__xludf.DUMMYFUNCTION("""COMPUTED_VALUE"""),34884.0)</f>
        <v>34884</v>
      </c>
      <c r="C7959" s="9"/>
      <c r="H7959" s="17"/>
      <c r="K7959" s="17"/>
      <c r="N7959" s="17"/>
    </row>
    <row r="7960">
      <c r="B7960" s="11">
        <f>IFERROR(__xludf.DUMMYFUNCTION("""COMPUTED_VALUE"""),34883.0)</f>
        <v>34883</v>
      </c>
      <c r="C7960" s="9">
        <f>IFERROR(__xludf.DUMMYFUNCTION("""COMPUTED_VALUE"""),6.21)</f>
        <v>6.21</v>
      </c>
      <c r="H7960" s="17"/>
      <c r="K7960" s="17"/>
      <c r="N7960" s="17"/>
    </row>
    <row r="7961">
      <c r="B7961" s="11">
        <f>IFERROR(__xludf.DUMMYFUNCTION("""COMPUTED_VALUE"""),34880.0)</f>
        <v>34880</v>
      </c>
      <c r="C7961" s="9">
        <f>IFERROR(__xludf.DUMMYFUNCTION("""COMPUTED_VALUE"""),6.21)</f>
        <v>6.21</v>
      </c>
      <c r="H7961" s="17"/>
      <c r="K7961" s="17"/>
      <c r="N7961" s="17"/>
    </row>
    <row r="7962">
      <c r="B7962" s="11">
        <f>IFERROR(__xludf.DUMMYFUNCTION("""COMPUTED_VALUE"""),34879.0)</f>
        <v>34879</v>
      </c>
      <c r="C7962" s="9">
        <f>IFERROR(__xludf.DUMMYFUNCTION("""COMPUTED_VALUE"""),6.28)</f>
        <v>6.28</v>
      </c>
      <c r="H7962" s="17"/>
      <c r="K7962" s="17"/>
      <c r="N7962" s="17"/>
    </row>
    <row r="7963">
      <c r="B7963" s="11">
        <f>IFERROR(__xludf.DUMMYFUNCTION("""COMPUTED_VALUE"""),34878.0)</f>
        <v>34878</v>
      </c>
      <c r="C7963" s="9">
        <f>IFERROR(__xludf.DUMMYFUNCTION("""COMPUTED_VALUE"""),6.1)</f>
        <v>6.1</v>
      </c>
      <c r="H7963" s="17"/>
      <c r="K7963" s="17"/>
      <c r="N7963" s="17"/>
    </row>
    <row r="7964">
      <c r="B7964" s="11">
        <f>IFERROR(__xludf.DUMMYFUNCTION("""COMPUTED_VALUE"""),34877.0)</f>
        <v>34877</v>
      </c>
      <c r="C7964" s="9">
        <f>IFERROR(__xludf.DUMMYFUNCTION("""COMPUTED_VALUE"""),6.15)</f>
        <v>6.15</v>
      </c>
      <c r="H7964" s="17"/>
      <c r="K7964" s="17"/>
      <c r="N7964" s="17"/>
    </row>
    <row r="7965">
      <c r="B7965" s="11">
        <f>IFERROR(__xludf.DUMMYFUNCTION("""COMPUTED_VALUE"""),34876.0)</f>
        <v>34876</v>
      </c>
      <c r="C7965" s="9">
        <f>IFERROR(__xludf.DUMMYFUNCTION("""COMPUTED_VALUE"""),6.11)</f>
        <v>6.11</v>
      </c>
      <c r="H7965" s="17"/>
      <c r="K7965" s="17"/>
      <c r="N7965" s="17"/>
    </row>
    <row r="7966">
      <c r="B7966" s="11">
        <f>IFERROR(__xludf.DUMMYFUNCTION("""COMPUTED_VALUE"""),34873.0)</f>
        <v>34873</v>
      </c>
      <c r="C7966" s="9">
        <f>IFERROR(__xludf.DUMMYFUNCTION("""COMPUTED_VALUE"""),6.06)</f>
        <v>6.06</v>
      </c>
      <c r="H7966" s="17"/>
      <c r="K7966" s="17"/>
      <c r="N7966" s="17"/>
    </row>
    <row r="7967">
      <c r="B7967" s="11">
        <f>IFERROR(__xludf.DUMMYFUNCTION("""COMPUTED_VALUE"""),34872.0)</f>
        <v>34872</v>
      </c>
      <c r="C7967" s="9">
        <f>IFERROR(__xludf.DUMMYFUNCTION("""COMPUTED_VALUE"""),6.04)</f>
        <v>6.04</v>
      </c>
      <c r="H7967" s="17"/>
      <c r="K7967" s="17"/>
      <c r="N7967" s="17"/>
    </row>
    <row r="7968">
      <c r="B7968" s="11">
        <f>IFERROR(__xludf.DUMMYFUNCTION("""COMPUTED_VALUE"""),34871.0)</f>
        <v>34871</v>
      </c>
      <c r="C7968" s="9">
        <f>IFERROR(__xludf.DUMMYFUNCTION("""COMPUTED_VALUE"""),6.13)</f>
        <v>6.13</v>
      </c>
      <c r="H7968" s="17"/>
      <c r="K7968" s="17"/>
      <c r="N7968" s="17"/>
    </row>
    <row r="7969">
      <c r="B7969" s="11">
        <f>IFERROR(__xludf.DUMMYFUNCTION("""COMPUTED_VALUE"""),34870.0)</f>
        <v>34870</v>
      </c>
      <c r="C7969" s="9">
        <f>IFERROR(__xludf.DUMMYFUNCTION("""COMPUTED_VALUE"""),6.16)</f>
        <v>6.16</v>
      </c>
      <c r="H7969" s="17"/>
      <c r="K7969" s="17"/>
      <c r="N7969" s="17"/>
    </row>
    <row r="7970">
      <c r="B7970" s="11">
        <f>IFERROR(__xludf.DUMMYFUNCTION("""COMPUTED_VALUE"""),34869.0)</f>
        <v>34869</v>
      </c>
      <c r="C7970" s="9">
        <f>IFERROR(__xludf.DUMMYFUNCTION("""COMPUTED_VALUE"""),6.13)</f>
        <v>6.13</v>
      </c>
      <c r="H7970" s="17"/>
      <c r="K7970" s="17"/>
      <c r="N7970" s="17"/>
    </row>
    <row r="7971">
      <c r="B7971" s="11">
        <f>IFERROR(__xludf.DUMMYFUNCTION("""COMPUTED_VALUE"""),34866.0)</f>
        <v>34866</v>
      </c>
      <c r="C7971" s="9">
        <f>IFERROR(__xludf.DUMMYFUNCTION("""COMPUTED_VALUE"""),6.21)</f>
        <v>6.21</v>
      </c>
      <c r="H7971" s="17"/>
      <c r="K7971" s="17"/>
      <c r="N7971" s="17"/>
    </row>
    <row r="7972">
      <c r="B7972" s="11">
        <f>IFERROR(__xludf.DUMMYFUNCTION("""COMPUTED_VALUE"""),34865.0)</f>
        <v>34865</v>
      </c>
      <c r="C7972" s="9">
        <f>IFERROR(__xludf.DUMMYFUNCTION("""COMPUTED_VALUE"""),6.18)</f>
        <v>6.18</v>
      </c>
      <c r="H7972" s="17"/>
      <c r="K7972" s="17"/>
      <c r="N7972" s="17"/>
    </row>
    <row r="7973">
      <c r="B7973" s="11">
        <f>IFERROR(__xludf.DUMMYFUNCTION("""COMPUTED_VALUE"""),34864.0)</f>
        <v>34864</v>
      </c>
      <c r="C7973" s="9">
        <f>IFERROR(__xludf.DUMMYFUNCTION("""COMPUTED_VALUE"""),6.15)</f>
        <v>6.15</v>
      </c>
      <c r="H7973" s="17"/>
      <c r="K7973" s="17"/>
      <c r="N7973" s="17"/>
    </row>
    <row r="7974">
      <c r="B7974" s="11">
        <f>IFERROR(__xludf.DUMMYFUNCTION("""COMPUTED_VALUE"""),34863.0)</f>
        <v>34863</v>
      </c>
      <c r="C7974" s="9">
        <f>IFERROR(__xludf.DUMMYFUNCTION("""COMPUTED_VALUE"""),6.14)</f>
        <v>6.14</v>
      </c>
      <c r="H7974" s="17"/>
      <c r="K7974" s="17"/>
      <c r="N7974" s="17"/>
    </row>
    <row r="7975">
      <c r="B7975" s="11">
        <f>IFERROR(__xludf.DUMMYFUNCTION("""COMPUTED_VALUE"""),34862.0)</f>
        <v>34862</v>
      </c>
      <c r="C7975" s="9">
        <f>IFERROR(__xludf.DUMMYFUNCTION("""COMPUTED_VALUE"""),6.37)</f>
        <v>6.37</v>
      </c>
      <c r="H7975" s="17"/>
      <c r="K7975" s="17"/>
      <c r="N7975" s="17"/>
    </row>
    <row r="7976">
      <c r="B7976" s="11">
        <f>IFERROR(__xludf.DUMMYFUNCTION("""COMPUTED_VALUE"""),34859.0)</f>
        <v>34859</v>
      </c>
      <c r="C7976" s="9">
        <f>IFERROR(__xludf.DUMMYFUNCTION("""COMPUTED_VALUE"""),6.4)</f>
        <v>6.4</v>
      </c>
      <c r="H7976" s="17"/>
      <c r="K7976" s="17"/>
      <c r="N7976" s="17"/>
    </row>
    <row r="7977">
      <c r="B7977" s="11">
        <f>IFERROR(__xludf.DUMMYFUNCTION("""COMPUTED_VALUE"""),34858.0)</f>
        <v>34858</v>
      </c>
      <c r="C7977" s="9">
        <f>IFERROR(__xludf.DUMMYFUNCTION("""COMPUTED_VALUE"""),6.22)</f>
        <v>6.22</v>
      </c>
      <c r="H7977" s="17"/>
      <c r="K7977" s="17"/>
      <c r="N7977" s="17"/>
    </row>
    <row r="7978">
      <c r="B7978" s="11">
        <f>IFERROR(__xludf.DUMMYFUNCTION("""COMPUTED_VALUE"""),34857.0)</f>
        <v>34857</v>
      </c>
      <c r="C7978" s="9">
        <f>IFERROR(__xludf.DUMMYFUNCTION("""COMPUTED_VALUE"""),6.2)</f>
        <v>6.2</v>
      </c>
      <c r="H7978" s="17"/>
      <c r="K7978" s="17"/>
      <c r="N7978" s="17"/>
    </row>
    <row r="7979">
      <c r="B7979" s="11">
        <f>IFERROR(__xludf.DUMMYFUNCTION("""COMPUTED_VALUE"""),34856.0)</f>
        <v>34856</v>
      </c>
      <c r="C7979" s="9">
        <f>IFERROR(__xludf.DUMMYFUNCTION("""COMPUTED_VALUE"""),6.08)</f>
        <v>6.08</v>
      </c>
      <c r="H7979" s="17"/>
      <c r="K7979" s="17"/>
      <c r="N7979" s="17"/>
    </row>
    <row r="7980">
      <c r="B7980" s="11">
        <f>IFERROR(__xludf.DUMMYFUNCTION("""COMPUTED_VALUE"""),34855.0)</f>
        <v>34855</v>
      </c>
      <c r="C7980" s="9">
        <f>IFERROR(__xludf.DUMMYFUNCTION("""COMPUTED_VALUE"""),6.08)</f>
        <v>6.08</v>
      </c>
      <c r="H7980" s="17"/>
      <c r="K7980" s="17"/>
      <c r="N7980" s="17"/>
    </row>
    <row r="7981">
      <c r="B7981" s="11">
        <f>IFERROR(__xludf.DUMMYFUNCTION("""COMPUTED_VALUE"""),34852.0)</f>
        <v>34852</v>
      </c>
      <c r="C7981" s="9">
        <f>IFERROR(__xludf.DUMMYFUNCTION("""COMPUTED_VALUE"""),6.1)</f>
        <v>6.1</v>
      </c>
      <c r="H7981" s="17"/>
      <c r="K7981" s="17"/>
      <c r="N7981" s="17"/>
    </row>
    <row r="7982">
      <c r="B7982" s="11">
        <f>IFERROR(__xludf.DUMMYFUNCTION("""COMPUTED_VALUE"""),34851.0)</f>
        <v>34851</v>
      </c>
      <c r="C7982" s="9">
        <f>IFERROR(__xludf.DUMMYFUNCTION("""COMPUTED_VALUE"""),6.2)</f>
        <v>6.2</v>
      </c>
      <c r="H7982" s="17"/>
      <c r="K7982" s="17"/>
      <c r="N7982" s="17"/>
    </row>
    <row r="7983">
      <c r="B7983" s="11">
        <f>IFERROR(__xludf.DUMMYFUNCTION("""COMPUTED_VALUE"""),34850.0)</f>
        <v>34850</v>
      </c>
      <c r="C7983" s="9">
        <f>IFERROR(__xludf.DUMMYFUNCTION("""COMPUTED_VALUE"""),6.3)</f>
        <v>6.3</v>
      </c>
      <c r="H7983" s="17"/>
      <c r="K7983" s="17"/>
      <c r="N7983" s="17"/>
    </row>
    <row r="7984">
      <c r="B7984" s="11">
        <f>IFERROR(__xludf.DUMMYFUNCTION("""COMPUTED_VALUE"""),34849.0)</f>
        <v>34849</v>
      </c>
      <c r="C7984" s="9">
        <f>IFERROR(__xludf.DUMMYFUNCTION("""COMPUTED_VALUE"""),6.3)</f>
        <v>6.3</v>
      </c>
      <c r="H7984" s="17"/>
      <c r="K7984" s="17"/>
      <c r="N7984" s="17"/>
    </row>
    <row r="7985">
      <c r="B7985" s="11">
        <f>IFERROR(__xludf.DUMMYFUNCTION("""COMPUTED_VALUE"""),34848.0)</f>
        <v>34848</v>
      </c>
      <c r="C7985" s="9"/>
      <c r="H7985" s="17"/>
      <c r="K7985" s="17"/>
      <c r="N7985" s="17"/>
    </row>
    <row r="7986">
      <c r="B7986" s="11">
        <f>IFERROR(__xludf.DUMMYFUNCTION("""COMPUTED_VALUE"""),34845.0)</f>
        <v>34845</v>
      </c>
      <c r="C7986" s="9">
        <f>IFERROR(__xludf.DUMMYFUNCTION("""COMPUTED_VALUE"""),6.4)</f>
        <v>6.4</v>
      </c>
      <c r="H7986" s="17"/>
      <c r="K7986" s="17"/>
      <c r="N7986" s="17"/>
    </row>
    <row r="7987">
      <c r="B7987" s="11">
        <f>IFERROR(__xludf.DUMMYFUNCTION("""COMPUTED_VALUE"""),34844.0)</f>
        <v>34844</v>
      </c>
      <c r="C7987" s="9">
        <f>IFERROR(__xludf.DUMMYFUNCTION("""COMPUTED_VALUE"""),6.39)</f>
        <v>6.39</v>
      </c>
      <c r="H7987" s="17"/>
      <c r="K7987" s="17"/>
      <c r="N7987" s="17"/>
    </row>
    <row r="7988">
      <c r="B7988" s="11">
        <f>IFERROR(__xludf.DUMMYFUNCTION("""COMPUTED_VALUE"""),34843.0)</f>
        <v>34843</v>
      </c>
      <c r="C7988" s="9">
        <f>IFERROR(__xludf.DUMMYFUNCTION("""COMPUTED_VALUE"""),6.44)</f>
        <v>6.44</v>
      </c>
      <c r="H7988" s="17"/>
      <c r="K7988" s="17"/>
      <c r="N7988" s="17"/>
    </row>
    <row r="7989">
      <c r="B7989" s="11">
        <f>IFERROR(__xludf.DUMMYFUNCTION("""COMPUTED_VALUE"""),34842.0)</f>
        <v>34842</v>
      </c>
      <c r="C7989" s="9">
        <f>IFERROR(__xludf.DUMMYFUNCTION("""COMPUTED_VALUE"""),6.57)</f>
        <v>6.57</v>
      </c>
      <c r="H7989" s="17"/>
      <c r="K7989" s="17"/>
      <c r="N7989" s="17"/>
    </row>
    <row r="7990">
      <c r="B7990" s="11">
        <f>IFERROR(__xludf.DUMMYFUNCTION("""COMPUTED_VALUE"""),34841.0)</f>
        <v>34841</v>
      </c>
      <c r="C7990" s="9">
        <f>IFERROR(__xludf.DUMMYFUNCTION("""COMPUTED_VALUE"""),6.63)</f>
        <v>6.63</v>
      </c>
      <c r="H7990" s="17"/>
      <c r="K7990" s="17"/>
      <c r="N7990" s="17"/>
    </row>
    <row r="7991">
      <c r="B7991" s="11">
        <f>IFERROR(__xludf.DUMMYFUNCTION("""COMPUTED_VALUE"""),34838.0)</f>
        <v>34838</v>
      </c>
      <c r="C7991" s="9">
        <f>IFERROR(__xludf.DUMMYFUNCTION("""COMPUTED_VALUE"""),6.61)</f>
        <v>6.61</v>
      </c>
      <c r="H7991" s="17"/>
      <c r="K7991" s="17"/>
      <c r="N7991" s="17"/>
    </row>
    <row r="7992">
      <c r="B7992" s="11">
        <f>IFERROR(__xludf.DUMMYFUNCTION("""COMPUTED_VALUE"""),34837.0)</f>
        <v>34837</v>
      </c>
      <c r="C7992" s="9">
        <f>IFERROR(__xludf.DUMMYFUNCTION("""COMPUTED_VALUE"""),6.61)</f>
        <v>6.61</v>
      </c>
      <c r="H7992" s="17"/>
      <c r="K7992" s="17"/>
      <c r="N7992" s="17"/>
    </row>
    <row r="7993">
      <c r="B7993" s="11">
        <f>IFERROR(__xludf.DUMMYFUNCTION("""COMPUTED_VALUE"""),34836.0)</f>
        <v>34836</v>
      </c>
      <c r="C7993" s="9">
        <f>IFERROR(__xludf.DUMMYFUNCTION("""COMPUTED_VALUE"""),6.53)</f>
        <v>6.53</v>
      </c>
      <c r="H7993" s="17"/>
      <c r="K7993" s="17"/>
      <c r="N7993" s="17"/>
    </row>
    <row r="7994">
      <c r="B7994" s="11">
        <f>IFERROR(__xludf.DUMMYFUNCTION("""COMPUTED_VALUE"""),34835.0)</f>
        <v>34835</v>
      </c>
      <c r="C7994" s="9">
        <f>IFERROR(__xludf.DUMMYFUNCTION("""COMPUTED_VALUE"""),6.57)</f>
        <v>6.57</v>
      </c>
      <c r="H7994" s="17"/>
      <c r="K7994" s="17"/>
      <c r="N7994" s="17"/>
    </row>
    <row r="7995">
      <c r="B7995" s="11">
        <f>IFERROR(__xludf.DUMMYFUNCTION("""COMPUTED_VALUE"""),34834.0)</f>
        <v>34834</v>
      </c>
      <c r="C7995" s="9">
        <f>IFERROR(__xludf.DUMMYFUNCTION("""COMPUTED_VALUE"""),6.62)</f>
        <v>6.62</v>
      </c>
      <c r="H7995" s="17"/>
      <c r="K7995" s="17"/>
      <c r="N7995" s="17"/>
    </row>
    <row r="7996">
      <c r="B7996" s="11">
        <f>IFERROR(__xludf.DUMMYFUNCTION("""COMPUTED_VALUE"""),34831.0)</f>
        <v>34831</v>
      </c>
      <c r="C7996" s="9">
        <f>IFERROR(__xludf.DUMMYFUNCTION("""COMPUTED_VALUE"""),6.67)</f>
        <v>6.67</v>
      </c>
      <c r="H7996" s="17"/>
      <c r="K7996" s="17"/>
      <c r="N7996" s="17"/>
    </row>
    <row r="7997">
      <c r="B7997" s="11">
        <f>IFERROR(__xludf.DUMMYFUNCTION("""COMPUTED_VALUE"""),34830.0)</f>
        <v>34830</v>
      </c>
      <c r="C7997" s="9">
        <f>IFERROR(__xludf.DUMMYFUNCTION("""COMPUTED_VALUE"""),6.68)</f>
        <v>6.68</v>
      </c>
      <c r="H7997" s="17"/>
      <c r="K7997" s="17"/>
      <c r="N7997" s="17"/>
    </row>
    <row r="7998">
      <c r="B7998" s="11">
        <f>IFERROR(__xludf.DUMMYFUNCTION("""COMPUTED_VALUE"""),34829.0)</f>
        <v>34829</v>
      </c>
      <c r="C7998" s="9">
        <f>IFERROR(__xludf.DUMMYFUNCTION("""COMPUTED_VALUE"""),6.66)</f>
        <v>6.66</v>
      </c>
      <c r="H7998" s="17"/>
      <c r="K7998" s="17"/>
      <c r="N7998" s="17"/>
    </row>
    <row r="7999">
      <c r="B7999" s="11">
        <f>IFERROR(__xludf.DUMMYFUNCTION("""COMPUTED_VALUE"""),34828.0)</f>
        <v>34828</v>
      </c>
      <c r="C7999" s="9">
        <f>IFERROR(__xludf.DUMMYFUNCTION("""COMPUTED_VALUE"""),6.61)</f>
        <v>6.61</v>
      </c>
      <c r="H7999" s="17"/>
      <c r="K7999" s="17"/>
      <c r="N7999" s="17"/>
    </row>
    <row r="8000">
      <c r="B8000" s="11">
        <f>IFERROR(__xludf.DUMMYFUNCTION("""COMPUTED_VALUE"""),34827.0)</f>
        <v>34827</v>
      </c>
      <c r="C8000" s="9">
        <f>IFERROR(__xludf.DUMMYFUNCTION("""COMPUTED_VALUE"""),6.7)</f>
        <v>6.7</v>
      </c>
      <c r="H8000" s="17"/>
      <c r="K8000" s="17"/>
      <c r="N8000" s="17"/>
    </row>
    <row r="8001">
      <c r="B8001" s="11">
        <f>IFERROR(__xludf.DUMMYFUNCTION("""COMPUTED_VALUE"""),34824.0)</f>
        <v>34824</v>
      </c>
      <c r="C8001" s="9">
        <f>IFERROR(__xludf.DUMMYFUNCTION("""COMPUTED_VALUE"""),6.69)</f>
        <v>6.69</v>
      </c>
      <c r="H8001" s="17"/>
      <c r="K8001" s="17"/>
      <c r="N8001" s="17"/>
    </row>
    <row r="8002">
      <c r="B8002" s="11">
        <f>IFERROR(__xludf.DUMMYFUNCTION("""COMPUTED_VALUE"""),34823.0)</f>
        <v>34823</v>
      </c>
      <c r="C8002" s="9">
        <f>IFERROR(__xludf.DUMMYFUNCTION("""COMPUTED_VALUE"""),6.85)</f>
        <v>6.85</v>
      </c>
      <c r="H8002" s="17"/>
      <c r="K8002" s="17"/>
      <c r="N8002" s="17"/>
    </row>
    <row r="8003">
      <c r="B8003" s="11">
        <f>IFERROR(__xludf.DUMMYFUNCTION("""COMPUTED_VALUE"""),34822.0)</f>
        <v>34822</v>
      </c>
      <c r="C8003" s="9">
        <f>IFERROR(__xludf.DUMMYFUNCTION("""COMPUTED_VALUE"""),6.96)</f>
        <v>6.96</v>
      </c>
      <c r="H8003" s="17"/>
      <c r="K8003" s="17"/>
      <c r="N8003" s="17"/>
    </row>
    <row r="8004">
      <c r="B8004" s="11">
        <f>IFERROR(__xludf.DUMMYFUNCTION("""COMPUTED_VALUE"""),34821.0)</f>
        <v>34821</v>
      </c>
      <c r="C8004" s="9">
        <f>IFERROR(__xludf.DUMMYFUNCTION("""COMPUTED_VALUE"""),7.04)</f>
        <v>7.04</v>
      </c>
      <c r="H8004" s="17"/>
      <c r="K8004" s="17"/>
      <c r="N8004" s="17"/>
    </row>
    <row r="8005">
      <c r="B8005" s="11">
        <f>IFERROR(__xludf.DUMMYFUNCTION("""COMPUTED_VALUE"""),34820.0)</f>
        <v>34820</v>
      </c>
      <c r="C8005" s="9">
        <f>IFERROR(__xludf.DUMMYFUNCTION("""COMPUTED_VALUE"""),7.09)</f>
        <v>7.09</v>
      </c>
      <c r="H8005" s="17"/>
      <c r="K8005" s="17"/>
      <c r="N8005" s="17"/>
    </row>
    <row r="8006">
      <c r="B8006" s="11">
        <f>IFERROR(__xludf.DUMMYFUNCTION("""COMPUTED_VALUE"""),34817.0)</f>
        <v>34817</v>
      </c>
      <c r="C8006" s="9">
        <f>IFERROR(__xludf.DUMMYFUNCTION("""COMPUTED_VALUE"""),7.07)</f>
        <v>7.07</v>
      </c>
      <c r="H8006" s="17"/>
      <c r="K8006" s="17"/>
      <c r="N8006" s="17"/>
    </row>
    <row r="8007">
      <c r="B8007" s="11">
        <f>IFERROR(__xludf.DUMMYFUNCTION("""COMPUTED_VALUE"""),34816.0)</f>
        <v>34816</v>
      </c>
      <c r="C8007" s="9">
        <f>IFERROR(__xludf.DUMMYFUNCTION("""COMPUTED_VALUE"""),7.04)</f>
        <v>7.04</v>
      </c>
      <c r="H8007" s="17"/>
      <c r="K8007" s="17"/>
      <c r="N8007" s="17"/>
    </row>
    <row r="8008">
      <c r="B8008" s="11">
        <f>IFERROR(__xludf.DUMMYFUNCTION("""COMPUTED_VALUE"""),34815.0)</f>
        <v>34815</v>
      </c>
      <c r="C8008" s="9">
        <f>IFERROR(__xludf.DUMMYFUNCTION("""COMPUTED_VALUE"""),7.01)</f>
        <v>7.01</v>
      </c>
      <c r="H8008" s="17"/>
      <c r="K8008" s="17"/>
      <c r="N8008" s="17"/>
    </row>
    <row r="8009">
      <c r="B8009" s="11">
        <f>IFERROR(__xludf.DUMMYFUNCTION("""COMPUTED_VALUE"""),34814.0)</f>
        <v>34814</v>
      </c>
      <c r="C8009" s="9">
        <f>IFERROR(__xludf.DUMMYFUNCTION("""COMPUTED_VALUE"""),7.01)</f>
        <v>7.01</v>
      </c>
      <c r="H8009" s="17"/>
      <c r="K8009" s="17"/>
      <c r="N8009" s="17"/>
    </row>
    <row r="8010">
      <c r="B8010" s="11">
        <f>IFERROR(__xludf.DUMMYFUNCTION("""COMPUTED_VALUE"""),34813.0)</f>
        <v>34813</v>
      </c>
      <c r="C8010" s="9">
        <f>IFERROR(__xludf.DUMMYFUNCTION("""COMPUTED_VALUE"""),7.01)</f>
        <v>7.01</v>
      </c>
      <c r="H8010" s="17"/>
      <c r="K8010" s="17"/>
      <c r="N8010" s="17"/>
    </row>
    <row r="8011">
      <c r="B8011" s="11">
        <f>IFERROR(__xludf.DUMMYFUNCTION("""COMPUTED_VALUE"""),34810.0)</f>
        <v>34810</v>
      </c>
      <c r="C8011" s="9">
        <f>IFERROR(__xludf.DUMMYFUNCTION("""COMPUTED_VALUE"""),7.01)</f>
        <v>7.01</v>
      </c>
      <c r="H8011" s="17"/>
      <c r="K8011" s="17"/>
      <c r="N8011" s="17"/>
    </row>
    <row r="8012">
      <c r="B8012" s="11">
        <f>IFERROR(__xludf.DUMMYFUNCTION("""COMPUTED_VALUE"""),34809.0)</f>
        <v>34809</v>
      </c>
      <c r="C8012" s="9">
        <f>IFERROR(__xludf.DUMMYFUNCTION("""COMPUTED_VALUE"""),7.02)</f>
        <v>7.02</v>
      </c>
      <c r="H8012" s="17"/>
      <c r="K8012" s="17"/>
      <c r="N8012" s="17"/>
    </row>
    <row r="8013">
      <c r="B8013" s="11">
        <f>IFERROR(__xludf.DUMMYFUNCTION("""COMPUTED_VALUE"""),34808.0)</f>
        <v>34808</v>
      </c>
      <c r="C8013" s="9">
        <f>IFERROR(__xludf.DUMMYFUNCTION("""COMPUTED_VALUE"""),7.06)</f>
        <v>7.06</v>
      </c>
      <c r="H8013" s="17"/>
      <c r="K8013" s="17"/>
      <c r="N8013" s="17"/>
    </row>
    <row r="8014">
      <c r="B8014" s="11">
        <f>IFERROR(__xludf.DUMMYFUNCTION("""COMPUTED_VALUE"""),34807.0)</f>
        <v>34807</v>
      </c>
      <c r="C8014" s="9">
        <f>IFERROR(__xludf.DUMMYFUNCTION("""COMPUTED_VALUE"""),7.04)</f>
        <v>7.04</v>
      </c>
      <c r="H8014" s="17"/>
      <c r="K8014" s="17"/>
      <c r="N8014" s="17"/>
    </row>
    <row r="8015">
      <c r="B8015" s="11">
        <f>IFERROR(__xludf.DUMMYFUNCTION("""COMPUTED_VALUE"""),34806.0)</f>
        <v>34806</v>
      </c>
      <c r="C8015" s="9">
        <f>IFERROR(__xludf.DUMMYFUNCTION("""COMPUTED_VALUE"""),7.04)</f>
        <v>7.04</v>
      </c>
      <c r="H8015" s="17"/>
      <c r="K8015" s="17"/>
      <c r="N8015" s="17"/>
    </row>
    <row r="8016">
      <c r="B8016" s="11">
        <f>IFERROR(__xludf.DUMMYFUNCTION("""COMPUTED_VALUE"""),34803.0)</f>
        <v>34803</v>
      </c>
      <c r="C8016" s="9"/>
      <c r="H8016" s="17"/>
      <c r="K8016" s="17"/>
      <c r="N8016" s="17"/>
    </row>
    <row r="8017">
      <c r="B8017" s="11">
        <f>IFERROR(__xludf.DUMMYFUNCTION("""COMPUTED_VALUE"""),34802.0)</f>
        <v>34802</v>
      </c>
      <c r="C8017" s="9">
        <f>IFERROR(__xludf.DUMMYFUNCTION("""COMPUTED_VALUE"""),7.03)</f>
        <v>7.03</v>
      </c>
      <c r="H8017" s="17"/>
      <c r="K8017" s="17"/>
      <c r="N8017" s="17"/>
    </row>
    <row r="8018">
      <c r="B8018" s="11">
        <f>IFERROR(__xludf.DUMMYFUNCTION("""COMPUTED_VALUE"""),34801.0)</f>
        <v>34801</v>
      </c>
      <c r="C8018" s="9">
        <f>IFERROR(__xludf.DUMMYFUNCTION("""COMPUTED_VALUE"""),7.06)</f>
        <v>7.06</v>
      </c>
      <c r="H8018" s="17"/>
      <c r="K8018" s="17"/>
      <c r="N8018" s="17"/>
    </row>
    <row r="8019">
      <c r="B8019" s="11">
        <f>IFERROR(__xludf.DUMMYFUNCTION("""COMPUTED_VALUE"""),34800.0)</f>
        <v>34800</v>
      </c>
      <c r="C8019" s="9">
        <f>IFERROR(__xludf.DUMMYFUNCTION("""COMPUTED_VALUE"""),7.09)</f>
        <v>7.09</v>
      </c>
      <c r="H8019" s="17"/>
      <c r="K8019" s="17"/>
      <c r="N8019" s="17"/>
    </row>
    <row r="8020">
      <c r="B8020" s="11">
        <f>IFERROR(__xludf.DUMMYFUNCTION("""COMPUTED_VALUE"""),34799.0)</f>
        <v>34799</v>
      </c>
      <c r="C8020" s="9">
        <f>IFERROR(__xludf.DUMMYFUNCTION("""COMPUTED_VALUE"""),7.12)</f>
        <v>7.12</v>
      </c>
      <c r="H8020" s="17"/>
      <c r="K8020" s="17"/>
      <c r="N8020" s="17"/>
    </row>
    <row r="8021">
      <c r="B8021" s="11">
        <f>IFERROR(__xludf.DUMMYFUNCTION("""COMPUTED_VALUE"""),34796.0)</f>
        <v>34796</v>
      </c>
      <c r="C8021" s="9">
        <f>IFERROR(__xludf.DUMMYFUNCTION("""COMPUTED_VALUE"""),7.11)</f>
        <v>7.11</v>
      </c>
      <c r="H8021" s="17"/>
      <c r="K8021" s="17"/>
      <c r="N8021" s="17"/>
    </row>
    <row r="8022">
      <c r="B8022" s="11">
        <f>IFERROR(__xludf.DUMMYFUNCTION("""COMPUTED_VALUE"""),34795.0)</f>
        <v>34795</v>
      </c>
      <c r="C8022" s="9">
        <f>IFERROR(__xludf.DUMMYFUNCTION("""COMPUTED_VALUE"""),7.09)</f>
        <v>7.09</v>
      </c>
      <c r="H8022" s="17"/>
      <c r="K8022" s="17"/>
      <c r="N8022" s="17"/>
    </row>
    <row r="8023">
      <c r="B8023" s="11">
        <f>IFERROR(__xludf.DUMMYFUNCTION("""COMPUTED_VALUE"""),34794.0)</f>
        <v>34794</v>
      </c>
      <c r="C8023" s="9">
        <f>IFERROR(__xludf.DUMMYFUNCTION("""COMPUTED_VALUE"""),7.12)</f>
        <v>7.12</v>
      </c>
      <c r="H8023" s="17"/>
      <c r="K8023" s="17"/>
      <c r="N8023" s="17"/>
    </row>
    <row r="8024">
      <c r="B8024" s="11">
        <f>IFERROR(__xludf.DUMMYFUNCTION("""COMPUTED_VALUE"""),34793.0)</f>
        <v>34793</v>
      </c>
      <c r="C8024" s="9">
        <f>IFERROR(__xludf.DUMMYFUNCTION("""COMPUTED_VALUE"""),7.12)</f>
        <v>7.12</v>
      </c>
      <c r="H8024" s="17"/>
      <c r="K8024" s="17"/>
      <c r="N8024" s="17"/>
    </row>
    <row r="8025">
      <c r="B8025" s="11">
        <f>IFERROR(__xludf.DUMMYFUNCTION("""COMPUTED_VALUE"""),34792.0)</f>
        <v>34792</v>
      </c>
      <c r="C8025" s="9">
        <f>IFERROR(__xludf.DUMMYFUNCTION("""COMPUTED_VALUE"""),7.14)</f>
        <v>7.14</v>
      </c>
      <c r="H8025" s="17"/>
      <c r="K8025" s="17"/>
      <c r="N8025" s="17"/>
    </row>
    <row r="8026">
      <c r="B8026" s="11">
        <f>IFERROR(__xludf.DUMMYFUNCTION("""COMPUTED_VALUE"""),34789.0)</f>
        <v>34789</v>
      </c>
      <c r="C8026" s="9">
        <f>IFERROR(__xludf.DUMMYFUNCTION("""COMPUTED_VALUE"""),7.2)</f>
        <v>7.2</v>
      </c>
      <c r="H8026" s="17"/>
      <c r="K8026" s="17"/>
      <c r="N8026" s="17"/>
    </row>
    <row r="8027">
      <c r="B8027" s="11">
        <f>IFERROR(__xludf.DUMMYFUNCTION("""COMPUTED_VALUE"""),34788.0)</f>
        <v>34788</v>
      </c>
      <c r="C8027" s="9">
        <f>IFERROR(__xludf.DUMMYFUNCTION("""COMPUTED_VALUE"""),7.18)</f>
        <v>7.18</v>
      </c>
      <c r="H8027" s="17"/>
      <c r="K8027" s="17"/>
      <c r="N8027" s="17"/>
    </row>
    <row r="8028">
      <c r="B8028" s="11">
        <f>IFERROR(__xludf.DUMMYFUNCTION("""COMPUTED_VALUE"""),34787.0)</f>
        <v>34787</v>
      </c>
      <c r="C8028" s="9">
        <f>IFERROR(__xludf.DUMMYFUNCTION("""COMPUTED_VALUE"""),7.16)</f>
        <v>7.16</v>
      </c>
      <c r="H8028" s="17"/>
      <c r="K8028" s="17"/>
      <c r="N8028" s="17"/>
    </row>
    <row r="8029">
      <c r="B8029" s="11">
        <f>IFERROR(__xludf.DUMMYFUNCTION("""COMPUTED_VALUE"""),34786.0)</f>
        <v>34786</v>
      </c>
      <c r="C8029" s="9">
        <f>IFERROR(__xludf.DUMMYFUNCTION("""COMPUTED_VALUE"""),7.16)</f>
        <v>7.16</v>
      </c>
      <c r="H8029" s="17"/>
      <c r="K8029" s="17"/>
      <c r="N8029" s="17"/>
    </row>
    <row r="8030">
      <c r="B8030" s="11">
        <f>IFERROR(__xludf.DUMMYFUNCTION("""COMPUTED_VALUE"""),34785.0)</f>
        <v>34785</v>
      </c>
      <c r="C8030" s="9">
        <f>IFERROR(__xludf.DUMMYFUNCTION("""COMPUTED_VALUE"""),7.05)</f>
        <v>7.05</v>
      </c>
      <c r="H8030" s="17"/>
      <c r="K8030" s="17"/>
      <c r="N8030" s="17"/>
    </row>
    <row r="8031">
      <c r="B8031" s="11">
        <f>IFERROR(__xludf.DUMMYFUNCTION("""COMPUTED_VALUE"""),34782.0)</f>
        <v>34782</v>
      </c>
      <c r="C8031" s="9">
        <f>IFERROR(__xludf.DUMMYFUNCTION("""COMPUTED_VALUE"""),7.09)</f>
        <v>7.09</v>
      </c>
      <c r="H8031" s="17"/>
      <c r="K8031" s="17"/>
      <c r="N8031" s="17"/>
    </row>
    <row r="8032">
      <c r="B8032" s="11">
        <f>IFERROR(__xludf.DUMMYFUNCTION("""COMPUTED_VALUE"""),34781.0)</f>
        <v>34781</v>
      </c>
      <c r="C8032" s="9">
        <f>IFERROR(__xludf.DUMMYFUNCTION("""COMPUTED_VALUE"""),7.21)</f>
        <v>7.21</v>
      </c>
      <c r="H8032" s="17"/>
      <c r="K8032" s="17"/>
      <c r="N8032" s="17"/>
    </row>
    <row r="8033">
      <c r="B8033" s="11">
        <f>IFERROR(__xludf.DUMMYFUNCTION("""COMPUTED_VALUE"""),34780.0)</f>
        <v>34780</v>
      </c>
      <c r="C8033" s="9">
        <f>IFERROR(__xludf.DUMMYFUNCTION("""COMPUTED_VALUE"""),7.21)</f>
        <v>7.21</v>
      </c>
      <c r="H8033" s="17"/>
      <c r="K8033" s="17"/>
      <c r="N8033" s="17"/>
    </row>
    <row r="8034">
      <c r="B8034" s="11">
        <f>IFERROR(__xludf.DUMMYFUNCTION("""COMPUTED_VALUE"""),34779.0)</f>
        <v>34779</v>
      </c>
      <c r="C8034" s="9">
        <f>IFERROR(__xludf.DUMMYFUNCTION("""COMPUTED_VALUE"""),7.16)</f>
        <v>7.16</v>
      </c>
      <c r="H8034" s="17"/>
      <c r="K8034" s="17"/>
      <c r="N8034" s="17"/>
    </row>
    <row r="8035">
      <c r="B8035" s="11">
        <f>IFERROR(__xludf.DUMMYFUNCTION("""COMPUTED_VALUE"""),34778.0)</f>
        <v>34778</v>
      </c>
      <c r="C8035" s="9">
        <f>IFERROR(__xludf.DUMMYFUNCTION("""COMPUTED_VALUE"""),7.12)</f>
        <v>7.12</v>
      </c>
      <c r="H8035" s="17"/>
      <c r="K8035" s="17"/>
      <c r="N8035" s="17"/>
    </row>
    <row r="8036">
      <c r="B8036" s="11">
        <f>IFERROR(__xludf.DUMMYFUNCTION("""COMPUTED_VALUE"""),34775.0)</f>
        <v>34775</v>
      </c>
      <c r="C8036" s="9">
        <f>IFERROR(__xludf.DUMMYFUNCTION("""COMPUTED_VALUE"""),7.12)</f>
        <v>7.12</v>
      </c>
      <c r="H8036" s="17"/>
      <c r="K8036" s="17"/>
      <c r="N8036" s="17"/>
    </row>
    <row r="8037">
      <c r="B8037" s="11">
        <f>IFERROR(__xludf.DUMMYFUNCTION("""COMPUTED_VALUE"""),34774.0)</f>
        <v>34774</v>
      </c>
      <c r="C8037" s="9">
        <f>IFERROR(__xludf.DUMMYFUNCTION("""COMPUTED_VALUE"""),7.05)</f>
        <v>7.05</v>
      </c>
      <c r="H8037" s="17"/>
      <c r="K8037" s="17"/>
      <c r="N8037" s="17"/>
    </row>
    <row r="8038">
      <c r="B8038" s="11">
        <f>IFERROR(__xludf.DUMMYFUNCTION("""COMPUTED_VALUE"""),34773.0)</f>
        <v>34773</v>
      </c>
      <c r="C8038" s="9">
        <f>IFERROR(__xludf.DUMMYFUNCTION("""COMPUTED_VALUE"""),7.09)</f>
        <v>7.09</v>
      </c>
      <c r="H8038" s="17"/>
      <c r="K8038" s="17"/>
      <c r="N8038" s="17"/>
    </row>
    <row r="8039">
      <c r="B8039" s="11">
        <f>IFERROR(__xludf.DUMMYFUNCTION("""COMPUTED_VALUE"""),34772.0)</f>
        <v>34772</v>
      </c>
      <c r="C8039" s="9">
        <f>IFERROR(__xludf.DUMMYFUNCTION("""COMPUTED_VALUE"""),7.09)</f>
        <v>7.09</v>
      </c>
      <c r="H8039" s="17"/>
      <c r="K8039" s="17"/>
      <c r="N8039" s="17"/>
    </row>
    <row r="8040">
      <c r="B8040" s="11">
        <f>IFERROR(__xludf.DUMMYFUNCTION("""COMPUTED_VALUE"""),34771.0)</f>
        <v>34771</v>
      </c>
      <c r="C8040" s="9">
        <f>IFERROR(__xludf.DUMMYFUNCTION("""COMPUTED_VALUE"""),7.19)</f>
        <v>7.19</v>
      </c>
      <c r="H8040" s="17"/>
      <c r="K8040" s="17"/>
      <c r="N8040" s="17"/>
    </row>
    <row r="8041">
      <c r="B8041" s="11">
        <f>IFERROR(__xludf.DUMMYFUNCTION("""COMPUTED_VALUE"""),34768.0)</f>
        <v>34768</v>
      </c>
      <c r="C8041" s="9">
        <f>IFERROR(__xludf.DUMMYFUNCTION("""COMPUTED_VALUE"""),7.23)</f>
        <v>7.23</v>
      </c>
      <c r="H8041" s="17"/>
      <c r="K8041" s="17"/>
      <c r="N8041" s="17"/>
    </row>
    <row r="8042">
      <c r="B8042" s="11">
        <f>IFERROR(__xludf.DUMMYFUNCTION("""COMPUTED_VALUE"""),34767.0)</f>
        <v>34767</v>
      </c>
      <c r="C8042" s="9">
        <f>IFERROR(__xludf.DUMMYFUNCTION("""COMPUTED_VALUE"""),7.3)</f>
        <v>7.3</v>
      </c>
      <c r="H8042" s="17"/>
      <c r="K8042" s="17"/>
      <c r="N8042" s="17"/>
    </row>
    <row r="8043">
      <c r="B8043" s="11">
        <f>IFERROR(__xludf.DUMMYFUNCTION("""COMPUTED_VALUE"""),34766.0)</f>
        <v>34766</v>
      </c>
      <c r="C8043" s="9">
        <f>IFERROR(__xludf.DUMMYFUNCTION("""COMPUTED_VALUE"""),7.36)</f>
        <v>7.36</v>
      </c>
      <c r="H8043" s="17"/>
      <c r="K8043" s="17"/>
      <c r="N8043" s="17"/>
    </row>
    <row r="8044">
      <c r="B8044" s="11">
        <f>IFERROR(__xludf.DUMMYFUNCTION("""COMPUTED_VALUE"""),34765.0)</f>
        <v>34765</v>
      </c>
      <c r="C8044" s="9">
        <f>IFERROR(__xludf.DUMMYFUNCTION("""COMPUTED_VALUE"""),7.44)</f>
        <v>7.44</v>
      </c>
      <c r="H8044" s="17"/>
      <c r="K8044" s="17"/>
      <c r="N8044" s="17"/>
    </row>
    <row r="8045">
      <c r="B8045" s="11">
        <f>IFERROR(__xludf.DUMMYFUNCTION("""COMPUTED_VALUE"""),34764.0)</f>
        <v>34764</v>
      </c>
      <c r="C8045" s="9">
        <f>IFERROR(__xludf.DUMMYFUNCTION("""COMPUTED_VALUE"""),7.41)</f>
        <v>7.41</v>
      </c>
      <c r="H8045" s="17"/>
      <c r="K8045" s="17"/>
      <c r="N8045" s="17"/>
    </row>
    <row r="8046">
      <c r="B8046" s="11">
        <f>IFERROR(__xludf.DUMMYFUNCTION("""COMPUTED_VALUE"""),34761.0)</f>
        <v>34761</v>
      </c>
      <c r="C8046" s="9">
        <f>IFERROR(__xludf.DUMMYFUNCTION("""COMPUTED_VALUE"""),7.36)</f>
        <v>7.36</v>
      </c>
      <c r="H8046" s="17"/>
      <c r="K8046" s="17"/>
      <c r="N8046" s="17"/>
    </row>
    <row r="8047">
      <c r="B8047" s="11">
        <f>IFERROR(__xludf.DUMMYFUNCTION("""COMPUTED_VALUE"""),34760.0)</f>
        <v>34760</v>
      </c>
      <c r="C8047" s="9">
        <f>IFERROR(__xludf.DUMMYFUNCTION("""COMPUTED_VALUE"""),7.3)</f>
        <v>7.3</v>
      </c>
      <c r="H8047" s="17"/>
      <c r="K8047" s="17"/>
      <c r="N8047" s="17"/>
    </row>
    <row r="8048">
      <c r="B8048" s="11">
        <f>IFERROR(__xludf.DUMMYFUNCTION("""COMPUTED_VALUE"""),34759.0)</f>
        <v>34759</v>
      </c>
      <c r="C8048" s="9">
        <f>IFERROR(__xludf.DUMMYFUNCTION("""COMPUTED_VALUE"""),7.23)</f>
        <v>7.23</v>
      </c>
      <c r="H8048" s="17"/>
      <c r="K8048" s="17"/>
      <c r="N8048" s="17"/>
    </row>
    <row r="8049">
      <c r="B8049" s="11">
        <f>IFERROR(__xludf.DUMMYFUNCTION("""COMPUTED_VALUE"""),34758.0)</f>
        <v>34758</v>
      </c>
      <c r="C8049" s="9">
        <f>IFERROR(__xludf.DUMMYFUNCTION("""COMPUTED_VALUE"""),7.22)</f>
        <v>7.22</v>
      </c>
      <c r="H8049" s="17"/>
      <c r="K8049" s="17"/>
      <c r="N8049" s="17"/>
    </row>
    <row r="8050">
      <c r="B8050" s="11">
        <f>IFERROR(__xludf.DUMMYFUNCTION("""COMPUTED_VALUE"""),34757.0)</f>
        <v>34757</v>
      </c>
      <c r="C8050" s="9">
        <f>IFERROR(__xludf.DUMMYFUNCTION("""COMPUTED_VALUE"""),7.24)</f>
        <v>7.24</v>
      </c>
      <c r="H8050" s="17"/>
      <c r="K8050" s="17"/>
      <c r="N8050" s="17"/>
    </row>
    <row r="8051">
      <c r="B8051" s="11">
        <f>IFERROR(__xludf.DUMMYFUNCTION("""COMPUTED_VALUE"""),34754.0)</f>
        <v>34754</v>
      </c>
      <c r="C8051" s="9">
        <f>IFERROR(__xludf.DUMMYFUNCTION("""COMPUTED_VALUE"""),7.33)</f>
        <v>7.33</v>
      </c>
      <c r="H8051" s="17"/>
      <c r="K8051" s="17"/>
      <c r="N8051" s="17"/>
    </row>
    <row r="8052">
      <c r="B8052" s="11">
        <f>IFERROR(__xludf.DUMMYFUNCTION("""COMPUTED_VALUE"""),34753.0)</f>
        <v>34753</v>
      </c>
      <c r="C8052" s="9">
        <f>IFERROR(__xludf.DUMMYFUNCTION("""COMPUTED_VALUE"""),7.34)</f>
        <v>7.34</v>
      </c>
      <c r="H8052" s="17"/>
      <c r="K8052" s="17"/>
      <c r="N8052" s="17"/>
    </row>
    <row r="8053">
      <c r="B8053" s="11">
        <f>IFERROR(__xludf.DUMMYFUNCTION("""COMPUTED_VALUE"""),34752.0)</f>
        <v>34752</v>
      </c>
      <c r="C8053" s="9">
        <f>IFERROR(__xludf.DUMMYFUNCTION("""COMPUTED_VALUE"""),7.34)</f>
        <v>7.34</v>
      </c>
      <c r="H8053" s="17"/>
      <c r="K8053" s="17"/>
      <c r="N8053" s="17"/>
    </row>
    <row r="8054">
      <c r="B8054" s="11">
        <f>IFERROR(__xludf.DUMMYFUNCTION("""COMPUTED_VALUE"""),34751.0)</f>
        <v>34751</v>
      </c>
      <c r="C8054" s="9">
        <f>IFERROR(__xludf.DUMMYFUNCTION("""COMPUTED_VALUE"""),7.44)</f>
        <v>7.44</v>
      </c>
      <c r="H8054" s="17"/>
      <c r="K8054" s="17"/>
      <c r="N8054" s="17"/>
    </row>
    <row r="8055">
      <c r="B8055" s="11">
        <f>IFERROR(__xludf.DUMMYFUNCTION("""COMPUTED_VALUE"""),34750.0)</f>
        <v>34750</v>
      </c>
      <c r="C8055" s="9"/>
      <c r="H8055" s="17"/>
      <c r="K8055" s="17"/>
      <c r="N8055" s="17"/>
    </row>
    <row r="8056">
      <c r="B8056" s="11">
        <f>IFERROR(__xludf.DUMMYFUNCTION("""COMPUTED_VALUE"""),34747.0)</f>
        <v>34747</v>
      </c>
      <c r="C8056" s="9">
        <f>IFERROR(__xludf.DUMMYFUNCTION("""COMPUTED_VALUE"""),7.43)</f>
        <v>7.43</v>
      </c>
      <c r="H8056" s="17"/>
      <c r="K8056" s="17"/>
      <c r="N8056" s="17"/>
    </row>
    <row r="8057">
      <c r="B8057" s="11">
        <f>IFERROR(__xludf.DUMMYFUNCTION("""COMPUTED_VALUE"""),34746.0)</f>
        <v>34746</v>
      </c>
      <c r="C8057" s="9">
        <f>IFERROR(__xludf.DUMMYFUNCTION("""COMPUTED_VALUE"""),7.4)</f>
        <v>7.4</v>
      </c>
      <c r="H8057" s="17"/>
      <c r="K8057" s="17"/>
      <c r="N8057" s="17"/>
    </row>
    <row r="8058">
      <c r="B8058" s="11">
        <f>IFERROR(__xludf.DUMMYFUNCTION("""COMPUTED_VALUE"""),34745.0)</f>
        <v>34745</v>
      </c>
      <c r="C8058" s="9">
        <f>IFERROR(__xludf.DUMMYFUNCTION("""COMPUTED_VALUE"""),7.45)</f>
        <v>7.45</v>
      </c>
      <c r="H8058" s="17"/>
      <c r="K8058" s="17"/>
      <c r="N8058" s="17"/>
    </row>
    <row r="8059">
      <c r="B8059" s="11">
        <f>IFERROR(__xludf.DUMMYFUNCTION("""COMPUTED_VALUE"""),34744.0)</f>
        <v>34744</v>
      </c>
      <c r="C8059" s="9">
        <f>IFERROR(__xludf.DUMMYFUNCTION("""COMPUTED_VALUE"""),7.51)</f>
        <v>7.51</v>
      </c>
      <c r="H8059" s="17"/>
      <c r="K8059" s="17"/>
      <c r="N8059" s="17"/>
    </row>
    <row r="8060">
      <c r="B8060" s="11">
        <f>IFERROR(__xludf.DUMMYFUNCTION("""COMPUTED_VALUE"""),34743.0)</f>
        <v>34743</v>
      </c>
      <c r="C8060" s="9">
        <f>IFERROR(__xludf.DUMMYFUNCTION("""COMPUTED_VALUE"""),7.61)</f>
        <v>7.61</v>
      </c>
      <c r="H8060" s="17"/>
      <c r="K8060" s="17"/>
      <c r="N8060" s="17"/>
    </row>
    <row r="8061">
      <c r="B8061" s="11">
        <f>IFERROR(__xludf.DUMMYFUNCTION("""COMPUTED_VALUE"""),34740.0)</f>
        <v>34740</v>
      </c>
      <c r="C8061" s="9">
        <f>IFERROR(__xludf.DUMMYFUNCTION("""COMPUTED_VALUE"""),7.62)</f>
        <v>7.62</v>
      </c>
      <c r="H8061" s="17"/>
      <c r="K8061" s="17"/>
      <c r="N8061" s="17"/>
    </row>
    <row r="8062">
      <c r="B8062" s="11">
        <f>IFERROR(__xludf.DUMMYFUNCTION("""COMPUTED_VALUE"""),34739.0)</f>
        <v>34739</v>
      </c>
      <c r="C8062" s="9">
        <f>IFERROR(__xludf.DUMMYFUNCTION("""COMPUTED_VALUE"""),7.58)</f>
        <v>7.58</v>
      </c>
      <c r="H8062" s="17"/>
      <c r="K8062" s="17"/>
      <c r="N8062" s="17"/>
    </row>
    <row r="8063">
      <c r="B8063" s="11">
        <f>IFERROR(__xludf.DUMMYFUNCTION("""COMPUTED_VALUE"""),34738.0)</f>
        <v>34738</v>
      </c>
      <c r="C8063" s="9">
        <f>IFERROR(__xludf.DUMMYFUNCTION("""COMPUTED_VALUE"""),7.53)</f>
        <v>7.53</v>
      </c>
      <c r="H8063" s="17"/>
      <c r="K8063" s="17"/>
      <c r="N8063" s="17"/>
    </row>
    <row r="8064">
      <c r="B8064" s="11">
        <f>IFERROR(__xludf.DUMMYFUNCTION("""COMPUTED_VALUE"""),34737.0)</f>
        <v>34737</v>
      </c>
      <c r="C8064" s="9">
        <f>IFERROR(__xludf.DUMMYFUNCTION("""COMPUTED_VALUE"""),7.52)</f>
        <v>7.52</v>
      </c>
      <c r="H8064" s="17"/>
      <c r="K8064" s="17"/>
      <c r="N8064" s="17"/>
    </row>
    <row r="8065">
      <c r="B8065" s="11">
        <f>IFERROR(__xludf.DUMMYFUNCTION("""COMPUTED_VALUE"""),34736.0)</f>
        <v>34736</v>
      </c>
      <c r="C8065" s="9">
        <f>IFERROR(__xludf.DUMMYFUNCTION("""COMPUTED_VALUE"""),7.53)</f>
        <v>7.53</v>
      </c>
      <c r="H8065" s="17"/>
      <c r="K8065" s="17"/>
      <c r="N8065" s="17"/>
    </row>
    <row r="8066">
      <c r="B8066" s="11">
        <f>IFERROR(__xludf.DUMMYFUNCTION("""COMPUTED_VALUE"""),34733.0)</f>
        <v>34733</v>
      </c>
      <c r="C8066" s="9">
        <f>IFERROR(__xludf.DUMMYFUNCTION("""COMPUTED_VALUE"""),7.49)</f>
        <v>7.49</v>
      </c>
      <c r="H8066" s="17"/>
      <c r="K8066" s="17"/>
      <c r="N8066" s="17"/>
    </row>
    <row r="8067">
      <c r="B8067" s="11">
        <f>IFERROR(__xludf.DUMMYFUNCTION("""COMPUTED_VALUE"""),34732.0)</f>
        <v>34732</v>
      </c>
      <c r="C8067" s="9">
        <f>IFERROR(__xludf.DUMMYFUNCTION("""COMPUTED_VALUE"""),7.68)</f>
        <v>7.68</v>
      </c>
      <c r="H8067" s="17"/>
      <c r="K8067" s="17"/>
      <c r="N8067" s="17"/>
    </row>
    <row r="8068">
      <c r="B8068" s="11">
        <f>IFERROR(__xludf.DUMMYFUNCTION("""COMPUTED_VALUE"""),34731.0)</f>
        <v>34731</v>
      </c>
      <c r="C8068" s="9">
        <f>IFERROR(__xludf.DUMMYFUNCTION("""COMPUTED_VALUE"""),7.66)</f>
        <v>7.66</v>
      </c>
      <c r="H8068" s="17"/>
      <c r="K8068" s="17"/>
      <c r="N8068" s="17"/>
    </row>
    <row r="8069">
      <c r="B8069" s="11">
        <f>IFERROR(__xludf.DUMMYFUNCTION("""COMPUTED_VALUE"""),34730.0)</f>
        <v>34730</v>
      </c>
      <c r="C8069" s="9">
        <f>IFERROR(__xludf.DUMMYFUNCTION("""COMPUTED_VALUE"""),7.6)</f>
        <v>7.6</v>
      </c>
      <c r="H8069" s="17"/>
      <c r="K8069" s="17"/>
      <c r="N8069" s="17"/>
    </row>
    <row r="8070">
      <c r="B8070" s="11">
        <f>IFERROR(__xludf.DUMMYFUNCTION("""COMPUTED_VALUE"""),34729.0)</f>
        <v>34729</v>
      </c>
      <c r="C8070" s="9">
        <f>IFERROR(__xludf.DUMMYFUNCTION("""COMPUTED_VALUE"""),7.65)</f>
        <v>7.65</v>
      </c>
      <c r="H8070" s="17"/>
      <c r="K8070" s="17"/>
      <c r="N8070" s="17"/>
    </row>
    <row r="8071">
      <c r="B8071" s="11">
        <f>IFERROR(__xludf.DUMMYFUNCTION("""COMPUTED_VALUE"""),34726.0)</f>
        <v>34726</v>
      </c>
      <c r="C8071" s="9">
        <f>IFERROR(__xludf.DUMMYFUNCTION("""COMPUTED_VALUE"""),7.66)</f>
        <v>7.66</v>
      </c>
      <c r="H8071" s="17"/>
      <c r="K8071" s="17"/>
      <c r="N8071" s="17"/>
    </row>
    <row r="8072">
      <c r="B8072" s="11">
        <f>IFERROR(__xludf.DUMMYFUNCTION("""COMPUTED_VALUE"""),34725.0)</f>
        <v>34725</v>
      </c>
      <c r="C8072" s="9">
        <f>IFERROR(__xludf.DUMMYFUNCTION("""COMPUTED_VALUE"""),7.76)</f>
        <v>7.76</v>
      </c>
      <c r="H8072" s="17"/>
      <c r="K8072" s="17"/>
      <c r="N8072" s="17"/>
    </row>
    <row r="8073">
      <c r="B8073" s="11">
        <f>IFERROR(__xludf.DUMMYFUNCTION("""COMPUTED_VALUE"""),34724.0)</f>
        <v>34724</v>
      </c>
      <c r="C8073" s="9">
        <f>IFERROR(__xludf.DUMMYFUNCTION("""COMPUTED_VALUE"""),7.8)</f>
        <v>7.8</v>
      </c>
      <c r="H8073" s="17"/>
      <c r="K8073" s="17"/>
      <c r="N8073" s="17"/>
    </row>
    <row r="8074">
      <c r="B8074" s="11">
        <f>IFERROR(__xludf.DUMMYFUNCTION("""COMPUTED_VALUE"""),34723.0)</f>
        <v>34723</v>
      </c>
      <c r="C8074" s="9">
        <f>IFERROR(__xludf.DUMMYFUNCTION("""COMPUTED_VALUE"""),7.86)</f>
        <v>7.86</v>
      </c>
      <c r="H8074" s="17"/>
      <c r="K8074" s="17"/>
      <c r="N8074" s="17"/>
    </row>
    <row r="8075">
      <c r="B8075" s="11">
        <f>IFERROR(__xludf.DUMMYFUNCTION("""COMPUTED_VALUE"""),34722.0)</f>
        <v>34722</v>
      </c>
      <c r="C8075" s="9">
        <f>IFERROR(__xludf.DUMMYFUNCTION("""COMPUTED_VALUE"""),7.83)</f>
        <v>7.83</v>
      </c>
      <c r="H8075" s="17"/>
      <c r="K8075" s="17"/>
      <c r="N8075" s="17"/>
    </row>
    <row r="8076">
      <c r="B8076" s="11">
        <f>IFERROR(__xludf.DUMMYFUNCTION("""COMPUTED_VALUE"""),34719.0)</f>
        <v>34719</v>
      </c>
      <c r="C8076" s="9">
        <f>IFERROR(__xludf.DUMMYFUNCTION("""COMPUTED_VALUE"""),7.82)</f>
        <v>7.82</v>
      </c>
      <c r="H8076" s="17"/>
      <c r="K8076" s="17"/>
      <c r="N8076" s="17"/>
    </row>
    <row r="8077">
      <c r="B8077" s="11">
        <f>IFERROR(__xludf.DUMMYFUNCTION("""COMPUTED_VALUE"""),34718.0)</f>
        <v>34718</v>
      </c>
      <c r="C8077" s="9">
        <f>IFERROR(__xludf.DUMMYFUNCTION("""COMPUTED_VALUE"""),7.74)</f>
        <v>7.74</v>
      </c>
      <c r="H8077" s="17"/>
      <c r="K8077" s="17"/>
      <c r="N8077" s="17"/>
    </row>
    <row r="8078">
      <c r="B8078" s="11">
        <f>IFERROR(__xludf.DUMMYFUNCTION("""COMPUTED_VALUE"""),34717.0)</f>
        <v>34717</v>
      </c>
      <c r="C8078" s="9">
        <f>IFERROR(__xludf.DUMMYFUNCTION("""COMPUTED_VALUE"""),7.71)</f>
        <v>7.71</v>
      </c>
      <c r="H8078" s="17"/>
      <c r="K8078" s="17"/>
      <c r="N8078" s="17"/>
    </row>
    <row r="8079">
      <c r="B8079" s="11">
        <f>IFERROR(__xludf.DUMMYFUNCTION("""COMPUTED_VALUE"""),34716.0)</f>
        <v>34716</v>
      </c>
      <c r="C8079" s="9">
        <f>IFERROR(__xludf.DUMMYFUNCTION("""COMPUTED_VALUE"""),7.7)</f>
        <v>7.7</v>
      </c>
      <c r="H8079" s="17"/>
      <c r="K8079" s="17"/>
      <c r="N8079" s="17"/>
    </row>
    <row r="8080">
      <c r="B8080" s="11">
        <f>IFERROR(__xludf.DUMMYFUNCTION("""COMPUTED_VALUE"""),34715.0)</f>
        <v>34715</v>
      </c>
      <c r="C8080" s="9"/>
      <c r="H8080" s="17"/>
      <c r="K8080" s="17"/>
      <c r="N8080" s="17"/>
    </row>
    <row r="8081">
      <c r="B8081" s="11">
        <f>IFERROR(__xludf.DUMMYFUNCTION("""COMPUTED_VALUE"""),34712.0)</f>
        <v>34712</v>
      </c>
      <c r="C8081" s="9">
        <f>IFERROR(__xludf.DUMMYFUNCTION("""COMPUTED_VALUE"""),7.69)</f>
        <v>7.69</v>
      </c>
      <c r="H8081" s="17"/>
      <c r="K8081" s="17"/>
      <c r="N8081" s="17"/>
    </row>
    <row r="8082">
      <c r="B8082" s="11">
        <f>IFERROR(__xludf.DUMMYFUNCTION("""COMPUTED_VALUE"""),34711.0)</f>
        <v>34711</v>
      </c>
      <c r="C8082" s="9">
        <f>IFERROR(__xludf.DUMMYFUNCTION("""COMPUTED_VALUE"""),7.8)</f>
        <v>7.8</v>
      </c>
      <c r="H8082" s="17"/>
      <c r="K8082" s="17"/>
      <c r="N8082" s="17"/>
    </row>
    <row r="8083">
      <c r="B8083" s="11">
        <f>IFERROR(__xludf.DUMMYFUNCTION("""COMPUTED_VALUE"""),34710.0)</f>
        <v>34710</v>
      </c>
      <c r="C8083" s="9">
        <f>IFERROR(__xludf.DUMMYFUNCTION("""COMPUTED_VALUE"""),7.79)</f>
        <v>7.79</v>
      </c>
      <c r="H8083" s="17"/>
      <c r="K8083" s="17"/>
      <c r="N8083" s="17"/>
    </row>
    <row r="8084">
      <c r="B8084" s="11">
        <f>IFERROR(__xludf.DUMMYFUNCTION("""COMPUTED_VALUE"""),34709.0)</f>
        <v>34709</v>
      </c>
      <c r="C8084" s="9">
        <f>IFERROR(__xludf.DUMMYFUNCTION("""COMPUTED_VALUE"""),7.84)</f>
        <v>7.84</v>
      </c>
      <c r="H8084" s="17"/>
      <c r="K8084" s="17"/>
      <c r="N8084" s="17"/>
    </row>
    <row r="8085">
      <c r="B8085" s="11">
        <f>IFERROR(__xludf.DUMMYFUNCTION("""COMPUTED_VALUE"""),34708.0)</f>
        <v>34708</v>
      </c>
      <c r="C8085" s="9">
        <f>IFERROR(__xludf.DUMMYFUNCTION("""COMPUTED_VALUE"""),7.89)</f>
        <v>7.89</v>
      </c>
      <c r="H8085" s="17"/>
      <c r="K8085" s="17"/>
      <c r="N8085" s="17"/>
    </row>
    <row r="8086">
      <c r="B8086" s="11">
        <f>IFERROR(__xludf.DUMMYFUNCTION("""COMPUTED_VALUE"""),34705.0)</f>
        <v>34705</v>
      </c>
      <c r="C8086" s="9">
        <f>IFERROR(__xludf.DUMMYFUNCTION("""COMPUTED_VALUE"""),7.87)</f>
        <v>7.87</v>
      </c>
      <c r="H8086" s="17"/>
      <c r="K8086" s="17"/>
      <c r="N8086" s="17"/>
    </row>
    <row r="8087">
      <c r="B8087" s="11">
        <f>IFERROR(__xludf.DUMMYFUNCTION("""COMPUTED_VALUE"""),34704.0)</f>
        <v>34704</v>
      </c>
      <c r="C8087" s="9">
        <f>IFERROR(__xludf.DUMMYFUNCTION("""COMPUTED_VALUE"""),7.88)</f>
        <v>7.88</v>
      </c>
      <c r="H8087" s="17"/>
      <c r="K8087" s="17"/>
      <c r="N8087" s="17"/>
    </row>
    <row r="8088">
      <c r="B8088" s="11">
        <f>IFERROR(__xludf.DUMMYFUNCTION("""COMPUTED_VALUE"""),34703.0)</f>
        <v>34703</v>
      </c>
      <c r="C8088" s="9">
        <f>IFERROR(__xludf.DUMMYFUNCTION("""COMPUTED_VALUE"""),7.82)</f>
        <v>7.82</v>
      </c>
      <c r="H8088" s="17"/>
      <c r="K8088" s="17"/>
      <c r="N8088" s="17"/>
    </row>
    <row r="8089">
      <c r="B8089" s="11">
        <f>IFERROR(__xludf.DUMMYFUNCTION("""COMPUTED_VALUE"""),34702.0)</f>
        <v>34702</v>
      </c>
      <c r="C8089" s="9">
        <f>IFERROR(__xludf.DUMMYFUNCTION("""COMPUTED_VALUE"""),7.88)</f>
        <v>7.88</v>
      </c>
      <c r="H8089" s="17"/>
      <c r="K8089" s="17"/>
      <c r="N8089" s="17"/>
    </row>
    <row r="8090">
      <c r="B8090" s="11">
        <f>IFERROR(__xludf.DUMMYFUNCTION("""COMPUTED_VALUE"""),34701.0)</f>
        <v>34701</v>
      </c>
      <c r="C8090" s="9"/>
      <c r="H8090" s="17"/>
      <c r="K8090" s="17"/>
      <c r="N8090" s="17"/>
    </row>
    <row r="8091">
      <c r="B8091" s="11">
        <f>IFERROR(__xludf.DUMMYFUNCTION("""COMPUTED_VALUE"""),34698.0)</f>
        <v>34698</v>
      </c>
      <c r="C8091" s="9">
        <f>IFERROR(__xludf.DUMMYFUNCTION("""COMPUTED_VALUE"""),7.84)</f>
        <v>7.84</v>
      </c>
      <c r="H8091" s="17"/>
      <c r="K8091" s="17"/>
      <c r="N8091" s="17"/>
    </row>
    <row r="8092">
      <c r="B8092" s="11">
        <f>IFERROR(__xludf.DUMMYFUNCTION("""COMPUTED_VALUE"""),34697.0)</f>
        <v>34697</v>
      </c>
      <c r="C8092" s="9">
        <f>IFERROR(__xludf.DUMMYFUNCTION("""COMPUTED_VALUE"""),7.82)</f>
        <v>7.82</v>
      </c>
      <c r="H8092" s="17"/>
      <c r="K8092" s="17"/>
      <c r="N8092" s="17"/>
    </row>
    <row r="8093">
      <c r="B8093" s="11">
        <f>IFERROR(__xludf.DUMMYFUNCTION("""COMPUTED_VALUE"""),34696.0)</f>
        <v>34696</v>
      </c>
      <c r="C8093" s="9">
        <f>IFERROR(__xludf.DUMMYFUNCTION("""COMPUTED_VALUE"""),7.8)</f>
        <v>7.8</v>
      </c>
      <c r="H8093" s="17"/>
      <c r="K8093" s="17"/>
      <c r="N8093" s="17"/>
    </row>
    <row r="8094">
      <c r="B8094" s="11">
        <f>IFERROR(__xludf.DUMMYFUNCTION("""COMPUTED_VALUE"""),34695.0)</f>
        <v>34695</v>
      </c>
      <c r="C8094" s="9">
        <f>IFERROR(__xludf.DUMMYFUNCTION("""COMPUTED_VALUE"""),7.76)</f>
        <v>7.76</v>
      </c>
      <c r="H8094" s="17"/>
      <c r="K8094" s="17"/>
      <c r="N8094" s="17"/>
    </row>
    <row r="8095">
      <c r="B8095" s="11">
        <f>IFERROR(__xludf.DUMMYFUNCTION("""COMPUTED_VALUE"""),34694.0)</f>
        <v>34694</v>
      </c>
      <c r="C8095" s="9"/>
      <c r="H8095" s="17"/>
      <c r="K8095" s="17"/>
      <c r="N8095" s="17"/>
    </row>
    <row r="8096">
      <c r="B8096" s="11">
        <f>IFERROR(__xludf.DUMMYFUNCTION("""COMPUTED_VALUE"""),34691.0)</f>
        <v>34691</v>
      </c>
      <c r="C8096" s="9">
        <f>IFERROR(__xludf.DUMMYFUNCTION("""COMPUTED_VALUE"""),7.85)</f>
        <v>7.85</v>
      </c>
      <c r="H8096" s="17"/>
      <c r="K8096" s="17"/>
      <c r="N8096" s="17"/>
    </row>
    <row r="8097">
      <c r="B8097" s="11">
        <f>IFERROR(__xludf.DUMMYFUNCTION("""COMPUTED_VALUE"""),34690.0)</f>
        <v>34690</v>
      </c>
      <c r="C8097" s="9">
        <f>IFERROR(__xludf.DUMMYFUNCTION("""COMPUTED_VALUE"""),7.84)</f>
        <v>7.84</v>
      </c>
      <c r="H8097" s="17"/>
      <c r="K8097" s="17"/>
      <c r="N8097" s="17"/>
    </row>
    <row r="8098">
      <c r="B8098" s="11">
        <f>IFERROR(__xludf.DUMMYFUNCTION("""COMPUTED_VALUE"""),34689.0)</f>
        <v>34689</v>
      </c>
      <c r="C8098" s="9">
        <f>IFERROR(__xludf.DUMMYFUNCTION("""COMPUTED_VALUE"""),7.8)</f>
        <v>7.8</v>
      </c>
      <c r="H8098" s="17"/>
      <c r="K8098" s="17"/>
      <c r="N8098" s="17"/>
    </row>
    <row r="8099">
      <c r="B8099" s="11">
        <f>IFERROR(__xludf.DUMMYFUNCTION("""COMPUTED_VALUE"""),34688.0)</f>
        <v>34688</v>
      </c>
      <c r="C8099" s="9">
        <f>IFERROR(__xludf.DUMMYFUNCTION("""COMPUTED_VALUE"""),7.81)</f>
        <v>7.81</v>
      </c>
      <c r="H8099" s="17"/>
      <c r="K8099" s="17"/>
      <c r="N8099" s="17"/>
    </row>
    <row r="8100">
      <c r="B8100" s="11">
        <f>IFERROR(__xludf.DUMMYFUNCTION("""COMPUTED_VALUE"""),34687.0)</f>
        <v>34687</v>
      </c>
      <c r="C8100" s="9">
        <f>IFERROR(__xludf.DUMMYFUNCTION("""COMPUTED_VALUE"""),7.81)</f>
        <v>7.81</v>
      </c>
      <c r="H8100" s="17"/>
      <c r="K8100" s="17"/>
      <c r="N8100" s="17"/>
    </row>
    <row r="8101">
      <c r="B8101" s="11">
        <f>IFERROR(__xludf.DUMMYFUNCTION("""COMPUTED_VALUE"""),34684.0)</f>
        <v>34684</v>
      </c>
      <c r="C8101" s="9">
        <f>IFERROR(__xludf.DUMMYFUNCTION("""COMPUTED_VALUE"""),7.81)</f>
        <v>7.81</v>
      </c>
      <c r="H8101" s="17"/>
      <c r="K8101" s="17"/>
      <c r="N8101" s="17"/>
    </row>
    <row r="8102">
      <c r="B8102" s="11">
        <f>IFERROR(__xludf.DUMMYFUNCTION("""COMPUTED_VALUE"""),34683.0)</f>
        <v>34683</v>
      </c>
      <c r="C8102" s="9">
        <f>IFERROR(__xludf.DUMMYFUNCTION("""COMPUTED_VALUE"""),7.79)</f>
        <v>7.79</v>
      </c>
      <c r="H8102" s="17"/>
      <c r="K8102" s="17"/>
      <c r="N8102" s="17"/>
    </row>
    <row r="8103">
      <c r="B8103" s="11">
        <f>IFERROR(__xludf.DUMMYFUNCTION("""COMPUTED_VALUE"""),34682.0)</f>
        <v>34682</v>
      </c>
      <c r="C8103" s="9">
        <f>IFERROR(__xludf.DUMMYFUNCTION("""COMPUTED_VALUE"""),7.8)</f>
        <v>7.8</v>
      </c>
      <c r="H8103" s="17"/>
      <c r="K8103" s="17"/>
      <c r="N8103" s="17"/>
    </row>
    <row r="8104">
      <c r="B8104" s="11">
        <f>IFERROR(__xludf.DUMMYFUNCTION("""COMPUTED_VALUE"""),34681.0)</f>
        <v>34681</v>
      </c>
      <c r="C8104" s="9">
        <f>IFERROR(__xludf.DUMMYFUNCTION("""COMPUTED_VALUE"""),7.83)</f>
        <v>7.83</v>
      </c>
      <c r="H8104" s="17"/>
      <c r="K8104" s="17"/>
      <c r="N8104" s="17"/>
    </row>
    <row r="8105">
      <c r="B8105" s="11">
        <f>IFERROR(__xludf.DUMMYFUNCTION("""COMPUTED_VALUE"""),34680.0)</f>
        <v>34680</v>
      </c>
      <c r="C8105" s="9">
        <f>IFERROR(__xludf.DUMMYFUNCTION("""COMPUTED_VALUE"""),7.85)</f>
        <v>7.85</v>
      </c>
      <c r="H8105" s="17"/>
      <c r="K8105" s="17"/>
      <c r="N8105" s="17"/>
    </row>
    <row r="8106">
      <c r="B8106" s="11">
        <f>IFERROR(__xludf.DUMMYFUNCTION("""COMPUTED_VALUE"""),34677.0)</f>
        <v>34677</v>
      </c>
      <c r="C8106" s="9">
        <f>IFERROR(__xludf.DUMMYFUNCTION("""COMPUTED_VALUE"""),7.79)</f>
        <v>7.79</v>
      </c>
      <c r="H8106" s="17"/>
      <c r="K8106" s="17"/>
      <c r="N8106" s="17"/>
    </row>
    <row r="8107">
      <c r="B8107" s="11">
        <f>IFERROR(__xludf.DUMMYFUNCTION("""COMPUTED_VALUE"""),34676.0)</f>
        <v>34676</v>
      </c>
      <c r="C8107" s="9">
        <f>IFERROR(__xludf.DUMMYFUNCTION("""COMPUTED_VALUE"""),7.79)</f>
        <v>7.79</v>
      </c>
      <c r="H8107" s="17"/>
      <c r="K8107" s="17"/>
      <c r="N8107" s="17"/>
    </row>
    <row r="8108">
      <c r="B8108" s="11">
        <f>IFERROR(__xludf.DUMMYFUNCTION("""COMPUTED_VALUE"""),34675.0)</f>
        <v>34675</v>
      </c>
      <c r="C8108" s="9">
        <f>IFERROR(__xludf.DUMMYFUNCTION("""COMPUTED_VALUE"""),7.81)</f>
        <v>7.81</v>
      </c>
      <c r="H8108" s="17"/>
      <c r="K8108" s="17"/>
      <c r="N8108" s="17"/>
    </row>
    <row r="8109">
      <c r="B8109" s="11">
        <f>IFERROR(__xludf.DUMMYFUNCTION("""COMPUTED_VALUE"""),34674.0)</f>
        <v>34674</v>
      </c>
      <c r="C8109" s="9">
        <f>IFERROR(__xludf.DUMMYFUNCTION("""COMPUTED_VALUE"""),7.73)</f>
        <v>7.73</v>
      </c>
      <c r="H8109" s="17"/>
      <c r="K8109" s="17"/>
      <c r="N8109" s="17"/>
    </row>
    <row r="8110">
      <c r="B8110" s="11">
        <f>IFERROR(__xludf.DUMMYFUNCTION("""COMPUTED_VALUE"""),34673.0)</f>
        <v>34673</v>
      </c>
      <c r="C8110" s="9">
        <f>IFERROR(__xludf.DUMMYFUNCTION("""COMPUTED_VALUE"""),7.83)</f>
        <v>7.83</v>
      </c>
      <c r="H8110" s="17"/>
      <c r="K8110" s="17"/>
      <c r="N8110" s="17"/>
    </row>
    <row r="8111">
      <c r="B8111" s="11">
        <f>IFERROR(__xludf.DUMMYFUNCTION("""COMPUTED_VALUE"""),34670.0)</f>
        <v>34670</v>
      </c>
      <c r="C8111" s="9">
        <f>IFERROR(__xludf.DUMMYFUNCTION("""COMPUTED_VALUE"""),7.81)</f>
        <v>7.81</v>
      </c>
      <c r="H8111" s="17"/>
      <c r="K8111" s="17"/>
      <c r="N8111" s="17"/>
    </row>
    <row r="8112">
      <c r="B8112" s="11">
        <f>IFERROR(__xludf.DUMMYFUNCTION("""COMPUTED_VALUE"""),34669.0)</f>
        <v>34669</v>
      </c>
      <c r="C8112" s="9">
        <f>IFERROR(__xludf.DUMMYFUNCTION("""COMPUTED_VALUE"""),7.92)</f>
        <v>7.92</v>
      </c>
      <c r="H8112" s="17"/>
      <c r="K8112" s="17"/>
      <c r="N8112" s="17"/>
    </row>
    <row r="8113">
      <c r="B8113" s="11">
        <f>IFERROR(__xludf.DUMMYFUNCTION("""COMPUTED_VALUE"""),34668.0)</f>
        <v>34668</v>
      </c>
      <c r="C8113" s="9">
        <f>IFERROR(__xludf.DUMMYFUNCTION("""COMPUTED_VALUE"""),7.91)</f>
        <v>7.91</v>
      </c>
      <c r="H8113" s="17"/>
      <c r="K8113" s="17"/>
      <c r="N8113" s="17"/>
    </row>
    <row r="8114">
      <c r="B8114" s="11">
        <f>IFERROR(__xludf.DUMMYFUNCTION("""COMPUTED_VALUE"""),34667.0)</f>
        <v>34667</v>
      </c>
      <c r="C8114" s="9">
        <f>IFERROR(__xludf.DUMMYFUNCTION("""COMPUTED_VALUE"""),7.95)</f>
        <v>7.95</v>
      </c>
      <c r="H8114" s="17"/>
      <c r="K8114" s="17"/>
      <c r="N8114" s="17"/>
    </row>
    <row r="8115">
      <c r="B8115" s="11">
        <f>IFERROR(__xludf.DUMMYFUNCTION("""COMPUTED_VALUE"""),34666.0)</f>
        <v>34666</v>
      </c>
      <c r="C8115" s="9">
        <f>IFERROR(__xludf.DUMMYFUNCTION("""COMPUTED_VALUE"""),7.88)</f>
        <v>7.88</v>
      </c>
      <c r="H8115" s="17"/>
      <c r="K8115" s="17"/>
      <c r="N8115" s="17"/>
    </row>
    <row r="8116">
      <c r="B8116" s="11">
        <f>IFERROR(__xludf.DUMMYFUNCTION("""COMPUTED_VALUE"""),34663.0)</f>
        <v>34663</v>
      </c>
      <c r="C8116" s="9">
        <f>IFERROR(__xludf.DUMMYFUNCTION("""COMPUTED_VALUE"""),7.8)</f>
        <v>7.8</v>
      </c>
      <c r="H8116" s="17"/>
      <c r="K8116" s="17"/>
      <c r="N8116" s="17"/>
    </row>
    <row r="8117">
      <c r="B8117" s="11">
        <f>IFERROR(__xludf.DUMMYFUNCTION("""COMPUTED_VALUE"""),34662.0)</f>
        <v>34662</v>
      </c>
      <c r="C8117" s="9"/>
      <c r="H8117" s="17"/>
      <c r="K8117" s="17"/>
      <c r="N8117" s="17"/>
    </row>
    <row r="8118">
      <c r="B8118" s="11">
        <f>IFERROR(__xludf.DUMMYFUNCTION("""COMPUTED_VALUE"""),34661.0)</f>
        <v>34661</v>
      </c>
      <c r="C8118" s="9">
        <f>IFERROR(__xludf.DUMMYFUNCTION("""COMPUTED_VALUE"""),7.81)</f>
        <v>7.81</v>
      </c>
      <c r="H8118" s="17"/>
      <c r="K8118" s="17"/>
      <c r="N8118" s="17"/>
    </row>
    <row r="8119">
      <c r="B8119" s="11">
        <f>IFERROR(__xludf.DUMMYFUNCTION("""COMPUTED_VALUE"""),34660.0)</f>
        <v>34660</v>
      </c>
      <c r="C8119" s="9">
        <f>IFERROR(__xludf.DUMMYFUNCTION("""COMPUTED_VALUE"""),8.0)</f>
        <v>8</v>
      </c>
      <c r="H8119" s="17"/>
      <c r="K8119" s="17"/>
      <c r="N8119" s="17"/>
    </row>
    <row r="8120">
      <c r="B8120" s="11">
        <f>IFERROR(__xludf.DUMMYFUNCTION("""COMPUTED_VALUE"""),34659.0)</f>
        <v>34659</v>
      </c>
      <c r="C8120" s="9">
        <f>IFERROR(__xludf.DUMMYFUNCTION("""COMPUTED_VALUE"""),8.03)</f>
        <v>8.03</v>
      </c>
      <c r="H8120" s="17"/>
      <c r="K8120" s="17"/>
      <c r="N8120" s="17"/>
    </row>
    <row r="8121">
      <c r="B8121" s="11">
        <f>IFERROR(__xludf.DUMMYFUNCTION("""COMPUTED_VALUE"""),34656.0)</f>
        <v>34656</v>
      </c>
      <c r="C8121" s="9">
        <f>IFERROR(__xludf.DUMMYFUNCTION("""COMPUTED_VALUE"""),8.01)</f>
        <v>8.01</v>
      </c>
      <c r="H8121" s="17"/>
      <c r="K8121" s="17"/>
      <c r="N8121" s="17"/>
    </row>
    <row r="8122">
      <c r="B8122" s="11">
        <f>IFERROR(__xludf.DUMMYFUNCTION("""COMPUTED_VALUE"""),34655.0)</f>
        <v>34655</v>
      </c>
      <c r="C8122" s="9">
        <f>IFERROR(__xludf.DUMMYFUNCTION("""COMPUTED_VALUE"""),8.03)</f>
        <v>8.03</v>
      </c>
      <c r="H8122" s="17"/>
      <c r="K8122" s="17"/>
      <c r="N8122" s="17"/>
    </row>
    <row r="8123">
      <c r="B8123" s="11">
        <f>IFERROR(__xludf.DUMMYFUNCTION("""COMPUTED_VALUE"""),34654.0)</f>
        <v>34654</v>
      </c>
      <c r="C8123" s="9">
        <f>IFERROR(__xludf.DUMMYFUNCTION("""COMPUTED_VALUE"""),7.97)</f>
        <v>7.97</v>
      </c>
      <c r="H8123" s="17"/>
      <c r="K8123" s="17"/>
      <c r="N8123" s="17"/>
    </row>
    <row r="8124">
      <c r="B8124" s="11">
        <f>IFERROR(__xludf.DUMMYFUNCTION("""COMPUTED_VALUE"""),34653.0)</f>
        <v>34653</v>
      </c>
      <c r="C8124" s="9">
        <f>IFERROR(__xludf.DUMMYFUNCTION("""COMPUTED_VALUE"""),7.92)</f>
        <v>7.92</v>
      </c>
      <c r="H8124" s="17"/>
      <c r="K8124" s="17"/>
      <c r="N8124" s="17"/>
    </row>
    <row r="8125">
      <c r="B8125" s="11">
        <f>IFERROR(__xludf.DUMMYFUNCTION("""COMPUTED_VALUE"""),34652.0)</f>
        <v>34652</v>
      </c>
      <c r="C8125" s="9">
        <f>IFERROR(__xludf.DUMMYFUNCTION("""COMPUTED_VALUE"""),7.94)</f>
        <v>7.94</v>
      </c>
      <c r="H8125" s="17"/>
      <c r="K8125" s="17"/>
      <c r="N8125" s="17"/>
    </row>
    <row r="8126">
      <c r="B8126" s="11">
        <f>IFERROR(__xludf.DUMMYFUNCTION("""COMPUTED_VALUE"""),34649.0)</f>
        <v>34649</v>
      </c>
      <c r="C8126" s="9"/>
      <c r="H8126" s="17"/>
      <c r="K8126" s="17"/>
      <c r="N8126" s="17"/>
    </row>
    <row r="8127">
      <c r="B8127" s="11">
        <f>IFERROR(__xludf.DUMMYFUNCTION("""COMPUTED_VALUE"""),34648.0)</f>
        <v>34648</v>
      </c>
      <c r="C8127" s="9">
        <f>IFERROR(__xludf.DUMMYFUNCTION("""COMPUTED_VALUE"""),7.98)</f>
        <v>7.98</v>
      </c>
      <c r="H8127" s="17"/>
      <c r="K8127" s="17"/>
      <c r="N8127" s="17"/>
    </row>
    <row r="8128">
      <c r="B8128" s="11">
        <f>IFERROR(__xludf.DUMMYFUNCTION("""COMPUTED_VALUE"""),34647.0)</f>
        <v>34647</v>
      </c>
      <c r="C8128" s="9">
        <f>IFERROR(__xludf.DUMMYFUNCTION("""COMPUTED_VALUE"""),7.94)</f>
        <v>7.94</v>
      </c>
      <c r="H8128" s="17"/>
      <c r="K8128" s="17"/>
      <c r="N8128" s="17"/>
    </row>
    <row r="8129">
      <c r="B8129" s="11">
        <f>IFERROR(__xludf.DUMMYFUNCTION("""COMPUTED_VALUE"""),34646.0)</f>
        <v>34646</v>
      </c>
      <c r="C8129" s="9">
        <f>IFERROR(__xludf.DUMMYFUNCTION("""COMPUTED_VALUE"""),8.01)</f>
        <v>8.01</v>
      </c>
      <c r="H8129" s="17"/>
      <c r="K8129" s="17"/>
      <c r="N8129" s="17"/>
    </row>
    <row r="8130">
      <c r="B8130" s="11">
        <f>IFERROR(__xludf.DUMMYFUNCTION("""COMPUTED_VALUE"""),34645.0)</f>
        <v>34645</v>
      </c>
      <c r="C8130" s="9">
        <f>IFERROR(__xludf.DUMMYFUNCTION("""COMPUTED_VALUE"""),8.05)</f>
        <v>8.05</v>
      </c>
      <c r="H8130" s="17"/>
      <c r="K8130" s="17"/>
      <c r="N8130" s="17"/>
    </row>
    <row r="8131">
      <c r="B8131" s="11">
        <f>IFERROR(__xludf.DUMMYFUNCTION("""COMPUTED_VALUE"""),34642.0)</f>
        <v>34642</v>
      </c>
      <c r="C8131" s="9">
        <f>IFERROR(__xludf.DUMMYFUNCTION("""COMPUTED_VALUE"""),8.04)</f>
        <v>8.04</v>
      </c>
      <c r="H8131" s="17"/>
      <c r="K8131" s="17"/>
      <c r="N8131" s="17"/>
    </row>
    <row r="8132">
      <c r="B8132" s="11">
        <f>IFERROR(__xludf.DUMMYFUNCTION("""COMPUTED_VALUE"""),34641.0)</f>
        <v>34641</v>
      </c>
      <c r="C8132" s="9">
        <f>IFERROR(__xludf.DUMMYFUNCTION("""COMPUTED_VALUE"""),7.96)</f>
        <v>7.96</v>
      </c>
      <c r="H8132" s="17"/>
      <c r="K8132" s="17"/>
      <c r="N8132" s="17"/>
    </row>
    <row r="8133">
      <c r="B8133" s="11">
        <f>IFERROR(__xludf.DUMMYFUNCTION("""COMPUTED_VALUE"""),34640.0)</f>
        <v>34640</v>
      </c>
      <c r="C8133" s="9">
        <f>IFERROR(__xludf.DUMMYFUNCTION("""COMPUTED_VALUE"""),7.96)</f>
        <v>7.96</v>
      </c>
      <c r="H8133" s="17"/>
      <c r="K8133" s="17"/>
      <c r="N8133" s="17"/>
    </row>
    <row r="8134">
      <c r="B8134" s="11">
        <f>IFERROR(__xludf.DUMMYFUNCTION("""COMPUTED_VALUE"""),34639.0)</f>
        <v>34639</v>
      </c>
      <c r="C8134" s="9">
        <f>IFERROR(__xludf.DUMMYFUNCTION("""COMPUTED_VALUE"""),7.91)</f>
        <v>7.91</v>
      </c>
      <c r="H8134" s="17"/>
      <c r="K8134" s="17"/>
      <c r="N8134" s="17"/>
    </row>
    <row r="8135">
      <c r="B8135" s="11">
        <f>IFERROR(__xludf.DUMMYFUNCTION("""COMPUTED_VALUE"""),34638.0)</f>
        <v>34638</v>
      </c>
      <c r="C8135" s="9">
        <f>IFERROR(__xludf.DUMMYFUNCTION("""COMPUTED_VALUE"""),7.81)</f>
        <v>7.81</v>
      </c>
      <c r="H8135" s="17"/>
      <c r="K8135" s="17"/>
      <c r="N8135" s="17"/>
    </row>
    <row r="8136">
      <c r="B8136" s="11">
        <f>IFERROR(__xludf.DUMMYFUNCTION("""COMPUTED_VALUE"""),34635.0)</f>
        <v>34635</v>
      </c>
      <c r="C8136" s="9">
        <f>IFERROR(__xludf.DUMMYFUNCTION("""COMPUTED_VALUE"""),7.82)</f>
        <v>7.82</v>
      </c>
      <c r="H8136" s="17"/>
      <c r="K8136" s="17"/>
      <c r="N8136" s="17"/>
    </row>
    <row r="8137">
      <c r="B8137" s="11">
        <f>IFERROR(__xludf.DUMMYFUNCTION("""COMPUTED_VALUE"""),34634.0)</f>
        <v>34634</v>
      </c>
      <c r="C8137" s="9">
        <f>IFERROR(__xludf.DUMMYFUNCTION("""COMPUTED_VALUE"""),7.88)</f>
        <v>7.88</v>
      </c>
      <c r="H8137" s="17"/>
      <c r="K8137" s="17"/>
      <c r="N8137" s="17"/>
    </row>
    <row r="8138">
      <c r="B8138" s="11">
        <f>IFERROR(__xludf.DUMMYFUNCTION("""COMPUTED_VALUE"""),34633.0)</f>
        <v>34633</v>
      </c>
      <c r="C8138" s="9">
        <f>IFERROR(__xludf.DUMMYFUNCTION("""COMPUTED_VALUE"""),7.88)</f>
        <v>7.88</v>
      </c>
      <c r="H8138" s="17"/>
      <c r="K8138" s="17"/>
      <c r="N8138" s="17"/>
    </row>
    <row r="8139">
      <c r="B8139" s="11">
        <f>IFERROR(__xludf.DUMMYFUNCTION("""COMPUTED_VALUE"""),34632.0)</f>
        <v>34632</v>
      </c>
      <c r="C8139" s="9">
        <f>IFERROR(__xludf.DUMMYFUNCTION("""COMPUTED_VALUE"""),7.88)</f>
        <v>7.88</v>
      </c>
      <c r="H8139" s="17"/>
      <c r="K8139" s="17"/>
      <c r="N8139" s="17"/>
    </row>
    <row r="8140">
      <c r="B8140" s="11">
        <f>IFERROR(__xludf.DUMMYFUNCTION("""COMPUTED_VALUE"""),34631.0)</f>
        <v>34631</v>
      </c>
      <c r="C8140" s="9">
        <f>IFERROR(__xludf.DUMMYFUNCTION("""COMPUTED_VALUE"""),7.86)</f>
        <v>7.86</v>
      </c>
      <c r="H8140" s="17"/>
      <c r="K8140" s="17"/>
      <c r="N8140" s="17"/>
    </row>
    <row r="8141">
      <c r="B8141" s="11">
        <f>IFERROR(__xludf.DUMMYFUNCTION("""COMPUTED_VALUE"""),34628.0)</f>
        <v>34628</v>
      </c>
      <c r="C8141" s="9">
        <f>IFERROR(__xludf.DUMMYFUNCTION("""COMPUTED_VALUE"""),7.81)</f>
        <v>7.81</v>
      </c>
      <c r="H8141" s="17"/>
      <c r="K8141" s="17"/>
      <c r="N8141" s="17"/>
    </row>
    <row r="8142">
      <c r="B8142" s="11">
        <f>IFERROR(__xludf.DUMMYFUNCTION("""COMPUTED_VALUE"""),34627.0)</f>
        <v>34627</v>
      </c>
      <c r="C8142" s="9">
        <f>IFERROR(__xludf.DUMMYFUNCTION("""COMPUTED_VALUE"""),7.8)</f>
        <v>7.8</v>
      </c>
      <c r="H8142" s="17"/>
      <c r="K8142" s="17"/>
      <c r="N8142" s="17"/>
    </row>
    <row r="8143">
      <c r="B8143" s="11">
        <f>IFERROR(__xludf.DUMMYFUNCTION("""COMPUTED_VALUE"""),34626.0)</f>
        <v>34626</v>
      </c>
      <c r="C8143" s="9">
        <f>IFERROR(__xludf.DUMMYFUNCTION("""COMPUTED_VALUE"""),7.68)</f>
        <v>7.68</v>
      </c>
      <c r="H8143" s="17"/>
      <c r="K8143" s="17"/>
      <c r="N8143" s="17"/>
    </row>
    <row r="8144">
      <c r="B8144" s="11">
        <f>IFERROR(__xludf.DUMMYFUNCTION("""COMPUTED_VALUE"""),34625.0)</f>
        <v>34625</v>
      </c>
      <c r="C8144" s="9">
        <f>IFERROR(__xludf.DUMMYFUNCTION("""COMPUTED_VALUE"""),7.64)</f>
        <v>7.64</v>
      </c>
      <c r="H8144" s="17"/>
      <c r="K8144" s="17"/>
      <c r="N8144" s="17"/>
    </row>
    <row r="8145">
      <c r="B8145" s="11">
        <f>IFERROR(__xludf.DUMMYFUNCTION("""COMPUTED_VALUE"""),34624.0)</f>
        <v>34624</v>
      </c>
      <c r="C8145" s="9">
        <f>IFERROR(__xludf.DUMMYFUNCTION("""COMPUTED_VALUE"""),7.62)</f>
        <v>7.62</v>
      </c>
      <c r="H8145" s="17"/>
      <c r="K8145" s="17"/>
      <c r="N8145" s="17"/>
    </row>
    <row r="8146">
      <c r="B8146" s="11">
        <f>IFERROR(__xludf.DUMMYFUNCTION("""COMPUTED_VALUE"""),34621.0)</f>
        <v>34621</v>
      </c>
      <c r="C8146" s="9">
        <f>IFERROR(__xludf.DUMMYFUNCTION("""COMPUTED_VALUE"""),7.61)</f>
        <v>7.61</v>
      </c>
      <c r="H8146" s="17"/>
      <c r="K8146" s="17"/>
      <c r="N8146" s="17"/>
    </row>
    <row r="8147">
      <c r="B8147" s="11">
        <f>IFERROR(__xludf.DUMMYFUNCTION("""COMPUTED_VALUE"""),34620.0)</f>
        <v>34620</v>
      </c>
      <c r="C8147" s="9">
        <f>IFERROR(__xludf.DUMMYFUNCTION("""COMPUTED_VALUE"""),7.64)</f>
        <v>7.64</v>
      </c>
      <c r="H8147" s="17"/>
      <c r="K8147" s="17"/>
      <c r="N8147" s="17"/>
    </row>
    <row r="8148">
      <c r="B8148" s="11">
        <f>IFERROR(__xludf.DUMMYFUNCTION("""COMPUTED_VALUE"""),34619.0)</f>
        <v>34619</v>
      </c>
      <c r="C8148" s="9">
        <f>IFERROR(__xludf.DUMMYFUNCTION("""COMPUTED_VALUE"""),7.69)</f>
        <v>7.69</v>
      </c>
      <c r="H8148" s="17"/>
      <c r="K8148" s="17"/>
      <c r="N8148" s="17"/>
    </row>
    <row r="8149">
      <c r="B8149" s="11">
        <f>IFERROR(__xludf.DUMMYFUNCTION("""COMPUTED_VALUE"""),34618.0)</f>
        <v>34618</v>
      </c>
      <c r="C8149" s="9">
        <f>IFERROR(__xludf.DUMMYFUNCTION("""COMPUTED_VALUE"""),7.65)</f>
        <v>7.65</v>
      </c>
      <c r="H8149" s="17"/>
      <c r="K8149" s="17"/>
      <c r="N8149" s="17"/>
    </row>
    <row r="8150">
      <c r="B8150" s="11">
        <f>IFERROR(__xludf.DUMMYFUNCTION("""COMPUTED_VALUE"""),34617.0)</f>
        <v>34617</v>
      </c>
      <c r="C8150" s="9"/>
      <c r="H8150" s="17"/>
      <c r="K8150" s="17"/>
      <c r="N8150" s="17"/>
    </row>
    <row r="8151">
      <c r="B8151" s="11">
        <f>IFERROR(__xludf.DUMMYFUNCTION("""COMPUTED_VALUE"""),34614.0)</f>
        <v>34614</v>
      </c>
      <c r="C8151" s="9">
        <f>IFERROR(__xludf.DUMMYFUNCTION("""COMPUTED_VALUE"""),7.7)</f>
        <v>7.7</v>
      </c>
      <c r="H8151" s="17"/>
      <c r="K8151" s="17"/>
      <c r="N8151" s="17"/>
    </row>
    <row r="8152">
      <c r="B8152" s="11">
        <f>IFERROR(__xludf.DUMMYFUNCTION("""COMPUTED_VALUE"""),34613.0)</f>
        <v>34613</v>
      </c>
      <c r="C8152" s="9">
        <f>IFERROR(__xludf.DUMMYFUNCTION("""COMPUTED_VALUE"""),7.78)</f>
        <v>7.78</v>
      </c>
      <c r="H8152" s="17"/>
      <c r="K8152" s="17"/>
      <c r="N8152" s="17"/>
    </row>
    <row r="8153">
      <c r="B8153" s="11">
        <f>IFERROR(__xludf.DUMMYFUNCTION("""COMPUTED_VALUE"""),34612.0)</f>
        <v>34612</v>
      </c>
      <c r="C8153" s="9">
        <f>IFERROR(__xludf.DUMMYFUNCTION("""COMPUTED_VALUE"""),7.77)</f>
        <v>7.77</v>
      </c>
      <c r="H8153" s="17"/>
      <c r="K8153" s="17"/>
      <c r="N8153" s="17"/>
    </row>
    <row r="8154">
      <c r="B8154" s="11">
        <f>IFERROR(__xludf.DUMMYFUNCTION("""COMPUTED_VALUE"""),34611.0)</f>
        <v>34611</v>
      </c>
      <c r="C8154" s="9">
        <f>IFERROR(__xludf.DUMMYFUNCTION("""COMPUTED_VALUE"""),7.7)</f>
        <v>7.7</v>
      </c>
      <c r="H8154" s="17"/>
      <c r="K8154" s="17"/>
      <c r="N8154" s="17"/>
    </row>
    <row r="8155">
      <c r="B8155" s="11">
        <f>IFERROR(__xludf.DUMMYFUNCTION("""COMPUTED_VALUE"""),34610.0)</f>
        <v>34610</v>
      </c>
      <c r="C8155" s="9">
        <f>IFERROR(__xludf.DUMMYFUNCTION("""COMPUTED_VALUE"""),7.66)</f>
        <v>7.66</v>
      </c>
      <c r="H8155" s="17"/>
      <c r="K8155" s="17"/>
      <c r="N8155" s="17"/>
    </row>
    <row r="8156">
      <c r="B8156" s="11">
        <f>IFERROR(__xludf.DUMMYFUNCTION("""COMPUTED_VALUE"""),34607.0)</f>
        <v>34607</v>
      </c>
      <c r="C8156" s="9">
        <f>IFERROR(__xludf.DUMMYFUNCTION("""COMPUTED_VALUE"""),7.62)</f>
        <v>7.62</v>
      </c>
      <c r="H8156" s="17"/>
      <c r="K8156" s="17"/>
      <c r="N8156" s="17"/>
    </row>
    <row r="8157">
      <c r="B8157" s="11">
        <f>IFERROR(__xludf.DUMMYFUNCTION("""COMPUTED_VALUE"""),34606.0)</f>
        <v>34606</v>
      </c>
      <c r="C8157" s="9">
        <f>IFERROR(__xludf.DUMMYFUNCTION("""COMPUTED_VALUE"""),7.64)</f>
        <v>7.64</v>
      </c>
      <c r="H8157" s="17"/>
      <c r="K8157" s="17"/>
      <c r="N8157" s="17"/>
    </row>
    <row r="8158">
      <c r="B8158" s="11">
        <f>IFERROR(__xludf.DUMMYFUNCTION("""COMPUTED_VALUE"""),34605.0)</f>
        <v>34605</v>
      </c>
      <c r="C8158" s="9">
        <f>IFERROR(__xludf.DUMMYFUNCTION("""COMPUTED_VALUE"""),7.57)</f>
        <v>7.57</v>
      </c>
      <c r="H8158" s="17"/>
      <c r="K8158" s="17"/>
      <c r="N8158" s="17"/>
    </row>
    <row r="8159">
      <c r="B8159" s="11">
        <f>IFERROR(__xludf.DUMMYFUNCTION("""COMPUTED_VALUE"""),34604.0)</f>
        <v>34604</v>
      </c>
      <c r="C8159" s="9">
        <f>IFERROR(__xludf.DUMMYFUNCTION("""COMPUTED_VALUE"""),7.61)</f>
        <v>7.61</v>
      </c>
      <c r="H8159" s="17"/>
      <c r="K8159" s="17"/>
      <c r="N8159" s="17"/>
    </row>
    <row r="8160">
      <c r="B8160" s="11">
        <f>IFERROR(__xludf.DUMMYFUNCTION("""COMPUTED_VALUE"""),34603.0)</f>
        <v>34603</v>
      </c>
      <c r="C8160" s="9">
        <f>IFERROR(__xludf.DUMMYFUNCTION("""COMPUTED_VALUE"""),7.57)</f>
        <v>7.57</v>
      </c>
      <c r="H8160" s="17"/>
      <c r="K8160" s="17"/>
      <c r="N8160" s="17"/>
    </row>
    <row r="8161">
      <c r="B8161" s="11">
        <f>IFERROR(__xludf.DUMMYFUNCTION("""COMPUTED_VALUE"""),34600.0)</f>
        <v>34600</v>
      </c>
      <c r="C8161" s="9">
        <f>IFERROR(__xludf.DUMMYFUNCTION("""COMPUTED_VALUE"""),7.57)</f>
        <v>7.57</v>
      </c>
      <c r="H8161" s="17"/>
      <c r="K8161" s="17"/>
      <c r="N8161" s="17"/>
    </row>
    <row r="8162">
      <c r="B8162" s="11">
        <f>IFERROR(__xludf.DUMMYFUNCTION("""COMPUTED_VALUE"""),34599.0)</f>
        <v>34599</v>
      </c>
      <c r="C8162" s="9">
        <f>IFERROR(__xludf.DUMMYFUNCTION("""COMPUTED_VALUE"""),7.56)</f>
        <v>7.56</v>
      </c>
      <c r="H8162" s="17"/>
      <c r="K8162" s="17"/>
      <c r="N8162" s="17"/>
    </row>
    <row r="8163">
      <c r="B8163" s="11">
        <f>IFERROR(__xludf.DUMMYFUNCTION("""COMPUTED_VALUE"""),34598.0)</f>
        <v>34598</v>
      </c>
      <c r="C8163" s="9">
        <f>IFERROR(__xludf.DUMMYFUNCTION("""COMPUTED_VALUE"""),7.56)</f>
        <v>7.56</v>
      </c>
      <c r="H8163" s="17"/>
      <c r="K8163" s="17"/>
      <c r="N8163" s="17"/>
    </row>
    <row r="8164">
      <c r="B8164" s="11">
        <f>IFERROR(__xludf.DUMMYFUNCTION("""COMPUTED_VALUE"""),34597.0)</f>
        <v>34597</v>
      </c>
      <c r="C8164" s="9">
        <f>IFERROR(__xludf.DUMMYFUNCTION("""COMPUTED_VALUE"""),7.53)</f>
        <v>7.53</v>
      </c>
      <c r="H8164" s="17"/>
      <c r="K8164" s="17"/>
      <c r="N8164" s="17"/>
    </row>
    <row r="8165">
      <c r="B8165" s="11">
        <f>IFERROR(__xludf.DUMMYFUNCTION("""COMPUTED_VALUE"""),34596.0)</f>
        <v>34596</v>
      </c>
      <c r="C8165" s="9">
        <f>IFERROR(__xludf.DUMMYFUNCTION("""COMPUTED_VALUE"""),7.49)</f>
        <v>7.49</v>
      </c>
      <c r="H8165" s="17"/>
      <c r="K8165" s="17"/>
      <c r="N8165" s="17"/>
    </row>
    <row r="8166">
      <c r="B8166" s="11">
        <f>IFERROR(__xludf.DUMMYFUNCTION("""COMPUTED_VALUE"""),34593.0)</f>
        <v>34593</v>
      </c>
      <c r="C8166" s="9">
        <f>IFERROR(__xludf.DUMMYFUNCTION("""COMPUTED_VALUE"""),7.52)</f>
        <v>7.52</v>
      </c>
      <c r="H8166" s="17"/>
      <c r="K8166" s="17"/>
      <c r="N8166" s="17"/>
    </row>
    <row r="8167">
      <c r="B8167" s="11">
        <f>IFERROR(__xludf.DUMMYFUNCTION("""COMPUTED_VALUE"""),34592.0)</f>
        <v>34592</v>
      </c>
      <c r="C8167" s="9">
        <f>IFERROR(__xludf.DUMMYFUNCTION("""COMPUTED_VALUE"""),7.35)</f>
        <v>7.35</v>
      </c>
      <c r="H8167" s="17"/>
      <c r="K8167" s="17"/>
      <c r="N8167" s="17"/>
    </row>
    <row r="8168">
      <c r="B8168" s="11">
        <f>IFERROR(__xludf.DUMMYFUNCTION("""COMPUTED_VALUE"""),34591.0)</f>
        <v>34591</v>
      </c>
      <c r="C8168" s="9">
        <f>IFERROR(__xludf.DUMMYFUNCTION("""COMPUTED_VALUE"""),7.41)</f>
        <v>7.41</v>
      </c>
      <c r="H8168" s="17"/>
      <c r="K8168" s="17"/>
      <c r="N8168" s="17"/>
    </row>
    <row r="8169">
      <c r="B8169" s="11">
        <f>IFERROR(__xludf.DUMMYFUNCTION("""COMPUTED_VALUE"""),34590.0)</f>
        <v>34590</v>
      </c>
      <c r="C8169" s="9">
        <f>IFERROR(__xludf.DUMMYFUNCTION("""COMPUTED_VALUE"""),7.44)</f>
        <v>7.44</v>
      </c>
      <c r="H8169" s="17"/>
      <c r="K8169" s="17"/>
      <c r="N8169" s="17"/>
    </row>
    <row r="8170">
      <c r="B8170" s="11">
        <f>IFERROR(__xludf.DUMMYFUNCTION("""COMPUTED_VALUE"""),34589.0)</f>
        <v>34589</v>
      </c>
      <c r="C8170" s="9">
        <f>IFERROR(__xludf.DUMMYFUNCTION("""COMPUTED_VALUE"""),7.46)</f>
        <v>7.46</v>
      </c>
      <c r="H8170" s="17"/>
      <c r="K8170" s="17"/>
      <c r="N8170" s="17"/>
    </row>
    <row r="8171">
      <c r="B8171" s="11">
        <f>IFERROR(__xludf.DUMMYFUNCTION("""COMPUTED_VALUE"""),34586.0)</f>
        <v>34586</v>
      </c>
      <c r="C8171" s="9">
        <f>IFERROR(__xludf.DUMMYFUNCTION("""COMPUTED_VALUE"""),7.44)</f>
        <v>7.44</v>
      </c>
      <c r="H8171" s="17"/>
      <c r="K8171" s="17"/>
      <c r="N8171" s="17"/>
    </row>
    <row r="8172">
      <c r="B8172" s="11">
        <f>IFERROR(__xludf.DUMMYFUNCTION("""COMPUTED_VALUE"""),34585.0)</f>
        <v>34585</v>
      </c>
      <c r="C8172" s="9">
        <f>IFERROR(__xludf.DUMMYFUNCTION("""COMPUTED_VALUE"""),7.3)</f>
        <v>7.3</v>
      </c>
      <c r="H8172" s="17"/>
      <c r="K8172" s="17"/>
      <c r="N8172" s="17"/>
    </row>
    <row r="8173">
      <c r="B8173" s="11">
        <f>IFERROR(__xludf.DUMMYFUNCTION("""COMPUTED_VALUE"""),34584.0)</f>
        <v>34584</v>
      </c>
      <c r="C8173" s="9">
        <f>IFERROR(__xludf.DUMMYFUNCTION("""COMPUTED_VALUE"""),7.29)</f>
        <v>7.29</v>
      </c>
      <c r="H8173" s="17"/>
      <c r="K8173" s="17"/>
      <c r="N8173" s="17"/>
    </row>
    <row r="8174">
      <c r="B8174" s="11">
        <f>IFERROR(__xludf.DUMMYFUNCTION("""COMPUTED_VALUE"""),34583.0)</f>
        <v>34583</v>
      </c>
      <c r="C8174" s="9">
        <f>IFERROR(__xludf.DUMMYFUNCTION("""COMPUTED_VALUE"""),7.27)</f>
        <v>7.27</v>
      </c>
      <c r="H8174" s="17"/>
      <c r="K8174" s="17"/>
      <c r="N8174" s="17"/>
    </row>
    <row r="8175">
      <c r="B8175" s="11">
        <f>IFERROR(__xludf.DUMMYFUNCTION("""COMPUTED_VALUE"""),34582.0)</f>
        <v>34582</v>
      </c>
      <c r="C8175" s="9"/>
      <c r="H8175" s="17"/>
      <c r="K8175" s="17"/>
      <c r="N8175" s="17"/>
    </row>
    <row r="8176">
      <c r="B8176" s="11">
        <f>IFERROR(__xludf.DUMMYFUNCTION("""COMPUTED_VALUE"""),34579.0)</f>
        <v>34579</v>
      </c>
      <c r="C8176" s="9">
        <f>IFERROR(__xludf.DUMMYFUNCTION("""COMPUTED_VALUE"""),7.21)</f>
        <v>7.21</v>
      </c>
      <c r="H8176" s="17"/>
      <c r="K8176" s="17"/>
      <c r="N8176" s="17"/>
    </row>
    <row r="8177">
      <c r="B8177" s="11">
        <f>IFERROR(__xludf.DUMMYFUNCTION("""COMPUTED_VALUE"""),34578.0)</f>
        <v>34578</v>
      </c>
      <c r="C8177" s="9">
        <f>IFERROR(__xludf.DUMMYFUNCTION("""COMPUTED_VALUE"""),7.19)</f>
        <v>7.19</v>
      </c>
      <c r="H8177" s="17"/>
      <c r="K8177" s="17"/>
      <c r="N8177" s="17"/>
    </row>
    <row r="8178">
      <c r="B8178" s="11">
        <f>IFERROR(__xludf.DUMMYFUNCTION("""COMPUTED_VALUE"""),34577.0)</f>
        <v>34577</v>
      </c>
      <c r="C8178" s="9">
        <f>IFERROR(__xludf.DUMMYFUNCTION("""COMPUTED_VALUE"""),7.19)</f>
        <v>7.19</v>
      </c>
      <c r="H8178" s="17"/>
      <c r="K8178" s="17"/>
      <c r="N8178" s="17"/>
    </row>
    <row r="8179">
      <c r="B8179" s="11">
        <f>IFERROR(__xludf.DUMMYFUNCTION("""COMPUTED_VALUE"""),34576.0)</f>
        <v>34576</v>
      </c>
      <c r="C8179" s="9">
        <f>IFERROR(__xludf.DUMMYFUNCTION("""COMPUTED_VALUE"""),7.2)</f>
        <v>7.2</v>
      </c>
      <c r="H8179" s="17"/>
      <c r="K8179" s="17"/>
      <c r="N8179" s="17"/>
    </row>
    <row r="8180">
      <c r="B8180" s="11">
        <f>IFERROR(__xludf.DUMMYFUNCTION("""COMPUTED_VALUE"""),34575.0)</f>
        <v>34575</v>
      </c>
      <c r="C8180" s="9">
        <f>IFERROR(__xludf.DUMMYFUNCTION("""COMPUTED_VALUE"""),7.24)</f>
        <v>7.24</v>
      </c>
      <c r="H8180" s="17"/>
      <c r="K8180" s="17"/>
      <c r="N8180" s="17"/>
    </row>
    <row r="8181">
      <c r="B8181" s="11">
        <f>IFERROR(__xludf.DUMMYFUNCTION("""COMPUTED_VALUE"""),34572.0)</f>
        <v>34572</v>
      </c>
      <c r="C8181" s="9">
        <f>IFERROR(__xludf.DUMMYFUNCTION("""COMPUTED_VALUE"""),7.24)</f>
        <v>7.24</v>
      </c>
      <c r="H8181" s="17"/>
      <c r="K8181" s="17"/>
      <c r="N8181" s="17"/>
    </row>
    <row r="8182">
      <c r="B8182" s="11">
        <f>IFERROR(__xludf.DUMMYFUNCTION("""COMPUTED_VALUE"""),34571.0)</f>
        <v>34571</v>
      </c>
      <c r="C8182" s="9">
        <f>IFERROR(__xludf.DUMMYFUNCTION("""COMPUTED_VALUE"""),7.29)</f>
        <v>7.29</v>
      </c>
      <c r="H8182" s="17"/>
      <c r="K8182" s="17"/>
      <c r="N8182" s="17"/>
    </row>
    <row r="8183">
      <c r="B8183" s="11">
        <f>IFERROR(__xludf.DUMMYFUNCTION("""COMPUTED_VALUE"""),34570.0)</f>
        <v>34570</v>
      </c>
      <c r="C8183" s="9">
        <f>IFERROR(__xludf.DUMMYFUNCTION("""COMPUTED_VALUE"""),7.22)</f>
        <v>7.22</v>
      </c>
      <c r="H8183" s="17"/>
      <c r="K8183" s="17"/>
      <c r="N8183" s="17"/>
    </row>
    <row r="8184">
      <c r="B8184" s="11">
        <f>IFERROR(__xludf.DUMMYFUNCTION("""COMPUTED_VALUE"""),34569.0)</f>
        <v>34569</v>
      </c>
      <c r="C8184" s="9">
        <f>IFERROR(__xludf.DUMMYFUNCTION("""COMPUTED_VALUE"""),7.28)</f>
        <v>7.28</v>
      </c>
      <c r="H8184" s="17"/>
      <c r="K8184" s="17"/>
      <c r="N8184" s="17"/>
    </row>
    <row r="8185">
      <c r="B8185" s="11">
        <f>IFERROR(__xludf.DUMMYFUNCTION("""COMPUTED_VALUE"""),34568.0)</f>
        <v>34568</v>
      </c>
      <c r="C8185" s="9">
        <f>IFERROR(__xludf.DUMMYFUNCTION("""COMPUTED_VALUE"""),7.31)</f>
        <v>7.31</v>
      </c>
      <c r="H8185" s="17"/>
      <c r="K8185" s="17"/>
      <c r="N8185" s="17"/>
    </row>
    <row r="8186">
      <c r="B8186" s="11">
        <f>IFERROR(__xludf.DUMMYFUNCTION("""COMPUTED_VALUE"""),34565.0)</f>
        <v>34565</v>
      </c>
      <c r="C8186" s="9">
        <f>IFERROR(__xludf.DUMMYFUNCTION("""COMPUTED_VALUE"""),7.27)</f>
        <v>7.27</v>
      </c>
      <c r="H8186" s="17"/>
      <c r="K8186" s="17"/>
      <c r="N8186" s="17"/>
    </row>
    <row r="8187">
      <c r="B8187" s="11">
        <f>IFERROR(__xludf.DUMMYFUNCTION("""COMPUTED_VALUE"""),34564.0)</f>
        <v>34564</v>
      </c>
      <c r="C8187" s="9">
        <f>IFERROR(__xludf.DUMMYFUNCTION("""COMPUTED_VALUE"""),7.28)</f>
        <v>7.28</v>
      </c>
      <c r="H8187" s="17"/>
      <c r="K8187" s="17"/>
      <c r="N8187" s="17"/>
    </row>
    <row r="8188">
      <c r="B8188" s="11">
        <f>IFERROR(__xludf.DUMMYFUNCTION("""COMPUTED_VALUE"""),34563.0)</f>
        <v>34563</v>
      </c>
      <c r="C8188" s="9">
        <f>IFERROR(__xludf.DUMMYFUNCTION("""COMPUTED_VALUE"""),7.15)</f>
        <v>7.15</v>
      </c>
      <c r="H8188" s="17"/>
      <c r="K8188" s="17"/>
      <c r="N8188" s="17"/>
    </row>
    <row r="8189">
      <c r="B8189" s="11">
        <f>IFERROR(__xludf.DUMMYFUNCTION("""COMPUTED_VALUE"""),34562.0)</f>
        <v>34562</v>
      </c>
      <c r="C8189" s="9">
        <f>IFERROR(__xludf.DUMMYFUNCTION("""COMPUTED_VALUE"""),7.19)</f>
        <v>7.19</v>
      </c>
      <c r="H8189" s="17"/>
      <c r="K8189" s="17"/>
      <c r="N8189" s="17"/>
    </row>
    <row r="8190">
      <c r="B8190" s="11">
        <f>IFERROR(__xludf.DUMMYFUNCTION("""COMPUTED_VALUE"""),34561.0)</f>
        <v>34561</v>
      </c>
      <c r="C8190" s="9">
        <f>IFERROR(__xludf.DUMMYFUNCTION("""COMPUTED_VALUE"""),7.3)</f>
        <v>7.3</v>
      </c>
      <c r="H8190" s="17"/>
      <c r="K8190" s="17"/>
      <c r="N8190" s="17"/>
    </row>
    <row r="8191">
      <c r="B8191" s="11">
        <f>IFERROR(__xludf.DUMMYFUNCTION("""COMPUTED_VALUE"""),34558.0)</f>
        <v>34558</v>
      </c>
      <c r="C8191" s="9">
        <f>IFERROR(__xludf.DUMMYFUNCTION("""COMPUTED_VALUE"""),7.27)</f>
        <v>7.27</v>
      </c>
      <c r="H8191" s="17"/>
      <c r="K8191" s="17"/>
      <c r="N8191" s="17"/>
    </row>
    <row r="8192">
      <c r="B8192" s="11">
        <f>IFERROR(__xludf.DUMMYFUNCTION("""COMPUTED_VALUE"""),34557.0)</f>
        <v>34557</v>
      </c>
      <c r="C8192" s="9">
        <f>IFERROR(__xludf.DUMMYFUNCTION("""COMPUTED_VALUE"""),7.36)</f>
        <v>7.36</v>
      </c>
      <c r="H8192" s="17"/>
      <c r="K8192" s="17"/>
      <c r="N8192" s="17"/>
    </row>
    <row r="8193">
      <c r="B8193" s="11">
        <f>IFERROR(__xludf.DUMMYFUNCTION("""COMPUTED_VALUE"""),34556.0)</f>
        <v>34556</v>
      </c>
      <c r="C8193" s="9">
        <f>IFERROR(__xludf.DUMMYFUNCTION("""COMPUTED_VALUE"""),7.3)</f>
        <v>7.3</v>
      </c>
      <c r="H8193" s="17"/>
      <c r="K8193" s="17"/>
      <c r="N8193" s="17"/>
    </row>
    <row r="8194">
      <c r="B8194" s="11">
        <f>IFERROR(__xludf.DUMMYFUNCTION("""COMPUTED_VALUE"""),34555.0)</f>
        <v>34555</v>
      </c>
      <c r="C8194" s="9">
        <f>IFERROR(__xludf.DUMMYFUNCTION("""COMPUTED_VALUE"""),7.33)</f>
        <v>7.33</v>
      </c>
      <c r="H8194" s="17"/>
      <c r="K8194" s="17"/>
      <c r="N8194" s="17"/>
    </row>
    <row r="8195">
      <c r="B8195" s="11">
        <f>IFERROR(__xludf.DUMMYFUNCTION("""COMPUTED_VALUE"""),34554.0)</f>
        <v>34554</v>
      </c>
      <c r="C8195" s="9">
        <f>IFERROR(__xludf.DUMMYFUNCTION("""COMPUTED_VALUE"""),7.28)</f>
        <v>7.28</v>
      </c>
      <c r="H8195" s="17"/>
      <c r="K8195" s="17"/>
      <c r="N8195" s="17"/>
    </row>
    <row r="8196">
      <c r="B8196" s="11">
        <f>IFERROR(__xludf.DUMMYFUNCTION("""COMPUTED_VALUE"""),34551.0)</f>
        <v>34551</v>
      </c>
      <c r="C8196" s="9">
        <f>IFERROR(__xludf.DUMMYFUNCTION("""COMPUTED_VALUE"""),7.28)</f>
        <v>7.28</v>
      </c>
      <c r="H8196" s="17"/>
      <c r="K8196" s="17"/>
      <c r="N8196" s="17"/>
    </row>
    <row r="8197">
      <c r="B8197" s="11">
        <f>IFERROR(__xludf.DUMMYFUNCTION("""COMPUTED_VALUE"""),34550.0)</f>
        <v>34550</v>
      </c>
      <c r="C8197" s="9">
        <f>IFERROR(__xludf.DUMMYFUNCTION("""COMPUTED_VALUE"""),7.12)</f>
        <v>7.12</v>
      </c>
      <c r="H8197" s="17"/>
      <c r="K8197" s="17"/>
      <c r="N8197" s="17"/>
    </row>
    <row r="8198">
      <c r="B8198" s="11">
        <f>IFERROR(__xludf.DUMMYFUNCTION("""COMPUTED_VALUE"""),34549.0)</f>
        <v>34549</v>
      </c>
      <c r="C8198" s="9">
        <f>IFERROR(__xludf.DUMMYFUNCTION("""COMPUTED_VALUE"""),7.09)</f>
        <v>7.09</v>
      </c>
      <c r="H8198" s="17"/>
      <c r="K8198" s="17"/>
      <c r="N8198" s="17"/>
    </row>
    <row r="8199">
      <c r="B8199" s="11">
        <f>IFERROR(__xludf.DUMMYFUNCTION("""COMPUTED_VALUE"""),34548.0)</f>
        <v>34548</v>
      </c>
      <c r="C8199" s="9">
        <f>IFERROR(__xludf.DUMMYFUNCTION("""COMPUTED_VALUE"""),7.11)</f>
        <v>7.11</v>
      </c>
      <c r="H8199" s="17"/>
      <c r="K8199" s="17"/>
      <c r="N8199" s="17"/>
    </row>
    <row r="8200">
      <c r="B8200" s="11">
        <f>IFERROR(__xludf.DUMMYFUNCTION("""COMPUTED_VALUE"""),34547.0)</f>
        <v>34547</v>
      </c>
      <c r="C8200" s="9">
        <f>IFERROR(__xludf.DUMMYFUNCTION("""COMPUTED_VALUE"""),7.13)</f>
        <v>7.13</v>
      </c>
      <c r="H8200" s="17"/>
      <c r="K8200" s="17"/>
      <c r="N8200" s="17"/>
    </row>
    <row r="8201">
      <c r="B8201" s="11">
        <f>IFERROR(__xludf.DUMMYFUNCTION("""COMPUTED_VALUE"""),34544.0)</f>
        <v>34544</v>
      </c>
      <c r="C8201" s="9">
        <f>IFERROR(__xludf.DUMMYFUNCTION("""COMPUTED_VALUE"""),7.12)</f>
        <v>7.12</v>
      </c>
      <c r="H8201" s="17"/>
      <c r="K8201" s="17"/>
      <c r="N8201" s="17"/>
    </row>
    <row r="8202">
      <c r="B8202" s="11">
        <f>IFERROR(__xludf.DUMMYFUNCTION("""COMPUTED_VALUE"""),34543.0)</f>
        <v>34543</v>
      </c>
      <c r="C8202" s="9">
        <f>IFERROR(__xludf.DUMMYFUNCTION("""COMPUTED_VALUE"""),7.29)</f>
        <v>7.29</v>
      </c>
      <c r="H8202" s="17"/>
      <c r="K8202" s="17"/>
      <c r="N8202" s="17"/>
    </row>
    <row r="8203">
      <c r="B8203" s="11">
        <f>IFERROR(__xludf.DUMMYFUNCTION("""COMPUTED_VALUE"""),34542.0)</f>
        <v>34542</v>
      </c>
      <c r="C8203" s="9">
        <f>IFERROR(__xludf.DUMMYFUNCTION("""COMPUTED_VALUE"""),7.34)</f>
        <v>7.34</v>
      </c>
      <c r="H8203" s="17"/>
      <c r="K8203" s="17"/>
      <c r="N8203" s="17"/>
    </row>
    <row r="8204">
      <c r="B8204" s="11">
        <f>IFERROR(__xludf.DUMMYFUNCTION("""COMPUTED_VALUE"""),34541.0)</f>
        <v>34541</v>
      </c>
      <c r="C8204" s="9">
        <f>IFERROR(__xludf.DUMMYFUNCTION("""COMPUTED_VALUE"""),7.28)</f>
        <v>7.28</v>
      </c>
      <c r="H8204" s="17"/>
      <c r="K8204" s="17"/>
      <c r="N8204" s="17"/>
    </row>
    <row r="8205">
      <c r="B8205" s="11">
        <f>IFERROR(__xludf.DUMMYFUNCTION("""COMPUTED_VALUE"""),34540.0)</f>
        <v>34540</v>
      </c>
      <c r="C8205" s="9">
        <f>IFERROR(__xludf.DUMMYFUNCTION("""COMPUTED_VALUE"""),7.27)</f>
        <v>7.27</v>
      </c>
      <c r="H8205" s="17"/>
      <c r="K8205" s="17"/>
      <c r="N8205" s="17"/>
    </row>
    <row r="8206">
      <c r="B8206" s="11">
        <f>IFERROR(__xludf.DUMMYFUNCTION("""COMPUTED_VALUE"""),34537.0)</f>
        <v>34537</v>
      </c>
      <c r="C8206" s="9">
        <f>IFERROR(__xludf.DUMMYFUNCTION("""COMPUTED_VALUE"""),7.29)</f>
        <v>7.29</v>
      </c>
      <c r="H8206" s="17"/>
      <c r="K8206" s="17"/>
      <c r="N8206" s="17"/>
    </row>
    <row r="8207">
      <c r="B8207" s="11">
        <f>IFERROR(__xludf.DUMMYFUNCTION("""COMPUTED_VALUE"""),34536.0)</f>
        <v>34536</v>
      </c>
      <c r="C8207" s="9">
        <f>IFERROR(__xludf.DUMMYFUNCTION("""COMPUTED_VALUE"""),7.27)</f>
        <v>7.27</v>
      </c>
      <c r="H8207" s="17"/>
      <c r="K8207" s="17"/>
      <c r="N8207" s="17"/>
    </row>
    <row r="8208">
      <c r="B8208" s="11">
        <f>IFERROR(__xludf.DUMMYFUNCTION("""COMPUTED_VALUE"""),34535.0)</f>
        <v>34535</v>
      </c>
      <c r="C8208" s="9">
        <f>IFERROR(__xludf.DUMMYFUNCTION("""COMPUTED_VALUE"""),7.25)</f>
        <v>7.25</v>
      </c>
      <c r="H8208" s="17"/>
      <c r="K8208" s="17"/>
      <c r="N8208" s="17"/>
    </row>
    <row r="8209">
      <c r="B8209" s="11">
        <f>IFERROR(__xludf.DUMMYFUNCTION("""COMPUTED_VALUE"""),34534.0)</f>
        <v>34534</v>
      </c>
      <c r="C8209" s="9">
        <f>IFERROR(__xludf.DUMMYFUNCTION("""COMPUTED_VALUE"""),7.15)</f>
        <v>7.15</v>
      </c>
      <c r="H8209" s="17"/>
      <c r="K8209" s="17"/>
      <c r="N8209" s="17"/>
    </row>
    <row r="8210">
      <c r="B8210" s="11">
        <f>IFERROR(__xludf.DUMMYFUNCTION("""COMPUTED_VALUE"""),34533.0)</f>
        <v>34533</v>
      </c>
      <c r="C8210" s="9">
        <f>IFERROR(__xludf.DUMMYFUNCTION("""COMPUTED_VALUE"""),7.2)</f>
        <v>7.2</v>
      </c>
      <c r="H8210" s="17"/>
      <c r="K8210" s="17"/>
      <c r="N8210" s="17"/>
    </row>
    <row r="8211">
      <c r="B8211" s="11">
        <f>IFERROR(__xludf.DUMMYFUNCTION("""COMPUTED_VALUE"""),34530.0)</f>
        <v>34530</v>
      </c>
      <c r="C8211" s="9">
        <f>IFERROR(__xludf.DUMMYFUNCTION("""COMPUTED_VALUE"""),7.25)</f>
        <v>7.25</v>
      </c>
      <c r="H8211" s="17"/>
      <c r="K8211" s="17"/>
      <c r="N8211" s="17"/>
    </row>
    <row r="8212">
      <c r="B8212" s="11">
        <f>IFERROR(__xludf.DUMMYFUNCTION("""COMPUTED_VALUE"""),34529.0)</f>
        <v>34529</v>
      </c>
      <c r="C8212" s="9">
        <f>IFERROR(__xludf.DUMMYFUNCTION("""COMPUTED_VALUE"""),7.25)</f>
        <v>7.25</v>
      </c>
      <c r="H8212" s="17"/>
      <c r="K8212" s="17"/>
      <c r="N8212" s="17"/>
    </row>
    <row r="8213">
      <c r="B8213" s="11">
        <f>IFERROR(__xludf.DUMMYFUNCTION("""COMPUTED_VALUE"""),34528.0)</f>
        <v>34528</v>
      </c>
      <c r="C8213" s="9">
        <f>IFERROR(__xludf.DUMMYFUNCTION("""COMPUTED_VALUE"""),7.41)</f>
        <v>7.41</v>
      </c>
      <c r="H8213" s="17"/>
      <c r="K8213" s="17"/>
      <c r="N8213" s="17"/>
    </row>
    <row r="8214">
      <c r="B8214" s="11">
        <f>IFERROR(__xludf.DUMMYFUNCTION("""COMPUTED_VALUE"""),34527.0)</f>
        <v>34527</v>
      </c>
      <c r="C8214" s="9">
        <f>IFERROR(__xludf.DUMMYFUNCTION("""COMPUTED_VALUE"""),7.43)</f>
        <v>7.43</v>
      </c>
      <c r="H8214" s="17"/>
      <c r="K8214" s="17"/>
      <c r="N8214" s="17"/>
    </row>
    <row r="8215">
      <c r="B8215" s="11">
        <f>IFERROR(__xludf.DUMMYFUNCTION("""COMPUTED_VALUE"""),34526.0)</f>
        <v>34526</v>
      </c>
      <c r="C8215" s="9">
        <f>IFERROR(__xludf.DUMMYFUNCTION("""COMPUTED_VALUE"""),7.47)</f>
        <v>7.47</v>
      </c>
      <c r="H8215" s="17"/>
      <c r="K8215" s="17"/>
      <c r="N8215" s="17"/>
    </row>
    <row r="8216">
      <c r="B8216" s="11">
        <f>IFERROR(__xludf.DUMMYFUNCTION("""COMPUTED_VALUE"""),34523.0)</f>
        <v>34523</v>
      </c>
      <c r="C8216" s="9">
        <f>IFERROR(__xludf.DUMMYFUNCTION("""COMPUTED_VALUE"""),7.42)</f>
        <v>7.42</v>
      </c>
      <c r="H8216" s="17"/>
      <c r="K8216" s="17"/>
      <c r="N8216" s="17"/>
    </row>
    <row r="8217">
      <c r="B8217" s="11">
        <f>IFERROR(__xludf.DUMMYFUNCTION("""COMPUTED_VALUE"""),34522.0)</f>
        <v>34522</v>
      </c>
      <c r="C8217" s="9">
        <f>IFERROR(__xludf.DUMMYFUNCTION("""COMPUTED_VALUE"""),7.3)</f>
        <v>7.3</v>
      </c>
      <c r="H8217" s="17"/>
      <c r="K8217" s="17"/>
      <c r="N8217" s="17"/>
    </row>
    <row r="8218">
      <c r="B8218" s="11">
        <f>IFERROR(__xludf.DUMMYFUNCTION("""COMPUTED_VALUE"""),34521.0)</f>
        <v>34521</v>
      </c>
      <c r="C8218" s="9">
        <f>IFERROR(__xludf.DUMMYFUNCTION("""COMPUTED_VALUE"""),7.32)</f>
        <v>7.32</v>
      </c>
      <c r="H8218" s="17"/>
      <c r="K8218" s="17"/>
      <c r="N8218" s="17"/>
    </row>
    <row r="8219">
      <c r="B8219" s="11">
        <f>IFERROR(__xludf.DUMMYFUNCTION("""COMPUTED_VALUE"""),34520.0)</f>
        <v>34520</v>
      </c>
      <c r="C8219" s="9">
        <f>IFERROR(__xludf.DUMMYFUNCTION("""COMPUTED_VALUE"""),7.31)</f>
        <v>7.31</v>
      </c>
      <c r="H8219" s="17"/>
      <c r="K8219" s="17"/>
      <c r="N8219" s="17"/>
    </row>
    <row r="8220">
      <c r="B8220" s="11">
        <f>IFERROR(__xludf.DUMMYFUNCTION("""COMPUTED_VALUE"""),34519.0)</f>
        <v>34519</v>
      </c>
      <c r="C8220" s="9"/>
      <c r="H8220" s="17"/>
      <c r="K8220" s="17"/>
      <c r="N8220" s="17"/>
    </row>
    <row r="8221">
      <c r="B8221" s="11">
        <f>IFERROR(__xludf.DUMMYFUNCTION("""COMPUTED_VALUE"""),34516.0)</f>
        <v>34516</v>
      </c>
      <c r="C8221" s="9">
        <f>IFERROR(__xludf.DUMMYFUNCTION("""COMPUTED_VALUE"""),7.34)</f>
        <v>7.34</v>
      </c>
      <c r="H8221" s="17"/>
      <c r="K8221" s="17"/>
      <c r="N8221" s="17"/>
    </row>
    <row r="8222">
      <c r="B8222" s="11">
        <f>IFERROR(__xludf.DUMMYFUNCTION("""COMPUTED_VALUE"""),34515.0)</f>
        <v>34515</v>
      </c>
      <c r="C8222" s="9">
        <f>IFERROR(__xludf.DUMMYFUNCTION("""COMPUTED_VALUE"""),7.34)</f>
        <v>7.34</v>
      </c>
      <c r="H8222" s="17"/>
      <c r="K8222" s="17"/>
      <c r="N8222" s="17"/>
    </row>
    <row r="8223">
      <c r="B8223" s="11">
        <f>IFERROR(__xludf.DUMMYFUNCTION("""COMPUTED_VALUE"""),34514.0)</f>
        <v>34514</v>
      </c>
      <c r="C8223" s="9">
        <f>IFERROR(__xludf.DUMMYFUNCTION("""COMPUTED_VALUE"""),7.24)</f>
        <v>7.24</v>
      </c>
      <c r="H8223" s="17"/>
      <c r="K8223" s="17"/>
      <c r="N8223" s="17"/>
    </row>
    <row r="8224">
      <c r="B8224" s="11">
        <f>IFERROR(__xludf.DUMMYFUNCTION("""COMPUTED_VALUE"""),34513.0)</f>
        <v>34513</v>
      </c>
      <c r="C8224" s="9">
        <f>IFERROR(__xludf.DUMMYFUNCTION("""COMPUTED_VALUE"""),7.26)</f>
        <v>7.26</v>
      </c>
      <c r="H8224" s="17"/>
      <c r="K8224" s="17"/>
      <c r="N8224" s="17"/>
    </row>
    <row r="8225">
      <c r="B8225" s="11">
        <f>IFERROR(__xludf.DUMMYFUNCTION("""COMPUTED_VALUE"""),34512.0)</f>
        <v>34512</v>
      </c>
      <c r="C8225" s="9">
        <f>IFERROR(__xludf.DUMMYFUNCTION("""COMPUTED_VALUE"""),7.18)</f>
        <v>7.18</v>
      </c>
      <c r="H8225" s="17"/>
      <c r="K8225" s="17"/>
      <c r="N8225" s="17"/>
    </row>
    <row r="8226">
      <c r="B8226" s="11">
        <f>IFERROR(__xludf.DUMMYFUNCTION("""COMPUTED_VALUE"""),34509.0)</f>
        <v>34509</v>
      </c>
      <c r="C8226" s="9">
        <f>IFERROR(__xludf.DUMMYFUNCTION("""COMPUTED_VALUE"""),7.22)</f>
        <v>7.22</v>
      </c>
      <c r="H8226" s="17"/>
      <c r="K8226" s="17"/>
      <c r="N8226" s="17"/>
    </row>
    <row r="8227">
      <c r="B8227" s="11">
        <f>IFERROR(__xludf.DUMMYFUNCTION("""COMPUTED_VALUE"""),34508.0)</f>
        <v>34508</v>
      </c>
      <c r="C8227" s="9">
        <f>IFERROR(__xludf.DUMMYFUNCTION("""COMPUTED_VALUE"""),7.1)</f>
        <v>7.1</v>
      </c>
      <c r="H8227" s="17"/>
      <c r="K8227" s="17"/>
      <c r="N8227" s="17"/>
    </row>
    <row r="8228">
      <c r="B8228" s="11">
        <f>IFERROR(__xludf.DUMMYFUNCTION("""COMPUTED_VALUE"""),34507.0)</f>
        <v>34507</v>
      </c>
      <c r="C8228" s="9">
        <f>IFERROR(__xludf.DUMMYFUNCTION("""COMPUTED_VALUE"""),7.13)</f>
        <v>7.13</v>
      </c>
      <c r="H8228" s="17"/>
      <c r="K8228" s="17"/>
      <c r="N8228" s="17"/>
    </row>
    <row r="8229">
      <c r="B8229" s="11">
        <f>IFERROR(__xludf.DUMMYFUNCTION("""COMPUTED_VALUE"""),34506.0)</f>
        <v>34506</v>
      </c>
      <c r="C8229" s="9">
        <f>IFERROR(__xludf.DUMMYFUNCTION("""COMPUTED_VALUE"""),7.22)</f>
        <v>7.22</v>
      </c>
      <c r="H8229" s="17"/>
      <c r="K8229" s="17"/>
      <c r="N8229" s="17"/>
    </row>
    <row r="8230">
      <c r="B8230" s="11">
        <f>IFERROR(__xludf.DUMMYFUNCTION("""COMPUTED_VALUE"""),34505.0)</f>
        <v>34505</v>
      </c>
      <c r="C8230" s="9">
        <f>IFERROR(__xludf.DUMMYFUNCTION("""COMPUTED_VALUE"""),7.16)</f>
        <v>7.16</v>
      </c>
      <c r="H8230" s="17"/>
      <c r="K8230" s="17"/>
      <c r="N8230" s="17"/>
    </row>
    <row r="8231">
      <c r="B8231" s="11">
        <f>IFERROR(__xludf.DUMMYFUNCTION("""COMPUTED_VALUE"""),34502.0)</f>
        <v>34502</v>
      </c>
      <c r="C8231" s="9">
        <f>IFERROR(__xludf.DUMMYFUNCTION("""COMPUTED_VALUE"""),7.14)</f>
        <v>7.14</v>
      </c>
      <c r="H8231" s="17"/>
      <c r="K8231" s="17"/>
      <c r="N8231" s="17"/>
    </row>
    <row r="8232">
      <c r="B8232" s="11">
        <f>IFERROR(__xludf.DUMMYFUNCTION("""COMPUTED_VALUE"""),34501.0)</f>
        <v>34501</v>
      </c>
      <c r="C8232" s="9">
        <f>IFERROR(__xludf.DUMMYFUNCTION("""COMPUTED_VALUE"""),7.07)</f>
        <v>7.07</v>
      </c>
      <c r="H8232" s="17"/>
      <c r="K8232" s="17"/>
      <c r="N8232" s="17"/>
    </row>
    <row r="8233">
      <c r="B8233" s="11">
        <f>IFERROR(__xludf.DUMMYFUNCTION("""COMPUTED_VALUE"""),34500.0)</f>
        <v>34500</v>
      </c>
      <c r="C8233" s="9">
        <f>IFERROR(__xludf.DUMMYFUNCTION("""COMPUTED_VALUE"""),7.1)</f>
        <v>7.1</v>
      </c>
      <c r="H8233" s="17"/>
      <c r="K8233" s="17"/>
      <c r="N8233" s="17"/>
    </row>
    <row r="8234">
      <c r="B8234" s="11">
        <f>IFERROR(__xludf.DUMMYFUNCTION("""COMPUTED_VALUE"""),34499.0)</f>
        <v>34499</v>
      </c>
      <c r="C8234" s="9">
        <f>IFERROR(__xludf.DUMMYFUNCTION("""COMPUTED_VALUE"""),7.0)</f>
        <v>7</v>
      </c>
      <c r="H8234" s="17"/>
      <c r="K8234" s="17"/>
      <c r="N8234" s="17"/>
    </row>
    <row r="8235">
      <c r="B8235" s="11">
        <f>IFERROR(__xludf.DUMMYFUNCTION("""COMPUTED_VALUE"""),34498.0)</f>
        <v>34498</v>
      </c>
      <c r="C8235" s="9">
        <f>IFERROR(__xludf.DUMMYFUNCTION("""COMPUTED_VALUE"""),7.07)</f>
        <v>7.07</v>
      </c>
      <c r="H8235" s="17"/>
      <c r="K8235" s="17"/>
      <c r="N8235" s="17"/>
    </row>
    <row r="8236">
      <c r="B8236" s="11">
        <f>IFERROR(__xludf.DUMMYFUNCTION("""COMPUTED_VALUE"""),34495.0)</f>
        <v>34495</v>
      </c>
      <c r="C8236" s="9">
        <f>IFERROR(__xludf.DUMMYFUNCTION("""COMPUTED_VALUE"""),7.03)</f>
        <v>7.03</v>
      </c>
      <c r="H8236" s="17"/>
      <c r="K8236" s="17"/>
      <c r="N8236" s="17"/>
    </row>
    <row r="8237">
      <c r="B8237" s="11">
        <f>IFERROR(__xludf.DUMMYFUNCTION("""COMPUTED_VALUE"""),34494.0)</f>
        <v>34494</v>
      </c>
      <c r="C8237" s="9">
        <f>IFERROR(__xludf.DUMMYFUNCTION("""COMPUTED_VALUE"""),6.98)</f>
        <v>6.98</v>
      </c>
      <c r="H8237" s="17"/>
      <c r="K8237" s="17"/>
      <c r="N8237" s="17"/>
    </row>
    <row r="8238">
      <c r="B8238" s="11">
        <f>IFERROR(__xludf.DUMMYFUNCTION("""COMPUTED_VALUE"""),34493.0)</f>
        <v>34493</v>
      </c>
      <c r="C8238" s="9">
        <f>IFERROR(__xludf.DUMMYFUNCTION("""COMPUTED_VALUE"""),6.96)</f>
        <v>6.96</v>
      </c>
      <c r="H8238" s="17"/>
      <c r="K8238" s="17"/>
      <c r="N8238" s="17"/>
    </row>
    <row r="8239">
      <c r="B8239" s="11">
        <f>IFERROR(__xludf.DUMMYFUNCTION("""COMPUTED_VALUE"""),34492.0)</f>
        <v>34492</v>
      </c>
      <c r="C8239" s="9">
        <f>IFERROR(__xludf.DUMMYFUNCTION("""COMPUTED_VALUE"""),6.95)</f>
        <v>6.95</v>
      </c>
      <c r="H8239" s="17"/>
      <c r="K8239" s="17"/>
      <c r="N8239" s="17"/>
    </row>
    <row r="8240">
      <c r="B8240" s="11">
        <f>IFERROR(__xludf.DUMMYFUNCTION("""COMPUTED_VALUE"""),34491.0)</f>
        <v>34491</v>
      </c>
      <c r="C8240" s="9">
        <f>IFERROR(__xludf.DUMMYFUNCTION("""COMPUTED_VALUE"""),6.91)</f>
        <v>6.91</v>
      </c>
      <c r="H8240" s="17"/>
      <c r="K8240" s="17"/>
      <c r="N8240" s="17"/>
    </row>
    <row r="8241">
      <c r="B8241" s="11">
        <f>IFERROR(__xludf.DUMMYFUNCTION("""COMPUTED_VALUE"""),34488.0)</f>
        <v>34488</v>
      </c>
      <c r="C8241" s="9">
        <f>IFERROR(__xludf.DUMMYFUNCTION("""COMPUTED_VALUE"""),6.98)</f>
        <v>6.98</v>
      </c>
      <c r="H8241" s="17"/>
      <c r="K8241" s="17"/>
      <c r="N8241" s="17"/>
    </row>
    <row r="8242">
      <c r="B8242" s="11">
        <f>IFERROR(__xludf.DUMMYFUNCTION("""COMPUTED_VALUE"""),34487.0)</f>
        <v>34487</v>
      </c>
      <c r="C8242" s="9">
        <f>IFERROR(__xludf.DUMMYFUNCTION("""COMPUTED_VALUE"""),7.07)</f>
        <v>7.07</v>
      </c>
      <c r="H8242" s="17"/>
      <c r="K8242" s="17"/>
      <c r="N8242" s="17"/>
    </row>
    <row r="8243">
      <c r="B8243" s="11">
        <f>IFERROR(__xludf.DUMMYFUNCTION("""COMPUTED_VALUE"""),34486.0)</f>
        <v>34486</v>
      </c>
      <c r="C8243" s="9">
        <f>IFERROR(__xludf.DUMMYFUNCTION("""COMPUTED_VALUE"""),7.12)</f>
        <v>7.12</v>
      </c>
      <c r="H8243" s="17"/>
      <c r="K8243" s="17"/>
      <c r="N8243" s="17"/>
    </row>
    <row r="8244">
      <c r="B8244" s="11">
        <f>IFERROR(__xludf.DUMMYFUNCTION("""COMPUTED_VALUE"""),34485.0)</f>
        <v>34485</v>
      </c>
      <c r="C8244" s="9">
        <f>IFERROR(__xludf.DUMMYFUNCTION("""COMPUTED_VALUE"""),7.17)</f>
        <v>7.17</v>
      </c>
      <c r="H8244" s="17"/>
      <c r="K8244" s="17"/>
      <c r="N8244" s="17"/>
    </row>
    <row r="8245">
      <c r="B8245" s="11">
        <f>IFERROR(__xludf.DUMMYFUNCTION("""COMPUTED_VALUE"""),34484.0)</f>
        <v>34484</v>
      </c>
      <c r="C8245" s="9"/>
      <c r="H8245" s="17"/>
      <c r="K8245" s="17"/>
      <c r="N8245" s="17"/>
    </row>
    <row r="8246">
      <c r="B8246" s="11">
        <f>IFERROR(__xludf.DUMMYFUNCTION("""COMPUTED_VALUE"""),34481.0)</f>
        <v>34481</v>
      </c>
      <c r="C8246" s="9">
        <f>IFERROR(__xludf.DUMMYFUNCTION("""COMPUTED_VALUE"""),7.12)</f>
        <v>7.12</v>
      </c>
      <c r="H8246" s="17"/>
      <c r="K8246" s="17"/>
      <c r="N8246" s="17"/>
    </row>
    <row r="8247">
      <c r="B8247" s="11">
        <f>IFERROR(__xludf.DUMMYFUNCTION("""COMPUTED_VALUE"""),34480.0)</f>
        <v>34480</v>
      </c>
      <c r="C8247" s="9">
        <f>IFERROR(__xludf.DUMMYFUNCTION("""COMPUTED_VALUE"""),7.09)</f>
        <v>7.09</v>
      </c>
      <c r="H8247" s="17"/>
      <c r="K8247" s="17"/>
      <c r="N8247" s="17"/>
    </row>
    <row r="8248">
      <c r="B8248" s="11">
        <f>IFERROR(__xludf.DUMMYFUNCTION("""COMPUTED_VALUE"""),34479.0)</f>
        <v>34479</v>
      </c>
      <c r="C8248" s="9">
        <f>IFERROR(__xludf.DUMMYFUNCTION("""COMPUTED_VALUE"""),7.14)</f>
        <v>7.14</v>
      </c>
      <c r="H8248" s="17"/>
      <c r="K8248" s="17"/>
      <c r="N8248" s="17"/>
    </row>
    <row r="8249">
      <c r="B8249" s="11">
        <f>IFERROR(__xludf.DUMMYFUNCTION("""COMPUTED_VALUE"""),34478.0)</f>
        <v>34478</v>
      </c>
      <c r="C8249" s="9">
        <f>IFERROR(__xludf.DUMMYFUNCTION("""COMPUTED_VALUE"""),7.17)</f>
        <v>7.17</v>
      </c>
      <c r="H8249" s="17"/>
      <c r="K8249" s="17"/>
      <c r="N8249" s="17"/>
    </row>
    <row r="8250">
      <c r="B8250" s="11">
        <f>IFERROR(__xludf.DUMMYFUNCTION("""COMPUTED_VALUE"""),34477.0)</f>
        <v>34477</v>
      </c>
      <c r="C8250" s="9">
        <f>IFERROR(__xludf.DUMMYFUNCTION("""COMPUTED_VALUE"""),7.19)</f>
        <v>7.19</v>
      </c>
      <c r="H8250" s="17"/>
      <c r="K8250" s="17"/>
      <c r="N8250" s="17"/>
    </row>
    <row r="8251">
      <c r="B8251" s="11">
        <f>IFERROR(__xludf.DUMMYFUNCTION("""COMPUTED_VALUE"""),34474.0)</f>
        <v>34474</v>
      </c>
      <c r="C8251" s="9">
        <f>IFERROR(__xludf.DUMMYFUNCTION("""COMPUTED_VALUE"""),7.02)</f>
        <v>7.02</v>
      </c>
      <c r="H8251" s="17"/>
      <c r="K8251" s="17"/>
      <c r="N8251" s="17"/>
    </row>
    <row r="8252">
      <c r="B8252" s="11">
        <f>IFERROR(__xludf.DUMMYFUNCTION("""COMPUTED_VALUE"""),34473.0)</f>
        <v>34473</v>
      </c>
      <c r="C8252" s="9">
        <f>IFERROR(__xludf.DUMMYFUNCTION("""COMPUTED_VALUE"""),6.96)</f>
        <v>6.96</v>
      </c>
      <c r="H8252" s="17"/>
      <c r="K8252" s="17"/>
      <c r="N8252" s="17"/>
    </row>
    <row r="8253">
      <c r="B8253" s="11">
        <f>IFERROR(__xludf.DUMMYFUNCTION("""COMPUTED_VALUE"""),34472.0)</f>
        <v>34472</v>
      </c>
      <c r="C8253" s="9">
        <f>IFERROR(__xludf.DUMMYFUNCTION("""COMPUTED_VALUE"""),7.03)</f>
        <v>7.03</v>
      </c>
      <c r="H8253" s="17"/>
      <c r="K8253" s="17"/>
      <c r="N8253" s="17"/>
    </row>
    <row r="8254">
      <c r="B8254" s="11">
        <f>IFERROR(__xludf.DUMMYFUNCTION("""COMPUTED_VALUE"""),34471.0)</f>
        <v>34471</v>
      </c>
      <c r="C8254" s="9">
        <f>IFERROR(__xludf.DUMMYFUNCTION("""COMPUTED_VALUE"""),7.03)</f>
        <v>7.03</v>
      </c>
      <c r="H8254" s="17"/>
      <c r="K8254" s="17"/>
      <c r="N8254" s="17"/>
    </row>
    <row r="8255">
      <c r="B8255" s="11">
        <f>IFERROR(__xludf.DUMMYFUNCTION("""COMPUTED_VALUE"""),34470.0)</f>
        <v>34470</v>
      </c>
      <c r="C8255" s="9">
        <f>IFERROR(__xludf.DUMMYFUNCTION("""COMPUTED_VALUE"""),7.24)</f>
        <v>7.24</v>
      </c>
      <c r="H8255" s="17"/>
      <c r="K8255" s="17"/>
      <c r="N8255" s="17"/>
    </row>
    <row r="8256">
      <c r="B8256" s="11">
        <f>IFERROR(__xludf.DUMMYFUNCTION("""COMPUTED_VALUE"""),34467.0)</f>
        <v>34467</v>
      </c>
      <c r="C8256" s="9">
        <f>IFERROR(__xludf.DUMMYFUNCTION("""COMPUTED_VALUE"""),7.29)</f>
        <v>7.29</v>
      </c>
      <c r="H8256" s="17"/>
      <c r="K8256" s="17"/>
      <c r="N8256" s="17"/>
    </row>
    <row r="8257">
      <c r="B8257" s="11">
        <f>IFERROR(__xludf.DUMMYFUNCTION("""COMPUTED_VALUE"""),34466.0)</f>
        <v>34466</v>
      </c>
      <c r="C8257" s="9">
        <f>IFERROR(__xludf.DUMMYFUNCTION("""COMPUTED_VALUE"""),7.36)</f>
        <v>7.36</v>
      </c>
      <c r="H8257" s="17"/>
      <c r="K8257" s="17"/>
      <c r="N8257" s="17"/>
    </row>
    <row r="8258">
      <c r="B8258" s="11">
        <f>IFERROR(__xludf.DUMMYFUNCTION("""COMPUTED_VALUE"""),34465.0)</f>
        <v>34465</v>
      </c>
      <c r="C8258" s="9">
        <f>IFERROR(__xludf.DUMMYFUNCTION("""COMPUTED_VALUE"""),7.4)</f>
        <v>7.4</v>
      </c>
      <c r="H8258" s="17"/>
      <c r="K8258" s="17"/>
      <c r="N8258" s="17"/>
    </row>
    <row r="8259">
      <c r="B8259" s="11">
        <f>IFERROR(__xludf.DUMMYFUNCTION("""COMPUTED_VALUE"""),34464.0)</f>
        <v>34464</v>
      </c>
      <c r="C8259" s="9">
        <f>IFERROR(__xludf.DUMMYFUNCTION("""COMPUTED_VALUE"""),7.33)</f>
        <v>7.33</v>
      </c>
      <c r="H8259" s="17"/>
      <c r="K8259" s="17"/>
      <c r="N8259" s="17"/>
    </row>
    <row r="8260">
      <c r="B8260" s="11">
        <f>IFERROR(__xludf.DUMMYFUNCTION("""COMPUTED_VALUE"""),34463.0)</f>
        <v>34463</v>
      </c>
      <c r="C8260" s="9">
        <f>IFERROR(__xludf.DUMMYFUNCTION("""COMPUTED_VALUE"""),7.49)</f>
        <v>7.49</v>
      </c>
      <c r="H8260" s="17"/>
      <c r="K8260" s="17"/>
      <c r="N8260" s="17"/>
    </row>
    <row r="8261">
      <c r="B8261" s="11">
        <f>IFERROR(__xludf.DUMMYFUNCTION("""COMPUTED_VALUE"""),34460.0)</f>
        <v>34460</v>
      </c>
      <c r="C8261" s="9">
        <f>IFERROR(__xludf.DUMMYFUNCTION("""COMPUTED_VALUE"""),7.35)</f>
        <v>7.35</v>
      </c>
      <c r="H8261" s="17"/>
      <c r="K8261" s="17"/>
      <c r="N8261" s="17"/>
    </row>
    <row r="8262">
      <c r="B8262" s="11">
        <f>IFERROR(__xludf.DUMMYFUNCTION("""COMPUTED_VALUE"""),34459.0)</f>
        <v>34459</v>
      </c>
      <c r="C8262" s="9">
        <f>IFERROR(__xludf.DUMMYFUNCTION("""COMPUTED_VALUE"""),7.11)</f>
        <v>7.11</v>
      </c>
      <c r="H8262" s="17"/>
      <c r="K8262" s="17"/>
      <c r="N8262" s="17"/>
    </row>
    <row r="8263">
      <c r="B8263" s="11">
        <f>IFERROR(__xludf.DUMMYFUNCTION("""COMPUTED_VALUE"""),34458.0)</f>
        <v>34458</v>
      </c>
      <c r="C8263" s="9">
        <f>IFERROR(__xludf.DUMMYFUNCTION("""COMPUTED_VALUE"""),7.14)</f>
        <v>7.14</v>
      </c>
      <c r="H8263" s="17"/>
      <c r="K8263" s="17"/>
      <c r="N8263" s="17"/>
    </row>
    <row r="8264">
      <c r="B8264" s="11">
        <f>IFERROR(__xludf.DUMMYFUNCTION("""COMPUTED_VALUE"""),34457.0)</f>
        <v>34457</v>
      </c>
      <c r="C8264" s="9">
        <f>IFERROR(__xludf.DUMMYFUNCTION("""COMPUTED_VALUE"""),7.13)</f>
        <v>7.13</v>
      </c>
      <c r="H8264" s="17"/>
      <c r="K8264" s="17"/>
      <c r="N8264" s="17"/>
    </row>
    <row r="8265">
      <c r="B8265" s="11">
        <f>IFERROR(__xludf.DUMMYFUNCTION("""COMPUTED_VALUE"""),34456.0)</f>
        <v>34456</v>
      </c>
      <c r="C8265" s="9">
        <f>IFERROR(__xludf.DUMMYFUNCTION("""COMPUTED_VALUE"""),7.09)</f>
        <v>7.09</v>
      </c>
      <c r="H8265" s="17"/>
      <c r="K8265" s="17"/>
      <c r="N8265" s="17"/>
    </row>
    <row r="8266">
      <c r="B8266" s="11">
        <f>IFERROR(__xludf.DUMMYFUNCTION("""COMPUTED_VALUE"""),34453.0)</f>
        <v>34453</v>
      </c>
      <c r="C8266" s="9">
        <f>IFERROR(__xludf.DUMMYFUNCTION("""COMPUTED_VALUE"""),7.06)</f>
        <v>7.06</v>
      </c>
      <c r="H8266" s="17"/>
      <c r="K8266" s="17"/>
      <c r="N8266" s="17"/>
    </row>
    <row r="8267">
      <c r="B8267" s="11">
        <f>IFERROR(__xludf.DUMMYFUNCTION("""COMPUTED_VALUE"""),34452.0)</f>
        <v>34452</v>
      </c>
      <c r="C8267" s="9">
        <f>IFERROR(__xludf.DUMMYFUNCTION("""COMPUTED_VALUE"""),7.04)</f>
        <v>7.04</v>
      </c>
      <c r="H8267" s="17"/>
      <c r="K8267" s="17"/>
      <c r="N8267" s="17"/>
    </row>
    <row r="8268">
      <c r="B8268" s="11">
        <f>IFERROR(__xludf.DUMMYFUNCTION("""COMPUTED_VALUE"""),34451.0)</f>
        <v>34451</v>
      </c>
      <c r="C8268" s="9"/>
      <c r="H8268" s="17"/>
      <c r="K8268" s="17"/>
      <c r="N8268" s="17"/>
    </row>
    <row r="8269">
      <c r="B8269" s="11">
        <f>IFERROR(__xludf.DUMMYFUNCTION("""COMPUTED_VALUE"""),34450.0)</f>
        <v>34450</v>
      </c>
      <c r="C8269" s="9">
        <f>IFERROR(__xludf.DUMMYFUNCTION("""COMPUTED_VALUE"""),6.86)</f>
        <v>6.86</v>
      </c>
      <c r="H8269" s="17"/>
      <c r="K8269" s="17"/>
      <c r="N8269" s="17"/>
    </row>
    <row r="8270">
      <c r="B8270" s="11">
        <f>IFERROR(__xludf.DUMMYFUNCTION("""COMPUTED_VALUE"""),34449.0)</f>
        <v>34449</v>
      </c>
      <c r="C8270" s="9">
        <f>IFERROR(__xludf.DUMMYFUNCTION("""COMPUTED_VALUE"""),6.86)</f>
        <v>6.86</v>
      </c>
      <c r="H8270" s="17"/>
      <c r="K8270" s="17"/>
      <c r="N8270" s="17"/>
    </row>
    <row r="8271">
      <c r="B8271" s="11">
        <f>IFERROR(__xludf.DUMMYFUNCTION("""COMPUTED_VALUE"""),34446.0)</f>
        <v>34446</v>
      </c>
      <c r="C8271" s="9">
        <f>IFERROR(__xludf.DUMMYFUNCTION("""COMPUTED_VALUE"""),6.93)</f>
        <v>6.93</v>
      </c>
      <c r="H8271" s="17"/>
      <c r="K8271" s="17"/>
      <c r="N8271" s="17"/>
    </row>
    <row r="8272">
      <c r="B8272" s="11">
        <f>IFERROR(__xludf.DUMMYFUNCTION("""COMPUTED_VALUE"""),34445.0)</f>
        <v>34445</v>
      </c>
      <c r="C8272" s="9">
        <f>IFERROR(__xludf.DUMMYFUNCTION("""COMPUTED_VALUE"""),6.91)</f>
        <v>6.91</v>
      </c>
      <c r="H8272" s="17"/>
      <c r="K8272" s="17"/>
      <c r="N8272" s="17"/>
    </row>
    <row r="8273">
      <c r="B8273" s="11">
        <f>IFERROR(__xludf.DUMMYFUNCTION("""COMPUTED_VALUE"""),34444.0)</f>
        <v>34444</v>
      </c>
      <c r="C8273" s="9">
        <f>IFERROR(__xludf.DUMMYFUNCTION("""COMPUTED_VALUE"""),7.05)</f>
        <v>7.05</v>
      </c>
      <c r="H8273" s="17"/>
      <c r="K8273" s="17"/>
      <c r="N8273" s="17"/>
    </row>
    <row r="8274">
      <c r="B8274" s="11">
        <f>IFERROR(__xludf.DUMMYFUNCTION("""COMPUTED_VALUE"""),34443.0)</f>
        <v>34443</v>
      </c>
      <c r="C8274" s="9">
        <f>IFERROR(__xludf.DUMMYFUNCTION("""COMPUTED_VALUE"""),7.1)</f>
        <v>7.1</v>
      </c>
      <c r="H8274" s="17"/>
      <c r="K8274" s="17"/>
      <c r="N8274" s="17"/>
    </row>
    <row r="8275">
      <c r="B8275" s="11">
        <f>IFERROR(__xludf.DUMMYFUNCTION("""COMPUTED_VALUE"""),34442.0)</f>
        <v>34442</v>
      </c>
      <c r="C8275" s="9">
        <f>IFERROR(__xludf.DUMMYFUNCTION("""COMPUTED_VALUE"""),7.14)</f>
        <v>7.14</v>
      </c>
      <c r="H8275" s="17"/>
      <c r="K8275" s="17"/>
      <c r="N8275" s="17"/>
    </row>
    <row r="8276">
      <c r="B8276" s="11">
        <f>IFERROR(__xludf.DUMMYFUNCTION("""COMPUTED_VALUE"""),34439.0)</f>
        <v>34439</v>
      </c>
      <c r="C8276" s="9">
        <f>IFERROR(__xludf.DUMMYFUNCTION("""COMPUTED_VALUE"""),6.97)</f>
        <v>6.97</v>
      </c>
      <c r="H8276" s="17"/>
      <c r="K8276" s="17"/>
      <c r="N8276" s="17"/>
    </row>
    <row r="8277">
      <c r="B8277" s="11">
        <f>IFERROR(__xludf.DUMMYFUNCTION("""COMPUTED_VALUE"""),34438.0)</f>
        <v>34438</v>
      </c>
      <c r="C8277" s="9">
        <f>IFERROR(__xludf.DUMMYFUNCTION("""COMPUTED_VALUE"""),6.97)</f>
        <v>6.97</v>
      </c>
      <c r="H8277" s="17"/>
      <c r="K8277" s="17"/>
      <c r="N8277" s="17"/>
    </row>
    <row r="8278">
      <c r="B8278" s="11">
        <f>IFERROR(__xludf.DUMMYFUNCTION("""COMPUTED_VALUE"""),34437.0)</f>
        <v>34437</v>
      </c>
      <c r="C8278" s="9">
        <f>IFERROR(__xludf.DUMMYFUNCTION("""COMPUTED_VALUE"""),6.93)</f>
        <v>6.93</v>
      </c>
      <c r="H8278" s="17"/>
      <c r="K8278" s="17"/>
      <c r="N8278" s="17"/>
    </row>
    <row r="8279">
      <c r="B8279" s="11">
        <f>IFERROR(__xludf.DUMMYFUNCTION("""COMPUTED_VALUE"""),34436.0)</f>
        <v>34436</v>
      </c>
      <c r="C8279" s="9">
        <f>IFERROR(__xludf.DUMMYFUNCTION("""COMPUTED_VALUE"""),6.87)</f>
        <v>6.87</v>
      </c>
      <c r="H8279" s="17"/>
      <c r="K8279" s="17"/>
      <c r="N8279" s="17"/>
    </row>
    <row r="8280">
      <c r="B8280" s="11">
        <f>IFERROR(__xludf.DUMMYFUNCTION("""COMPUTED_VALUE"""),34435.0)</f>
        <v>34435</v>
      </c>
      <c r="C8280" s="9">
        <f>IFERROR(__xludf.DUMMYFUNCTION("""COMPUTED_VALUE"""),6.92)</f>
        <v>6.92</v>
      </c>
      <c r="H8280" s="17"/>
      <c r="K8280" s="17"/>
      <c r="N8280" s="17"/>
    </row>
    <row r="8281">
      <c r="B8281" s="11">
        <f>IFERROR(__xludf.DUMMYFUNCTION("""COMPUTED_VALUE"""),34432.0)</f>
        <v>34432</v>
      </c>
      <c r="C8281" s="9">
        <f>IFERROR(__xludf.DUMMYFUNCTION("""COMPUTED_VALUE"""),6.94)</f>
        <v>6.94</v>
      </c>
      <c r="H8281" s="17"/>
      <c r="K8281" s="17"/>
      <c r="N8281" s="17"/>
    </row>
    <row r="8282">
      <c r="B8282" s="11">
        <f>IFERROR(__xludf.DUMMYFUNCTION("""COMPUTED_VALUE"""),34431.0)</f>
        <v>34431</v>
      </c>
      <c r="C8282" s="9">
        <f>IFERROR(__xludf.DUMMYFUNCTION("""COMPUTED_VALUE"""),6.86)</f>
        <v>6.86</v>
      </c>
      <c r="H8282" s="17"/>
      <c r="K8282" s="17"/>
      <c r="N8282" s="17"/>
    </row>
    <row r="8283">
      <c r="B8283" s="11">
        <f>IFERROR(__xludf.DUMMYFUNCTION("""COMPUTED_VALUE"""),34430.0)</f>
        <v>34430</v>
      </c>
      <c r="C8283" s="9">
        <f>IFERROR(__xludf.DUMMYFUNCTION("""COMPUTED_VALUE"""),6.93)</f>
        <v>6.93</v>
      </c>
      <c r="H8283" s="17"/>
      <c r="K8283" s="17"/>
      <c r="N8283" s="17"/>
    </row>
    <row r="8284">
      <c r="B8284" s="11">
        <f>IFERROR(__xludf.DUMMYFUNCTION("""COMPUTED_VALUE"""),34429.0)</f>
        <v>34429</v>
      </c>
      <c r="C8284" s="9">
        <f>IFERROR(__xludf.DUMMYFUNCTION("""COMPUTED_VALUE"""),6.97)</f>
        <v>6.97</v>
      </c>
      <c r="H8284" s="17"/>
      <c r="K8284" s="17"/>
      <c r="N8284" s="17"/>
    </row>
    <row r="8285">
      <c r="B8285" s="11">
        <f>IFERROR(__xludf.DUMMYFUNCTION("""COMPUTED_VALUE"""),34428.0)</f>
        <v>34428</v>
      </c>
      <c r="C8285" s="9">
        <f>IFERROR(__xludf.DUMMYFUNCTION("""COMPUTED_VALUE"""),7.16)</f>
        <v>7.16</v>
      </c>
      <c r="H8285" s="17"/>
      <c r="K8285" s="17"/>
      <c r="N8285" s="17"/>
    </row>
    <row r="8286">
      <c r="B8286" s="11">
        <f>IFERROR(__xludf.DUMMYFUNCTION("""COMPUTED_VALUE"""),34425.0)</f>
        <v>34425</v>
      </c>
      <c r="C8286" s="9"/>
      <c r="H8286" s="17"/>
      <c r="K8286" s="17"/>
      <c r="N8286" s="17"/>
    </row>
    <row r="8287">
      <c r="B8287" s="11">
        <f>IFERROR(__xludf.DUMMYFUNCTION("""COMPUTED_VALUE"""),34424.0)</f>
        <v>34424</v>
      </c>
      <c r="C8287" s="9">
        <f>IFERROR(__xludf.DUMMYFUNCTION("""COMPUTED_VALUE"""),6.77)</f>
        <v>6.77</v>
      </c>
      <c r="H8287" s="17"/>
      <c r="K8287" s="17"/>
      <c r="N8287" s="17"/>
    </row>
    <row r="8288">
      <c r="B8288" s="11">
        <f>IFERROR(__xludf.DUMMYFUNCTION("""COMPUTED_VALUE"""),34423.0)</f>
        <v>34423</v>
      </c>
      <c r="C8288" s="9">
        <f>IFERROR(__xludf.DUMMYFUNCTION("""COMPUTED_VALUE"""),6.78)</f>
        <v>6.78</v>
      </c>
      <c r="H8288" s="17"/>
      <c r="K8288" s="17"/>
      <c r="N8288" s="17"/>
    </row>
    <row r="8289">
      <c r="B8289" s="11">
        <f>IFERROR(__xludf.DUMMYFUNCTION("""COMPUTED_VALUE"""),34422.0)</f>
        <v>34422</v>
      </c>
      <c r="C8289" s="9">
        <f>IFERROR(__xludf.DUMMYFUNCTION("""COMPUTED_VALUE"""),6.71)</f>
        <v>6.71</v>
      </c>
      <c r="H8289" s="17"/>
      <c r="K8289" s="17"/>
      <c r="N8289" s="17"/>
    </row>
    <row r="8290">
      <c r="B8290" s="11">
        <f>IFERROR(__xludf.DUMMYFUNCTION("""COMPUTED_VALUE"""),34421.0)</f>
        <v>34421</v>
      </c>
      <c r="C8290" s="9">
        <f>IFERROR(__xludf.DUMMYFUNCTION("""COMPUTED_VALUE"""),6.63)</f>
        <v>6.63</v>
      </c>
      <c r="H8290" s="17"/>
      <c r="K8290" s="17"/>
      <c r="N8290" s="17"/>
    </row>
    <row r="8291">
      <c r="B8291" s="11">
        <f>IFERROR(__xludf.DUMMYFUNCTION("""COMPUTED_VALUE"""),34418.0)</f>
        <v>34418</v>
      </c>
      <c r="C8291" s="9">
        <f>IFERROR(__xludf.DUMMYFUNCTION("""COMPUTED_VALUE"""),6.61)</f>
        <v>6.61</v>
      </c>
      <c r="H8291" s="17"/>
      <c r="K8291" s="17"/>
      <c r="N8291" s="17"/>
    </row>
    <row r="8292">
      <c r="B8292" s="11">
        <f>IFERROR(__xludf.DUMMYFUNCTION("""COMPUTED_VALUE"""),34417.0)</f>
        <v>34417</v>
      </c>
      <c r="C8292" s="9">
        <f>IFERROR(__xludf.DUMMYFUNCTION("""COMPUTED_VALUE"""),6.58)</f>
        <v>6.58</v>
      </c>
      <c r="H8292" s="17"/>
      <c r="K8292" s="17"/>
      <c r="N8292" s="17"/>
    </row>
    <row r="8293">
      <c r="B8293" s="11">
        <f>IFERROR(__xludf.DUMMYFUNCTION("""COMPUTED_VALUE"""),34416.0)</f>
        <v>34416</v>
      </c>
      <c r="C8293" s="9">
        <f>IFERROR(__xludf.DUMMYFUNCTION("""COMPUTED_VALUE"""),6.44)</f>
        <v>6.44</v>
      </c>
      <c r="H8293" s="17"/>
      <c r="K8293" s="17"/>
      <c r="N8293" s="17"/>
    </row>
    <row r="8294">
      <c r="B8294" s="11">
        <f>IFERROR(__xludf.DUMMYFUNCTION("""COMPUTED_VALUE"""),34415.0)</f>
        <v>34415</v>
      </c>
      <c r="C8294" s="9">
        <f>IFERROR(__xludf.DUMMYFUNCTION("""COMPUTED_VALUE"""),6.44)</f>
        <v>6.44</v>
      </c>
      <c r="H8294" s="17"/>
      <c r="K8294" s="17"/>
      <c r="N8294" s="17"/>
    </row>
    <row r="8295">
      <c r="B8295" s="11">
        <f>IFERROR(__xludf.DUMMYFUNCTION("""COMPUTED_VALUE"""),34414.0)</f>
        <v>34414</v>
      </c>
      <c r="C8295" s="9">
        <f>IFERROR(__xludf.DUMMYFUNCTION("""COMPUTED_VALUE"""),6.55)</f>
        <v>6.55</v>
      </c>
      <c r="H8295" s="17"/>
      <c r="K8295" s="17"/>
      <c r="N8295" s="17"/>
    </row>
    <row r="8296">
      <c r="B8296" s="11">
        <f>IFERROR(__xludf.DUMMYFUNCTION("""COMPUTED_VALUE"""),34411.0)</f>
        <v>34411</v>
      </c>
      <c r="C8296" s="9">
        <f>IFERROR(__xludf.DUMMYFUNCTION("""COMPUTED_VALUE"""),6.49)</f>
        <v>6.49</v>
      </c>
      <c r="H8296" s="17"/>
      <c r="K8296" s="17"/>
      <c r="N8296" s="17"/>
    </row>
    <row r="8297">
      <c r="B8297" s="11">
        <f>IFERROR(__xludf.DUMMYFUNCTION("""COMPUTED_VALUE"""),34410.0)</f>
        <v>34410</v>
      </c>
      <c r="C8297" s="9">
        <f>IFERROR(__xludf.DUMMYFUNCTION("""COMPUTED_VALUE"""),6.4)</f>
        <v>6.4</v>
      </c>
      <c r="H8297" s="17"/>
      <c r="K8297" s="17"/>
      <c r="N8297" s="17"/>
    </row>
    <row r="8298">
      <c r="B8298" s="11">
        <f>IFERROR(__xludf.DUMMYFUNCTION("""COMPUTED_VALUE"""),34409.0)</f>
        <v>34409</v>
      </c>
      <c r="C8298" s="9">
        <f>IFERROR(__xludf.DUMMYFUNCTION("""COMPUTED_VALUE"""),6.4)</f>
        <v>6.4</v>
      </c>
      <c r="H8298" s="17"/>
      <c r="K8298" s="17"/>
      <c r="N8298" s="17"/>
    </row>
    <row r="8299">
      <c r="B8299" s="11">
        <f>IFERROR(__xludf.DUMMYFUNCTION("""COMPUTED_VALUE"""),34408.0)</f>
        <v>34408</v>
      </c>
      <c r="C8299" s="9">
        <f>IFERROR(__xludf.DUMMYFUNCTION("""COMPUTED_VALUE"""),6.47)</f>
        <v>6.47</v>
      </c>
      <c r="H8299" s="17"/>
      <c r="K8299" s="17"/>
      <c r="N8299" s="17"/>
    </row>
    <row r="8300">
      <c r="B8300" s="11">
        <f>IFERROR(__xludf.DUMMYFUNCTION("""COMPUTED_VALUE"""),34407.0)</f>
        <v>34407</v>
      </c>
      <c r="C8300" s="9">
        <f>IFERROR(__xludf.DUMMYFUNCTION("""COMPUTED_VALUE"""),6.5)</f>
        <v>6.5</v>
      </c>
      <c r="H8300" s="17"/>
      <c r="K8300" s="17"/>
      <c r="N8300" s="17"/>
    </row>
    <row r="8301">
      <c r="B8301" s="11">
        <f>IFERROR(__xludf.DUMMYFUNCTION("""COMPUTED_VALUE"""),34404.0)</f>
        <v>34404</v>
      </c>
      <c r="C8301" s="9">
        <f>IFERROR(__xludf.DUMMYFUNCTION("""COMPUTED_VALUE"""),6.46)</f>
        <v>6.46</v>
      </c>
      <c r="H8301" s="17"/>
      <c r="K8301" s="17"/>
      <c r="N8301" s="17"/>
    </row>
    <row r="8302">
      <c r="B8302" s="11">
        <f>IFERROR(__xludf.DUMMYFUNCTION("""COMPUTED_VALUE"""),34403.0)</f>
        <v>34403</v>
      </c>
      <c r="C8302" s="9">
        <f>IFERROR(__xludf.DUMMYFUNCTION("""COMPUTED_VALUE"""),6.48)</f>
        <v>6.48</v>
      </c>
      <c r="H8302" s="17"/>
      <c r="K8302" s="17"/>
      <c r="N8302" s="17"/>
    </row>
    <row r="8303">
      <c r="B8303" s="11">
        <f>IFERROR(__xludf.DUMMYFUNCTION("""COMPUTED_VALUE"""),34402.0)</f>
        <v>34402</v>
      </c>
      <c r="C8303" s="9">
        <f>IFERROR(__xludf.DUMMYFUNCTION("""COMPUTED_VALUE"""),6.38)</f>
        <v>6.38</v>
      </c>
      <c r="H8303" s="17"/>
      <c r="K8303" s="17"/>
      <c r="N8303" s="17"/>
    </row>
    <row r="8304">
      <c r="B8304" s="11">
        <f>IFERROR(__xludf.DUMMYFUNCTION("""COMPUTED_VALUE"""),34401.0)</f>
        <v>34401</v>
      </c>
      <c r="C8304" s="9">
        <f>IFERROR(__xludf.DUMMYFUNCTION("""COMPUTED_VALUE"""),6.38)</f>
        <v>6.38</v>
      </c>
      <c r="H8304" s="17"/>
      <c r="K8304" s="17"/>
      <c r="N8304" s="17"/>
    </row>
    <row r="8305">
      <c r="B8305" s="11">
        <f>IFERROR(__xludf.DUMMYFUNCTION("""COMPUTED_VALUE"""),34400.0)</f>
        <v>34400</v>
      </c>
      <c r="C8305" s="9">
        <f>IFERROR(__xludf.DUMMYFUNCTION("""COMPUTED_VALUE"""),6.32)</f>
        <v>6.32</v>
      </c>
      <c r="H8305" s="17"/>
      <c r="K8305" s="17"/>
      <c r="N8305" s="17"/>
    </row>
    <row r="8306">
      <c r="B8306" s="11">
        <f>IFERROR(__xludf.DUMMYFUNCTION("""COMPUTED_VALUE"""),34397.0)</f>
        <v>34397</v>
      </c>
      <c r="C8306" s="9">
        <f>IFERROR(__xludf.DUMMYFUNCTION("""COMPUTED_VALUE"""),6.38)</f>
        <v>6.38</v>
      </c>
      <c r="H8306" s="17"/>
      <c r="K8306" s="17"/>
      <c r="N8306" s="17"/>
    </row>
    <row r="8307">
      <c r="B8307" s="11">
        <f>IFERROR(__xludf.DUMMYFUNCTION("""COMPUTED_VALUE"""),34396.0)</f>
        <v>34396</v>
      </c>
      <c r="C8307" s="9">
        <f>IFERROR(__xludf.DUMMYFUNCTION("""COMPUTED_VALUE"""),6.35)</f>
        <v>6.35</v>
      </c>
      <c r="H8307" s="17"/>
      <c r="K8307" s="17"/>
      <c r="N8307" s="17"/>
    </row>
    <row r="8308">
      <c r="B8308" s="11">
        <f>IFERROR(__xludf.DUMMYFUNCTION("""COMPUTED_VALUE"""),34395.0)</f>
        <v>34395</v>
      </c>
      <c r="C8308" s="9">
        <f>IFERROR(__xludf.DUMMYFUNCTION("""COMPUTED_VALUE"""),6.3)</f>
        <v>6.3</v>
      </c>
      <c r="H8308" s="17"/>
      <c r="K8308" s="17"/>
      <c r="N8308" s="17"/>
    </row>
    <row r="8309">
      <c r="B8309" s="11">
        <f>IFERROR(__xludf.DUMMYFUNCTION("""COMPUTED_VALUE"""),34394.0)</f>
        <v>34394</v>
      </c>
      <c r="C8309" s="9">
        <f>IFERROR(__xludf.DUMMYFUNCTION("""COMPUTED_VALUE"""),6.28)</f>
        <v>6.28</v>
      </c>
      <c r="H8309" s="17"/>
      <c r="K8309" s="17"/>
      <c r="N8309" s="17"/>
    </row>
    <row r="8310">
      <c r="B8310" s="11">
        <f>IFERROR(__xludf.DUMMYFUNCTION("""COMPUTED_VALUE"""),34393.0)</f>
        <v>34393</v>
      </c>
      <c r="C8310" s="9">
        <f>IFERROR(__xludf.DUMMYFUNCTION("""COMPUTED_VALUE"""),6.15)</f>
        <v>6.15</v>
      </c>
      <c r="H8310" s="17"/>
      <c r="K8310" s="17"/>
      <c r="N8310" s="17"/>
    </row>
    <row r="8311">
      <c r="B8311" s="11">
        <f>IFERROR(__xludf.DUMMYFUNCTION("""COMPUTED_VALUE"""),34390.0)</f>
        <v>34390</v>
      </c>
      <c r="C8311" s="9">
        <f>IFERROR(__xludf.DUMMYFUNCTION("""COMPUTED_VALUE"""),6.21)</f>
        <v>6.21</v>
      </c>
      <c r="H8311" s="17"/>
      <c r="K8311" s="17"/>
      <c r="N8311" s="17"/>
    </row>
    <row r="8312">
      <c r="B8312" s="11">
        <f>IFERROR(__xludf.DUMMYFUNCTION("""COMPUTED_VALUE"""),34389.0)</f>
        <v>34389</v>
      </c>
      <c r="C8312" s="9">
        <f>IFERROR(__xludf.DUMMYFUNCTION("""COMPUTED_VALUE"""),6.22)</f>
        <v>6.22</v>
      </c>
      <c r="H8312" s="17"/>
      <c r="K8312" s="17"/>
      <c r="N8312" s="17"/>
    </row>
    <row r="8313">
      <c r="B8313" s="11">
        <f>IFERROR(__xludf.DUMMYFUNCTION("""COMPUTED_VALUE"""),34388.0)</f>
        <v>34388</v>
      </c>
      <c r="C8313" s="9">
        <f>IFERROR(__xludf.DUMMYFUNCTION("""COMPUTED_VALUE"""),6.13)</f>
        <v>6.13</v>
      </c>
      <c r="H8313" s="17"/>
      <c r="K8313" s="17"/>
      <c r="N8313" s="17"/>
    </row>
    <row r="8314">
      <c r="B8314" s="11">
        <f>IFERROR(__xludf.DUMMYFUNCTION("""COMPUTED_VALUE"""),34387.0)</f>
        <v>34387</v>
      </c>
      <c r="C8314" s="9">
        <f>IFERROR(__xludf.DUMMYFUNCTION("""COMPUTED_VALUE"""),6.05)</f>
        <v>6.05</v>
      </c>
      <c r="H8314" s="17"/>
      <c r="K8314" s="17"/>
      <c r="N8314" s="17"/>
    </row>
    <row r="8315">
      <c r="B8315" s="11">
        <f>IFERROR(__xludf.DUMMYFUNCTION("""COMPUTED_VALUE"""),34386.0)</f>
        <v>34386</v>
      </c>
      <c r="C8315" s="9"/>
      <c r="H8315" s="17"/>
      <c r="K8315" s="17"/>
      <c r="N8315" s="17"/>
    </row>
    <row r="8316">
      <c r="B8316" s="11">
        <f>IFERROR(__xludf.DUMMYFUNCTION("""COMPUTED_VALUE"""),34383.0)</f>
        <v>34383</v>
      </c>
      <c r="C8316" s="9">
        <f>IFERROR(__xludf.DUMMYFUNCTION("""COMPUTED_VALUE"""),6.09)</f>
        <v>6.09</v>
      </c>
      <c r="H8316" s="17"/>
      <c r="K8316" s="17"/>
      <c r="N8316" s="17"/>
    </row>
    <row r="8317">
      <c r="B8317" s="11">
        <f>IFERROR(__xludf.DUMMYFUNCTION("""COMPUTED_VALUE"""),34382.0)</f>
        <v>34382</v>
      </c>
      <c r="C8317" s="9">
        <f>IFERROR(__xludf.DUMMYFUNCTION("""COMPUTED_VALUE"""),6.0)</f>
        <v>6</v>
      </c>
      <c r="H8317" s="17"/>
      <c r="K8317" s="17"/>
      <c r="N8317" s="17"/>
    </row>
    <row r="8318">
      <c r="B8318" s="11">
        <f>IFERROR(__xludf.DUMMYFUNCTION("""COMPUTED_VALUE"""),34381.0)</f>
        <v>34381</v>
      </c>
      <c r="C8318" s="9">
        <f>IFERROR(__xludf.DUMMYFUNCTION("""COMPUTED_VALUE"""),5.89)</f>
        <v>5.89</v>
      </c>
      <c r="H8318" s="17"/>
      <c r="K8318" s="17"/>
      <c r="N8318" s="17"/>
    </row>
    <row r="8319">
      <c r="B8319" s="11">
        <f>IFERROR(__xludf.DUMMYFUNCTION("""COMPUTED_VALUE"""),34380.0)</f>
        <v>34380</v>
      </c>
      <c r="C8319" s="9">
        <f>IFERROR(__xludf.DUMMYFUNCTION("""COMPUTED_VALUE"""),5.88)</f>
        <v>5.88</v>
      </c>
      <c r="H8319" s="17"/>
      <c r="K8319" s="17"/>
      <c r="N8319" s="17"/>
    </row>
    <row r="8320">
      <c r="B8320" s="11">
        <f>IFERROR(__xludf.DUMMYFUNCTION("""COMPUTED_VALUE"""),34379.0)</f>
        <v>34379</v>
      </c>
      <c r="C8320" s="9">
        <f>IFERROR(__xludf.DUMMYFUNCTION("""COMPUTED_VALUE"""),5.9)</f>
        <v>5.9</v>
      </c>
      <c r="H8320" s="17"/>
      <c r="K8320" s="17"/>
      <c r="N8320" s="17"/>
    </row>
    <row r="8321">
      <c r="B8321" s="11">
        <f>IFERROR(__xludf.DUMMYFUNCTION("""COMPUTED_VALUE"""),34376.0)</f>
        <v>34376</v>
      </c>
      <c r="C8321" s="9">
        <f>IFERROR(__xludf.DUMMYFUNCTION("""COMPUTED_VALUE"""),5.88)</f>
        <v>5.88</v>
      </c>
      <c r="H8321" s="17"/>
      <c r="K8321" s="17"/>
      <c r="N8321" s="17"/>
    </row>
    <row r="8322">
      <c r="B8322" s="11">
        <f>IFERROR(__xludf.DUMMYFUNCTION("""COMPUTED_VALUE"""),34375.0)</f>
        <v>34375</v>
      </c>
      <c r="C8322" s="9">
        <f>IFERROR(__xludf.DUMMYFUNCTION("""COMPUTED_VALUE"""),5.91)</f>
        <v>5.91</v>
      </c>
      <c r="H8322" s="17"/>
      <c r="K8322" s="17"/>
      <c r="N8322" s="17"/>
    </row>
    <row r="8323">
      <c r="B8323" s="11">
        <f>IFERROR(__xludf.DUMMYFUNCTION("""COMPUTED_VALUE"""),34374.0)</f>
        <v>34374</v>
      </c>
      <c r="C8323" s="9">
        <f>IFERROR(__xludf.DUMMYFUNCTION("""COMPUTED_VALUE"""),5.92)</f>
        <v>5.92</v>
      </c>
      <c r="H8323" s="17"/>
      <c r="K8323" s="17"/>
      <c r="N8323" s="17"/>
    </row>
    <row r="8324">
      <c r="B8324" s="11">
        <f>IFERROR(__xludf.DUMMYFUNCTION("""COMPUTED_VALUE"""),34373.0)</f>
        <v>34373</v>
      </c>
      <c r="C8324" s="9">
        <f>IFERROR(__xludf.DUMMYFUNCTION("""COMPUTED_VALUE"""),6.01)</f>
        <v>6.01</v>
      </c>
      <c r="H8324" s="17"/>
      <c r="K8324" s="17"/>
      <c r="N8324" s="17"/>
    </row>
    <row r="8325">
      <c r="B8325" s="11">
        <f>IFERROR(__xludf.DUMMYFUNCTION("""COMPUTED_VALUE"""),34372.0)</f>
        <v>34372</v>
      </c>
      <c r="C8325" s="9">
        <f>IFERROR(__xludf.DUMMYFUNCTION("""COMPUTED_VALUE"""),5.96)</f>
        <v>5.96</v>
      </c>
      <c r="H8325" s="17"/>
      <c r="K8325" s="17"/>
      <c r="N8325" s="17"/>
    </row>
    <row r="8326">
      <c r="B8326" s="11">
        <f>IFERROR(__xludf.DUMMYFUNCTION("""COMPUTED_VALUE"""),34369.0)</f>
        <v>34369</v>
      </c>
      <c r="C8326" s="9">
        <f>IFERROR(__xludf.DUMMYFUNCTION("""COMPUTED_VALUE"""),5.94)</f>
        <v>5.94</v>
      </c>
      <c r="H8326" s="17"/>
      <c r="K8326" s="17"/>
      <c r="N8326" s="17"/>
    </row>
    <row r="8327">
      <c r="B8327" s="11">
        <f>IFERROR(__xludf.DUMMYFUNCTION("""COMPUTED_VALUE"""),34368.0)</f>
        <v>34368</v>
      </c>
      <c r="C8327" s="9">
        <f>IFERROR(__xludf.DUMMYFUNCTION("""COMPUTED_VALUE"""),5.81)</f>
        <v>5.81</v>
      </c>
      <c r="H8327" s="17"/>
      <c r="K8327" s="17"/>
      <c r="N8327" s="17"/>
    </row>
    <row r="8328">
      <c r="B8328" s="11">
        <f>IFERROR(__xludf.DUMMYFUNCTION("""COMPUTED_VALUE"""),34367.0)</f>
        <v>34367</v>
      </c>
      <c r="C8328" s="9">
        <f>IFERROR(__xludf.DUMMYFUNCTION("""COMPUTED_VALUE"""),5.77)</f>
        <v>5.77</v>
      </c>
      <c r="H8328" s="17"/>
      <c r="K8328" s="17"/>
      <c r="N8328" s="17"/>
    </row>
    <row r="8329">
      <c r="B8329" s="11">
        <f>IFERROR(__xludf.DUMMYFUNCTION("""COMPUTED_VALUE"""),34366.0)</f>
        <v>34366</v>
      </c>
      <c r="C8329" s="9">
        <f>IFERROR(__xludf.DUMMYFUNCTION("""COMPUTED_VALUE"""),5.77)</f>
        <v>5.77</v>
      </c>
      <c r="H8329" s="17"/>
      <c r="K8329" s="17"/>
      <c r="N8329" s="17"/>
    </row>
    <row r="8330">
      <c r="B8330" s="11">
        <f>IFERROR(__xludf.DUMMYFUNCTION("""COMPUTED_VALUE"""),34365.0)</f>
        <v>34365</v>
      </c>
      <c r="C8330" s="9">
        <f>IFERROR(__xludf.DUMMYFUNCTION("""COMPUTED_VALUE"""),5.7)</f>
        <v>5.7</v>
      </c>
      <c r="H8330" s="17"/>
      <c r="K8330" s="17"/>
      <c r="N8330" s="17"/>
    </row>
    <row r="8331">
      <c r="B8331" s="11">
        <f>IFERROR(__xludf.DUMMYFUNCTION("""COMPUTED_VALUE"""),34362.0)</f>
        <v>34362</v>
      </c>
      <c r="C8331" s="9">
        <f>IFERROR(__xludf.DUMMYFUNCTION("""COMPUTED_VALUE"""),5.68)</f>
        <v>5.68</v>
      </c>
      <c r="H8331" s="17"/>
      <c r="K8331" s="17"/>
      <c r="N8331" s="17"/>
    </row>
    <row r="8332">
      <c r="B8332" s="11">
        <f>IFERROR(__xludf.DUMMYFUNCTION("""COMPUTED_VALUE"""),34361.0)</f>
        <v>34361</v>
      </c>
      <c r="C8332" s="9">
        <f>IFERROR(__xludf.DUMMYFUNCTION("""COMPUTED_VALUE"""),5.73)</f>
        <v>5.73</v>
      </c>
      <c r="H8332" s="17"/>
      <c r="K8332" s="17"/>
      <c r="N8332" s="17"/>
    </row>
    <row r="8333">
      <c r="B8333" s="11">
        <f>IFERROR(__xludf.DUMMYFUNCTION("""COMPUTED_VALUE"""),34360.0)</f>
        <v>34360</v>
      </c>
      <c r="C8333" s="9">
        <f>IFERROR(__xludf.DUMMYFUNCTION("""COMPUTED_VALUE"""),5.77)</f>
        <v>5.77</v>
      </c>
      <c r="H8333" s="17"/>
      <c r="K8333" s="17"/>
      <c r="N8333" s="17"/>
    </row>
    <row r="8334">
      <c r="B8334" s="11">
        <f>IFERROR(__xludf.DUMMYFUNCTION("""COMPUTED_VALUE"""),34359.0)</f>
        <v>34359</v>
      </c>
      <c r="C8334" s="9">
        <f>IFERROR(__xludf.DUMMYFUNCTION("""COMPUTED_VALUE"""),5.78)</f>
        <v>5.78</v>
      </c>
      <c r="H8334" s="17"/>
      <c r="K8334" s="17"/>
      <c r="N8334" s="17"/>
    </row>
    <row r="8335">
      <c r="B8335" s="11">
        <f>IFERROR(__xludf.DUMMYFUNCTION("""COMPUTED_VALUE"""),34358.0)</f>
        <v>34358</v>
      </c>
      <c r="C8335" s="9">
        <f>IFERROR(__xludf.DUMMYFUNCTION("""COMPUTED_VALUE"""),5.74)</f>
        <v>5.74</v>
      </c>
      <c r="H8335" s="17"/>
      <c r="K8335" s="17"/>
      <c r="N8335" s="17"/>
    </row>
    <row r="8336">
      <c r="B8336" s="11">
        <f>IFERROR(__xludf.DUMMYFUNCTION("""COMPUTED_VALUE"""),34355.0)</f>
        <v>34355</v>
      </c>
      <c r="C8336" s="9">
        <f>IFERROR(__xludf.DUMMYFUNCTION("""COMPUTED_VALUE"""),5.73)</f>
        <v>5.73</v>
      </c>
      <c r="H8336" s="17"/>
      <c r="K8336" s="17"/>
      <c r="N8336" s="17"/>
    </row>
    <row r="8337">
      <c r="B8337" s="11">
        <f>IFERROR(__xludf.DUMMYFUNCTION("""COMPUTED_VALUE"""),34354.0)</f>
        <v>34354</v>
      </c>
      <c r="C8337" s="9">
        <f>IFERROR(__xludf.DUMMYFUNCTION("""COMPUTED_VALUE"""),5.71)</f>
        <v>5.71</v>
      </c>
      <c r="H8337" s="17"/>
      <c r="K8337" s="17"/>
      <c r="N8337" s="17"/>
    </row>
    <row r="8338">
      <c r="B8338" s="11">
        <f>IFERROR(__xludf.DUMMYFUNCTION("""COMPUTED_VALUE"""),34353.0)</f>
        <v>34353</v>
      </c>
      <c r="C8338" s="9">
        <f>IFERROR(__xludf.DUMMYFUNCTION("""COMPUTED_VALUE"""),5.76)</f>
        <v>5.76</v>
      </c>
      <c r="H8338" s="17"/>
      <c r="K8338" s="17"/>
      <c r="N8338" s="17"/>
    </row>
    <row r="8339">
      <c r="B8339" s="11">
        <f>IFERROR(__xludf.DUMMYFUNCTION("""COMPUTED_VALUE"""),34352.0)</f>
        <v>34352</v>
      </c>
      <c r="C8339" s="9">
        <f>IFERROR(__xludf.DUMMYFUNCTION("""COMPUTED_VALUE"""),5.74)</f>
        <v>5.74</v>
      </c>
      <c r="H8339" s="17"/>
      <c r="K8339" s="17"/>
      <c r="N8339" s="17"/>
    </row>
    <row r="8340">
      <c r="B8340" s="11">
        <f>IFERROR(__xludf.DUMMYFUNCTION("""COMPUTED_VALUE"""),34351.0)</f>
        <v>34351</v>
      </c>
      <c r="C8340" s="9"/>
      <c r="H8340" s="17"/>
      <c r="K8340" s="17"/>
      <c r="N8340" s="17"/>
    </row>
    <row r="8341">
      <c r="B8341" s="11">
        <f>IFERROR(__xludf.DUMMYFUNCTION("""COMPUTED_VALUE"""),34348.0)</f>
        <v>34348</v>
      </c>
      <c r="C8341" s="9">
        <f>IFERROR(__xludf.DUMMYFUNCTION("""COMPUTED_VALUE"""),5.78)</f>
        <v>5.78</v>
      </c>
      <c r="H8341" s="17"/>
      <c r="K8341" s="17"/>
      <c r="N8341" s="17"/>
    </row>
    <row r="8342">
      <c r="B8342" s="11">
        <f>IFERROR(__xludf.DUMMYFUNCTION("""COMPUTED_VALUE"""),34347.0)</f>
        <v>34347</v>
      </c>
      <c r="C8342" s="9">
        <f>IFERROR(__xludf.DUMMYFUNCTION("""COMPUTED_VALUE"""),5.71)</f>
        <v>5.71</v>
      </c>
      <c r="H8342" s="17"/>
      <c r="K8342" s="17"/>
      <c r="N8342" s="17"/>
    </row>
    <row r="8343">
      <c r="B8343" s="11">
        <f>IFERROR(__xludf.DUMMYFUNCTION("""COMPUTED_VALUE"""),34346.0)</f>
        <v>34346</v>
      </c>
      <c r="C8343" s="9">
        <f>IFERROR(__xludf.DUMMYFUNCTION("""COMPUTED_VALUE"""),5.6)</f>
        <v>5.6</v>
      </c>
      <c r="H8343" s="17"/>
      <c r="K8343" s="17"/>
      <c r="N8343" s="17"/>
    </row>
    <row r="8344">
      <c r="B8344" s="11">
        <f>IFERROR(__xludf.DUMMYFUNCTION("""COMPUTED_VALUE"""),34345.0)</f>
        <v>34345</v>
      </c>
      <c r="C8344" s="9">
        <f>IFERROR(__xludf.DUMMYFUNCTION("""COMPUTED_VALUE"""),5.67)</f>
        <v>5.67</v>
      </c>
      <c r="H8344" s="17"/>
      <c r="K8344" s="17"/>
      <c r="N8344" s="17"/>
    </row>
    <row r="8345">
      <c r="B8345" s="11">
        <f>IFERROR(__xludf.DUMMYFUNCTION("""COMPUTED_VALUE"""),34344.0)</f>
        <v>34344</v>
      </c>
      <c r="C8345" s="9">
        <f>IFERROR(__xludf.DUMMYFUNCTION("""COMPUTED_VALUE"""),5.67)</f>
        <v>5.67</v>
      </c>
      <c r="H8345" s="17"/>
      <c r="K8345" s="17"/>
      <c r="N8345" s="17"/>
    </row>
    <row r="8346">
      <c r="B8346" s="11">
        <f>IFERROR(__xludf.DUMMYFUNCTION("""COMPUTED_VALUE"""),34341.0)</f>
        <v>34341</v>
      </c>
      <c r="C8346" s="9">
        <f>IFERROR(__xludf.DUMMYFUNCTION("""COMPUTED_VALUE"""),5.7)</f>
        <v>5.7</v>
      </c>
      <c r="H8346" s="17"/>
      <c r="K8346" s="17"/>
      <c r="N8346" s="17"/>
    </row>
    <row r="8347">
      <c r="B8347" s="11">
        <f>IFERROR(__xludf.DUMMYFUNCTION("""COMPUTED_VALUE"""),34340.0)</f>
        <v>34340</v>
      </c>
      <c r="C8347" s="9">
        <f>IFERROR(__xludf.DUMMYFUNCTION("""COMPUTED_VALUE"""),5.84)</f>
        <v>5.84</v>
      </c>
      <c r="H8347" s="17"/>
      <c r="K8347" s="17"/>
      <c r="N8347" s="17"/>
    </row>
    <row r="8348">
      <c r="B8348" s="11">
        <f>IFERROR(__xludf.DUMMYFUNCTION("""COMPUTED_VALUE"""),34339.0)</f>
        <v>34339</v>
      </c>
      <c r="C8348" s="9">
        <f>IFERROR(__xludf.DUMMYFUNCTION("""COMPUTED_VALUE"""),5.9)</f>
        <v>5.9</v>
      </c>
      <c r="H8348" s="17"/>
      <c r="K8348" s="17"/>
      <c r="N8348" s="17"/>
    </row>
    <row r="8349">
      <c r="B8349" s="11">
        <f>IFERROR(__xludf.DUMMYFUNCTION("""COMPUTED_VALUE"""),34338.0)</f>
        <v>34338</v>
      </c>
      <c r="C8349" s="9">
        <f>IFERROR(__xludf.DUMMYFUNCTION("""COMPUTED_VALUE"""),5.88)</f>
        <v>5.88</v>
      </c>
      <c r="H8349" s="17"/>
      <c r="K8349" s="17"/>
      <c r="N8349" s="17"/>
    </row>
    <row r="8350">
      <c r="B8350" s="11">
        <f>IFERROR(__xludf.DUMMYFUNCTION("""COMPUTED_VALUE"""),34337.0)</f>
        <v>34337</v>
      </c>
      <c r="C8350" s="9">
        <f>IFERROR(__xludf.DUMMYFUNCTION("""COMPUTED_VALUE"""),5.92)</f>
        <v>5.92</v>
      </c>
      <c r="H8350" s="17"/>
      <c r="K8350" s="17"/>
      <c r="N8350" s="17"/>
    </row>
    <row r="8351">
      <c r="B8351" s="11">
        <f>IFERROR(__xludf.DUMMYFUNCTION("""COMPUTED_VALUE"""),34334.0)</f>
        <v>34334</v>
      </c>
      <c r="C8351" s="9">
        <f>IFERROR(__xludf.DUMMYFUNCTION("""COMPUTED_VALUE"""),5.83)</f>
        <v>5.83</v>
      </c>
      <c r="H8351" s="17"/>
      <c r="K8351" s="17"/>
      <c r="N8351" s="17"/>
    </row>
    <row r="8352">
      <c r="B8352" s="11">
        <f>IFERROR(__xludf.DUMMYFUNCTION("""COMPUTED_VALUE"""),34333.0)</f>
        <v>34333</v>
      </c>
      <c r="C8352" s="9">
        <f>IFERROR(__xludf.DUMMYFUNCTION("""COMPUTED_VALUE"""),5.82)</f>
        <v>5.82</v>
      </c>
      <c r="H8352" s="17"/>
      <c r="K8352" s="17"/>
      <c r="N8352" s="17"/>
    </row>
    <row r="8353">
      <c r="B8353" s="11">
        <f>IFERROR(__xludf.DUMMYFUNCTION("""COMPUTED_VALUE"""),34332.0)</f>
        <v>34332</v>
      </c>
      <c r="C8353" s="9">
        <f>IFERROR(__xludf.DUMMYFUNCTION("""COMPUTED_VALUE"""),5.74)</f>
        <v>5.74</v>
      </c>
      <c r="H8353" s="17"/>
      <c r="K8353" s="17"/>
      <c r="N8353" s="17"/>
    </row>
    <row r="8354">
      <c r="B8354" s="11">
        <f>IFERROR(__xludf.DUMMYFUNCTION("""COMPUTED_VALUE"""),34331.0)</f>
        <v>34331</v>
      </c>
      <c r="C8354" s="9">
        <f>IFERROR(__xludf.DUMMYFUNCTION("""COMPUTED_VALUE"""),5.72)</f>
        <v>5.72</v>
      </c>
      <c r="H8354" s="17"/>
      <c r="K8354" s="17"/>
      <c r="N8354" s="17"/>
    </row>
    <row r="8355">
      <c r="B8355" s="11">
        <f>IFERROR(__xludf.DUMMYFUNCTION("""COMPUTED_VALUE"""),34330.0)</f>
        <v>34330</v>
      </c>
      <c r="C8355" s="9">
        <f>IFERROR(__xludf.DUMMYFUNCTION("""COMPUTED_VALUE"""),5.72)</f>
        <v>5.72</v>
      </c>
      <c r="H8355" s="17"/>
      <c r="K8355" s="17"/>
      <c r="N8355" s="17"/>
    </row>
    <row r="8356">
      <c r="B8356" s="11">
        <f>IFERROR(__xludf.DUMMYFUNCTION("""COMPUTED_VALUE"""),34327.0)</f>
        <v>34327</v>
      </c>
      <c r="C8356" s="9"/>
      <c r="H8356" s="17"/>
      <c r="K8356" s="17"/>
      <c r="N8356" s="17"/>
    </row>
    <row r="8357">
      <c r="B8357" s="11">
        <f>IFERROR(__xludf.DUMMYFUNCTION("""COMPUTED_VALUE"""),34326.0)</f>
        <v>34326</v>
      </c>
      <c r="C8357" s="9">
        <f>IFERROR(__xludf.DUMMYFUNCTION("""COMPUTED_VALUE"""),5.72)</f>
        <v>5.72</v>
      </c>
      <c r="H8357" s="17"/>
      <c r="K8357" s="17"/>
      <c r="N8357" s="17"/>
    </row>
    <row r="8358">
      <c r="B8358" s="11">
        <f>IFERROR(__xludf.DUMMYFUNCTION("""COMPUTED_VALUE"""),34325.0)</f>
        <v>34325</v>
      </c>
      <c r="C8358" s="9">
        <f>IFERROR(__xludf.DUMMYFUNCTION("""COMPUTED_VALUE"""),5.74)</f>
        <v>5.74</v>
      </c>
      <c r="H8358" s="17"/>
      <c r="K8358" s="17"/>
      <c r="N8358" s="17"/>
    </row>
    <row r="8359">
      <c r="B8359" s="11">
        <f>IFERROR(__xludf.DUMMYFUNCTION("""COMPUTED_VALUE"""),34324.0)</f>
        <v>34324</v>
      </c>
      <c r="C8359" s="9">
        <f>IFERROR(__xludf.DUMMYFUNCTION("""COMPUTED_VALUE"""),5.85)</f>
        <v>5.85</v>
      </c>
      <c r="H8359" s="17"/>
      <c r="K8359" s="17"/>
      <c r="N8359" s="17"/>
    </row>
    <row r="8360">
      <c r="B8360" s="11">
        <f>IFERROR(__xludf.DUMMYFUNCTION("""COMPUTED_VALUE"""),34323.0)</f>
        <v>34323</v>
      </c>
      <c r="C8360" s="9">
        <f>IFERROR(__xludf.DUMMYFUNCTION("""COMPUTED_VALUE"""),5.83)</f>
        <v>5.83</v>
      </c>
      <c r="H8360" s="17"/>
      <c r="K8360" s="17"/>
      <c r="N8360" s="17"/>
    </row>
    <row r="8361">
      <c r="B8361" s="11">
        <f>IFERROR(__xludf.DUMMYFUNCTION("""COMPUTED_VALUE"""),34320.0)</f>
        <v>34320</v>
      </c>
      <c r="C8361" s="9">
        <f>IFERROR(__xludf.DUMMYFUNCTION("""COMPUTED_VALUE"""),5.81)</f>
        <v>5.81</v>
      </c>
      <c r="H8361" s="17"/>
      <c r="K8361" s="17"/>
      <c r="N8361" s="17"/>
    </row>
    <row r="8362">
      <c r="B8362" s="11">
        <f>IFERROR(__xludf.DUMMYFUNCTION("""COMPUTED_VALUE"""),34319.0)</f>
        <v>34319</v>
      </c>
      <c r="C8362" s="9">
        <f>IFERROR(__xludf.DUMMYFUNCTION("""COMPUTED_VALUE"""),5.84)</f>
        <v>5.84</v>
      </c>
      <c r="H8362" s="17"/>
      <c r="K8362" s="17"/>
      <c r="N8362" s="17"/>
    </row>
    <row r="8363">
      <c r="B8363" s="11">
        <f>IFERROR(__xludf.DUMMYFUNCTION("""COMPUTED_VALUE"""),34318.0)</f>
        <v>34318</v>
      </c>
      <c r="C8363" s="9">
        <f>IFERROR(__xludf.DUMMYFUNCTION("""COMPUTED_VALUE"""),5.83)</f>
        <v>5.83</v>
      </c>
      <c r="H8363" s="17"/>
      <c r="K8363" s="17"/>
      <c r="N8363" s="17"/>
    </row>
    <row r="8364">
      <c r="B8364" s="11">
        <f>IFERROR(__xludf.DUMMYFUNCTION("""COMPUTED_VALUE"""),34317.0)</f>
        <v>34317</v>
      </c>
      <c r="C8364" s="9">
        <f>IFERROR(__xludf.DUMMYFUNCTION("""COMPUTED_VALUE"""),5.82)</f>
        <v>5.82</v>
      </c>
      <c r="H8364" s="17"/>
      <c r="K8364" s="17"/>
      <c r="N8364" s="17"/>
    </row>
    <row r="8365">
      <c r="B8365" s="11">
        <f>IFERROR(__xludf.DUMMYFUNCTION("""COMPUTED_VALUE"""),34316.0)</f>
        <v>34316</v>
      </c>
      <c r="C8365" s="9">
        <f>IFERROR(__xludf.DUMMYFUNCTION("""COMPUTED_VALUE"""),5.78)</f>
        <v>5.78</v>
      </c>
      <c r="H8365" s="17"/>
      <c r="K8365" s="17"/>
      <c r="N8365" s="17"/>
    </row>
    <row r="8366">
      <c r="B8366" s="11">
        <f>IFERROR(__xludf.DUMMYFUNCTION("""COMPUTED_VALUE"""),34313.0)</f>
        <v>34313</v>
      </c>
      <c r="C8366" s="9">
        <f>IFERROR(__xludf.DUMMYFUNCTION("""COMPUTED_VALUE"""),5.73)</f>
        <v>5.73</v>
      </c>
      <c r="H8366" s="17"/>
      <c r="K8366" s="17"/>
      <c r="N8366" s="17"/>
    </row>
    <row r="8367">
      <c r="B8367" s="11">
        <f>IFERROR(__xludf.DUMMYFUNCTION("""COMPUTED_VALUE"""),34312.0)</f>
        <v>34312</v>
      </c>
      <c r="C8367" s="9">
        <f>IFERROR(__xludf.DUMMYFUNCTION("""COMPUTED_VALUE"""),5.68)</f>
        <v>5.68</v>
      </c>
      <c r="H8367" s="17"/>
      <c r="K8367" s="17"/>
      <c r="N8367" s="17"/>
    </row>
    <row r="8368">
      <c r="B8368" s="11">
        <f>IFERROR(__xludf.DUMMYFUNCTION("""COMPUTED_VALUE"""),34311.0)</f>
        <v>34311</v>
      </c>
      <c r="C8368" s="9">
        <f>IFERROR(__xludf.DUMMYFUNCTION("""COMPUTED_VALUE"""),5.71)</f>
        <v>5.71</v>
      </c>
      <c r="H8368" s="17"/>
      <c r="K8368" s="17"/>
      <c r="N8368" s="17"/>
    </row>
    <row r="8369">
      <c r="B8369" s="11">
        <f>IFERROR(__xludf.DUMMYFUNCTION("""COMPUTED_VALUE"""),34310.0)</f>
        <v>34310</v>
      </c>
      <c r="C8369" s="9">
        <f>IFERROR(__xludf.DUMMYFUNCTION("""COMPUTED_VALUE"""),5.71)</f>
        <v>5.71</v>
      </c>
      <c r="H8369" s="17"/>
      <c r="K8369" s="17"/>
      <c r="N8369" s="17"/>
    </row>
    <row r="8370">
      <c r="B8370" s="11">
        <f>IFERROR(__xludf.DUMMYFUNCTION("""COMPUTED_VALUE"""),34309.0)</f>
        <v>34309</v>
      </c>
      <c r="C8370" s="9">
        <f>IFERROR(__xludf.DUMMYFUNCTION("""COMPUTED_VALUE"""),5.72)</f>
        <v>5.72</v>
      </c>
      <c r="H8370" s="17"/>
      <c r="K8370" s="17"/>
      <c r="N8370" s="17"/>
    </row>
    <row r="8371">
      <c r="B8371" s="11">
        <f>IFERROR(__xludf.DUMMYFUNCTION("""COMPUTED_VALUE"""),34306.0)</f>
        <v>34306</v>
      </c>
      <c r="C8371" s="9">
        <f>IFERROR(__xludf.DUMMYFUNCTION("""COMPUTED_VALUE"""),5.8)</f>
        <v>5.8</v>
      </c>
      <c r="H8371" s="17"/>
      <c r="K8371" s="17"/>
      <c r="N8371" s="17"/>
    </row>
    <row r="8372">
      <c r="B8372" s="11">
        <f>IFERROR(__xludf.DUMMYFUNCTION("""COMPUTED_VALUE"""),34305.0)</f>
        <v>34305</v>
      </c>
      <c r="C8372" s="9">
        <f>IFERROR(__xludf.DUMMYFUNCTION("""COMPUTED_VALUE"""),5.81)</f>
        <v>5.81</v>
      </c>
      <c r="H8372" s="17"/>
      <c r="K8372" s="17"/>
      <c r="N8372" s="17"/>
    </row>
    <row r="8373">
      <c r="B8373" s="11">
        <f>IFERROR(__xludf.DUMMYFUNCTION("""COMPUTED_VALUE"""),34304.0)</f>
        <v>34304</v>
      </c>
      <c r="C8373" s="9">
        <f>IFERROR(__xludf.DUMMYFUNCTION("""COMPUTED_VALUE"""),5.82)</f>
        <v>5.82</v>
      </c>
      <c r="H8373" s="17"/>
      <c r="K8373" s="17"/>
      <c r="N8373" s="17"/>
    </row>
    <row r="8374">
      <c r="B8374" s="11">
        <f>IFERROR(__xludf.DUMMYFUNCTION("""COMPUTED_VALUE"""),34303.0)</f>
        <v>34303</v>
      </c>
      <c r="C8374" s="9">
        <f>IFERROR(__xludf.DUMMYFUNCTION("""COMPUTED_VALUE"""),5.83)</f>
        <v>5.83</v>
      </c>
      <c r="H8374" s="17"/>
      <c r="K8374" s="17"/>
      <c r="N8374" s="17"/>
    </row>
    <row r="8375">
      <c r="B8375" s="11">
        <f>IFERROR(__xludf.DUMMYFUNCTION("""COMPUTED_VALUE"""),34302.0)</f>
        <v>34302</v>
      </c>
      <c r="C8375" s="9">
        <f>IFERROR(__xludf.DUMMYFUNCTION("""COMPUTED_VALUE"""),5.76)</f>
        <v>5.76</v>
      </c>
      <c r="H8375" s="17"/>
      <c r="K8375" s="17"/>
      <c r="N8375" s="17"/>
    </row>
    <row r="8376">
      <c r="B8376" s="11">
        <f>IFERROR(__xludf.DUMMYFUNCTION("""COMPUTED_VALUE"""),34299.0)</f>
        <v>34299</v>
      </c>
      <c r="C8376" s="9">
        <f>IFERROR(__xludf.DUMMYFUNCTION("""COMPUTED_VALUE"""),5.78)</f>
        <v>5.78</v>
      </c>
      <c r="H8376" s="17"/>
      <c r="K8376" s="17"/>
      <c r="N8376" s="17"/>
    </row>
    <row r="8377">
      <c r="B8377" s="11">
        <f>IFERROR(__xludf.DUMMYFUNCTION("""COMPUTED_VALUE"""),34298.0)</f>
        <v>34298</v>
      </c>
      <c r="C8377" s="9"/>
      <c r="H8377" s="17"/>
      <c r="K8377" s="17"/>
      <c r="N8377" s="17"/>
    </row>
    <row r="8378">
      <c r="B8378" s="11">
        <f>IFERROR(__xludf.DUMMYFUNCTION("""COMPUTED_VALUE"""),34297.0)</f>
        <v>34297</v>
      </c>
      <c r="C8378" s="9">
        <f>IFERROR(__xludf.DUMMYFUNCTION("""COMPUTED_VALUE"""),5.84)</f>
        <v>5.84</v>
      </c>
      <c r="H8378" s="17"/>
      <c r="K8378" s="17"/>
      <c r="N8378" s="17"/>
    </row>
    <row r="8379">
      <c r="B8379" s="11">
        <f>IFERROR(__xludf.DUMMYFUNCTION("""COMPUTED_VALUE"""),34296.0)</f>
        <v>34296</v>
      </c>
      <c r="C8379" s="9">
        <f>IFERROR(__xludf.DUMMYFUNCTION("""COMPUTED_VALUE"""),5.82)</f>
        <v>5.82</v>
      </c>
      <c r="H8379" s="17"/>
      <c r="K8379" s="17"/>
      <c r="N8379" s="17"/>
    </row>
    <row r="8380">
      <c r="B8380" s="11">
        <f>IFERROR(__xludf.DUMMYFUNCTION("""COMPUTED_VALUE"""),34295.0)</f>
        <v>34295</v>
      </c>
      <c r="C8380" s="9">
        <f>IFERROR(__xludf.DUMMYFUNCTION("""COMPUTED_VALUE"""),5.89)</f>
        <v>5.89</v>
      </c>
      <c r="H8380" s="17"/>
      <c r="K8380" s="17"/>
      <c r="N8380" s="17"/>
    </row>
    <row r="8381">
      <c r="B8381" s="11">
        <f>IFERROR(__xludf.DUMMYFUNCTION("""COMPUTED_VALUE"""),34292.0)</f>
        <v>34292</v>
      </c>
      <c r="C8381" s="9">
        <f>IFERROR(__xludf.DUMMYFUNCTION("""COMPUTED_VALUE"""),5.84)</f>
        <v>5.84</v>
      </c>
      <c r="H8381" s="17"/>
      <c r="K8381" s="17"/>
      <c r="N8381" s="17"/>
    </row>
    <row r="8382">
      <c r="B8382" s="11">
        <f>IFERROR(__xludf.DUMMYFUNCTION("""COMPUTED_VALUE"""),34291.0)</f>
        <v>34291</v>
      </c>
      <c r="C8382" s="9">
        <f>IFERROR(__xludf.DUMMYFUNCTION("""COMPUTED_VALUE"""),5.72)</f>
        <v>5.72</v>
      </c>
      <c r="H8382" s="17"/>
      <c r="K8382" s="17"/>
      <c r="N8382" s="17"/>
    </row>
    <row r="8383">
      <c r="B8383" s="11">
        <f>IFERROR(__xludf.DUMMYFUNCTION("""COMPUTED_VALUE"""),34290.0)</f>
        <v>34290</v>
      </c>
      <c r="C8383" s="9">
        <f>IFERROR(__xludf.DUMMYFUNCTION("""COMPUTED_VALUE"""),5.65)</f>
        <v>5.65</v>
      </c>
      <c r="H8383" s="17"/>
      <c r="K8383" s="17"/>
      <c r="N8383" s="17"/>
    </row>
    <row r="8384">
      <c r="B8384" s="11">
        <f>IFERROR(__xludf.DUMMYFUNCTION("""COMPUTED_VALUE"""),34289.0)</f>
        <v>34289</v>
      </c>
      <c r="C8384" s="9">
        <f>IFERROR(__xludf.DUMMYFUNCTION("""COMPUTED_VALUE"""),5.66)</f>
        <v>5.66</v>
      </c>
      <c r="H8384" s="17"/>
      <c r="K8384" s="17"/>
      <c r="N8384" s="17"/>
    </row>
    <row r="8385">
      <c r="B8385" s="11">
        <f>IFERROR(__xludf.DUMMYFUNCTION("""COMPUTED_VALUE"""),34288.0)</f>
        <v>34288</v>
      </c>
      <c r="C8385" s="9">
        <f>IFERROR(__xludf.DUMMYFUNCTION("""COMPUTED_VALUE"""),5.69)</f>
        <v>5.69</v>
      </c>
      <c r="H8385" s="17"/>
      <c r="K8385" s="17"/>
      <c r="N8385" s="17"/>
    </row>
    <row r="8386">
      <c r="B8386" s="11">
        <f>IFERROR(__xludf.DUMMYFUNCTION("""COMPUTED_VALUE"""),34285.0)</f>
        <v>34285</v>
      </c>
      <c r="C8386" s="9">
        <f>IFERROR(__xludf.DUMMYFUNCTION("""COMPUTED_VALUE"""),5.66)</f>
        <v>5.66</v>
      </c>
      <c r="H8386" s="17"/>
      <c r="K8386" s="17"/>
      <c r="N8386" s="17"/>
    </row>
    <row r="8387">
      <c r="B8387" s="11">
        <f>IFERROR(__xludf.DUMMYFUNCTION("""COMPUTED_VALUE"""),34284.0)</f>
        <v>34284</v>
      </c>
      <c r="C8387" s="9"/>
      <c r="H8387" s="17"/>
      <c r="K8387" s="17"/>
      <c r="N8387" s="17"/>
    </row>
    <row r="8388">
      <c r="B8388" s="11">
        <f>IFERROR(__xludf.DUMMYFUNCTION("""COMPUTED_VALUE"""),34283.0)</f>
        <v>34283</v>
      </c>
      <c r="C8388" s="9">
        <f>IFERROR(__xludf.DUMMYFUNCTION("""COMPUTED_VALUE"""),5.72)</f>
        <v>5.72</v>
      </c>
      <c r="H8388" s="17"/>
      <c r="K8388" s="17"/>
      <c r="N8388" s="17"/>
    </row>
    <row r="8389">
      <c r="B8389" s="11">
        <f>IFERROR(__xludf.DUMMYFUNCTION("""COMPUTED_VALUE"""),34282.0)</f>
        <v>34282</v>
      </c>
      <c r="C8389" s="9">
        <f>IFERROR(__xludf.DUMMYFUNCTION("""COMPUTED_VALUE"""),5.64)</f>
        <v>5.64</v>
      </c>
      <c r="H8389" s="17"/>
      <c r="K8389" s="17"/>
      <c r="N8389" s="17"/>
    </row>
    <row r="8390">
      <c r="B8390" s="11">
        <f>IFERROR(__xludf.DUMMYFUNCTION("""COMPUTED_VALUE"""),34281.0)</f>
        <v>34281</v>
      </c>
      <c r="C8390" s="9">
        <f>IFERROR(__xludf.DUMMYFUNCTION("""COMPUTED_VALUE"""),5.7)</f>
        <v>5.7</v>
      </c>
      <c r="H8390" s="17"/>
      <c r="K8390" s="17"/>
      <c r="N8390" s="17"/>
    </row>
    <row r="8391">
      <c r="B8391" s="11">
        <f>IFERROR(__xludf.DUMMYFUNCTION("""COMPUTED_VALUE"""),34278.0)</f>
        <v>34278</v>
      </c>
      <c r="C8391" s="9">
        <f>IFERROR(__xludf.DUMMYFUNCTION("""COMPUTED_VALUE"""),5.75)</f>
        <v>5.75</v>
      </c>
      <c r="H8391" s="17"/>
      <c r="K8391" s="17"/>
      <c r="N8391" s="17"/>
    </row>
    <row r="8392">
      <c r="B8392" s="11">
        <f>IFERROR(__xludf.DUMMYFUNCTION("""COMPUTED_VALUE"""),34277.0)</f>
        <v>34277</v>
      </c>
      <c r="C8392" s="9">
        <f>IFERROR(__xludf.DUMMYFUNCTION("""COMPUTED_VALUE"""),5.67)</f>
        <v>5.67</v>
      </c>
      <c r="H8392" s="17"/>
      <c r="K8392" s="17"/>
      <c r="N8392" s="17"/>
    </row>
    <row r="8393">
      <c r="B8393" s="11">
        <f>IFERROR(__xludf.DUMMYFUNCTION("""COMPUTED_VALUE"""),34276.0)</f>
        <v>34276</v>
      </c>
      <c r="C8393" s="9">
        <f>IFERROR(__xludf.DUMMYFUNCTION("""COMPUTED_VALUE"""),5.67)</f>
        <v>5.67</v>
      </c>
      <c r="H8393" s="17"/>
      <c r="K8393" s="17"/>
      <c r="N8393" s="17"/>
    </row>
    <row r="8394">
      <c r="B8394" s="11">
        <f>IFERROR(__xludf.DUMMYFUNCTION("""COMPUTED_VALUE"""),34275.0)</f>
        <v>34275</v>
      </c>
      <c r="C8394" s="9">
        <f>IFERROR(__xludf.DUMMYFUNCTION("""COMPUTED_VALUE"""),5.63)</f>
        <v>5.63</v>
      </c>
      <c r="H8394" s="17"/>
      <c r="K8394" s="17"/>
      <c r="N8394" s="17"/>
    </row>
    <row r="8395">
      <c r="B8395" s="11">
        <f>IFERROR(__xludf.DUMMYFUNCTION("""COMPUTED_VALUE"""),34274.0)</f>
        <v>34274</v>
      </c>
      <c r="C8395" s="9">
        <f>IFERROR(__xludf.DUMMYFUNCTION("""COMPUTED_VALUE"""),5.56)</f>
        <v>5.56</v>
      </c>
      <c r="H8395" s="17"/>
      <c r="K8395" s="17"/>
      <c r="N8395" s="17"/>
    </row>
    <row r="8396">
      <c r="B8396" s="11">
        <f>IFERROR(__xludf.DUMMYFUNCTION("""COMPUTED_VALUE"""),34271.0)</f>
        <v>34271</v>
      </c>
      <c r="C8396" s="9">
        <f>IFERROR(__xludf.DUMMYFUNCTION("""COMPUTED_VALUE"""),5.43)</f>
        <v>5.43</v>
      </c>
      <c r="H8396" s="17"/>
      <c r="K8396" s="17"/>
      <c r="N8396" s="17"/>
    </row>
    <row r="8397">
      <c r="B8397" s="11">
        <f>IFERROR(__xludf.DUMMYFUNCTION("""COMPUTED_VALUE"""),34270.0)</f>
        <v>34270</v>
      </c>
      <c r="C8397" s="9">
        <f>IFERROR(__xludf.DUMMYFUNCTION("""COMPUTED_VALUE"""),5.41)</f>
        <v>5.41</v>
      </c>
      <c r="H8397" s="17"/>
      <c r="K8397" s="17"/>
      <c r="N8397" s="17"/>
    </row>
    <row r="8398">
      <c r="B8398" s="11">
        <f>IFERROR(__xludf.DUMMYFUNCTION("""COMPUTED_VALUE"""),34269.0)</f>
        <v>34269</v>
      </c>
      <c r="C8398" s="9">
        <f>IFERROR(__xludf.DUMMYFUNCTION("""COMPUTED_VALUE"""),5.44)</f>
        <v>5.44</v>
      </c>
      <c r="H8398" s="17"/>
      <c r="K8398" s="17"/>
      <c r="N8398" s="17"/>
    </row>
    <row r="8399">
      <c r="B8399" s="11">
        <f>IFERROR(__xludf.DUMMYFUNCTION("""COMPUTED_VALUE"""),34268.0)</f>
        <v>34268</v>
      </c>
      <c r="C8399" s="9">
        <f>IFERROR(__xludf.DUMMYFUNCTION("""COMPUTED_VALUE"""),5.43)</f>
        <v>5.43</v>
      </c>
      <c r="H8399" s="17"/>
      <c r="K8399" s="17"/>
      <c r="N8399" s="17"/>
    </row>
    <row r="8400">
      <c r="B8400" s="11">
        <f>IFERROR(__xludf.DUMMYFUNCTION("""COMPUTED_VALUE"""),34267.0)</f>
        <v>34267</v>
      </c>
      <c r="C8400" s="9">
        <f>IFERROR(__xludf.DUMMYFUNCTION("""COMPUTED_VALUE"""),5.47)</f>
        <v>5.47</v>
      </c>
      <c r="H8400" s="17"/>
      <c r="K8400" s="17"/>
      <c r="N8400" s="17"/>
    </row>
    <row r="8401">
      <c r="B8401" s="11">
        <f>IFERROR(__xludf.DUMMYFUNCTION("""COMPUTED_VALUE"""),34264.0)</f>
        <v>34264</v>
      </c>
      <c r="C8401" s="9">
        <f>IFERROR(__xludf.DUMMYFUNCTION("""COMPUTED_VALUE"""),5.42)</f>
        <v>5.42</v>
      </c>
      <c r="H8401" s="17"/>
      <c r="K8401" s="17"/>
      <c r="N8401" s="17"/>
    </row>
    <row r="8402">
      <c r="B8402" s="11">
        <f>IFERROR(__xludf.DUMMYFUNCTION("""COMPUTED_VALUE"""),34263.0)</f>
        <v>34263</v>
      </c>
      <c r="C8402" s="9">
        <f>IFERROR(__xludf.DUMMYFUNCTION("""COMPUTED_VALUE"""),5.35)</f>
        <v>5.35</v>
      </c>
      <c r="H8402" s="17"/>
      <c r="K8402" s="17"/>
      <c r="N8402" s="17"/>
    </row>
    <row r="8403">
      <c r="B8403" s="11">
        <f>IFERROR(__xludf.DUMMYFUNCTION("""COMPUTED_VALUE"""),34262.0)</f>
        <v>34262</v>
      </c>
      <c r="C8403" s="9">
        <f>IFERROR(__xludf.DUMMYFUNCTION("""COMPUTED_VALUE"""),5.26)</f>
        <v>5.26</v>
      </c>
      <c r="H8403" s="17"/>
      <c r="K8403" s="17"/>
      <c r="N8403" s="17"/>
    </row>
    <row r="8404">
      <c r="B8404" s="11">
        <f>IFERROR(__xludf.DUMMYFUNCTION("""COMPUTED_VALUE"""),34261.0)</f>
        <v>34261</v>
      </c>
      <c r="C8404" s="9">
        <f>IFERROR(__xludf.DUMMYFUNCTION("""COMPUTED_VALUE"""),5.27)</f>
        <v>5.27</v>
      </c>
      <c r="H8404" s="17"/>
      <c r="K8404" s="17"/>
      <c r="N8404" s="17"/>
    </row>
    <row r="8405">
      <c r="B8405" s="11">
        <f>IFERROR(__xludf.DUMMYFUNCTION("""COMPUTED_VALUE"""),34260.0)</f>
        <v>34260</v>
      </c>
      <c r="C8405" s="9">
        <f>IFERROR(__xludf.DUMMYFUNCTION("""COMPUTED_VALUE"""),5.27)</f>
        <v>5.27</v>
      </c>
      <c r="H8405" s="17"/>
      <c r="K8405" s="17"/>
      <c r="N8405" s="17"/>
    </row>
    <row r="8406">
      <c r="B8406" s="11">
        <f>IFERROR(__xludf.DUMMYFUNCTION("""COMPUTED_VALUE"""),34257.0)</f>
        <v>34257</v>
      </c>
      <c r="C8406" s="9">
        <f>IFERROR(__xludf.DUMMYFUNCTION("""COMPUTED_VALUE"""),5.19)</f>
        <v>5.19</v>
      </c>
      <c r="H8406" s="17"/>
      <c r="K8406" s="17"/>
      <c r="N8406" s="17"/>
    </row>
    <row r="8407">
      <c r="B8407" s="11">
        <f>IFERROR(__xludf.DUMMYFUNCTION("""COMPUTED_VALUE"""),34256.0)</f>
        <v>34256</v>
      </c>
      <c r="C8407" s="9">
        <f>IFERROR(__xludf.DUMMYFUNCTION("""COMPUTED_VALUE"""),5.23)</f>
        <v>5.23</v>
      </c>
      <c r="H8407" s="17"/>
      <c r="K8407" s="17"/>
      <c r="N8407" s="17"/>
    </row>
    <row r="8408">
      <c r="B8408" s="11">
        <f>IFERROR(__xludf.DUMMYFUNCTION("""COMPUTED_VALUE"""),34255.0)</f>
        <v>34255</v>
      </c>
      <c r="C8408" s="9">
        <f>IFERROR(__xludf.DUMMYFUNCTION("""COMPUTED_VALUE"""),5.27)</f>
        <v>5.27</v>
      </c>
      <c r="H8408" s="17"/>
      <c r="K8408" s="17"/>
      <c r="N8408" s="17"/>
    </row>
    <row r="8409">
      <c r="B8409" s="11">
        <f>IFERROR(__xludf.DUMMYFUNCTION("""COMPUTED_VALUE"""),34254.0)</f>
        <v>34254</v>
      </c>
      <c r="C8409" s="9">
        <f>IFERROR(__xludf.DUMMYFUNCTION("""COMPUTED_VALUE"""),5.27)</f>
        <v>5.27</v>
      </c>
      <c r="H8409" s="17"/>
      <c r="K8409" s="17"/>
      <c r="N8409" s="17"/>
    </row>
    <row r="8410">
      <c r="B8410" s="11">
        <f>IFERROR(__xludf.DUMMYFUNCTION("""COMPUTED_VALUE"""),34253.0)</f>
        <v>34253</v>
      </c>
      <c r="C8410" s="9"/>
      <c r="H8410" s="17"/>
      <c r="K8410" s="17"/>
      <c r="N8410" s="17"/>
    </row>
    <row r="8411">
      <c r="B8411" s="11">
        <f>IFERROR(__xludf.DUMMYFUNCTION("""COMPUTED_VALUE"""),34250.0)</f>
        <v>34250</v>
      </c>
      <c r="C8411" s="9">
        <f>IFERROR(__xludf.DUMMYFUNCTION("""COMPUTED_VALUE"""),5.26)</f>
        <v>5.26</v>
      </c>
      <c r="H8411" s="17"/>
      <c r="K8411" s="17"/>
      <c r="N8411" s="17"/>
    </row>
    <row r="8412">
      <c r="B8412" s="11">
        <f>IFERROR(__xludf.DUMMYFUNCTION("""COMPUTED_VALUE"""),34249.0)</f>
        <v>34249</v>
      </c>
      <c r="C8412" s="9">
        <f>IFERROR(__xludf.DUMMYFUNCTION("""COMPUTED_VALUE"""),5.33)</f>
        <v>5.33</v>
      </c>
      <c r="H8412" s="17"/>
      <c r="K8412" s="17"/>
      <c r="N8412" s="17"/>
    </row>
    <row r="8413">
      <c r="B8413" s="11">
        <f>IFERROR(__xludf.DUMMYFUNCTION("""COMPUTED_VALUE"""),34248.0)</f>
        <v>34248</v>
      </c>
      <c r="C8413" s="9">
        <f>IFERROR(__xludf.DUMMYFUNCTION("""COMPUTED_VALUE"""),5.35)</f>
        <v>5.35</v>
      </c>
      <c r="H8413" s="17"/>
      <c r="K8413" s="17"/>
      <c r="N8413" s="17"/>
    </row>
    <row r="8414">
      <c r="B8414" s="11">
        <f>IFERROR(__xludf.DUMMYFUNCTION("""COMPUTED_VALUE"""),34247.0)</f>
        <v>34247</v>
      </c>
      <c r="C8414" s="9">
        <f>IFERROR(__xludf.DUMMYFUNCTION("""COMPUTED_VALUE"""),5.35)</f>
        <v>5.35</v>
      </c>
      <c r="H8414" s="17"/>
      <c r="K8414" s="17"/>
      <c r="N8414" s="17"/>
    </row>
    <row r="8415">
      <c r="B8415" s="11">
        <f>IFERROR(__xludf.DUMMYFUNCTION("""COMPUTED_VALUE"""),34246.0)</f>
        <v>34246</v>
      </c>
      <c r="C8415" s="9">
        <f>IFERROR(__xludf.DUMMYFUNCTION("""COMPUTED_VALUE"""),5.34)</f>
        <v>5.34</v>
      </c>
      <c r="H8415" s="17"/>
      <c r="K8415" s="17"/>
      <c r="N8415" s="17"/>
    </row>
    <row r="8416">
      <c r="B8416" s="11">
        <f>IFERROR(__xludf.DUMMYFUNCTION("""COMPUTED_VALUE"""),34243.0)</f>
        <v>34243</v>
      </c>
      <c r="C8416" s="9">
        <f>IFERROR(__xludf.DUMMYFUNCTION("""COMPUTED_VALUE"""),5.34)</f>
        <v>5.34</v>
      </c>
      <c r="H8416" s="17"/>
      <c r="K8416" s="17"/>
      <c r="N8416" s="17"/>
    </row>
    <row r="8417">
      <c r="B8417" s="11">
        <f>IFERROR(__xludf.DUMMYFUNCTION("""COMPUTED_VALUE"""),34242.0)</f>
        <v>34242</v>
      </c>
      <c r="C8417" s="9">
        <f>IFERROR(__xludf.DUMMYFUNCTION("""COMPUTED_VALUE"""),5.4)</f>
        <v>5.4</v>
      </c>
      <c r="H8417" s="17"/>
      <c r="K8417" s="17"/>
      <c r="N8417" s="17"/>
    </row>
    <row r="8418">
      <c r="B8418" s="11">
        <f>IFERROR(__xludf.DUMMYFUNCTION("""COMPUTED_VALUE"""),34241.0)</f>
        <v>34241</v>
      </c>
      <c r="C8418" s="9">
        <f>IFERROR(__xludf.DUMMYFUNCTION("""COMPUTED_VALUE"""),5.35)</f>
        <v>5.35</v>
      </c>
      <c r="H8418" s="17"/>
      <c r="K8418" s="17"/>
      <c r="N8418" s="17"/>
    </row>
    <row r="8419">
      <c r="B8419" s="11">
        <f>IFERROR(__xludf.DUMMYFUNCTION("""COMPUTED_VALUE"""),34240.0)</f>
        <v>34240</v>
      </c>
      <c r="C8419" s="9">
        <f>IFERROR(__xludf.DUMMYFUNCTION("""COMPUTED_VALUE"""),5.28)</f>
        <v>5.28</v>
      </c>
      <c r="H8419" s="17"/>
      <c r="K8419" s="17"/>
      <c r="N8419" s="17"/>
    </row>
    <row r="8420">
      <c r="B8420" s="11">
        <f>IFERROR(__xludf.DUMMYFUNCTION("""COMPUTED_VALUE"""),34239.0)</f>
        <v>34239</v>
      </c>
      <c r="C8420" s="9">
        <f>IFERROR(__xludf.DUMMYFUNCTION("""COMPUTED_VALUE"""),5.3)</f>
        <v>5.3</v>
      </c>
      <c r="H8420" s="17"/>
      <c r="K8420" s="17"/>
      <c r="N8420" s="17"/>
    </row>
    <row r="8421">
      <c r="B8421" s="11">
        <f>IFERROR(__xludf.DUMMYFUNCTION("""COMPUTED_VALUE"""),34236.0)</f>
        <v>34236</v>
      </c>
      <c r="C8421" s="9">
        <f>IFERROR(__xludf.DUMMYFUNCTION("""COMPUTED_VALUE"""),5.42)</f>
        <v>5.42</v>
      </c>
      <c r="H8421" s="17"/>
      <c r="K8421" s="17"/>
      <c r="N8421" s="17"/>
    </row>
    <row r="8422">
      <c r="B8422" s="11">
        <f>IFERROR(__xludf.DUMMYFUNCTION("""COMPUTED_VALUE"""),34235.0)</f>
        <v>34235</v>
      </c>
      <c r="C8422" s="9">
        <f>IFERROR(__xludf.DUMMYFUNCTION("""COMPUTED_VALUE"""),5.42)</f>
        <v>5.42</v>
      </c>
      <c r="H8422" s="17"/>
      <c r="K8422" s="17"/>
      <c r="N8422" s="17"/>
    </row>
    <row r="8423">
      <c r="B8423" s="11">
        <f>IFERROR(__xludf.DUMMYFUNCTION("""COMPUTED_VALUE"""),34234.0)</f>
        <v>34234</v>
      </c>
      <c r="C8423" s="9">
        <f>IFERROR(__xludf.DUMMYFUNCTION("""COMPUTED_VALUE"""),5.45)</f>
        <v>5.45</v>
      </c>
      <c r="H8423" s="17"/>
      <c r="K8423" s="17"/>
      <c r="N8423" s="17"/>
    </row>
    <row r="8424">
      <c r="B8424" s="11">
        <f>IFERROR(__xludf.DUMMYFUNCTION("""COMPUTED_VALUE"""),34233.0)</f>
        <v>34233</v>
      </c>
      <c r="C8424" s="9">
        <f>IFERROR(__xludf.DUMMYFUNCTION("""COMPUTED_VALUE"""),5.47)</f>
        <v>5.47</v>
      </c>
      <c r="H8424" s="17"/>
      <c r="K8424" s="17"/>
      <c r="N8424" s="17"/>
    </row>
    <row r="8425">
      <c r="B8425" s="11">
        <f>IFERROR(__xludf.DUMMYFUNCTION("""COMPUTED_VALUE"""),34232.0)</f>
        <v>34232</v>
      </c>
      <c r="C8425" s="9">
        <f>IFERROR(__xludf.DUMMYFUNCTION("""COMPUTED_VALUE"""),5.42)</f>
        <v>5.42</v>
      </c>
      <c r="H8425" s="17"/>
      <c r="K8425" s="17"/>
      <c r="N8425" s="17"/>
    </row>
    <row r="8426">
      <c r="B8426" s="11">
        <f>IFERROR(__xludf.DUMMYFUNCTION("""COMPUTED_VALUE"""),34229.0)</f>
        <v>34229</v>
      </c>
      <c r="C8426" s="9">
        <f>IFERROR(__xludf.DUMMYFUNCTION("""COMPUTED_VALUE"""),5.38)</f>
        <v>5.38</v>
      </c>
      <c r="H8426" s="17"/>
      <c r="K8426" s="17"/>
      <c r="N8426" s="17"/>
    </row>
    <row r="8427">
      <c r="B8427" s="11">
        <f>IFERROR(__xludf.DUMMYFUNCTION("""COMPUTED_VALUE"""),34228.0)</f>
        <v>34228</v>
      </c>
      <c r="C8427" s="9">
        <f>IFERROR(__xludf.DUMMYFUNCTION("""COMPUTED_VALUE"""),5.37)</f>
        <v>5.37</v>
      </c>
      <c r="H8427" s="17"/>
      <c r="K8427" s="17"/>
      <c r="N8427" s="17"/>
    </row>
    <row r="8428">
      <c r="B8428" s="11">
        <f>IFERROR(__xludf.DUMMYFUNCTION("""COMPUTED_VALUE"""),34227.0)</f>
        <v>34227</v>
      </c>
      <c r="C8428" s="9">
        <f>IFERROR(__xludf.DUMMYFUNCTION("""COMPUTED_VALUE"""),5.39)</f>
        <v>5.39</v>
      </c>
      <c r="H8428" s="17"/>
      <c r="K8428" s="17"/>
      <c r="N8428" s="17"/>
    </row>
    <row r="8429">
      <c r="B8429" s="11">
        <f>IFERROR(__xludf.DUMMYFUNCTION("""COMPUTED_VALUE"""),34226.0)</f>
        <v>34226</v>
      </c>
      <c r="C8429" s="9">
        <f>IFERROR(__xludf.DUMMYFUNCTION("""COMPUTED_VALUE"""),5.37)</f>
        <v>5.37</v>
      </c>
      <c r="H8429" s="17"/>
      <c r="K8429" s="17"/>
      <c r="N8429" s="17"/>
    </row>
    <row r="8430">
      <c r="B8430" s="11">
        <f>IFERROR(__xludf.DUMMYFUNCTION("""COMPUTED_VALUE"""),34225.0)</f>
        <v>34225</v>
      </c>
      <c r="C8430" s="9">
        <f>IFERROR(__xludf.DUMMYFUNCTION("""COMPUTED_VALUE"""),5.26)</f>
        <v>5.26</v>
      </c>
      <c r="H8430" s="17"/>
      <c r="K8430" s="17"/>
      <c r="N8430" s="17"/>
    </row>
    <row r="8431">
      <c r="B8431" s="11">
        <f>IFERROR(__xludf.DUMMYFUNCTION("""COMPUTED_VALUE"""),34222.0)</f>
        <v>34222</v>
      </c>
      <c r="C8431" s="9">
        <f>IFERROR(__xludf.DUMMYFUNCTION("""COMPUTED_VALUE"""),5.29)</f>
        <v>5.29</v>
      </c>
      <c r="H8431" s="17"/>
      <c r="K8431" s="17"/>
      <c r="N8431" s="17"/>
    </row>
    <row r="8432">
      <c r="B8432" s="11">
        <f>IFERROR(__xludf.DUMMYFUNCTION("""COMPUTED_VALUE"""),34221.0)</f>
        <v>34221</v>
      </c>
      <c r="C8432" s="9">
        <f>IFERROR(__xludf.DUMMYFUNCTION("""COMPUTED_VALUE"""),5.35)</f>
        <v>5.35</v>
      </c>
      <c r="H8432" s="17"/>
      <c r="K8432" s="17"/>
      <c r="N8432" s="17"/>
    </row>
    <row r="8433">
      <c r="B8433" s="11">
        <f>IFERROR(__xludf.DUMMYFUNCTION("""COMPUTED_VALUE"""),34220.0)</f>
        <v>34220</v>
      </c>
      <c r="C8433" s="9">
        <f>IFERROR(__xludf.DUMMYFUNCTION("""COMPUTED_VALUE"""),5.23)</f>
        <v>5.23</v>
      </c>
      <c r="H8433" s="17"/>
      <c r="K8433" s="17"/>
      <c r="N8433" s="17"/>
    </row>
    <row r="8434">
      <c r="B8434" s="11">
        <f>IFERROR(__xludf.DUMMYFUNCTION("""COMPUTED_VALUE"""),34219.0)</f>
        <v>34219</v>
      </c>
      <c r="C8434" s="9">
        <f>IFERROR(__xludf.DUMMYFUNCTION("""COMPUTED_VALUE"""),5.23)</f>
        <v>5.23</v>
      </c>
      <c r="H8434" s="17"/>
      <c r="K8434" s="17"/>
      <c r="N8434" s="17"/>
    </row>
    <row r="8435">
      <c r="B8435" s="11">
        <f>IFERROR(__xludf.DUMMYFUNCTION("""COMPUTED_VALUE"""),34218.0)</f>
        <v>34218</v>
      </c>
      <c r="C8435" s="9"/>
      <c r="H8435" s="17"/>
      <c r="K8435" s="17"/>
      <c r="N8435" s="17"/>
    </row>
    <row r="8436">
      <c r="B8436" s="11">
        <f>IFERROR(__xludf.DUMMYFUNCTION("""COMPUTED_VALUE"""),34215.0)</f>
        <v>34215</v>
      </c>
      <c r="C8436" s="9">
        <f>IFERROR(__xludf.DUMMYFUNCTION("""COMPUTED_VALUE"""),5.31)</f>
        <v>5.31</v>
      </c>
      <c r="H8436" s="17"/>
      <c r="K8436" s="17"/>
      <c r="N8436" s="17"/>
    </row>
    <row r="8437">
      <c r="B8437" s="11">
        <f>IFERROR(__xludf.DUMMYFUNCTION("""COMPUTED_VALUE"""),34214.0)</f>
        <v>34214</v>
      </c>
      <c r="C8437" s="9">
        <f>IFERROR(__xludf.DUMMYFUNCTION("""COMPUTED_VALUE"""),5.41)</f>
        <v>5.41</v>
      </c>
      <c r="H8437" s="17"/>
      <c r="K8437" s="17"/>
      <c r="N8437" s="17"/>
    </row>
    <row r="8438">
      <c r="B8438" s="11">
        <f>IFERROR(__xludf.DUMMYFUNCTION("""COMPUTED_VALUE"""),34213.0)</f>
        <v>34213</v>
      </c>
      <c r="C8438" s="9">
        <f>IFERROR(__xludf.DUMMYFUNCTION("""COMPUTED_VALUE"""),5.46)</f>
        <v>5.46</v>
      </c>
      <c r="H8438" s="17"/>
      <c r="K8438" s="17"/>
      <c r="N8438" s="17"/>
    </row>
    <row r="8439">
      <c r="B8439" s="11">
        <f>IFERROR(__xludf.DUMMYFUNCTION("""COMPUTED_VALUE"""),34212.0)</f>
        <v>34212</v>
      </c>
      <c r="C8439" s="9">
        <f>IFERROR(__xludf.DUMMYFUNCTION("""COMPUTED_VALUE"""),5.45)</f>
        <v>5.45</v>
      </c>
      <c r="H8439" s="17"/>
      <c r="K8439" s="17"/>
      <c r="N8439" s="17"/>
    </row>
    <row r="8440">
      <c r="B8440" s="11">
        <f>IFERROR(__xludf.DUMMYFUNCTION("""COMPUTED_VALUE"""),34211.0)</f>
        <v>34211</v>
      </c>
      <c r="C8440" s="9">
        <f>IFERROR(__xludf.DUMMYFUNCTION("""COMPUTED_VALUE"""),5.44)</f>
        <v>5.44</v>
      </c>
      <c r="H8440" s="17"/>
      <c r="K8440" s="17"/>
      <c r="N8440" s="17"/>
    </row>
    <row r="8441">
      <c r="B8441" s="11">
        <f>IFERROR(__xludf.DUMMYFUNCTION("""COMPUTED_VALUE"""),34208.0)</f>
        <v>34208</v>
      </c>
      <c r="C8441" s="9">
        <f>IFERROR(__xludf.DUMMYFUNCTION("""COMPUTED_VALUE"""),5.48)</f>
        <v>5.48</v>
      </c>
      <c r="H8441" s="17"/>
      <c r="K8441" s="17"/>
      <c r="N8441" s="17"/>
    </row>
    <row r="8442">
      <c r="B8442" s="11">
        <f>IFERROR(__xludf.DUMMYFUNCTION("""COMPUTED_VALUE"""),34207.0)</f>
        <v>34207</v>
      </c>
      <c r="C8442" s="9">
        <f>IFERROR(__xludf.DUMMYFUNCTION("""COMPUTED_VALUE"""),5.42)</f>
        <v>5.42</v>
      </c>
      <c r="H8442" s="17"/>
      <c r="K8442" s="17"/>
      <c r="N8442" s="17"/>
    </row>
    <row r="8443">
      <c r="B8443" s="11">
        <f>IFERROR(__xludf.DUMMYFUNCTION("""COMPUTED_VALUE"""),34206.0)</f>
        <v>34206</v>
      </c>
      <c r="C8443" s="9">
        <f>IFERROR(__xludf.DUMMYFUNCTION("""COMPUTED_VALUE"""),5.51)</f>
        <v>5.51</v>
      </c>
      <c r="H8443" s="17"/>
      <c r="K8443" s="17"/>
      <c r="N8443" s="17"/>
    </row>
    <row r="8444">
      <c r="B8444" s="11">
        <f>IFERROR(__xludf.DUMMYFUNCTION("""COMPUTED_VALUE"""),34205.0)</f>
        <v>34205</v>
      </c>
      <c r="C8444" s="9">
        <f>IFERROR(__xludf.DUMMYFUNCTION("""COMPUTED_VALUE"""),5.54)</f>
        <v>5.54</v>
      </c>
      <c r="H8444" s="17"/>
      <c r="K8444" s="17"/>
      <c r="N8444" s="17"/>
    </row>
    <row r="8445">
      <c r="B8445" s="11">
        <f>IFERROR(__xludf.DUMMYFUNCTION("""COMPUTED_VALUE"""),34204.0)</f>
        <v>34204</v>
      </c>
      <c r="C8445" s="9">
        <f>IFERROR(__xludf.DUMMYFUNCTION("""COMPUTED_VALUE"""),5.6)</f>
        <v>5.6</v>
      </c>
      <c r="H8445" s="17"/>
      <c r="K8445" s="17"/>
      <c r="N8445" s="17"/>
    </row>
    <row r="8446">
      <c r="B8446" s="11">
        <f>IFERROR(__xludf.DUMMYFUNCTION("""COMPUTED_VALUE"""),34201.0)</f>
        <v>34201</v>
      </c>
      <c r="C8446" s="9">
        <f>IFERROR(__xludf.DUMMYFUNCTION("""COMPUTED_VALUE"""),5.61)</f>
        <v>5.61</v>
      </c>
      <c r="H8446" s="17"/>
      <c r="K8446" s="17"/>
      <c r="N8446" s="17"/>
    </row>
    <row r="8447">
      <c r="B8447" s="11">
        <f>IFERROR(__xludf.DUMMYFUNCTION("""COMPUTED_VALUE"""),34200.0)</f>
        <v>34200</v>
      </c>
      <c r="C8447" s="9">
        <f>IFERROR(__xludf.DUMMYFUNCTION("""COMPUTED_VALUE"""),5.64)</f>
        <v>5.64</v>
      </c>
      <c r="H8447" s="17"/>
      <c r="K8447" s="17"/>
      <c r="N8447" s="17"/>
    </row>
    <row r="8448">
      <c r="B8448" s="11">
        <f>IFERROR(__xludf.DUMMYFUNCTION("""COMPUTED_VALUE"""),34199.0)</f>
        <v>34199</v>
      </c>
      <c r="C8448" s="9">
        <f>IFERROR(__xludf.DUMMYFUNCTION("""COMPUTED_VALUE"""),5.69)</f>
        <v>5.69</v>
      </c>
      <c r="H8448" s="17"/>
      <c r="K8448" s="17"/>
      <c r="N8448" s="17"/>
    </row>
    <row r="8449">
      <c r="B8449" s="11">
        <f>IFERROR(__xludf.DUMMYFUNCTION("""COMPUTED_VALUE"""),34198.0)</f>
        <v>34198</v>
      </c>
      <c r="C8449" s="9">
        <f>IFERROR(__xludf.DUMMYFUNCTION("""COMPUTED_VALUE"""),5.7)</f>
        <v>5.7</v>
      </c>
      <c r="H8449" s="17"/>
      <c r="K8449" s="17"/>
      <c r="N8449" s="17"/>
    </row>
    <row r="8450">
      <c r="B8450" s="11">
        <f>IFERROR(__xludf.DUMMYFUNCTION("""COMPUTED_VALUE"""),34197.0)</f>
        <v>34197</v>
      </c>
      <c r="C8450" s="9">
        <f>IFERROR(__xludf.DUMMYFUNCTION("""COMPUTED_VALUE"""),5.68)</f>
        <v>5.68</v>
      </c>
      <c r="H8450" s="17"/>
      <c r="K8450" s="17"/>
      <c r="N8450" s="17"/>
    </row>
    <row r="8451">
      <c r="B8451" s="11">
        <f>IFERROR(__xludf.DUMMYFUNCTION("""COMPUTED_VALUE"""),34194.0)</f>
        <v>34194</v>
      </c>
      <c r="C8451" s="9">
        <f>IFERROR(__xludf.DUMMYFUNCTION("""COMPUTED_VALUE"""),5.72)</f>
        <v>5.72</v>
      </c>
      <c r="H8451" s="17"/>
      <c r="K8451" s="17"/>
      <c r="N8451" s="17"/>
    </row>
    <row r="8452">
      <c r="B8452" s="11">
        <f>IFERROR(__xludf.DUMMYFUNCTION("""COMPUTED_VALUE"""),34193.0)</f>
        <v>34193</v>
      </c>
      <c r="C8452" s="9">
        <f>IFERROR(__xludf.DUMMYFUNCTION("""COMPUTED_VALUE"""),5.77)</f>
        <v>5.77</v>
      </c>
      <c r="H8452" s="17"/>
      <c r="K8452" s="17"/>
      <c r="N8452" s="17"/>
    </row>
    <row r="8453">
      <c r="B8453" s="11">
        <f>IFERROR(__xludf.DUMMYFUNCTION("""COMPUTED_VALUE"""),34192.0)</f>
        <v>34192</v>
      </c>
      <c r="C8453" s="9">
        <f>IFERROR(__xludf.DUMMYFUNCTION("""COMPUTED_VALUE"""),5.75)</f>
        <v>5.75</v>
      </c>
      <c r="H8453" s="17"/>
      <c r="K8453" s="17"/>
      <c r="N8453" s="17"/>
    </row>
    <row r="8454">
      <c r="B8454" s="11">
        <f>IFERROR(__xludf.DUMMYFUNCTION("""COMPUTED_VALUE"""),34191.0)</f>
        <v>34191</v>
      </c>
      <c r="C8454" s="9">
        <f>IFERROR(__xludf.DUMMYFUNCTION("""COMPUTED_VALUE"""),5.82)</f>
        <v>5.82</v>
      </c>
      <c r="H8454" s="17"/>
      <c r="K8454" s="17"/>
      <c r="N8454" s="17"/>
    </row>
    <row r="8455">
      <c r="B8455" s="11">
        <f>IFERROR(__xludf.DUMMYFUNCTION("""COMPUTED_VALUE"""),34190.0)</f>
        <v>34190</v>
      </c>
      <c r="C8455" s="9">
        <f>IFERROR(__xludf.DUMMYFUNCTION("""COMPUTED_VALUE"""),5.82)</f>
        <v>5.82</v>
      </c>
      <c r="H8455" s="17"/>
      <c r="K8455" s="17"/>
      <c r="N8455" s="17"/>
    </row>
    <row r="8456">
      <c r="B8456" s="11">
        <f>IFERROR(__xludf.DUMMYFUNCTION("""COMPUTED_VALUE"""),34187.0)</f>
        <v>34187</v>
      </c>
      <c r="C8456" s="9">
        <f>IFERROR(__xludf.DUMMYFUNCTION("""COMPUTED_VALUE"""),5.86)</f>
        <v>5.86</v>
      </c>
      <c r="H8456" s="17"/>
      <c r="K8456" s="17"/>
      <c r="N8456" s="17"/>
    </row>
    <row r="8457">
      <c r="B8457" s="11">
        <f>IFERROR(__xludf.DUMMYFUNCTION("""COMPUTED_VALUE"""),34186.0)</f>
        <v>34186</v>
      </c>
      <c r="C8457" s="9">
        <f>IFERROR(__xludf.DUMMYFUNCTION("""COMPUTED_VALUE"""),5.86)</f>
        <v>5.86</v>
      </c>
      <c r="H8457" s="17"/>
      <c r="K8457" s="17"/>
      <c r="N8457" s="17"/>
    </row>
    <row r="8458">
      <c r="B8458" s="11">
        <f>IFERROR(__xludf.DUMMYFUNCTION("""COMPUTED_VALUE"""),34185.0)</f>
        <v>34185</v>
      </c>
      <c r="C8458" s="9">
        <f>IFERROR(__xludf.DUMMYFUNCTION("""COMPUTED_VALUE"""),5.87)</f>
        <v>5.87</v>
      </c>
      <c r="H8458" s="17"/>
      <c r="K8458" s="17"/>
      <c r="N8458" s="17"/>
    </row>
    <row r="8459">
      <c r="B8459" s="11">
        <f>IFERROR(__xludf.DUMMYFUNCTION("""COMPUTED_VALUE"""),34184.0)</f>
        <v>34184</v>
      </c>
      <c r="C8459" s="9">
        <f>IFERROR(__xludf.DUMMYFUNCTION("""COMPUTED_VALUE"""),5.83)</f>
        <v>5.83</v>
      </c>
      <c r="H8459" s="17"/>
      <c r="K8459" s="17"/>
      <c r="N8459" s="17"/>
    </row>
    <row r="8460">
      <c r="B8460" s="11">
        <f>IFERROR(__xludf.DUMMYFUNCTION("""COMPUTED_VALUE"""),34183.0)</f>
        <v>34183</v>
      </c>
      <c r="C8460" s="9">
        <f>IFERROR(__xludf.DUMMYFUNCTION("""COMPUTED_VALUE"""),5.85)</f>
        <v>5.85</v>
      </c>
      <c r="H8460" s="17"/>
      <c r="K8460" s="17"/>
      <c r="N8460" s="17"/>
    </row>
    <row r="8461">
      <c r="B8461" s="11">
        <f>IFERROR(__xludf.DUMMYFUNCTION("""COMPUTED_VALUE"""),34180.0)</f>
        <v>34180</v>
      </c>
      <c r="C8461" s="9">
        <f>IFERROR(__xludf.DUMMYFUNCTION("""COMPUTED_VALUE"""),5.83)</f>
        <v>5.83</v>
      </c>
      <c r="H8461" s="17"/>
      <c r="K8461" s="17"/>
      <c r="N8461" s="17"/>
    </row>
    <row r="8462">
      <c r="B8462" s="11">
        <f>IFERROR(__xludf.DUMMYFUNCTION("""COMPUTED_VALUE"""),34179.0)</f>
        <v>34179</v>
      </c>
      <c r="C8462" s="9">
        <f>IFERROR(__xludf.DUMMYFUNCTION("""COMPUTED_VALUE"""),5.81)</f>
        <v>5.81</v>
      </c>
      <c r="H8462" s="17"/>
      <c r="K8462" s="17"/>
      <c r="N8462" s="17"/>
    </row>
    <row r="8463">
      <c r="B8463" s="11">
        <f>IFERROR(__xludf.DUMMYFUNCTION("""COMPUTED_VALUE"""),34178.0)</f>
        <v>34178</v>
      </c>
      <c r="C8463" s="9">
        <f>IFERROR(__xludf.DUMMYFUNCTION("""COMPUTED_VALUE"""),5.9)</f>
        <v>5.9</v>
      </c>
      <c r="H8463" s="17"/>
      <c r="K8463" s="17"/>
      <c r="N8463" s="17"/>
    </row>
    <row r="8464">
      <c r="B8464" s="11">
        <f>IFERROR(__xludf.DUMMYFUNCTION("""COMPUTED_VALUE"""),34177.0)</f>
        <v>34177</v>
      </c>
      <c r="C8464" s="9">
        <f>IFERROR(__xludf.DUMMYFUNCTION("""COMPUTED_VALUE"""),5.92)</f>
        <v>5.92</v>
      </c>
      <c r="H8464" s="17"/>
      <c r="K8464" s="17"/>
      <c r="N8464" s="17"/>
    </row>
    <row r="8465">
      <c r="B8465" s="11">
        <f>IFERROR(__xludf.DUMMYFUNCTION("""COMPUTED_VALUE"""),34176.0)</f>
        <v>34176</v>
      </c>
      <c r="C8465" s="9">
        <f>IFERROR(__xludf.DUMMYFUNCTION("""COMPUTED_VALUE"""),5.93)</f>
        <v>5.93</v>
      </c>
      <c r="H8465" s="17"/>
      <c r="K8465" s="17"/>
      <c r="N8465" s="17"/>
    </row>
    <row r="8466">
      <c r="B8466" s="11">
        <f>IFERROR(__xludf.DUMMYFUNCTION("""COMPUTED_VALUE"""),34173.0)</f>
        <v>34173</v>
      </c>
      <c r="C8466" s="9">
        <f>IFERROR(__xludf.DUMMYFUNCTION("""COMPUTED_VALUE"""),5.95)</f>
        <v>5.95</v>
      </c>
      <c r="H8466" s="17"/>
      <c r="K8466" s="17"/>
      <c r="N8466" s="17"/>
    </row>
    <row r="8467">
      <c r="B8467" s="11">
        <f>IFERROR(__xludf.DUMMYFUNCTION("""COMPUTED_VALUE"""),34172.0)</f>
        <v>34172</v>
      </c>
      <c r="C8467" s="9">
        <f>IFERROR(__xludf.DUMMYFUNCTION("""COMPUTED_VALUE"""),5.9)</f>
        <v>5.9</v>
      </c>
      <c r="H8467" s="17"/>
      <c r="K8467" s="17"/>
      <c r="N8467" s="17"/>
    </row>
    <row r="8468">
      <c r="B8468" s="11">
        <f>IFERROR(__xludf.DUMMYFUNCTION("""COMPUTED_VALUE"""),34171.0)</f>
        <v>34171</v>
      </c>
      <c r="C8468" s="9">
        <f>IFERROR(__xludf.DUMMYFUNCTION("""COMPUTED_VALUE"""),5.83)</f>
        <v>5.83</v>
      </c>
      <c r="H8468" s="17"/>
      <c r="K8468" s="17"/>
      <c r="N8468" s="17"/>
    </row>
    <row r="8469">
      <c r="B8469" s="11">
        <f>IFERROR(__xludf.DUMMYFUNCTION("""COMPUTED_VALUE"""),34170.0)</f>
        <v>34170</v>
      </c>
      <c r="C8469" s="9">
        <f>IFERROR(__xludf.DUMMYFUNCTION("""COMPUTED_VALUE"""),5.75)</f>
        <v>5.75</v>
      </c>
      <c r="H8469" s="17"/>
      <c r="K8469" s="17"/>
      <c r="N8469" s="17"/>
    </row>
    <row r="8470">
      <c r="B8470" s="11">
        <f>IFERROR(__xludf.DUMMYFUNCTION("""COMPUTED_VALUE"""),34169.0)</f>
        <v>34169</v>
      </c>
      <c r="C8470" s="9">
        <f>IFERROR(__xludf.DUMMYFUNCTION("""COMPUTED_VALUE"""),5.71)</f>
        <v>5.71</v>
      </c>
      <c r="H8470" s="17"/>
      <c r="K8470" s="17"/>
      <c r="N8470" s="17"/>
    </row>
    <row r="8471">
      <c r="B8471" s="11">
        <f>IFERROR(__xludf.DUMMYFUNCTION("""COMPUTED_VALUE"""),34166.0)</f>
        <v>34166</v>
      </c>
      <c r="C8471" s="9">
        <f>IFERROR(__xludf.DUMMYFUNCTION("""COMPUTED_VALUE"""),5.71)</f>
        <v>5.71</v>
      </c>
      <c r="H8471" s="17"/>
      <c r="K8471" s="17"/>
      <c r="N8471" s="17"/>
    </row>
    <row r="8472">
      <c r="B8472" s="11">
        <f>IFERROR(__xludf.DUMMYFUNCTION("""COMPUTED_VALUE"""),34165.0)</f>
        <v>34165</v>
      </c>
      <c r="C8472" s="9">
        <f>IFERROR(__xludf.DUMMYFUNCTION("""COMPUTED_VALUE"""),5.72)</f>
        <v>5.72</v>
      </c>
      <c r="H8472" s="17"/>
      <c r="K8472" s="17"/>
      <c r="N8472" s="17"/>
    </row>
    <row r="8473">
      <c r="B8473" s="11">
        <f>IFERROR(__xludf.DUMMYFUNCTION("""COMPUTED_VALUE"""),34164.0)</f>
        <v>34164</v>
      </c>
      <c r="C8473" s="9">
        <f>IFERROR(__xludf.DUMMYFUNCTION("""COMPUTED_VALUE"""),5.72)</f>
        <v>5.72</v>
      </c>
      <c r="H8473" s="17"/>
      <c r="K8473" s="17"/>
      <c r="N8473" s="17"/>
    </row>
    <row r="8474">
      <c r="B8474" s="11">
        <f>IFERROR(__xludf.DUMMYFUNCTION("""COMPUTED_VALUE"""),34163.0)</f>
        <v>34163</v>
      </c>
      <c r="C8474" s="9">
        <f>IFERROR(__xludf.DUMMYFUNCTION("""COMPUTED_VALUE"""),5.78)</f>
        <v>5.78</v>
      </c>
      <c r="H8474" s="17"/>
      <c r="K8474" s="17"/>
      <c r="N8474" s="17"/>
    </row>
    <row r="8475">
      <c r="B8475" s="11">
        <f>IFERROR(__xludf.DUMMYFUNCTION("""COMPUTED_VALUE"""),34162.0)</f>
        <v>34162</v>
      </c>
      <c r="C8475" s="9">
        <f>IFERROR(__xludf.DUMMYFUNCTION("""COMPUTED_VALUE"""),5.75)</f>
        <v>5.75</v>
      </c>
      <c r="H8475" s="17"/>
      <c r="K8475" s="17"/>
      <c r="N8475" s="17"/>
    </row>
    <row r="8476">
      <c r="B8476" s="11">
        <f>IFERROR(__xludf.DUMMYFUNCTION("""COMPUTED_VALUE"""),34159.0)</f>
        <v>34159</v>
      </c>
      <c r="C8476" s="9">
        <f>IFERROR(__xludf.DUMMYFUNCTION("""COMPUTED_VALUE"""),5.76)</f>
        <v>5.76</v>
      </c>
      <c r="H8476" s="17"/>
      <c r="K8476" s="17"/>
      <c r="N8476" s="17"/>
    </row>
    <row r="8477">
      <c r="B8477" s="11">
        <f>IFERROR(__xludf.DUMMYFUNCTION("""COMPUTED_VALUE"""),34158.0)</f>
        <v>34158</v>
      </c>
      <c r="C8477" s="9">
        <f>IFERROR(__xludf.DUMMYFUNCTION("""COMPUTED_VALUE"""),5.78)</f>
        <v>5.78</v>
      </c>
      <c r="H8477" s="17"/>
      <c r="K8477" s="17"/>
      <c r="N8477" s="17"/>
    </row>
    <row r="8478">
      <c r="B8478" s="11">
        <f>IFERROR(__xludf.DUMMYFUNCTION("""COMPUTED_VALUE"""),34157.0)</f>
        <v>34157</v>
      </c>
      <c r="C8478" s="9">
        <f>IFERROR(__xludf.DUMMYFUNCTION("""COMPUTED_VALUE"""),5.8)</f>
        <v>5.8</v>
      </c>
      <c r="H8478" s="17"/>
      <c r="K8478" s="17"/>
      <c r="N8478" s="17"/>
    </row>
    <row r="8479">
      <c r="B8479" s="11">
        <f>IFERROR(__xludf.DUMMYFUNCTION("""COMPUTED_VALUE"""),34156.0)</f>
        <v>34156</v>
      </c>
      <c r="C8479" s="9">
        <f>IFERROR(__xludf.DUMMYFUNCTION("""COMPUTED_VALUE"""),5.8)</f>
        <v>5.8</v>
      </c>
      <c r="H8479" s="17"/>
      <c r="K8479" s="17"/>
      <c r="N8479" s="17"/>
    </row>
    <row r="8480">
      <c r="B8480" s="11">
        <f>IFERROR(__xludf.DUMMYFUNCTION("""COMPUTED_VALUE"""),34155.0)</f>
        <v>34155</v>
      </c>
      <c r="C8480" s="9"/>
      <c r="H8480" s="17"/>
      <c r="K8480" s="17"/>
      <c r="N8480" s="17"/>
    </row>
    <row r="8481">
      <c r="B8481" s="11">
        <f>IFERROR(__xludf.DUMMYFUNCTION("""COMPUTED_VALUE"""),34152.0)</f>
        <v>34152</v>
      </c>
      <c r="C8481" s="9">
        <f>IFERROR(__xludf.DUMMYFUNCTION("""COMPUTED_VALUE"""),5.76)</f>
        <v>5.76</v>
      </c>
      <c r="H8481" s="17"/>
      <c r="K8481" s="17"/>
      <c r="N8481" s="17"/>
    </row>
    <row r="8482">
      <c r="B8482" s="11">
        <f>IFERROR(__xludf.DUMMYFUNCTION("""COMPUTED_VALUE"""),34151.0)</f>
        <v>34151</v>
      </c>
      <c r="C8482" s="9">
        <f>IFERROR(__xludf.DUMMYFUNCTION("""COMPUTED_VALUE"""),5.8)</f>
        <v>5.8</v>
      </c>
      <c r="H8482" s="17"/>
      <c r="K8482" s="17"/>
      <c r="N8482" s="17"/>
    </row>
    <row r="8483">
      <c r="B8483" s="11">
        <f>IFERROR(__xludf.DUMMYFUNCTION("""COMPUTED_VALUE"""),34150.0)</f>
        <v>34150</v>
      </c>
      <c r="C8483" s="9">
        <f>IFERROR(__xludf.DUMMYFUNCTION("""COMPUTED_VALUE"""),5.8)</f>
        <v>5.8</v>
      </c>
      <c r="H8483" s="17"/>
      <c r="K8483" s="17"/>
      <c r="N8483" s="17"/>
    </row>
    <row r="8484">
      <c r="B8484" s="11">
        <f>IFERROR(__xludf.DUMMYFUNCTION("""COMPUTED_VALUE"""),34149.0)</f>
        <v>34149</v>
      </c>
      <c r="C8484" s="9">
        <f>IFERROR(__xludf.DUMMYFUNCTION("""COMPUTED_VALUE"""),5.79)</f>
        <v>5.79</v>
      </c>
      <c r="H8484" s="17"/>
      <c r="K8484" s="17"/>
      <c r="N8484" s="17"/>
    </row>
    <row r="8485">
      <c r="B8485" s="11">
        <f>IFERROR(__xludf.DUMMYFUNCTION("""COMPUTED_VALUE"""),34148.0)</f>
        <v>34148</v>
      </c>
      <c r="C8485" s="9">
        <f>IFERROR(__xludf.DUMMYFUNCTION("""COMPUTED_VALUE"""),5.8)</f>
        <v>5.8</v>
      </c>
      <c r="H8485" s="17"/>
      <c r="K8485" s="17"/>
      <c r="N8485" s="17"/>
    </row>
    <row r="8486">
      <c r="B8486" s="11">
        <f>IFERROR(__xludf.DUMMYFUNCTION("""COMPUTED_VALUE"""),34145.0)</f>
        <v>34145</v>
      </c>
      <c r="C8486" s="9">
        <f>IFERROR(__xludf.DUMMYFUNCTION("""COMPUTED_VALUE"""),5.84)</f>
        <v>5.84</v>
      </c>
      <c r="H8486" s="17"/>
      <c r="K8486" s="17"/>
      <c r="N8486" s="17"/>
    </row>
    <row r="8487">
      <c r="B8487" s="11">
        <f>IFERROR(__xludf.DUMMYFUNCTION("""COMPUTED_VALUE"""),34144.0)</f>
        <v>34144</v>
      </c>
      <c r="C8487" s="9">
        <f>IFERROR(__xludf.DUMMYFUNCTION("""COMPUTED_VALUE"""),5.88)</f>
        <v>5.88</v>
      </c>
      <c r="H8487" s="17"/>
      <c r="K8487" s="17"/>
      <c r="N8487" s="17"/>
    </row>
    <row r="8488">
      <c r="B8488" s="11">
        <f>IFERROR(__xludf.DUMMYFUNCTION("""COMPUTED_VALUE"""),34143.0)</f>
        <v>34143</v>
      </c>
      <c r="C8488" s="9">
        <f>IFERROR(__xludf.DUMMYFUNCTION("""COMPUTED_VALUE"""),5.91)</f>
        <v>5.91</v>
      </c>
      <c r="H8488" s="17"/>
      <c r="K8488" s="17"/>
      <c r="N8488" s="17"/>
    </row>
    <row r="8489">
      <c r="B8489" s="11">
        <f>IFERROR(__xludf.DUMMYFUNCTION("""COMPUTED_VALUE"""),34142.0)</f>
        <v>34142</v>
      </c>
      <c r="C8489" s="9">
        <f>IFERROR(__xludf.DUMMYFUNCTION("""COMPUTED_VALUE"""),5.91)</f>
        <v>5.91</v>
      </c>
      <c r="H8489" s="17"/>
      <c r="K8489" s="17"/>
      <c r="N8489" s="17"/>
    </row>
    <row r="8490">
      <c r="B8490" s="11">
        <f>IFERROR(__xludf.DUMMYFUNCTION("""COMPUTED_VALUE"""),34141.0)</f>
        <v>34141</v>
      </c>
      <c r="C8490" s="9">
        <f>IFERROR(__xludf.DUMMYFUNCTION("""COMPUTED_VALUE"""),5.92)</f>
        <v>5.92</v>
      </c>
      <c r="H8490" s="17"/>
      <c r="K8490" s="17"/>
      <c r="N8490" s="17"/>
    </row>
    <row r="8491">
      <c r="B8491" s="11">
        <f>IFERROR(__xludf.DUMMYFUNCTION("""COMPUTED_VALUE"""),34138.0)</f>
        <v>34138</v>
      </c>
      <c r="C8491" s="9">
        <f>IFERROR(__xludf.DUMMYFUNCTION("""COMPUTED_VALUE"""),5.97)</f>
        <v>5.97</v>
      </c>
      <c r="H8491" s="17"/>
      <c r="K8491" s="17"/>
      <c r="N8491" s="17"/>
    </row>
    <row r="8492">
      <c r="B8492" s="11">
        <f>IFERROR(__xludf.DUMMYFUNCTION("""COMPUTED_VALUE"""),34137.0)</f>
        <v>34137</v>
      </c>
      <c r="C8492" s="9">
        <f>IFERROR(__xludf.DUMMYFUNCTION("""COMPUTED_VALUE"""),5.93)</f>
        <v>5.93</v>
      </c>
      <c r="H8492" s="17"/>
      <c r="K8492" s="17"/>
      <c r="N8492" s="17"/>
    </row>
    <row r="8493">
      <c r="B8493" s="11">
        <f>IFERROR(__xludf.DUMMYFUNCTION("""COMPUTED_VALUE"""),34136.0)</f>
        <v>34136</v>
      </c>
      <c r="C8493" s="9">
        <f>IFERROR(__xludf.DUMMYFUNCTION("""COMPUTED_VALUE"""),5.96)</f>
        <v>5.96</v>
      </c>
      <c r="H8493" s="17"/>
      <c r="K8493" s="17"/>
      <c r="N8493" s="17"/>
    </row>
    <row r="8494">
      <c r="B8494" s="11">
        <f>IFERROR(__xludf.DUMMYFUNCTION("""COMPUTED_VALUE"""),34135.0)</f>
        <v>34135</v>
      </c>
      <c r="C8494" s="9">
        <f>IFERROR(__xludf.DUMMYFUNCTION("""COMPUTED_VALUE"""),5.96)</f>
        <v>5.96</v>
      </c>
      <c r="H8494" s="17"/>
      <c r="K8494" s="17"/>
      <c r="N8494" s="17"/>
    </row>
    <row r="8495">
      <c r="B8495" s="11">
        <f>IFERROR(__xludf.DUMMYFUNCTION("""COMPUTED_VALUE"""),34134.0)</f>
        <v>34134</v>
      </c>
      <c r="C8495" s="9">
        <f>IFERROR(__xludf.DUMMYFUNCTION("""COMPUTED_VALUE"""),5.97)</f>
        <v>5.97</v>
      </c>
      <c r="H8495" s="17"/>
      <c r="K8495" s="17"/>
      <c r="N8495" s="17"/>
    </row>
    <row r="8496">
      <c r="B8496" s="11">
        <f>IFERROR(__xludf.DUMMYFUNCTION("""COMPUTED_VALUE"""),34131.0)</f>
        <v>34131</v>
      </c>
      <c r="C8496" s="9">
        <f>IFERROR(__xludf.DUMMYFUNCTION("""COMPUTED_VALUE"""),5.97)</f>
        <v>5.97</v>
      </c>
      <c r="H8496" s="17"/>
      <c r="K8496" s="17"/>
      <c r="N8496" s="17"/>
    </row>
    <row r="8497">
      <c r="B8497" s="11">
        <f>IFERROR(__xludf.DUMMYFUNCTION("""COMPUTED_VALUE"""),34130.0)</f>
        <v>34130</v>
      </c>
      <c r="C8497" s="9">
        <f>IFERROR(__xludf.DUMMYFUNCTION("""COMPUTED_VALUE"""),6.07)</f>
        <v>6.07</v>
      </c>
      <c r="H8497" s="17"/>
      <c r="K8497" s="17"/>
      <c r="N8497" s="17"/>
    </row>
    <row r="8498">
      <c r="B8498" s="11">
        <f>IFERROR(__xludf.DUMMYFUNCTION("""COMPUTED_VALUE"""),34129.0)</f>
        <v>34129</v>
      </c>
      <c r="C8498" s="9">
        <f>IFERROR(__xludf.DUMMYFUNCTION("""COMPUTED_VALUE"""),6.07)</f>
        <v>6.07</v>
      </c>
      <c r="H8498" s="17"/>
      <c r="K8498" s="17"/>
      <c r="N8498" s="17"/>
    </row>
    <row r="8499">
      <c r="B8499" s="11">
        <f>IFERROR(__xludf.DUMMYFUNCTION("""COMPUTED_VALUE"""),34128.0)</f>
        <v>34128</v>
      </c>
      <c r="C8499" s="9">
        <f>IFERROR(__xludf.DUMMYFUNCTION("""COMPUTED_VALUE"""),6.09)</f>
        <v>6.09</v>
      </c>
      <c r="H8499" s="17"/>
      <c r="K8499" s="17"/>
      <c r="N8499" s="17"/>
    </row>
    <row r="8500">
      <c r="B8500" s="11">
        <f>IFERROR(__xludf.DUMMYFUNCTION("""COMPUTED_VALUE"""),34127.0)</f>
        <v>34127</v>
      </c>
      <c r="C8500" s="9">
        <f>IFERROR(__xludf.DUMMYFUNCTION("""COMPUTED_VALUE"""),6.08)</f>
        <v>6.08</v>
      </c>
      <c r="H8500" s="17"/>
      <c r="K8500" s="17"/>
      <c r="N8500" s="17"/>
    </row>
    <row r="8501">
      <c r="B8501" s="11">
        <f>IFERROR(__xludf.DUMMYFUNCTION("""COMPUTED_VALUE"""),34124.0)</f>
        <v>34124</v>
      </c>
      <c r="C8501" s="9">
        <f>IFERROR(__xludf.DUMMYFUNCTION("""COMPUTED_VALUE"""),6.11)</f>
        <v>6.11</v>
      </c>
      <c r="H8501" s="17"/>
      <c r="K8501" s="17"/>
      <c r="N8501" s="17"/>
    </row>
    <row r="8502">
      <c r="B8502" s="11">
        <f>IFERROR(__xludf.DUMMYFUNCTION("""COMPUTED_VALUE"""),34123.0)</f>
        <v>34123</v>
      </c>
      <c r="C8502" s="9">
        <f>IFERROR(__xludf.DUMMYFUNCTION("""COMPUTED_VALUE"""),6.02)</f>
        <v>6.02</v>
      </c>
      <c r="H8502" s="17"/>
      <c r="K8502" s="17"/>
      <c r="N8502" s="17"/>
    </row>
    <row r="8503">
      <c r="B8503" s="11">
        <f>IFERROR(__xludf.DUMMYFUNCTION("""COMPUTED_VALUE"""),34122.0)</f>
        <v>34122</v>
      </c>
      <c r="C8503" s="9">
        <f>IFERROR(__xludf.DUMMYFUNCTION("""COMPUTED_VALUE"""),6.06)</f>
        <v>6.06</v>
      </c>
      <c r="H8503" s="17"/>
      <c r="K8503" s="17"/>
      <c r="N8503" s="17"/>
    </row>
    <row r="8504">
      <c r="B8504" s="11">
        <f>IFERROR(__xludf.DUMMYFUNCTION("""COMPUTED_VALUE"""),34121.0)</f>
        <v>34121</v>
      </c>
      <c r="C8504" s="9">
        <f>IFERROR(__xludf.DUMMYFUNCTION("""COMPUTED_VALUE"""),6.07)</f>
        <v>6.07</v>
      </c>
      <c r="H8504" s="17"/>
      <c r="K8504" s="17"/>
      <c r="N8504" s="17"/>
    </row>
    <row r="8505">
      <c r="B8505" s="11">
        <f>IFERROR(__xludf.DUMMYFUNCTION("""COMPUTED_VALUE"""),34120.0)</f>
        <v>34120</v>
      </c>
      <c r="C8505" s="9"/>
      <c r="H8505" s="17"/>
      <c r="K8505" s="17"/>
      <c r="N8505" s="17"/>
    </row>
    <row r="8506">
      <c r="B8506" s="11">
        <f>IFERROR(__xludf.DUMMYFUNCTION("""COMPUTED_VALUE"""),34117.0)</f>
        <v>34117</v>
      </c>
      <c r="C8506" s="9">
        <f>IFERROR(__xludf.DUMMYFUNCTION("""COMPUTED_VALUE"""),6.16)</f>
        <v>6.16</v>
      </c>
      <c r="H8506" s="17"/>
      <c r="K8506" s="17"/>
      <c r="N8506" s="17"/>
    </row>
    <row r="8507">
      <c r="B8507" s="11">
        <f>IFERROR(__xludf.DUMMYFUNCTION("""COMPUTED_VALUE"""),34116.0)</f>
        <v>34116</v>
      </c>
      <c r="C8507" s="9">
        <f>IFERROR(__xludf.DUMMYFUNCTION("""COMPUTED_VALUE"""),6.11)</f>
        <v>6.11</v>
      </c>
      <c r="H8507" s="17"/>
      <c r="K8507" s="17"/>
      <c r="N8507" s="17"/>
    </row>
    <row r="8508">
      <c r="B8508" s="11">
        <f>IFERROR(__xludf.DUMMYFUNCTION("""COMPUTED_VALUE"""),34115.0)</f>
        <v>34115</v>
      </c>
      <c r="C8508" s="9">
        <f>IFERROR(__xludf.DUMMYFUNCTION("""COMPUTED_VALUE"""),6.12)</f>
        <v>6.12</v>
      </c>
      <c r="H8508" s="17"/>
      <c r="K8508" s="17"/>
      <c r="N8508" s="17"/>
    </row>
    <row r="8509">
      <c r="B8509" s="11">
        <f>IFERROR(__xludf.DUMMYFUNCTION("""COMPUTED_VALUE"""),34114.0)</f>
        <v>34114</v>
      </c>
      <c r="C8509" s="9">
        <f>IFERROR(__xludf.DUMMYFUNCTION("""COMPUTED_VALUE"""),6.17)</f>
        <v>6.17</v>
      </c>
      <c r="H8509" s="17"/>
      <c r="K8509" s="17"/>
      <c r="N8509" s="17"/>
    </row>
    <row r="8510">
      <c r="B8510" s="11">
        <f>IFERROR(__xludf.DUMMYFUNCTION("""COMPUTED_VALUE"""),34113.0)</f>
        <v>34113</v>
      </c>
      <c r="C8510" s="9">
        <f>IFERROR(__xludf.DUMMYFUNCTION("""COMPUTED_VALUE"""),6.16)</f>
        <v>6.16</v>
      </c>
      <c r="H8510" s="17"/>
      <c r="K8510" s="17"/>
      <c r="N8510" s="17"/>
    </row>
    <row r="8511">
      <c r="B8511" s="11">
        <f>IFERROR(__xludf.DUMMYFUNCTION("""COMPUTED_VALUE"""),34110.0)</f>
        <v>34110</v>
      </c>
      <c r="C8511" s="9">
        <f>IFERROR(__xludf.DUMMYFUNCTION("""COMPUTED_VALUE"""),6.16)</f>
        <v>6.16</v>
      </c>
      <c r="H8511" s="17"/>
      <c r="K8511" s="17"/>
      <c r="N8511" s="17"/>
    </row>
    <row r="8512">
      <c r="B8512" s="11">
        <f>IFERROR(__xludf.DUMMYFUNCTION("""COMPUTED_VALUE"""),34109.0)</f>
        <v>34109</v>
      </c>
      <c r="C8512" s="9">
        <f>IFERROR(__xludf.DUMMYFUNCTION("""COMPUTED_VALUE"""),6.09)</f>
        <v>6.09</v>
      </c>
      <c r="H8512" s="17"/>
      <c r="K8512" s="17"/>
      <c r="N8512" s="17"/>
    </row>
    <row r="8513">
      <c r="B8513" s="11">
        <f>IFERROR(__xludf.DUMMYFUNCTION("""COMPUTED_VALUE"""),34108.0)</f>
        <v>34108</v>
      </c>
      <c r="C8513" s="9">
        <f>IFERROR(__xludf.DUMMYFUNCTION("""COMPUTED_VALUE"""),6.11)</f>
        <v>6.11</v>
      </c>
      <c r="H8513" s="17"/>
      <c r="K8513" s="17"/>
      <c r="N8513" s="17"/>
    </row>
    <row r="8514">
      <c r="B8514" s="11">
        <f>IFERROR(__xludf.DUMMYFUNCTION("""COMPUTED_VALUE"""),34107.0)</f>
        <v>34107</v>
      </c>
      <c r="C8514" s="9">
        <f>IFERROR(__xludf.DUMMYFUNCTION("""COMPUTED_VALUE"""),6.15)</f>
        <v>6.15</v>
      </c>
      <c r="H8514" s="17"/>
      <c r="K8514" s="17"/>
      <c r="N8514" s="17"/>
    </row>
    <row r="8515">
      <c r="B8515" s="11">
        <f>IFERROR(__xludf.DUMMYFUNCTION("""COMPUTED_VALUE"""),34106.0)</f>
        <v>34106</v>
      </c>
      <c r="C8515" s="9">
        <f>IFERROR(__xludf.DUMMYFUNCTION("""COMPUTED_VALUE"""),6.07)</f>
        <v>6.07</v>
      </c>
      <c r="H8515" s="17"/>
      <c r="K8515" s="17"/>
      <c r="N8515" s="17"/>
    </row>
    <row r="8516">
      <c r="B8516" s="11">
        <f>IFERROR(__xludf.DUMMYFUNCTION("""COMPUTED_VALUE"""),34103.0)</f>
        <v>34103</v>
      </c>
      <c r="C8516" s="9">
        <f>IFERROR(__xludf.DUMMYFUNCTION("""COMPUTED_VALUE"""),6.03)</f>
        <v>6.03</v>
      </c>
      <c r="H8516" s="17"/>
      <c r="K8516" s="17"/>
      <c r="N8516" s="17"/>
    </row>
    <row r="8517">
      <c r="B8517" s="11">
        <f>IFERROR(__xludf.DUMMYFUNCTION("""COMPUTED_VALUE"""),34102.0)</f>
        <v>34102</v>
      </c>
      <c r="C8517" s="9">
        <f>IFERROR(__xludf.DUMMYFUNCTION("""COMPUTED_VALUE"""),6.02)</f>
        <v>6.02</v>
      </c>
      <c r="H8517" s="17"/>
      <c r="K8517" s="17"/>
      <c r="N8517" s="17"/>
    </row>
    <row r="8518">
      <c r="B8518" s="11">
        <f>IFERROR(__xludf.DUMMYFUNCTION("""COMPUTED_VALUE"""),34101.0)</f>
        <v>34101</v>
      </c>
      <c r="C8518" s="9">
        <f>IFERROR(__xludf.DUMMYFUNCTION("""COMPUTED_VALUE"""),5.96)</f>
        <v>5.96</v>
      </c>
      <c r="H8518" s="17"/>
      <c r="K8518" s="17"/>
      <c r="N8518" s="17"/>
    </row>
    <row r="8519">
      <c r="B8519" s="11">
        <f>IFERROR(__xludf.DUMMYFUNCTION("""COMPUTED_VALUE"""),34100.0)</f>
        <v>34100</v>
      </c>
      <c r="C8519" s="9">
        <f>IFERROR(__xludf.DUMMYFUNCTION("""COMPUTED_VALUE"""),5.89)</f>
        <v>5.89</v>
      </c>
      <c r="H8519" s="17"/>
      <c r="K8519" s="17"/>
      <c r="N8519" s="17"/>
    </row>
    <row r="8520">
      <c r="B8520" s="11">
        <f>IFERROR(__xludf.DUMMYFUNCTION("""COMPUTED_VALUE"""),34099.0)</f>
        <v>34099</v>
      </c>
      <c r="C8520" s="9">
        <f>IFERROR(__xludf.DUMMYFUNCTION("""COMPUTED_VALUE"""),5.89)</f>
        <v>5.89</v>
      </c>
      <c r="H8520" s="17"/>
      <c r="K8520" s="17"/>
      <c r="N8520" s="17"/>
    </row>
    <row r="8521">
      <c r="B8521" s="11">
        <f>IFERROR(__xludf.DUMMYFUNCTION("""COMPUTED_VALUE"""),34096.0)</f>
        <v>34096</v>
      </c>
      <c r="C8521" s="9">
        <f>IFERROR(__xludf.DUMMYFUNCTION("""COMPUTED_VALUE"""),5.92)</f>
        <v>5.92</v>
      </c>
      <c r="H8521" s="17"/>
      <c r="K8521" s="17"/>
      <c r="N8521" s="17"/>
    </row>
    <row r="8522">
      <c r="B8522" s="11">
        <f>IFERROR(__xludf.DUMMYFUNCTION("""COMPUTED_VALUE"""),34095.0)</f>
        <v>34095</v>
      </c>
      <c r="C8522" s="9">
        <f>IFERROR(__xludf.DUMMYFUNCTION("""COMPUTED_VALUE"""),5.89)</f>
        <v>5.89</v>
      </c>
      <c r="H8522" s="17"/>
      <c r="K8522" s="17"/>
      <c r="N8522" s="17"/>
    </row>
    <row r="8523">
      <c r="B8523" s="11">
        <f>IFERROR(__xludf.DUMMYFUNCTION("""COMPUTED_VALUE"""),34094.0)</f>
        <v>34094</v>
      </c>
      <c r="C8523" s="9">
        <f>IFERROR(__xludf.DUMMYFUNCTION("""COMPUTED_VALUE"""),5.93)</f>
        <v>5.93</v>
      </c>
      <c r="H8523" s="17"/>
      <c r="K8523" s="17"/>
      <c r="N8523" s="17"/>
    </row>
    <row r="8524">
      <c r="B8524" s="11">
        <f>IFERROR(__xludf.DUMMYFUNCTION("""COMPUTED_VALUE"""),34093.0)</f>
        <v>34093</v>
      </c>
      <c r="C8524" s="9">
        <f>IFERROR(__xludf.DUMMYFUNCTION("""COMPUTED_VALUE"""),5.92)</f>
        <v>5.92</v>
      </c>
      <c r="H8524" s="17"/>
      <c r="K8524" s="17"/>
      <c r="N8524" s="17"/>
    </row>
    <row r="8525">
      <c r="B8525" s="11">
        <f>IFERROR(__xludf.DUMMYFUNCTION("""COMPUTED_VALUE"""),34092.0)</f>
        <v>34092</v>
      </c>
      <c r="C8525" s="9">
        <f>IFERROR(__xludf.DUMMYFUNCTION("""COMPUTED_VALUE"""),5.96)</f>
        <v>5.96</v>
      </c>
      <c r="H8525" s="17"/>
      <c r="K8525" s="17"/>
      <c r="N8525" s="17"/>
    </row>
    <row r="8526">
      <c r="B8526" s="11">
        <f>IFERROR(__xludf.DUMMYFUNCTION("""COMPUTED_VALUE"""),34089.0)</f>
        <v>34089</v>
      </c>
      <c r="C8526" s="9">
        <f>IFERROR(__xludf.DUMMYFUNCTION("""COMPUTED_VALUE"""),6.05)</f>
        <v>6.05</v>
      </c>
      <c r="H8526" s="17"/>
      <c r="K8526" s="17"/>
      <c r="N8526" s="17"/>
    </row>
    <row r="8527">
      <c r="B8527" s="11">
        <f>IFERROR(__xludf.DUMMYFUNCTION("""COMPUTED_VALUE"""),34088.0)</f>
        <v>34088</v>
      </c>
      <c r="C8527" s="9">
        <f>IFERROR(__xludf.DUMMYFUNCTION("""COMPUTED_VALUE"""),5.99)</f>
        <v>5.99</v>
      </c>
      <c r="H8527" s="17"/>
      <c r="K8527" s="17"/>
      <c r="N8527" s="17"/>
    </row>
    <row r="8528">
      <c r="B8528" s="11">
        <f>IFERROR(__xludf.DUMMYFUNCTION("""COMPUTED_VALUE"""),34087.0)</f>
        <v>34087</v>
      </c>
      <c r="C8528" s="9">
        <f>IFERROR(__xludf.DUMMYFUNCTION("""COMPUTED_VALUE"""),6.03)</f>
        <v>6.03</v>
      </c>
      <c r="H8528" s="17"/>
      <c r="K8528" s="17"/>
      <c r="N8528" s="17"/>
    </row>
    <row r="8529">
      <c r="B8529" s="11">
        <f>IFERROR(__xludf.DUMMYFUNCTION("""COMPUTED_VALUE"""),34086.0)</f>
        <v>34086</v>
      </c>
      <c r="C8529" s="9">
        <f>IFERROR(__xludf.DUMMYFUNCTION("""COMPUTED_VALUE"""),6.02)</f>
        <v>6.02</v>
      </c>
      <c r="H8529" s="17"/>
      <c r="K8529" s="17"/>
      <c r="N8529" s="17"/>
    </row>
    <row r="8530">
      <c r="B8530" s="11">
        <f>IFERROR(__xludf.DUMMYFUNCTION("""COMPUTED_VALUE"""),34085.0)</f>
        <v>34085</v>
      </c>
      <c r="C8530" s="9">
        <f>IFERROR(__xludf.DUMMYFUNCTION("""COMPUTED_VALUE"""),5.94)</f>
        <v>5.94</v>
      </c>
      <c r="H8530" s="17"/>
      <c r="K8530" s="17"/>
      <c r="N8530" s="17"/>
    </row>
    <row r="8531">
      <c r="B8531" s="11">
        <f>IFERROR(__xludf.DUMMYFUNCTION("""COMPUTED_VALUE"""),34082.0)</f>
        <v>34082</v>
      </c>
      <c r="C8531" s="9">
        <f>IFERROR(__xludf.DUMMYFUNCTION("""COMPUTED_VALUE"""),5.89)</f>
        <v>5.89</v>
      </c>
      <c r="H8531" s="17"/>
      <c r="K8531" s="17"/>
      <c r="N8531" s="17"/>
    </row>
    <row r="8532">
      <c r="B8532" s="11">
        <f>IFERROR(__xludf.DUMMYFUNCTION("""COMPUTED_VALUE"""),34081.0)</f>
        <v>34081</v>
      </c>
      <c r="C8532" s="9">
        <f>IFERROR(__xludf.DUMMYFUNCTION("""COMPUTED_VALUE"""),5.85)</f>
        <v>5.85</v>
      </c>
      <c r="H8532" s="17"/>
      <c r="K8532" s="17"/>
      <c r="N8532" s="17"/>
    </row>
    <row r="8533">
      <c r="B8533" s="11">
        <f>IFERROR(__xludf.DUMMYFUNCTION("""COMPUTED_VALUE"""),34080.0)</f>
        <v>34080</v>
      </c>
      <c r="C8533" s="9">
        <f>IFERROR(__xludf.DUMMYFUNCTION("""COMPUTED_VALUE"""),5.86)</f>
        <v>5.86</v>
      </c>
      <c r="H8533" s="17"/>
      <c r="K8533" s="17"/>
      <c r="N8533" s="17"/>
    </row>
    <row r="8534">
      <c r="B8534" s="11">
        <f>IFERROR(__xludf.DUMMYFUNCTION("""COMPUTED_VALUE"""),34079.0)</f>
        <v>34079</v>
      </c>
      <c r="C8534" s="9">
        <f>IFERROR(__xludf.DUMMYFUNCTION("""COMPUTED_VALUE"""),5.87)</f>
        <v>5.87</v>
      </c>
      <c r="H8534" s="17"/>
      <c r="K8534" s="17"/>
      <c r="N8534" s="17"/>
    </row>
    <row r="8535">
      <c r="B8535" s="11">
        <f>IFERROR(__xludf.DUMMYFUNCTION("""COMPUTED_VALUE"""),34078.0)</f>
        <v>34078</v>
      </c>
      <c r="C8535" s="9">
        <f>IFERROR(__xludf.DUMMYFUNCTION("""COMPUTED_VALUE"""),5.87)</f>
        <v>5.87</v>
      </c>
      <c r="H8535" s="17"/>
      <c r="K8535" s="17"/>
      <c r="N8535" s="17"/>
    </row>
    <row r="8536">
      <c r="B8536" s="11">
        <f>IFERROR(__xludf.DUMMYFUNCTION("""COMPUTED_VALUE"""),34075.0)</f>
        <v>34075</v>
      </c>
      <c r="C8536" s="9">
        <f>IFERROR(__xludf.DUMMYFUNCTION("""COMPUTED_VALUE"""),5.89)</f>
        <v>5.89</v>
      </c>
      <c r="H8536" s="17"/>
      <c r="K8536" s="17"/>
      <c r="N8536" s="17"/>
    </row>
    <row r="8537">
      <c r="B8537" s="11">
        <f>IFERROR(__xludf.DUMMYFUNCTION("""COMPUTED_VALUE"""),34074.0)</f>
        <v>34074</v>
      </c>
      <c r="C8537" s="9">
        <f>IFERROR(__xludf.DUMMYFUNCTION("""COMPUTED_VALUE"""),5.88)</f>
        <v>5.88</v>
      </c>
      <c r="H8537" s="17"/>
      <c r="K8537" s="17"/>
      <c r="N8537" s="17"/>
    </row>
    <row r="8538">
      <c r="B8538" s="11">
        <f>IFERROR(__xludf.DUMMYFUNCTION("""COMPUTED_VALUE"""),34073.0)</f>
        <v>34073</v>
      </c>
      <c r="C8538" s="9">
        <f>IFERROR(__xludf.DUMMYFUNCTION("""COMPUTED_VALUE"""),5.9)</f>
        <v>5.9</v>
      </c>
      <c r="H8538" s="17"/>
      <c r="K8538" s="17"/>
      <c r="N8538" s="17"/>
    </row>
    <row r="8539">
      <c r="B8539" s="11">
        <f>IFERROR(__xludf.DUMMYFUNCTION("""COMPUTED_VALUE"""),34072.0)</f>
        <v>34072</v>
      </c>
      <c r="C8539" s="9">
        <f>IFERROR(__xludf.DUMMYFUNCTION("""COMPUTED_VALUE"""),5.93)</f>
        <v>5.93</v>
      </c>
      <c r="H8539" s="17"/>
      <c r="K8539" s="17"/>
      <c r="N8539" s="17"/>
    </row>
    <row r="8540">
      <c r="B8540" s="11">
        <f>IFERROR(__xludf.DUMMYFUNCTION("""COMPUTED_VALUE"""),34071.0)</f>
        <v>34071</v>
      </c>
      <c r="C8540" s="9">
        <f>IFERROR(__xludf.DUMMYFUNCTION("""COMPUTED_VALUE"""),5.92)</f>
        <v>5.92</v>
      </c>
      <c r="H8540" s="17"/>
      <c r="K8540" s="17"/>
      <c r="N8540" s="17"/>
    </row>
    <row r="8541">
      <c r="B8541" s="11">
        <f>IFERROR(__xludf.DUMMYFUNCTION("""COMPUTED_VALUE"""),34068.0)</f>
        <v>34068</v>
      </c>
      <c r="C8541" s="9"/>
      <c r="H8541" s="17"/>
      <c r="K8541" s="17"/>
      <c r="N8541" s="17"/>
    </row>
    <row r="8542">
      <c r="B8542" s="11">
        <f>IFERROR(__xludf.DUMMYFUNCTION("""COMPUTED_VALUE"""),34067.0)</f>
        <v>34067</v>
      </c>
      <c r="C8542" s="9">
        <f>IFERROR(__xludf.DUMMYFUNCTION("""COMPUTED_VALUE"""),5.97)</f>
        <v>5.97</v>
      </c>
      <c r="H8542" s="17"/>
      <c r="K8542" s="17"/>
      <c r="N8542" s="17"/>
    </row>
    <row r="8543">
      <c r="B8543" s="11">
        <f>IFERROR(__xludf.DUMMYFUNCTION("""COMPUTED_VALUE"""),34066.0)</f>
        <v>34066</v>
      </c>
      <c r="C8543" s="9">
        <f>IFERROR(__xludf.DUMMYFUNCTION("""COMPUTED_VALUE"""),6.07)</f>
        <v>6.07</v>
      </c>
      <c r="H8543" s="17"/>
      <c r="K8543" s="17"/>
      <c r="N8543" s="17"/>
    </row>
    <row r="8544">
      <c r="B8544" s="11">
        <f>IFERROR(__xludf.DUMMYFUNCTION("""COMPUTED_VALUE"""),34065.0)</f>
        <v>34065</v>
      </c>
      <c r="C8544" s="9">
        <f>IFERROR(__xludf.DUMMYFUNCTION("""COMPUTED_VALUE"""),6.08)</f>
        <v>6.08</v>
      </c>
      <c r="H8544" s="17"/>
      <c r="K8544" s="17"/>
      <c r="N8544" s="17"/>
    </row>
    <row r="8545">
      <c r="B8545" s="11">
        <f>IFERROR(__xludf.DUMMYFUNCTION("""COMPUTED_VALUE"""),34064.0)</f>
        <v>34064</v>
      </c>
      <c r="C8545" s="9">
        <f>IFERROR(__xludf.DUMMYFUNCTION("""COMPUTED_VALUE"""),6.13)</f>
        <v>6.13</v>
      </c>
      <c r="H8545" s="17"/>
      <c r="K8545" s="17"/>
      <c r="N8545" s="17"/>
    </row>
    <row r="8546">
      <c r="B8546" s="11">
        <f>IFERROR(__xludf.DUMMYFUNCTION("""COMPUTED_VALUE"""),34061.0)</f>
        <v>34061</v>
      </c>
      <c r="C8546" s="9">
        <f>IFERROR(__xludf.DUMMYFUNCTION("""COMPUTED_VALUE"""),6.16)</f>
        <v>6.16</v>
      </c>
      <c r="H8546" s="17"/>
      <c r="K8546" s="17"/>
      <c r="N8546" s="17"/>
    </row>
    <row r="8547">
      <c r="B8547" s="11">
        <f>IFERROR(__xludf.DUMMYFUNCTION("""COMPUTED_VALUE"""),34060.0)</f>
        <v>34060</v>
      </c>
      <c r="C8547" s="9">
        <f>IFERROR(__xludf.DUMMYFUNCTION("""COMPUTED_VALUE"""),6.06)</f>
        <v>6.06</v>
      </c>
      <c r="H8547" s="17"/>
      <c r="K8547" s="17"/>
      <c r="N8547" s="17"/>
    </row>
    <row r="8548">
      <c r="B8548" s="11">
        <f>IFERROR(__xludf.DUMMYFUNCTION("""COMPUTED_VALUE"""),34059.0)</f>
        <v>34059</v>
      </c>
      <c r="C8548" s="9">
        <f>IFERROR(__xludf.DUMMYFUNCTION("""COMPUTED_VALUE"""),6.03)</f>
        <v>6.03</v>
      </c>
      <c r="H8548" s="17"/>
      <c r="K8548" s="17"/>
      <c r="N8548" s="17"/>
    </row>
    <row r="8549">
      <c r="B8549" s="11">
        <f>IFERROR(__xludf.DUMMYFUNCTION("""COMPUTED_VALUE"""),34058.0)</f>
        <v>34058</v>
      </c>
      <c r="C8549" s="9">
        <f>IFERROR(__xludf.DUMMYFUNCTION("""COMPUTED_VALUE"""),6.02)</f>
        <v>6.02</v>
      </c>
      <c r="H8549" s="17"/>
      <c r="K8549" s="17"/>
      <c r="N8549" s="17"/>
    </row>
    <row r="8550">
      <c r="B8550" s="11">
        <f>IFERROR(__xludf.DUMMYFUNCTION("""COMPUTED_VALUE"""),34057.0)</f>
        <v>34057</v>
      </c>
      <c r="C8550" s="9">
        <f>IFERROR(__xludf.DUMMYFUNCTION("""COMPUTED_VALUE"""),6.06)</f>
        <v>6.06</v>
      </c>
      <c r="H8550" s="17"/>
      <c r="K8550" s="17"/>
      <c r="N8550" s="17"/>
    </row>
    <row r="8551">
      <c r="B8551" s="11">
        <f>IFERROR(__xludf.DUMMYFUNCTION("""COMPUTED_VALUE"""),34054.0)</f>
        <v>34054</v>
      </c>
      <c r="C8551" s="9">
        <f>IFERROR(__xludf.DUMMYFUNCTION("""COMPUTED_VALUE"""),6.09)</f>
        <v>6.09</v>
      </c>
      <c r="H8551" s="17"/>
      <c r="K8551" s="17"/>
      <c r="N8551" s="17"/>
    </row>
    <row r="8552">
      <c r="B8552" s="11">
        <f>IFERROR(__xludf.DUMMYFUNCTION("""COMPUTED_VALUE"""),34053.0)</f>
        <v>34053</v>
      </c>
      <c r="C8552" s="9">
        <f>IFERROR(__xludf.DUMMYFUNCTION("""COMPUTED_VALUE"""),5.98)</f>
        <v>5.98</v>
      </c>
      <c r="H8552" s="17"/>
      <c r="K8552" s="17"/>
      <c r="N8552" s="17"/>
    </row>
    <row r="8553">
      <c r="B8553" s="11">
        <f>IFERROR(__xludf.DUMMYFUNCTION("""COMPUTED_VALUE"""),34052.0)</f>
        <v>34052</v>
      </c>
      <c r="C8553" s="9">
        <f>IFERROR(__xludf.DUMMYFUNCTION("""COMPUTED_VALUE"""),5.95)</f>
        <v>5.95</v>
      </c>
      <c r="H8553" s="17"/>
      <c r="K8553" s="17"/>
      <c r="N8553" s="17"/>
    </row>
    <row r="8554">
      <c r="B8554" s="11">
        <f>IFERROR(__xludf.DUMMYFUNCTION("""COMPUTED_VALUE"""),34051.0)</f>
        <v>34051</v>
      </c>
      <c r="C8554" s="9">
        <f>IFERROR(__xludf.DUMMYFUNCTION("""COMPUTED_VALUE"""),5.91)</f>
        <v>5.91</v>
      </c>
      <c r="H8554" s="17"/>
      <c r="K8554" s="17"/>
      <c r="N8554" s="17"/>
    </row>
    <row r="8555">
      <c r="B8555" s="11">
        <f>IFERROR(__xludf.DUMMYFUNCTION("""COMPUTED_VALUE"""),34050.0)</f>
        <v>34050</v>
      </c>
      <c r="C8555" s="9">
        <f>IFERROR(__xludf.DUMMYFUNCTION("""COMPUTED_VALUE"""),5.96)</f>
        <v>5.96</v>
      </c>
      <c r="H8555" s="17"/>
      <c r="K8555" s="17"/>
      <c r="N8555" s="17"/>
    </row>
    <row r="8556">
      <c r="B8556" s="11">
        <f>IFERROR(__xludf.DUMMYFUNCTION("""COMPUTED_VALUE"""),34047.0)</f>
        <v>34047</v>
      </c>
      <c r="C8556" s="9">
        <f>IFERROR(__xludf.DUMMYFUNCTION("""COMPUTED_VALUE"""),5.95)</f>
        <v>5.95</v>
      </c>
      <c r="H8556" s="17"/>
      <c r="K8556" s="17"/>
      <c r="N8556" s="17"/>
    </row>
    <row r="8557">
      <c r="B8557" s="11">
        <f>IFERROR(__xludf.DUMMYFUNCTION("""COMPUTED_VALUE"""),34046.0)</f>
        <v>34046</v>
      </c>
      <c r="C8557" s="9">
        <f>IFERROR(__xludf.DUMMYFUNCTION("""COMPUTED_VALUE"""),5.93)</f>
        <v>5.93</v>
      </c>
      <c r="H8557" s="17"/>
      <c r="K8557" s="17"/>
      <c r="N8557" s="17"/>
    </row>
    <row r="8558">
      <c r="B8558" s="11">
        <f>IFERROR(__xludf.DUMMYFUNCTION("""COMPUTED_VALUE"""),34045.0)</f>
        <v>34045</v>
      </c>
      <c r="C8558" s="9">
        <f>IFERROR(__xludf.DUMMYFUNCTION("""COMPUTED_VALUE"""),6.02)</f>
        <v>6.02</v>
      </c>
      <c r="H8558" s="17"/>
      <c r="K8558" s="17"/>
      <c r="N8558" s="17"/>
    </row>
    <row r="8559">
      <c r="B8559" s="11">
        <f>IFERROR(__xludf.DUMMYFUNCTION("""COMPUTED_VALUE"""),34044.0)</f>
        <v>34044</v>
      </c>
      <c r="C8559" s="9">
        <f>IFERROR(__xludf.DUMMYFUNCTION("""COMPUTED_VALUE"""),6.06)</f>
        <v>6.06</v>
      </c>
      <c r="H8559" s="17"/>
      <c r="K8559" s="17"/>
      <c r="N8559" s="17"/>
    </row>
    <row r="8560">
      <c r="B8560" s="11">
        <f>IFERROR(__xludf.DUMMYFUNCTION("""COMPUTED_VALUE"""),34043.0)</f>
        <v>34043</v>
      </c>
      <c r="C8560" s="9">
        <f>IFERROR(__xludf.DUMMYFUNCTION("""COMPUTED_VALUE"""),6.17)</f>
        <v>6.17</v>
      </c>
      <c r="H8560" s="17"/>
      <c r="K8560" s="17"/>
      <c r="N8560" s="17"/>
    </row>
    <row r="8561">
      <c r="B8561" s="11">
        <f>IFERROR(__xludf.DUMMYFUNCTION("""COMPUTED_VALUE"""),34040.0)</f>
        <v>34040</v>
      </c>
      <c r="C8561" s="9">
        <f>IFERROR(__xludf.DUMMYFUNCTION("""COMPUTED_VALUE"""),6.11)</f>
        <v>6.11</v>
      </c>
      <c r="H8561" s="17"/>
      <c r="K8561" s="17"/>
      <c r="N8561" s="17"/>
    </row>
    <row r="8562">
      <c r="B8562" s="11">
        <f>IFERROR(__xludf.DUMMYFUNCTION("""COMPUTED_VALUE"""),34039.0)</f>
        <v>34039</v>
      </c>
      <c r="C8562" s="9">
        <f>IFERROR(__xludf.DUMMYFUNCTION("""COMPUTED_VALUE"""),5.96)</f>
        <v>5.96</v>
      </c>
      <c r="H8562" s="17"/>
      <c r="K8562" s="17"/>
      <c r="N8562" s="17"/>
    </row>
    <row r="8563">
      <c r="B8563" s="11">
        <f>IFERROR(__xludf.DUMMYFUNCTION("""COMPUTED_VALUE"""),34038.0)</f>
        <v>34038</v>
      </c>
      <c r="C8563" s="9">
        <f>IFERROR(__xludf.DUMMYFUNCTION("""COMPUTED_VALUE"""),5.97)</f>
        <v>5.97</v>
      </c>
      <c r="H8563" s="17"/>
      <c r="K8563" s="17"/>
      <c r="N8563" s="17"/>
    </row>
    <row r="8564">
      <c r="B8564" s="11">
        <f>IFERROR(__xludf.DUMMYFUNCTION("""COMPUTED_VALUE"""),34037.0)</f>
        <v>34037</v>
      </c>
      <c r="C8564" s="9">
        <f>IFERROR(__xludf.DUMMYFUNCTION("""COMPUTED_VALUE"""),5.91)</f>
        <v>5.91</v>
      </c>
      <c r="H8564" s="17"/>
      <c r="K8564" s="17"/>
      <c r="N8564" s="17"/>
    </row>
    <row r="8565">
      <c r="B8565" s="11">
        <f>IFERROR(__xludf.DUMMYFUNCTION("""COMPUTED_VALUE"""),34036.0)</f>
        <v>34036</v>
      </c>
      <c r="C8565" s="9">
        <f>IFERROR(__xludf.DUMMYFUNCTION("""COMPUTED_VALUE"""),5.85)</f>
        <v>5.85</v>
      </c>
      <c r="H8565" s="17"/>
      <c r="K8565" s="17"/>
      <c r="N8565" s="17"/>
    </row>
    <row r="8566">
      <c r="B8566" s="11">
        <f>IFERROR(__xludf.DUMMYFUNCTION("""COMPUTED_VALUE"""),34033.0)</f>
        <v>34033</v>
      </c>
      <c r="C8566" s="9">
        <f>IFERROR(__xludf.DUMMYFUNCTION("""COMPUTED_VALUE"""),5.9)</f>
        <v>5.9</v>
      </c>
      <c r="H8566" s="17"/>
      <c r="K8566" s="17"/>
      <c r="N8566" s="17"/>
    </row>
    <row r="8567">
      <c r="B8567" s="11">
        <f>IFERROR(__xludf.DUMMYFUNCTION("""COMPUTED_VALUE"""),34032.0)</f>
        <v>34032</v>
      </c>
      <c r="C8567" s="9">
        <f>IFERROR(__xludf.DUMMYFUNCTION("""COMPUTED_VALUE"""),5.83)</f>
        <v>5.83</v>
      </c>
      <c r="H8567" s="17"/>
      <c r="K8567" s="17"/>
      <c r="N8567" s="17"/>
    </row>
    <row r="8568">
      <c r="B8568" s="11">
        <f>IFERROR(__xludf.DUMMYFUNCTION("""COMPUTED_VALUE"""),34031.0)</f>
        <v>34031</v>
      </c>
      <c r="C8568" s="9">
        <f>IFERROR(__xludf.DUMMYFUNCTION("""COMPUTED_VALUE"""),5.88)</f>
        <v>5.88</v>
      </c>
      <c r="H8568" s="17"/>
      <c r="K8568" s="17"/>
      <c r="N8568" s="17"/>
    </row>
    <row r="8569">
      <c r="B8569" s="11">
        <f>IFERROR(__xludf.DUMMYFUNCTION("""COMPUTED_VALUE"""),34030.0)</f>
        <v>34030</v>
      </c>
      <c r="C8569" s="9">
        <f>IFERROR(__xludf.DUMMYFUNCTION("""COMPUTED_VALUE"""),5.95)</f>
        <v>5.95</v>
      </c>
      <c r="H8569" s="17"/>
      <c r="K8569" s="17"/>
      <c r="N8569" s="17"/>
    </row>
    <row r="8570">
      <c r="B8570" s="11">
        <f>IFERROR(__xludf.DUMMYFUNCTION("""COMPUTED_VALUE"""),34029.0)</f>
        <v>34029</v>
      </c>
      <c r="C8570" s="9">
        <f>IFERROR(__xludf.DUMMYFUNCTION("""COMPUTED_VALUE"""),5.94)</f>
        <v>5.94</v>
      </c>
      <c r="H8570" s="17"/>
      <c r="K8570" s="17"/>
      <c r="N8570" s="17"/>
    </row>
    <row r="8571">
      <c r="B8571" s="11">
        <f>IFERROR(__xludf.DUMMYFUNCTION("""COMPUTED_VALUE"""),34026.0)</f>
        <v>34026</v>
      </c>
      <c r="C8571" s="9">
        <f>IFERROR(__xludf.DUMMYFUNCTION("""COMPUTED_VALUE"""),6.03)</f>
        <v>6.03</v>
      </c>
      <c r="H8571" s="17"/>
      <c r="K8571" s="17"/>
      <c r="N8571" s="17"/>
    </row>
    <row r="8572">
      <c r="B8572" s="11">
        <f>IFERROR(__xludf.DUMMYFUNCTION("""COMPUTED_VALUE"""),34025.0)</f>
        <v>34025</v>
      </c>
      <c r="C8572" s="9">
        <f>IFERROR(__xludf.DUMMYFUNCTION("""COMPUTED_VALUE"""),6.03)</f>
        <v>6.03</v>
      </c>
      <c r="H8572" s="17"/>
      <c r="K8572" s="17"/>
      <c r="N8572" s="17"/>
    </row>
    <row r="8573">
      <c r="B8573" s="11">
        <f>IFERROR(__xludf.DUMMYFUNCTION("""COMPUTED_VALUE"""),34024.0)</f>
        <v>34024</v>
      </c>
      <c r="C8573" s="9">
        <f>IFERROR(__xludf.DUMMYFUNCTION("""COMPUTED_VALUE"""),6.01)</f>
        <v>6.01</v>
      </c>
      <c r="H8573" s="17"/>
      <c r="K8573" s="17"/>
      <c r="N8573" s="17"/>
    </row>
    <row r="8574">
      <c r="B8574" s="11">
        <f>IFERROR(__xludf.DUMMYFUNCTION("""COMPUTED_VALUE"""),34023.0)</f>
        <v>34023</v>
      </c>
      <c r="C8574" s="9">
        <f>IFERROR(__xludf.DUMMYFUNCTION("""COMPUTED_VALUE"""),5.92)</f>
        <v>5.92</v>
      </c>
      <c r="H8574" s="17"/>
      <c r="K8574" s="17"/>
      <c r="N8574" s="17"/>
    </row>
    <row r="8575">
      <c r="B8575" s="11">
        <f>IFERROR(__xludf.DUMMYFUNCTION("""COMPUTED_VALUE"""),34022.0)</f>
        <v>34022</v>
      </c>
      <c r="C8575" s="9">
        <f>IFERROR(__xludf.DUMMYFUNCTION("""COMPUTED_VALUE"""),6.09)</f>
        <v>6.09</v>
      </c>
      <c r="H8575" s="17"/>
      <c r="K8575" s="17"/>
      <c r="N8575" s="17"/>
    </row>
    <row r="8576">
      <c r="B8576" s="11">
        <f>IFERROR(__xludf.DUMMYFUNCTION("""COMPUTED_VALUE"""),34019.0)</f>
        <v>34019</v>
      </c>
      <c r="C8576" s="9">
        <f>IFERROR(__xludf.DUMMYFUNCTION("""COMPUTED_VALUE"""),6.15)</f>
        <v>6.15</v>
      </c>
      <c r="H8576" s="17"/>
      <c r="K8576" s="17"/>
      <c r="N8576" s="17"/>
    </row>
    <row r="8577">
      <c r="B8577" s="11">
        <f>IFERROR(__xludf.DUMMYFUNCTION("""COMPUTED_VALUE"""),34018.0)</f>
        <v>34018</v>
      </c>
      <c r="C8577" s="9">
        <f>IFERROR(__xludf.DUMMYFUNCTION("""COMPUTED_VALUE"""),6.17)</f>
        <v>6.17</v>
      </c>
      <c r="H8577" s="17"/>
      <c r="K8577" s="17"/>
      <c r="N8577" s="17"/>
    </row>
    <row r="8578">
      <c r="B8578" s="11">
        <f>IFERROR(__xludf.DUMMYFUNCTION("""COMPUTED_VALUE"""),34017.0)</f>
        <v>34017</v>
      </c>
      <c r="C8578" s="9">
        <f>IFERROR(__xludf.DUMMYFUNCTION("""COMPUTED_VALUE"""),6.28)</f>
        <v>6.28</v>
      </c>
      <c r="H8578" s="17"/>
      <c r="K8578" s="17"/>
      <c r="N8578" s="17"/>
    </row>
    <row r="8579">
      <c r="B8579" s="11">
        <f>IFERROR(__xludf.DUMMYFUNCTION("""COMPUTED_VALUE"""),34016.0)</f>
        <v>34016</v>
      </c>
      <c r="C8579" s="9">
        <f>IFERROR(__xludf.DUMMYFUNCTION("""COMPUTED_VALUE"""),6.34)</f>
        <v>6.34</v>
      </c>
      <c r="H8579" s="17"/>
      <c r="K8579" s="17"/>
      <c r="N8579" s="17"/>
    </row>
    <row r="8580">
      <c r="B8580" s="11">
        <f>IFERROR(__xludf.DUMMYFUNCTION("""COMPUTED_VALUE"""),34015.0)</f>
        <v>34015</v>
      </c>
      <c r="C8580" s="9"/>
      <c r="H8580" s="17"/>
      <c r="K8580" s="17"/>
      <c r="N8580" s="17"/>
    </row>
    <row r="8581">
      <c r="B8581" s="11">
        <f>IFERROR(__xludf.DUMMYFUNCTION("""COMPUTED_VALUE"""),34012.0)</f>
        <v>34012</v>
      </c>
      <c r="C8581" s="9">
        <f>IFERROR(__xludf.DUMMYFUNCTION("""COMPUTED_VALUE"""),6.35)</f>
        <v>6.35</v>
      </c>
      <c r="H8581" s="17"/>
      <c r="K8581" s="17"/>
      <c r="N8581" s="17"/>
    </row>
    <row r="8582">
      <c r="B8582" s="11">
        <f>IFERROR(__xludf.DUMMYFUNCTION("""COMPUTED_VALUE"""),34011.0)</f>
        <v>34011</v>
      </c>
      <c r="C8582" s="9">
        <f>IFERROR(__xludf.DUMMYFUNCTION("""COMPUTED_VALUE"""),6.37)</f>
        <v>6.37</v>
      </c>
      <c r="H8582" s="17"/>
      <c r="K8582" s="17"/>
      <c r="N8582" s="17"/>
    </row>
    <row r="8583">
      <c r="B8583" s="11">
        <f>IFERROR(__xludf.DUMMYFUNCTION("""COMPUTED_VALUE"""),34010.0)</f>
        <v>34010</v>
      </c>
      <c r="C8583" s="9">
        <f>IFERROR(__xludf.DUMMYFUNCTION("""COMPUTED_VALUE"""),6.4)</f>
        <v>6.4</v>
      </c>
      <c r="H8583" s="17"/>
      <c r="K8583" s="17"/>
      <c r="N8583" s="17"/>
    </row>
    <row r="8584">
      <c r="B8584" s="11">
        <f>IFERROR(__xludf.DUMMYFUNCTION("""COMPUTED_VALUE"""),34009.0)</f>
        <v>34009</v>
      </c>
      <c r="C8584" s="9">
        <f>IFERROR(__xludf.DUMMYFUNCTION("""COMPUTED_VALUE"""),6.41)</f>
        <v>6.41</v>
      </c>
      <c r="H8584" s="17"/>
      <c r="K8584" s="17"/>
      <c r="N8584" s="17"/>
    </row>
    <row r="8585">
      <c r="B8585" s="11">
        <f>IFERROR(__xludf.DUMMYFUNCTION("""COMPUTED_VALUE"""),34008.0)</f>
        <v>34008</v>
      </c>
      <c r="C8585" s="9">
        <f>IFERROR(__xludf.DUMMYFUNCTION("""COMPUTED_VALUE"""),6.37)</f>
        <v>6.37</v>
      </c>
      <c r="H8585" s="17"/>
      <c r="K8585" s="17"/>
      <c r="N8585" s="17"/>
    </row>
    <row r="8586">
      <c r="B8586" s="11">
        <f>IFERROR(__xludf.DUMMYFUNCTION("""COMPUTED_VALUE"""),34005.0)</f>
        <v>34005</v>
      </c>
      <c r="C8586" s="9">
        <f>IFERROR(__xludf.DUMMYFUNCTION("""COMPUTED_VALUE"""),6.32)</f>
        <v>6.32</v>
      </c>
      <c r="H8586" s="17"/>
      <c r="K8586" s="17"/>
      <c r="N8586" s="17"/>
    </row>
    <row r="8587">
      <c r="B8587" s="11">
        <f>IFERROR(__xludf.DUMMYFUNCTION("""COMPUTED_VALUE"""),34004.0)</f>
        <v>34004</v>
      </c>
      <c r="C8587" s="9">
        <f>IFERROR(__xludf.DUMMYFUNCTION("""COMPUTED_VALUE"""),6.39)</f>
        <v>6.39</v>
      </c>
      <c r="H8587" s="17"/>
      <c r="K8587" s="17"/>
      <c r="N8587" s="17"/>
    </row>
    <row r="8588">
      <c r="B8588" s="11">
        <f>IFERROR(__xludf.DUMMYFUNCTION("""COMPUTED_VALUE"""),34003.0)</f>
        <v>34003</v>
      </c>
      <c r="C8588" s="9">
        <f>IFERROR(__xludf.DUMMYFUNCTION("""COMPUTED_VALUE"""),6.45)</f>
        <v>6.45</v>
      </c>
      <c r="H8588" s="17"/>
      <c r="K8588" s="17"/>
      <c r="N8588" s="17"/>
    </row>
    <row r="8589">
      <c r="B8589" s="11">
        <f>IFERROR(__xludf.DUMMYFUNCTION("""COMPUTED_VALUE"""),34002.0)</f>
        <v>34002</v>
      </c>
      <c r="C8589" s="9">
        <f>IFERROR(__xludf.DUMMYFUNCTION("""COMPUTED_VALUE"""),6.46)</f>
        <v>6.46</v>
      </c>
      <c r="H8589" s="17"/>
      <c r="K8589" s="17"/>
      <c r="N8589" s="17"/>
    </row>
    <row r="8590">
      <c r="B8590" s="11">
        <f>IFERROR(__xludf.DUMMYFUNCTION("""COMPUTED_VALUE"""),34001.0)</f>
        <v>34001</v>
      </c>
      <c r="C8590" s="9">
        <f>IFERROR(__xludf.DUMMYFUNCTION("""COMPUTED_VALUE"""),6.38)</f>
        <v>6.38</v>
      </c>
      <c r="H8590" s="17"/>
      <c r="K8590" s="17"/>
      <c r="N8590" s="17"/>
    </row>
    <row r="8591">
      <c r="B8591" s="11">
        <f>IFERROR(__xludf.DUMMYFUNCTION("""COMPUTED_VALUE"""),33998.0)</f>
        <v>33998</v>
      </c>
      <c r="C8591" s="9">
        <f>IFERROR(__xludf.DUMMYFUNCTION("""COMPUTED_VALUE"""),6.39)</f>
        <v>6.39</v>
      </c>
      <c r="H8591" s="17"/>
      <c r="K8591" s="17"/>
      <c r="N8591" s="17"/>
    </row>
    <row r="8592">
      <c r="B8592" s="11">
        <f>IFERROR(__xludf.DUMMYFUNCTION("""COMPUTED_VALUE"""),33997.0)</f>
        <v>33997</v>
      </c>
      <c r="C8592" s="9">
        <f>IFERROR(__xludf.DUMMYFUNCTION("""COMPUTED_VALUE"""),6.44)</f>
        <v>6.44</v>
      </c>
      <c r="H8592" s="17"/>
      <c r="K8592" s="17"/>
      <c r="N8592" s="17"/>
    </row>
    <row r="8593">
      <c r="B8593" s="11">
        <f>IFERROR(__xludf.DUMMYFUNCTION("""COMPUTED_VALUE"""),33996.0)</f>
        <v>33996</v>
      </c>
      <c r="C8593" s="9">
        <f>IFERROR(__xludf.DUMMYFUNCTION("""COMPUTED_VALUE"""),6.48)</f>
        <v>6.48</v>
      </c>
      <c r="H8593" s="17"/>
      <c r="K8593" s="17"/>
      <c r="N8593" s="17"/>
    </row>
    <row r="8594">
      <c r="B8594" s="11">
        <f>IFERROR(__xludf.DUMMYFUNCTION("""COMPUTED_VALUE"""),33995.0)</f>
        <v>33995</v>
      </c>
      <c r="C8594" s="9">
        <f>IFERROR(__xludf.DUMMYFUNCTION("""COMPUTED_VALUE"""),6.5)</f>
        <v>6.5</v>
      </c>
      <c r="H8594" s="17"/>
      <c r="K8594" s="17"/>
      <c r="N8594" s="17"/>
    </row>
    <row r="8595">
      <c r="B8595" s="11">
        <f>IFERROR(__xludf.DUMMYFUNCTION("""COMPUTED_VALUE"""),33994.0)</f>
        <v>33994</v>
      </c>
      <c r="C8595" s="9">
        <f>IFERROR(__xludf.DUMMYFUNCTION("""COMPUTED_VALUE"""),6.48)</f>
        <v>6.48</v>
      </c>
      <c r="H8595" s="17"/>
      <c r="K8595" s="17"/>
      <c r="N8595" s="17"/>
    </row>
    <row r="8596">
      <c r="B8596" s="11">
        <f>IFERROR(__xludf.DUMMYFUNCTION("""COMPUTED_VALUE"""),33991.0)</f>
        <v>33991</v>
      </c>
      <c r="C8596" s="9">
        <f>IFERROR(__xludf.DUMMYFUNCTION("""COMPUTED_VALUE"""),6.57)</f>
        <v>6.57</v>
      </c>
      <c r="H8596" s="17"/>
      <c r="K8596" s="17"/>
      <c r="N8596" s="17"/>
    </row>
    <row r="8597">
      <c r="B8597" s="11">
        <f>IFERROR(__xludf.DUMMYFUNCTION("""COMPUTED_VALUE"""),33990.0)</f>
        <v>33990</v>
      </c>
      <c r="C8597" s="9">
        <f>IFERROR(__xludf.DUMMYFUNCTION("""COMPUTED_VALUE"""),6.6)</f>
        <v>6.6</v>
      </c>
      <c r="H8597" s="17"/>
      <c r="K8597" s="17"/>
      <c r="N8597" s="17"/>
    </row>
    <row r="8598">
      <c r="B8598" s="11">
        <f>IFERROR(__xludf.DUMMYFUNCTION("""COMPUTED_VALUE"""),33989.0)</f>
        <v>33989</v>
      </c>
      <c r="C8598" s="9">
        <f>IFERROR(__xludf.DUMMYFUNCTION("""COMPUTED_VALUE"""),6.61)</f>
        <v>6.61</v>
      </c>
      <c r="H8598" s="17"/>
      <c r="K8598" s="17"/>
      <c r="N8598" s="17"/>
    </row>
    <row r="8599">
      <c r="B8599" s="11">
        <f>IFERROR(__xludf.DUMMYFUNCTION("""COMPUTED_VALUE"""),33988.0)</f>
        <v>33988</v>
      </c>
      <c r="C8599" s="9">
        <f>IFERROR(__xludf.DUMMYFUNCTION("""COMPUTED_VALUE"""),6.59)</f>
        <v>6.59</v>
      </c>
      <c r="H8599" s="17"/>
      <c r="K8599" s="17"/>
      <c r="N8599" s="17"/>
    </row>
    <row r="8600">
      <c r="B8600" s="11">
        <f>IFERROR(__xludf.DUMMYFUNCTION("""COMPUTED_VALUE"""),33987.0)</f>
        <v>33987</v>
      </c>
      <c r="C8600" s="9"/>
      <c r="H8600" s="17"/>
      <c r="K8600" s="17"/>
      <c r="N8600" s="17"/>
    </row>
    <row r="8601">
      <c r="B8601" s="11">
        <f>IFERROR(__xludf.DUMMYFUNCTION("""COMPUTED_VALUE"""),33984.0)</f>
        <v>33984</v>
      </c>
      <c r="C8601" s="9">
        <f>IFERROR(__xludf.DUMMYFUNCTION("""COMPUTED_VALUE"""),6.6)</f>
        <v>6.6</v>
      </c>
      <c r="H8601" s="17"/>
      <c r="K8601" s="17"/>
      <c r="N8601" s="17"/>
    </row>
    <row r="8602">
      <c r="B8602" s="11">
        <f>IFERROR(__xludf.DUMMYFUNCTION("""COMPUTED_VALUE"""),33983.0)</f>
        <v>33983</v>
      </c>
      <c r="C8602" s="9">
        <f>IFERROR(__xludf.DUMMYFUNCTION("""COMPUTED_VALUE"""),6.65)</f>
        <v>6.65</v>
      </c>
      <c r="H8602" s="17"/>
      <c r="K8602" s="17"/>
      <c r="N8602" s="17"/>
    </row>
    <row r="8603">
      <c r="B8603" s="11">
        <f>IFERROR(__xludf.DUMMYFUNCTION("""COMPUTED_VALUE"""),33982.0)</f>
        <v>33982</v>
      </c>
      <c r="C8603" s="9">
        <f>IFERROR(__xludf.DUMMYFUNCTION("""COMPUTED_VALUE"""),6.71)</f>
        <v>6.71</v>
      </c>
      <c r="H8603" s="17"/>
      <c r="K8603" s="17"/>
      <c r="N8603" s="17"/>
    </row>
    <row r="8604">
      <c r="B8604" s="11">
        <f>IFERROR(__xludf.DUMMYFUNCTION("""COMPUTED_VALUE"""),33981.0)</f>
        <v>33981</v>
      </c>
      <c r="C8604" s="9">
        <f>IFERROR(__xludf.DUMMYFUNCTION("""COMPUTED_VALUE"""),6.72)</f>
        <v>6.72</v>
      </c>
      <c r="H8604" s="17"/>
      <c r="K8604" s="17"/>
      <c r="N8604" s="17"/>
    </row>
    <row r="8605">
      <c r="B8605" s="11">
        <f>IFERROR(__xludf.DUMMYFUNCTION("""COMPUTED_VALUE"""),33980.0)</f>
        <v>33980</v>
      </c>
      <c r="C8605" s="9">
        <f>IFERROR(__xludf.DUMMYFUNCTION("""COMPUTED_VALUE"""),6.71)</f>
        <v>6.71</v>
      </c>
      <c r="H8605" s="17"/>
      <c r="K8605" s="17"/>
      <c r="N8605" s="17"/>
    </row>
    <row r="8606">
      <c r="B8606" s="11">
        <f>IFERROR(__xludf.DUMMYFUNCTION("""COMPUTED_VALUE"""),33977.0)</f>
        <v>33977</v>
      </c>
      <c r="C8606" s="9">
        <f>IFERROR(__xludf.DUMMYFUNCTION("""COMPUTED_VALUE"""),6.75)</f>
        <v>6.75</v>
      </c>
      <c r="H8606" s="17"/>
      <c r="K8606" s="17"/>
      <c r="N8606" s="17"/>
    </row>
    <row r="8607">
      <c r="B8607" s="11">
        <f>IFERROR(__xludf.DUMMYFUNCTION("""COMPUTED_VALUE"""),33976.0)</f>
        <v>33976</v>
      </c>
      <c r="C8607" s="9">
        <f>IFERROR(__xludf.DUMMYFUNCTION("""COMPUTED_VALUE"""),6.76)</f>
        <v>6.76</v>
      </c>
      <c r="H8607" s="17"/>
      <c r="K8607" s="17"/>
      <c r="N8607" s="17"/>
    </row>
    <row r="8608">
      <c r="B8608" s="11">
        <f>IFERROR(__xludf.DUMMYFUNCTION("""COMPUTED_VALUE"""),33975.0)</f>
        <v>33975</v>
      </c>
      <c r="C8608" s="9">
        <f>IFERROR(__xludf.DUMMYFUNCTION("""COMPUTED_VALUE"""),6.63)</f>
        <v>6.63</v>
      </c>
      <c r="H8608" s="17"/>
      <c r="K8608" s="17"/>
      <c r="N8608" s="17"/>
    </row>
    <row r="8609">
      <c r="B8609" s="11">
        <f>IFERROR(__xludf.DUMMYFUNCTION("""COMPUTED_VALUE"""),33974.0)</f>
        <v>33974</v>
      </c>
      <c r="C8609" s="9">
        <f>IFERROR(__xludf.DUMMYFUNCTION("""COMPUTED_VALUE"""),6.61)</f>
        <v>6.61</v>
      </c>
      <c r="H8609" s="17"/>
      <c r="K8609" s="17"/>
      <c r="N8609" s="17"/>
    </row>
    <row r="8610">
      <c r="B8610" s="11">
        <f>IFERROR(__xludf.DUMMYFUNCTION("""COMPUTED_VALUE"""),33973.0)</f>
        <v>33973</v>
      </c>
      <c r="C8610" s="9">
        <f>IFERROR(__xludf.DUMMYFUNCTION("""COMPUTED_VALUE"""),6.6)</f>
        <v>6.6</v>
      </c>
      <c r="H8610" s="17"/>
      <c r="K8610" s="17"/>
      <c r="N8610" s="17"/>
    </row>
    <row r="8611">
      <c r="B8611" s="11">
        <f>IFERROR(__xludf.DUMMYFUNCTION("""COMPUTED_VALUE"""),33970.0)</f>
        <v>33970</v>
      </c>
      <c r="C8611" s="9"/>
      <c r="H8611" s="17"/>
      <c r="K8611" s="17"/>
      <c r="N8611" s="17"/>
    </row>
    <row r="8612">
      <c r="B8612" s="11">
        <f>IFERROR(__xludf.DUMMYFUNCTION("""COMPUTED_VALUE"""),33969.0)</f>
        <v>33969</v>
      </c>
      <c r="C8612" s="9">
        <f>IFERROR(__xludf.DUMMYFUNCTION("""COMPUTED_VALUE"""),6.7)</f>
        <v>6.7</v>
      </c>
      <c r="H8612" s="17"/>
      <c r="K8612" s="17"/>
      <c r="N8612" s="17"/>
    </row>
    <row r="8613">
      <c r="B8613" s="11">
        <f>IFERROR(__xludf.DUMMYFUNCTION("""COMPUTED_VALUE"""),33968.0)</f>
        <v>33968</v>
      </c>
      <c r="C8613" s="9">
        <f>IFERROR(__xludf.DUMMYFUNCTION("""COMPUTED_VALUE"""),6.68)</f>
        <v>6.68</v>
      </c>
      <c r="H8613" s="17"/>
      <c r="K8613" s="17"/>
      <c r="N8613" s="17"/>
    </row>
    <row r="8614">
      <c r="B8614" s="11">
        <f>IFERROR(__xludf.DUMMYFUNCTION("""COMPUTED_VALUE"""),33967.0)</f>
        <v>33967</v>
      </c>
      <c r="C8614" s="9">
        <f>IFERROR(__xludf.DUMMYFUNCTION("""COMPUTED_VALUE"""),6.69)</f>
        <v>6.69</v>
      </c>
      <c r="H8614" s="17"/>
      <c r="K8614" s="17"/>
      <c r="N8614" s="17"/>
    </row>
    <row r="8615">
      <c r="B8615" s="11">
        <f>IFERROR(__xludf.DUMMYFUNCTION("""COMPUTED_VALUE"""),33966.0)</f>
        <v>33966</v>
      </c>
      <c r="C8615" s="9">
        <f>IFERROR(__xludf.DUMMYFUNCTION("""COMPUTED_VALUE"""),6.72)</f>
        <v>6.72</v>
      </c>
      <c r="H8615" s="17"/>
      <c r="K8615" s="17"/>
      <c r="N8615" s="17"/>
    </row>
    <row r="8616">
      <c r="B8616" s="11">
        <f>IFERROR(__xludf.DUMMYFUNCTION("""COMPUTED_VALUE"""),33963.0)</f>
        <v>33963</v>
      </c>
      <c r="C8616" s="9"/>
      <c r="H8616" s="17"/>
      <c r="K8616" s="17"/>
      <c r="N8616" s="17"/>
    </row>
    <row r="8617">
      <c r="B8617" s="11">
        <f>IFERROR(__xludf.DUMMYFUNCTION("""COMPUTED_VALUE"""),33962.0)</f>
        <v>33962</v>
      </c>
      <c r="C8617" s="9">
        <f>IFERROR(__xludf.DUMMYFUNCTION("""COMPUTED_VALUE"""),6.69)</f>
        <v>6.69</v>
      </c>
      <c r="H8617" s="17"/>
      <c r="K8617" s="17"/>
      <c r="N8617" s="17"/>
    </row>
    <row r="8618">
      <c r="B8618" s="11">
        <f>IFERROR(__xludf.DUMMYFUNCTION("""COMPUTED_VALUE"""),33961.0)</f>
        <v>33961</v>
      </c>
      <c r="C8618" s="9">
        <f>IFERROR(__xludf.DUMMYFUNCTION("""COMPUTED_VALUE"""),6.68)</f>
        <v>6.68</v>
      </c>
      <c r="H8618" s="17"/>
      <c r="K8618" s="17"/>
      <c r="N8618" s="17"/>
    </row>
    <row r="8619">
      <c r="B8619" s="11">
        <f>IFERROR(__xludf.DUMMYFUNCTION("""COMPUTED_VALUE"""),33960.0)</f>
        <v>33960</v>
      </c>
      <c r="C8619" s="9">
        <f>IFERROR(__xludf.DUMMYFUNCTION("""COMPUTED_VALUE"""),6.65)</f>
        <v>6.65</v>
      </c>
      <c r="H8619" s="17"/>
      <c r="K8619" s="17"/>
      <c r="N8619" s="17"/>
    </row>
    <row r="8620">
      <c r="B8620" s="11">
        <f>IFERROR(__xludf.DUMMYFUNCTION("""COMPUTED_VALUE"""),33959.0)</f>
        <v>33959</v>
      </c>
      <c r="C8620" s="9">
        <f>IFERROR(__xludf.DUMMYFUNCTION("""COMPUTED_VALUE"""),6.71)</f>
        <v>6.71</v>
      </c>
      <c r="H8620" s="17"/>
      <c r="K8620" s="17"/>
      <c r="N8620" s="17"/>
    </row>
    <row r="8621">
      <c r="B8621" s="11">
        <f>IFERROR(__xludf.DUMMYFUNCTION("""COMPUTED_VALUE"""),33956.0)</f>
        <v>33956</v>
      </c>
      <c r="C8621" s="9">
        <f>IFERROR(__xludf.DUMMYFUNCTION("""COMPUTED_VALUE"""),6.76)</f>
        <v>6.76</v>
      </c>
      <c r="H8621" s="17"/>
      <c r="K8621" s="17"/>
      <c r="N8621" s="17"/>
    </row>
    <row r="8622">
      <c r="B8622" s="11">
        <f>IFERROR(__xludf.DUMMYFUNCTION("""COMPUTED_VALUE"""),33955.0)</f>
        <v>33955</v>
      </c>
      <c r="C8622" s="9">
        <f>IFERROR(__xludf.DUMMYFUNCTION("""COMPUTED_VALUE"""),6.77)</f>
        <v>6.77</v>
      </c>
      <c r="H8622" s="17"/>
      <c r="K8622" s="17"/>
      <c r="N8622" s="17"/>
    </row>
    <row r="8623">
      <c r="B8623" s="11">
        <f>IFERROR(__xludf.DUMMYFUNCTION("""COMPUTED_VALUE"""),33954.0)</f>
        <v>33954</v>
      </c>
      <c r="C8623" s="9">
        <f>IFERROR(__xludf.DUMMYFUNCTION("""COMPUTED_VALUE"""),6.77)</f>
        <v>6.77</v>
      </c>
      <c r="H8623" s="17"/>
      <c r="K8623" s="17"/>
      <c r="N8623" s="17"/>
    </row>
    <row r="8624">
      <c r="B8624" s="11">
        <f>IFERROR(__xludf.DUMMYFUNCTION("""COMPUTED_VALUE"""),33953.0)</f>
        <v>33953</v>
      </c>
      <c r="C8624" s="9">
        <f>IFERROR(__xludf.DUMMYFUNCTION("""COMPUTED_VALUE"""),6.83)</f>
        <v>6.83</v>
      </c>
      <c r="H8624" s="17"/>
      <c r="K8624" s="17"/>
      <c r="N8624" s="17"/>
    </row>
    <row r="8625">
      <c r="B8625" s="11">
        <f>IFERROR(__xludf.DUMMYFUNCTION("""COMPUTED_VALUE"""),33952.0)</f>
        <v>33952</v>
      </c>
      <c r="C8625" s="9">
        <f>IFERROR(__xludf.DUMMYFUNCTION("""COMPUTED_VALUE"""),6.83)</f>
        <v>6.83</v>
      </c>
      <c r="H8625" s="17"/>
      <c r="K8625" s="17"/>
      <c r="N8625" s="17"/>
    </row>
    <row r="8626">
      <c r="B8626" s="11">
        <f>IFERROR(__xludf.DUMMYFUNCTION("""COMPUTED_VALUE"""),33949.0)</f>
        <v>33949</v>
      </c>
      <c r="C8626" s="9">
        <f>IFERROR(__xludf.DUMMYFUNCTION("""COMPUTED_VALUE"""),6.8)</f>
        <v>6.8</v>
      </c>
      <c r="H8626" s="17"/>
      <c r="K8626" s="17"/>
      <c r="N8626" s="17"/>
    </row>
    <row r="8627">
      <c r="B8627" s="11">
        <f>IFERROR(__xludf.DUMMYFUNCTION("""COMPUTED_VALUE"""),33948.0)</f>
        <v>33948</v>
      </c>
      <c r="C8627" s="9">
        <f>IFERROR(__xludf.DUMMYFUNCTION("""COMPUTED_VALUE"""),6.77)</f>
        <v>6.77</v>
      </c>
      <c r="H8627" s="17"/>
      <c r="K8627" s="17"/>
      <c r="N8627" s="17"/>
    </row>
    <row r="8628">
      <c r="B8628" s="11">
        <f>IFERROR(__xludf.DUMMYFUNCTION("""COMPUTED_VALUE"""),33947.0)</f>
        <v>33947</v>
      </c>
      <c r="C8628" s="9">
        <f>IFERROR(__xludf.DUMMYFUNCTION("""COMPUTED_VALUE"""),6.76)</f>
        <v>6.76</v>
      </c>
      <c r="H8628" s="17"/>
      <c r="K8628" s="17"/>
      <c r="N8628" s="17"/>
    </row>
    <row r="8629">
      <c r="B8629" s="11">
        <f>IFERROR(__xludf.DUMMYFUNCTION("""COMPUTED_VALUE"""),33946.0)</f>
        <v>33946</v>
      </c>
      <c r="C8629" s="9">
        <f>IFERROR(__xludf.DUMMYFUNCTION("""COMPUTED_VALUE"""),6.73)</f>
        <v>6.73</v>
      </c>
      <c r="H8629" s="17"/>
      <c r="K8629" s="17"/>
      <c r="N8629" s="17"/>
    </row>
    <row r="8630">
      <c r="B8630" s="11">
        <f>IFERROR(__xludf.DUMMYFUNCTION("""COMPUTED_VALUE"""),33945.0)</f>
        <v>33945</v>
      </c>
      <c r="C8630" s="9">
        <f>IFERROR(__xludf.DUMMYFUNCTION("""COMPUTED_VALUE"""),6.78)</f>
        <v>6.78</v>
      </c>
      <c r="H8630" s="17"/>
      <c r="K8630" s="17"/>
      <c r="N8630" s="17"/>
    </row>
    <row r="8631">
      <c r="B8631" s="11">
        <f>IFERROR(__xludf.DUMMYFUNCTION("""COMPUTED_VALUE"""),33942.0)</f>
        <v>33942</v>
      </c>
      <c r="C8631" s="9">
        <f>IFERROR(__xludf.DUMMYFUNCTION("""COMPUTED_VALUE"""),6.84)</f>
        <v>6.84</v>
      </c>
      <c r="H8631" s="17"/>
      <c r="K8631" s="17"/>
      <c r="N8631" s="17"/>
    </row>
    <row r="8632">
      <c r="B8632" s="11">
        <f>IFERROR(__xludf.DUMMYFUNCTION("""COMPUTED_VALUE"""),33941.0)</f>
        <v>33941</v>
      </c>
      <c r="C8632" s="9">
        <f>IFERROR(__xludf.DUMMYFUNCTION("""COMPUTED_VALUE"""),6.91)</f>
        <v>6.91</v>
      </c>
      <c r="H8632" s="17"/>
      <c r="K8632" s="17"/>
      <c r="N8632" s="17"/>
    </row>
    <row r="8633">
      <c r="B8633" s="11">
        <f>IFERROR(__xludf.DUMMYFUNCTION("""COMPUTED_VALUE"""),33940.0)</f>
        <v>33940</v>
      </c>
      <c r="C8633" s="9">
        <f>IFERROR(__xludf.DUMMYFUNCTION("""COMPUTED_VALUE"""),6.93)</f>
        <v>6.93</v>
      </c>
      <c r="H8633" s="17"/>
      <c r="K8633" s="17"/>
      <c r="N8633" s="17"/>
    </row>
    <row r="8634">
      <c r="B8634" s="11">
        <f>IFERROR(__xludf.DUMMYFUNCTION("""COMPUTED_VALUE"""),33939.0)</f>
        <v>33939</v>
      </c>
      <c r="C8634" s="9">
        <f>IFERROR(__xludf.DUMMYFUNCTION("""COMPUTED_VALUE"""),6.94)</f>
        <v>6.94</v>
      </c>
      <c r="H8634" s="17"/>
      <c r="K8634" s="17"/>
      <c r="N8634" s="17"/>
    </row>
    <row r="8635">
      <c r="B8635" s="11">
        <f>IFERROR(__xludf.DUMMYFUNCTION("""COMPUTED_VALUE"""),33938.0)</f>
        <v>33938</v>
      </c>
      <c r="C8635" s="9">
        <f>IFERROR(__xludf.DUMMYFUNCTION("""COMPUTED_VALUE"""),6.95)</f>
        <v>6.95</v>
      </c>
      <c r="H8635" s="17"/>
      <c r="K8635" s="17"/>
      <c r="N8635" s="17"/>
    </row>
    <row r="8636">
      <c r="B8636" s="11">
        <f>IFERROR(__xludf.DUMMYFUNCTION("""COMPUTED_VALUE"""),33935.0)</f>
        <v>33935</v>
      </c>
      <c r="C8636" s="9">
        <f>IFERROR(__xludf.DUMMYFUNCTION("""COMPUTED_VALUE"""),6.93)</f>
        <v>6.93</v>
      </c>
      <c r="H8636" s="17"/>
      <c r="K8636" s="17"/>
      <c r="N8636" s="17"/>
    </row>
    <row r="8637">
      <c r="B8637" s="11">
        <f>IFERROR(__xludf.DUMMYFUNCTION("""COMPUTED_VALUE"""),33934.0)</f>
        <v>33934</v>
      </c>
      <c r="C8637" s="9"/>
      <c r="H8637" s="17"/>
      <c r="K8637" s="17"/>
      <c r="N8637" s="17"/>
    </row>
    <row r="8638">
      <c r="B8638" s="11">
        <f>IFERROR(__xludf.DUMMYFUNCTION("""COMPUTED_VALUE"""),33933.0)</f>
        <v>33933</v>
      </c>
      <c r="C8638" s="9">
        <f>IFERROR(__xludf.DUMMYFUNCTION("""COMPUTED_VALUE"""),6.84)</f>
        <v>6.84</v>
      </c>
      <c r="H8638" s="17"/>
      <c r="K8638" s="17"/>
      <c r="N8638" s="17"/>
    </row>
    <row r="8639">
      <c r="B8639" s="11">
        <f>IFERROR(__xludf.DUMMYFUNCTION("""COMPUTED_VALUE"""),33932.0)</f>
        <v>33932</v>
      </c>
      <c r="C8639" s="9">
        <f>IFERROR(__xludf.DUMMYFUNCTION("""COMPUTED_VALUE"""),6.82)</f>
        <v>6.82</v>
      </c>
      <c r="H8639" s="17"/>
      <c r="K8639" s="17"/>
      <c r="N8639" s="17"/>
    </row>
    <row r="8640">
      <c r="B8640" s="11">
        <f>IFERROR(__xludf.DUMMYFUNCTION("""COMPUTED_VALUE"""),33931.0)</f>
        <v>33931</v>
      </c>
      <c r="C8640" s="9">
        <f>IFERROR(__xludf.DUMMYFUNCTION("""COMPUTED_VALUE"""),6.86)</f>
        <v>6.86</v>
      </c>
      <c r="H8640" s="17"/>
      <c r="K8640" s="17"/>
      <c r="N8640" s="17"/>
    </row>
    <row r="8641">
      <c r="B8641" s="11">
        <f>IFERROR(__xludf.DUMMYFUNCTION("""COMPUTED_VALUE"""),33928.0)</f>
        <v>33928</v>
      </c>
      <c r="C8641" s="9">
        <f>IFERROR(__xludf.DUMMYFUNCTION("""COMPUTED_VALUE"""),6.84)</f>
        <v>6.84</v>
      </c>
      <c r="H8641" s="17"/>
      <c r="K8641" s="17"/>
      <c r="N8641" s="17"/>
    </row>
    <row r="8642">
      <c r="B8642" s="11">
        <f>IFERROR(__xludf.DUMMYFUNCTION("""COMPUTED_VALUE"""),33927.0)</f>
        <v>33927</v>
      </c>
      <c r="C8642" s="9">
        <f>IFERROR(__xludf.DUMMYFUNCTION("""COMPUTED_VALUE"""),6.81)</f>
        <v>6.81</v>
      </c>
      <c r="H8642" s="17"/>
      <c r="K8642" s="17"/>
      <c r="N8642" s="17"/>
    </row>
    <row r="8643">
      <c r="B8643" s="11">
        <f>IFERROR(__xludf.DUMMYFUNCTION("""COMPUTED_VALUE"""),33926.0)</f>
        <v>33926</v>
      </c>
      <c r="C8643" s="9">
        <f>IFERROR(__xludf.DUMMYFUNCTION("""COMPUTED_VALUE"""),6.78)</f>
        <v>6.78</v>
      </c>
      <c r="H8643" s="17"/>
      <c r="K8643" s="17"/>
      <c r="N8643" s="17"/>
    </row>
    <row r="8644">
      <c r="B8644" s="11">
        <f>IFERROR(__xludf.DUMMYFUNCTION("""COMPUTED_VALUE"""),33925.0)</f>
        <v>33925</v>
      </c>
      <c r="C8644" s="9">
        <f>IFERROR(__xludf.DUMMYFUNCTION("""COMPUTED_VALUE"""),6.86)</f>
        <v>6.86</v>
      </c>
      <c r="H8644" s="17"/>
      <c r="K8644" s="17"/>
      <c r="N8644" s="17"/>
    </row>
    <row r="8645">
      <c r="B8645" s="11">
        <f>IFERROR(__xludf.DUMMYFUNCTION("""COMPUTED_VALUE"""),33924.0)</f>
        <v>33924</v>
      </c>
      <c r="C8645" s="9">
        <f>IFERROR(__xludf.DUMMYFUNCTION("""COMPUTED_VALUE"""),6.9)</f>
        <v>6.9</v>
      </c>
      <c r="H8645" s="17"/>
      <c r="K8645" s="17"/>
      <c r="N8645" s="17"/>
    </row>
    <row r="8646">
      <c r="B8646" s="11">
        <f>IFERROR(__xludf.DUMMYFUNCTION("""COMPUTED_VALUE"""),33921.0)</f>
        <v>33921</v>
      </c>
      <c r="C8646" s="9">
        <f>IFERROR(__xludf.DUMMYFUNCTION("""COMPUTED_VALUE"""),6.82)</f>
        <v>6.82</v>
      </c>
      <c r="H8646" s="17"/>
      <c r="K8646" s="17"/>
      <c r="N8646" s="17"/>
    </row>
    <row r="8647">
      <c r="B8647" s="11">
        <f>IFERROR(__xludf.DUMMYFUNCTION("""COMPUTED_VALUE"""),33920.0)</f>
        <v>33920</v>
      </c>
      <c r="C8647" s="9">
        <f>IFERROR(__xludf.DUMMYFUNCTION("""COMPUTED_VALUE"""),6.79)</f>
        <v>6.79</v>
      </c>
      <c r="H8647" s="17"/>
      <c r="K8647" s="17"/>
      <c r="N8647" s="17"/>
    </row>
    <row r="8648">
      <c r="B8648" s="11">
        <f>IFERROR(__xludf.DUMMYFUNCTION("""COMPUTED_VALUE"""),33919.0)</f>
        <v>33919</v>
      </c>
      <c r="C8648" s="9"/>
      <c r="H8648" s="17"/>
      <c r="K8648" s="17"/>
      <c r="N8648" s="17"/>
    </row>
    <row r="8649">
      <c r="B8649" s="11">
        <f>IFERROR(__xludf.DUMMYFUNCTION("""COMPUTED_VALUE"""),33918.0)</f>
        <v>33918</v>
      </c>
      <c r="C8649" s="9">
        <f>IFERROR(__xludf.DUMMYFUNCTION("""COMPUTED_VALUE"""),6.91)</f>
        <v>6.91</v>
      </c>
      <c r="H8649" s="17"/>
      <c r="K8649" s="17"/>
      <c r="N8649" s="17"/>
    </row>
    <row r="8650">
      <c r="B8650" s="11">
        <f>IFERROR(__xludf.DUMMYFUNCTION("""COMPUTED_VALUE"""),33917.0)</f>
        <v>33917</v>
      </c>
      <c r="C8650" s="9">
        <f>IFERROR(__xludf.DUMMYFUNCTION("""COMPUTED_VALUE"""),7.0)</f>
        <v>7</v>
      </c>
      <c r="H8650" s="17"/>
      <c r="K8650" s="17"/>
      <c r="N8650" s="17"/>
    </row>
    <row r="8651">
      <c r="B8651" s="11">
        <f>IFERROR(__xludf.DUMMYFUNCTION("""COMPUTED_VALUE"""),33914.0)</f>
        <v>33914</v>
      </c>
      <c r="C8651" s="9">
        <f>IFERROR(__xludf.DUMMYFUNCTION("""COMPUTED_VALUE"""),6.97)</f>
        <v>6.97</v>
      </c>
      <c r="H8651" s="17"/>
      <c r="K8651" s="17"/>
      <c r="N8651" s="17"/>
    </row>
    <row r="8652">
      <c r="B8652" s="11">
        <f>IFERROR(__xludf.DUMMYFUNCTION("""COMPUTED_VALUE"""),33913.0)</f>
        <v>33913</v>
      </c>
      <c r="C8652" s="9">
        <f>IFERROR(__xludf.DUMMYFUNCTION("""COMPUTED_VALUE"""),6.87)</f>
        <v>6.87</v>
      </c>
      <c r="H8652" s="17"/>
      <c r="K8652" s="17"/>
      <c r="N8652" s="17"/>
    </row>
    <row r="8653">
      <c r="B8653" s="11">
        <f>IFERROR(__xludf.DUMMYFUNCTION("""COMPUTED_VALUE"""),33912.0)</f>
        <v>33912</v>
      </c>
      <c r="C8653" s="9">
        <f>IFERROR(__xludf.DUMMYFUNCTION("""COMPUTED_VALUE"""),6.89)</f>
        <v>6.89</v>
      </c>
      <c r="H8653" s="17"/>
      <c r="K8653" s="17"/>
      <c r="N8653" s="17"/>
    </row>
    <row r="8654">
      <c r="B8654" s="11">
        <f>IFERROR(__xludf.DUMMYFUNCTION("""COMPUTED_VALUE"""),33911.0)</f>
        <v>33911</v>
      </c>
      <c r="C8654" s="9">
        <f>IFERROR(__xludf.DUMMYFUNCTION("""COMPUTED_VALUE"""),6.87)</f>
        <v>6.87</v>
      </c>
      <c r="H8654" s="17"/>
      <c r="K8654" s="17"/>
      <c r="N8654" s="17"/>
    </row>
    <row r="8655">
      <c r="B8655" s="11">
        <f>IFERROR(__xludf.DUMMYFUNCTION("""COMPUTED_VALUE"""),33910.0)</f>
        <v>33910</v>
      </c>
      <c r="C8655" s="9">
        <f>IFERROR(__xludf.DUMMYFUNCTION("""COMPUTED_VALUE"""),6.88)</f>
        <v>6.88</v>
      </c>
      <c r="H8655" s="17"/>
      <c r="K8655" s="17"/>
      <c r="N8655" s="17"/>
    </row>
    <row r="8656">
      <c r="B8656" s="11">
        <f>IFERROR(__xludf.DUMMYFUNCTION("""COMPUTED_VALUE"""),33907.0)</f>
        <v>33907</v>
      </c>
      <c r="C8656" s="9">
        <f>IFERROR(__xludf.DUMMYFUNCTION("""COMPUTED_VALUE"""),6.8)</f>
        <v>6.8</v>
      </c>
      <c r="H8656" s="17"/>
      <c r="K8656" s="17"/>
      <c r="N8656" s="17"/>
    </row>
    <row r="8657">
      <c r="B8657" s="11">
        <f>IFERROR(__xludf.DUMMYFUNCTION("""COMPUTED_VALUE"""),33906.0)</f>
        <v>33906</v>
      </c>
      <c r="C8657" s="9">
        <f>IFERROR(__xludf.DUMMYFUNCTION("""COMPUTED_VALUE"""),6.71)</f>
        <v>6.71</v>
      </c>
      <c r="H8657" s="17"/>
      <c r="K8657" s="17"/>
      <c r="N8657" s="17"/>
    </row>
    <row r="8658">
      <c r="B8658" s="11">
        <f>IFERROR(__xludf.DUMMYFUNCTION("""COMPUTED_VALUE"""),33905.0)</f>
        <v>33905</v>
      </c>
      <c r="C8658" s="9">
        <f>IFERROR(__xludf.DUMMYFUNCTION("""COMPUTED_VALUE"""),6.76)</f>
        <v>6.76</v>
      </c>
      <c r="H8658" s="17"/>
      <c r="K8658" s="17"/>
      <c r="N8658" s="17"/>
    </row>
    <row r="8659">
      <c r="B8659" s="11">
        <f>IFERROR(__xludf.DUMMYFUNCTION("""COMPUTED_VALUE"""),33904.0)</f>
        <v>33904</v>
      </c>
      <c r="C8659" s="9">
        <f>IFERROR(__xludf.DUMMYFUNCTION("""COMPUTED_VALUE"""),6.78)</f>
        <v>6.78</v>
      </c>
      <c r="H8659" s="17"/>
      <c r="K8659" s="17"/>
      <c r="N8659" s="17"/>
    </row>
    <row r="8660">
      <c r="B8660" s="11">
        <f>IFERROR(__xludf.DUMMYFUNCTION("""COMPUTED_VALUE"""),33903.0)</f>
        <v>33903</v>
      </c>
      <c r="C8660" s="9">
        <f>IFERROR(__xludf.DUMMYFUNCTION("""COMPUTED_VALUE"""),6.83)</f>
        <v>6.83</v>
      </c>
      <c r="H8660" s="17"/>
      <c r="K8660" s="17"/>
      <c r="N8660" s="17"/>
    </row>
    <row r="8661">
      <c r="B8661" s="11">
        <f>IFERROR(__xludf.DUMMYFUNCTION("""COMPUTED_VALUE"""),33900.0)</f>
        <v>33900</v>
      </c>
      <c r="C8661" s="9">
        <f>IFERROR(__xludf.DUMMYFUNCTION("""COMPUTED_VALUE"""),6.83)</f>
        <v>6.83</v>
      </c>
      <c r="H8661" s="17"/>
      <c r="K8661" s="17"/>
      <c r="N8661" s="17"/>
    </row>
    <row r="8662">
      <c r="B8662" s="11">
        <f>IFERROR(__xludf.DUMMYFUNCTION("""COMPUTED_VALUE"""),33899.0)</f>
        <v>33899</v>
      </c>
      <c r="C8662" s="9">
        <f>IFERROR(__xludf.DUMMYFUNCTION("""COMPUTED_VALUE"""),6.74)</f>
        <v>6.74</v>
      </c>
      <c r="H8662" s="17"/>
      <c r="K8662" s="17"/>
      <c r="N8662" s="17"/>
    </row>
    <row r="8663">
      <c r="B8663" s="11">
        <f>IFERROR(__xludf.DUMMYFUNCTION("""COMPUTED_VALUE"""),33898.0)</f>
        <v>33898</v>
      </c>
      <c r="C8663" s="9">
        <f>IFERROR(__xludf.DUMMYFUNCTION("""COMPUTED_VALUE"""),6.8)</f>
        <v>6.8</v>
      </c>
      <c r="H8663" s="17"/>
      <c r="K8663" s="17"/>
      <c r="N8663" s="17"/>
    </row>
    <row r="8664">
      <c r="B8664" s="11">
        <f>IFERROR(__xludf.DUMMYFUNCTION("""COMPUTED_VALUE"""),33897.0)</f>
        <v>33897</v>
      </c>
      <c r="C8664" s="9">
        <f>IFERROR(__xludf.DUMMYFUNCTION("""COMPUTED_VALUE"""),6.86)</f>
        <v>6.86</v>
      </c>
      <c r="H8664" s="17"/>
      <c r="K8664" s="17"/>
      <c r="N8664" s="17"/>
    </row>
    <row r="8665">
      <c r="B8665" s="11">
        <f>IFERROR(__xludf.DUMMYFUNCTION("""COMPUTED_VALUE"""),33896.0)</f>
        <v>33896</v>
      </c>
      <c r="C8665" s="9">
        <f>IFERROR(__xludf.DUMMYFUNCTION("""COMPUTED_VALUE"""),6.69)</f>
        <v>6.69</v>
      </c>
      <c r="H8665" s="17"/>
      <c r="K8665" s="17"/>
      <c r="N8665" s="17"/>
    </row>
    <row r="8666">
      <c r="B8666" s="11">
        <f>IFERROR(__xludf.DUMMYFUNCTION("""COMPUTED_VALUE"""),33893.0)</f>
        <v>33893</v>
      </c>
      <c r="C8666" s="9">
        <f>IFERROR(__xludf.DUMMYFUNCTION("""COMPUTED_VALUE"""),6.6)</f>
        <v>6.6</v>
      </c>
      <c r="H8666" s="17"/>
      <c r="K8666" s="17"/>
      <c r="N8666" s="17"/>
    </row>
    <row r="8667">
      <c r="B8667" s="11">
        <f>IFERROR(__xludf.DUMMYFUNCTION("""COMPUTED_VALUE"""),33892.0)</f>
        <v>33892</v>
      </c>
      <c r="C8667" s="9">
        <f>IFERROR(__xludf.DUMMYFUNCTION("""COMPUTED_VALUE"""),6.53)</f>
        <v>6.53</v>
      </c>
      <c r="H8667" s="17"/>
      <c r="K8667" s="17"/>
      <c r="N8667" s="17"/>
    </row>
    <row r="8668">
      <c r="B8668" s="11">
        <f>IFERROR(__xludf.DUMMYFUNCTION("""COMPUTED_VALUE"""),33891.0)</f>
        <v>33891</v>
      </c>
      <c r="C8668" s="9">
        <f>IFERROR(__xludf.DUMMYFUNCTION("""COMPUTED_VALUE"""),6.51)</f>
        <v>6.51</v>
      </c>
      <c r="H8668" s="17"/>
      <c r="K8668" s="17"/>
      <c r="N8668" s="17"/>
    </row>
    <row r="8669">
      <c r="B8669" s="11">
        <f>IFERROR(__xludf.DUMMYFUNCTION("""COMPUTED_VALUE"""),33890.0)</f>
        <v>33890</v>
      </c>
      <c r="C8669" s="9">
        <f>IFERROR(__xludf.DUMMYFUNCTION("""COMPUTED_VALUE"""),6.51)</f>
        <v>6.51</v>
      </c>
      <c r="H8669" s="17"/>
      <c r="K8669" s="17"/>
      <c r="N8669" s="17"/>
    </row>
    <row r="8670">
      <c r="B8670" s="11">
        <f>IFERROR(__xludf.DUMMYFUNCTION("""COMPUTED_VALUE"""),33889.0)</f>
        <v>33889</v>
      </c>
      <c r="C8670" s="9"/>
      <c r="H8670" s="17"/>
      <c r="K8670" s="17"/>
      <c r="N8670" s="17"/>
    </row>
    <row r="8671">
      <c r="B8671" s="11">
        <f>IFERROR(__xludf.DUMMYFUNCTION("""COMPUTED_VALUE"""),33886.0)</f>
        <v>33886</v>
      </c>
      <c r="C8671" s="9">
        <f>IFERROR(__xludf.DUMMYFUNCTION("""COMPUTED_VALUE"""),6.52)</f>
        <v>6.52</v>
      </c>
      <c r="H8671" s="17"/>
      <c r="K8671" s="17"/>
      <c r="N8671" s="17"/>
    </row>
    <row r="8672">
      <c r="B8672" s="11">
        <f>IFERROR(__xludf.DUMMYFUNCTION("""COMPUTED_VALUE"""),33885.0)</f>
        <v>33885</v>
      </c>
      <c r="C8672" s="9">
        <f>IFERROR(__xludf.DUMMYFUNCTION("""COMPUTED_VALUE"""),6.41)</f>
        <v>6.41</v>
      </c>
      <c r="H8672" s="17"/>
      <c r="K8672" s="17"/>
      <c r="N8672" s="17"/>
    </row>
    <row r="8673">
      <c r="B8673" s="11">
        <f>IFERROR(__xludf.DUMMYFUNCTION("""COMPUTED_VALUE"""),33884.0)</f>
        <v>33884</v>
      </c>
      <c r="C8673" s="9">
        <f>IFERROR(__xludf.DUMMYFUNCTION("""COMPUTED_VALUE"""),6.46)</f>
        <v>6.46</v>
      </c>
      <c r="H8673" s="17"/>
      <c r="K8673" s="17"/>
      <c r="N8673" s="17"/>
    </row>
    <row r="8674">
      <c r="B8674" s="11">
        <f>IFERROR(__xludf.DUMMYFUNCTION("""COMPUTED_VALUE"""),33883.0)</f>
        <v>33883</v>
      </c>
      <c r="C8674" s="9">
        <f>IFERROR(__xludf.DUMMYFUNCTION("""COMPUTED_VALUE"""),6.3)</f>
        <v>6.3</v>
      </c>
      <c r="H8674" s="17"/>
      <c r="K8674" s="17"/>
      <c r="N8674" s="17"/>
    </row>
    <row r="8675">
      <c r="B8675" s="11">
        <f>IFERROR(__xludf.DUMMYFUNCTION("""COMPUTED_VALUE"""),33882.0)</f>
        <v>33882</v>
      </c>
      <c r="C8675" s="9">
        <f>IFERROR(__xludf.DUMMYFUNCTION("""COMPUTED_VALUE"""),6.24)</f>
        <v>6.24</v>
      </c>
      <c r="H8675" s="17"/>
      <c r="K8675" s="17"/>
      <c r="N8675" s="17"/>
    </row>
    <row r="8676">
      <c r="B8676" s="11">
        <f>IFERROR(__xludf.DUMMYFUNCTION("""COMPUTED_VALUE"""),33879.0)</f>
        <v>33879</v>
      </c>
      <c r="C8676" s="9">
        <f>IFERROR(__xludf.DUMMYFUNCTION("""COMPUTED_VALUE"""),6.26)</f>
        <v>6.26</v>
      </c>
      <c r="H8676" s="17"/>
      <c r="K8676" s="17"/>
      <c r="N8676" s="17"/>
    </row>
    <row r="8677">
      <c r="B8677" s="11">
        <f>IFERROR(__xludf.DUMMYFUNCTION("""COMPUTED_VALUE"""),33878.0)</f>
        <v>33878</v>
      </c>
      <c r="C8677" s="9">
        <f>IFERROR(__xludf.DUMMYFUNCTION("""COMPUTED_VALUE"""),6.23)</f>
        <v>6.23</v>
      </c>
      <c r="H8677" s="17"/>
      <c r="K8677" s="17"/>
      <c r="N8677" s="17"/>
    </row>
    <row r="8678">
      <c r="B8678" s="11">
        <f>IFERROR(__xludf.DUMMYFUNCTION("""COMPUTED_VALUE"""),33877.0)</f>
        <v>33877</v>
      </c>
      <c r="C8678" s="9">
        <f>IFERROR(__xludf.DUMMYFUNCTION("""COMPUTED_VALUE"""),6.37)</f>
        <v>6.37</v>
      </c>
      <c r="H8678" s="17"/>
      <c r="K8678" s="17"/>
      <c r="N8678" s="17"/>
    </row>
    <row r="8679">
      <c r="B8679" s="11">
        <f>IFERROR(__xludf.DUMMYFUNCTION("""COMPUTED_VALUE"""),33876.0)</f>
        <v>33876</v>
      </c>
      <c r="C8679" s="9">
        <f>IFERROR(__xludf.DUMMYFUNCTION("""COMPUTED_VALUE"""),6.37)</f>
        <v>6.37</v>
      </c>
      <c r="H8679" s="17"/>
      <c r="K8679" s="17"/>
      <c r="N8679" s="17"/>
    </row>
    <row r="8680">
      <c r="B8680" s="11">
        <f>IFERROR(__xludf.DUMMYFUNCTION("""COMPUTED_VALUE"""),33875.0)</f>
        <v>33875</v>
      </c>
      <c r="C8680" s="9">
        <f>IFERROR(__xludf.DUMMYFUNCTION("""COMPUTED_VALUE"""),6.37)</f>
        <v>6.37</v>
      </c>
      <c r="H8680" s="17"/>
      <c r="K8680" s="17"/>
      <c r="N8680" s="17"/>
    </row>
    <row r="8681">
      <c r="B8681" s="11">
        <f>IFERROR(__xludf.DUMMYFUNCTION("""COMPUTED_VALUE"""),33872.0)</f>
        <v>33872</v>
      </c>
      <c r="C8681" s="9">
        <f>IFERROR(__xludf.DUMMYFUNCTION("""COMPUTED_VALUE"""),6.41)</f>
        <v>6.41</v>
      </c>
      <c r="H8681" s="17"/>
      <c r="K8681" s="17"/>
      <c r="N8681" s="17"/>
    </row>
    <row r="8682">
      <c r="B8682" s="11">
        <f>IFERROR(__xludf.DUMMYFUNCTION("""COMPUTED_VALUE"""),33871.0)</f>
        <v>33871</v>
      </c>
      <c r="C8682" s="9">
        <f>IFERROR(__xludf.DUMMYFUNCTION("""COMPUTED_VALUE"""),6.48)</f>
        <v>6.48</v>
      </c>
      <c r="H8682" s="17"/>
      <c r="K8682" s="17"/>
      <c r="N8682" s="17"/>
    </row>
    <row r="8683">
      <c r="B8683" s="11">
        <f>IFERROR(__xludf.DUMMYFUNCTION("""COMPUTED_VALUE"""),33870.0)</f>
        <v>33870</v>
      </c>
      <c r="C8683" s="9">
        <f>IFERROR(__xludf.DUMMYFUNCTION("""COMPUTED_VALUE"""),6.54)</f>
        <v>6.54</v>
      </c>
      <c r="H8683" s="17"/>
      <c r="K8683" s="17"/>
      <c r="N8683" s="17"/>
    </row>
    <row r="8684">
      <c r="B8684" s="11">
        <f>IFERROR(__xludf.DUMMYFUNCTION("""COMPUTED_VALUE"""),33869.0)</f>
        <v>33869</v>
      </c>
      <c r="C8684" s="9">
        <f>IFERROR(__xludf.DUMMYFUNCTION("""COMPUTED_VALUE"""),6.5)</f>
        <v>6.5</v>
      </c>
      <c r="H8684" s="17"/>
      <c r="K8684" s="17"/>
      <c r="N8684" s="17"/>
    </row>
    <row r="8685">
      <c r="B8685" s="11">
        <f>IFERROR(__xludf.DUMMYFUNCTION("""COMPUTED_VALUE"""),33868.0)</f>
        <v>33868</v>
      </c>
      <c r="C8685" s="9">
        <f>IFERROR(__xludf.DUMMYFUNCTION("""COMPUTED_VALUE"""),6.42)</f>
        <v>6.42</v>
      </c>
      <c r="H8685" s="17"/>
      <c r="K8685" s="17"/>
      <c r="N8685" s="17"/>
    </row>
    <row r="8686">
      <c r="B8686" s="11">
        <f>IFERROR(__xludf.DUMMYFUNCTION("""COMPUTED_VALUE"""),33865.0)</f>
        <v>33865</v>
      </c>
      <c r="C8686" s="9">
        <f>IFERROR(__xludf.DUMMYFUNCTION("""COMPUTED_VALUE"""),6.41)</f>
        <v>6.41</v>
      </c>
      <c r="H8686" s="17"/>
      <c r="K8686" s="17"/>
      <c r="N8686" s="17"/>
    </row>
    <row r="8687">
      <c r="B8687" s="11">
        <f>IFERROR(__xludf.DUMMYFUNCTION("""COMPUTED_VALUE"""),33864.0)</f>
        <v>33864</v>
      </c>
      <c r="C8687" s="9">
        <f>IFERROR(__xludf.DUMMYFUNCTION("""COMPUTED_VALUE"""),6.4)</f>
        <v>6.4</v>
      </c>
      <c r="H8687" s="17"/>
      <c r="K8687" s="17"/>
      <c r="N8687" s="17"/>
    </row>
    <row r="8688">
      <c r="B8688" s="11">
        <f>IFERROR(__xludf.DUMMYFUNCTION("""COMPUTED_VALUE"""),33863.0)</f>
        <v>33863</v>
      </c>
      <c r="C8688" s="9">
        <f>IFERROR(__xludf.DUMMYFUNCTION("""COMPUTED_VALUE"""),6.41)</f>
        <v>6.41</v>
      </c>
      <c r="H8688" s="17"/>
      <c r="K8688" s="17"/>
      <c r="N8688" s="17"/>
    </row>
    <row r="8689">
      <c r="B8689" s="11">
        <f>IFERROR(__xludf.DUMMYFUNCTION("""COMPUTED_VALUE"""),33862.0)</f>
        <v>33862</v>
      </c>
      <c r="C8689" s="9">
        <f>IFERROR(__xludf.DUMMYFUNCTION("""COMPUTED_VALUE"""),6.4)</f>
        <v>6.4</v>
      </c>
      <c r="H8689" s="17"/>
      <c r="K8689" s="17"/>
      <c r="N8689" s="17"/>
    </row>
    <row r="8690">
      <c r="B8690" s="11">
        <f>IFERROR(__xludf.DUMMYFUNCTION("""COMPUTED_VALUE"""),33861.0)</f>
        <v>33861</v>
      </c>
      <c r="C8690" s="9">
        <f>IFERROR(__xludf.DUMMYFUNCTION("""COMPUTED_VALUE"""),6.32)</f>
        <v>6.32</v>
      </c>
      <c r="H8690" s="17"/>
      <c r="K8690" s="17"/>
      <c r="N8690" s="17"/>
    </row>
    <row r="8691">
      <c r="B8691" s="11">
        <f>IFERROR(__xludf.DUMMYFUNCTION("""COMPUTED_VALUE"""),33858.0)</f>
        <v>33858</v>
      </c>
      <c r="C8691" s="9">
        <f>IFERROR(__xludf.DUMMYFUNCTION("""COMPUTED_VALUE"""),6.37)</f>
        <v>6.37</v>
      </c>
      <c r="H8691" s="17"/>
      <c r="K8691" s="17"/>
      <c r="N8691" s="17"/>
    </row>
    <row r="8692">
      <c r="B8692" s="11">
        <f>IFERROR(__xludf.DUMMYFUNCTION("""COMPUTED_VALUE"""),33857.0)</f>
        <v>33857</v>
      </c>
      <c r="C8692" s="9">
        <f>IFERROR(__xludf.DUMMYFUNCTION("""COMPUTED_VALUE"""),6.31)</f>
        <v>6.31</v>
      </c>
      <c r="H8692" s="17"/>
      <c r="K8692" s="17"/>
      <c r="N8692" s="17"/>
    </row>
    <row r="8693">
      <c r="B8693" s="11">
        <f>IFERROR(__xludf.DUMMYFUNCTION("""COMPUTED_VALUE"""),33856.0)</f>
        <v>33856</v>
      </c>
      <c r="C8693" s="9">
        <f>IFERROR(__xludf.DUMMYFUNCTION("""COMPUTED_VALUE"""),6.31)</f>
        <v>6.31</v>
      </c>
      <c r="H8693" s="17"/>
      <c r="K8693" s="17"/>
      <c r="N8693" s="17"/>
    </row>
    <row r="8694">
      <c r="B8694" s="11">
        <f>IFERROR(__xludf.DUMMYFUNCTION("""COMPUTED_VALUE"""),33855.0)</f>
        <v>33855</v>
      </c>
      <c r="C8694" s="9">
        <f>IFERROR(__xludf.DUMMYFUNCTION("""COMPUTED_VALUE"""),6.29)</f>
        <v>6.29</v>
      </c>
      <c r="H8694" s="17"/>
      <c r="K8694" s="17"/>
      <c r="N8694" s="17"/>
    </row>
    <row r="8695">
      <c r="B8695" s="11">
        <f>IFERROR(__xludf.DUMMYFUNCTION("""COMPUTED_VALUE"""),33854.0)</f>
        <v>33854</v>
      </c>
      <c r="C8695" s="9"/>
      <c r="H8695" s="17"/>
      <c r="K8695" s="17"/>
      <c r="N8695" s="17"/>
    </row>
    <row r="8696">
      <c r="B8696" s="11">
        <f>IFERROR(__xludf.DUMMYFUNCTION("""COMPUTED_VALUE"""),33851.0)</f>
        <v>33851</v>
      </c>
      <c r="C8696" s="9">
        <f>IFERROR(__xludf.DUMMYFUNCTION("""COMPUTED_VALUE"""),6.4)</f>
        <v>6.4</v>
      </c>
      <c r="H8696" s="17"/>
      <c r="K8696" s="17"/>
      <c r="N8696" s="17"/>
    </row>
    <row r="8697">
      <c r="B8697" s="11">
        <f>IFERROR(__xludf.DUMMYFUNCTION("""COMPUTED_VALUE"""),33850.0)</f>
        <v>33850</v>
      </c>
      <c r="C8697" s="9">
        <f>IFERROR(__xludf.DUMMYFUNCTION("""COMPUTED_VALUE"""),6.54)</f>
        <v>6.54</v>
      </c>
      <c r="H8697" s="17"/>
      <c r="K8697" s="17"/>
      <c r="N8697" s="17"/>
    </row>
    <row r="8698">
      <c r="B8698" s="11">
        <f>IFERROR(__xludf.DUMMYFUNCTION("""COMPUTED_VALUE"""),33849.0)</f>
        <v>33849</v>
      </c>
      <c r="C8698" s="9">
        <f>IFERROR(__xludf.DUMMYFUNCTION("""COMPUTED_VALUE"""),6.54)</f>
        <v>6.54</v>
      </c>
      <c r="H8698" s="17"/>
      <c r="K8698" s="17"/>
      <c r="N8698" s="17"/>
    </row>
    <row r="8699">
      <c r="B8699" s="11">
        <f>IFERROR(__xludf.DUMMYFUNCTION("""COMPUTED_VALUE"""),33848.0)</f>
        <v>33848</v>
      </c>
      <c r="C8699" s="9">
        <f>IFERROR(__xludf.DUMMYFUNCTION("""COMPUTED_VALUE"""),6.56)</f>
        <v>6.56</v>
      </c>
      <c r="H8699" s="17"/>
      <c r="K8699" s="17"/>
      <c r="N8699" s="17"/>
    </row>
    <row r="8700">
      <c r="B8700" s="11">
        <f>IFERROR(__xludf.DUMMYFUNCTION("""COMPUTED_VALUE"""),33847.0)</f>
        <v>33847</v>
      </c>
      <c r="C8700" s="9">
        <f>IFERROR(__xludf.DUMMYFUNCTION("""COMPUTED_VALUE"""),6.62)</f>
        <v>6.62</v>
      </c>
      <c r="H8700" s="17"/>
      <c r="K8700" s="17"/>
      <c r="N8700" s="17"/>
    </row>
    <row r="8701">
      <c r="B8701" s="11">
        <f>IFERROR(__xludf.DUMMYFUNCTION("""COMPUTED_VALUE"""),33844.0)</f>
        <v>33844</v>
      </c>
      <c r="C8701" s="9">
        <f>IFERROR(__xludf.DUMMYFUNCTION("""COMPUTED_VALUE"""),6.63)</f>
        <v>6.63</v>
      </c>
      <c r="H8701" s="17"/>
      <c r="K8701" s="17"/>
      <c r="N8701" s="17"/>
    </row>
    <row r="8702">
      <c r="B8702" s="11">
        <f>IFERROR(__xludf.DUMMYFUNCTION("""COMPUTED_VALUE"""),33843.0)</f>
        <v>33843</v>
      </c>
      <c r="C8702" s="9">
        <f>IFERROR(__xludf.DUMMYFUNCTION("""COMPUTED_VALUE"""),6.64)</f>
        <v>6.64</v>
      </c>
      <c r="H8702" s="17"/>
      <c r="K8702" s="17"/>
      <c r="N8702" s="17"/>
    </row>
    <row r="8703">
      <c r="B8703" s="11">
        <f>IFERROR(__xludf.DUMMYFUNCTION("""COMPUTED_VALUE"""),33842.0)</f>
        <v>33842</v>
      </c>
      <c r="C8703" s="9">
        <f>IFERROR(__xludf.DUMMYFUNCTION("""COMPUTED_VALUE"""),6.68)</f>
        <v>6.68</v>
      </c>
      <c r="H8703" s="17"/>
      <c r="K8703" s="17"/>
      <c r="N8703" s="17"/>
    </row>
    <row r="8704">
      <c r="B8704" s="11">
        <f>IFERROR(__xludf.DUMMYFUNCTION("""COMPUTED_VALUE"""),33841.0)</f>
        <v>33841</v>
      </c>
      <c r="C8704" s="9">
        <f>IFERROR(__xludf.DUMMYFUNCTION("""COMPUTED_VALUE"""),6.73)</f>
        <v>6.73</v>
      </c>
      <c r="H8704" s="17"/>
      <c r="K8704" s="17"/>
      <c r="N8704" s="17"/>
    </row>
    <row r="8705">
      <c r="B8705" s="11">
        <f>IFERROR(__xludf.DUMMYFUNCTION("""COMPUTED_VALUE"""),33840.0)</f>
        <v>33840</v>
      </c>
      <c r="C8705" s="9">
        <f>IFERROR(__xludf.DUMMYFUNCTION("""COMPUTED_VALUE"""),6.68)</f>
        <v>6.68</v>
      </c>
      <c r="H8705" s="17"/>
      <c r="K8705" s="17"/>
      <c r="N8705" s="17"/>
    </row>
    <row r="8706">
      <c r="B8706" s="11">
        <f>IFERROR(__xludf.DUMMYFUNCTION("""COMPUTED_VALUE"""),33837.0)</f>
        <v>33837</v>
      </c>
      <c r="C8706" s="9">
        <f>IFERROR(__xludf.DUMMYFUNCTION("""COMPUTED_VALUE"""),6.53)</f>
        <v>6.53</v>
      </c>
      <c r="H8706" s="17"/>
      <c r="K8706" s="17"/>
      <c r="N8706" s="17"/>
    </row>
    <row r="8707">
      <c r="B8707" s="11">
        <f>IFERROR(__xludf.DUMMYFUNCTION("""COMPUTED_VALUE"""),33836.0)</f>
        <v>33836</v>
      </c>
      <c r="C8707" s="9">
        <f>IFERROR(__xludf.DUMMYFUNCTION("""COMPUTED_VALUE"""),6.46)</f>
        <v>6.46</v>
      </c>
      <c r="H8707" s="17"/>
      <c r="K8707" s="17"/>
      <c r="N8707" s="17"/>
    </row>
    <row r="8708">
      <c r="B8708" s="11">
        <f>IFERROR(__xludf.DUMMYFUNCTION("""COMPUTED_VALUE"""),33835.0)</f>
        <v>33835</v>
      </c>
      <c r="C8708" s="9">
        <f>IFERROR(__xludf.DUMMYFUNCTION("""COMPUTED_VALUE"""),6.47)</f>
        <v>6.47</v>
      </c>
      <c r="H8708" s="17"/>
      <c r="K8708" s="17"/>
      <c r="N8708" s="17"/>
    </row>
    <row r="8709">
      <c r="B8709" s="11">
        <f>IFERROR(__xludf.DUMMYFUNCTION("""COMPUTED_VALUE"""),33834.0)</f>
        <v>33834</v>
      </c>
      <c r="C8709" s="9">
        <f>IFERROR(__xludf.DUMMYFUNCTION("""COMPUTED_VALUE"""),6.48)</f>
        <v>6.48</v>
      </c>
      <c r="H8709" s="17"/>
      <c r="K8709" s="17"/>
      <c r="N8709" s="17"/>
    </row>
    <row r="8710">
      <c r="B8710" s="11">
        <f>IFERROR(__xludf.DUMMYFUNCTION("""COMPUTED_VALUE"""),33833.0)</f>
        <v>33833</v>
      </c>
      <c r="C8710" s="9">
        <f>IFERROR(__xludf.DUMMYFUNCTION("""COMPUTED_VALUE"""),6.56)</f>
        <v>6.56</v>
      </c>
      <c r="H8710" s="17"/>
      <c r="K8710" s="17"/>
      <c r="N8710" s="17"/>
    </row>
    <row r="8711">
      <c r="B8711" s="11">
        <f>IFERROR(__xludf.DUMMYFUNCTION("""COMPUTED_VALUE"""),33830.0)</f>
        <v>33830</v>
      </c>
      <c r="C8711" s="9">
        <f>IFERROR(__xludf.DUMMYFUNCTION("""COMPUTED_VALUE"""),6.53)</f>
        <v>6.53</v>
      </c>
      <c r="H8711" s="17"/>
      <c r="K8711" s="17"/>
      <c r="N8711" s="17"/>
    </row>
    <row r="8712">
      <c r="B8712" s="11">
        <f>IFERROR(__xludf.DUMMYFUNCTION("""COMPUTED_VALUE"""),33829.0)</f>
        <v>33829</v>
      </c>
      <c r="C8712" s="9">
        <f>IFERROR(__xludf.DUMMYFUNCTION("""COMPUTED_VALUE"""),6.55)</f>
        <v>6.55</v>
      </c>
      <c r="H8712" s="17"/>
      <c r="K8712" s="17"/>
      <c r="N8712" s="17"/>
    </row>
    <row r="8713">
      <c r="B8713" s="11">
        <f>IFERROR(__xludf.DUMMYFUNCTION("""COMPUTED_VALUE"""),33828.0)</f>
        <v>33828</v>
      </c>
      <c r="C8713" s="9">
        <f>IFERROR(__xludf.DUMMYFUNCTION("""COMPUTED_VALUE"""),6.48)</f>
        <v>6.48</v>
      </c>
      <c r="H8713" s="17"/>
      <c r="K8713" s="17"/>
      <c r="N8713" s="17"/>
    </row>
    <row r="8714">
      <c r="B8714" s="11">
        <f>IFERROR(__xludf.DUMMYFUNCTION("""COMPUTED_VALUE"""),33827.0)</f>
        <v>33827</v>
      </c>
      <c r="C8714" s="9">
        <f>IFERROR(__xludf.DUMMYFUNCTION("""COMPUTED_VALUE"""),6.5)</f>
        <v>6.5</v>
      </c>
      <c r="H8714" s="17"/>
      <c r="K8714" s="17"/>
      <c r="N8714" s="17"/>
    </row>
    <row r="8715">
      <c r="B8715" s="11">
        <f>IFERROR(__xludf.DUMMYFUNCTION("""COMPUTED_VALUE"""),33826.0)</f>
        <v>33826</v>
      </c>
      <c r="C8715" s="9">
        <f>IFERROR(__xludf.DUMMYFUNCTION("""COMPUTED_VALUE"""),6.52)</f>
        <v>6.52</v>
      </c>
      <c r="H8715" s="17"/>
      <c r="K8715" s="17"/>
      <c r="N8715" s="17"/>
    </row>
    <row r="8716">
      <c r="B8716" s="11">
        <f>IFERROR(__xludf.DUMMYFUNCTION("""COMPUTED_VALUE"""),33823.0)</f>
        <v>33823</v>
      </c>
      <c r="C8716" s="9">
        <f>IFERROR(__xludf.DUMMYFUNCTION("""COMPUTED_VALUE"""),6.57)</f>
        <v>6.57</v>
      </c>
      <c r="H8716" s="17"/>
      <c r="K8716" s="17"/>
      <c r="N8716" s="17"/>
    </row>
    <row r="8717">
      <c r="B8717" s="11">
        <f>IFERROR(__xludf.DUMMYFUNCTION("""COMPUTED_VALUE"""),33822.0)</f>
        <v>33822</v>
      </c>
      <c r="C8717" s="9">
        <f>IFERROR(__xludf.DUMMYFUNCTION("""COMPUTED_VALUE"""),6.65)</f>
        <v>6.65</v>
      </c>
      <c r="H8717" s="17"/>
      <c r="K8717" s="17"/>
      <c r="N8717" s="17"/>
    </row>
    <row r="8718">
      <c r="B8718" s="11">
        <f>IFERROR(__xludf.DUMMYFUNCTION("""COMPUTED_VALUE"""),33821.0)</f>
        <v>33821</v>
      </c>
      <c r="C8718" s="9">
        <f>IFERROR(__xludf.DUMMYFUNCTION("""COMPUTED_VALUE"""),6.64)</f>
        <v>6.64</v>
      </c>
      <c r="H8718" s="17"/>
      <c r="K8718" s="17"/>
      <c r="N8718" s="17"/>
    </row>
    <row r="8719">
      <c r="B8719" s="11">
        <f>IFERROR(__xludf.DUMMYFUNCTION("""COMPUTED_VALUE"""),33820.0)</f>
        <v>33820</v>
      </c>
      <c r="C8719" s="9">
        <f>IFERROR(__xludf.DUMMYFUNCTION("""COMPUTED_VALUE"""),6.66)</f>
        <v>6.66</v>
      </c>
      <c r="H8719" s="17"/>
      <c r="K8719" s="17"/>
      <c r="N8719" s="17"/>
    </row>
    <row r="8720">
      <c r="B8720" s="11">
        <f>IFERROR(__xludf.DUMMYFUNCTION("""COMPUTED_VALUE"""),33819.0)</f>
        <v>33819</v>
      </c>
      <c r="C8720" s="9">
        <f>IFERROR(__xludf.DUMMYFUNCTION("""COMPUTED_VALUE"""),6.72)</f>
        <v>6.72</v>
      </c>
      <c r="H8720" s="17"/>
      <c r="K8720" s="17"/>
      <c r="N8720" s="17"/>
    </row>
    <row r="8721">
      <c r="B8721" s="11">
        <f>IFERROR(__xludf.DUMMYFUNCTION("""COMPUTED_VALUE"""),33816.0)</f>
        <v>33816</v>
      </c>
      <c r="C8721" s="9">
        <f>IFERROR(__xludf.DUMMYFUNCTION("""COMPUTED_VALUE"""),6.72)</f>
        <v>6.72</v>
      </c>
      <c r="H8721" s="17"/>
      <c r="K8721" s="17"/>
      <c r="N8721" s="17"/>
    </row>
    <row r="8722">
      <c r="B8722" s="11">
        <f>IFERROR(__xludf.DUMMYFUNCTION("""COMPUTED_VALUE"""),33815.0)</f>
        <v>33815</v>
      </c>
      <c r="C8722" s="9">
        <f>IFERROR(__xludf.DUMMYFUNCTION("""COMPUTED_VALUE"""),6.69)</f>
        <v>6.69</v>
      </c>
      <c r="H8722" s="17"/>
      <c r="K8722" s="17"/>
      <c r="N8722" s="17"/>
    </row>
    <row r="8723">
      <c r="B8723" s="11">
        <f>IFERROR(__xludf.DUMMYFUNCTION("""COMPUTED_VALUE"""),33814.0)</f>
        <v>33814</v>
      </c>
      <c r="C8723" s="9">
        <f>IFERROR(__xludf.DUMMYFUNCTION("""COMPUTED_VALUE"""),6.6)</f>
        <v>6.6</v>
      </c>
      <c r="H8723" s="17"/>
      <c r="K8723" s="17"/>
      <c r="N8723" s="17"/>
    </row>
    <row r="8724">
      <c r="B8724" s="11">
        <f>IFERROR(__xludf.DUMMYFUNCTION("""COMPUTED_VALUE"""),33813.0)</f>
        <v>33813</v>
      </c>
      <c r="C8724" s="9">
        <f>IFERROR(__xludf.DUMMYFUNCTION("""COMPUTED_VALUE"""),6.63)</f>
        <v>6.63</v>
      </c>
      <c r="H8724" s="17"/>
      <c r="K8724" s="17"/>
      <c r="N8724" s="17"/>
    </row>
    <row r="8725">
      <c r="B8725" s="11">
        <f>IFERROR(__xludf.DUMMYFUNCTION("""COMPUTED_VALUE"""),33812.0)</f>
        <v>33812</v>
      </c>
      <c r="C8725" s="9">
        <f>IFERROR(__xludf.DUMMYFUNCTION("""COMPUTED_VALUE"""),6.69)</f>
        <v>6.69</v>
      </c>
      <c r="H8725" s="17"/>
      <c r="K8725" s="17"/>
      <c r="N8725" s="17"/>
    </row>
    <row r="8726">
      <c r="B8726" s="11">
        <f>IFERROR(__xludf.DUMMYFUNCTION("""COMPUTED_VALUE"""),33809.0)</f>
        <v>33809</v>
      </c>
      <c r="C8726" s="9">
        <f>IFERROR(__xludf.DUMMYFUNCTION("""COMPUTED_VALUE"""),6.73)</f>
        <v>6.73</v>
      </c>
      <c r="H8726" s="17"/>
      <c r="K8726" s="17"/>
      <c r="N8726" s="17"/>
    </row>
    <row r="8727">
      <c r="B8727" s="11">
        <f>IFERROR(__xludf.DUMMYFUNCTION("""COMPUTED_VALUE"""),33808.0)</f>
        <v>33808</v>
      </c>
      <c r="C8727" s="9">
        <f>IFERROR(__xludf.DUMMYFUNCTION("""COMPUTED_VALUE"""),6.72)</f>
        <v>6.72</v>
      </c>
      <c r="H8727" s="17"/>
      <c r="K8727" s="17"/>
      <c r="N8727" s="17"/>
    </row>
    <row r="8728">
      <c r="B8728" s="11">
        <f>IFERROR(__xludf.DUMMYFUNCTION("""COMPUTED_VALUE"""),33807.0)</f>
        <v>33807</v>
      </c>
      <c r="C8728" s="9">
        <f>IFERROR(__xludf.DUMMYFUNCTION("""COMPUTED_VALUE"""),6.85)</f>
        <v>6.85</v>
      </c>
      <c r="H8728" s="17"/>
      <c r="K8728" s="17"/>
      <c r="N8728" s="17"/>
    </row>
    <row r="8729">
      <c r="B8729" s="11">
        <f>IFERROR(__xludf.DUMMYFUNCTION("""COMPUTED_VALUE"""),33806.0)</f>
        <v>33806</v>
      </c>
      <c r="C8729" s="9">
        <f>IFERROR(__xludf.DUMMYFUNCTION("""COMPUTED_VALUE"""),6.89)</f>
        <v>6.89</v>
      </c>
      <c r="H8729" s="17"/>
      <c r="K8729" s="17"/>
      <c r="N8729" s="17"/>
    </row>
    <row r="8730">
      <c r="B8730" s="11">
        <f>IFERROR(__xludf.DUMMYFUNCTION("""COMPUTED_VALUE"""),33805.0)</f>
        <v>33805</v>
      </c>
      <c r="C8730" s="9">
        <f>IFERROR(__xludf.DUMMYFUNCTION("""COMPUTED_VALUE"""),6.9)</f>
        <v>6.9</v>
      </c>
      <c r="H8730" s="17"/>
      <c r="K8730" s="17"/>
      <c r="N8730" s="17"/>
    </row>
    <row r="8731">
      <c r="B8731" s="11">
        <f>IFERROR(__xludf.DUMMYFUNCTION("""COMPUTED_VALUE"""),33802.0)</f>
        <v>33802</v>
      </c>
      <c r="C8731" s="9">
        <f>IFERROR(__xludf.DUMMYFUNCTION("""COMPUTED_VALUE"""),6.9)</f>
        <v>6.9</v>
      </c>
      <c r="H8731" s="17"/>
      <c r="K8731" s="17"/>
      <c r="N8731" s="17"/>
    </row>
    <row r="8732">
      <c r="B8732" s="11">
        <f>IFERROR(__xludf.DUMMYFUNCTION("""COMPUTED_VALUE"""),33801.0)</f>
        <v>33801</v>
      </c>
      <c r="C8732" s="9">
        <f>IFERROR(__xludf.DUMMYFUNCTION("""COMPUTED_VALUE"""),6.87)</f>
        <v>6.87</v>
      </c>
      <c r="H8732" s="17"/>
      <c r="K8732" s="17"/>
      <c r="N8732" s="17"/>
    </row>
    <row r="8733">
      <c r="B8733" s="11">
        <f>IFERROR(__xludf.DUMMYFUNCTION("""COMPUTED_VALUE"""),33800.0)</f>
        <v>33800</v>
      </c>
      <c r="C8733" s="9">
        <f>IFERROR(__xludf.DUMMYFUNCTION("""COMPUTED_VALUE"""),6.9)</f>
        <v>6.9</v>
      </c>
      <c r="H8733" s="17"/>
      <c r="K8733" s="17"/>
      <c r="N8733" s="17"/>
    </row>
    <row r="8734">
      <c r="B8734" s="11">
        <f>IFERROR(__xludf.DUMMYFUNCTION("""COMPUTED_VALUE"""),33799.0)</f>
        <v>33799</v>
      </c>
      <c r="C8734" s="9">
        <f>IFERROR(__xludf.DUMMYFUNCTION("""COMPUTED_VALUE"""),6.97)</f>
        <v>6.97</v>
      </c>
      <c r="H8734" s="17"/>
      <c r="K8734" s="17"/>
      <c r="N8734" s="17"/>
    </row>
    <row r="8735">
      <c r="B8735" s="11">
        <f>IFERROR(__xludf.DUMMYFUNCTION("""COMPUTED_VALUE"""),33798.0)</f>
        <v>33798</v>
      </c>
      <c r="C8735" s="9">
        <f>IFERROR(__xludf.DUMMYFUNCTION("""COMPUTED_VALUE"""),6.97)</f>
        <v>6.97</v>
      </c>
      <c r="H8735" s="17"/>
      <c r="K8735" s="17"/>
      <c r="N8735" s="17"/>
    </row>
    <row r="8736">
      <c r="B8736" s="11">
        <f>IFERROR(__xludf.DUMMYFUNCTION("""COMPUTED_VALUE"""),33795.0)</f>
        <v>33795</v>
      </c>
      <c r="C8736" s="9">
        <f>IFERROR(__xludf.DUMMYFUNCTION("""COMPUTED_VALUE"""),6.93)</f>
        <v>6.93</v>
      </c>
      <c r="H8736" s="17"/>
      <c r="K8736" s="17"/>
      <c r="N8736" s="17"/>
    </row>
    <row r="8737">
      <c r="B8737" s="11">
        <f>IFERROR(__xludf.DUMMYFUNCTION("""COMPUTED_VALUE"""),33794.0)</f>
        <v>33794</v>
      </c>
      <c r="C8737" s="9">
        <f>IFERROR(__xludf.DUMMYFUNCTION("""COMPUTED_VALUE"""),6.91)</f>
        <v>6.91</v>
      </c>
      <c r="H8737" s="17"/>
      <c r="K8737" s="17"/>
      <c r="N8737" s="17"/>
    </row>
    <row r="8738">
      <c r="B8738" s="11">
        <f>IFERROR(__xludf.DUMMYFUNCTION("""COMPUTED_VALUE"""),33793.0)</f>
        <v>33793</v>
      </c>
      <c r="C8738" s="9">
        <f>IFERROR(__xludf.DUMMYFUNCTION("""COMPUTED_VALUE"""),6.91)</f>
        <v>6.91</v>
      </c>
      <c r="H8738" s="17"/>
      <c r="K8738" s="17"/>
      <c r="N8738" s="17"/>
    </row>
    <row r="8739">
      <c r="B8739" s="11">
        <f>IFERROR(__xludf.DUMMYFUNCTION("""COMPUTED_VALUE"""),33792.0)</f>
        <v>33792</v>
      </c>
      <c r="C8739" s="9">
        <f>IFERROR(__xludf.DUMMYFUNCTION("""COMPUTED_VALUE"""),6.87)</f>
        <v>6.87</v>
      </c>
      <c r="H8739" s="17"/>
      <c r="K8739" s="17"/>
      <c r="N8739" s="17"/>
    </row>
    <row r="8740">
      <c r="B8740" s="11">
        <f>IFERROR(__xludf.DUMMYFUNCTION("""COMPUTED_VALUE"""),33791.0)</f>
        <v>33791</v>
      </c>
      <c r="C8740" s="9">
        <f>IFERROR(__xludf.DUMMYFUNCTION("""COMPUTED_VALUE"""),6.9)</f>
        <v>6.9</v>
      </c>
      <c r="H8740" s="17"/>
      <c r="K8740" s="17"/>
      <c r="N8740" s="17"/>
    </row>
    <row r="8741">
      <c r="B8741" s="11">
        <f>IFERROR(__xludf.DUMMYFUNCTION("""COMPUTED_VALUE"""),33788.0)</f>
        <v>33788</v>
      </c>
      <c r="C8741" s="9"/>
      <c r="H8741" s="17"/>
      <c r="K8741" s="17"/>
      <c r="N8741" s="17"/>
    </row>
    <row r="8742">
      <c r="B8742" s="11">
        <f>IFERROR(__xludf.DUMMYFUNCTION("""COMPUTED_VALUE"""),33787.0)</f>
        <v>33787</v>
      </c>
      <c r="C8742" s="9">
        <f>IFERROR(__xludf.DUMMYFUNCTION("""COMPUTED_VALUE"""),6.93)</f>
        <v>6.93</v>
      </c>
      <c r="H8742" s="17"/>
      <c r="K8742" s="17"/>
      <c r="N8742" s="17"/>
    </row>
    <row r="8743">
      <c r="B8743" s="11">
        <f>IFERROR(__xludf.DUMMYFUNCTION("""COMPUTED_VALUE"""),33786.0)</f>
        <v>33786</v>
      </c>
      <c r="C8743" s="9">
        <f>IFERROR(__xludf.DUMMYFUNCTION("""COMPUTED_VALUE"""),7.1)</f>
        <v>7.1</v>
      </c>
      <c r="H8743" s="17"/>
      <c r="K8743" s="17"/>
      <c r="N8743" s="17"/>
    </row>
    <row r="8744">
      <c r="B8744" s="11">
        <f>IFERROR(__xludf.DUMMYFUNCTION("""COMPUTED_VALUE"""),33785.0)</f>
        <v>33785</v>
      </c>
      <c r="C8744" s="9">
        <f>IFERROR(__xludf.DUMMYFUNCTION("""COMPUTED_VALUE"""),7.14)</f>
        <v>7.14</v>
      </c>
      <c r="H8744" s="17"/>
      <c r="K8744" s="17"/>
      <c r="N8744" s="17"/>
    </row>
    <row r="8745">
      <c r="B8745" s="11">
        <f>IFERROR(__xludf.DUMMYFUNCTION("""COMPUTED_VALUE"""),33784.0)</f>
        <v>33784</v>
      </c>
      <c r="C8745" s="9">
        <f>IFERROR(__xludf.DUMMYFUNCTION("""COMPUTED_VALUE"""),7.12)</f>
        <v>7.12</v>
      </c>
      <c r="H8745" s="17"/>
      <c r="K8745" s="17"/>
      <c r="N8745" s="17"/>
    </row>
    <row r="8746">
      <c r="B8746" s="11">
        <f>IFERROR(__xludf.DUMMYFUNCTION("""COMPUTED_VALUE"""),33781.0)</f>
        <v>33781</v>
      </c>
      <c r="C8746" s="9">
        <f>IFERROR(__xludf.DUMMYFUNCTION("""COMPUTED_VALUE"""),7.15)</f>
        <v>7.15</v>
      </c>
      <c r="H8746" s="17"/>
      <c r="K8746" s="17"/>
      <c r="N8746" s="17"/>
    </row>
    <row r="8747">
      <c r="B8747" s="11">
        <f>IFERROR(__xludf.DUMMYFUNCTION("""COMPUTED_VALUE"""),33780.0)</f>
        <v>33780</v>
      </c>
      <c r="C8747" s="9">
        <f>IFERROR(__xludf.DUMMYFUNCTION("""COMPUTED_VALUE"""),7.14)</f>
        <v>7.14</v>
      </c>
      <c r="H8747" s="17"/>
      <c r="K8747" s="17"/>
      <c r="N8747" s="17"/>
    </row>
    <row r="8748">
      <c r="B8748" s="11">
        <f>IFERROR(__xludf.DUMMYFUNCTION("""COMPUTED_VALUE"""),33779.0)</f>
        <v>33779</v>
      </c>
      <c r="C8748" s="9">
        <f>IFERROR(__xludf.DUMMYFUNCTION("""COMPUTED_VALUE"""),7.2)</f>
        <v>7.2</v>
      </c>
      <c r="H8748" s="17"/>
      <c r="K8748" s="17"/>
      <c r="N8748" s="17"/>
    </row>
    <row r="8749">
      <c r="B8749" s="11">
        <f>IFERROR(__xludf.DUMMYFUNCTION("""COMPUTED_VALUE"""),33778.0)</f>
        <v>33778</v>
      </c>
      <c r="C8749" s="9">
        <f>IFERROR(__xludf.DUMMYFUNCTION("""COMPUTED_VALUE"""),7.25)</f>
        <v>7.25</v>
      </c>
      <c r="H8749" s="17"/>
      <c r="K8749" s="17"/>
      <c r="N8749" s="17"/>
    </row>
    <row r="8750">
      <c r="B8750" s="11">
        <f>IFERROR(__xludf.DUMMYFUNCTION("""COMPUTED_VALUE"""),33777.0)</f>
        <v>33777</v>
      </c>
      <c r="C8750" s="9">
        <f>IFERROR(__xludf.DUMMYFUNCTION("""COMPUTED_VALUE"""),7.24)</f>
        <v>7.24</v>
      </c>
      <c r="H8750" s="17"/>
      <c r="K8750" s="17"/>
      <c r="N8750" s="17"/>
    </row>
    <row r="8751">
      <c r="B8751" s="11">
        <f>IFERROR(__xludf.DUMMYFUNCTION("""COMPUTED_VALUE"""),33774.0)</f>
        <v>33774</v>
      </c>
      <c r="C8751" s="9">
        <f>IFERROR(__xludf.DUMMYFUNCTION("""COMPUTED_VALUE"""),7.24)</f>
        <v>7.24</v>
      </c>
      <c r="H8751" s="17"/>
      <c r="K8751" s="17"/>
      <c r="N8751" s="17"/>
    </row>
    <row r="8752">
      <c r="B8752" s="11">
        <f>IFERROR(__xludf.DUMMYFUNCTION("""COMPUTED_VALUE"""),33773.0)</f>
        <v>33773</v>
      </c>
      <c r="C8752" s="9">
        <f>IFERROR(__xludf.DUMMYFUNCTION("""COMPUTED_VALUE"""),7.19)</f>
        <v>7.19</v>
      </c>
      <c r="H8752" s="17"/>
      <c r="K8752" s="17"/>
      <c r="N8752" s="17"/>
    </row>
    <row r="8753">
      <c r="B8753" s="11">
        <f>IFERROR(__xludf.DUMMYFUNCTION("""COMPUTED_VALUE"""),33772.0)</f>
        <v>33772</v>
      </c>
      <c r="C8753" s="9">
        <f>IFERROR(__xludf.DUMMYFUNCTION("""COMPUTED_VALUE"""),7.23)</f>
        <v>7.23</v>
      </c>
      <c r="H8753" s="17"/>
      <c r="K8753" s="17"/>
      <c r="N8753" s="17"/>
    </row>
    <row r="8754">
      <c r="B8754" s="11">
        <f>IFERROR(__xludf.DUMMYFUNCTION("""COMPUTED_VALUE"""),33771.0)</f>
        <v>33771</v>
      </c>
      <c r="C8754" s="9">
        <f>IFERROR(__xludf.DUMMYFUNCTION("""COMPUTED_VALUE"""),7.24)</f>
        <v>7.24</v>
      </c>
      <c r="H8754" s="17"/>
      <c r="K8754" s="17"/>
      <c r="N8754" s="17"/>
    </row>
    <row r="8755">
      <c r="B8755" s="11">
        <f>IFERROR(__xludf.DUMMYFUNCTION("""COMPUTED_VALUE"""),33770.0)</f>
        <v>33770</v>
      </c>
      <c r="C8755" s="9">
        <f>IFERROR(__xludf.DUMMYFUNCTION("""COMPUTED_VALUE"""),7.28)</f>
        <v>7.28</v>
      </c>
      <c r="H8755" s="17"/>
      <c r="K8755" s="17"/>
      <c r="N8755" s="17"/>
    </row>
    <row r="8756">
      <c r="B8756" s="11">
        <f>IFERROR(__xludf.DUMMYFUNCTION("""COMPUTED_VALUE"""),33767.0)</f>
        <v>33767</v>
      </c>
      <c r="C8756" s="9">
        <f>IFERROR(__xludf.DUMMYFUNCTION("""COMPUTED_VALUE"""),7.29)</f>
        <v>7.29</v>
      </c>
      <c r="H8756" s="17"/>
      <c r="K8756" s="17"/>
      <c r="N8756" s="17"/>
    </row>
    <row r="8757">
      <c r="B8757" s="11">
        <f>IFERROR(__xludf.DUMMYFUNCTION("""COMPUTED_VALUE"""),33766.0)</f>
        <v>33766</v>
      </c>
      <c r="C8757" s="9">
        <f>IFERROR(__xludf.DUMMYFUNCTION("""COMPUTED_VALUE"""),7.33)</f>
        <v>7.33</v>
      </c>
      <c r="H8757" s="17"/>
      <c r="K8757" s="17"/>
      <c r="N8757" s="17"/>
    </row>
    <row r="8758">
      <c r="B8758" s="11">
        <f>IFERROR(__xludf.DUMMYFUNCTION("""COMPUTED_VALUE"""),33765.0)</f>
        <v>33765</v>
      </c>
      <c r="C8758" s="9">
        <f>IFERROR(__xludf.DUMMYFUNCTION("""COMPUTED_VALUE"""),7.35)</f>
        <v>7.35</v>
      </c>
      <c r="H8758" s="17"/>
      <c r="K8758" s="17"/>
      <c r="N8758" s="17"/>
    </row>
    <row r="8759">
      <c r="B8759" s="11">
        <f>IFERROR(__xludf.DUMMYFUNCTION("""COMPUTED_VALUE"""),33764.0)</f>
        <v>33764</v>
      </c>
      <c r="C8759" s="9">
        <f>IFERROR(__xludf.DUMMYFUNCTION("""COMPUTED_VALUE"""),7.33)</f>
        <v>7.33</v>
      </c>
      <c r="H8759" s="17"/>
      <c r="K8759" s="17"/>
      <c r="N8759" s="17"/>
    </row>
    <row r="8760">
      <c r="B8760" s="11">
        <f>IFERROR(__xludf.DUMMYFUNCTION("""COMPUTED_VALUE"""),33763.0)</f>
        <v>33763</v>
      </c>
      <c r="C8760" s="9">
        <f>IFERROR(__xludf.DUMMYFUNCTION("""COMPUTED_VALUE"""),7.31)</f>
        <v>7.31</v>
      </c>
      <c r="H8760" s="17"/>
      <c r="K8760" s="17"/>
      <c r="N8760" s="17"/>
    </row>
    <row r="8761">
      <c r="B8761" s="11">
        <f>IFERROR(__xludf.DUMMYFUNCTION("""COMPUTED_VALUE"""),33760.0)</f>
        <v>33760</v>
      </c>
      <c r="C8761" s="9">
        <f>IFERROR(__xludf.DUMMYFUNCTION("""COMPUTED_VALUE"""),7.31)</f>
        <v>7.31</v>
      </c>
      <c r="H8761" s="17"/>
      <c r="K8761" s="17"/>
      <c r="N8761" s="17"/>
    </row>
    <row r="8762">
      <c r="B8762" s="11">
        <f>IFERROR(__xludf.DUMMYFUNCTION("""COMPUTED_VALUE"""),33759.0)</f>
        <v>33759</v>
      </c>
      <c r="C8762" s="9">
        <f>IFERROR(__xludf.DUMMYFUNCTION("""COMPUTED_VALUE"""),7.34)</f>
        <v>7.34</v>
      </c>
      <c r="H8762" s="17"/>
      <c r="K8762" s="17"/>
      <c r="N8762" s="17"/>
    </row>
    <row r="8763">
      <c r="B8763" s="11">
        <f>IFERROR(__xludf.DUMMYFUNCTION("""COMPUTED_VALUE"""),33758.0)</f>
        <v>33758</v>
      </c>
      <c r="C8763" s="9">
        <f>IFERROR(__xludf.DUMMYFUNCTION("""COMPUTED_VALUE"""),7.34)</f>
        <v>7.34</v>
      </c>
      <c r="H8763" s="17"/>
      <c r="K8763" s="17"/>
      <c r="N8763" s="17"/>
    </row>
    <row r="8764">
      <c r="B8764" s="11">
        <f>IFERROR(__xludf.DUMMYFUNCTION("""COMPUTED_VALUE"""),33757.0)</f>
        <v>33757</v>
      </c>
      <c r="C8764" s="9">
        <f>IFERROR(__xludf.DUMMYFUNCTION("""COMPUTED_VALUE"""),7.35)</f>
        <v>7.35</v>
      </c>
      <c r="H8764" s="17"/>
      <c r="K8764" s="17"/>
      <c r="N8764" s="17"/>
    </row>
    <row r="8765">
      <c r="B8765" s="11">
        <f>IFERROR(__xludf.DUMMYFUNCTION("""COMPUTED_VALUE"""),33756.0)</f>
        <v>33756</v>
      </c>
      <c r="C8765" s="9">
        <f>IFERROR(__xludf.DUMMYFUNCTION("""COMPUTED_VALUE"""),7.39)</f>
        <v>7.39</v>
      </c>
      <c r="H8765" s="17"/>
      <c r="K8765" s="17"/>
      <c r="N8765" s="17"/>
    </row>
    <row r="8766">
      <c r="B8766" s="11">
        <f>IFERROR(__xludf.DUMMYFUNCTION("""COMPUTED_VALUE"""),33753.0)</f>
        <v>33753</v>
      </c>
      <c r="C8766" s="9">
        <f>IFERROR(__xludf.DUMMYFUNCTION("""COMPUTED_VALUE"""),7.33)</f>
        <v>7.33</v>
      </c>
      <c r="H8766" s="17"/>
      <c r="K8766" s="17"/>
      <c r="N8766" s="17"/>
    </row>
    <row r="8767">
      <c r="B8767" s="11">
        <f>IFERROR(__xludf.DUMMYFUNCTION("""COMPUTED_VALUE"""),33752.0)</f>
        <v>33752</v>
      </c>
      <c r="C8767" s="9">
        <f>IFERROR(__xludf.DUMMYFUNCTION("""COMPUTED_VALUE"""),7.36)</f>
        <v>7.36</v>
      </c>
      <c r="H8767" s="17"/>
      <c r="K8767" s="17"/>
      <c r="N8767" s="17"/>
    </row>
    <row r="8768">
      <c r="B8768" s="11">
        <f>IFERROR(__xludf.DUMMYFUNCTION("""COMPUTED_VALUE"""),33751.0)</f>
        <v>33751</v>
      </c>
      <c r="C8768" s="9">
        <f>IFERROR(__xludf.DUMMYFUNCTION("""COMPUTED_VALUE"""),7.44)</f>
        <v>7.44</v>
      </c>
      <c r="H8768" s="17"/>
      <c r="K8768" s="17"/>
      <c r="N8768" s="17"/>
    </row>
    <row r="8769">
      <c r="B8769" s="11">
        <f>IFERROR(__xludf.DUMMYFUNCTION("""COMPUTED_VALUE"""),33750.0)</f>
        <v>33750</v>
      </c>
      <c r="C8769" s="9">
        <f>IFERROR(__xludf.DUMMYFUNCTION("""COMPUTED_VALUE"""),7.46)</f>
        <v>7.46</v>
      </c>
      <c r="H8769" s="17"/>
      <c r="K8769" s="17"/>
      <c r="N8769" s="17"/>
    </row>
    <row r="8770">
      <c r="B8770" s="11">
        <f>IFERROR(__xludf.DUMMYFUNCTION("""COMPUTED_VALUE"""),33749.0)</f>
        <v>33749</v>
      </c>
      <c r="C8770" s="9"/>
      <c r="H8770" s="17"/>
      <c r="K8770" s="17"/>
      <c r="N8770" s="17"/>
    </row>
    <row r="8771">
      <c r="B8771" s="11">
        <f>IFERROR(__xludf.DUMMYFUNCTION("""COMPUTED_VALUE"""),33746.0)</f>
        <v>33746</v>
      </c>
      <c r="C8771" s="9">
        <f>IFERROR(__xludf.DUMMYFUNCTION("""COMPUTED_VALUE"""),7.35)</f>
        <v>7.35</v>
      </c>
      <c r="H8771" s="17"/>
      <c r="K8771" s="17"/>
      <c r="N8771" s="17"/>
    </row>
    <row r="8772">
      <c r="B8772" s="11">
        <f>IFERROR(__xludf.DUMMYFUNCTION("""COMPUTED_VALUE"""),33745.0)</f>
        <v>33745</v>
      </c>
      <c r="C8772" s="9">
        <f>IFERROR(__xludf.DUMMYFUNCTION("""COMPUTED_VALUE"""),7.39)</f>
        <v>7.39</v>
      </c>
      <c r="H8772" s="17"/>
      <c r="K8772" s="17"/>
      <c r="N8772" s="17"/>
    </row>
    <row r="8773">
      <c r="B8773" s="11">
        <f>IFERROR(__xludf.DUMMYFUNCTION("""COMPUTED_VALUE"""),33744.0)</f>
        <v>33744</v>
      </c>
      <c r="C8773" s="9">
        <f>IFERROR(__xludf.DUMMYFUNCTION("""COMPUTED_VALUE"""),7.25)</f>
        <v>7.25</v>
      </c>
      <c r="H8773" s="17"/>
      <c r="K8773" s="17"/>
      <c r="N8773" s="17"/>
    </row>
    <row r="8774">
      <c r="B8774" s="11">
        <f>IFERROR(__xludf.DUMMYFUNCTION("""COMPUTED_VALUE"""),33743.0)</f>
        <v>33743</v>
      </c>
      <c r="C8774" s="9">
        <f>IFERROR(__xludf.DUMMYFUNCTION("""COMPUTED_VALUE"""),7.2)</f>
        <v>7.2</v>
      </c>
      <c r="H8774" s="17"/>
      <c r="K8774" s="17"/>
      <c r="N8774" s="17"/>
    </row>
    <row r="8775">
      <c r="B8775" s="11">
        <f>IFERROR(__xludf.DUMMYFUNCTION("""COMPUTED_VALUE"""),33742.0)</f>
        <v>33742</v>
      </c>
      <c r="C8775" s="9">
        <f>IFERROR(__xludf.DUMMYFUNCTION("""COMPUTED_VALUE"""),7.28)</f>
        <v>7.28</v>
      </c>
      <c r="H8775" s="17"/>
      <c r="K8775" s="17"/>
      <c r="N8775" s="17"/>
    </row>
    <row r="8776">
      <c r="B8776" s="11">
        <f>IFERROR(__xludf.DUMMYFUNCTION("""COMPUTED_VALUE"""),33739.0)</f>
        <v>33739</v>
      </c>
      <c r="C8776" s="9">
        <f>IFERROR(__xludf.DUMMYFUNCTION("""COMPUTED_VALUE"""),7.28)</f>
        <v>7.28</v>
      </c>
      <c r="H8776" s="17"/>
      <c r="K8776" s="17"/>
      <c r="N8776" s="17"/>
    </row>
    <row r="8777">
      <c r="B8777" s="11">
        <f>IFERROR(__xludf.DUMMYFUNCTION("""COMPUTED_VALUE"""),33738.0)</f>
        <v>33738</v>
      </c>
      <c r="C8777" s="9">
        <f>IFERROR(__xludf.DUMMYFUNCTION("""COMPUTED_VALUE"""),7.34)</f>
        <v>7.34</v>
      </c>
      <c r="H8777" s="17"/>
      <c r="K8777" s="17"/>
      <c r="N8777" s="17"/>
    </row>
    <row r="8778">
      <c r="B8778" s="11">
        <f>IFERROR(__xludf.DUMMYFUNCTION("""COMPUTED_VALUE"""),33737.0)</f>
        <v>33737</v>
      </c>
      <c r="C8778" s="9">
        <f>IFERROR(__xludf.DUMMYFUNCTION("""COMPUTED_VALUE"""),7.34)</f>
        <v>7.34</v>
      </c>
      <c r="H8778" s="17"/>
      <c r="K8778" s="17"/>
      <c r="N8778" s="17"/>
    </row>
    <row r="8779">
      <c r="B8779" s="11">
        <f>IFERROR(__xludf.DUMMYFUNCTION("""COMPUTED_VALUE"""),33736.0)</f>
        <v>33736</v>
      </c>
      <c r="C8779" s="9">
        <f>IFERROR(__xludf.DUMMYFUNCTION("""COMPUTED_VALUE"""),7.36)</f>
        <v>7.36</v>
      </c>
      <c r="H8779" s="17"/>
      <c r="K8779" s="17"/>
      <c r="N8779" s="17"/>
    </row>
    <row r="8780">
      <c r="B8780" s="11">
        <f>IFERROR(__xludf.DUMMYFUNCTION("""COMPUTED_VALUE"""),33735.0)</f>
        <v>33735</v>
      </c>
      <c r="C8780" s="9">
        <f>IFERROR(__xludf.DUMMYFUNCTION("""COMPUTED_VALUE"""),7.4)</f>
        <v>7.4</v>
      </c>
      <c r="H8780" s="17"/>
      <c r="K8780" s="17"/>
      <c r="N8780" s="17"/>
    </row>
    <row r="8781">
      <c r="B8781" s="11">
        <f>IFERROR(__xludf.DUMMYFUNCTION("""COMPUTED_VALUE"""),33732.0)</f>
        <v>33732</v>
      </c>
      <c r="C8781" s="9">
        <f>IFERROR(__xludf.DUMMYFUNCTION("""COMPUTED_VALUE"""),7.41)</f>
        <v>7.41</v>
      </c>
      <c r="H8781" s="17"/>
      <c r="K8781" s="17"/>
      <c r="N8781" s="17"/>
    </row>
    <row r="8782">
      <c r="B8782" s="11">
        <f>IFERROR(__xludf.DUMMYFUNCTION("""COMPUTED_VALUE"""),33731.0)</f>
        <v>33731</v>
      </c>
      <c r="C8782" s="9">
        <f>IFERROR(__xludf.DUMMYFUNCTION("""COMPUTED_VALUE"""),7.49)</f>
        <v>7.49</v>
      </c>
      <c r="H8782" s="17"/>
      <c r="K8782" s="17"/>
      <c r="N8782" s="17"/>
    </row>
    <row r="8783">
      <c r="B8783" s="11">
        <f>IFERROR(__xludf.DUMMYFUNCTION("""COMPUTED_VALUE"""),33730.0)</f>
        <v>33730</v>
      </c>
      <c r="C8783" s="9">
        <f>IFERROR(__xludf.DUMMYFUNCTION("""COMPUTED_VALUE"""),7.46)</f>
        <v>7.46</v>
      </c>
      <c r="H8783" s="17"/>
      <c r="K8783" s="17"/>
      <c r="N8783" s="17"/>
    </row>
    <row r="8784">
      <c r="B8784" s="11">
        <f>IFERROR(__xludf.DUMMYFUNCTION("""COMPUTED_VALUE"""),33729.0)</f>
        <v>33729</v>
      </c>
      <c r="C8784" s="9">
        <f>IFERROR(__xludf.DUMMYFUNCTION("""COMPUTED_VALUE"""),7.56)</f>
        <v>7.56</v>
      </c>
      <c r="H8784" s="17"/>
      <c r="K8784" s="17"/>
      <c r="N8784" s="17"/>
    </row>
    <row r="8785">
      <c r="B8785" s="11">
        <f>IFERROR(__xludf.DUMMYFUNCTION("""COMPUTED_VALUE"""),33728.0)</f>
        <v>33728</v>
      </c>
      <c r="C8785" s="9">
        <f>IFERROR(__xludf.DUMMYFUNCTION("""COMPUTED_VALUE"""),7.58)</f>
        <v>7.58</v>
      </c>
      <c r="H8785" s="17"/>
      <c r="K8785" s="17"/>
      <c r="N8785" s="17"/>
    </row>
    <row r="8786">
      <c r="B8786" s="11">
        <f>IFERROR(__xludf.DUMMYFUNCTION("""COMPUTED_VALUE"""),33725.0)</f>
        <v>33725</v>
      </c>
      <c r="C8786" s="9">
        <f>IFERROR(__xludf.DUMMYFUNCTION("""COMPUTED_VALUE"""),7.56)</f>
        <v>7.56</v>
      </c>
      <c r="H8786" s="17"/>
      <c r="K8786" s="17"/>
      <c r="N8786" s="17"/>
    </row>
    <row r="8787">
      <c r="B8787" s="11">
        <f>IFERROR(__xludf.DUMMYFUNCTION("""COMPUTED_VALUE"""),33724.0)</f>
        <v>33724</v>
      </c>
      <c r="C8787" s="9">
        <f>IFERROR(__xludf.DUMMYFUNCTION("""COMPUTED_VALUE"""),7.61)</f>
        <v>7.61</v>
      </c>
      <c r="H8787" s="17"/>
      <c r="K8787" s="17"/>
      <c r="N8787" s="17"/>
    </row>
    <row r="8788">
      <c r="B8788" s="11">
        <f>IFERROR(__xludf.DUMMYFUNCTION("""COMPUTED_VALUE"""),33723.0)</f>
        <v>33723</v>
      </c>
      <c r="C8788" s="9">
        <f>IFERROR(__xludf.DUMMYFUNCTION("""COMPUTED_VALUE"""),7.6)</f>
        <v>7.6</v>
      </c>
      <c r="H8788" s="17"/>
      <c r="K8788" s="17"/>
      <c r="N8788" s="17"/>
    </row>
    <row r="8789">
      <c r="B8789" s="11">
        <f>IFERROR(__xludf.DUMMYFUNCTION("""COMPUTED_VALUE"""),33722.0)</f>
        <v>33722</v>
      </c>
      <c r="C8789" s="9">
        <f>IFERROR(__xludf.DUMMYFUNCTION("""COMPUTED_VALUE"""),7.57)</f>
        <v>7.57</v>
      </c>
      <c r="H8789" s="17"/>
      <c r="K8789" s="17"/>
      <c r="N8789" s="17"/>
    </row>
    <row r="8790">
      <c r="B8790" s="11">
        <f>IFERROR(__xludf.DUMMYFUNCTION("""COMPUTED_VALUE"""),33721.0)</f>
        <v>33721</v>
      </c>
      <c r="C8790" s="9">
        <f>IFERROR(__xludf.DUMMYFUNCTION("""COMPUTED_VALUE"""),7.6)</f>
        <v>7.6</v>
      </c>
      <c r="H8790" s="17"/>
      <c r="K8790" s="17"/>
      <c r="N8790" s="17"/>
    </row>
    <row r="8791">
      <c r="B8791" s="11">
        <f>IFERROR(__xludf.DUMMYFUNCTION("""COMPUTED_VALUE"""),33718.0)</f>
        <v>33718</v>
      </c>
      <c r="C8791" s="9">
        <f>IFERROR(__xludf.DUMMYFUNCTION("""COMPUTED_VALUE"""),7.55)</f>
        <v>7.55</v>
      </c>
      <c r="H8791" s="17"/>
      <c r="K8791" s="17"/>
      <c r="N8791" s="17"/>
    </row>
    <row r="8792">
      <c r="B8792" s="11">
        <f>IFERROR(__xludf.DUMMYFUNCTION("""COMPUTED_VALUE"""),33717.0)</f>
        <v>33717</v>
      </c>
      <c r="C8792" s="9">
        <f>IFERROR(__xludf.DUMMYFUNCTION("""COMPUTED_VALUE"""),7.59)</f>
        <v>7.59</v>
      </c>
      <c r="H8792" s="17"/>
      <c r="K8792" s="17"/>
      <c r="N8792" s="17"/>
    </row>
    <row r="8793">
      <c r="B8793" s="11">
        <f>IFERROR(__xludf.DUMMYFUNCTION("""COMPUTED_VALUE"""),33716.0)</f>
        <v>33716</v>
      </c>
      <c r="C8793" s="9">
        <f>IFERROR(__xludf.DUMMYFUNCTION("""COMPUTED_VALUE"""),7.57)</f>
        <v>7.57</v>
      </c>
      <c r="H8793" s="17"/>
      <c r="K8793" s="17"/>
      <c r="N8793" s="17"/>
    </row>
    <row r="8794">
      <c r="B8794" s="11">
        <f>IFERROR(__xludf.DUMMYFUNCTION("""COMPUTED_VALUE"""),33715.0)</f>
        <v>33715</v>
      </c>
      <c r="C8794" s="9">
        <f>IFERROR(__xludf.DUMMYFUNCTION("""COMPUTED_VALUE"""),7.58)</f>
        <v>7.58</v>
      </c>
      <c r="H8794" s="17"/>
      <c r="K8794" s="17"/>
      <c r="N8794" s="17"/>
    </row>
    <row r="8795">
      <c r="B8795" s="11">
        <f>IFERROR(__xludf.DUMMYFUNCTION("""COMPUTED_VALUE"""),33714.0)</f>
        <v>33714</v>
      </c>
      <c r="C8795" s="9">
        <f>IFERROR(__xludf.DUMMYFUNCTION("""COMPUTED_VALUE"""),7.59)</f>
        <v>7.59</v>
      </c>
      <c r="H8795" s="17"/>
      <c r="K8795" s="17"/>
      <c r="N8795" s="17"/>
    </row>
    <row r="8796">
      <c r="B8796" s="11">
        <f>IFERROR(__xludf.DUMMYFUNCTION("""COMPUTED_VALUE"""),33711.0)</f>
        <v>33711</v>
      </c>
      <c r="C8796" s="9"/>
      <c r="H8796" s="17"/>
      <c r="K8796" s="17"/>
      <c r="N8796" s="17"/>
    </row>
    <row r="8797">
      <c r="B8797" s="11">
        <f>IFERROR(__xludf.DUMMYFUNCTION("""COMPUTED_VALUE"""),33710.0)</f>
        <v>33710</v>
      </c>
      <c r="C8797" s="9">
        <f>IFERROR(__xludf.DUMMYFUNCTION("""COMPUTED_VALUE"""),7.45)</f>
        <v>7.45</v>
      </c>
      <c r="H8797" s="17"/>
      <c r="K8797" s="17"/>
      <c r="N8797" s="17"/>
    </row>
    <row r="8798">
      <c r="B8798" s="11">
        <f>IFERROR(__xludf.DUMMYFUNCTION("""COMPUTED_VALUE"""),33709.0)</f>
        <v>33709</v>
      </c>
      <c r="C8798" s="9">
        <f>IFERROR(__xludf.DUMMYFUNCTION("""COMPUTED_VALUE"""),7.37)</f>
        <v>7.37</v>
      </c>
      <c r="H8798" s="17"/>
      <c r="K8798" s="17"/>
      <c r="N8798" s="17"/>
    </row>
    <row r="8799">
      <c r="B8799" s="11">
        <f>IFERROR(__xludf.DUMMYFUNCTION("""COMPUTED_VALUE"""),33708.0)</f>
        <v>33708</v>
      </c>
      <c r="C8799" s="9">
        <f>IFERROR(__xludf.DUMMYFUNCTION("""COMPUTED_VALUE"""),7.35)</f>
        <v>7.35</v>
      </c>
      <c r="H8799" s="17"/>
      <c r="K8799" s="17"/>
      <c r="N8799" s="17"/>
    </row>
    <row r="8800">
      <c r="B8800" s="11">
        <f>IFERROR(__xludf.DUMMYFUNCTION("""COMPUTED_VALUE"""),33707.0)</f>
        <v>33707</v>
      </c>
      <c r="C8800" s="9">
        <f>IFERROR(__xludf.DUMMYFUNCTION("""COMPUTED_VALUE"""),7.33)</f>
        <v>7.33</v>
      </c>
      <c r="H8800" s="17"/>
      <c r="K8800" s="17"/>
      <c r="N8800" s="17"/>
    </row>
    <row r="8801">
      <c r="B8801" s="11">
        <f>IFERROR(__xludf.DUMMYFUNCTION("""COMPUTED_VALUE"""),33704.0)</f>
        <v>33704</v>
      </c>
      <c r="C8801" s="9">
        <f>IFERROR(__xludf.DUMMYFUNCTION("""COMPUTED_VALUE"""),7.37)</f>
        <v>7.37</v>
      </c>
      <c r="H8801" s="17"/>
      <c r="K8801" s="17"/>
      <c r="N8801" s="17"/>
    </row>
    <row r="8802">
      <c r="B8802" s="11">
        <f>IFERROR(__xludf.DUMMYFUNCTION("""COMPUTED_VALUE"""),33703.0)</f>
        <v>33703</v>
      </c>
      <c r="C8802" s="9">
        <f>IFERROR(__xludf.DUMMYFUNCTION("""COMPUTED_VALUE"""),7.35)</f>
        <v>7.35</v>
      </c>
      <c r="H8802" s="17"/>
      <c r="K8802" s="17"/>
      <c r="N8802" s="17"/>
    </row>
    <row r="8803">
      <c r="B8803" s="11">
        <f>IFERROR(__xludf.DUMMYFUNCTION("""COMPUTED_VALUE"""),33702.0)</f>
        <v>33702</v>
      </c>
      <c r="C8803" s="9">
        <f>IFERROR(__xludf.DUMMYFUNCTION("""COMPUTED_VALUE"""),7.44)</f>
        <v>7.44</v>
      </c>
      <c r="H8803" s="17"/>
      <c r="K8803" s="17"/>
      <c r="N8803" s="17"/>
    </row>
    <row r="8804">
      <c r="B8804" s="11">
        <f>IFERROR(__xludf.DUMMYFUNCTION("""COMPUTED_VALUE"""),33701.0)</f>
        <v>33701</v>
      </c>
      <c r="C8804" s="9">
        <f>IFERROR(__xludf.DUMMYFUNCTION("""COMPUTED_VALUE"""),7.41)</f>
        <v>7.41</v>
      </c>
      <c r="H8804" s="17"/>
      <c r="K8804" s="17"/>
      <c r="N8804" s="17"/>
    </row>
    <row r="8805">
      <c r="B8805" s="11">
        <f>IFERROR(__xludf.DUMMYFUNCTION("""COMPUTED_VALUE"""),33700.0)</f>
        <v>33700</v>
      </c>
      <c r="C8805" s="9">
        <f>IFERROR(__xludf.DUMMYFUNCTION("""COMPUTED_VALUE"""),7.41)</f>
        <v>7.41</v>
      </c>
      <c r="H8805" s="17"/>
      <c r="K8805" s="17"/>
      <c r="N8805" s="17"/>
    </row>
    <row r="8806">
      <c r="B8806" s="11">
        <f>IFERROR(__xludf.DUMMYFUNCTION("""COMPUTED_VALUE"""),33697.0)</f>
        <v>33697</v>
      </c>
      <c r="C8806" s="9">
        <f>IFERROR(__xludf.DUMMYFUNCTION("""COMPUTED_VALUE"""),7.42)</f>
        <v>7.42</v>
      </c>
      <c r="H8806" s="17"/>
      <c r="K8806" s="17"/>
      <c r="N8806" s="17"/>
    </row>
    <row r="8807">
      <c r="B8807" s="11">
        <f>IFERROR(__xludf.DUMMYFUNCTION("""COMPUTED_VALUE"""),33696.0)</f>
        <v>33696</v>
      </c>
      <c r="C8807" s="9">
        <f>IFERROR(__xludf.DUMMYFUNCTION("""COMPUTED_VALUE"""),7.47)</f>
        <v>7.47</v>
      </c>
      <c r="H8807" s="17"/>
      <c r="K8807" s="17"/>
      <c r="N8807" s="17"/>
    </row>
    <row r="8808">
      <c r="B8808" s="11">
        <f>IFERROR(__xludf.DUMMYFUNCTION("""COMPUTED_VALUE"""),33695.0)</f>
        <v>33695</v>
      </c>
      <c r="C8808" s="9">
        <f>IFERROR(__xludf.DUMMYFUNCTION("""COMPUTED_VALUE"""),7.46)</f>
        <v>7.46</v>
      </c>
      <c r="H8808" s="17"/>
      <c r="K8808" s="17"/>
      <c r="N8808" s="17"/>
    </row>
    <row r="8809">
      <c r="B8809" s="11">
        <f>IFERROR(__xludf.DUMMYFUNCTION("""COMPUTED_VALUE"""),33694.0)</f>
        <v>33694</v>
      </c>
      <c r="C8809" s="9">
        <f>IFERROR(__xludf.DUMMYFUNCTION("""COMPUTED_VALUE"""),7.54)</f>
        <v>7.54</v>
      </c>
      <c r="H8809" s="17"/>
      <c r="K8809" s="17"/>
      <c r="N8809" s="17"/>
    </row>
    <row r="8810">
      <c r="B8810" s="11">
        <f>IFERROR(__xludf.DUMMYFUNCTION("""COMPUTED_VALUE"""),33693.0)</f>
        <v>33693</v>
      </c>
      <c r="C8810" s="9">
        <f>IFERROR(__xludf.DUMMYFUNCTION("""COMPUTED_VALUE"""),7.54)</f>
        <v>7.54</v>
      </c>
      <c r="H8810" s="17"/>
      <c r="K8810" s="17"/>
      <c r="N8810" s="17"/>
    </row>
    <row r="8811">
      <c r="B8811" s="11">
        <f>IFERROR(__xludf.DUMMYFUNCTION("""COMPUTED_VALUE"""),33690.0)</f>
        <v>33690</v>
      </c>
      <c r="C8811" s="9">
        <f>IFERROR(__xludf.DUMMYFUNCTION("""COMPUTED_VALUE"""),7.54)</f>
        <v>7.54</v>
      </c>
      <c r="H8811" s="17"/>
      <c r="K8811" s="17"/>
      <c r="N8811" s="17"/>
    </row>
    <row r="8812">
      <c r="B8812" s="11">
        <f>IFERROR(__xludf.DUMMYFUNCTION("""COMPUTED_VALUE"""),33689.0)</f>
        <v>33689</v>
      </c>
      <c r="C8812" s="9">
        <f>IFERROR(__xludf.DUMMYFUNCTION("""COMPUTED_VALUE"""),7.57)</f>
        <v>7.57</v>
      </c>
      <c r="H8812" s="17"/>
      <c r="K8812" s="17"/>
      <c r="N8812" s="17"/>
    </row>
    <row r="8813">
      <c r="B8813" s="11">
        <f>IFERROR(__xludf.DUMMYFUNCTION("""COMPUTED_VALUE"""),33688.0)</f>
        <v>33688</v>
      </c>
      <c r="C8813" s="9">
        <f>IFERROR(__xludf.DUMMYFUNCTION("""COMPUTED_VALUE"""),7.53)</f>
        <v>7.53</v>
      </c>
      <c r="H8813" s="17"/>
      <c r="K8813" s="17"/>
      <c r="N8813" s="17"/>
    </row>
    <row r="8814">
      <c r="B8814" s="11">
        <f>IFERROR(__xludf.DUMMYFUNCTION("""COMPUTED_VALUE"""),33687.0)</f>
        <v>33687</v>
      </c>
      <c r="C8814" s="9">
        <f>IFERROR(__xludf.DUMMYFUNCTION("""COMPUTED_VALUE"""),7.53)</f>
        <v>7.53</v>
      </c>
      <c r="H8814" s="17"/>
      <c r="K8814" s="17"/>
      <c r="N8814" s="17"/>
    </row>
    <row r="8815">
      <c r="B8815" s="11">
        <f>IFERROR(__xludf.DUMMYFUNCTION("""COMPUTED_VALUE"""),33686.0)</f>
        <v>33686</v>
      </c>
      <c r="C8815" s="9">
        <f>IFERROR(__xludf.DUMMYFUNCTION("""COMPUTED_VALUE"""),7.62)</f>
        <v>7.62</v>
      </c>
      <c r="H8815" s="17"/>
      <c r="K8815" s="17"/>
      <c r="N8815" s="17"/>
    </row>
    <row r="8816">
      <c r="B8816" s="11">
        <f>IFERROR(__xludf.DUMMYFUNCTION("""COMPUTED_VALUE"""),33683.0)</f>
        <v>33683</v>
      </c>
      <c r="C8816" s="9">
        <f>IFERROR(__xludf.DUMMYFUNCTION("""COMPUTED_VALUE"""),7.64)</f>
        <v>7.64</v>
      </c>
      <c r="H8816" s="17"/>
      <c r="K8816" s="17"/>
      <c r="N8816" s="17"/>
    </row>
    <row r="8817">
      <c r="B8817" s="11">
        <f>IFERROR(__xludf.DUMMYFUNCTION("""COMPUTED_VALUE"""),33682.0)</f>
        <v>33682</v>
      </c>
      <c r="C8817" s="9">
        <f>IFERROR(__xludf.DUMMYFUNCTION("""COMPUTED_VALUE"""),7.57)</f>
        <v>7.57</v>
      </c>
      <c r="H8817" s="17"/>
      <c r="K8817" s="17"/>
      <c r="N8817" s="17"/>
    </row>
    <row r="8818">
      <c r="B8818" s="11">
        <f>IFERROR(__xludf.DUMMYFUNCTION("""COMPUTED_VALUE"""),33681.0)</f>
        <v>33681</v>
      </c>
      <c r="C8818" s="9">
        <f>IFERROR(__xludf.DUMMYFUNCTION("""COMPUTED_VALUE"""),7.62)</f>
        <v>7.62</v>
      </c>
      <c r="H8818" s="17"/>
      <c r="K8818" s="17"/>
      <c r="N8818" s="17"/>
    </row>
    <row r="8819">
      <c r="B8819" s="11">
        <f>IFERROR(__xludf.DUMMYFUNCTION("""COMPUTED_VALUE"""),33680.0)</f>
        <v>33680</v>
      </c>
      <c r="C8819" s="9">
        <f>IFERROR(__xludf.DUMMYFUNCTION("""COMPUTED_VALUE"""),7.62)</f>
        <v>7.62</v>
      </c>
      <c r="H8819" s="17"/>
      <c r="K8819" s="17"/>
      <c r="N8819" s="17"/>
    </row>
    <row r="8820">
      <c r="B8820" s="11">
        <f>IFERROR(__xludf.DUMMYFUNCTION("""COMPUTED_VALUE"""),33679.0)</f>
        <v>33679</v>
      </c>
      <c r="C8820" s="9">
        <f>IFERROR(__xludf.DUMMYFUNCTION("""COMPUTED_VALUE"""),7.69)</f>
        <v>7.69</v>
      </c>
      <c r="H8820" s="17"/>
      <c r="K8820" s="17"/>
      <c r="N8820" s="17"/>
    </row>
    <row r="8821">
      <c r="B8821" s="11">
        <f>IFERROR(__xludf.DUMMYFUNCTION("""COMPUTED_VALUE"""),33676.0)</f>
        <v>33676</v>
      </c>
      <c r="C8821" s="9">
        <f>IFERROR(__xludf.DUMMYFUNCTION("""COMPUTED_VALUE"""),7.71)</f>
        <v>7.71</v>
      </c>
      <c r="H8821" s="17"/>
      <c r="K8821" s="17"/>
      <c r="N8821" s="17"/>
    </row>
    <row r="8822">
      <c r="B8822" s="11">
        <f>IFERROR(__xludf.DUMMYFUNCTION("""COMPUTED_VALUE"""),33675.0)</f>
        <v>33675</v>
      </c>
      <c r="C8822" s="9">
        <f>IFERROR(__xludf.DUMMYFUNCTION("""COMPUTED_VALUE"""),7.62)</f>
        <v>7.62</v>
      </c>
      <c r="H8822" s="17"/>
      <c r="K8822" s="17"/>
      <c r="N8822" s="17"/>
    </row>
    <row r="8823">
      <c r="B8823" s="11">
        <f>IFERROR(__xludf.DUMMYFUNCTION("""COMPUTED_VALUE"""),33674.0)</f>
        <v>33674</v>
      </c>
      <c r="C8823" s="9">
        <f>IFERROR(__xludf.DUMMYFUNCTION("""COMPUTED_VALUE"""),7.51)</f>
        <v>7.51</v>
      </c>
      <c r="H8823" s="17"/>
      <c r="K8823" s="17"/>
      <c r="N8823" s="17"/>
    </row>
    <row r="8824">
      <c r="B8824" s="11">
        <f>IFERROR(__xludf.DUMMYFUNCTION("""COMPUTED_VALUE"""),33673.0)</f>
        <v>33673</v>
      </c>
      <c r="C8824" s="9">
        <f>IFERROR(__xludf.DUMMYFUNCTION("""COMPUTED_VALUE"""),7.43)</f>
        <v>7.43</v>
      </c>
      <c r="H8824" s="17"/>
      <c r="K8824" s="17"/>
      <c r="N8824" s="17"/>
    </row>
    <row r="8825">
      <c r="B8825" s="11">
        <f>IFERROR(__xludf.DUMMYFUNCTION("""COMPUTED_VALUE"""),33672.0)</f>
        <v>33672</v>
      </c>
      <c r="C8825" s="9">
        <f>IFERROR(__xludf.DUMMYFUNCTION("""COMPUTED_VALUE"""),7.42)</f>
        <v>7.42</v>
      </c>
      <c r="H8825" s="17"/>
      <c r="K8825" s="17"/>
      <c r="N8825" s="17"/>
    </row>
    <row r="8826">
      <c r="B8826" s="11">
        <f>IFERROR(__xludf.DUMMYFUNCTION("""COMPUTED_VALUE"""),33669.0)</f>
        <v>33669</v>
      </c>
      <c r="C8826" s="9">
        <f>IFERROR(__xludf.DUMMYFUNCTION("""COMPUTED_VALUE"""),7.48)</f>
        <v>7.48</v>
      </c>
      <c r="H8826" s="17"/>
      <c r="K8826" s="17"/>
      <c r="N8826" s="17"/>
    </row>
    <row r="8827">
      <c r="B8827" s="11">
        <f>IFERROR(__xludf.DUMMYFUNCTION("""COMPUTED_VALUE"""),33668.0)</f>
        <v>33668</v>
      </c>
      <c r="C8827" s="9">
        <f>IFERROR(__xludf.DUMMYFUNCTION("""COMPUTED_VALUE"""),7.51)</f>
        <v>7.51</v>
      </c>
      <c r="H8827" s="17"/>
      <c r="K8827" s="17"/>
      <c r="N8827" s="17"/>
    </row>
    <row r="8828">
      <c r="B8828" s="11">
        <f>IFERROR(__xludf.DUMMYFUNCTION("""COMPUTED_VALUE"""),33667.0)</f>
        <v>33667</v>
      </c>
      <c r="C8828" s="9">
        <f>IFERROR(__xludf.DUMMYFUNCTION("""COMPUTED_VALUE"""),7.43)</f>
        <v>7.43</v>
      </c>
      <c r="H8828" s="17"/>
      <c r="K8828" s="17"/>
      <c r="N8828" s="17"/>
    </row>
    <row r="8829">
      <c r="B8829" s="11">
        <f>IFERROR(__xludf.DUMMYFUNCTION("""COMPUTED_VALUE"""),33666.0)</f>
        <v>33666</v>
      </c>
      <c r="C8829" s="9">
        <f>IFERROR(__xludf.DUMMYFUNCTION("""COMPUTED_VALUE"""),7.43)</f>
        <v>7.43</v>
      </c>
      <c r="H8829" s="17"/>
      <c r="K8829" s="17"/>
      <c r="N8829" s="17"/>
    </row>
    <row r="8830">
      <c r="B8830" s="11">
        <f>IFERROR(__xludf.DUMMYFUNCTION("""COMPUTED_VALUE"""),33665.0)</f>
        <v>33665</v>
      </c>
      <c r="C8830" s="9">
        <f>IFERROR(__xludf.DUMMYFUNCTION("""COMPUTED_VALUE"""),7.38)</f>
        <v>7.38</v>
      </c>
      <c r="H8830" s="17"/>
      <c r="K8830" s="17"/>
      <c r="N8830" s="17"/>
    </row>
    <row r="8831">
      <c r="B8831" s="11">
        <f>IFERROR(__xludf.DUMMYFUNCTION("""COMPUTED_VALUE"""),33662.0)</f>
        <v>33662</v>
      </c>
      <c r="C8831" s="9">
        <f>IFERROR(__xludf.DUMMYFUNCTION("""COMPUTED_VALUE"""),7.27)</f>
        <v>7.27</v>
      </c>
      <c r="H8831" s="17"/>
      <c r="K8831" s="17"/>
      <c r="N8831" s="17"/>
    </row>
    <row r="8832">
      <c r="B8832" s="11">
        <f>IFERROR(__xludf.DUMMYFUNCTION("""COMPUTED_VALUE"""),33661.0)</f>
        <v>33661</v>
      </c>
      <c r="C8832" s="9">
        <f>IFERROR(__xludf.DUMMYFUNCTION("""COMPUTED_VALUE"""),7.35)</f>
        <v>7.35</v>
      </c>
      <c r="H8832" s="17"/>
      <c r="K8832" s="17"/>
      <c r="N8832" s="17"/>
    </row>
    <row r="8833">
      <c r="B8833" s="11">
        <f>IFERROR(__xludf.DUMMYFUNCTION("""COMPUTED_VALUE"""),33660.0)</f>
        <v>33660</v>
      </c>
      <c r="C8833" s="9">
        <f>IFERROR(__xludf.DUMMYFUNCTION("""COMPUTED_VALUE"""),7.33)</f>
        <v>7.33</v>
      </c>
      <c r="H8833" s="17"/>
      <c r="K8833" s="17"/>
      <c r="N8833" s="17"/>
    </row>
    <row r="8834">
      <c r="B8834" s="11">
        <f>IFERROR(__xludf.DUMMYFUNCTION("""COMPUTED_VALUE"""),33659.0)</f>
        <v>33659</v>
      </c>
      <c r="C8834" s="9">
        <f>IFERROR(__xludf.DUMMYFUNCTION("""COMPUTED_VALUE"""),7.44)</f>
        <v>7.44</v>
      </c>
      <c r="H8834" s="17"/>
      <c r="K8834" s="17"/>
      <c r="N8834" s="17"/>
    </row>
    <row r="8835">
      <c r="B8835" s="11">
        <f>IFERROR(__xludf.DUMMYFUNCTION("""COMPUTED_VALUE"""),33658.0)</f>
        <v>33658</v>
      </c>
      <c r="C8835" s="9">
        <f>IFERROR(__xludf.DUMMYFUNCTION("""COMPUTED_VALUE"""),7.47)</f>
        <v>7.47</v>
      </c>
      <c r="H8835" s="17"/>
      <c r="K8835" s="17"/>
      <c r="N8835" s="17"/>
    </row>
    <row r="8836">
      <c r="B8836" s="11">
        <f>IFERROR(__xludf.DUMMYFUNCTION("""COMPUTED_VALUE"""),33655.0)</f>
        <v>33655</v>
      </c>
      <c r="C8836" s="9">
        <f>IFERROR(__xludf.DUMMYFUNCTION("""COMPUTED_VALUE"""),7.45)</f>
        <v>7.45</v>
      </c>
      <c r="H8836" s="17"/>
      <c r="K8836" s="17"/>
      <c r="N8836" s="17"/>
    </row>
    <row r="8837">
      <c r="B8837" s="11">
        <f>IFERROR(__xludf.DUMMYFUNCTION("""COMPUTED_VALUE"""),33654.0)</f>
        <v>33654</v>
      </c>
      <c r="C8837" s="9">
        <f>IFERROR(__xludf.DUMMYFUNCTION("""COMPUTED_VALUE"""),7.41)</f>
        <v>7.41</v>
      </c>
      <c r="H8837" s="17"/>
      <c r="K8837" s="17"/>
      <c r="N8837" s="17"/>
    </row>
    <row r="8838">
      <c r="B8838" s="11">
        <f>IFERROR(__xludf.DUMMYFUNCTION("""COMPUTED_VALUE"""),33653.0)</f>
        <v>33653</v>
      </c>
      <c r="C8838" s="9">
        <f>IFERROR(__xludf.DUMMYFUNCTION("""COMPUTED_VALUE"""),7.42)</f>
        <v>7.42</v>
      </c>
      <c r="H8838" s="17"/>
      <c r="K8838" s="17"/>
      <c r="N8838" s="17"/>
    </row>
    <row r="8839">
      <c r="B8839" s="11">
        <f>IFERROR(__xludf.DUMMYFUNCTION("""COMPUTED_VALUE"""),33652.0)</f>
        <v>33652</v>
      </c>
      <c r="C8839" s="9">
        <f>IFERROR(__xludf.DUMMYFUNCTION("""COMPUTED_VALUE"""),7.47)</f>
        <v>7.47</v>
      </c>
      <c r="H8839" s="17"/>
      <c r="K8839" s="17"/>
      <c r="N8839" s="17"/>
    </row>
    <row r="8840">
      <c r="B8840" s="11">
        <f>IFERROR(__xludf.DUMMYFUNCTION("""COMPUTED_VALUE"""),33651.0)</f>
        <v>33651</v>
      </c>
      <c r="C8840" s="9"/>
      <c r="H8840" s="17"/>
      <c r="K8840" s="17"/>
      <c r="N8840" s="17"/>
    </row>
    <row r="8841">
      <c r="B8841" s="11">
        <f>IFERROR(__xludf.DUMMYFUNCTION("""COMPUTED_VALUE"""),33648.0)</f>
        <v>33648</v>
      </c>
      <c r="C8841" s="9">
        <f>IFERROR(__xludf.DUMMYFUNCTION("""COMPUTED_VALUE"""),7.41)</f>
        <v>7.41</v>
      </c>
      <c r="H8841" s="17"/>
      <c r="K8841" s="17"/>
      <c r="N8841" s="17"/>
    </row>
    <row r="8842">
      <c r="B8842" s="11">
        <f>IFERROR(__xludf.DUMMYFUNCTION("""COMPUTED_VALUE"""),33647.0)</f>
        <v>33647</v>
      </c>
      <c r="C8842" s="9">
        <f>IFERROR(__xludf.DUMMYFUNCTION("""COMPUTED_VALUE"""),7.4)</f>
        <v>7.4</v>
      </c>
      <c r="H8842" s="17"/>
      <c r="K8842" s="17"/>
      <c r="N8842" s="17"/>
    </row>
    <row r="8843">
      <c r="B8843" s="11">
        <f>IFERROR(__xludf.DUMMYFUNCTION("""COMPUTED_VALUE"""),33646.0)</f>
        <v>33646</v>
      </c>
      <c r="C8843" s="9">
        <f>IFERROR(__xludf.DUMMYFUNCTION("""COMPUTED_VALUE"""),7.3)</f>
        <v>7.3</v>
      </c>
      <c r="H8843" s="17"/>
      <c r="K8843" s="17"/>
      <c r="N8843" s="17"/>
    </row>
    <row r="8844">
      <c r="B8844" s="11">
        <f>IFERROR(__xludf.DUMMYFUNCTION("""COMPUTED_VALUE"""),33645.0)</f>
        <v>33645</v>
      </c>
      <c r="C8844" s="9">
        <f>IFERROR(__xludf.DUMMYFUNCTION("""COMPUTED_VALUE"""),7.23)</f>
        <v>7.23</v>
      </c>
      <c r="H8844" s="17"/>
      <c r="K8844" s="17"/>
      <c r="N8844" s="17"/>
    </row>
    <row r="8845">
      <c r="B8845" s="11">
        <f>IFERROR(__xludf.DUMMYFUNCTION("""COMPUTED_VALUE"""),33644.0)</f>
        <v>33644</v>
      </c>
      <c r="C8845" s="9">
        <f>IFERROR(__xludf.DUMMYFUNCTION("""COMPUTED_VALUE"""),7.21)</f>
        <v>7.21</v>
      </c>
      <c r="H8845" s="17"/>
      <c r="K8845" s="17"/>
      <c r="N8845" s="17"/>
    </row>
    <row r="8846">
      <c r="B8846" s="11">
        <f>IFERROR(__xludf.DUMMYFUNCTION("""COMPUTED_VALUE"""),33641.0)</f>
        <v>33641</v>
      </c>
      <c r="C8846" s="9">
        <f>IFERROR(__xludf.DUMMYFUNCTION("""COMPUTED_VALUE"""),7.2)</f>
        <v>7.2</v>
      </c>
      <c r="H8846" s="17"/>
      <c r="K8846" s="17"/>
      <c r="N8846" s="17"/>
    </row>
    <row r="8847">
      <c r="B8847" s="11">
        <f>IFERROR(__xludf.DUMMYFUNCTION("""COMPUTED_VALUE"""),33640.0)</f>
        <v>33640</v>
      </c>
      <c r="C8847" s="9">
        <f>IFERROR(__xludf.DUMMYFUNCTION("""COMPUTED_VALUE"""),7.2)</f>
        <v>7.2</v>
      </c>
      <c r="H8847" s="17"/>
      <c r="K8847" s="17"/>
      <c r="N8847" s="17"/>
    </row>
    <row r="8848">
      <c r="B8848" s="11">
        <f>IFERROR(__xludf.DUMMYFUNCTION("""COMPUTED_VALUE"""),33639.0)</f>
        <v>33639</v>
      </c>
      <c r="C8848" s="9">
        <f>IFERROR(__xludf.DUMMYFUNCTION("""COMPUTED_VALUE"""),7.21)</f>
        <v>7.21</v>
      </c>
      <c r="H8848" s="17"/>
      <c r="K8848" s="17"/>
      <c r="N8848" s="17"/>
    </row>
    <row r="8849">
      <c r="B8849" s="11">
        <f>IFERROR(__xludf.DUMMYFUNCTION("""COMPUTED_VALUE"""),33638.0)</f>
        <v>33638</v>
      </c>
      <c r="C8849" s="9">
        <f>IFERROR(__xludf.DUMMYFUNCTION("""COMPUTED_VALUE"""),7.29)</f>
        <v>7.29</v>
      </c>
      <c r="H8849" s="17"/>
      <c r="K8849" s="17"/>
      <c r="N8849" s="17"/>
    </row>
    <row r="8850">
      <c r="B8850" s="11">
        <f>IFERROR(__xludf.DUMMYFUNCTION("""COMPUTED_VALUE"""),33637.0)</f>
        <v>33637</v>
      </c>
      <c r="C8850" s="9">
        <f>IFERROR(__xludf.DUMMYFUNCTION("""COMPUTED_VALUE"""),7.36)</f>
        <v>7.36</v>
      </c>
      <c r="H8850" s="17"/>
      <c r="K8850" s="17"/>
      <c r="N8850" s="17"/>
    </row>
    <row r="8851">
      <c r="B8851" s="11">
        <f>IFERROR(__xludf.DUMMYFUNCTION("""COMPUTED_VALUE"""),33634.0)</f>
        <v>33634</v>
      </c>
      <c r="C8851" s="9">
        <f>IFERROR(__xludf.DUMMYFUNCTION("""COMPUTED_VALUE"""),7.31)</f>
        <v>7.31</v>
      </c>
      <c r="H8851" s="17"/>
      <c r="K8851" s="17"/>
      <c r="N8851" s="17"/>
    </row>
    <row r="8852">
      <c r="B8852" s="11">
        <f>IFERROR(__xludf.DUMMYFUNCTION("""COMPUTED_VALUE"""),33633.0)</f>
        <v>33633</v>
      </c>
      <c r="C8852" s="9">
        <f>IFERROR(__xludf.DUMMYFUNCTION("""COMPUTED_VALUE"""),7.31)</f>
        <v>7.31</v>
      </c>
      <c r="H8852" s="17"/>
      <c r="K8852" s="17"/>
      <c r="N8852" s="17"/>
    </row>
    <row r="8853">
      <c r="B8853" s="11">
        <f>IFERROR(__xludf.DUMMYFUNCTION("""COMPUTED_VALUE"""),33632.0)</f>
        <v>33632</v>
      </c>
      <c r="C8853" s="9">
        <f>IFERROR(__xludf.DUMMYFUNCTION("""COMPUTED_VALUE"""),7.25)</f>
        <v>7.25</v>
      </c>
      <c r="H8853" s="17"/>
      <c r="K8853" s="17"/>
      <c r="N8853" s="17"/>
    </row>
    <row r="8854">
      <c r="B8854" s="11">
        <f>IFERROR(__xludf.DUMMYFUNCTION("""COMPUTED_VALUE"""),33631.0)</f>
        <v>33631</v>
      </c>
      <c r="C8854" s="9">
        <f>IFERROR(__xludf.DUMMYFUNCTION("""COMPUTED_VALUE"""),7.16)</f>
        <v>7.16</v>
      </c>
      <c r="H8854" s="17"/>
      <c r="K8854" s="17"/>
      <c r="N8854" s="17"/>
    </row>
    <row r="8855">
      <c r="B8855" s="11">
        <f>IFERROR(__xludf.DUMMYFUNCTION("""COMPUTED_VALUE"""),33630.0)</f>
        <v>33630</v>
      </c>
      <c r="C8855" s="9">
        <f>IFERROR(__xludf.DUMMYFUNCTION("""COMPUTED_VALUE"""),7.24)</f>
        <v>7.24</v>
      </c>
      <c r="H8855" s="17"/>
      <c r="K8855" s="17"/>
      <c r="N8855" s="17"/>
    </row>
    <row r="8856">
      <c r="B8856" s="11">
        <f>IFERROR(__xludf.DUMMYFUNCTION("""COMPUTED_VALUE"""),33627.0)</f>
        <v>33627</v>
      </c>
      <c r="C8856" s="9">
        <f>IFERROR(__xludf.DUMMYFUNCTION("""COMPUTED_VALUE"""),7.25)</f>
        <v>7.25</v>
      </c>
      <c r="H8856" s="17"/>
      <c r="K8856" s="17"/>
      <c r="N8856" s="17"/>
    </row>
    <row r="8857">
      <c r="B8857" s="11">
        <f>IFERROR(__xludf.DUMMYFUNCTION("""COMPUTED_VALUE"""),33626.0)</f>
        <v>33626</v>
      </c>
      <c r="C8857" s="9">
        <f>IFERROR(__xludf.DUMMYFUNCTION("""COMPUTED_VALUE"""),7.2)</f>
        <v>7.2</v>
      </c>
      <c r="H8857" s="17"/>
      <c r="K8857" s="17"/>
      <c r="N8857" s="17"/>
    </row>
    <row r="8858">
      <c r="B8858" s="11">
        <f>IFERROR(__xludf.DUMMYFUNCTION("""COMPUTED_VALUE"""),33625.0)</f>
        <v>33625</v>
      </c>
      <c r="C8858" s="9">
        <f>IFERROR(__xludf.DUMMYFUNCTION("""COMPUTED_VALUE"""),7.09)</f>
        <v>7.09</v>
      </c>
      <c r="H8858" s="17"/>
      <c r="K8858" s="17"/>
      <c r="N8858" s="17"/>
    </row>
    <row r="8859">
      <c r="B8859" s="11">
        <f>IFERROR(__xludf.DUMMYFUNCTION("""COMPUTED_VALUE"""),33624.0)</f>
        <v>33624</v>
      </c>
      <c r="C8859" s="9">
        <f>IFERROR(__xludf.DUMMYFUNCTION("""COMPUTED_VALUE"""),7.03)</f>
        <v>7.03</v>
      </c>
      <c r="H8859" s="17"/>
      <c r="K8859" s="17"/>
      <c r="N8859" s="17"/>
    </row>
    <row r="8860">
      <c r="B8860" s="11">
        <f>IFERROR(__xludf.DUMMYFUNCTION("""COMPUTED_VALUE"""),33623.0)</f>
        <v>33623</v>
      </c>
      <c r="C8860" s="9"/>
      <c r="H8860" s="17"/>
      <c r="K8860" s="17"/>
      <c r="N8860" s="17"/>
    </row>
    <row r="8861">
      <c r="B8861" s="11">
        <f>IFERROR(__xludf.DUMMYFUNCTION("""COMPUTED_VALUE"""),33620.0)</f>
        <v>33620</v>
      </c>
      <c r="C8861" s="9">
        <f>IFERROR(__xludf.DUMMYFUNCTION("""COMPUTED_VALUE"""),7.09)</f>
        <v>7.09</v>
      </c>
      <c r="H8861" s="17"/>
      <c r="K8861" s="17"/>
      <c r="N8861" s="17"/>
    </row>
    <row r="8862">
      <c r="B8862" s="11">
        <f>IFERROR(__xludf.DUMMYFUNCTION("""COMPUTED_VALUE"""),33619.0)</f>
        <v>33619</v>
      </c>
      <c r="C8862" s="9">
        <f>IFERROR(__xludf.DUMMYFUNCTION("""COMPUTED_VALUE"""),7.13)</f>
        <v>7.13</v>
      </c>
      <c r="H8862" s="17"/>
      <c r="K8862" s="17"/>
      <c r="N8862" s="17"/>
    </row>
    <row r="8863">
      <c r="B8863" s="11">
        <f>IFERROR(__xludf.DUMMYFUNCTION("""COMPUTED_VALUE"""),33618.0)</f>
        <v>33618</v>
      </c>
      <c r="C8863" s="9">
        <f>IFERROR(__xludf.DUMMYFUNCTION("""COMPUTED_VALUE"""),7.05)</f>
        <v>7.05</v>
      </c>
      <c r="H8863" s="17"/>
      <c r="K8863" s="17"/>
      <c r="N8863" s="17"/>
    </row>
    <row r="8864">
      <c r="B8864" s="11">
        <f>IFERROR(__xludf.DUMMYFUNCTION("""COMPUTED_VALUE"""),33617.0)</f>
        <v>33617</v>
      </c>
      <c r="C8864" s="9">
        <f>IFERROR(__xludf.DUMMYFUNCTION("""COMPUTED_VALUE"""),7.03)</f>
        <v>7.03</v>
      </c>
      <c r="H8864" s="17"/>
      <c r="K8864" s="17"/>
      <c r="N8864" s="17"/>
    </row>
    <row r="8865">
      <c r="B8865" s="11">
        <f>IFERROR(__xludf.DUMMYFUNCTION("""COMPUTED_VALUE"""),33616.0)</f>
        <v>33616</v>
      </c>
      <c r="C8865" s="9">
        <f>IFERROR(__xludf.DUMMYFUNCTION("""COMPUTED_VALUE"""),6.92)</f>
        <v>6.92</v>
      </c>
      <c r="H8865" s="17"/>
      <c r="K8865" s="17"/>
      <c r="N8865" s="17"/>
    </row>
    <row r="8866">
      <c r="B8866" s="11">
        <f>IFERROR(__xludf.DUMMYFUNCTION("""COMPUTED_VALUE"""),33613.0)</f>
        <v>33613</v>
      </c>
      <c r="C8866" s="9">
        <f>IFERROR(__xludf.DUMMYFUNCTION("""COMPUTED_VALUE"""),6.85)</f>
        <v>6.85</v>
      </c>
      <c r="H8866" s="17"/>
      <c r="K8866" s="17"/>
      <c r="N8866" s="17"/>
    </row>
    <row r="8867">
      <c r="B8867" s="11">
        <f>IFERROR(__xludf.DUMMYFUNCTION("""COMPUTED_VALUE"""),33612.0)</f>
        <v>33612</v>
      </c>
      <c r="C8867" s="9">
        <f>IFERROR(__xludf.DUMMYFUNCTION("""COMPUTED_VALUE"""),6.79)</f>
        <v>6.79</v>
      </c>
      <c r="H8867" s="17"/>
      <c r="K8867" s="17"/>
      <c r="N8867" s="17"/>
    </row>
    <row r="8868">
      <c r="B8868" s="11">
        <f>IFERROR(__xludf.DUMMYFUNCTION("""COMPUTED_VALUE"""),33611.0)</f>
        <v>33611</v>
      </c>
      <c r="C8868" s="9">
        <f>IFERROR(__xludf.DUMMYFUNCTION("""COMPUTED_VALUE"""),6.77)</f>
        <v>6.77</v>
      </c>
      <c r="H8868" s="17"/>
      <c r="K8868" s="17"/>
      <c r="N8868" s="17"/>
    </row>
    <row r="8869">
      <c r="B8869" s="11">
        <f>IFERROR(__xludf.DUMMYFUNCTION("""COMPUTED_VALUE"""),33610.0)</f>
        <v>33610</v>
      </c>
      <c r="C8869" s="9">
        <f>IFERROR(__xludf.DUMMYFUNCTION("""COMPUTED_VALUE"""),6.76)</f>
        <v>6.76</v>
      </c>
      <c r="H8869" s="17"/>
      <c r="K8869" s="17"/>
      <c r="N8869" s="17"/>
    </row>
    <row r="8870">
      <c r="B8870" s="11">
        <f>IFERROR(__xludf.DUMMYFUNCTION("""COMPUTED_VALUE"""),33609.0)</f>
        <v>33609</v>
      </c>
      <c r="C8870" s="9">
        <f>IFERROR(__xludf.DUMMYFUNCTION("""COMPUTED_VALUE"""),6.82)</f>
        <v>6.82</v>
      </c>
      <c r="H8870" s="17"/>
      <c r="K8870" s="17"/>
      <c r="N8870" s="17"/>
    </row>
    <row r="8871">
      <c r="B8871" s="11">
        <f>IFERROR(__xludf.DUMMYFUNCTION("""COMPUTED_VALUE"""),33606.0)</f>
        <v>33606</v>
      </c>
      <c r="C8871" s="9">
        <f>IFERROR(__xludf.DUMMYFUNCTION("""COMPUTED_VALUE"""),6.85)</f>
        <v>6.85</v>
      </c>
      <c r="H8871" s="17"/>
      <c r="K8871" s="17"/>
      <c r="N8871" s="17"/>
    </row>
    <row r="8872">
      <c r="B8872" s="11">
        <f>IFERROR(__xludf.DUMMYFUNCTION("""COMPUTED_VALUE"""),33605.0)</f>
        <v>33605</v>
      </c>
      <c r="C8872" s="9">
        <f>IFERROR(__xludf.DUMMYFUNCTION("""COMPUTED_VALUE"""),6.78)</f>
        <v>6.78</v>
      </c>
      <c r="H8872" s="17"/>
      <c r="K8872" s="17"/>
      <c r="N8872" s="17"/>
    </row>
    <row r="8873">
      <c r="B8873" s="11">
        <f>IFERROR(__xludf.DUMMYFUNCTION("""COMPUTED_VALUE"""),33604.0)</f>
        <v>33604</v>
      </c>
      <c r="C8873" s="9"/>
      <c r="H8873" s="17"/>
      <c r="K8873" s="17"/>
      <c r="N8873" s="17"/>
    </row>
    <row r="8874">
      <c r="B8874" s="11">
        <f>IFERROR(__xludf.DUMMYFUNCTION("""COMPUTED_VALUE"""),33603.0)</f>
        <v>33603</v>
      </c>
      <c r="C8874" s="9">
        <f>IFERROR(__xludf.DUMMYFUNCTION("""COMPUTED_VALUE"""),6.71)</f>
        <v>6.71</v>
      </c>
      <c r="H8874" s="17"/>
      <c r="K8874" s="17"/>
      <c r="N8874" s="17"/>
    </row>
    <row r="8875">
      <c r="B8875" s="11">
        <f>IFERROR(__xludf.DUMMYFUNCTION("""COMPUTED_VALUE"""),33602.0)</f>
        <v>33602</v>
      </c>
      <c r="C8875" s="9">
        <f>IFERROR(__xludf.DUMMYFUNCTION("""COMPUTED_VALUE"""),6.76)</f>
        <v>6.76</v>
      </c>
      <c r="H8875" s="17"/>
      <c r="K8875" s="17"/>
      <c r="N8875" s="17"/>
    </row>
    <row r="8876">
      <c r="B8876" s="11">
        <f>IFERROR(__xludf.DUMMYFUNCTION("""COMPUTED_VALUE"""),33599.0)</f>
        <v>33599</v>
      </c>
      <c r="C8876" s="9">
        <f>IFERROR(__xludf.DUMMYFUNCTION("""COMPUTED_VALUE"""),6.82)</f>
        <v>6.82</v>
      </c>
      <c r="H8876" s="17"/>
      <c r="K8876" s="17"/>
      <c r="N8876" s="17"/>
    </row>
    <row r="8877">
      <c r="B8877" s="11">
        <f>IFERROR(__xludf.DUMMYFUNCTION("""COMPUTED_VALUE"""),33598.0)</f>
        <v>33598</v>
      </c>
      <c r="C8877" s="9">
        <f>IFERROR(__xludf.DUMMYFUNCTION("""COMPUTED_VALUE"""),6.85)</f>
        <v>6.85</v>
      </c>
      <c r="H8877" s="17"/>
      <c r="K8877" s="17"/>
      <c r="N8877" s="17"/>
    </row>
    <row r="8878">
      <c r="B8878" s="11">
        <f>IFERROR(__xludf.DUMMYFUNCTION("""COMPUTED_VALUE"""),33597.0)</f>
        <v>33597</v>
      </c>
      <c r="C8878" s="9"/>
      <c r="H8878" s="17"/>
      <c r="K8878" s="17"/>
      <c r="N8878" s="17"/>
    </row>
    <row r="8879">
      <c r="B8879" s="11">
        <f>IFERROR(__xludf.DUMMYFUNCTION("""COMPUTED_VALUE"""),33596.0)</f>
        <v>33596</v>
      </c>
      <c r="C8879" s="9">
        <f>IFERROR(__xludf.DUMMYFUNCTION("""COMPUTED_VALUE"""),6.88)</f>
        <v>6.88</v>
      </c>
      <c r="H8879" s="17"/>
      <c r="K8879" s="17"/>
      <c r="N8879" s="17"/>
    </row>
    <row r="8880">
      <c r="B8880" s="11">
        <f>IFERROR(__xludf.DUMMYFUNCTION("""COMPUTED_VALUE"""),33595.0)</f>
        <v>33595</v>
      </c>
      <c r="C8880" s="9">
        <f>IFERROR(__xludf.DUMMYFUNCTION("""COMPUTED_VALUE"""),6.88)</f>
        <v>6.88</v>
      </c>
      <c r="H8880" s="17"/>
      <c r="K8880" s="17"/>
      <c r="N8880" s="17"/>
    </row>
    <row r="8881">
      <c r="B8881" s="11">
        <f>IFERROR(__xludf.DUMMYFUNCTION("""COMPUTED_VALUE"""),33592.0)</f>
        <v>33592</v>
      </c>
      <c r="C8881" s="9">
        <f>IFERROR(__xludf.DUMMYFUNCTION("""COMPUTED_VALUE"""),6.97)</f>
        <v>6.97</v>
      </c>
      <c r="H8881" s="17"/>
      <c r="K8881" s="17"/>
      <c r="N8881" s="17"/>
    </row>
    <row r="8882">
      <c r="B8882" s="11">
        <f>IFERROR(__xludf.DUMMYFUNCTION("""COMPUTED_VALUE"""),33591.0)</f>
        <v>33591</v>
      </c>
      <c r="C8882" s="9">
        <f>IFERROR(__xludf.DUMMYFUNCTION("""COMPUTED_VALUE"""),7.11)</f>
        <v>7.11</v>
      </c>
      <c r="H8882" s="17"/>
      <c r="K8882" s="17"/>
      <c r="N8882" s="17"/>
    </row>
    <row r="8883">
      <c r="B8883" s="11">
        <f>IFERROR(__xludf.DUMMYFUNCTION("""COMPUTED_VALUE"""),33590.0)</f>
        <v>33590</v>
      </c>
      <c r="C8883" s="9">
        <f>IFERROR(__xludf.DUMMYFUNCTION("""COMPUTED_VALUE"""),7.19)</f>
        <v>7.19</v>
      </c>
      <c r="H8883" s="17"/>
      <c r="K8883" s="17"/>
      <c r="N8883" s="17"/>
    </row>
    <row r="8884">
      <c r="B8884" s="11">
        <f>IFERROR(__xludf.DUMMYFUNCTION("""COMPUTED_VALUE"""),33589.0)</f>
        <v>33589</v>
      </c>
      <c r="C8884" s="9">
        <f>IFERROR(__xludf.DUMMYFUNCTION("""COMPUTED_VALUE"""),7.18)</f>
        <v>7.18</v>
      </c>
      <c r="H8884" s="17"/>
      <c r="K8884" s="17"/>
      <c r="N8884" s="17"/>
    </row>
    <row r="8885">
      <c r="B8885" s="11">
        <f>IFERROR(__xludf.DUMMYFUNCTION("""COMPUTED_VALUE"""),33588.0)</f>
        <v>33588</v>
      </c>
      <c r="C8885" s="9">
        <f>IFERROR(__xludf.DUMMYFUNCTION("""COMPUTED_VALUE"""),7.21)</f>
        <v>7.21</v>
      </c>
      <c r="H8885" s="17"/>
      <c r="K8885" s="17"/>
      <c r="N8885" s="17"/>
    </row>
    <row r="8886">
      <c r="B8886" s="11">
        <f>IFERROR(__xludf.DUMMYFUNCTION("""COMPUTED_VALUE"""),33585.0)</f>
        <v>33585</v>
      </c>
      <c r="C8886" s="9">
        <f>IFERROR(__xludf.DUMMYFUNCTION("""COMPUTED_VALUE"""),7.22)</f>
        <v>7.22</v>
      </c>
      <c r="H8886" s="17"/>
      <c r="K8886" s="17"/>
      <c r="N8886" s="17"/>
    </row>
    <row r="8887">
      <c r="B8887" s="11">
        <f>IFERROR(__xludf.DUMMYFUNCTION("""COMPUTED_VALUE"""),33584.0)</f>
        <v>33584</v>
      </c>
      <c r="C8887" s="9">
        <f>IFERROR(__xludf.DUMMYFUNCTION("""COMPUTED_VALUE"""),7.19)</f>
        <v>7.19</v>
      </c>
      <c r="H8887" s="17"/>
      <c r="K8887" s="17"/>
      <c r="N8887" s="17"/>
    </row>
    <row r="8888">
      <c r="B8888" s="11">
        <f>IFERROR(__xludf.DUMMYFUNCTION("""COMPUTED_VALUE"""),33583.0)</f>
        <v>33583</v>
      </c>
      <c r="C8888" s="9">
        <f>IFERROR(__xludf.DUMMYFUNCTION("""COMPUTED_VALUE"""),7.22)</f>
        <v>7.22</v>
      </c>
      <c r="H8888" s="17"/>
      <c r="K8888" s="17"/>
      <c r="N8888" s="17"/>
    </row>
    <row r="8889">
      <c r="B8889" s="11">
        <f>IFERROR(__xludf.DUMMYFUNCTION("""COMPUTED_VALUE"""),33582.0)</f>
        <v>33582</v>
      </c>
      <c r="C8889" s="9">
        <f>IFERROR(__xludf.DUMMYFUNCTION("""COMPUTED_VALUE"""),7.21)</f>
        <v>7.21</v>
      </c>
      <c r="H8889" s="17"/>
      <c r="K8889" s="17"/>
      <c r="N8889" s="17"/>
    </row>
    <row r="8890">
      <c r="B8890" s="11">
        <f>IFERROR(__xludf.DUMMYFUNCTION("""COMPUTED_VALUE"""),33581.0)</f>
        <v>33581</v>
      </c>
      <c r="C8890" s="9">
        <f>IFERROR(__xludf.DUMMYFUNCTION("""COMPUTED_VALUE"""),7.22)</f>
        <v>7.22</v>
      </c>
      <c r="H8890" s="17"/>
      <c r="K8890" s="17"/>
      <c r="N8890" s="17"/>
    </row>
    <row r="8891">
      <c r="B8891" s="11">
        <f>IFERROR(__xludf.DUMMYFUNCTION("""COMPUTED_VALUE"""),33578.0)</f>
        <v>33578</v>
      </c>
      <c r="C8891" s="9">
        <f>IFERROR(__xludf.DUMMYFUNCTION("""COMPUTED_VALUE"""),7.26)</f>
        <v>7.26</v>
      </c>
      <c r="H8891" s="17"/>
      <c r="K8891" s="17"/>
      <c r="N8891" s="17"/>
    </row>
    <row r="8892">
      <c r="B8892" s="11">
        <f>IFERROR(__xludf.DUMMYFUNCTION("""COMPUTED_VALUE"""),33577.0)</f>
        <v>33577</v>
      </c>
      <c r="C8892" s="9">
        <f>IFERROR(__xludf.DUMMYFUNCTION("""COMPUTED_VALUE"""),7.21)</f>
        <v>7.21</v>
      </c>
      <c r="H8892" s="17"/>
      <c r="K8892" s="17"/>
      <c r="N8892" s="17"/>
    </row>
    <row r="8893">
      <c r="B8893" s="11">
        <f>IFERROR(__xludf.DUMMYFUNCTION("""COMPUTED_VALUE"""),33576.0)</f>
        <v>33576</v>
      </c>
      <c r="C8893" s="9">
        <f>IFERROR(__xludf.DUMMYFUNCTION("""COMPUTED_VALUE"""),7.17)</f>
        <v>7.17</v>
      </c>
      <c r="H8893" s="17"/>
      <c r="K8893" s="17"/>
      <c r="N8893" s="17"/>
    </row>
    <row r="8894">
      <c r="B8894" s="11">
        <f>IFERROR(__xludf.DUMMYFUNCTION("""COMPUTED_VALUE"""),33575.0)</f>
        <v>33575</v>
      </c>
      <c r="C8894" s="9">
        <f>IFERROR(__xludf.DUMMYFUNCTION("""COMPUTED_VALUE"""),7.28)</f>
        <v>7.28</v>
      </c>
      <c r="H8894" s="17"/>
      <c r="K8894" s="17"/>
      <c r="N8894" s="17"/>
    </row>
    <row r="8895">
      <c r="B8895" s="11">
        <f>IFERROR(__xludf.DUMMYFUNCTION("""COMPUTED_VALUE"""),33574.0)</f>
        <v>33574</v>
      </c>
      <c r="C8895" s="9">
        <f>IFERROR(__xludf.DUMMYFUNCTION("""COMPUTED_VALUE"""),7.32)</f>
        <v>7.32</v>
      </c>
      <c r="H8895" s="17"/>
      <c r="K8895" s="17"/>
      <c r="N8895" s="17"/>
    </row>
    <row r="8896">
      <c r="B8896" s="11">
        <f>IFERROR(__xludf.DUMMYFUNCTION("""COMPUTED_VALUE"""),33571.0)</f>
        <v>33571</v>
      </c>
      <c r="C8896" s="9">
        <f>IFERROR(__xludf.DUMMYFUNCTION("""COMPUTED_VALUE"""),7.38)</f>
        <v>7.38</v>
      </c>
      <c r="H8896" s="17"/>
      <c r="K8896" s="17"/>
      <c r="N8896" s="17"/>
    </row>
    <row r="8897">
      <c r="B8897" s="11">
        <f>IFERROR(__xludf.DUMMYFUNCTION("""COMPUTED_VALUE"""),33570.0)</f>
        <v>33570</v>
      </c>
      <c r="C8897" s="9"/>
      <c r="H8897" s="17"/>
      <c r="K8897" s="17"/>
      <c r="N8897" s="17"/>
    </row>
    <row r="8898">
      <c r="B8898" s="11">
        <f>IFERROR(__xludf.DUMMYFUNCTION("""COMPUTED_VALUE"""),33569.0)</f>
        <v>33569</v>
      </c>
      <c r="C8898" s="9">
        <f>IFERROR(__xludf.DUMMYFUNCTION("""COMPUTED_VALUE"""),7.42)</f>
        <v>7.42</v>
      </c>
      <c r="H8898" s="17"/>
      <c r="K8898" s="17"/>
      <c r="N8898" s="17"/>
    </row>
    <row r="8899">
      <c r="B8899" s="11">
        <f>IFERROR(__xludf.DUMMYFUNCTION("""COMPUTED_VALUE"""),33568.0)</f>
        <v>33568</v>
      </c>
      <c r="C8899" s="9">
        <f>IFERROR(__xludf.DUMMYFUNCTION("""COMPUTED_VALUE"""),7.42)</f>
        <v>7.42</v>
      </c>
      <c r="H8899" s="17"/>
      <c r="K8899" s="17"/>
      <c r="N8899" s="17"/>
    </row>
    <row r="8900">
      <c r="B8900" s="11">
        <f>IFERROR(__xludf.DUMMYFUNCTION("""COMPUTED_VALUE"""),33567.0)</f>
        <v>33567</v>
      </c>
      <c r="C8900" s="9">
        <f>IFERROR(__xludf.DUMMYFUNCTION("""COMPUTED_VALUE"""),7.45)</f>
        <v>7.45</v>
      </c>
      <c r="H8900" s="17"/>
      <c r="K8900" s="17"/>
      <c r="N8900" s="17"/>
    </row>
    <row r="8901">
      <c r="B8901" s="11">
        <f>IFERROR(__xludf.DUMMYFUNCTION("""COMPUTED_VALUE"""),33564.0)</f>
        <v>33564</v>
      </c>
      <c r="C8901" s="9">
        <f>IFERROR(__xludf.DUMMYFUNCTION("""COMPUTED_VALUE"""),7.44)</f>
        <v>7.44</v>
      </c>
      <c r="H8901" s="17"/>
      <c r="K8901" s="17"/>
      <c r="N8901" s="17"/>
    </row>
    <row r="8902">
      <c r="B8902" s="11">
        <f>IFERROR(__xludf.DUMMYFUNCTION("""COMPUTED_VALUE"""),33563.0)</f>
        <v>33563</v>
      </c>
      <c r="C8902" s="9">
        <f>IFERROR(__xludf.DUMMYFUNCTION("""COMPUTED_VALUE"""),7.39)</f>
        <v>7.39</v>
      </c>
      <c r="H8902" s="17"/>
      <c r="K8902" s="17"/>
      <c r="N8902" s="17"/>
    </row>
    <row r="8903">
      <c r="B8903" s="11">
        <f>IFERROR(__xludf.DUMMYFUNCTION("""COMPUTED_VALUE"""),33562.0)</f>
        <v>33562</v>
      </c>
      <c r="C8903" s="9">
        <f>IFERROR(__xludf.DUMMYFUNCTION("""COMPUTED_VALUE"""),7.38)</f>
        <v>7.38</v>
      </c>
      <c r="H8903" s="17"/>
      <c r="K8903" s="17"/>
      <c r="N8903" s="17"/>
    </row>
    <row r="8904">
      <c r="B8904" s="11">
        <f>IFERROR(__xludf.DUMMYFUNCTION("""COMPUTED_VALUE"""),33561.0)</f>
        <v>33561</v>
      </c>
      <c r="C8904" s="9">
        <f>IFERROR(__xludf.DUMMYFUNCTION("""COMPUTED_VALUE"""),7.37)</f>
        <v>7.37</v>
      </c>
      <c r="H8904" s="17"/>
      <c r="K8904" s="17"/>
      <c r="N8904" s="17"/>
    </row>
    <row r="8905">
      <c r="B8905" s="11">
        <f>IFERROR(__xludf.DUMMYFUNCTION("""COMPUTED_VALUE"""),33560.0)</f>
        <v>33560</v>
      </c>
      <c r="C8905" s="9">
        <f>IFERROR(__xludf.DUMMYFUNCTION("""COMPUTED_VALUE"""),7.33)</f>
        <v>7.33</v>
      </c>
      <c r="H8905" s="17"/>
      <c r="K8905" s="17"/>
      <c r="N8905" s="17"/>
    </row>
    <row r="8906">
      <c r="B8906" s="11">
        <f>IFERROR(__xludf.DUMMYFUNCTION("""COMPUTED_VALUE"""),33557.0)</f>
        <v>33557</v>
      </c>
      <c r="C8906" s="9">
        <f>IFERROR(__xludf.DUMMYFUNCTION("""COMPUTED_VALUE"""),7.33)</f>
        <v>7.33</v>
      </c>
      <c r="H8906" s="17"/>
      <c r="K8906" s="17"/>
      <c r="N8906" s="17"/>
    </row>
    <row r="8907">
      <c r="B8907" s="11">
        <f>IFERROR(__xludf.DUMMYFUNCTION("""COMPUTED_VALUE"""),33556.0)</f>
        <v>33556</v>
      </c>
      <c r="C8907" s="9">
        <f>IFERROR(__xludf.DUMMYFUNCTION("""COMPUTED_VALUE"""),7.35)</f>
        <v>7.35</v>
      </c>
      <c r="H8907" s="17"/>
      <c r="K8907" s="17"/>
      <c r="N8907" s="17"/>
    </row>
    <row r="8908">
      <c r="B8908" s="11">
        <f>IFERROR(__xludf.DUMMYFUNCTION("""COMPUTED_VALUE"""),33555.0)</f>
        <v>33555</v>
      </c>
      <c r="C8908" s="9">
        <f>IFERROR(__xludf.DUMMYFUNCTION("""COMPUTED_VALUE"""),7.41)</f>
        <v>7.41</v>
      </c>
      <c r="H8908" s="17"/>
      <c r="K8908" s="17"/>
      <c r="N8908" s="17"/>
    </row>
    <row r="8909">
      <c r="B8909" s="11">
        <f>IFERROR(__xludf.DUMMYFUNCTION("""COMPUTED_VALUE"""),33554.0)</f>
        <v>33554</v>
      </c>
      <c r="C8909" s="9">
        <f>IFERROR(__xludf.DUMMYFUNCTION("""COMPUTED_VALUE"""),7.37)</f>
        <v>7.37</v>
      </c>
      <c r="H8909" s="17"/>
      <c r="K8909" s="17"/>
      <c r="N8909" s="17"/>
    </row>
    <row r="8910">
      <c r="B8910" s="11">
        <f>IFERROR(__xludf.DUMMYFUNCTION("""COMPUTED_VALUE"""),33553.0)</f>
        <v>33553</v>
      </c>
      <c r="C8910" s="9"/>
      <c r="H8910" s="17"/>
      <c r="K8910" s="17"/>
      <c r="N8910" s="17"/>
    </row>
    <row r="8911">
      <c r="B8911" s="11">
        <f>IFERROR(__xludf.DUMMYFUNCTION("""COMPUTED_VALUE"""),33550.0)</f>
        <v>33550</v>
      </c>
      <c r="C8911" s="9">
        <f>IFERROR(__xludf.DUMMYFUNCTION("""COMPUTED_VALUE"""),7.41)</f>
        <v>7.41</v>
      </c>
      <c r="H8911" s="17"/>
      <c r="K8911" s="17"/>
      <c r="N8911" s="17"/>
    </row>
    <row r="8912">
      <c r="B8912" s="11">
        <f>IFERROR(__xludf.DUMMYFUNCTION("""COMPUTED_VALUE"""),33549.0)</f>
        <v>33549</v>
      </c>
      <c r="C8912" s="9">
        <f>IFERROR(__xludf.DUMMYFUNCTION("""COMPUTED_VALUE"""),7.43)</f>
        <v>7.43</v>
      </c>
      <c r="H8912" s="17"/>
      <c r="K8912" s="17"/>
      <c r="N8912" s="17"/>
    </row>
    <row r="8913">
      <c r="B8913" s="11">
        <f>IFERROR(__xludf.DUMMYFUNCTION("""COMPUTED_VALUE"""),33548.0)</f>
        <v>33548</v>
      </c>
      <c r="C8913" s="9">
        <f>IFERROR(__xludf.DUMMYFUNCTION("""COMPUTED_VALUE"""),7.51)</f>
        <v>7.51</v>
      </c>
      <c r="H8913" s="17"/>
      <c r="K8913" s="17"/>
      <c r="N8913" s="17"/>
    </row>
    <row r="8914">
      <c r="B8914" s="11">
        <f>IFERROR(__xludf.DUMMYFUNCTION("""COMPUTED_VALUE"""),33547.0)</f>
        <v>33547</v>
      </c>
      <c r="C8914" s="9">
        <f>IFERROR(__xludf.DUMMYFUNCTION("""COMPUTED_VALUE"""),7.56)</f>
        <v>7.56</v>
      </c>
      <c r="H8914" s="17"/>
      <c r="K8914" s="17"/>
      <c r="N8914" s="17"/>
    </row>
    <row r="8915">
      <c r="B8915" s="11">
        <f>IFERROR(__xludf.DUMMYFUNCTION("""COMPUTED_VALUE"""),33546.0)</f>
        <v>33546</v>
      </c>
      <c r="C8915" s="9">
        <f>IFERROR(__xludf.DUMMYFUNCTION("""COMPUTED_VALUE"""),7.5)</f>
        <v>7.5</v>
      </c>
      <c r="H8915" s="17"/>
      <c r="K8915" s="17"/>
      <c r="N8915" s="17"/>
    </row>
    <row r="8916">
      <c r="B8916" s="11">
        <f>IFERROR(__xludf.DUMMYFUNCTION("""COMPUTED_VALUE"""),33543.0)</f>
        <v>33543</v>
      </c>
      <c r="C8916" s="9">
        <f>IFERROR(__xludf.DUMMYFUNCTION("""COMPUTED_VALUE"""),7.48)</f>
        <v>7.48</v>
      </c>
      <c r="H8916" s="17"/>
      <c r="K8916" s="17"/>
      <c r="N8916" s="17"/>
    </row>
    <row r="8917">
      <c r="B8917" s="11">
        <f>IFERROR(__xludf.DUMMYFUNCTION("""COMPUTED_VALUE"""),33542.0)</f>
        <v>33542</v>
      </c>
      <c r="C8917" s="9">
        <f>IFERROR(__xludf.DUMMYFUNCTION("""COMPUTED_VALUE"""),7.47)</f>
        <v>7.47</v>
      </c>
      <c r="H8917" s="17"/>
      <c r="K8917" s="17"/>
      <c r="N8917" s="17"/>
    </row>
    <row r="8918">
      <c r="B8918" s="11">
        <f>IFERROR(__xludf.DUMMYFUNCTION("""COMPUTED_VALUE"""),33541.0)</f>
        <v>33541</v>
      </c>
      <c r="C8918" s="9">
        <f>IFERROR(__xludf.DUMMYFUNCTION("""COMPUTED_VALUE"""),7.48)</f>
        <v>7.48</v>
      </c>
      <c r="H8918" s="17"/>
      <c r="K8918" s="17"/>
      <c r="N8918" s="17"/>
    </row>
    <row r="8919">
      <c r="B8919" s="11">
        <f>IFERROR(__xludf.DUMMYFUNCTION("""COMPUTED_VALUE"""),33540.0)</f>
        <v>33540</v>
      </c>
      <c r="C8919" s="9">
        <f>IFERROR(__xludf.DUMMYFUNCTION("""COMPUTED_VALUE"""),7.51)</f>
        <v>7.51</v>
      </c>
      <c r="H8919" s="17"/>
      <c r="K8919" s="17"/>
      <c r="N8919" s="17"/>
    </row>
    <row r="8920">
      <c r="B8920" s="11">
        <f>IFERROR(__xludf.DUMMYFUNCTION("""COMPUTED_VALUE"""),33539.0)</f>
        <v>33539</v>
      </c>
      <c r="C8920" s="9">
        <f>IFERROR(__xludf.DUMMYFUNCTION("""COMPUTED_VALUE"""),7.65)</f>
        <v>7.65</v>
      </c>
      <c r="H8920" s="17"/>
      <c r="K8920" s="17"/>
      <c r="N8920" s="17"/>
    </row>
    <row r="8921">
      <c r="B8921" s="11">
        <f>IFERROR(__xludf.DUMMYFUNCTION("""COMPUTED_VALUE"""),33536.0)</f>
        <v>33536</v>
      </c>
      <c r="C8921" s="9">
        <f>IFERROR(__xludf.DUMMYFUNCTION("""COMPUTED_VALUE"""),7.68)</f>
        <v>7.68</v>
      </c>
      <c r="H8921" s="17"/>
      <c r="K8921" s="17"/>
      <c r="N8921" s="17"/>
    </row>
    <row r="8922">
      <c r="B8922" s="11">
        <f>IFERROR(__xludf.DUMMYFUNCTION("""COMPUTED_VALUE"""),33535.0)</f>
        <v>33535</v>
      </c>
      <c r="C8922" s="9">
        <f>IFERROR(__xludf.DUMMYFUNCTION("""COMPUTED_VALUE"""),7.65)</f>
        <v>7.65</v>
      </c>
      <c r="H8922" s="17"/>
      <c r="K8922" s="17"/>
      <c r="N8922" s="17"/>
    </row>
    <row r="8923">
      <c r="B8923" s="11">
        <f>IFERROR(__xludf.DUMMYFUNCTION("""COMPUTED_VALUE"""),33534.0)</f>
        <v>33534</v>
      </c>
      <c r="C8923" s="9">
        <f>IFERROR(__xludf.DUMMYFUNCTION("""COMPUTED_VALUE"""),7.69)</f>
        <v>7.69</v>
      </c>
      <c r="H8923" s="17"/>
      <c r="K8923" s="17"/>
      <c r="N8923" s="17"/>
    </row>
    <row r="8924">
      <c r="B8924" s="11">
        <f>IFERROR(__xludf.DUMMYFUNCTION("""COMPUTED_VALUE"""),33533.0)</f>
        <v>33533</v>
      </c>
      <c r="C8924" s="9">
        <f>IFERROR(__xludf.DUMMYFUNCTION("""COMPUTED_VALUE"""),7.67)</f>
        <v>7.67</v>
      </c>
      <c r="H8924" s="17"/>
      <c r="K8924" s="17"/>
      <c r="N8924" s="17"/>
    </row>
    <row r="8925">
      <c r="B8925" s="11">
        <f>IFERROR(__xludf.DUMMYFUNCTION("""COMPUTED_VALUE"""),33532.0)</f>
        <v>33532</v>
      </c>
      <c r="C8925" s="9">
        <f>IFERROR(__xludf.DUMMYFUNCTION("""COMPUTED_VALUE"""),7.62)</f>
        <v>7.62</v>
      </c>
      <c r="H8925" s="17"/>
      <c r="K8925" s="17"/>
      <c r="N8925" s="17"/>
    </row>
    <row r="8926">
      <c r="B8926" s="11">
        <f>IFERROR(__xludf.DUMMYFUNCTION("""COMPUTED_VALUE"""),33529.0)</f>
        <v>33529</v>
      </c>
      <c r="C8926" s="9">
        <f>IFERROR(__xludf.DUMMYFUNCTION("""COMPUTED_VALUE"""),7.53)</f>
        <v>7.53</v>
      </c>
      <c r="H8926" s="17"/>
      <c r="K8926" s="17"/>
      <c r="N8926" s="17"/>
    </row>
    <row r="8927">
      <c r="B8927" s="11">
        <f>IFERROR(__xludf.DUMMYFUNCTION("""COMPUTED_VALUE"""),33528.0)</f>
        <v>33528</v>
      </c>
      <c r="C8927" s="9">
        <f>IFERROR(__xludf.DUMMYFUNCTION("""COMPUTED_VALUE"""),7.55)</f>
        <v>7.55</v>
      </c>
      <c r="H8927" s="17"/>
      <c r="K8927" s="17"/>
      <c r="N8927" s="17"/>
    </row>
    <row r="8928">
      <c r="B8928" s="11">
        <f>IFERROR(__xludf.DUMMYFUNCTION("""COMPUTED_VALUE"""),33527.0)</f>
        <v>33527</v>
      </c>
      <c r="C8928" s="9">
        <f>IFERROR(__xludf.DUMMYFUNCTION("""COMPUTED_VALUE"""),7.45)</f>
        <v>7.45</v>
      </c>
      <c r="H8928" s="17"/>
      <c r="K8928" s="17"/>
      <c r="N8928" s="17"/>
    </row>
    <row r="8929">
      <c r="B8929" s="11">
        <f>IFERROR(__xludf.DUMMYFUNCTION("""COMPUTED_VALUE"""),33526.0)</f>
        <v>33526</v>
      </c>
      <c r="C8929" s="9">
        <f>IFERROR(__xludf.DUMMYFUNCTION("""COMPUTED_VALUE"""),7.46)</f>
        <v>7.46</v>
      </c>
      <c r="H8929" s="17"/>
      <c r="K8929" s="17"/>
      <c r="N8929" s="17"/>
    </row>
    <row r="8930">
      <c r="B8930" s="11">
        <f>IFERROR(__xludf.DUMMYFUNCTION("""COMPUTED_VALUE"""),33525.0)</f>
        <v>33525</v>
      </c>
      <c r="C8930" s="9"/>
      <c r="H8930" s="17"/>
      <c r="K8930" s="17"/>
      <c r="N8930" s="17"/>
    </row>
    <row r="8931">
      <c r="B8931" s="11">
        <f>IFERROR(__xludf.DUMMYFUNCTION("""COMPUTED_VALUE"""),33522.0)</f>
        <v>33522</v>
      </c>
      <c r="C8931" s="9">
        <f>IFERROR(__xludf.DUMMYFUNCTION("""COMPUTED_VALUE"""),7.49)</f>
        <v>7.49</v>
      </c>
      <c r="H8931" s="17"/>
      <c r="K8931" s="17"/>
      <c r="N8931" s="17"/>
    </row>
    <row r="8932">
      <c r="B8932" s="11">
        <f>IFERROR(__xludf.DUMMYFUNCTION("""COMPUTED_VALUE"""),33521.0)</f>
        <v>33521</v>
      </c>
      <c r="C8932" s="9">
        <f>IFERROR(__xludf.DUMMYFUNCTION("""COMPUTED_VALUE"""),7.58)</f>
        <v>7.58</v>
      </c>
      <c r="H8932" s="17"/>
      <c r="K8932" s="17"/>
      <c r="N8932" s="17"/>
    </row>
    <row r="8933">
      <c r="B8933" s="11">
        <f>IFERROR(__xludf.DUMMYFUNCTION("""COMPUTED_VALUE"""),33520.0)</f>
        <v>33520</v>
      </c>
      <c r="C8933" s="9">
        <f>IFERROR(__xludf.DUMMYFUNCTION("""COMPUTED_VALUE"""),7.51)</f>
        <v>7.51</v>
      </c>
      <c r="H8933" s="17"/>
      <c r="K8933" s="17"/>
      <c r="N8933" s="17"/>
    </row>
    <row r="8934">
      <c r="B8934" s="11">
        <f>IFERROR(__xludf.DUMMYFUNCTION("""COMPUTED_VALUE"""),33519.0)</f>
        <v>33519</v>
      </c>
      <c r="C8934" s="9">
        <f>IFERROR(__xludf.DUMMYFUNCTION("""COMPUTED_VALUE"""),7.43)</f>
        <v>7.43</v>
      </c>
      <c r="H8934" s="17"/>
      <c r="K8934" s="17"/>
      <c r="N8934" s="17"/>
    </row>
    <row r="8935">
      <c r="B8935" s="11">
        <f>IFERROR(__xludf.DUMMYFUNCTION("""COMPUTED_VALUE"""),33518.0)</f>
        <v>33518</v>
      </c>
      <c r="C8935" s="9">
        <f>IFERROR(__xludf.DUMMYFUNCTION("""COMPUTED_VALUE"""),7.4)</f>
        <v>7.4</v>
      </c>
      <c r="H8935" s="17"/>
      <c r="K8935" s="17"/>
      <c r="N8935" s="17"/>
    </row>
    <row r="8936">
      <c r="B8936" s="11">
        <f>IFERROR(__xludf.DUMMYFUNCTION("""COMPUTED_VALUE"""),33515.0)</f>
        <v>33515</v>
      </c>
      <c r="C8936" s="9">
        <f>IFERROR(__xludf.DUMMYFUNCTION("""COMPUTED_VALUE"""),7.39)</f>
        <v>7.39</v>
      </c>
      <c r="H8936" s="17"/>
      <c r="K8936" s="17"/>
      <c r="N8936" s="17"/>
    </row>
    <row r="8937">
      <c r="B8937" s="11">
        <f>IFERROR(__xludf.DUMMYFUNCTION("""COMPUTED_VALUE"""),33514.0)</f>
        <v>33514</v>
      </c>
      <c r="C8937" s="9">
        <f>IFERROR(__xludf.DUMMYFUNCTION("""COMPUTED_VALUE"""),7.47)</f>
        <v>7.47</v>
      </c>
      <c r="H8937" s="17"/>
      <c r="K8937" s="17"/>
      <c r="N8937" s="17"/>
    </row>
    <row r="8938">
      <c r="B8938" s="11">
        <f>IFERROR(__xludf.DUMMYFUNCTION("""COMPUTED_VALUE"""),33513.0)</f>
        <v>33513</v>
      </c>
      <c r="C8938" s="9">
        <f>IFERROR(__xludf.DUMMYFUNCTION("""COMPUTED_VALUE"""),7.47)</f>
        <v>7.47</v>
      </c>
      <c r="H8938" s="17"/>
      <c r="K8938" s="17"/>
      <c r="N8938" s="17"/>
    </row>
    <row r="8939">
      <c r="B8939" s="11">
        <f>IFERROR(__xludf.DUMMYFUNCTION("""COMPUTED_VALUE"""),33512.0)</f>
        <v>33512</v>
      </c>
      <c r="C8939" s="9">
        <f>IFERROR(__xludf.DUMMYFUNCTION("""COMPUTED_VALUE"""),7.45)</f>
        <v>7.45</v>
      </c>
      <c r="H8939" s="17"/>
      <c r="K8939" s="17"/>
      <c r="N8939" s="17"/>
    </row>
    <row r="8940">
      <c r="B8940" s="11">
        <f>IFERROR(__xludf.DUMMYFUNCTION("""COMPUTED_VALUE"""),33511.0)</f>
        <v>33511</v>
      </c>
      <c r="C8940" s="9">
        <f>IFERROR(__xludf.DUMMYFUNCTION("""COMPUTED_VALUE"""),7.47)</f>
        <v>7.47</v>
      </c>
      <c r="H8940" s="17"/>
      <c r="K8940" s="17"/>
      <c r="N8940" s="17"/>
    </row>
    <row r="8941">
      <c r="B8941" s="11">
        <f>IFERROR(__xludf.DUMMYFUNCTION("""COMPUTED_VALUE"""),33508.0)</f>
        <v>33508</v>
      </c>
      <c r="C8941" s="9">
        <f>IFERROR(__xludf.DUMMYFUNCTION("""COMPUTED_VALUE"""),7.49)</f>
        <v>7.49</v>
      </c>
      <c r="H8941" s="17"/>
      <c r="K8941" s="17"/>
      <c r="N8941" s="17"/>
    </row>
    <row r="8942">
      <c r="B8942" s="11">
        <f>IFERROR(__xludf.DUMMYFUNCTION("""COMPUTED_VALUE"""),33507.0)</f>
        <v>33507</v>
      </c>
      <c r="C8942" s="9">
        <f>IFERROR(__xludf.DUMMYFUNCTION("""COMPUTED_VALUE"""),7.56)</f>
        <v>7.56</v>
      </c>
      <c r="H8942" s="17"/>
      <c r="K8942" s="17"/>
      <c r="N8942" s="17"/>
    </row>
    <row r="8943">
      <c r="B8943" s="11">
        <f>IFERROR(__xludf.DUMMYFUNCTION("""COMPUTED_VALUE"""),33506.0)</f>
        <v>33506</v>
      </c>
      <c r="C8943" s="9">
        <f>IFERROR(__xludf.DUMMYFUNCTION("""COMPUTED_VALUE"""),7.58)</f>
        <v>7.58</v>
      </c>
      <c r="H8943" s="17"/>
      <c r="K8943" s="17"/>
      <c r="N8943" s="17"/>
    </row>
    <row r="8944">
      <c r="B8944" s="11">
        <f>IFERROR(__xludf.DUMMYFUNCTION("""COMPUTED_VALUE"""),33505.0)</f>
        <v>33505</v>
      </c>
      <c r="C8944" s="9">
        <f>IFERROR(__xludf.DUMMYFUNCTION("""COMPUTED_VALUE"""),7.56)</f>
        <v>7.56</v>
      </c>
      <c r="H8944" s="17"/>
      <c r="K8944" s="17"/>
      <c r="N8944" s="17"/>
    </row>
    <row r="8945">
      <c r="B8945" s="11">
        <f>IFERROR(__xludf.DUMMYFUNCTION("""COMPUTED_VALUE"""),33504.0)</f>
        <v>33504</v>
      </c>
      <c r="C8945" s="9">
        <f>IFERROR(__xludf.DUMMYFUNCTION("""COMPUTED_VALUE"""),7.55)</f>
        <v>7.55</v>
      </c>
      <c r="H8945" s="17"/>
      <c r="K8945" s="17"/>
      <c r="N8945" s="17"/>
    </row>
    <row r="8946">
      <c r="B8946" s="11">
        <f>IFERROR(__xludf.DUMMYFUNCTION("""COMPUTED_VALUE"""),33501.0)</f>
        <v>33501</v>
      </c>
      <c r="C8946" s="9">
        <f>IFERROR(__xludf.DUMMYFUNCTION("""COMPUTED_VALUE"""),7.57)</f>
        <v>7.57</v>
      </c>
      <c r="H8946" s="17"/>
      <c r="K8946" s="17"/>
      <c r="N8946" s="17"/>
    </row>
    <row r="8947">
      <c r="B8947" s="11">
        <f>IFERROR(__xludf.DUMMYFUNCTION("""COMPUTED_VALUE"""),33500.0)</f>
        <v>33500</v>
      </c>
      <c r="C8947" s="9">
        <f>IFERROR(__xludf.DUMMYFUNCTION("""COMPUTED_VALUE"""),7.61)</f>
        <v>7.61</v>
      </c>
      <c r="H8947" s="17"/>
      <c r="K8947" s="17"/>
      <c r="N8947" s="17"/>
    </row>
    <row r="8948">
      <c r="B8948" s="11">
        <f>IFERROR(__xludf.DUMMYFUNCTION("""COMPUTED_VALUE"""),33499.0)</f>
        <v>33499</v>
      </c>
      <c r="C8948" s="9">
        <f>IFERROR(__xludf.DUMMYFUNCTION("""COMPUTED_VALUE"""),7.62)</f>
        <v>7.62</v>
      </c>
      <c r="H8948" s="17"/>
      <c r="K8948" s="17"/>
      <c r="N8948" s="17"/>
    </row>
    <row r="8949">
      <c r="B8949" s="11">
        <f>IFERROR(__xludf.DUMMYFUNCTION("""COMPUTED_VALUE"""),33498.0)</f>
        <v>33498</v>
      </c>
      <c r="C8949" s="9">
        <f>IFERROR(__xludf.DUMMYFUNCTION("""COMPUTED_VALUE"""),7.62)</f>
        <v>7.62</v>
      </c>
      <c r="H8949" s="17"/>
      <c r="K8949" s="17"/>
      <c r="N8949" s="17"/>
    </row>
    <row r="8950">
      <c r="B8950" s="11">
        <f>IFERROR(__xludf.DUMMYFUNCTION("""COMPUTED_VALUE"""),33497.0)</f>
        <v>33497</v>
      </c>
      <c r="C8950" s="9">
        <f>IFERROR(__xludf.DUMMYFUNCTION("""COMPUTED_VALUE"""),7.63)</f>
        <v>7.63</v>
      </c>
      <c r="H8950" s="17"/>
      <c r="K8950" s="17"/>
      <c r="N8950" s="17"/>
    </row>
    <row r="8951">
      <c r="B8951" s="11">
        <f>IFERROR(__xludf.DUMMYFUNCTION("""COMPUTED_VALUE"""),33494.0)</f>
        <v>33494</v>
      </c>
      <c r="C8951" s="9">
        <f>IFERROR(__xludf.DUMMYFUNCTION("""COMPUTED_VALUE"""),7.66)</f>
        <v>7.66</v>
      </c>
      <c r="H8951" s="17"/>
      <c r="K8951" s="17"/>
      <c r="N8951" s="17"/>
    </row>
    <row r="8952">
      <c r="B8952" s="11">
        <f>IFERROR(__xludf.DUMMYFUNCTION("""COMPUTED_VALUE"""),33493.0)</f>
        <v>33493</v>
      </c>
      <c r="C8952" s="9">
        <f>IFERROR(__xludf.DUMMYFUNCTION("""COMPUTED_VALUE"""),7.67)</f>
        <v>7.67</v>
      </c>
      <c r="H8952" s="17"/>
      <c r="K8952" s="17"/>
      <c r="N8952" s="17"/>
    </row>
    <row r="8953">
      <c r="B8953" s="11">
        <f>IFERROR(__xludf.DUMMYFUNCTION("""COMPUTED_VALUE"""),33492.0)</f>
        <v>33492</v>
      </c>
      <c r="C8953" s="9">
        <f>IFERROR(__xludf.DUMMYFUNCTION("""COMPUTED_VALUE"""),7.74)</f>
        <v>7.74</v>
      </c>
      <c r="H8953" s="17"/>
      <c r="K8953" s="17"/>
      <c r="N8953" s="17"/>
    </row>
    <row r="8954">
      <c r="B8954" s="11">
        <f>IFERROR(__xludf.DUMMYFUNCTION("""COMPUTED_VALUE"""),33491.0)</f>
        <v>33491</v>
      </c>
      <c r="C8954" s="9">
        <f>IFERROR(__xludf.DUMMYFUNCTION("""COMPUTED_VALUE"""),7.73)</f>
        <v>7.73</v>
      </c>
      <c r="H8954" s="17"/>
      <c r="K8954" s="17"/>
      <c r="N8954" s="17"/>
    </row>
    <row r="8955">
      <c r="B8955" s="11">
        <f>IFERROR(__xludf.DUMMYFUNCTION("""COMPUTED_VALUE"""),33490.0)</f>
        <v>33490</v>
      </c>
      <c r="C8955" s="9">
        <f>IFERROR(__xludf.DUMMYFUNCTION("""COMPUTED_VALUE"""),7.73)</f>
        <v>7.73</v>
      </c>
      <c r="H8955" s="17"/>
      <c r="K8955" s="17"/>
      <c r="N8955" s="17"/>
    </row>
    <row r="8956">
      <c r="B8956" s="11">
        <f>IFERROR(__xludf.DUMMYFUNCTION("""COMPUTED_VALUE"""),33487.0)</f>
        <v>33487</v>
      </c>
      <c r="C8956" s="9">
        <f>IFERROR(__xludf.DUMMYFUNCTION("""COMPUTED_VALUE"""),7.76)</f>
        <v>7.76</v>
      </c>
      <c r="H8956" s="17"/>
      <c r="K8956" s="17"/>
      <c r="N8956" s="17"/>
    </row>
    <row r="8957">
      <c r="B8957" s="11">
        <f>IFERROR(__xludf.DUMMYFUNCTION("""COMPUTED_VALUE"""),33486.0)</f>
        <v>33486</v>
      </c>
      <c r="C8957" s="9">
        <f>IFERROR(__xludf.DUMMYFUNCTION("""COMPUTED_VALUE"""),7.83)</f>
        <v>7.83</v>
      </c>
      <c r="H8957" s="17"/>
      <c r="K8957" s="17"/>
      <c r="N8957" s="17"/>
    </row>
    <row r="8958">
      <c r="B8958" s="11">
        <f>IFERROR(__xludf.DUMMYFUNCTION("""COMPUTED_VALUE"""),33485.0)</f>
        <v>33485</v>
      </c>
      <c r="C8958" s="9">
        <f>IFERROR(__xludf.DUMMYFUNCTION("""COMPUTED_VALUE"""),7.81)</f>
        <v>7.81</v>
      </c>
      <c r="H8958" s="17"/>
      <c r="K8958" s="17"/>
      <c r="N8958" s="17"/>
    </row>
    <row r="8959">
      <c r="B8959" s="11">
        <f>IFERROR(__xludf.DUMMYFUNCTION("""COMPUTED_VALUE"""),33484.0)</f>
        <v>33484</v>
      </c>
      <c r="C8959" s="9">
        <f>IFERROR(__xludf.DUMMYFUNCTION("""COMPUTED_VALUE"""),7.81)</f>
        <v>7.81</v>
      </c>
      <c r="H8959" s="17"/>
      <c r="K8959" s="17"/>
      <c r="N8959" s="17"/>
    </row>
    <row r="8960">
      <c r="B8960" s="11">
        <f>IFERROR(__xludf.DUMMYFUNCTION("""COMPUTED_VALUE"""),33483.0)</f>
        <v>33483</v>
      </c>
      <c r="C8960" s="9"/>
      <c r="H8960" s="17"/>
      <c r="K8960" s="17"/>
      <c r="N8960" s="17"/>
    </row>
    <row r="8961">
      <c r="B8961" s="11">
        <f>IFERROR(__xludf.DUMMYFUNCTION("""COMPUTED_VALUE"""),33480.0)</f>
        <v>33480</v>
      </c>
      <c r="C8961" s="9">
        <f>IFERROR(__xludf.DUMMYFUNCTION("""COMPUTED_VALUE"""),7.82)</f>
        <v>7.82</v>
      </c>
      <c r="H8961" s="17"/>
      <c r="K8961" s="17"/>
      <c r="N8961" s="17"/>
    </row>
    <row r="8962">
      <c r="B8962" s="11">
        <f>IFERROR(__xludf.DUMMYFUNCTION("""COMPUTED_VALUE"""),33479.0)</f>
        <v>33479</v>
      </c>
      <c r="C8962" s="9">
        <f>IFERROR(__xludf.DUMMYFUNCTION("""COMPUTED_VALUE"""),7.74)</f>
        <v>7.74</v>
      </c>
      <c r="H8962" s="17"/>
      <c r="K8962" s="17"/>
      <c r="N8962" s="17"/>
    </row>
    <row r="8963">
      <c r="B8963" s="11">
        <f>IFERROR(__xludf.DUMMYFUNCTION("""COMPUTED_VALUE"""),33478.0)</f>
        <v>33478</v>
      </c>
      <c r="C8963" s="9">
        <f>IFERROR(__xludf.DUMMYFUNCTION("""COMPUTED_VALUE"""),7.82)</f>
        <v>7.82</v>
      </c>
      <c r="H8963" s="17"/>
      <c r="K8963" s="17"/>
      <c r="N8963" s="17"/>
    </row>
    <row r="8964">
      <c r="B8964" s="11">
        <f>IFERROR(__xludf.DUMMYFUNCTION("""COMPUTED_VALUE"""),33477.0)</f>
        <v>33477</v>
      </c>
      <c r="C8964" s="9">
        <f>IFERROR(__xludf.DUMMYFUNCTION("""COMPUTED_VALUE"""),7.89)</f>
        <v>7.89</v>
      </c>
      <c r="H8964" s="17"/>
      <c r="K8964" s="17"/>
      <c r="N8964" s="17"/>
    </row>
    <row r="8965">
      <c r="B8965" s="11">
        <f>IFERROR(__xludf.DUMMYFUNCTION("""COMPUTED_VALUE"""),33476.0)</f>
        <v>33476</v>
      </c>
      <c r="C8965" s="9">
        <f>IFERROR(__xludf.DUMMYFUNCTION("""COMPUTED_VALUE"""),7.91)</f>
        <v>7.91</v>
      </c>
      <c r="H8965" s="17"/>
      <c r="K8965" s="17"/>
      <c r="N8965" s="17"/>
    </row>
    <row r="8966">
      <c r="B8966" s="11">
        <f>IFERROR(__xludf.DUMMYFUNCTION("""COMPUTED_VALUE"""),33473.0)</f>
        <v>33473</v>
      </c>
      <c r="C8966" s="9">
        <f>IFERROR(__xludf.DUMMYFUNCTION("""COMPUTED_VALUE"""),7.88)</f>
        <v>7.88</v>
      </c>
      <c r="H8966" s="17"/>
      <c r="K8966" s="17"/>
      <c r="N8966" s="17"/>
    </row>
    <row r="8967">
      <c r="B8967" s="11">
        <f>IFERROR(__xludf.DUMMYFUNCTION("""COMPUTED_VALUE"""),33472.0)</f>
        <v>33472</v>
      </c>
      <c r="C8967" s="9">
        <f>IFERROR(__xludf.DUMMYFUNCTION("""COMPUTED_VALUE"""),7.78)</f>
        <v>7.78</v>
      </c>
      <c r="H8967" s="17"/>
      <c r="K8967" s="17"/>
      <c r="N8967" s="17"/>
    </row>
    <row r="8968">
      <c r="B8968" s="11">
        <f>IFERROR(__xludf.DUMMYFUNCTION("""COMPUTED_VALUE"""),33471.0)</f>
        <v>33471</v>
      </c>
      <c r="C8968" s="9">
        <f>IFERROR(__xludf.DUMMYFUNCTION("""COMPUTED_VALUE"""),7.8)</f>
        <v>7.8</v>
      </c>
      <c r="H8968" s="17"/>
      <c r="K8968" s="17"/>
      <c r="N8968" s="17"/>
    </row>
    <row r="8969">
      <c r="B8969" s="11">
        <f>IFERROR(__xludf.DUMMYFUNCTION("""COMPUTED_VALUE"""),33470.0)</f>
        <v>33470</v>
      </c>
      <c r="C8969" s="9">
        <f>IFERROR(__xludf.DUMMYFUNCTION("""COMPUTED_VALUE"""),7.81)</f>
        <v>7.81</v>
      </c>
      <c r="H8969" s="17"/>
      <c r="K8969" s="17"/>
      <c r="N8969" s="17"/>
    </row>
    <row r="8970">
      <c r="B8970" s="11">
        <f>IFERROR(__xludf.DUMMYFUNCTION("""COMPUTED_VALUE"""),33469.0)</f>
        <v>33469</v>
      </c>
      <c r="C8970" s="9">
        <f>IFERROR(__xludf.DUMMYFUNCTION("""COMPUTED_VALUE"""),7.83)</f>
        <v>7.83</v>
      </c>
      <c r="H8970" s="17"/>
      <c r="K8970" s="17"/>
      <c r="N8970" s="17"/>
    </row>
    <row r="8971">
      <c r="B8971" s="11">
        <f>IFERROR(__xludf.DUMMYFUNCTION("""COMPUTED_VALUE"""),33466.0)</f>
        <v>33466</v>
      </c>
      <c r="C8971" s="9">
        <f>IFERROR(__xludf.DUMMYFUNCTION("""COMPUTED_VALUE"""),7.84)</f>
        <v>7.84</v>
      </c>
      <c r="H8971" s="17"/>
      <c r="K8971" s="17"/>
      <c r="N8971" s="17"/>
    </row>
    <row r="8972">
      <c r="B8972" s="11">
        <f>IFERROR(__xludf.DUMMYFUNCTION("""COMPUTED_VALUE"""),33465.0)</f>
        <v>33465</v>
      </c>
      <c r="C8972" s="9">
        <f>IFERROR(__xludf.DUMMYFUNCTION("""COMPUTED_VALUE"""),7.84)</f>
        <v>7.84</v>
      </c>
      <c r="H8972" s="17"/>
      <c r="K8972" s="17"/>
      <c r="N8972" s="17"/>
    </row>
    <row r="8973">
      <c r="B8973" s="11">
        <f>IFERROR(__xludf.DUMMYFUNCTION("""COMPUTED_VALUE"""),33464.0)</f>
        <v>33464</v>
      </c>
      <c r="C8973" s="9">
        <f>IFERROR(__xludf.DUMMYFUNCTION("""COMPUTED_VALUE"""),7.82)</f>
        <v>7.82</v>
      </c>
      <c r="H8973" s="17"/>
      <c r="K8973" s="17"/>
      <c r="N8973" s="17"/>
    </row>
    <row r="8974">
      <c r="B8974" s="11">
        <f>IFERROR(__xludf.DUMMYFUNCTION("""COMPUTED_VALUE"""),33463.0)</f>
        <v>33463</v>
      </c>
      <c r="C8974" s="9">
        <f>IFERROR(__xludf.DUMMYFUNCTION("""COMPUTED_VALUE"""),7.91)</f>
        <v>7.91</v>
      </c>
      <c r="H8974" s="17"/>
      <c r="K8974" s="17"/>
      <c r="N8974" s="17"/>
    </row>
    <row r="8975">
      <c r="B8975" s="11">
        <f>IFERROR(__xludf.DUMMYFUNCTION("""COMPUTED_VALUE"""),33462.0)</f>
        <v>33462</v>
      </c>
      <c r="C8975" s="9">
        <f>IFERROR(__xludf.DUMMYFUNCTION("""COMPUTED_VALUE"""),7.95)</f>
        <v>7.95</v>
      </c>
      <c r="H8975" s="17"/>
      <c r="K8975" s="17"/>
      <c r="N8975" s="17"/>
    </row>
    <row r="8976">
      <c r="B8976" s="11">
        <f>IFERROR(__xludf.DUMMYFUNCTION("""COMPUTED_VALUE"""),33459.0)</f>
        <v>33459</v>
      </c>
      <c r="C8976" s="9">
        <f>IFERROR(__xludf.DUMMYFUNCTION("""COMPUTED_VALUE"""),7.98)</f>
        <v>7.98</v>
      </c>
      <c r="H8976" s="17"/>
      <c r="K8976" s="17"/>
      <c r="N8976" s="17"/>
    </row>
    <row r="8977">
      <c r="B8977" s="11">
        <f>IFERROR(__xludf.DUMMYFUNCTION("""COMPUTED_VALUE"""),33458.0)</f>
        <v>33458</v>
      </c>
      <c r="C8977" s="9">
        <f>IFERROR(__xludf.DUMMYFUNCTION("""COMPUTED_VALUE"""),7.98)</f>
        <v>7.98</v>
      </c>
      <c r="H8977" s="17"/>
      <c r="K8977" s="17"/>
      <c r="N8977" s="17"/>
    </row>
    <row r="8978">
      <c r="B8978" s="11">
        <f>IFERROR(__xludf.DUMMYFUNCTION("""COMPUTED_VALUE"""),33457.0)</f>
        <v>33457</v>
      </c>
      <c r="C8978" s="9">
        <f>IFERROR(__xludf.DUMMYFUNCTION("""COMPUTED_VALUE"""),7.93)</f>
        <v>7.93</v>
      </c>
      <c r="H8978" s="17"/>
      <c r="K8978" s="17"/>
      <c r="N8978" s="17"/>
    </row>
    <row r="8979">
      <c r="B8979" s="11">
        <f>IFERROR(__xludf.DUMMYFUNCTION("""COMPUTED_VALUE"""),33456.0)</f>
        <v>33456</v>
      </c>
      <c r="C8979" s="9">
        <f>IFERROR(__xludf.DUMMYFUNCTION("""COMPUTED_VALUE"""),7.97)</f>
        <v>7.97</v>
      </c>
      <c r="H8979" s="17"/>
      <c r="K8979" s="17"/>
      <c r="N8979" s="17"/>
    </row>
    <row r="8980">
      <c r="B8980" s="11">
        <f>IFERROR(__xludf.DUMMYFUNCTION("""COMPUTED_VALUE"""),33455.0)</f>
        <v>33455</v>
      </c>
      <c r="C8980" s="9">
        <f>IFERROR(__xludf.DUMMYFUNCTION("""COMPUTED_VALUE"""),8.04)</f>
        <v>8.04</v>
      </c>
      <c r="H8980" s="17"/>
      <c r="K8980" s="17"/>
      <c r="N8980" s="17"/>
    </row>
    <row r="8981">
      <c r="B8981" s="11">
        <f>IFERROR(__xludf.DUMMYFUNCTION("""COMPUTED_VALUE"""),33452.0)</f>
        <v>33452</v>
      </c>
      <c r="C8981" s="9">
        <f>IFERROR(__xludf.DUMMYFUNCTION("""COMPUTED_VALUE"""),8.06)</f>
        <v>8.06</v>
      </c>
      <c r="H8981" s="17"/>
      <c r="K8981" s="17"/>
      <c r="N8981" s="17"/>
    </row>
    <row r="8982">
      <c r="B8982" s="11">
        <f>IFERROR(__xludf.DUMMYFUNCTION("""COMPUTED_VALUE"""),33451.0)</f>
        <v>33451</v>
      </c>
      <c r="C8982" s="9">
        <f>IFERROR(__xludf.DUMMYFUNCTION("""COMPUTED_VALUE"""),8.2)</f>
        <v>8.2</v>
      </c>
      <c r="H8982" s="17"/>
      <c r="K8982" s="17"/>
      <c r="N8982" s="17"/>
    </row>
    <row r="8983">
      <c r="B8983" s="11">
        <f>IFERROR(__xludf.DUMMYFUNCTION("""COMPUTED_VALUE"""),33450.0)</f>
        <v>33450</v>
      </c>
      <c r="C8983" s="9">
        <f>IFERROR(__xludf.DUMMYFUNCTION("""COMPUTED_VALUE"""),8.2)</f>
        <v>8.2</v>
      </c>
      <c r="H8983" s="17"/>
      <c r="K8983" s="17"/>
      <c r="N8983" s="17"/>
    </row>
    <row r="8984">
      <c r="B8984" s="11">
        <f>IFERROR(__xludf.DUMMYFUNCTION("""COMPUTED_VALUE"""),33449.0)</f>
        <v>33449</v>
      </c>
      <c r="C8984" s="9">
        <f>IFERROR(__xludf.DUMMYFUNCTION("""COMPUTED_VALUE"""),8.21)</f>
        <v>8.21</v>
      </c>
      <c r="H8984" s="17"/>
      <c r="K8984" s="17"/>
      <c r="N8984" s="17"/>
    </row>
    <row r="8985">
      <c r="B8985" s="11">
        <f>IFERROR(__xludf.DUMMYFUNCTION("""COMPUTED_VALUE"""),33448.0)</f>
        <v>33448</v>
      </c>
      <c r="C8985" s="9">
        <f>IFERROR(__xludf.DUMMYFUNCTION("""COMPUTED_VALUE"""),8.2)</f>
        <v>8.2</v>
      </c>
      <c r="H8985" s="17"/>
      <c r="K8985" s="17"/>
      <c r="N8985" s="17"/>
    </row>
    <row r="8986">
      <c r="B8986" s="11">
        <f>IFERROR(__xludf.DUMMYFUNCTION("""COMPUTED_VALUE"""),33445.0)</f>
        <v>33445</v>
      </c>
      <c r="C8986" s="9">
        <f>IFERROR(__xludf.DUMMYFUNCTION("""COMPUTED_VALUE"""),8.2)</f>
        <v>8.2</v>
      </c>
      <c r="H8986" s="17"/>
      <c r="K8986" s="17"/>
      <c r="N8986" s="17"/>
    </row>
    <row r="8987">
      <c r="B8987" s="11">
        <f>IFERROR(__xludf.DUMMYFUNCTION("""COMPUTED_VALUE"""),33444.0)</f>
        <v>33444</v>
      </c>
      <c r="C8987" s="9">
        <f>IFERROR(__xludf.DUMMYFUNCTION("""COMPUTED_VALUE"""),8.2)</f>
        <v>8.2</v>
      </c>
      <c r="H8987" s="17"/>
      <c r="K8987" s="17"/>
      <c r="N8987" s="17"/>
    </row>
    <row r="8988">
      <c r="B8988" s="11">
        <f>IFERROR(__xludf.DUMMYFUNCTION("""COMPUTED_VALUE"""),33443.0)</f>
        <v>33443</v>
      </c>
      <c r="C8988" s="9">
        <f>IFERROR(__xludf.DUMMYFUNCTION("""COMPUTED_VALUE"""),8.24)</f>
        <v>8.24</v>
      </c>
      <c r="H8988" s="17"/>
      <c r="K8988" s="17"/>
      <c r="N8988" s="17"/>
    </row>
    <row r="8989">
      <c r="B8989" s="11">
        <f>IFERROR(__xludf.DUMMYFUNCTION("""COMPUTED_VALUE"""),33442.0)</f>
        <v>33442</v>
      </c>
      <c r="C8989" s="9">
        <f>IFERROR(__xludf.DUMMYFUNCTION("""COMPUTED_VALUE"""),8.31)</f>
        <v>8.31</v>
      </c>
      <c r="H8989" s="17"/>
      <c r="K8989" s="17"/>
      <c r="N8989" s="17"/>
    </row>
    <row r="8990">
      <c r="B8990" s="11">
        <f>IFERROR(__xludf.DUMMYFUNCTION("""COMPUTED_VALUE"""),33441.0)</f>
        <v>33441</v>
      </c>
      <c r="C8990" s="9">
        <f>IFERROR(__xludf.DUMMYFUNCTION("""COMPUTED_VALUE"""),8.28)</f>
        <v>8.28</v>
      </c>
      <c r="H8990" s="17"/>
      <c r="K8990" s="17"/>
      <c r="N8990" s="17"/>
    </row>
    <row r="8991">
      <c r="B8991" s="11">
        <f>IFERROR(__xludf.DUMMYFUNCTION("""COMPUTED_VALUE"""),33438.0)</f>
        <v>33438</v>
      </c>
      <c r="C8991" s="9">
        <f>IFERROR(__xludf.DUMMYFUNCTION("""COMPUTED_VALUE"""),8.28)</f>
        <v>8.28</v>
      </c>
      <c r="H8991" s="17"/>
      <c r="K8991" s="17"/>
      <c r="N8991" s="17"/>
    </row>
    <row r="8992">
      <c r="B8992" s="11">
        <f>IFERROR(__xludf.DUMMYFUNCTION("""COMPUTED_VALUE"""),33437.0)</f>
        <v>33437</v>
      </c>
      <c r="C8992" s="9">
        <f>IFERROR(__xludf.DUMMYFUNCTION("""COMPUTED_VALUE"""),8.31)</f>
        <v>8.31</v>
      </c>
      <c r="H8992" s="17"/>
      <c r="K8992" s="17"/>
      <c r="N8992" s="17"/>
    </row>
    <row r="8993">
      <c r="B8993" s="11">
        <f>IFERROR(__xludf.DUMMYFUNCTION("""COMPUTED_VALUE"""),33436.0)</f>
        <v>33436</v>
      </c>
      <c r="C8993" s="9">
        <f>IFERROR(__xludf.DUMMYFUNCTION("""COMPUTED_VALUE"""),8.3)</f>
        <v>8.3</v>
      </c>
      <c r="H8993" s="17"/>
      <c r="K8993" s="17"/>
      <c r="N8993" s="17"/>
    </row>
    <row r="8994">
      <c r="B8994" s="11">
        <f>IFERROR(__xludf.DUMMYFUNCTION("""COMPUTED_VALUE"""),33435.0)</f>
        <v>33435</v>
      </c>
      <c r="C8994" s="9">
        <f>IFERROR(__xludf.DUMMYFUNCTION("""COMPUTED_VALUE"""),8.27)</f>
        <v>8.27</v>
      </c>
      <c r="H8994" s="17"/>
      <c r="K8994" s="17"/>
      <c r="N8994" s="17"/>
    </row>
    <row r="8995">
      <c r="B8995" s="11">
        <f>IFERROR(__xludf.DUMMYFUNCTION("""COMPUTED_VALUE"""),33434.0)</f>
        <v>33434</v>
      </c>
      <c r="C8995" s="9">
        <f>IFERROR(__xludf.DUMMYFUNCTION("""COMPUTED_VALUE"""),8.26)</f>
        <v>8.26</v>
      </c>
      <c r="H8995" s="17"/>
      <c r="K8995" s="17"/>
      <c r="N8995" s="17"/>
    </row>
    <row r="8996">
      <c r="B8996" s="11">
        <f>IFERROR(__xludf.DUMMYFUNCTION("""COMPUTED_VALUE"""),33431.0)</f>
        <v>33431</v>
      </c>
      <c r="C8996" s="9">
        <f>IFERROR(__xludf.DUMMYFUNCTION("""COMPUTED_VALUE"""),8.26)</f>
        <v>8.26</v>
      </c>
      <c r="H8996" s="17"/>
      <c r="K8996" s="17"/>
      <c r="N8996" s="17"/>
    </row>
    <row r="8997">
      <c r="B8997" s="11">
        <f>IFERROR(__xludf.DUMMYFUNCTION("""COMPUTED_VALUE"""),33430.0)</f>
        <v>33430</v>
      </c>
      <c r="C8997" s="9">
        <f>IFERROR(__xludf.DUMMYFUNCTION("""COMPUTED_VALUE"""),8.3)</f>
        <v>8.3</v>
      </c>
      <c r="H8997" s="17"/>
      <c r="K8997" s="17"/>
      <c r="N8997" s="17"/>
    </row>
    <row r="8998">
      <c r="B8998" s="11">
        <f>IFERROR(__xludf.DUMMYFUNCTION("""COMPUTED_VALUE"""),33429.0)</f>
        <v>33429</v>
      </c>
      <c r="C8998" s="9">
        <f>IFERROR(__xludf.DUMMYFUNCTION("""COMPUTED_VALUE"""),8.35)</f>
        <v>8.35</v>
      </c>
      <c r="H8998" s="17"/>
      <c r="K8998" s="17"/>
      <c r="N8998" s="17"/>
    </row>
    <row r="8999">
      <c r="B8999" s="11">
        <f>IFERROR(__xludf.DUMMYFUNCTION("""COMPUTED_VALUE"""),33428.0)</f>
        <v>33428</v>
      </c>
      <c r="C8999" s="9">
        <f>IFERROR(__xludf.DUMMYFUNCTION("""COMPUTED_VALUE"""),8.36)</f>
        <v>8.36</v>
      </c>
      <c r="H8999" s="17"/>
      <c r="K8999" s="17"/>
      <c r="N8999" s="17"/>
    </row>
    <row r="9000">
      <c r="B9000" s="11">
        <f>IFERROR(__xludf.DUMMYFUNCTION("""COMPUTED_VALUE"""),33427.0)</f>
        <v>33427</v>
      </c>
      <c r="C9000" s="9">
        <f>IFERROR(__xludf.DUMMYFUNCTION("""COMPUTED_VALUE"""),8.34)</f>
        <v>8.34</v>
      </c>
      <c r="H9000" s="17"/>
      <c r="K9000" s="17"/>
      <c r="N9000" s="17"/>
    </row>
    <row r="9001">
      <c r="B9001" s="11">
        <f>IFERROR(__xludf.DUMMYFUNCTION("""COMPUTED_VALUE"""),33424.0)</f>
        <v>33424</v>
      </c>
      <c r="C9001" s="9">
        <f>IFERROR(__xludf.DUMMYFUNCTION("""COMPUTED_VALUE"""),8.34)</f>
        <v>8.34</v>
      </c>
      <c r="H9001" s="17"/>
      <c r="K9001" s="17"/>
      <c r="N9001" s="17"/>
    </row>
    <row r="9002">
      <c r="B9002" s="11">
        <f>IFERROR(__xludf.DUMMYFUNCTION("""COMPUTED_VALUE"""),33423.0)</f>
        <v>33423</v>
      </c>
      <c r="C9002" s="9"/>
      <c r="H9002" s="17"/>
      <c r="K9002" s="17"/>
      <c r="N9002" s="17"/>
    </row>
    <row r="9003">
      <c r="B9003" s="11">
        <f>IFERROR(__xludf.DUMMYFUNCTION("""COMPUTED_VALUE"""),33422.0)</f>
        <v>33422</v>
      </c>
      <c r="C9003" s="9">
        <f>IFERROR(__xludf.DUMMYFUNCTION("""COMPUTED_VALUE"""),8.26)</f>
        <v>8.26</v>
      </c>
      <c r="H9003" s="17"/>
      <c r="K9003" s="17"/>
      <c r="N9003" s="17"/>
    </row>
    <row r="9004">
      <c r="B9004" s="11">
        <f>IFERROR(__xludf.DUMMYFUNCTION("""COMPUTED_VALUE"""),33421.0)</f>
        <v>33421</v>
      </c>
      <c r="C9004" s="9">
        <f>IFERROR(__xludf.DUMMYFUNCTION("""COMPUTED_VALUE"""),8.27)</f>
        <v>8.27</v>
      </c>
      <c r="H9004" s="17"/>
      <c r="K9004" s="17"/>
      <c r="N9004" s="17"/>
    </row>
    <row r="9005">
      <c r="B9005" s="11">
        <f>IFERROR(__xludf.DUMMYFUNCTION("""COMPUTED_VALUE"""),33420.0)</f>
        <v>33420</v>
      </c>
      <c r="C9005" s="9">
        <f>IFERROR(__xludf.DUMMYFUNCTION("""COMPUTED_VALUE"""),8.26)</f>
        <v>8.26</v>
      </c>
      <c r="H9005" s="17"/>
      <c r="K9005" s="17"/>
      <c r="N9005" s="17"/>
    </row>
    <row r="9006">
      <c r="B9006" s="11">
        <f>IFERROR(__xludf.DUMMYFUNCTION("""COMPUTED_VALUE"""),33417.0)</f>
        <v>33417</v>
      </c>
      <c r="C9006" s="9">
        <f>IFERROR(__xludf.DUMMYFUNCTION("""COMPUTED_VALUE"""),8.24)</f>
        <v>8.24</v>
      </c>
      <c r="H9006" s="17"/>
      <c r="K9006" s="17"/>
      <c r="N9006" s="17"/>
    </row>
    <row r="9007">
      <c r="B9007" s="11">
        <f>IFERROR(__xludf.DUMMYFUNCTION("""COMPUTED_VALUE"""),33416.0)</f>
        <v>33416</v>
      </c>
      <c r="C9007" s="9">
        <f>IFERROR(__xludf.DUMMYFUNCTION("""COMPUTED_VALUE"""),8.32)</f>
        <v>8.32</v>
      </c>
      <c r="H9007" s="17"/>
      <c r="K9007" s="17"/>
      <c r="N9007" s="17"/>
    </row>
    <row r="9008">
      <c r="B9008" s="11">
        <f>IFERROR(__xludf.DUMMYFUNCTION("""COMPUTED_VALUE"""),33415.0)</f>
        <v>33415</v>
      </c>
      <c r="C9008" s="9">
        <f>IFERROR(__xludf.DUMMYFUNCTION("""COMPUTED_VALUE"""),8.33)</f>
        <v>8.33</v>
      </c>
      <c r="H9008" s="17"/>
      <c r="K9008" s="17"/>
      <c r="N9008" s="17"/>
    </row>
    <row r="9009">
      <c r="B9009" s="11">
        <f>IFERROR(__xludf.DUMMYFUNCTION("""COMPUTED_VALUE"""),33414.0)</f>
        <v>33414</v>
      </c>
      <c r="C9009" s="9">
        <f>IFERROR(__xludf.DUMMYFUNCTION("""COMPUTED_VALUE"""),8.33)</f>
        <v>8.33</v>
      </c>
      <c r="H9009" s="17"/>
      <c r="K9009" s="17"/>
      <c r="N9009" s="17"/>
    </row>
    <row r="9010">
      <c r="B9010" s="11">
        <f>IFERROR(__xludf.DUMMYFUNCTION("""COMPUTED_VALUE"""),33413.0)</f>
        <v>33413</v>
      </c>
      <c r="C9010" s="9">
        <f>IFERROR(__xludf.DUMMYFUNCTION("""COMPUTED_VALUE"""),8.33)</f>
        <v>8.33</v>
      </c>
      <c r="H9010" s="17"/>
      <c r="K9010" s="17"/>
      <c r="N9010" s="17"/>
    </row>
    <row r="9011">
      <c r="B9011" s="11">
        <f>IFERROR(__xludf.DUMMYFUNCTION("""COMPUTED_VALUE"""),33410.0)</f>
        <v>33410</v>
      </c>
      <c r="C9011" s="9">
        <f>IFERROR(__xludf.DUMMYFUNCTION("""COMPUTED_VALUE"""),8.32)</f>
        <v>8.32</v>
      </c>
      <c r="H9011" s="17"/>
      <c r="K9011" s="17"/>
      <c r="N9011" s="17"/>
    </row>
    <row r="9012">
      <c r="B9012" s="11">
        <f>IFERROR(__xludf.DUMMYFUNCTION("""COMPUTED_VALUE"""),33409.0)</f>
        <v>33409</v>
      </c>
      <c r="C9012" s="9">
        <f>IFERROR(__xludf.DUMMYFUNCTION("""COMPUTED_VALUE"""),8.3)</f>
        <v>8.3</v>
      </c>
      <c r="H9012" s="17"/>
      <c r="K9012" s="17"/>
      <c r="N9012" s="17"/>
    </row>
    <row r="9013">
      <c r="B9013" s="11">
        <f>IFERROR(__xludf.DUMMYFUNCTION("""COMPUTED_VALUE"""),33408.0)</f>
        <v>33408</v>
      </c>
      <c r="C9013" s="9">
        <f>IFERROR(__xludf.DUMMYFUNCTION("""COMPUTED_VALUE"""),8.33)</f>
        <v>8.33</v>
      </c>
      <c r="H9013" s="17"/>
      <c r="K9013" s="17"/>
      <c r="N9013" s="17"/>
    </row>
    <row r="9014">
      <c r="B9014" s="11">
        <f>IFERROR(__xludf.DUMMYFUNCTION("""COMPUTED_VALUE"""),33407.0)</f>
        <v>33407</v>
      </c>
      <c r="C9014" s="9">
        <f>IFERROR(__xludf.DUMMYFUNCTION("""COMPUTED_VALUE"""),8.32)</f>
        <v>8.32</v>
      </c>
      <c r="H9014" s="17"/>
      <c r="K9014" s="17"/>
      <c r="N9014" s="17"/>
    </row>
    <row r="9015">
      <c r="B9015" s="11">
        <f>IFERROR(__xludf.DUMMYFUNCTION("""COMPUTED_VALUE"""),33406.0)</f>
        <v>33406</v>
      </c>
      <c r="C9015" s="9">
        <f>IFERROR(__xludf.DUMMYFUNCTION("""COMPUTED_VALUE"""),8.3)</f>
        <v>8.3</v>
      </c>
      <c r="H9015" s="17"/>
      <c r="K9015" s="17"/>
      <c r="N9015" s="17"/>
    </row>
    <row r="9016">
      <c r="B9016" s="11">
        <f>IFERROR(__xludf.DUMMYFUNCTION("""COMPUTED_VALUE"""),33403.0)</f>
        <v>33403</v>
      </c>
      <c r="C9016" s="9">
        <f>IFERROR(__xludf.DUMMYFUNCTION("""COMPUTED_VALUE"""),8.29)</f>
        <v>8.29</v>
      </c>
      <c r="H9016" s="17"/>
      <c r="K9016" s="17"/>
      <c r="N9016" s="17"/>
    </row>
    <row r="9017">
      <c r="B9017" s="11">
        <f>IFERROR(__xludf.DUMMYFUNCTION("""COMPUTED_VALUE"""),33402.0)</f>
        <v>33402</v>
      </c>
      <c r="C9017" s="9">
        <f>IFERROR(__xludf.DUMMYFUNCTION("""COMPUTED_VALUE"""),8.34)</f>
        <v>8.34</v>
      </c>
      <c r="H9017" s="17"/>
      <c r="K9017" s="17"/>
      <c r="N9017" s="17"/>
    </row>
    <row r="9018">
      <c r="B9018" s="11">
        <f>IFERROR(__xludf.DUMMYFUNCTION("""COMPUTED_VALUE"""),33401.0)</f>
        <v>33401</v>
      </c>
      <c r="C9018" s="9">
        <f>IFERROR(__xludf.DUMMYFUNCTION("""COMPUTED_VALUE"""),8.36)</f>
        <v>8.36</v>
      </c>
      <c r="H9018" s="17"/>
      <c r="K9018" s="17"/>
      <c r="N9018" s="17"/>
    </row>
    <row r="9019">
      <c r="B9019" s="11">
        <f>IFERROR(__xludf.DUMMYFUNCTION("""COMPUTED_VALUE"""),33400.0)</f>
        <v>33400</v>
      </c>
      <c r="C9019" s="9">
        <f>IFERROR(__xludf.DUMMYFUNCTION("""COMPUTED_VALUE"""),8.29)</f>
        <v>8.29</v>
      </c>
      <c r="H9019" s="17"/>
      <c r="K9019" s="17"/>
      <c r="N9019" s="17"/>
    </row>
    <row r="9020">
      <c r="B9020" s="11">
        <f>IFERROR(__xludf.DUMMYFUNCTION("""COMPUTED_VALUE"""),33399.0)</f>
        <v>33399</v>
      </c>
      <c r="C9020" s="9">
        <f>IFERROR(__xludf.DUMMYFUNCTION("""COMPUTED_VALUE"""),8.29)</f>
        <v>8.29</v>
      </c>
      <c r="H9020" s="17"/>
      <c r="K9020" s="17"/>
      <c r="N9020" s="17"/>
    </row>
    <row r="9021">
      <c r="B9021" s="11">
        <f>IFERROR(__xludf.DUMMYFUNCTION("""COMPUTED_VALUE"""),33396.0)</f>
        <v>33396</v>
      </c>
      <c r="C9021" s="9">
        <f>IFERROR(__xludf.DUMMYFUNCTION("""COMPUTED_VALUE"""),8.29)</f>
        <v>8.29</v>
      </c>
      <c r="H9021" s="17"/>
      <c r="K9021" s="17"/>
      <c r="N9021" s="17"/>
    </row>
    <row r="9022">
      <c r="B9022" s="11">
        <f>IFERROR(__xludf.DUMMYFUNCTION("""COMPUTED_VALUE"""),33395.0)</f>
        <v>33395</v>
      </c>
      <c r="C9022" s="9">
        <f>IFERROR(__xludf.DUMMYFUNCTION("""COMPUTED_VALUE"""),8.23)</f>
        <v>8.23</v>
      </c>
      <c r="H9022" s="17"/>
      <c r="K9022" s="17"/>
      <c r="N9022" s="17"/>
    </row>
    <row r="9023">
      <c r="B9023" s="11">
        <f>IFERROR(__xludf.DUMMYFUNCTION("""COMPUTED_VALUE"""),33394.0)</f>
        <v>33394</v>
      </c>
      <c r="C9023" s="9">
        <f>IFERROR(__xludf.DUMMYFUNCTION("""COMPUTED_VALUE"""),8.19)</f>
        <v>8.19</v>
      </c>
      <c r="H9023" s="17"/>
      <c r="K9023" s="17"/>
      <c r="N9023" s="17"/>
    </row>
    <row r="9024">
      <c r="B9024" s="11">
        <f>IFERROR(__xludf.DUMMYFUNCTION("""COMPUTED_VALUE"""),33393.0)</f>
        <v>33393</v>
      </c>
      <c r="C9024" s="9">
        <f>IFERROR(__xludf.DUMMYFUNCTION("""COMPUTED_VALUE"""),8.14)</f>
        <v>8.14</v>
      </c>
      <c r="H9024" s="17"/>
      <c r="K9024" s="17"/>
      <c r="N9024" s="17"/>
    </row>
    <row r="9025">
      <c r="B9025" s="11">
        <f>IFERROR(__xludf.DUMMYFUNCTION("""COMPUTED_VALUE"""),33392.0)</f>
        <v>33392</v>
      </c>
      <c r="C9025" s="9">
        <f>IFERROR(__xludf.DUMMYFUNCTION("""COMPUTED_VALUE"""),8.14)</f>
        <v>8.14</v>
      </c>
      <c r="H9025" s="17"/>
      <c r="K9025" s="17"/>
      <c r="N9025" s="17"/>
    </row>
    <row r="9026">
      <c r="B9026" s="11">
        <f>IFERROR(__xludf.DUMMYFUNCTION("""COMPUTED_VALUE"""),33389.0)</f>
        <v>33389</v>
      </c>
      <c r="C9026" s="9">
        <f>IFERROR(__xludf.DUMMYFUNCTION("""COMPUTED_VALUE"""),8.06)</f>
        <v>8.06</v>
      </c>
      <c r="H9026" s="17"/>
      <c r="K9026" s="17"/>
      <c r="N9026" s="17"/>
    </row>
    <row r="9027">
      <c r="B9027" s="11">
        <f>IFERROR(__xludf.DUMMYFUNCTION("""COMPUTED_VALUE"""),33388.0)</f>
        <v>33388</v>
      </c>
      <c r="C9027" s="9">
        <f>IFERROR(__xludf.DUMMYFUNCTION("""COMPUTED_VALUE"""),8.02)</f>
        <v>8.02</v>
      </c>
      <c r="H9027" s="17"/>
      <c r="K9027" s="17"/>
      <c r="N9027" s="17"/>
    </row>
    <row r="9028">
      <c r="B9028" s="11">
        <f>IFERROR(__xludf.DUMMYFUNCTION("""COMPUTED_VALUE"""),33387.0)</f>
        <v>33387</v>
      </c>
      <c r="C9028" s="9">
        <f>IFERROR(__xludf.DUMMYFUNCTION("""COMPUTED_VALUE"""),8.07)</f>
        <v>8.07</v>
      </c>
      <c r="H9028" s="17"/>
      <c r="K9028" s="17"/>
      <c r="N9028" s="17"/>
    </row>
    <row r="9029">
      <c r="B9029" s="11">
        <f>IFERROR(__xludf.DUMMYFUNCTION("""COMPUTED_VALUE"""),33386.0)</f>
        <v>33386</v>
      </c>
      <c r="C9029" s="9">
        <f>IFERROR(__xludf.DUMMYFUNCTION("""COMPUTED_VALUE"""),8.07)</f>
        <v>8.07</v>
      </c>
      <c r="H9029" s="17"/>
      <c r="K9029" s="17"/>
      <c r="N9029" s="17"/>
    </row>
    <row r="9030">
      <c r="B9030" s="11">
        <f>IFERROR(__xludf.DUMMYFUNCTION("""COMPUTED_VALUE"""),33385.0)</f>
        <v>33385</v>
      </c>
      <c r="C9030" s="9"/>
      <c r="H9030" s="17"/>
      <c r="K9030" s="17"/>
      <c r="N9030" s="17"/>
    </row>
    <row r="9031">
      <c r="B9031" s="11">
        <f>IFERROR(__xludf.DUMMYFUNCTION("""COMPUTED_VALUE"""),33382.0)</f>
        <v>33382</v>
      </c>
      <c r="C9031" s="9">
        <f>IFERROR(__xludf.DUMMYFUNCTION("""COMPUTED_VALUE"""),8.1)</f>
        <v>8.1</v>
      </c>
      <c r="H9031" s="17"/>
      <c r="K9031" s="17"/>
      <c r="N9031" s="17"/>
    </row>
    <row r="9032">
      <c r="B9032" s="11">
        <f>IFERROR(__xludf.DUMMYFUNCTION("""COMPUTED_VALUE"""),33381.0)</f>
        <v>33381</v>
      </c>
      <c r="C9032" s="9">
        <f>IFERROR(__xludf.DUMMYFUNCTION("""COMPUTED_VALUE"""),8.1)</f>
        <v>8.1</v>
      </c>
      <c r="H9032" s="17"/>
      <c r="K9032" s="17"/>
      <c r="N9032" s="17"/>
    </row>
    <row r="9033">
      <c r="B9033" s="11">
        <f>IFERROR(__xludf.DUMMYFUNCTION("""COMPUTED_VALUE"""),33380.0)</f>
        <v>33380</v>
      </c>
      <c r="C9033" s="9">
        <f>IFERROR(__xludf.DUMMYFUNCTION("""COMPUTED_VALUE"""),8.06)</f>
        <v>8.06</v>
      </c>
      <c r="H9033" s="17"/>
      <c r="K9033" s="17"/>
      <c r="N9033" s="17"/>
    </row>
    <row r="9034">
      <c r="B9034" s="11">
        <f>IFERROR(__xludf.DUMMYFUNCTION("""COMPUTED_VALUE"""),33379.0)</f>
        <v>33379</v>
      </c>
      <c r="C9034" s="9">
        <f>IFERROR(__xludf.DUMMYFUNCTION("""COMPUTED_VALUE"""),8.06)</f>
        <v>8.06</v>
      </c>
      <c r="H9034" s="17"/>
      <c r="K9034" s="17"/>
      <c r="N9034" s="17"/>
    </row>
    <row r="9035">
      <c r="B9035" s="11">
        <f>IFERROR(__xludf.DUMMYFUNCTION("""COMPUTED_VALUE"""),33378.0)</f>
        <v>33378</v>
      </c>
      <c r="C9035" s="9">
        <f>IFERROR(__xludf.DUMMYFUNCTION("""COMPUTED_VALUE"""),8.1)</f>
        <v>8.1</v>
      </c>
      <c r="H9035" s="17"/>
      <c r="K9035" s="17"/>
      <c r="N9035" s="17"/>
    </row>
    <row r="9036">
      <c r="B9036" s="11">
        <f>IFERROR(__xludf.DUMMYFUNCTION("""COMPUTED_VALUE"""),33375.0)</f>
        <v>33375</v>
      </c>
      <c r="C9036" s="9">
        <f>IFERROR(__xludf.DUMMYFUNCTION("""COMPUTED_VALUE"""),8.08)</f>
        <v>8.08</v>
      </c>
      <c r="H9036" s="17"/>
      <c r="K9036" s="17"/>
      <c r="N9036" s="17"/>
    </row>
    <row r="9037">
      <c r="B9037" s="11">
        <f>IFERROR(__xludf.DUMMYFUNCTION("""COMPUTED_VALUE"""),33374.0)</f>
        <v>33374</v>
      </c>
      <c r="C9037" s="9">
        <f>IFERROR(__xludf.DUMMYFUNCTION("""COMPUTED_VALUE"""),8.12)</f>
        <v>8.12</v>
      </c>
      <c r="H9037" s="17"/>
      <c r="K9037" s="17"/>
      <c r="N9037" s="17"/>
    </row>
    <row r="9038">
      <c r="B9038" s="11">
        <f>IFERROR(__xludf.DUMMYFUNCTION("""COMPUTED_VALUE"""),33373.0)</f>
        <v>33373</v>
      </c>
      <c r="C9038" s="9">
        <f>IFERROR(__xludf.DUMMYFUNCTION("""COMPUTED_VALUE"""),8.13)</f>
        <v>8.13</v>
      </c>
      <c r="H9038" s="17"/>
      <c r="K9038" s="17"/>
      <c r="N9038" s="17"/>
    </row>
    <row r="9039">
      <c r="B9039" s="11">
        <f>IFERROR(__xludf.DUMMYFUNCTION("""COMPUTED_VALUE"""),33372.0)</f>
        <v>33372</v>
      </c>
      <c r="C9039" s="9">
        <f>IFERROR(__xludf.DUMMYFUNCTION("""COMPUTED_VALUE"""),8.14)</f>
        <v>8.14</v>
      </c>
      <c r="H9039" s="17"/>
      <c r="K9039" s="17"/>
      <c r="N9039" s="17"/>
    </row>
    <row r="9040">
      <c r="B9040" s="11">
        <f>IFERROR(__xludf.DUMMYFUNCTION("""COMPUTED_VALUE"""),33371.0)</f>
        <v>33371</v>
      </c>
      <c r="C9040" s="9">
        <f>IFERROR(__xludf.DUMMYFUNCTION("""COMPUTED_VALUE"""),8.07)</f>
        <v>8.07</v>
      </c>
      <c r="H9040" s="17"/>
      <c r="K9040" s="17"/>
      <c r="N9040" s="17"/>
    </row>
    <row r="9041">
      <c r="B9041" s="11">
        <f>IFERROR(__xludf.DUMMYFUNCTION("""COMPUTED_VALUE"""),33368.0)</f>
        <v>33368</v>
      </c>
      <c r="C9041" s="9">
        <f>IFERROR(__xludf.DUMMYFUNCTION("""COMPUTED_VALUE"""),8.12)</f>
        <v>8.12</v>
      </c>
      <c r="H9041" s="17"/>
      <c r="K9041" s="17"/>
      <c r="N9041" s="17"/>
    </row>
    <row r="9042">
      <c r="B9042" s="11">
        <f>IFERROR(__xludf.DUMMYFUNCTION("""COMPUTED_VALUE"""),33367.0)</f>
        <v>33367</v>
      </c>
      <c r="C9042" s="9">
        <f>IFERROR(__xludf.DUMMYFUNCTION("""COMPUTED_VALUE"""),8.02)</f>
        <v>8.02</v>
      </c>
      <c r="H9042" s="17"/>
      <c r="K9042" s="17"/>
      <c r="N9042" s="17"/>
    </row>
    <row r="9043">
      <c r="B9043" s="11">
        <f>IFERROR(__xludf.DUMMYFUNCTION("""COMPUTED_VALUE"""),33366.0)</f>
        <v>33366</v>
      </c>
      <c r="C9043" s="9">
        <f>IFERROR(__xludf.DUMMYFUNCTION("""COMPUTED_VALUE"""),8.04)</f>
        <v>8.04</v>
      </c>
      <c r="H9043" s="17"/>
      <c r="K9043" s="17"/>
      <c r="N9043" s="17"/>
    </row>
    <row r="9044">
      <c r="B9044" s="11">
        <f>IFERROR(__xludf.DUMMYFUNCTION("""COMPUTED_VALUE"""),33365.0)</f>
        <v>33365</v>
      </c>
      <c r="C9044" s="9">
        <f>IFERROR(__xludf.DUMMYFUNCTION("""COMPUTED_VALUE"""),8.06)</f>
        <v>8.06</v>
      </c>
      <c r="H9044" s="17"/>
      <c r="K9044" s="17"/>
      <c r="N9044" s="17"/>
    </row>
    <row r="9045">
      <c r="B9045" s="11">
        <f>IFERROR(__xludf.DUMMYFUNCTION("""COMPUTED_VALUE"""),33364.0)</f>
        <v>33364</v>
      </c>
      <c r="C9045" s="9">
        <f>IFERROR(__xludf.DUMMYFUNCTION("""COMPUTED_VALUE"""),8.05)</f>
        <v>8.05</v>
      </c>
      <c r="H9045" s="17"/>
      <c r="K9045" s="17"/>
      <c r="N9045" s="17"/>
    </row>
    <row r="9046">
      <c r="B9046" s="11">
        <f>IFERROR(__xludf.DUMMYFUNCTION("""COMPUTED_VALUE"""),33361.0)</f>
        <v>33361</v>
      </c>
      <c r="C9046" s="9">
        <f>IFERROR(__xludf.DUMMYFUNCTION("""COMPUTED_VALUE"""),8.04)</f>
        <v>8.04</v>
      </c>
      <c r="H9046" s="17"/>
      <c r="K9046" s="17"/>
      <c r="N9046" s="17"/>
    </row>
    <row r="9047">
      <c r="B9047" s="11">
        <f>IFERROR(__xludf.DUMMYFUNCTION("""COMPUTED_VALUE"""),33360.0)</f>
        <v>33360</v>
      </c>
      <c r="C9047" s="9">
        <f>IFERROR(__xludf.DUMMYFUNCTION("""COMPUTED_VALUE"""),7.97)</f>
        <v>7.97</v>
      </c>
      <c r="H9047" s="17"/>
      <c r="K9047" s="17"/>
      <c r="N9047" s="17"/>
    </row>
    <row r="9048">
      <c r="B9048" s="11">
        <f>IFERROR(__xludf.DUMMYFUNCTION("""COMPUTED_VALUE"""),33359.0)</f>
        <v>33359</v>
      </c>
      <c r="C9048" s="9">
        <f>IFERROR(__xludf.DUMMYFUNCTION("""COMPUTED_VALUE"""),8.01)</f>
        <v>8.01</v>
      </c>
      <c r="H9048" s="17"/>
      <c r="K9048" s="17"/>
      <c r="N9048" s="17"/>
    </row>
    <row r="9049">
      <c r="B9049" s="11">
        <f>IFERROR(__xludf.DUMMYFUNCTION("""COMPUTED_VALUE"""),33358.0)</f>
        <v>33358</v>
      </c>
      <c r="C9049" s="9">
        <f>IFERROR(__xludf.DUMMYFUNCTION("""COMPUTED_VALUE"""),8.02)</f>
        <v>8.02</v>
      </c>
      <c r="H9049" s="17"/>
      <c r="K9049" s="17"/>
      <c r="N9049" s="17"/>
    </row>
    <row r="9050">
      <c r="B9050" s="11">
        <f>IFERROR(__xludf.DUMMYFUNCTION("""COMPUTED_VALUE"""),33357.0)</f>
        <v>33357</v>
      </c>
      <c r="C9050" s="9">
        <f>IFERROR(__xludf.DUMMYFUNCTION("""COMPUTED_VALUE"""),8.07)</f>
        <v>8.07</v>
      </c>
      <c r="H9050" s="17"/>
      <c r="K9050" s="17"/>
      <c r="N9050" s="17"/>
    </row>
    <row r="9051">
      <c r="B9051" s="11">
        <f>IFERROR(__xludf.DUMMYFUNCTION("""COMPUTED_VALUE"""),33354.0)</f>
        <v>33354</v>
      </c>
      <c r="C9051" s="9">
        <f>IFERROR(__xludf.DUMMYFUNCTION("""COMPUTED_VALUE"""),8.06)</f>
        <v>8.06</v>
      </c>
      <c r="H9051" s="17"/>
      <c r="K9051" s="17"/>
      <c r="N9051" s="17"/>
    </row>
    <row r="9052">
      <c r="B9052" s="11">
        <f>IFERROR(__xludf.DUMMYFUNCTION("""COMPUTED_VALUE"""),33353.0)</f>
        <v>33353</v>
      </c>
      <c r="C9052" s="9">
        <f>IFERROR(__xludf.DUMMYFUNCTION("""COMPUTED_VALUE"""),8.07)</f>
        <v>8.07</v>
      </c>
      <c r="H9052" s="17"/>
      <c r="K9052" s="17"/>
      <c r="N9052" s="17"/>
    </row>
    <row r="9053">
      <c r="B9053" s="11">
        <f>IFERROR(__xludf.DUMMYFUNCTION("""COMPUTED_VALUE"""),33352.0)</f>
        <v>33352</v>
      </c>
      <c r="C9053" s="9">
        <f>IFERROR(__xludf.DUMMYFUNCTION("""COMPUTED_VALUE"""),8.06)</f>
        <v>8.06</v>
      </c>
      <c r="H9053" s="17"/>
      <c r="K9053" s="17"/>
      <c r="N9053" s="17"/>
    </row>
    <row r="9054">
      <c r="B9054" s="11">
        <f>IFERROR(__xludf.DUMMYFUNCTION("""COMPUTED_VALUE"""),33351.0)</f>
        <v>33351</v>
      </c>
      <c r="C9054" s="9">
        <f>IFERROR(__xludf.DUMMYFUNCTION("""COMPUTED_VALUE"""),8.12)</f>
        <v>8.12</v>
      </c>
      <c r="H9054" s="17"/>
      <c r="K9054" s="17"/>
      <c r="N9054" s="17"/>
    </row>
    <row r="9055">
      <c r="B9055" s="11">
        <f>IFERROR(__xludf.DUMMYFUNCTION("""COMPUTED_VALUE"""),33350.0)</f>
        <v>33350</v>
      </c>
      <c r="C9055" s="9">
        <f>IFERROR(__xludf.DUMMYFUNCTION("""COMPUTED_VALUE"""),8.15)</f>
        <v>8.15</v>
      </c>
      <c r="H9055" s="17"/>
      <c r="K9055" s="17"/>
      <c r="N9055" s="17"/>
    </row>
    <row r="9056">
      <c r="B9056" s="11">
        <f>IFERROR(__xludf.DUMMYFUNCTION("""COMPUTED_VALUE"""),33347.0)</f>
        <v>33347</v>
      </c>
      <c r="C9056" s="9">
        <f>IFERROR(__xludf.DUMMYFUNCTION("""COMPUTED_VALUE"""),8.1)</f>
        <v>8.1</v>
      </c>
      <c r="H9056" s="17"/>
      <c r="K9056" s="17"/>
      <c r="N9056" s="17"/>
    </row>
    <row r="9057">
      <c r="B9057" s="11">
        <f>IFERROR(__xludf.DUMMYFUNCTION("""COMPUTED_VALUE"""),33346.0)</f>
        <v>33346</v>
      </c>
      <c r="C9057" s="9">
        <f>IFERROR(__xludf.DUMMYFUNCTION("""COMPUTED_VALUE"""),8.02)</f>
        <v>8.02</v>
      </c>
      <c r="H9057" s="17"/>
      <c r="K9057" s="17"/>
      <c r="N9057" s="17"/>
    </row>
    <row r="9058">
      <c r="B9058" s="11">
        <f>IFERROR(__xludf.DUMMYFUNCTION("""COMPUTED_VALUE"""),33345.0)</f>
        <v>33345</v>
      </c>
      <c r="C9058" s="9">
        <f>IFERROR(__xludf.DUMMYFUNCTION("""COMPUTED_VALUE"""),7.95)</f>
        <v>7.95</v>
      </c>
      <c r="H9058" s="17"/>
      <c r="K9058" s="17"/>
      <c r="N9058" s="17"/>
    </row>
    <row r="9059">
      <c r="B9059" s="11">
        <f>IFERROR(__xludf.DUMMYFUNCTION("""COMPUTED_VALUE"""),33344.0)</f>
        <v>33344</v>
      </c>
      <c r="C9059" s="9">
        <f>IFERROR(__xludf.DUMMYFUNCTION("""COMPUTED_VALUE"""),7.97)</f>
        <v>7.97</v>
      </c>
      <c r="H9059" s="17"/>
      <c r="K9059" s="17"/>
      <c r="N9059" s="17"/>
    </row>
    <row r="9060">
      <c r="B9060" s="11">
        <f>IFERROR(__xludf.DUMMYFUNCTION("""COMPUTED_VALUE"""),33343.0)</f>
        <v>33343</v>
      </c>
      <c r="C9060" s="9">
        <f>IFERROR(__xludf.DUMMYFUNCTION("""COMPUTED_VALUE"""),7.95)</f>
        <v>7.95</v>
      </c>
      <c r="H9060" s="17"/>
      <c r="K9060" s="17"/>
      <c r="N9060" s="17"/>
    </row>
    <row r="9061">
      <c r="B9061" s="11">
        <f>IFERROR(__xludf.DUMMYFUNCTION("""COMPUTED_VALUE"""),33340.0)</f>
        <v>33340</v>
      </c>
      <c r="C9061" s="9">
        <f>IFERROR(__xludf.DUMMYFUNCTION("""COMPUTED_VALUE"""),7.98)</f>
        <v>7.98</v>
      </c>
      <c r="H9061" s="17"/>
      <c r="K9061" s="17"/>
      <c r="N9061" s="17"/>
    </row>
    <row r="9062">
      <c r="B9062" s="11">
        <f>IFERROR(__xludf.DUMMYFUNCTION("""COMPUTED_VALUE"""),33339.0)</f>
        <v>33339</v>
      </c>
      <c r="C9062" s="9">
        <f>IFERROR(__xludf.DUMMYFUNCTION("""COMPUTED_VALUE"""),8.09)</f>
        <v>8.09</v>
      </c>
      <c r="H9062" s="17"/>
      <c r="K9062" s="17"/>
      <c r="N9062" s="17"/>
    </row>
    <row r="9063">
      <c r="B9063" s="11">
        <f>IFERROR(__xludf.DUMMYFUNCTION("""COMPUTED_VALUE"""),33338.0)</f>
        <v>33338</v>
      </c>
      <c r="C9063" s="9">
        <f>IFERROR(__xludf.DUMMYFUNCTION("""COMPUTED_VALUE"""),8.1)</f>
        <v>8.1</v>
      </c>
      <c r="H9063" s="17"/>
      <c r="K9063" s="17"/>
      <c r="N9063" s="17"/>
    </row>
    <row r="9064">
      <c r="B9064" s="11">
        <f>IFERROR(__xludf.DUMMYFUNCTION("""COMPUTED_VALUE"""),33337.0)</f>
        <v>33337</v>
      </c>
      <c r="C9064" s="9">
        <f>IFERROR(__xludf.DUMMYFUNCTION("""COMPUTED_VALUE"""),8.03)</f>
        <v>8.03</v>
      </c>
      <c r="H9064" s="17"/>
      <c r="K9064" s="17"/>
      <c r="N9064" s="17"/>
    </row>
    <row r="9065">
      <c r="B9065" s="11">
        <f>IFERROR(__xludf.DUMMYFUNCTION("""COMPUTED_VALUE"""),33336.0)</f>
        <v>33336</v>
      </c>
      <c r="C9065" s="9">
        <f>IFERROR(__xludf.DUMMYFUNCTION("""COMPUTED_VALUE"""),7.98)</f>
        <v>7.98</v>
      </c>
      <c r="H9065" s="17"/>
      <c r="K9065" s="17"/>
      <c r="N9065" s="17"/>
    </row>
    <row r="9066">
      <c r="B9066" s="11">
        <f>IFERROR(__xludf.DUMMYFUNCTION("""COMPUTED_VALUE"""),33333.0)</f>
        <v>33333</v>
      </c>
      <c r="C9066" s="9">
        <f>IFERROR(__xludf.DUMMYFUNCTION("""COMPUTED_VALUE"""),7.99)</f>
        <v>7.99</v>
      </c>
      <c r="H9066" s="17"/>
      <c r="K9066" s="17"/>
      <c r="N9066" s="17"/>
    </row>
    <row r="9067">
      <c r="B9067" s="11">
        <f>IFERROR(__xludf.DUMMYFUNCTION("""COMPUTED_VALUE"""),33332.0)</f>
        <v>33332</v>
      </c>
      <c r="C9067" s="9">
        <f>IFERROR(__xludf.DUMMYFUNCTION("""COMPUTED_VALUE"""),8.0)</f>
        <v>8</v>
      </c>
      <c r="H9067" s="17"/>
      <c r="K9067" s="17"/>
      <c r="N9067" s="17"/>
    </row>
    <row r="9068">
      <c r="B9068" s="11">
        <f>IFERROR(__xludf.DUMMYFUNCTION("""COMPUTED_VALUE"""),33331.0)</f>
        <v>33331</v>
      </c>
      <c r="C9068" s="9">
        <f>IFERROR(__xludf.DUMMYFUNCTION("""COMPUTED_VALUE"""),8.05)</f>
        <v>8.05</v>
      </c>
      <c r="H9068" s="17"/>
      <c r="K9068" s="17"/>
      <c r="N9068" s="17"/>
    </row>
    <row r="9069">
      <c r="B9069" s="11">
        <f>IFERROR(__xludf.DUMMYFUNCTION("""COMPUTED_VALUE"""),33330.0)</f>
        <v>33330</v>
      </c>
      <c r="C9069" s="9">
        <f>IFERROR(__xludf.DUMMYFUNCTION("""COMPUTED_VALUE"""),8.03)</f>
        <v>8.03</v>
      </c>
      <c r="H9069" s="17"/>
      <c r="K9069" s="17"/>
      <c r="N9069" s="17"/>
    </row>
    <row r="9070">
      <c r="B9070" s="11">
        <f>IFERROR(__xludf.DUMMYFUNCTION("""COMPUTED_VALUE"""),33329.0)</f>
        <v>33329</v>
      </c>
      <c r="C9070" s="9">
        <f>IFERROR(__xludf.DUMMYFUNCTION("""COMPUTED_VALUE"""),8.07)</f>
        <v>8.07</v>
      </c>
      <c r="H9070" s="17"/>
      <c r="K9070" s="17"/>
      <c r="N9070" s="17"/>
    </row>
    <row r="9071">
      <c r="B9071" s="11">
        <f>IFERROR(__xludf.DUMMYFUNCTION("""COMPUTED_VALUE"""),33326.0)</f>
        <v>33326</v>
      </c>
      <c r="C9071" s="9"/>
      <c r="H9071" s="17"/>
      <c r="K9071" s="17"/>
      <c r="N9071" s="17"/>
    </row>
    <row r="9072">
      <c r="B9072" s="11">
        <f>IFERROR(__xludf.DUMMYFUNCTION("""COMPUTED_VALUE"""),33325.0)</f>
        <v>33325</v>
      </c>
      <c r="C9072" s="9">
        <f>IFERROR(__xludf.DUMMYFUNCTION("""COMPUTED_VALUE"""),8.05)</f>
        <v>8.05</v>
      </c>
      <c r="H9072" s="17"/>
      <c r="K9072" s="17"/>
      <c r="N9072" s="17"/>
    </row>
    <row r="9073">
      <c r="B9073" s="11">
        <f>IFERROR(__xludf.DUMMYFUNCTION("""COMPUTED_VALUE"""),33324.0)</f>
        <v>33324</v>
      </c>
      <c r="C9073" s="9">
        <f>IFERROR(__xludf.DUMMYFUNCTION("""COMPUTED_VALUE"""),8.08)</f>
        <v>8.08</v>
      </c>
      <c r="H9073" s="17"/>
      <c r="K9073" s="17"/>
      <c r="N9073" s="17"/>
    </row>
    <row r="9074">
      <c r="B9074" s="11">
        <f>IFERROR(__xludf.DUMMYFUNCTION("""COMPUTED_VALUE"""),33323.0)</f>
        <v>33323</v>
      </c>
      <c r="C9074" s="9">
        <f>IFERROR(__xludf.DUMMYFUNCTION("""COMPUTED_VALUE"""),8.13)</f>
        <v>8.13</v>
      </c>
      <c r="H9074" s="17"/>
      <c r="K9074" s="17"/>
      <c r="N9074" s="17"/>
    </row>
    <row r="9075">
      <c r="B9075" s="11">
        <f>IFERROR(__xludf.DUMMYFUNCTION("""COMPUTED_VALUE"""),33322.0)</f>
        <v>33322</v>
      </c>
      <c r="C9075" s="9">
        <f>IFERROR(__xludf.DUMMYFUNCTION("""COMPUTED_VALUE"""),8.13)</f>
        <v>8.13</v>
      </c>
      <c r="H9075" s="17"/>
      <c r="K9075" s="17"/>
      <c r="N9075" s="17"/>
    </row>
    <row r="9076">
      <c r="B9076" s="11">
        <f>IFERROR(__xludf.DUMMYFUNCTION("""COMPUTED_VALUE"""),33319.0)</f>
        <v>33319</v>
      </c>
      <c r="C9076" s="9">
        <f>IFERROR(__xludf.DUMMYFUNCTION("""COMPUTED_VALUE"""),8.13)</f>
        <v>8.13</v>
      </c>
      <c r="H9076" s="17"/>
      <c r="K9076" s="17"/>
      <c r="N9076" s="17"/>
    </row>
    <row r="9077">
      <c r="B9077" s="11">
        <f>IFERROR(__xludf.DUMMYFUNCTION("""COMPUTED_VALUE"""),33318.0)</f>
        <v>33318</v>
      </c>
      <c r="C9077" s="9">
        <f>IFERROR(__xludf.DUMMYFUNCTION("""COMPUTED_VALUE"""),8.16)</f>
        <v>8.16</v>
      </c>
      <c r="H9077" s="17"/>
      <c r="K9077" s="17"/>
      <c r="N9077" s="17"/>
    </row>
    <row r="9078">
      <c r="B9078" s="11">
        <f>IFERROR(__xludf.DUMMYFUNCTION("""COMPUTED_VALUE"""),33317.0)</f>
        <v>33317</v>
      </c>
      <c r="C9078" s="9">
        <f>IFERROR(__xludf.DUMMYFUNCTION("""COMPUTED_VALUE"""),8.2)</f>
        <v>8.2</v>
      </c>
      <c r="H9078" s="17"/>
      <c r="K9078" s="17"/>
      <c r="N9078" s="17"/>
    </row>
    <row r="9079">
      <c r="B9079" s="11">
        <f>IFERROR(__xludf.DUMMYFUNCTION("""COMPUTED_VALUE"""),33316.0)</f>
        <v>33316</v>
      </c>
      <c r="C9079" s="9">
        <f>IFERROR(__xludf.DUMMYFUNCTION("""COMPUTED_VALUE"""),8.25)</f>
        <v>8.25</v>
      </c>
      <c r="H9079" s="17"/>
      <c r="K9079" s="17"/>
      <c r="N9079" s="17"/>
    </row>
    <row r="9080">
      <c r="B9080" s="11">
        <f>IFERROR(__xludf.DUMMYFUNCTION("""COMPUTED_VALUE"""),33315.0)</f>
        <v>33315</v>
      </c>
      <c r="C9080" s="9">
        <f>IFERROR(__xludf.DUMMYFUNCTION("""COMPUTED_VALUE"""),8.15)</f>
        <v>8.15</v>
      </c>
      <c r="H9080" s="17"/>
      <c r="K9080" s="17"/>
      <c r="N9080" s="17"/>
    </row>
    <row r="9081">
      <c r="B9081" s="11">
        <f>IFERROR(__xludf.DUMMYFUNCTION("""COMPUTED_VALUE"""),33312.0)</f>
        <v>33312</v>
      </c>
      <c r="C9081" s="9">
        <f>IFERROR(__xludf.DUMMYFUNCTION("""COMPUTED_VALUE"""),8.1)</f>
        <v>8.1</v>
      </c>
      <c r="H9081" s="17"/>
      <c r="K9081" s="17"/>
      <c r="N9081" s="17"/>
    </row>
    <row r="9082">
      <c r="B9082" s="11">
        <f>IFERROR(__xludf.DUMMYFUNCTION("""COMPUTED_VALUE"""),33311.0)</f>
        <v>33311</v>
      </c>
      <c r="C9082" s="9">
        <f>IFERROR(__xludf.DUMMYFUNCTION("""COMPUTED_VALUE"""),8.02)</f>
        <v>8.02</v>
      </c>
      <c r="H9082" s="17"/>
      <c r="K9082" s="17"/>
      <c r="N9082" s="17"/>
    </row>
    <row r="9083">
      <c r="B9083" s="11">
        <f>IFERROR(__xludf.DUMMYFUNCTION("""COMPUTED_VALUE"""),33310.0)</f>
        <v>33310</v>
      </c>
      <c r="C9083" s="9">
        <f>IFERROR(__xludf.DUMMYFUNCTION("""COMPUTED_VALUE"""),8.02)</f>
        <v>8.02</v>
      </c>
      <c r="H9083" s="17"/>
      <c r="K9083" s="17"/>
      <c r="N9083" s="17"/>
    </row>
    <row r="9084">
      <c r="B9084" s="11">
        <f>IFERROR(__xludf.DUMMYFUNCTION("""COMPUTED_VALUE"""),33309.0)</f>
        <v>33309</v>
      </c>
      <c r="C9084" s="9">
        <f>IFERROR(__xludf.DUMMYFUNCTION("""COMPUTED_VALUE"""),8.09)</f>
        <v>8.09</v>
      </c>
      <c r="H9084" s="17"/>
      <c r="K9084" s="17"/>
      <c r="N9084" s="17"/>
    </row>
    <row r="9085">
      <c r="B9085" s="11">
        <f>IFERROR(__xludf.DUMMYFUNCTION("""COMPUTED_VALUE"""),33308.0)</f>
        <v>33308</v>
      </c>
      <c r="C9085" s="9">
        <f>IFERROR(__xludf.DUMMYFUNCTION("""COMPUTED_VALUE"""),8.06)</f>
        <v>8.06</v>
      </c>
      <c r="H9085" s="17"/>
      <c r="K9085" s="17"/>
      <c r="N9085" s="17"/>
    </row>
    <row r="9086">
      <c r="B9086" s="11">
        <f>IFERROR(__xludf.DUMMYFUNCTION("""COMPUTED_VALUE"""),33305.0)</f>
        <v>33305</v>
      </c>
      <c r="C9086" s="9">
        <f>IFERROR(__xludf.DUMMYFUNCTION("""COMPUTED_VALUE"""),8.13)</f>
        <v>8.13</v>
      </c>
      <c r="H9086" s="17"/>
      <c r="K9086" s="17"/>
      <c r="N9086" s="17"/>
    </row>
    <row r="9087">
      <c r="B9087" s="11">
        <f>IFERROR(__xludf.DUMMYFUNCTION("""COMPUTED_VALUE"""),33304.0)</f>
        <v>33304</v>
      </c>
      <c r="C9087" s="9">
        <f>IFERROR(__xludf.DUMMYFUNCTION("""COMPUTED_VALUE"""),8.07)</f>
        <v>8.07</v>
      </c>
      <c r="H9087" s="17"/>
      <c r="K9087" s="17"/>
      <c r="N9087" s="17"/>
    </row>
    <row r="9088">
      <c r="B9088" s="11">
        <f>IFERROR(__xludf.DUMMYFUNCTION("""COMPUTED_VALUE"""),33303.0)</f>
        <v>33303</v>
      </c>
      <c r="C9088" s="9">
        <f>IFERROR(__xludf.DUMMYFUNCTION("""COMPUTED_VALUE"""),8.11)</f>
        <v>8.11</v>
      </c>
      <c r="H9088" s="17"/>
      <c r="K9088" s="17"/>
      <c r="N9088" s="17"/>
    </row>
    <row r="9089">
      <c r="B9089" s="11">
        <f>IFERROR(__xludf.DUMMYFUNCTION("""COMPUTED_VALUE"""),33302.0)</f>
        <v>33302</v>
      </c>
      <c r="C9089" s="9">
        <f>IFERROR(__xludf.DUMMYFUNCTION("""COMPUTED_VALUE"""),8.08)</f>
        <v>8.08</v>
      </c>
      <c r="H9089" s="17"/>
      <c r="K9089" s="17"/>
      <c r="N9089" s="17"/>
    </row>
    <row r="9090">
      <c r="B9090" s="11">
        <f>IFERROR(__xludf.DUMMYFUNCTION("""COMPUTED_VALUE"""),33301.0)</f>
        <v>33301</v>
      </c>
      <c r="C9090" s="9">
        <f>IFERROR(__xludf.DUMMYFUNCTION("""COMPUTED_VALUE"""),8.12)</f>
        <v>8.12</v>
      </c>
      <c r="H9090" s="17"/>
      <c r="K9090" s="17"/>
      <c r="N9090" s="17"/>
    </row>
    <row r="9091">
      <c r="B9091" s="11">
        <f>IFERROR(__xludf.DUMMYFUNCTION("""COMPUTED_VALUE"""),33298.0)</f>
        <v>33298</v>
      </c>
      <c r="C9091" s="9">
        <f>IFERROR(__xludf.DUMMYFUNCTION("""COMPUTED_VALUE"""),8.12)</f>
        <v>8.12</v>
      </c>
      <c r="H9091" s="17"/>
      <c r="K9091" s="17"/>
      <c r="N9091" s="17"/>
    </row>
    <row r="9092">
      <c r="B9092" s="11">
        <f>IFERROR(__xludf.DUMMYFUNCTION("""COMPUTED_VALUE"""),33297.0)</f>
        <v>33297</v>
      </c>
      <c r="C9092" s="9">
        <f>IFERROR(__xludf.DUMMYFUNCTION("""COMPUTED_VALUE"""),8.02)</f>
        <v>8.02</v>
      </c>
      <c r="H9092" s="17"/>
      <c r="K9092" s="17"/>
      <c r="N9092" s="17"/>
    </row>
    <row r="9093">
      <c r="B9093" s="11">
        <f>IFERROR(__xludf.DUMMYFUNCTION("""COMPUTED_VALUE"""),33296.0)</f>
        <v>33296</v>
      </c>
      <c r="C9093" s="9">
        <f>IFERROR(__xludf.DUMMYFUNCTION("""COMPUTED_VALUE"""),7.98)</f>
        <v>7.98</v>
      </c>
      <c r="H9093" s="17"/>
      <c r="K9093" s="17"/>
      <c r="N9093" s="17"/>
    </row>
    <row r="9094">
      <c r="B9094" s="11">
        <f>IFERROR(__xludf.DUMMYFUNCTION("""COMPUTED_VALUE"""),33295.0)</f>
        <v>33295</v>
      </c>
      <c r="C9094" s="9">
        <f>IFERROR(__xludf.DUMMYFUNCTION("""COMPUTED_VALUE"""),7.96)</f>
        <v>7.96</v>
      </c>
      <c r="H9094" s="17"/>
      <c r="K9094" s="17"/>
      <c r="N9094" s="17"/>
    </row>
    <row r="9095">
      <c r="B9095" s="11">
        <f>IFERROR(__xludf.DUMMYFUNCTION("""COMPUTED_VALUE"""),33294.0)</f>
        <v>33294</v>
      </c>
      <c r="C9095" s="9">
        <f>IFERROR(__xludf.DUMMYFUNCTION("""COMPUTED_VALUE"""),7.91)</f>
        <v>7.91</v>
      </c>
      <c r="H9095" s="17"/>
      <c r="K9095" s="17"/>
      <c r="N9095" s="17"/>
    </row>
    <row r="9096">
      <c r="B9096" s="11">
        <f>IFERROR(__xludf.DUMMYFUNCTION("""COMPUTED_VALUE"""),33291.0)</f>
        <v>33291</v>
      </c>
      <c r="C9096" s="9">
        <f>IFERROR(__xludf.DUMMYFUNCTION("""COMPUTED_VALUE"""),7.91)</f>
        <v>7.91</v>
      </c>
      <c r="H9096" s="17"/>
      <c r="K9096" s="17"/>
      <c r="N9096" s="17"/>
    </row>
    <row r="9097">
      <c r="B9097" s="11">
        <f>IFERROR(__xludf.DUMMYFUNCTION("""COMPUTED_VALUE"""),33290.0)</f>
        <v>33290</v>
      </c>
      <c r="C9097" s="9">
        <f>IFERROR(__xludf.DUMMYFUNCTION("""COMPUTED_VALUE"""),7.88)</f>
        <v>7.88</v>
      </c>
      <c r="H9097" s="17"/>
      <c r="K9097" s="17"/>
      <c r="N9097" s="17"/>
    </row>
    <row r="9098">
      <c r="B9098" s="11">
        <f>IFERROR(__xludf.DUMMYFUNCTION("""COMPUTED_VALUE"""),33289.0)</f>
        <v>33289</v>
      </c>
      <c r="C9098" s="9">
        <f>IFERROR(__xludf.DUMMYFUNCTION("""COMPUTED_VALUE"""),7.84)</f>
        <v>7.84</v>
      </c>
      <c r="H9098" s="17"/>
      <c r="K9098" s="17"/>
      <c r="N9098" s="17"/>
    </row>
    <row r="9099">
      <c r="B9099" s="11">
        <f>IFERROR(__xludf.DUMMYFUNCTION("""COMPUTED_VALUE"""),33288.0)</f>
        <v>33288</v>
      </c>
      <c r="C9099" s="9">
        <f>IFERROR(__xludf.DUMMYFUNCTION("""COMPUTED_VALUE"""),7.8)</f>
        <v>7.8</v>
      </c>
      <c r="H9099" s="17"/>
      <c r="K9099" s="17"/>
      <c r="N9099" s="17"/>
    </row>
    <row r="9100">
      <c r="B9100" s="11">
        <f>IFERROR(__xludf.DUMMYFUNCTION("""COMPUTED_VALUE"""),33287.0)</f>
        <v>33287</v>
      </c>
      <c r="C9100" s="9"/>
      <c r="H9100" s="17"/>
      <c r="K9100" s="17"/>
      <c r="N9100" s="17"/>
    </row>
    <row r="9101">
      <c r="B9101" s="11">
        <f>IFERROR(__xludf.DUMMYFUNCTION("""COMPUTED_VALUE"""),33284.0)</f>
        <v>33284</v>
      </c>
      <c r="C9101" s="9">
        <f>IFERROR(__xludf.DUMMYFUNCTION("""COMPUTED_VALUE"""),7.78)</f>
        <v>7.78</v>
      </c>
      <c r="H9101" s="17"/>
      <c r="K9101" s="17"/>
      <c r="N9101" s="17"/>
    </row>
    <row r="9102">
      <c r="B9102" s="11">
        <f>IFERROR(__xludf.DUMMYFUNCTION("""COMPUTED_VALUE"""),33283.0)</f>
        <v>33283</v>
      </c>
      <c r="C9102" s="9">
        <f>IFERROR(__xludf.DUMMYFUNCTION("""COMPUTED_VALUE"""),7.8)</f>
        <v>7.8</v>
      </c>
      <c r="H9102" s="17"/>
      <c r="K9102" s="17"/>
      <c r="N9102" s="17"/>
    </row>
    <row r="9103">
      <c r="B9103" s="11">
        <f>IFERROR(__xludf.DUMMYFUNCTION("""COMPUTED_VALUE"""),33282.0)</f>
        <v>33282</v>
      </c>
      <c r="C9103" s="9">
        <f>IFERROR(__xludf.DUMMYFUNCTION("""COMPUTED_VALUE"""),7.78)</f>
        <v>7.78</v>
      </c>
      <c r="H9103" s="17"/>
      <c r="K9103" s="17"/>
      <c r="N9103" s="17"/>
    </row>
    <row r="9104">
      <c r="B9104" s="11">
        <f>IFERROR(__xludf.DUMMYFUNCTION("""COMPUTED_VALUE"""),33281.0)</f>
        <v>33281</v>
      </c>
      <c r="C9104" s="9">
        <f>IFERROR(__xludf.DUMMYFUNCTION("""COMPUTED_VALUE"""),7.78)</f>
        <v>7.78</v>
      </c>
      <c r="H9104" s="17"/>
      <c r="K9104" s="17"/>
      <c r="N9104" s="17"/>
    </row>
    <row r="9105">
      <c r="B9105" s="11">
        <f>IFERROR(__xludf.DUMMYFUNCTION("""COMPUTED_VALUE"""),33280.0)</f>
        <v>33280</v>
      </c>
      <c r="C9105" s="9">
        <f>IFERROR(__xludf.DUMMYFUNCTION("""COMPUTED_VALUE"""),7.78)</f>
        <v>7.78</v>
      </c>
      <c r="H9105" s="17"/>
      <c r="K9105" s="17"/>
      <c r="N9105" s="17"/>
    </row>
    <row r="9106">
      <c r="B9106" s="11">
        <f>IFERROR(__xludf.DUMMYFUNCTION("""COMPUTED_VALUE"""),33277.0)</f>
        <v>33277</v>
      </c>
      <c r="C9106" s="9">
        <f>IFERROR(__xludf.DUMMYFUNCTION("""COMPUTED_VALUE"""),7.77)</f>
        <v>7.77</v>
      </c>
      <c r="H9106" s="17"/>
      <c r="K9106" s="17"/>
      <c r="N9106" s="17"/>
    </row>
    <row r="9107">
      <c r="B9107" s="11">
        <f>IFERROR(__xludf.DUMMYFUNCTION("""COMPUTED_VALUE"""),33276.0)</f>
        <v>33276</v>
      </c>
      <c r="C9107" s="9">
        <f>IFERROR(__xludf.DUMMYFUNCTION("""COMPUTED_VALUE"""),7.82)</f>
        <v>7.82</v>
      </c>
      <c r="H9107" s="17"/>
      <c r="K9107" s="17"/>
      <c r="N9107" s="17"/>
    </row>
    <row r="9108">
      <c r="B9108" s="11">
        <f>IFERROR(__xludf.DUMMYFUNCTION("""COMPUTED_VALUE"""),33275.0)</f>
        <v>33275</v>
      </c>
      <c r="C9108" s="9">
        <f>IFERROR(__xludf.DUMMYFUNCTION("""COMPUTED_VALUE"""),7.79)</f>
        <v>7.79</v>
      </c>
      <c r="H9108" s="17"/>
      <c r="K9108" s="17"/>
      <c r="N9108" s="17"/>
    </row>
    <row r="9109">
      <c r="B9109" s="11">
        <f>IFERROR(__xludf.DUMMYFUNCTION("""COMPUTED_VALUE"""),33274.0)</f>
        <v>33274</v>
      </c>
      <c r="C9109" s="9">
        <f>IFERROR(__xludf.DUMMYFUNCTION("""COMPUTED_VALUE"""),7.85)</f>
        <v>7.85</v>
      </c>
      <c r="H9109" s="17"/>
      <c r="K9109" s="17"/>
      <c r="N9109" s="17"/>
    </row>
    <row r="9110">
      <c r="B9110" s="11">
        <f>IFERROR(__xludf.DUMMYFUNCTION("""COMPUTED_VALUE"""),33273.0)</f>
        <v>33273</v>
      </c>
      <c r="C9110" s="9">
        <f>IFERROR(__xludf.DUMMYFUNCTION("""COMPUTED_VALUE"""),7.88)</f>
        <v>7.88</v>
      </c>
      <c r="H9110" s="17"/>
      <c r="K9110" s="17"/>
      <c r="N9110" s="17"/>
    </row>
    <row r="9111">
      <c r="B9111" s="11">
        <f>IFERROR(__xludf.DUMMYFUNCTION("""COMPUTED_VALUE"""),33270.0)</f>
        <v>33270</v>
      </c>
      <c r="C9111" s="9">
        <f>IFERROR(__xludf.DUMMYFUNCTION("""COMPUTED_VALUE"""),7.91)</f>
        <v>7.91</v>
      </c>
      <c r="H9111" s="17"/>
      <c r="K9111" s="17"/>
      <c r="N9111" s="17"/>
    </row>
    <row r="9112">
      <c r="B9112" s="11">
        <f>IFERROR(__xludf.DUMMYFUNCTION("""COMPUTED_VALUE"""),33269.0)</f>
        <v>33269</v>
      </c>
      <c r="C9112" s="9">
        <f>IFERROR(__xludf.DUMMYFUNCTION("""COMPUTED_VALUE"""),8.03)</f>
        <v>8.03</v>
      </c>
      <c r="H9112" s="17"/>
      <c r="K9112" s="17"/>
      <c r="N9112" s="17"/>
    </row>
    <row r="9113">
      <c r="B9113" s="11">
        <f>IFERROR(__xludf.DUMMYFUNCTION("""COMPUTED_VALUE"""),33268.0)</f>
        <v>33268</v>
      </c>
      <c r="C9113" s="9">
        <f>IFERROR(__xludf.DUMMYFUNCTION("""COMPUTED_VALUE"""),8.05)</f>
        <v>8.05</v>
      </c>
      <c r="H9113" s="17"/>
      <c r="K9113" s="17"/>
      <c r="N9113" s="17"/>
    </row>
    <row r="9114">
      <c r="B9114" s="11">
        <f>IFERROR(__xludf.DUMMYFUNCTION("""COMPUTED_VALUE"""),33267.0)</f>
        <v>33267</v>
      </c>
      <c r="C9114" s="9">
        <f>IFERROR(__xludf.DUMMYFUNCTION("""COMPUTED_VALUE"""),8.03)</f>
        <v>8.03</v>
      </c>
      <c r="H9114" s="17"/>
      <c r="K9114" s="17"/>
      <c r="N9114" s="17"/>
    </row>
    <row r="9115">
      <c r="B9115" s="11">
        <f>IFERROR(__xludf.DUMMYFUNCTION("""COMPUTED_VALUE"""),33266.0)</f>
        <v>33266</v>
      </c>
      <c r="C9115" s="9">
        <f>IFERROR(__xludf.DUMMYFUNCTION("""COMPUTED_VALUE"""),8.06)</f>
        <v>8.06</v>
      </c>
      <c r="H9115" s="17"/>
      <c r="K9115" s="17"/>
      <c r="N9115" s="17"/>
    </row>
    <row r="9116">
      <c r="B9116" s="11">
        <f>IFERROR(__xludf.DUMMYFUNCTION("""COMPUTED_VALUE"""),33263.0)</f>
        <v>33263</v>
      </c>
      <c r="C9116" s="9">
        <f>IFERROR(__xludf.DUMMYFUNCTION("""COMPUTED_VALUE"""),8.06)</f>
        <v>8.06</v>
      </c>
      <c r="H9116" s="17"/>
      <c r="K9116" s="17"/>
      <c r="N9116" s="17"/>
    </row>
    <row r="9117">
      <c r="B9117" s="11">
        <f>IFERROR(__xludf.DUMMYFUNCTION("""COMPUTED_VALUE"""),33262.0)</f>
        <v>33262</v>
      </c>
      <c r="C9117" s="9">
        <f>IFERROR(__xludf.DUMMYFUNCTION("""COMPUTED_VALUE"""),8.0)</f>
        <v>8</v>
      </c>
      <c r="H9117" s="17"/>
      <c r="K9117" s="17"/>
      <c r="N9117" s="17"/>
    </row>
    <row r="9118">
      <c r="B9118" s="11">
        <f>IFERROR(__xludf.DUMMYFUNCTION("""COMPUTED_VALUE"""),33261.0)</f>
        <v>33261</v>
      </c>
      <c r="C9118" s="9">
        <f>IFERROR(__xludf.DUMMYFUNCTION("""COMPUTED_VALUE"""),8.04)</f>
        <v>8.04</v>
      </c>
      <c r="H9118" s="17"/>
      <c r="K9118" s="17"/>
      <c r="N9118" s="17"/>
    </row>
    <row r="9119">
      <c r="B9119" s="11">
        <f>IFERROR(__xludf.DUMMYFUNCTION("""COMPUTED_VALUE"""),33260.0)</f>
        <v>33260</v>
      </c>
      <c r="C9119" s="9">
        <f>IFERROR(__xludf.DUMMYFUNCTION("""COMPUTED_VALUE"""),8.07)</f>
        <v>8.07</v>
      </c>
      <c r="H9119" s="17"/>
      <c r="K9119" s="17"/>
      <c r="N9119" s="17"/>
    </row>
    <row r="9120">
      <c r="B9120" s="11">
        <f>IFERROR(__xludf.DUMMYFUNCTION("""COMPUTED_VALUE"""),33259.0)</f>
        <v>33259</v>
      </c>
      <c r="C9120" s="9"/>
      <c r="H9120" s="17"/>
      <c r="K9120" s="17"/>
      <c r="N9120" s="17"/>
    </row>
    <row r="9121">
      <c r="B9121" s="11">
        <f>IFERROR(__xludf.DUMMYFUNCTION("""COMPUTED_VALUE"""),33256.0)</f>
        <v>33256</v>
      </c>
      <c r="C9121" s="9">
        <f>IFERROR(__xludf.DUMMYFUNCTION("""COMPUTED_VALUE"""),8.03)</f>
        <v>8.03</v>
      </c>
      <c r="H9121" s="17"/>
      <c r="K9121" s="17"/>
      <c r="N9121" s="17"/>
    </row>
    <row r="9122">
      <c r="B9122" s="11">
        <f>IFERROR(__xludf.DUMMYFUNCTION("""COMPUTED_VALUE"""),33255.0)</f>
        <v>33255</v>
      </c>
      <c r="C9122" s="9">
        <f>IFERROR(__xludf.DUMMYFUNCTION("""COMPUTED_VALUE"""),8.05)</f>
        <v>8.05</v>
      </c>
      <c r="H9122" s="17"/>
      <c r="K9122" s="17"/>
      <c r="N9122" s="17"/>
    </row>
    <row r="9123">
      <c r="B9123" s="11">
        <f>IFERROR(__xludf.DUMMYFUNCTION("""COMPUTED_VALUE"""),33254.0)</f>
        <v>33254</v>
      </c>
      <c r="C9123" s="9">
        <f>IFERROR(__xludf.DUMMYFUNCTION("""COMPUTED_VALUE"""),8.24)</f>
        <v>8.24</v>
      </c>
      <c r="H9123" s="17"/>
      <c r="K9123" s="17"/>
      <c r="N9123" s="17"/>
    </row>
    <row r="9124">
      <c r="B9124" s="11">
        <f>IFERROR(__xludf.DUMMYFUNCTION("""COMPUTED_VALUE"""),33253.0)</f>
        <v>33253</v>
      </c>
      <c r="C9124" s="9">
        <f>IFERROR(__xludf.DUMMYFUNCTION("""COMPUTED_VALUE"""),8.22)</f>
        <v>8.22</v>
      </c>
      <c r="H9124" s="17"/>
      <c r="K9124" s="17"/>
      <c r="N9124" s="17"/>
    </row>
    <row r="9125">
      <c r="B9125" s="11">
        <f>IFERROR(__xludf.DUMMYFUNCTION("""COMPUTED_VALUE"""),33252.0)</f>
        <v>33252</v>
      </c>
      <c r="C9125" s="9">
        <f>IFERROR(__xludf.DUMMYFUNCTION("""COMPUTED_VALUE"""),8.23)</f>
        <v>8.23</v>
      </c>
      <c r="H9125" s="17"/>
      <c r="K9125" s="17"/>
      <c r="N9125" s="17"/>
    </row>
    <row r="9126">
      <c r="B9126" s="11">
        <f>IFERROR(__xludf.DUMMYFUNCTION("""COMPUTED_VALUE"""),33249.0)</f>
        <v>33249</v>
      </c>
      <c r="C9126" s="9">
        <f>IFERROR(__xludf.DUMMYFUNCTION("""COMPUTED_VALUE"""),8.2)</f>
        <v>8.2</v>
      </c>
      <c r="H9126" s="17"/>
      <c r="K9126" s="17"/>
      <c r="N9126" s="17"/>
    </row>
    <row r="9127">
      <c r="B9127" s="11">
        <f>IFERROR(__xludf.DUMMYFUNCTION("""COMPUTED_VALUE"""),33248.0)</f>
        <v>33248</v>
      </c>
      <c r="C9127" s="9">
        <f>IFERROR(__xludf.DUMMYFUNCTION("""COMPUTED_VALUE"""),8.16)</f>
        <v>8.16</v>
      </c>
      <c r="H9127" s="17"/>
      <c r="K9127" s="17"/>
      <c r="N9127" s="17"/>
    </row>
    <row r="9128">
      <c r="B9128" s="11">
        <f>IFERROR(__xludf.DUMMYFUNCTION("""COMPUTED_VALUE"""),33247.0)</f>
        <v>33247</v>
      </c>
      <c r="C9128" s="9">
        <f>IFERROR(__xludf.DUMMYFUNCTION("""COMPUTED_VALUE"""),8.25)</f>
        <v>8.25</v>
      </c>
      <c r="H9128" s="17"/>
      <c r="K9128" s="17"/>
      <c r="N9128" s="17"/>
    </row>
    <row r="9129">
      <c r="B9129" s="11">
        <f>IFERROR(__xludf.DUMMYFUNCTION("""COMPUTED_VALUE"""),33246.0)</f>
        <v>33246</v>
      </c>
      <c r="C9129" s="9">
        <f>IFERROR(__xludf.DUMMYFUNCTION("""COMPUTED_VALUE"""),8.16)</f>
        <v>8.16</v>
      </c>
      <c r="H9129" s="17"/>
      <c r="K9129" s="17"/>
      <c r="N9129" s="17"/>
    </row>
    <row r="9130">
      <c r="B9130" s="11">
        <f>IFERROR(__xludf.DUMMYFUNCTION("""COMPUTED_VALUE"""),33245.0)</f>
        <v>33245</v>
      </c>
      <c r="C9130" s="9">
        <f>IFERROR(__xludf.DUMMYFUNCTION("""COMPUTED_VALUE"""),8.13)</f>
        <v>8.13</v>
      </c>
      <c r="H9130" s="17"/>
      <c r="K9130" s="17"/>
      <c r="N9130" s="17"/>
    </row>
    <row r="9131">
      <c r="B9131" s="11">
        <f>IFERROR(__xludf.DUMMYFUNCTION("""COMPUTED_VALUE"""),33242.0)</f>
        <v>33242</v>
      </c>
      <c r="C9131" s="9">
        <f>IFERROR(__xludf.DUMMYFUNCTION("""COMPUTED_VALUE"""),8.02)</f>
        <v>8.02</v>
      </c>
      <c r="H9131" s="17"/>
      <c r="K9131" s="17"/>
      <c r="N9131" s="17"/>
    </row>
    <row r="9132">
      <c r="B9132" s="11">
        <f>IFERROR(__xludf.DUMMYFUNCTION("""COMPUTED_VALUE"""),33241.0)</f>
        <v>33241</v>
      </c>
      <c r="C9132" s="9">
        <f>IFERROR(__xludf.DUMMYFUNCTION("""COMPUTED_VALUE"""),7.93)</f>
        <v>7.93</v>
      </c>
      <c r="H9132" s="17"/>
      <c r="K9132" s="17"/>
      <c r="N9132" s="17"/>
    </row>
    <row r="9133">
      <c r="B9133" s="11">
        <f>IFERROR(__xludf.DUMMYFUNCTION("""COMPUTED_VALUE"""),33240.0)</f>
        <v>33240</v>
      </c>
      <c r="C9133" s="9">
        <f>IFERROR(__xludf.DUMMYFUNCTION("""COMPUTED_VALUE"""),7.97)</f>
        <v>7.97</v>
      </c>
      <c r="H9133" s="17"/>
      <c r="K9133" s="17"/>
      <c r="N9133" s="17"/>
    </row>
    <row r="9134">
      <c r="B9134" s="11">
        <f>IFERROR(__xludf.DUMMYFUNCTION("""COMPUTED_VALUE"""),33239.0)</f>
        <v>33239</v>
      </c>
      <c r="C9134" s="9"/>
      <c r="H9134" s="17"/>
      <c r="K9134" s="17"/>
      <c r="N9134" s="17"/>
    </row>
    <row r="9135">
      <c r="B9135" s="11">
        <f>IFERROR(__xludf.DUMMYFUNCTION("""COMPUTED_VALUE"""),33238.0)</f>
        <v>33238</v>
      </c>
      <c r="C9135" s="9">
        <f>IFERROR(__xludf.DUMMYFUNCTION("""COMPUTED_VALUE"""),8.08)</f>
        <v>8.08</v>
      </c>
      <c r="H9135" s="17"/>
      <c r="K9135" s="17"/>
      <c r="N9135" s="17"/>
    </row>
    <row r="9136">
      <c r="B9136" s="11">
        <f>IFERROR(__xludf.DUMMYFUNCTION("""COMPUTED_VALUE"""),33235.0)</f>
        <v>33235</v>
      </c>
      <c r="C9136" s="9">
        <f>IFERROR(__xludf.DUMMYFUNCTION("""COMPUTED_VALUE"""),8.14)</f>
        <v>8.14</v>
      </c>
      <c r="H9136" s="17"/>
      <c r="K9136" s="17"/>
      <c r="N9136" s="17"/>
    </row>
    <row r="9137">
      <c r="B9137" s="11">
        <f>IFERROR(__xludf.DUMMYFUNCTION("""COMPUTED_VALUE"""),33234.0)</f>
        <v>33234</v>
      </c>
      <c r="C9137" s="9">
        <f>IFERROR(__xludf.DUMMYFUNCTION("""COMPUTED_VALUE"""),8.11)</f>
        <v>8.11</v>
      </c>
      <c r="H9137" s="17"/>
      <c r="K9137" s="17"/>
      <c r="N9137" s="17"/>
    </row>
    <row r="9138">
      <c r="B9138" s="11">
        <f>IFERROR(__xludf.DUMMYFUNCTION("""COMPUTED_VALUE"""),33233.0)</f>
        <v>33233</v>
      </c>
      <c r="C9138" s="9">
        <f>IFERROR(__xludf.DUMMYFUNCTION("""COMPUTED_VALUE"""),8.15)</f>
        <v>8.15</v>
      </c>
      <c r="H9138" s="17"/>
      <c r="K9138" s="17"/>
      <c r="N9138" s="17"/>
    </row>
    <row r="9139">
      <c r="B9139" s="11">
        <f>IFERROR(__xludf.DUMMYFUNCTION("""COMPUTED_VALUE"""),33232.0)</f>
        <v>33232</v>
      </c>
      <c r="C9139" s="9"/>
      <c r="H9139" s="17"/>
      <c r="K9139" s="17"/>
      <c r="N9139" s="17"/>
    </row>
    <row r="9140">
      <c r="B9140" s="11">
        <f>IFERROR(__xludf.DUMMYFUNCTION("""COMPUTED_VALUE"""),33231.0)</f>
        <v>33231</v>
      </c>
      <c r="C9140" s="9">
        <f>IFERROR(__xludf.DUMMYFUNCTION("""COMPUTED_VALUE"""),8.2)</f>
        <v>8.2</v>
      </c>
      <c r="H9140" s="17"/>
      <c r="K9140" s="17"/>
      <c r="N9140" s="17"/>
    </row>
    <row r="9141">
      <c r="B9141" s="11">
        <f>IFERROR(__xludf.DUMMYFUNCTION("""COMPUTED_VALUE"""),33228.0)</f>
        <v>33228</v>
      </c>
      <c r="C9141" s="9">
        <f>IFERROR(__xludf.DUMMYFUNCTION("""COMPUTED_VALUE"""),8.11)</f>
        <v>8.11</v>
      </c>
      <c r="H9141" s="17"/>
      <c r="K9141" s="17"/>
      <c r="N9141" s="17"/>
    </row>
    <row r="9142">
      <c r="B9142" s="11">
        <f>IFERROR(__xludf.DUMMYFUNCTION("""COMPUTED_VALUE"""),33227.0)</f>
        <v>33227</v>
      </c>
      <c r="C9142" s="9">
        <f>IFERROR(__xludf.DUMMYFUNCTION("""COMPUTED_VALUE"""),8.05)</f>
        <v>8.05</v>
      </c>
      <c r="H9142" s="17"/>
      <c r="K9142" s="17"/>
      <c r="N9142" s="17"/>
    </row>
    <row r="9143">
      <c r="B9143" s="11">
        <f>IFERROR(__xludf.DUMMYFUNCTION("""COMPUTED_VALUE"""),33226.0)</f>
        <v>33226</v>
      </c>
      <c r="C9143" s="9">
        <f>IFERROR(__xludf.DUMMYFUNCTION("""COMPUTED_VALUE"""),8.0)</f>
        <v>8</v>
      </c>
      <c r="H9143" s="17"/>
      <c r="K9143" s="17"/>
      <c r="N9143" s="17"/>
    </row>
    <row r="9144">
      <c r="B9144" s="11">
        <f>IFERROR(__xludf.DUMMYFUNCTION("""COMPUTED_VALUE"""),33225.0)</f>
        <v>33225</v>
      </c>
      <c r="C9144" s="9">
        <f>IFERROR(__xludf.DUMMYFUNCTION("""COMPUTED_VALUE"""),7.99)</f>
        <v>7.99</v>
      </c>
      <c r="H9144" s="17"/>
      <c r="K9144" s="17"/>
      <c r="N9144" s="17"/>
    </row>
    <row r="9145">
      <c r="B9145" s="11">
        <f>IFERROR(__xludf.DUMMYFUNCTION("""COMPUTED_VALUE"""),33224.0)</f>
        <v>33224</v>
      </c>
      <c r="C9145" s="9">
        <f>IFERROR(__xludf.DUMMYFUNCTION("""COMPUTED_VALUE"""),8.02)</f>
        <v>8.02</v>
      </c>
      <c r="H9145" s="17"/>
      <c r="K9145" s="17"/>
      <c r="N9145" s="17"/>
    </row>
    <row r="9146">
      <c r="B9146" s="11">
        <f>IFERROR(__xludf.DUMMYFUNCTION("""COMPUTED_VALUE"""),33221.0)</f>
        <v>33221</v>
      </c>
      <c r="C9146" s="9">
        <f>IFERROR(__xludf.DUMMYFUNCTION("""COMPUTED_VALUE"""),8.05)</f>
        <v>8.05</v>
      </c>
      <c r="H9146" s="17"/>
      <c r="K9146" s="17"/>
      <c r="N9146" s="17"/>
    </row>
    <row r="9147">
      <c r="B9147" s="11">
        <f>IFERROR(__xludf.DUMMYFUNCTION("""COMPUTED_VALUE"""),33220.0)</f>
        <v>33220</v>
      </c>
      <c r="C9147" s="9">
        <f>IFERROR(__xludf.DUMMYFUNCTION("""COMPUTED_VALUE"""),7.98)</f>
        <v>7.98</v>
      </c>
      <c r="H9147" s="17"/>
      <c r="K9147" s="17"/>
      <c r="N9147" s="17"/>
    </row>
    <row r="9148">
      <c r="B9148" s="11">
        <f>IFERROR(__xludf.DUMMYFUNCTION("""COMPUTED_VALUE"""),33219.0)</f>
        <v>33219</v>
      </c>
      <c r="C9148" s="9">
        <f>IFERROR(__xludf.DUMMYFUNCTION("""COMPUTED_VALUE"""),7.91)</f>
        <v>7.91</v>
      </c>
      <c r="H9148" s="17"/>
      <c r="K9148" s="17"/>
      <c r="N9148" s="17"/>
    </row>
    <row r="9149">
      <c r="B9149" s="11">
        <f>IFERROR(__xludf.DUMMYFUNCTION("""COMPUTED_VALUE"""),33218.0)</f>
        <v>33218</v>
      </c>
      <c r="C9149" s="9">
        <f>IFERROR(__xludf.DUMMYFUNCTION("""COMPUTED_VALUE"""),7.94)</f>
        <v>7.94</v>
      </c>
      <c r="H9149" s="17"/>
      <c r="K9149" s="17"/>
      <c r="N9149" s="17"/>
    </row>
    <row r="9150">
      <c r="B9150" s="11">
        <f>IFERROR(__xludf.DUMMYFUNCTION("""COMPUTED_VALUE"""),33217.0)</f>
        <v>33217</v>
      </c>
      <c r="C9150" s="9">
        <f>IFERROR(__xludf.DUMMYFUNCTION("""COMPUTED_VALUE"""),7.98)</f>
        <v>7.98</v>
      </c>
      <c r="H9150" s="17"/>
      <c r="K9150" s="17"/>
      <c r="N9150" s="17"/>
    </row>
    <row r="9151">
      <c r="B9151" s="11">
        <f>IFERROR(__xludf.DUMMYFUNCTION("""COMPUTED_VALUE"""),33214.0)</f>
        <v>33214</v>
      </c>
      <c r="C9151" s="9">
        <f>IFERROR(__xludf.DUMMYFUNCTION("""COMPUTED_VALUE"""),8.03)</f>
        <v>8.03</v>
      </c>
      <c r="H9151" s="17"/>
      <c r="K9151" s="17"/>
      <c r="N9151" s="17"/>
    </row>
    <row r="9152">
      <c r="B9152" s="11">
        <f>IFERROR(__xludf.DUMMYFUNCTION("""COMPUTED_VALUE"""),33213.0)</f>
        <v>33213</v>
      </c>
      <c r="C9152" s="9">
        <f>IFERROR(__xludf.DUMMYFUNCTION("""COMPUTED_VALUE"""),8.18)</f>
        <v>8.18</v>
      </c>
      <c r="H9152" s="17"/>
      <c r="K9152" s="17"/>
      <c r="N9152" s="17"/>
    </row>
    <row r="9153">
      <c r="B9153" s="11">
        <f>IFERROR(__xludf.DUMMYFUNCTION("""COMPUTED_VALUE"""),33212.0)</f>
        <v>33212</v>
      </c>
      <c r="C9153" s="9">
        <f>IFERROR(__xludf.DUMMYFUNCTION("""COMPUTED_VALUE"""),8.16)</f>
        <v>8.16</v>
      </c>
      <c r="H9153" s="17"/>
      <c r="K9153" s="17"/>
      <c r="N9153" s="17"/>
    </row>
    <row r="9154">
      <c r="B9154" s="11">
        <f>IFERROR(__xludf.DUMMYFUNCTION("""COMPUTED_VALUE"""),33211.0)</f>
        <v>33211</v>
      </c>
      <c r="C9154" s="9">
        <f>IFERROR(__xludf.DUMMYFUNCTION("""COMPUTED_VALUE"""),8.2)</f>
        <v>8.2</v>
      </c>
      <c r="H9154" s="17"/>
      <c r="K9154" s="17"/>
      <c r="N9154" s="17"/>
    </row>
    <row r="9155">
      <c r="B9155" s="11">
        <f>IFERROR(__xludf.DUMMYFUNCTION("""COMPUTED_VALUE"""),33210.0)</f>
        <v>33210</v>
      </c>
      <c r="C9155" s="9">
        <f>IFERROR(__xludf.DUMMYFUNCTION("""COMPUTED_VALUE"""),8.22)</f>
        <v>8.22</v>
      </c>
      <c r="H9155" s="17"/>
      <c r="K9155" s="17"/>
      <c r="N9155" s="17"/>
    </row>
    <row r="9156">
      <c r="B9156" s="11">
        <f>IFERROR(__xludf.DUMMYFUNCTION("""COMPUTED_VALUE"""),33207.0)</f>
        <v>33207</v>
      </c>
      <c r="C9156" s="9">
        <f>IFERROR(__xludf.DUMMYFUNCTION("""COMPUTED_VALUE"""),8.26)</f>
        <v>8.26</v>
      </c>
      <c r="H9156" s="17"/>
      <c r="K9156" s="17"/>
      <c r="N9156" s="17"/>
    </row>
    <row r="9157">
      <c r="B9157" s="11">
        <f>IFERROR(__xludf.DUMMYFUNCTION("""COMPUTED_VALUE"""),33206.0)</f>
        <v>33206</v>
      </c>
      <c r="C9157" s="9">
        <f>IFERROR(__xludf.DUMMYFUNCTION("""COMPUTED_VALUE"""),8.32)</f>
        <v>8.32</v>
      </c>
      <c r="H9157" s="17"/>
      <c r="K9157" s="17"/>
      <c r="N9157" s="17"/>
    </row>
    <row r="9158">
      <c r="B9158" s="11">
        <f>IFERROR(__xludf.DUMMYFUNCTION("""COMPUTED_VALUE"""),33205.0)</f>
        <v>33205</v>
      </c>
      <c r="C9158" s="9">
        <f>IFERROR(__xludf.DUMMYFUNCTION("""COMPUTED_VALUE"""),8.3)</f>
        <v>8.3</v>
      </c>
      <c r="H9158" s="17"/>
      <c r="K9158" s="17"/>
      <c r="N9158" s="17"/>
    </row>
    <row r="9159">
      <c r="B9159" s="11">
        <f>IFERROR(__xludf.DUMMYFUNCTION("""COMPUTED_VALUE"""),33204.0)</f>
        <v>33204</v>
      </c>
      <c r="C9159" s="9">
        <f>IFERROR(__xludf.DUMMYFUNCTION("""COMPUTED_VALUE"""),8.28)</f>
        <v>8.28</v>
      </c>
      <c r="H9159" s="17"/>
      <c r="K9159" s="17"/>
      <c r="N9159" s="17"/>
    </row>
    <row r="9160">
      <c r="B9160" s="11">
        <f>IFERROR(__xludf.DUMMYFUNCTION("""COMPUTED_VALUE"""),33203.0)</f>
        <v>33203</v>
      </c>
      <c r="C9160" s="9">
        <f>IFERROR(__xludf.DUMMYFUNCTION("""COMPUTED_VALUE"""),8.27)</f>
        <v>8.27</v>
      </c>
      <c r="H9160" s="17"/>
      <c r="K9160" s="17"/>
      <c r="N9160" s="17"/>
    </row>
    <row r="9161">
      <c r="B9161" s="11">
        <f>IFERROR(__xludf.DUMMYFUNCTION("""COMPUTED_VALUE"""),33200.0)</f>
        <v>33200</v>
      </c>
      <c r="C9161" s="9">
        <f>IFERROR(__xludf.DUMMYFUNCTION("""COMPUTED_VALUE"""),8.28)</f>
        <v>8.28</v>
      </c>
      <c r="H9161" s="17"/>
      <c r="K9161" s="17"/>
      <c r="N9161" s="17"/>
    </row>
    <row r="9162">
      <c r="B9162" s="11">
        <f>IFERROR(__xludf.DUMMYFUNCTION("""COMPUTED_VALUE"""),33199.0)</f>
        <v>33199</v>
      </c>
      <c r="C9162" s="9"/>
      <c r="H9162" s="17"/>
      <c r="K9162" s="17"/>
      <c r="N9162" s="17"/>
    </row>
    <row r="9163">
      <c r="B9163" s="11">
        <f>IFERROR(__xludf.DUMMYFUNCTION("""COMPUTED_VALUE"""),33198.0)</f>
        <v>33198</v>
      </c>
      <c r="C9163" s="9">
        <f>IFERROR(__xludf.DUMMYFUNCTION("""COMPUTED_VALUE"""),8.27)</f>
        <v>8.27</v>
      </c>
      <c r="H9163" s="17"/>
      <c r="K9163" s="17"/>
      <c r="N9163" s="17"/>
    </row>
    <row r="9164">
      <c r="B9164" s="11">
        <f>IFERROR(__xludf.DUMMYFUNCTION("""COMPUTED_VALUE"""),33197.0)</f>
        <v>33197</v>
      </c>
      <c r="C9164" s="9">
        <f>IFERROR(__xludf.DUMMYFUNCTION("""COMPUTED_VALUE"""),8.31)</f>
        <v>8.31</v>
      </c>
      <c r="H9164" s="17"/>
      <c r="K9164" s="17"/>
      <c r="N9164" s="17"/>
    </row>
    <row r="9165">
      <c r="B9165" s="11">
        <f>IFERROR(__xludf.DUMMYFUNCTION("""COMPUTED_VALUE"""),33196.0)</f>
        <v>33196</v>
      </c>
      <c r="C9165" s="9">
        <f>IFERROR(__xludf.DUMMYFUNCTION("""COMPUTED_VALUE"""),8.35)</f>
        <v>8.35</v>
      </c>
      <c r="H9165" s="17"/>
      <c r="K9165" s="17"/>
      <c r="N9165" s="17"/>
    </row>
    <row r="9166">
      <c r="B9166" s="11">
        <f>IFERROR(__xludf.DUMMYFUNCTION("""COMPUTED_VALUE"""),33193.0)</f>
        <v>33193</v>
      </c>
      <c r="C9166" s="9">
        <f>IFERROR(__xludf.DUMMYFUNCTION("""COMPUTED_VALUE"""),8.3)</f>
        <v>8.3</v>
      </c>
      <c r="H9166" s="17"/>
      <c r="K9166" s="17"/>
      <c r="N9166" s="17"/>
    </row>
    <row r="9167">
      <c r="B9167" s="11">
        <f>IFERROR(__xludf.DUMMYFUNCTION("""COMPUTED_VALUE"""),33192.0)</f>
        <v>33192</v>
      </c>
      <c r="C9167" s="9">
        <f>IFERROR(__xludf.DUMMYFUNCTION("""COMPUTED_VALUE"""),8.37)</f>
        <v>8.37</v>
      </c>
      <c r="H9167" s="17"/>
      <c r="K9167" s="17"/>
      <c r="N9167" s="17"/>
    </row>
    <row r="9168">
      <c r="B9168" s="11">
        <f>IFERROR(__xludf.DUMMYFUNCTION("""COMPUTED_VALUE"""),33191.0)</f>
        <v>33191</v>
      </c>
      <c r="C9168" s="9">
        <f>IFERROR(__xludf.DUMMYFUNCTION("""COMPUTED_VALUE"""),8.36)</f>
        <v>8.36</v>
      </c>
      <c r="H9168" s="17"/>
      <c r="K9168" s="17"/>
      <c r="N9168" s="17"/>
    </row>
    <row r="9169">
      <c r="B9169" s="11">
        <f>IFERROR(__xludf.DUMMYFUNCTION("""COMPUTED_VALUE"""),33190.0)</f>
        <v>33190</v>
      </c>
      <c r="C9169" s="9">
        <f>IFERROR(__xludf.DUMMYFUNCTION("""COMPUTED_VALUE"""),8.37)</f>
        <v>8.37</v>
      </c>
      <c r="H9169" s="17"/>
      <c r="K9169" s="17"/>
      <c r="N9169" s="17"/>
    </row>
    <row r="9170">
      <c r="B9170" s="11">
        <f>IFERROR(__xludf.DUMMYFUNCTION("""COMPUTED_VALUE"""),33189.0)</f>
        <v>33189</v>
      </c>
      <c r="C9170" s="9"/>
      <c r="H9170" s="17"/>
      <c r="K9170" s="17"/>
      <c r="N9170" s="17"/>
    </row>
    <row r="9171">
      <c r="B9171" s="11">
        <f>IFERROR(__xludf.DUMMYFUNCTION("""COMPUTED_VALUE"""),33186.0)</f>
        <v>33186</v>
      </c>
      <c r="C9171" s="9">
        <f>IFERROR(__xludf.DUMMYFUNCTION("""COMPUTED_VALUE"""),8.49)</f>
        <v>8.49</v>
      </c>
      <c r="H9171" s="17"/>
      <c r="K9171" s="17"/>
      <c r="N9171" s="17"/>
    </row>
    <row r="9172">
      <c r="B9172" s="11">
        <f>IFERROR(__xludf.DUMMYFUNCTION("""COMPUTED_VALUE"""),33185.0)</f>
        <v>33185</v>
      </c>
      <c r="C9172" s="9">
        <f>IFERROR(__xludf.DUMMYFUNCTION("""COMPUTED_VALUE"""),8.58)</f>
        <v>8.58</v>
      </c>
      <c r="H9172" s="17"/>
      <c r="K9172" s="17"/>
      <c r="N9172" s="17"/>
    </row>
    <row r="9173">
      <c r="B9173" s="11">
        <f>IFERROR(__xludf.DUMMYFUNCTION("""COMPUTED_VALUE"""),33184.0)</f>
        <v>33184</v>
      </c>
      <c r="C9173" s="9">
        <f>IFERROR(__xludf.DUMMYFUNCTION("""COMPUTED_VALUE"""),8.57)</f>
        <v>8.57</v>
      </c>
      <c r="H9173" s="17"/>
      <c r="K9173" s="17"/>
      <c r="N9173" s="17"/>
    </row>
    <row r="9174">
      <c r="B9174" s="11">
        <f>IFERROR(__xludf.DUMMYFUNCTION("""COMPUTED_VALUE"""),33183.0)</f>
        <v>33183</v>
      </c>
      <c r="C9174" s="9">
        <f>IFERROR(__xludf.DUMMYFUNCTION("""COMPUTED_VALUE"""),8.52)</f>
        <v>8.52</v>
      </c>
      <c r="H9174" s="17"/>
      <c r="K9174" s="17"/>
      <c r="N9174" s="17"/>
    </row>
    <row r="9175">
      <c r="B9175" s="11">
        <f>IFERROR(__xludf.DUMMYFUNCTION("""COMPUTED_VALUE"""),33182.0)</f>
        <v>33182</v>
      </c>
      <c r="C9175" s="9">
        <f>IFERROR(__xludf.DUMMYFUNCTION("""COMPUTED_VALUE"""),8.5)</f>
        <v>8.5</v>
      </c>
      <c r="H9175" s="17"/>
      <c r="K9175" s="17"/>
      <c r="N9175" s="17"/>
    </row>
    <row r="9176">
      <c r="B9176" s="11">
        <f>IFERROR(__xludf.DUMMYFUNCTION("""COMPUTED_VALUE"""),33179.0)</f>
        <v>33179</v>
      </c>
      <c r="C9176" s="9">
        <f>IFERROR(__xludf.DUMMYFUNCTION("""COMPUTED_VALUE"""),8.57)</f>
        <v>8.57</v>
      </c>
      <c r="H9176" s="17"/>
      <c r="K9176" s="17"/>
      <c r="N9176" s="17"/>
    </row>
    <row r="9177">
      <c r="B9177" s="11">
        <f>IFERROR(__xludf.DUMMYFUNCTION("""COMPUTED_VALUE"""),33178.0)</f>
        <v>33178</v>
      </c>
      <c r="C9177" s="9">
        <f>IFERROR(__xludf.DUMMYFUNCTION("""COMPUTED_VALUE"""),8.57)</f>
        <v>8.57</v>
      </c>
      <c r="H9177" s="17"/>
      <c r="K9177" s="17"/>
      <c r="N9177" s="17"/>
    </row>
    <row r="9178">
      <c r="B9178" s="11">
        <f>IFERROR(__xludf.DUMMYFUNCTION("""COMPUTED_VALUE"""),33177.0)</f>
        <v>33177</v>
      </c>
      <c r="C9178" s="9">
        <f>IFERROR(__xludf.DUMMYFUNCTION("""COMPUTED_VALUE"""),8.65)</f>
        <v>8.65</v>
      </c>
      <c r="H9178" s="17"/>
      <c r="K9178" s="17"/>
      <c r="N9178" s="17"/>
    </row>
    <row r="9179">
      <c r="B9179" s="11">
        <f>IFERROR(__xludf.DUMMYFUNCTION("""COMPUTED_VALUE"""),33176.0)</f>
        <v>33176</v>
      </c>
      <c r="C9179" s="9">
        <f>IFERROR(__xludf.DUMMYFUNCTION("""COMPUTED_VALUE"""),8.7)</f>
        <v>8.7</v>
      </c>
      <c r="H9179" s="17"/>
      <c r="K9179" s="17"/>
      <c r="N9179" s="17"/>
    </row>
    <row r="9180">
      <c r="B9180" s="11">
        <f>IFERROR(__xludf.DUMMYFUNCTION("""COMPUTED_VALUE"""),33175.0)</f>
        <v>33175</v>
      </c>
      <c r="C9180" s="9">
        <f>IFERROR(__xludf.DUMMYFUNCTION("""COMPUTED_VALUE"""),8.7)</f>
        <v>8.7</v>
      </c>
      <c r="H9180" s="17"/>
      <c r="K9180" s="17"/>
      <c r="N9180" s="17"/>
    </row>
    <row r="9181">
      <c r="B9181" s="11">
        <f>IFERROR(__xludf.DUMMYFUNCTION("""COMPUTED_VALUE"""),33172.0)</f>
        <v>33172</v>
      </c>
      <c r="C9181" s="9">
        <f>IFERROR(__xludf.DUMMYFUNCTION("""COMPUTED_VALUE"""),8.63)</f>
        <v>8.63</v>
      </c>
      <c r="H9181" s="17"/>
      <c r="K9181" s="17"/>
      <c r="N9181" s="17"/>
    </row>
    <row r="9182">
      <c r="B9182" s="11">
        <f>IFERROR(__xludf.DUMMYFUNCTION("""COMPUTED_VALUE"""),33171.0)</f>
        <v>33171</v>
      </c>
      <c r="C9182" s="9">
        <f>IFERROR(__xludf.DUMMYFUNCTION("""COMPUTED_VALUE"""),8.62)</f>
        <v>8.62</v>
      </c>
      <c r="H9182" s="17"/>
      <c r="K9182" s="17"/>
      <c r="N9182" s="17"/>
    </row>
    <row r="9183">
      <c r="B9183" s="11">
        <f>IFERROR(__xludf.DUMMYFUNCTION("""COMPUTED_VALUE"""),33170.0)</f>
        <v>33170</v>
      </c>
      <c r="C9183" s="9">
        <f>IFERROR(__xludf.DUMMYFUNCTION("""COMPUTED_VALUE"""),8.66)</f>
        <v>8.66</v>
      </c>
      <c r="H9183" s="17"/>
      <c r="K9183" s="17"/>
      <c r="N9183" s="17"/>
    </row>
    <row r="9184">
      <c r="B9184" s="11">
        <f>IFERROR(__xludf.DUMMYFUNCTION("""COMPUTED_VALUE"""),33169.0)</f>
        <v>33169</v>
      </c>
      <c r="C9184" s="9">
        <f>IFERROR(__xludf.DUMMYFUNCTION("""COMPUTED_VALUE"""),8.65)</f>
        <v>8.65</v>
      </c>
      <c r="H9184" s="17"/>
      <c r="K9184" s="17"/>
      <c r="N9184" s="17"/>
    </row>
    <row r="9185">
      <c r="B9185" s="11">
        <f>IFERROR(__xludf.DUMMYFUNCTION("""COMPUTED_VALUE"""),33168.0)</f>
        <v>33168</v>
      </c>
      <c r="C9185" s="9">
        <f>IFERROR(__xludf.DUMMYFUNCTION("""COMPUTED_VALUE"""),8.63)</f>
        <v>8.63</v>
      </c>
      <c r="H9185" s="17"/>
      <c r="K9185" s="17"/>
      <c r="N9185" s="17"/>
    </row>
    <row r="9186">
      <c r="B9186" s="11">
        <f>IFERROR(__xludf.DUMMYFUNCTION("""COMPUTED_VALUE"""),33165.0)</f>
        <v>33165</v>
      </c>
      <c r="C9186" s="9">
        <f>IFERROR(__xludf.DUMMYFUNCTION("""COMPUTED_VALUE"""),8.62)</f>
        <v>8.62</v>
      </c>
      <c r="H9186" s="17"/>
      <c r="K9186" s="17"/>
      <c r="N9186" s="17"/>
    </row>
    <row r="9187">
      <c r="B9187" s="11">
        <f>IFERROR(__xludf.DUMMYFUNCTION("""COMPUTED_VALUE"""),33164.0)</f>
        <v>33164</v>
      </c>
      <c r="C9187" s="9">
        <f>IFERROR(__xludf.DUMMYFUNCTION("""COMPUTED_VALUE"""),8.71)</f>
        <v>8.71</v>
      </c>
      <c r="H9187" s="17"/>
      <c r="K9187" s="17"/>
      <c r="N9187" s="17"/>
    </row>
    <row r="9188">
      <c r="B9188" s="11">
        <f>IFERROR(__xludf.DUMMYFUNCTION("""COMPUTED_VALUE"""),33163.0)</f>
        <v>33163</v>
      </c>
      <c r="C9188" s="9">
        <f>IFERROR(__xludf.DUMMYFUNCTION("""COMPUTED_VALUE"""),8.76)</f>
        <v>8.76</v>
      </c>
      <c r="H9188" s="17"/>
      <c r="K9188" s="17"/>
      <c r="N9188" s="17"/>
    </row>
    <row r="9189">
      <c r="B9189" s="11">
        <f>IFERROR(__xludf.DUMMYFUNCTION("""COMPUTED_VALUE"""),33162.0)</f>
        <v>33162</v>
      </c>
      <c r="C9189" s="9">
        <f>IFERROR(__xludf.DUMMYFUNCTION("""COMPUTED_VALUE"""),8.79)</f>
        <v>8.79</v>
      </c>
      <c r="H9189" s="17"/>
      <c r="K9189" s="17"/>
      <c r="N9189" s="17"/>
    </row>
    <row r="9190">
      <c r="B9190" s="11">
        <f>IFERROR(__xludf.DUMMYFUNCTION("""COMPUTED_VALUE"""),33161.0)</f>
        <v>33161</v>
      </c>
      <c r="C9190" s="9">
        <f>IFERROR(__xludf.DUMMYFUNCTION("""COMPUTED_VALUE"""),8.8)</f>
        <v>8.8</v>
      </c>
      <c r="H9190" s="17"/>
      <c r="K9190" s="17"/>
      <c r="N9190" s="17"/>
    </row>
    <row r="9191">
      <c r="B9191" s="11">
        <f>IFERROR(__xludf.DUMMYFUNCTION("""COMPUTED_VALUE"""),33158.0)</f>
        <v>33158</v>
      </c>
      <c r="C9191" s="9">
        <f>IFERROR(__xludf.DUMMYFUNCTION("""COMPUTED_VALUE"""),8.84)</f>
        <v>8.84</v>
      </c>
      <c r="H9191" s="17"/>
      <c r="K9191" s="17"/>
      <c r="N9191" s="17"/>
    </row>
    <row r="9192">
      <c r="B9192" s="11">
        <f>IFERROR(__xludf.DUMMYFUNCTION("""COMPUTED_VALUE"""),33157.0)</f>
        <v>33157</v>
      </c>
      <c r="C9192" s="9">
        <f>IFERROR(__xludf.DUMMYFUNCTION("""COMPUTED_VALUE"""),8.92)</f>
        <v>8.92</v>
      </c>
      <c r="H9192" s="17"/>
      <c r="K9192" s="17"/>
      <c r="N9192" s="17"/>
    </row>
    <row r="9193">
      <c r="B9193" s="11">
        <f>IFERROR(__xludf.DUMMYFUNCTION("""COMPUTED_VALUE"""),33156.0)</f>
        <v>33156</v>
      </c>
      <c r="C9193" s="9">
        <f>IFERROR(__xludf.DUMMYFUNCTION("""COMPUTED_VALUE"""),8.89)</f>
        <v>8.89</v>
      </c>
      <c r="H9193" s="17"/>
      <c r="K9193" s="17"/>
      <c r="N9193" s="17"/>
    </row>
    <row r="9194">
      <c r="B9194" s="11">
        <f>IFERROR(__xludf.DUMMYFUNCTION("""COMPUTED_VALUE"""),33155.0)</f>
        <v>33155</v>
      </c>
      <c r="C9194" s="9">
        <f>IFERROR(__xludf.DUMMYFUNCTION("""COMPUTED_VALUE"""),8.83)</f>
        <v>8.83</v>
      </c>
      <c r="H9194" s="17"/>
      <c r="K9194" s="17"/>
      <c r="N9194" s="17"/>
    </row>
    <row r="9195">
      <c r="B9195" s="11">
        <f>IFERROR(__xludf.DUMMYFUNCTION("""COMPUTED_VALUE"""),33154.0)</f>
        <v>33154</v>
      </c>
      <c r="C9195" s="9"/>
      <c r="H9195" s="17"/>
      <c r="K9195" s="17"/>
      <c r="N9195" s="17"/>
    </row>
    <row r="9196">
      <c r="B9196" s="11">
        <f>IFERROR(__xludf.DUMMYFUNCTION("""COMPUTED_VALUE"""),33151.0)</f>
        <v>33151</v>
      </c>
      <c r="C9196" s="9">
        <f>IFERROR(__xludf.DUMMYFUNCTION("""COMPUTED_VALUE"""),8.65)</f>
        <v>8.65</v>
      </c>
      <c r="H9196" s="17"/>
      <c r="K9196" s="17"/>
      <c r="N9196" s="17"/>
    </row>
    <row r="9197">
      <c r="B9197" s="11">
        <f>IFERROR(__xludf.DUMMYFUNCTION("""COMPUTED_VALUE"""),33150.0)</f>
        <v>33150</v>
      </c>
      <c r="C9197" s="9">
        <f>IFERROR(__xludf.DUMMYFUNCTION("""COMPUTED_VALUE"""),8.67)</f>
        <v>8.67</v>
      </c>
      <c r="H9197" s="17"/>
      <c r="K9197" s="17"/>
      <c r="N9197" s="17"/>
    </row>
    <row r="9198">
      <c r="B9198" s="11">
        <f>IFERROR(__xludf.DUMMYFUNCTION("""COMPUTED_VALUE"""),33149.0)</f>
        <v>33149</v>
      </c>
      <c r="C9198" s="9">
        <f>IFERROR(__xludf.DUMMYFUNCTION("""COMPUTED_VALUE"""),8.71)</f>
        <v>8.71</v>
      </c>
      <c r="H9198" s="17"/>
      <c r="K9198" s="17"/>
      <c r="N9198" s="17"/>
    </row>
    <row r="9199">
      <c r="B9199" s="11">
        <f>IFERROR(__xludf.DUMMYFUNCTION("""COMPUTED_VALUE"""),33148.0)</f>
        <v>33148</v>
      </c>
      <c r="C9199" s="9">
        <f>IFERROR(__xludf.DUMMYFUNCTION("""COMPUTED_VALUE"""),8.69)</f>
        <v>8.69</v>
      </c>
      <c r="H9199" s="17"/>
      <c r="K9199" s="17"/>
      <c r="N9199" s="17"/>
    </row>
    <row r="9200">
      <c r="B9200" s="11">
        <f>IFERROR(__xludf.DUMMYFUNCTION("""COMPUTED_VALUE"""),33147.0)</f>
        <v>33147</v>
      </c>
      <c r="C9200" s="9">
        <f>IFERROR(__xludf.DUMMYFUNCTION("""COMPUTED_VALUE"""),8.71)</f>
        <v>8.71</v>
      </c>
      <c r="H9200" s="17"/>
      <c r="K9200" s="17"/>
      <c r="N9200" s="17"/>
    </row>
    <row r="9201">
      <c r="B9201" s="11">
        <f>IFERROR(__xludf.DUMMYFUNCTION("""COMPUTED_VALUE"""),33144.0)</f>
        <v>33144</v>
      </c>
      <c r="C9201" s="9">
        <f>IFERROR(__xludf.DUMMYFUNCTION("""COMPUTED_VALUE"""),8.82)</f>
        <v>8.82</v>
      </c>
      <c r="H9201" s="17"/>
      <c r="K9201" s="17"/>
      <c r="N9201" s="17"/>
    </row>
    <row r="9202">
      <c r="B9202" s="11">
        <f>IFERROR(__xludf.DUMMYFUNCTION("""COMPUTED_VALUE"""),33143.0)</f>
        <v>33143</v>
      </c>
      <c r="C9202" s="9">
        <f>IFERROR(__xludf.DUMMYFUNCTION("""COMPUTED_VALUE"""),8.91)</f>
        <v>8.91</v>
      </c>
      <c r="H9202" s="17"/>
      <c r="K9202" s="17"/>
      <c r="N9202" s="17"/>
    </row>
    <row r="9203">
      <c r="B9203" s="11">
        <f>IFERROR(__xludf.DUMMYFUNCTION("""COMPUTED_VALUE"""),33142.0)</f>
        <v>33142</v>
      </c>
      <c r="C9203" s="9">
        <f>IFERROR(__xludf.DUMMYFUNCTION("""COMPUTED_VALUE"""),9.0)</f>
        <v>9</v>
      </c>
      <c r="H9203" s="17"/>
      <c r="K9203" s="17"/>
      <c r="N9203" s="17"/>
    </row>
    <row r="9204">
      <c r="B9204" s="11">
        <f>IFERROR(__xludf.DUMMYFUNCTION("""COMPUTED_VALUE"""),33141.0)</f>
        <v>33141</v>
      </c>
      <c r="C9204" s="9">
        <f>IFERROR(__xludf.DUMMYFUNCTION("""COMPUTED_VALUE"""),9.02)</f>
        <v>9.02</v>
      </c>
      <c r="H9204" s="17"/>
      <c r="K9204" s="17"/>
      <c r="N9204" s="17"/>
    </row>
    <row r="9205">
      <c r="B9205" s="11">
        <f>IFERROR(__xludf.DUMMYFUNCTION("""COMPUTED_VALUE"""),33140.0)</f>
        <v>33140</v>
      </c>
      <c r="C9205" s="9">
        <f>IFERROR(__xludf.DUMMYFUNCTION("""COMPUTED_VALUE"""),9.04)</f>
        <v>9.04</v>
      </c>
      <c r="H9205" s="17"/>
      <c r="K9205" s="17"/>
      <c r="N9205" s="17"/>
    </row>
    <row r="9206">
      <c r="B9206" s="11">
        <f>IFERROR(__xludf.DUMMYFUNCTION("""COMPUTED_VALUE"""),33137.0)</f>
        <v>33137</v>
      </c>
      <c r="C9206" s="9">
        <f>IFERROR(__xludf.DUMMYFUNCTION("""COMPUTED_VALUE"""),8.99)</f>
        <v>8.99</v>
      </c>
      <c r="H9206" s="17"/>
      <c r="K9206" s="17"/>
      <c r="N9206" s="17"/>
    </row>
    <row r="9207">
      <c r="B9207" s="11">
        <f>IFERROR(__xludf.DUMMYFUNCTION("""COMPUTED_VALUE"""),33136.0)</f>
        <v>33136</v>
      </c>
      <c r="C9207" s="9">
        <f>IFERROR(__xludf.DUMMYFUNCTION("""COMPUTED_VALUE"""),8.91)</f>
        <v>8.91</v>
      </c>
      <c r="H9207" s="17"/>
      <c r="K9207" s="17"/>
      <c r="N9207" s="17"/>
    </row>
    <row r="9208">
      <c r="B9208" s="11">
        <f>IFERROR(__xludf.DUMMYFUNCTION("""COMPUTED_VALUE"""),33135.0)</f>
        <v>33135</v>
      </c>
      <c r="C9208" s="9">
        <f>IFERROR(__xludf.DUMMYFUNCTION("""COMPUTED_VALUE"""),8.88)</f>
        <v>8.88</v>
      </c>
      <c r="H9208" s="17"/>
      <c r="K9208" s="17"/>
      <c r="N9208" s="17"/>
    </row>
    <row r="9209">
      <c r="B9209" s="11">
        <f>IFERROR(__xludf.DUMMYFUNCTION("""COMPUTED_VALUE"""),33134.0)</f>
        <v>33134</v>
      </c>
      <c r="C9209" s="9">
        <f>IFERROR(__xludf.DUMMYFUNCTION("""COMPUTED_VALUE"""),8.9)</f>
        <v>8.9</v>
      </c>
      <c r="H9209" s="17"/>
      <c r="K9209" s="17"/>
      <c r="N9209" s="17"/>
    </row>
    <row r="9210">
      <c r="B9210" s="11">
        <f>IFERROR(__xludf.DUMMYFUNCTION("""COMPUTED_VALUE"""),33133.0)</f>
        <v>33133</v>
      </c>
      <c r="C9210" s="9">
        <f>IFERROR(__xludf.DUMMYFUNCTION("""COMPUTED_VALUE"""),8.9)</f>
        <v>8.9</v>
      </c>
      <c r="H9210" s="17"/>
      <c r="K9210" s="17"/>
      <c r="N9210" s="17"/>
    </row>
    <row r="9211">
      <c r="B9211" s="11">
        <f>IFERROR(__xludf.DUMMYFUNCTION("""COMPUTED_VALUE"""),33130.0)</f>
        <v>33130</v>
      </c>
      <c r="C9211" s="9">
        <f>IFERROR(__xludf.DUMMYFUNCTION("""COMPUTED_VALUE"""),8.87)</f>
        <v>8.87</v>
      </c>
      <c r="H9211" s="17"/>
      <c r="K9211" s="17"/>
      <c r="N9211" s="17"/>
    </row>
    <row r="9212">
      <c r="B9212" s="11">
        <f>IFERROR(__xludf.DUMMYFUNCTION("""COMPUTED_VALUE"""),33129.0)</f>
        <v>33129</v>
      </c>
      <c r="C9212" s="9">
        <f>IFERROR(__xludf.DUMMYFUNCTION("""COMPUTED_VALUE"""),8.82)</f>
        <v>8.82</v>
      </c>
      <c r="H9212" s="17"/>
      <c r="K9212" s="17"/>
      <c r="N9212" s="17"/>
    </row>
    <row r="9213">
      <c r="B9213" s="11">
        <f>IFERROR(__xludf.DUMMYFUNCTION("""COMPUTED_VALUE"""),33128.0)</f>
        <v>33128</v>
      </c>
      <c r="C9213" s="9">
        <f>IFERROR(__xludf.DUMMYFUNCTION("""COMPUTED_VALUE"""),8.82)</f>
        <v>8.82</v>
      </c>
      <c r="H9213" s="17"/>
      <c r="K9213" s="17"/>
      <c r="N9213" s="17"/>
    </row>
    <row r="9214">
      <c r="B9214" s="11">
        <f>IFERROR(__xludf.DUMMYFUNCTION("""COMPUTED_VALUE"""),33127.0)</f>
        <v>33127</v>
      </c>
      <c r="C9214" s="9">
        <f>IFERROR(__xludf.DUMMYFUNCTION("""COMPUTED_VALUE"""),8.83)</f>
        <v>8.83</v>
      </c>
      <c r="H9214" s="17"/>
      <c r="K9214" s="17"/>
      <c r="N9214" s="17"/>
    </row>
    <row r="9215">
      <c r="B9215" s="11">
        <f>IFERROR(__xludf.DUMMYFUNCTION("""COMPUTED_VALUE"""),33126.0)</f>
        <v>33126</v>
      </c>
      <c r="C9215" s="9">
        <f>IFERROR(__xludf.DUMMYFUNCTION("""COMPUTED_VALUE"""),8.85)</f>
        <v>8.85</v>
      </c>
      <c r="H9215" s="17"/>
      <c r="K9215" s="17"/>
      <c r="N9215" s="17"/>
    </row>
    <row r="9216">
      <c r="B9216" s="11">
        <f>IFERROR(__xludf.DUMMYFUNCTION("""COMPUTED_VALUE"""),33123.0)</f>
        <v>33123</v>
      </c>
      <c r="C9216" s="9">
        <f>IFERROR(__xludf.DUMMYFUNCTION("""COMPUTED_VALUE"""),8.81)</f>
        <v>8.81</v>
      </c>
      <c r="H9216" s="17"/>
      <c r="K9216" s="17"/>
      <c r="N9216" s="17"/>
    </row>
    <row r="9217">
      <c r="B9217" s="11">
        <f>IFERROR(__xludf.DUMMYFUNCTION("""COMPUTED_VALUE"""),33122.0)</f>
        <v>33122</v>
      </c>
      <c r="C9217" s="9">
        <f>IFERROR(__xludf.DUMMYFUNCTION("""COMPUTED_VALUE"""),8.84)</f>
        <v>8.84</v>
      </c>
      <c r="H9217" s="17"/>
      <c r="K9217" s="17"/>
      <c r="N9217" s="17"/>
    </row>
    <row r="9218">
      <c r="B9218" s="11">
        <f>IFERROR(__xludf.DUMMYFUNCTION("""COMPUTED_VALUE"""),33121.0)</f>
        <v>33121</v>
      </c>
      <c r="C9218" s="9">
        <f>IFERROR(__xludf.DUMMYFUNCTION("""COMPUTED_VALUE"""),8.86)</f>
        <v>8.86</v>
      </c>
      <c r="H9218" s="17"/>
      <c r="K9218" s="17"/>
      <c r="N9218" s="17"/>
    </row>
    <row r="9219">
      <c r="B9219" s="11">
        <f>IFERROR(__xludf.DUMMYFUNCTION("""COMPUTED_VALUE"""),33120.0)</f>
        <v>33120</v>
      </c>
      <c r="C9219" s="9">
        <f>IFERROR(__xludf.DUMMYFUNCTION("""COMPUTED_VALUE"""),8.9)</f>
        <v>8.9</v>
      </c>
      <c r="H9219" s="17"/>
      <c r="K9219" s="17"/>
      <c r="N9219" s="17"/>
    </row>
    <row r="9220">
      <c r="B9220" s="11">
        <f>IFERROR(__xludf.DUMMYFUNCTION("""COMPUTED_VALUE"""),33119.0)</f>
        <v>33119</v>
      </c>
      <c r="C9220" s="9"/>
      <c r="H9220" s="17"/>
      <c r="K9220" s="17"/>
      <c r="N9220" s="17"/>
    </row>
    <row r="9221">
      <c r="B9221" s="11">
        <f>IFERROR(__xludf.DUMMYFUNCTION("""COMPUTED_VALUE"""),33116.0)</f>
        <v>33116</v>
      </c>
      <c r="C9221" s="9">
        <f>IFERROR(__xludf.DUMMYFUNCTION("""COMPUTED_VALUE"""),8.86)</f>
        <v>8.86</v>
      </c>
      <c r="H9221" s="17"/>
      <c r="K9221" s="17"/>
      <c r="N9221" s="17"/>
    </row>
    <row r="9222">
      <c r="B9222" s="11">
        <f>IFERROR(__xludf.DUMMYFUNCTION("""COMPUTED_VALUE"""),33115.0)</f>
        <v>33115</v>
      </c>
      <c r="C9222" s="9">
        <f>IFERROR(__xludf.DUMMYFUNCTION("""COMPUTED_VALUE"""),8.86)</f>
        <v>8.86</v>
      </c>
      <c r="H9222" s="17"/>
      <c r="K9222" s="17"/>
      <c r="N9222" s="17"/>
    </row>
    <row r="9223">
      <c r="B9223" s="11">
        <f>IFERROR(__xludf.DUMMYFUNCTION("""COMPUTED_VALUE"""),33114.0)</f>
        <v>33114</v>
      </c>
      <c r="C9223" s="9">
        <f>IFERROR(__xludf.DUMMYFUNCTION("""COMPUTED_VALUE"""),8.84)</f>
        <v>8.84</v>
      </c>
      <c r="H9223" s="17"/>
      <c r="K9223" s="17"/>
      <c r="N9223" s="17"/>
    </row>
    <row r="9224">
      <c r="B9224" s="11">
        <f>IFERROR(__xludf.DUMMYFUNCTION("""COMPUTED_VALUE"""),33113.0)</f>
        <v>33113</v>
      </c>
      <c r="C9224" s="9">
        <f>IFERROR(__xludf.DUMMYFUNCTION("""COMPUTED_VALUE"""),8.94)</f>
        <v>8.94</v>
      </c>
      <c r="H9224" s="17"/>
      <c r="K9224" s="17"/>
      <c r="N9224" s="17"/>
    </row>
    <row r="9225">
      <c r="B9225" s="11">
        <f>IFERROR(__xludf.DUMMYFUNCTION("""COMPUTED_VALUE"""),33112.0)</f>
        <v>33112</v>
      </c>
      <c r="C9225" s="9">
        <f>IFERROR(__xludf.DUMMYFUNCTION("""COMPUTED_VALUE"""),8.9)</f>
        <v>8.9</v>
      </c>
      <c r="H9225" s="17"/>
      <c r="K9225" s="17"/>
      <c r="N9225" s="17"/>
    </row>
    <row r="9226">
      <c r="B9226" s="11">
        <f>IFERROR(__xludf.DUMMYFUNCTION("""COMPUTED_VALUE"""),33109.0)</f>
        <v>33109</v>
      </c>
      <c r="C9226" s="9">
        <f>IFERROR(__xludf.DUMMYFUNCTION("""COMPUTED_VALUE"""),9.05)</f>
        <v>9.05</v>
      </c>
      <c r="H9226" s="17"/>
      <c r="K9226" s="17"/>
      <c r="N9226" s="17"/>
    </row>
    <row r="9227">
      <c r="B9227" s="11">
        <f>IFERROR(__xludf.DUMMYFUNCTION("""COMPUTED_VALUE"""),33108.0)</f>
        <v>33108</v>
      </c>
      <c r="C9227" s="9">
        <f>IFERROR(__xludf.DUMMYFUNCTION("""COMPUTED_VALUE"""),9.0)</f>
        <v>9</v>
      </c>
      <c r="H9227" s="17"/>
      <c r="K9227" s="17"/>
      <c r="N9227" s="17"/>
    </row>
    <row r="9228">
      <c r="B9228" s="11">
        <f>IFERROR(__xludf.DUMMYFUNCTION("""COMPUTED_VALUE"""),33107.0)</f>
        <v>33107</v>
      </c>
      <c r="C9228" s="9">
        <f>IFERROR(__xludf.DUMMYFUNCTION("""COMPUTED_VALUE"""),8.91)</f>
        <v>8.91</v>
      </c>
      <c r="H9228" s="17"/>
      <c r="K9228" s="17"/>
      <c r="N9228" s="17"/>
    </row>
    <row r="9229">
      <c r="B9229" s="11">
        <f>IFERROR(__xludf.DUMMYFUNCTION("""COMPUTED_VALUE"""),33106.0)</f>
        <v>33106</v>
      </c>
      <c r="C9229" s="9">
        <f>IFERROR(__xludf.DUMMYFUNCTION("""COMPUTED_VALUE"""),8.84)</f>
        <v>8.84</v>
      </c>
      <c r="H9229" s="17"/>
      <c r="K9229" s="17"/>
      <c r="N9229" s="17"/>
    </row>
    <row r="9230">
      <c r="B9230" s="11">
        <f>IFERROR(__xludf.DUMMYFUNCTION("""COMPUTED_VALUE"""),33105.0)</f>
        <v>33105</v>
      </c>
      <c r="C9230" s="9">
        <f>IFERROR(__xludf.DUMMYFUNCTION("""COMPUTED_VALUE"""),8.81)</f>
        <v>8.81</v>
      </c>
      <c r="H9230" s="17"/>
      <c r="K9230" s="17"/>
      <c r="N9230" s="17"/>
    </row>
    <row r="9231">
      <c r="B9231" s="11">
        <f>IFERROR(__xludf.DUMMYFUNCTION("""COMPUTED_VALUE"""),33102.0)</f>
        <v>33102</v>
      </c>
      <c r="C9231" s="9">
        <f>IFERROR(__xludf.DUMMYFUNCTION("""COMPUTED_VALUE"""),8.8)</f>
        <v>8.8</v>
      </c>
      <c r="H9231" s="17"/>
      <c r="K9231" s="17"/>
      <c r="N9231" s="17"/>
    </row>
    <row r="9232">
      <c r="B9232" s="11">
        <f>IFERROR(__xludf.DUMMYFUNCTION("""COMPUTED_VALUE"""),33101.0)</f>
        <v>33101</v>
      </c>
      <c r="C9232" s="9">
        <f>IFERROR(__xludf.DUMMYFUNCTION("""COMPUTED_VALUE"""),8.76)</f>
        <v>8.76</v>
      </c>
      <c r="H9232" s="17"/>
      <c r="K9232" s="17"/>
      <c r="N9232" s="17"/>
    </row>
    <row r="9233">
      <c r="B9233" s="11">
        <f>IFERROR(__xludf.DUMMYFUNCTION("""COMPUTED_VALUE"""),33100.0)</f>
        <v>33100</v>
      </c>
      <c r="C9233" s="9">
        <f>IFERROR(__xludf.DUMMYFUNCTION("""COMPUTED_VALUE"""),8.64)</f>
        <v>8.64</v>
      </c>
      <c r="H9233" s="17"/>
      <c r="K9233" s="17"/>
      <c r="N9233" s="17"/>
    </row>
    <row r="9234">
      <c r="B9234" s="11">
        <f>IFERROR(__xludf.DUMMYFUNCTION("""COMPUTED_VALUE"""),33099.0)</f>
        <v>33099</v>
      </c>
      <c r="C9234" s="9">
        <f>IFERROR(__xludf.DUMMYFUNCTION("""COMPUTED_VALUE"""),8.66)</f>
        <v>8.66</v>
      </c>
      <c r="H9234" s="17"/>
      <c r="K9234" s="17"/>
      <c r="N9234" s="17"/>
    </row>
    <row r="9235">
      <c r="B9235" s="11">
        <f>IFERROR(__xludf.DUMMYFUNCTION("""COMPUTED_VALUE"""),33098.0)</f>
        <v>33098</v>
      </c>
      <c r="C9235" s="9">
        <f>IFERROR(__xludf.DUMMYFUNCTION("""COMPUTED_VALUE"""),8.71)</f>
        <v>8.71</v>
      </c>
      <c r="H9235" s="17"/>
      <c r="K9235" s="17"/>
      <c r="N9235" s="17"/>
    </row>
    <row r="9236">
      <c r="B9236" s="11">
        <f>IFERROR(__xludf.DUMMYFUNCTION("""COMPUTED_VALUE"""),33095.0)</f>
        <v>33095</v>
      </c>
      <c r="C9236" s="9">
        <f>IFERROR(__xludf.DUMMYFUNCTION("""COMPUTED_VALUE"""),8.68)</f>
        <v>8.68</v>
      </c>
      <c r="H9236" s="17"/>
      <c r="K9236" s="17"/>
      <c r="N9236" s="17"/>
    </row>
    <row r="9237">
      <c r="B9237" s="11">
        <f>IFERROR(__xludf.DUMMYFUNCTION("""COMPUTED_VALUE"""),33094.0)</f>
        <v>33094</v>
      </c>
      <c r="C9237" s="9">
        <f>IFERROR(__xludf.DUMMYFUNCTION("""COMPUTED_VALUE"""),8.66)</f>
        <v>8.66</v>
      </c>
      <c r="H9237" s="17"/>
      <c r="K9237" s="17"/>
      <c r="N9237" s="17"/>
    </row>
    <row r="9238">
      <c r="B9238" s="11">
        <f>IFERROR(__xludf.DUMMYFUNCTION("""COMPUTED_VALUE"""),33093.0)</f>
        <v>33093</v>
      </c>
      <c r="C9238" s="9">
        <f>IFERROR(__xludf.DUMMYFUNCTION("""COMPUTED_VALUE"""),8.77)</f>
        <v>8.77</v>
      </c>
      <c r="H9238" s="17"/>
      <c r="K9238" s="17"/>
      <c r="N9238" s="17"/>
    </row>
    <row r="9239">
      <c r="B9239" s="11">
        <f>IFERROR(__xludf.DUMMYFUNCTION("""COMPUTED_VALUE"""),33092.0)</f>
        <v>33092</v>
      </c>
      <c r="C9239" s="9">
        <f>IFERROR(__xludf.DUMMYFUNCTION("""COMPUTED_VALUE"""),8.78)</f>
        <v>8.78</v>
      </c>
      <c r="H9239" s="17"/>
      <c r="K9239" s="17"/>
      <c r="N9239" s="17"/>
    </row>
    <row r="9240">
      <c r="B9240" s="11">
        <f>IFERROR(__xludf.DUMMYFUNCTION("""COMPUTED_VALUE"""),33091.0)</f>
        <v>33091</v>
      </c>
      <c r="C9240" s="9">
        <f>IFERROR(__xludf.DUMMYFUNCTION("""COMPUTED_VALUE"""),8.71)</f>
        <v>8.71</v>
      </c>
      <c r="H9240" s="17"/>
      <c r="K9240" s="17"/>
      <c r="N9240" s="17"/>
    </row>
    <row r="9241">
      <c r="B9241" s="11">
        <f>IFERROR(__xludf.DUMMYFUNCTION("""COMPUTED_VALUE"""),33088.0)</f>
        <v>33088</v>
      </c>
      <c r="C9241" s="9">
        <f>IFERROR(__xludf.DUMMYFUNCTION("""COMPUTED_VALUE"""),8.43)</f>
        <v>8.43</v>
      </c>
      <c r="H9241" s="17"/>
      <c r="K9241" s="17"/>
      <c r="N9241" s="17"/>
    </row>
    <row r="9242">
      <c r="B9242" s="11">
        <f>IFERROR(__xludf.DUMMYFUNCTION("""COMPUTED_VALUE"""),33087.0)</f>
        <v>33087</v>
      </c>
      <c r="C9242" s="9">
        <f>IFERROR(__xludf.DUMMYFUNCTION("""COMPUTED_VALUE"""),8.41)</f>
        <v>8.41</v>
      </c>
      <c r="H9242" s="17"/>
      <c r="K9242" s="17"/>
      <c r="N9242" s="17"/>
    </row>
    <row r="9243">
      <c r="B9243" s="11">
        <f>IFERROR(__xludf.DUMMYFUNCTION("""COMPUTED_VALUE"""),33086.0)</f>
        <v>33086</v>
      </c>
      <c r="C9243" s="9">
        <f>IFERROR(__xludf.DUMMYFUNCTION("""COMPUTED_VALUE"""),8.29)</f>
        <v>8.29</v>
      </c>
      <c r="H9243" s="17"/>
      <c r="K9243" s="17"/>
      <c r="N9243" s="17"/>
    </row>
    <row r="9244">
      <c r="B9244" s="11">
        <f>IFERROR(__xludf.DUMMYFUNCTION("""COMPUTED_VALUE"""),33085.0)</f>
        <v>33085</v>
      </c>
      <c r="C9244" s="9">
        <f>IFERROR(__xludf.DUMMYFUNCTION("""COMPUTED_VALUE"""),8.36)</f>
        <v>8.36</v>
      </c>
      <c r="H9244" s="17"/>
      <c r="K9244" s="17"/>
      <c r="N9244" s="17"/>
    </row>
    <row r="9245">
      <c r="B9245" s="11">
        <f>IFERROR(__xludf.DUMMYFUNCTION("""COMPUTED_VALUE"""),33084.0)</f>
        <v>33084</v>
      </c>
      <c r="C9245" s="9">
        <f>IFERROR(__xludf.DUMMYFUNCTION("""COMPUTED_VALUE"""),8.34)</f>
        <v>8.34</v>
      </c>
      <c r="H9245" s="17"/>
      <c r="K9245" s="17"/>
      <c r="N9245" s="17"/>
    </row>
    <row r="9246">
      <c r="B9246" s="11">
        <f>IFERROR(__xludf.DUMMYFUNCTION("""COMPUTED_VALUE"""),33081.0)</f>
        <v>33081</v>
      </c>
      <c r="C9246" s="9">
        <f>IFERROR(__xludf.DUMMYFUNCTION("""COMPUTED_VALUE"""),8.42)</f>
        <v>8.42</v>
      </c>
      <c r="H9246" s="17"/>
      <c r="K9246" s="17"/>
      <c r="N9246" s="17"/>
    </row>
    <row r="9247">
      <c r="B9247" s="11">
        <f>IFERROR(__xludf.DUMMYFUNCTION("""COMPUTED_VALUE"""),33080.0)</f>
        <v>33080</v>
      </c>
      <c r="C9247" s="9">
        <f>IFERROR(__xludf.DUMMYFUNCTION("""COMPUTED_VALUE"""),8.49)</f>
        <v>8.49</v>
      </c>
      <c r="H9247" s="17"/>
      <c r="K9247" s="17"/>
      <c r="N9247" s="17"/>
    </row>
    <row r="9248">
      <c r="B9248" s="11">
        <f>IFERROR(__xludf.DUMMYFUNCTION("""COMPUTED_VALUE"""),33079.0)</f>
        <v>33079</v>
      </c>
      <c r="C9248" s="9">
        <f>IFERROR(__xludf.DUMMYFUNCTION("""COMPUTED_VALUE"""),8.49)</f>
        <v>8.49</v>
      </c>
      <c r="H9248" s="17"/>
      <c r="K9248" s="17"/>
      <c r="N9248" s="17"/>
    </row>
    <row r="9249">
      <c r="B9249" s="11">
        <f>IFERROR(__xludf.DUMMYFUNCTION("""COMPUTED_VALUE"""),33078.0)</f>
        <v>33078</v>
      </c>
      <c r="C9249" s="9">
        <f>IFERROR(__xludf.DUMMYFUNCTION("""COMPUTED_VALUE"""),8.53)</f>
        <v>8.53</v>
      </c>
      <c r="H9249" s="17"/>
      <c r="K9249" s="17"/>
      <c r="N9249" s="17"/>
    </row>
    <row r="9250">
      <c r="B9250" s="11">
        <f>IFERROR(__xludf.DUMMYFUNCTION("""COMPUTED_VALUE"""),33077.0)</f>
        <v>33077</v>
      </c>
      <c r="C9250" s="9">
        <f>IFERROR(__xludf.DUMMYFUNCTION("""COMPUTED_VALUE"""),8.48)</f>
        <v>8.48</v>
      </c>
      <c r="H9250" s="17"/>
      <c r="K9250" s="17"/>
      <c r="N9250" s="17"/>
    </row>
    <row r="9251">
      <c r="B9251" s="11">
        <f>IFERROR(__xludf.DUMMYFUNCTION("""COMPUTED_VALUE"""),33074.0)</f>
        <v>33074</v>
      </c>
      <c r="C9251" s="9">
        <f>IFERROR(__xludf.DUMMYFUNCTION("""COMPUTED_VALUE"""),8.48)</f>
        <v>8.48</v>
      </c>
      <c r="H9251" s="17"/>
      <c r="K9251" s="17"/>
      <c r="N9251" s="17"/>
    </row>
    <row r="9252">
      <c r="B9252" s="11">
        <f>IFERROR(__xludf.DUMMYFUNCTION("""COMPUTED_VALUE"""),33073.0)</f>
        <v>33073</v>
      </c>
      <c r="C9252" s="9">
        <f>IFERROR(__xludf.DUMMYFUNCTION("""COMPUTED_VALUE"""),8.51)</f>
        <v>8.51</v>
      </c>
      <c r="H9252" s="17"/>
      <c r="K9252" s="17"/>
      <c r="N9252" s="17"/>
    </row>
    <row r="9253">
      <c r="B9253" s="11">
        <f>IFERROR(__xludf.DUMMYFUNCTION("""COMPUTED_VALUE"""),33072.0)</f>
        <v>33072</v>
      </c>
      <c r="C9253" s="9">
        <f>IFERROR(__xludf.DUMMYFUNCTION("""COMPUTED_VALUE"""),8.5)</f>
        <v>8.5</v>
      </c>
      <c r="H9253" s="17"/>
      <c r="K9253" s="17"/>
      <c r="N9253" s="17"/>
    </row>
    <row r="9254">
      <c r="B9254" s="11">
        <f>IFERROR(__xludf.DUMMYFUNCTION("""COMPUTED_VALUE"""),33071.0)</f>
        <v>33071</v>
      </c>
      <c r="C9254" s="9">
        <f>IFERROR(__xludf.DUMMYFUNCTION("""COMPUTED_VALUE"""),8.44)</f>
        <v>8.44</v>
      </c>
      <c r="H9254" s="17"/>
      <c r="K9254" s="17"/>
      <c r="N9254" s="17"/>
    </row>
    <row r="9255">
      <c r="B9255" s="11">
        <f>IFERROR(__xludf.DUMMYFUNCTION("""COMPUTED_VALUE"""),33070.0)</f>
        <v>33070</v>
      </c>
      <c r="C9255" s="9">
        <f>IFERROR(__xludf.DUMMYFUNCTION("""COMPUTED_VALUE"""),8.44)</f>
        <v>8.44</v>
      </c>
      <c r="H9255" s="17"/>
      <c r="K9255" s="17"/>
      <c r="N9255" s="17"/>
    </row>
    <row r="9256">
      <c r="B9256" s="11">
        <f>IFERROR(__xludf.DUMMYFUNCTION("""COMPUTED_VALUE"""),33067.0)</f>
        <v>33067</v>
      </c>
      <c r="C9256" s="9">
        <f>IFERROR(__xludf.DUMMYFUNCTION("""COMPUTED_VALUE"""),8.45)</f>
        <v>8.45</v>
      </c>
      <c r="H9256" s="17"/>
      <c r="K9256" s="17"/>
      <c r="N9256" s="17"/>
    </row>
    <row r="9257">
      <c r="B9257" s="11">
        <f>IFERROR(__xludf.DUMMYFUNCTION("""COMPUTED_VALUE"""),33066.0)</f>
        <v>33066</v>
      </c>
      <c r="C9257" s="9">
        <f>IFERROR(__xludf.DUMMYFUNCTION("""COMPUTED_VALUE"""),8.5)</f>
        <v>8.5</v>
      </c>
      <c r="H9257" s="17"/>
      <c r="K9257" s="17"/>
      <c r="N9257" s="17"/>
    </row>
    <row r="9258">
      <c r="B9258" s="11">
        <f>IFERROR(__xludf.DUMMYFUNCTION("""COMPUTED_VALUE"""),33065.0)</f>
        <v>33065</v>
      </c>
      <c r="C9258" s="9">
        <f>IFERROR(__xludf.DUMMYFUNCTION("""COMPUTED_VALUE"""),8.57)</f>
        <v>8.57</v>
      </c>
      <c r="H9258" s="17"/>
      <c r="K9258" s="17"/>
      <c r="N9258" s="17"/>
    </row>
    <row r="9259">
      <c r="B9259" s="11">
        <f>IFERROR(__xludf.DUMMYFUNCTION("""COMPUTED_VALUE"""),33064.0)</f>
        <v>33064</v>
      </c>
      <c r="C9259" s="9">
        <f>IFERROR(__xludf.DUMMYFUNCTION("""COMPUTED_VALUE"""),8.57)</f>
        <v>8.57</v>
      </c>
      <c r="H9259" s="17"/>
      <c r="K9259" s="17"/>
      <c r="N9259" s="17"/>
    </row>
    <row r="9260">
      <c r="B9260" s="11">
        <f>IFERROR(__xludf.DUMMYFUNCTION("""COMPUTED_VALUE"""),33063.0)</f>
        <v>33063</v>
      </c>
      <c r="C9260" s="9">
        <f>IFERROR(__xludf.DUMMYFUNCTION("""COMPUTED_VALUE"""),8.57)</f>
        <v>8.57</v>
      </c>
      <c r="H9260" s="17"/>
      <c r="K9260" s="17"/>
      <c r="N9260" s="17"/>
    </row>
    <row r="9261">
      <c r="B9261" s="11">
        <f>IFERROR(__xludf.DUMMYFUNCTION("""COMPUTED_VALUE"""),33060.0)</f>
        <v>33060</v>
      </c>
      <c r="C9261" s="9">
        <f>IFERROR(__xludf.DUMMYFUNCTION("""COMPUTED_VALUE"""),8.51)</f>
        <v>8.51</v>
      </c>
      <c r="H9261" s="17"/>
      <c r="K9261" s="17"/>
      <c r="N9261" s="17"/>
    </row>
    <row r="9262">
      <c r="B9262" s="11">
        <f>IFERROR(__xludf.DUMMYFUNCTION("""COMPUTED_VALUE"""),33059.0)</f>
        <v>33059</v>
      </c>
      <c r="C9262" s="9">
        <f>IFERROR(__xludf.DUMMYFUNCTION("""COMPUTED_VALUE"""),8.42)</f>
        <v>8.42</v>
      </c>
      <c r="H9262" s="17"/>
      <c r="K9262" s="17"/>
      <c r="N9262" s="17"/>
    </row>
    <row r="9263">
      <c r="B9263" s="11">
        <f>IFERROR(__xludf.DUMMYFUNCTION("""COMPUTED_VALUE"""),33058.0)</f>
        <v>33058</v>
      </c>
      <c r="C9263" s="9"/>
      <c r="H9263" s="17"/>
      <c r="K9263" s="17"/>
      <c r="N9263" s="17"/>
    </row>
    <row r="9264">
      <c r="B9264" s="11">
        <f>IFERROR(__xludf.DUMMYFUNCTION("""COMPUTED_VALUE"""),33057.0)</f>
        <v>33057</v>
      </c>
      <c r="C9264" s="9">
        <f>IFERROR(__xludf.DUMMYFUNCTION("""COMPUTED_VALUE"""),8.4)</f>
        <v>8.4</v>
      </c>
      <c r="H9264" s="17"/>
      <c r="K9264" s="17"/>
      <c r="N9264" s="17"/>
    </row>
    <row r="9265">
      <c r="B9265" s="11">
        <f>IFERROR(__xludf.DUMMYFUNCTION("""COMPUTED_VALUE"""),33056.0)</f>
        <v>33056</v>
      </c>
      <c r="C9265" s="9">
        <f>IFERROR(__xludf.DUMMYFUNCTION("""COMPUTED_VALUE"""),8.43)</f>
        <v>8.43</v>
      </c>
      <c r="H9265" s="17"/>
      <c r="K9265" s="17"/>
      <c r="N9265" s="17"/>
    </row>
    <row r="9266">
      <c r="B9266" s="11">
        <f>IFERROR(__xludf.DUMMYFUNCTION("""COMPUTED_VALUE"""),33053.0)</f>
        <v>33053</v>
      </c>
      <c r="C9266" s="9">
        <f>IFERROR(__xludf.DUMMYFUNCTION("""COMPUTED_VALUE"""),8.43)</f>
        <v>8.43</v>
      </c>
      <c r="H9266" s="17"/>
      <c r="K9266" s="17"/>
      <c r="N9266" s="17"/>
    </row>
    <row r="9267">
      <c r="B9267" s="11">
        <f>IFERROR(__xludf.DUMMYFUNCTION("""COMPUTED_VALUE"""),33052.0)</f>
        <v>33052</v>
      </c>
      <c r="C9267" s="9">
        <f>IFERROR(__xludf.DUMMYFUNCTION("""COMPUTED_VALUE"""),8.47)</f>
        <v>8.47</v>
      </c>
      <c r="H9267" s="17"/>
      <c r="K9267" s="17"/>
      <c r="N9267" s="17"/>
    </row>
    <row r="9268">
      <c r="B9268" s="11">
        <f>IFERROR(__xludf.DUMMYFUNCTION("""COMPUTED_VALUE"""),33051.0)</f>
        <v>33051</v>
      </c>
      <c r="C9268" s="9">
        <f>IFERROR(__xludf.DUMMYFUNCTION("""COMPUTED_VALUE"""),8.52)</f>
        <v>8.52</v>
      </c>
      <c r="H9268" s="17"/>
      <c r="K9268" s="17"/>
      <c r="N9268" s="17"/>
    </row>
    <row r="9269">
      <c r="B9269" s="11">
        <f>IFERROR(__xludf.DUMMYFUNCTION("""COMPUTED_VALUE"""),33050.0)</f>
        <v>33050</v>
      </c>
      <c r="C9269" s="9">
        <f>IFERROR(__xludf.DUMMYFUNCTION("""COMPUTED_VALUE"""),8.56)</f>
        <v>8.56</v>
      </c>
      <c r="H9269" s="17"/>
      <c r="K9269" s="17"/>
      <c r="N9269" s="17"/>
    </row>
    <row r="9270">
      <c r="B9270" s="11">
        <f>IFERROR(__xludf.DUMMYFUNCTION("""COMPUTED_VALUE"""),33049.0)</f>
        <v>33049</v>
      </c>
      <c r="C9270" s="9">
        <f>IFERROR(__xludf.DUMMYFUNCTION("""COMPUTED_VALUE"""),8.58)</f>
        <v>8.58</v>
      </c>
      <c r="H9270" s="17"/>
      <c r="K9270" s="17"/>
      <c r="N9270" s="17"/>
    </row>
    <row r="9271">
      <c r="B9271" s="11">
        <f>IFERROR(__xludf.DUMMYFUNCTION("""COMPUTED_VALUE"""),33046.0)</f>
        <v>33046</v>
      </c>
      <c r="C9271" s="9">
        <f>IFERROR(__xludf.DUMMYFUNCTION("""COMPUTED_VALUE"""),8.51)</f>
        <v>8.51</v>
      </c>
      <c r="H9271" s="17"/>
      <c r="K9271" s="17"/>
      <c r="N9271" s="17"/>
    </row>
    <row r="9272">
      <c r="B9272" s="11">
        <f>IFERROR(__xludf.DUMMYFUNCTION("""COMPUTED_VALUE"""),33045.0)</f>
        <v>33045</v>
      </c>
      <c r="C9272" s="9">
        <f>IFERROR(__xludf.DUMMYFUNCTION("""COMPUTED_VALUE"""),8.52)</f>
        <v>8.52</v>
      </c>
      <c r="H9272" s="17"/>
      <c r="K9272" s="17"/>
      <c r="N9272" s="17"/>
    </row>
    <row r="9273">
      <c r="B9273" s="11">
        <f>IFERROR(__xludf.DUMMYFUNCTION("""COMPUTED_VALUE"""),33044.0)</f>
        <v>33044</v>
      </c>
      <c r="C9273" s="9">
        <f>IFERROR(__xludf.DUMMYFUNCTION("""COMPUTED_VALUE"""),8.55)</f>
        <v>8.55</v>
      </c>
      <c r="H9273" s="17"/>
      <c r="K9273" s="17"/>
      <c r="N9273" s="17"/>
    </row>
    <row r="9274">
      <c r="B9274" s="11">
        <f>IFERROR(__xludf.DUMMYFUNCTION("""COMPUTED_VALUE"""),33043.0)</f>
        <v>33043</v>
      </c>
      <c r="C9274" s="9">
        <f>IFERROR(__xludf.DUMMYFUNCTION("""COMPUTED_VALUE"""),8.51)</f>
        <v>8.51</v>
      </c>
      <c r="H9274" s="17"/>
      <c r="K9274" s="17"/>
      <c r="N9274" s="17"/>
    </row>
    <row r="9275">
      <c r="B9275" s="11">
        <f>IFERROR(__xludf.DUMMYFUNCTION("""COMPUTED_VALUE"""),33042.0)</f>
        <v>33042</v>
      </c>
      <c r="C9275" s="9">
        <f>IFERROR(__xludf.DUMMYFUNCTION("""COMPUTED_VALUE"""),8.5)</f>
        <v>8.5</v>
      </c>
      <c r="H9275" s="17"/>
      <c r="K9275" s="17"/>
      <c r="N9275" s="17"/>
    </row>
    <row r="9276">
      <c r="B9276" s="11">
        <f>IFERROR(__xludf.DUMMYFUNCTION("""COMPUTED_VALUE"""),33039.0)</f>
        <v>33039</v>
      </c>
      <c r="C9276" s="9">
        <f>IFERROR(__xludf.DUMMYFUNCTION("""COMPUTED_VALUE"""),8.46)</f>
        <v>8.46</v>
      </c>
      <c r="H9276" s="17"/>
      <c r="K9276" s="17"/>
      <c r="N9276" s="17"/>
    </row>
    <row r="9277">
      <c r="B9277" s="11">
        <f>IFERROR(__xludf.DUMMYFUNCTION("""COMPUTED_VALUE"""),33038.0)</f>
        <v>33038</v>
      </c>
      <c r="C9277" s="9">
        <f>IFERROR(__xludf.DUMMYFUNCTION("""COMPUTED_VALUE"""),8.38)</f>
        <v>8.38</v>
      </c>
      <c r="H9277" s="17"/>
      <c r="K9277" s="17"/>
      <c r="N9277" s="17"/>
    </row>
    <row r="9278">
      <c r="B9278" s="11">
        <f>IFERROR(__xludf.DUMMYFUNCTION("""COMPUTED_VALUE"""),33037.0)</f>
        <v>33037</v>
      </c>
      <c r="C9278" s="9">
        <f>IFERROR(__xludf.DUMMYFUNCTION("""COMPUTED_VALUE"""),8.4)</f>
        <v>8.4</v>
      </c>
      <c r="H9278" s="17"/>
      <c r="K9278" s="17"/>
      <c r="N9278" s="17"/>
    </row>
    <row r="9279">
      <c r="B9279" s="11">
        <f>IFERROR(__xludf.DUMMYFUNCTION("""COMPUTED_VALUE"""),33036.0)</f>
        <v>33036</v>
      </c>
      <c r="C9279" s="9">
        <f>IFERROR(__xludf.DUMMYFUNCTION("""COMPUTED_VALUE"""),8.48)</f>
        <v>8.48</v>
      </c>
      <c r="H9279" s="17"/>
      <c r="K9279" s="17"/>
      <c r="N9279" s="17"/>
    </row>
    <row r="9280">
      <c r="B9280" s="11">
        <f>IFERROR(__xludf.DUMMYFUNCTION("""COMPUTED_VALUE"""),33035.0)</f>
        <v>33035</v>
      </c>
      <c r="C9280" s="9">
        <f>IFERROR(__xludf.DUMMYFUNCTION("""COMPUTED_VALUE"""),8.48)</f>
        <v>8.48</v>
      </c>
      <c r="H9280" s="17"/>
      <c r="K9280" s="17"/>
      <c r="N9280" s="17"/>
    </row>
    <row r="9281">
      <c r="B9281" s="11">
        <f>IFERROR(__xludf.DUMMYFUNCTION("""COMPUTED_VALUE"""),33032.0)</f>
        <v>33032</v>
      </c>
      <c r="C9281" s="9">
        <f>IFERROR(__xludf.DUMMYFUNCTION("""COMPUTED_VALUE"""),8.46)</f>
        <v>8.46</v>
      </c>
      <c r="H9281" s="17"/>
      <c r="K9281" s="17"/>
      <c r="N9281" s="17"/>
    </row>
    <row r="9282">
      <c r="B9282" s="11">
        <f>IFERROR(__xludf.DUMMYFUNCTION("""COMPUTED_VALUE"""),33031.0)</f>
        <v>33031</v>
      </c>
      <c r="C9282" s="9">
        <f>IFERROR(__xludf.DUMMYFUNCTION("""COMPUTED_VALUE"""),8.46)</f>
        <v>8.46</v>
      </c>
      <c r="H9282" s="17"/>
      <c r="K9282" s="17"/>
      <c r="N9282" s="17"/>
    </row>
    <row r="9283">
      <c r="B9283" s="11">
        <f>IFERROR(__xludf.DUMMYFUNCTION("""COMPUTED_VALUE"""),33030.0)</f>
        <v>33030</v>
      </c>
      <c r="C9283" s="9">
        <f>IFERROR(__xludf.DUMMYFUNCTION("""COMPUTED_VALUE"""),8.46)</f>
        <v>8.46</v>
      </c>
      <c r="H9283" s="17"/>
      <c r="K9283" s="17"/>
      <c r="N9283" s="17"/>
    </row>
    <row r="9284">
      <c r="B9284" s="11">
        <f>IFERROR(__xludf.DUMMYFUNCTION("""COMPUTED_VALUE"""),33029.0)</f>
        <v>33029</v>
      </c>
      <c r="C9284" s="9">
        <f>IFERROR(__xludf.DUMMYFUNCTION("""COMPUTED_VALUE"""),8.47)</f>
        <v>8.47</v>
      </c>
      <c r="H9284" s="17"/>
      <c r="K9284" s="17"/>
      <c r="N9284" s="17"/>
    </row>
    <row r="9285">
      <c r="B9285" s="11">
        <f>IFERROR(__xludf.DUMMYFUNCTION("""COMPUTED_VALUE"""),33028.0)</f>
        <v>33028</v>
      </c>
      <c r="C9285" s="9">
        <f>IFERROR(__xludf.DUMMYFUNCTION("""COMPUTED_VALUE"""),8.44)</f>
        <v>8.44</v>
      </c>
      <c r="H9285" s="17"/>
      <c r="K9285" s="17"/>
      <c r="N9285" s="17"/>
    </row>
    <row r="9286">
      <c r="B9286" s="11">
        <f>IFERROR(__xludf.DUMMYFUNCTION("""COMPUTED_VALUE"""),33025.0)</f>
        <v>33025</v>
      </c>
      <c r="C9286" s="9">
        <f>IFERROR(__xludf.DUMMYFUNCTION("""COMPUTED_VALUE"""),8.44)</f>
        <v>8.44</v>
      </c>
      <c r="H9286" s="17"/>
      <c r="K9286" s="17"/>
      <c r="N9286" s="17"/>
    </row>
    <row r="9287">
      <c r="B9287" s="11">
        <f>IFERROR(__xludf.DUMMYFUNCTION("""COMPUTED_VALUE"""),33024.0)</f>
        <v>33024</v>
      </c>
      <c r="C9287" s="9">
        <f>IFERROR(__xludf.DUMMYFUNCTION("""COMPUTED_VALUE"""),8.6)</f>
        <v>8.6</v>
      </c>
      <c r="H9287" s="17"/>
      <c r="K9287" s="17"/>
      <c r="N9287" s="17"/>
    </row>
    <row r="9288">
      <c r="B9288" s="11">
        <f>IFERROR(__xludf.DUMMYFUNCTION("""COMPUTED_VALUE"""),33023.0)</f>
        <v>33023</v>
      </c>
      <c r="C9288" s="9">
        <f>IFERROR(__xludf.DUMMYFUNCTION("""COMPUTED_VALUE"""),8.62)</f>
        <v>8.62</v>
      </c>
      <c r="H9288" s="17"/>
      <c r="K9288" s="17"/>
      <c r="N9288" s="17"/>
    </row>
    <row r="9289">
      <c r="B9289" s="11">
        <f>IFERROR(__xludf.DUMMYFUNCTION("""COMPUTED_VALUE"""),33022.0)</f>
        <v>33022</v>
      </c>
      <c r="C9289" s="9">
        <f>IFERROR(__xludf.DUMMYFUNCTION("""COMPUTED_VALUE"""),8.66)</f>
        <v>8.66</v>
      </c>
      <c r="H9289" s="17"/>
      <c r="K9289" s="17"/>
      <c r="N9289" s="17"/>
    </row>
    <row r="9290">
      <c r="B9290" s="11">
        <f>IFERROR(__xludf.DUMMYFUNCTION("""COMPUTED_VALUE"""),33021.0)</f>
        <v>33021</v>
      </c>
      <c r="C9290" s="9"/>
      <c r="H9290" s="17"/>
      <c r="K9290" s="17"/>
      <c r="N9290" s="17"/>
    </row>
    <row r="9291">
      <c r="B9291" s="11">
        <f>IFERROR(__xludf.DUMMYFUNCTION("""COMPUTED_VALUE"""),33018.0)</f>
        <v>33018</v>
      </c>
      <c r="C9291" s="9">
        <f>IFERROR(__xludf.DUMMYFUNCTION("""COMPUTED_VALUE"""),8.69)</f>
        <v>8.69</v>
      </c>
      <c r="H9291" s="17"/>
      <c r="K9291" s="17"/>
      <c r="N9291" s="17"/>
    </row>
    <row r="9292">
      <c r="B9292" s="11">
        <f>IFERROR(__xludf.DUMMYFUNCTION("""COMPUTED_VALUE"""),33017.0)</f>
        <v>33017</v>
      </c>
      <c r="C9292" s="9">
        <f>IFERROR(__xludf.DUMMYFUNCTION("""COMPUTED_VALUE"""),8.63)</f>
        <v>8.63</v>
      </c>
      <c r="H9292" s="17"/>
      <c r="K9292" s="17"/>
      <c r="N9292" s="17"/>
    </row>
    <row r="9293">
      <c r="B9293" s="11">
        <f>IFERROR(__xludf.DUMMYFUNCTION("""COMPUTED_VALUE"""),33016.0)</f>
        <v>33016</v>
      </c>
      <c r="C9293" s="9">
        <f>IFERROR(__xludf.DUMMYFUNCTION("""COMPUTED_VALUE"""),8.61)</f>
        <v>8.61</v>
      </c>
      <c r="H9293" s="17"/>
      <c r="K9293" s="17"/>
      <c r="N9293" s="17"/>
    </row>
    <row r="9294">
      <c r="B9294" s="11">
        <f>IFERROR(__xludf.DUMMYFUNCTION("""COMPUTED_VALUE"""),33015.0)</f>
        <v>33015</v>
      </c>
      <c r="C9294" s="9">
        <f>IFERROR(__xludf.DUMMYFUNCTION("""COMPUTED_VALUE"""),8.65)</f>
        <v>8.65</v>
      </c>
      <c r="H9294" s="17"/>
      <c r="K9294" s="17"/>
      <c r="N9294" s="17"/>
    </row>
    <row r="9295">
      <c r="B9295" s="11">
        <f>IFERROR(__xludf.DUMMYFUNCTION("""COMPUTED_VALUE"""),33014.0)</f>
        <v>33014</v>
      </c>
      <c r="C9295" s="9">
        <f>IFERROR(__xludf.DUMMYFUNCTION("""COMPUTED_VALUE"""),8.74)</f>
        <v>8.74</v>
      </c>
      <c r="H9295" s="17"/>
      <c r="K9295" s="17"/>
      <c r="N9295" s="17"/>
    </row>
    <row r="9296">
      <c r="B9296" s="11">
        <f>IFERROR(__xludf.DUMMYFUNCTION("""COMPUTED_VALUE"""),33011.0)</f>
        <v>33011</v>
      </c>
      <c r="C9296" s="9">
        <f>IFERROR(__xludf.DUMMYFUNCTION("""COMPUTED_VALUE"""),8.75)</f>
        <v>8.75</v>
      </c>
      <c r="H9296" s="17"/>
      <c r="K9296" s="17"/>
      <c r="N9296" s="17"/>
    </row>
    <row r="9297">
      <c r="B9297" s="11">
        <f>IFERROR(__xludf.DUMMYFUNCTION("""COMPUTED_VALUE"""),33010.0)</f>
        <v>33010</v>
      </c>
      <c r="C9297" s="9">
        <f>IFERROR(__xludf.DUMMYFUNCTION("""COMPUTED_VALUE"""),8.69)</f>
        <v>8.69</v>
      </c>
      <c r="H9297" s="17"/>
      <c r="K9297" s="17"/>
      <c r="N9297" s="17"/>
    </row>
    <row r="9298">
      <c r="B9298" s="11">
        <f>IFERROR(__xludf.DUMMYFUNCTION("""COMPUTED_VALUE"""),33009.0)</f>
        <v>33009</v>
      </c>
      <c r="C9298" s="9">
        <f>IFERROR(__xludf.DUMMYFUNCTION("""COMPUTED_VALUE"""),8.68)</f>
        <v>8.68</v>
      </c>
      <c r="H9298" s="17"/>
      <c r="K9298" s="17"/>
      <c r="N9298" s="17"/>
    </row>
    <row r="9299">
      <c r="B9299" s="11">
        <f>IFERROR(__xludf.DUMMYFUNCTION("""COMPUTED_VALUE"""),33008.0)</f>
        <v>33008</v>
      </c>
      <c r="C9299" s="9">
        <f>IFERROR(__xludf.DUMMYFUNCTION("""COMPUTED_VALUE"""),8.65)</f>
        <v>8.65</v>
      </c>
      <c r="H9299" s="17"/>
      <c r="K9299" s="17"/>
      <c r="N9299" s="17"/>
    </row>
    <row r="9300">
      <c r="B9300" s="11">
        <f>IFERROR(__xludf.DUMMYFUNCTION("""COMPUTED_VALUE"""),33007.0)</f>
        <v>33007</v>
      </c>
      <c r="C9300" s="9">
        <f>IFERROR(__xludf.DUMMYFUNCTION("""COMPUTED_VALUE"""),8.61)</f>
        <v>8.61</v>
      </c>
      <c r="H9300" s="17"/>
      <c r="K9300" s="17"/>
      <c r="N9300" s="17"/>
    </row>
    <row r="9301">
      <c r="B9301" s="11">
        <f>IFERROR(__xludf.DUMMYFUNCTION("""COMPUTED_VALUE"""),33004.0)</f>
        <v>33004</v>
      </c>
      <c r="C9301" s="9">
        <f>IFERROR(__xludf.DUMMYFUNCTION("""COMPUTED_VALUE"""),8.64)</f>
        <v>8.64</v>
      </c>
      <c r="H9301" s="17"/>
      <c r="K9301" s="17"/>
      <c r="N9301" s="17"/>
    </row>
    <row r="9302">
      <c r="B9302" s="11">
        <f>IFERROR(__xludf.DUMMYFUNCTION("""COMPUTED_VALUE"""),33003.0)</f>
        <v>33003</v>
      </c>
      <c r="C9302" s="9">
        <f>IFERROR(__xludf.DUMMYFUNCTION("""COMPUTED_VALUE"""),8.82)</f>
        <v>8.82</v>
      </c>
      <c r="H9302" s="17"/>
      <c r="K9302" s="17"/>
      <c r="N9302" s="17"/>
    </row>
    <row r="9303">
      <c r="B9303" s="11">
        <f>IFERROR(__xludf.DUMMYFUNCTION("""COMPUTED_VALUE"""),33002.0)</f>
        <v>33002</v>
      </c>
      <c r="C9303" s="9">
        <f>IFERROR(__xludf.DUMMYFUNCTION("""COMPUTED_VALUE"""),8.88)</f>
        <v>8.88</v>
      </c>
      <c r="H9303" s="17"/>
      <c r="K9303" s="17"/>
      <c r="N9303" s="17"/>
    </row>
    <row r="9304">
      <c r="B9304" s="11">
        <f>IFERROR(__xludf.DUMMYFUNCTION("""COMPUTED_VALUE"""),33001.0)</f>
        <v>33001</v>
      </c>
      <c r="C9304" s="9">
        <f>IFERROR(__xludf.DUMMYFUNCTION("""COMPUTED_VALUE"""),8.84)</f>
        <v>8.84</v>
      </c>
      <c r="H9304" s="17"/>
      <c r="K9304" s="17"/>
      <c r="N9304" s="17"/>
    </row>
    <row r="9305">
      <c r="B9305" s="11">
        <f>IFERROR(__xludf.DUMMYFUNCTION("""COMPUTED_VALUE"""),33000.0)</f>
        <v>33000</v>
      </c>
      <c r="C9305" s="9">
        <f>IFERROR(__xludf.DUMMYFUNCTION("""COMPUTED_VALUE"""),8.87)</f>
        <v>8.87</v>
      </c>
      <c r="H9305" s="17"/>
      <c r="K9305" s="17"/>
      <c r="N9305" s="17"/>
    </row>
    <row r="9306">
      <c r="B9306" s="11">
        <f>IFERROR(__xludf.DUMMYFUNCTION("""COMPUTED_VALUE"""),32997.0)</f>
        <v>32997</v>
      </c>
      <c r="C9306" s="9">
        <f>IFERROR(__xludf.DUMMYFUNCTION("""COMPUTED_VALUE"""),8.84)</f>
        <v>8.84</v>
      </c>
      <c r="H9306" s="17"/>
      <c r="K9306" s="17"/>
      <c r="N9306" s="17"/>
    </row>
    <row r="9307">
      <c r="B9307" s="11">
        <f>IFERROR(__xludf.DUMMYFUNCTION("""COMPUTED_VALUE"""),32996.0)</f>
        <v>32996</v>
      </c>
      <c r="C9307" s="9">
        <f>IFERROR(__xludf.DUMMYFUNCTION("""COMPUTED_VALUE"""),9.04)</f>
        <v>9.04</v>
      </c>
      <c r="H9307" s="17"/>
      <c r="K9307" s="17"/>
      <c r="N9307" s="17"/>
    </row>
    <row r="9308">
      <c r="B9308" s="11">
        <f>IFERROR(__xludf.DUMMYFUNCTION("""COMPUTED_VALUE"""),32995.0)</f>
        <v>32995</v>
      </c>
      <c r="C9308" s="9">
        <f>IFERROR(__xludf.DUMMYFUNCTION("""COMPUTED_VALUE"""),9.09)</f>
        <v>9.09</v>
      </c>
      <c r="H9308" s="17"/>
      <c r="K9308" s="17"/>
      <c r="N9308" s="17"/>
    </row>
    <row r="9309">
      <c r="B9309" s="11">
        <f>IFERROR(__xludf.DUMMYFUNCTION("""COMPUTED_VALUE"""),32994.0)</f>
        <v>32994</v>
      </c>
      <c r="C9309" s="9">
        <f>IFERROR(__xludf.DUMMYFUNCTION("""COMPUTED_VALUE"""),9.08)</f>
        <v>9.08</v>
      </c>
      <c r="H9309" s="17"/>
      <c r="K9309" s="17"/>
      <c r="N9309" s="17"/>
    </row>
    <row r="9310">
      <c r="B9310" s="11">
        <f>IFERROR(__xludf.DUMMYFUNCTION("""COMPUTED_VALUE"""),32993.0)</f>
        <v>32993</v>
      </c>
      <c r="C9310" s="9">
        <f>IFERROR(__xludf.DUMMYFUNCTION("""COMPUTED_VALUE"""),9.04)</f>
        <v>9.04</v>
      </c>
      <c r="H9310" s="17"/>
      <c r="K9310" s="17"/>
      <c r="N9310" s="17"/>
    </row>
    <row r="9311">
      <c r="B9311" s="11">
        <f>IFERROR(__xludf.DUMMYFUNCTION("""COMPUTED_VALUE"""),32990.0)</f>
        <v>32990</v>
      </c>
      <c r="C9311" s="9">
        <f>IFERROR(__xludf.DUMMYFUNCTION("""COMPUTED_VALUE"""),9.06)</f>
        <v>9.06</v>
      </c>
      <c r="H9311" s="17"/>
      <c r="K9311" s="17"/>
      <c r="N9311" s="17"/>
    </row>
    <row r="9312">
      <c r="B9312" s="11">
        <f>IFERROR(__xludf.DUMMYFUNCTION("""COMPUTED_VALUE"""),32989.0)</f>
        <v>32989</v>
      </c>
      <c r="C9312" s="9">
        <f>IFERROR(__xludf.DUMMYFUNCTION("""COMPUTED_VALUE"""),9.07)</f>
        <v>9.07</v>
      </c>
      <c r="H9312" s="17"/>
      <c r="K9312" s="17"/>
      <c r="N9312" s="17"/>
    </row>
    <row r="9313">
      <c r="B9313" s="11">
        <f>IFERROR(__xludf.DUMMYFUNCTION("""COMPUTED_VALUE"""),32988.0)</f>
        <v>32988</v>
      </c>
      <c r="C9313" s="9">
        <f>IFERROR(__xludf.DUMMYFUNCTION("""COMPUTED_VALUE"""),9.01)</f>
        <v>9.01</v>
      </c>
      <c r="H9313" s="17"/>
      <c r="K9313" s="17"/>
      <c r="N9313" s="17"/>
    </row>
    <row r="9314">
      <c r="B9314" s="11">
        <f>IFERROR(__xludf.DUMMYFUNCTION("""COMPUTED_VALUE"""),32987.0)</f>
        <v>32987</v>
      </c>
      <c r="C9314" s="9">
        <f>IFERROR(__xludf.DUMMYFUNCTION("""COMPUTED_VALUE"""),9.0)</f>
        <v>9</v>
      </c>
      <c r="H9314" s="17"/>
      <c r="K9314" s="17"/>
      <c r="N9314" s="17"/>
    </row>
    <row r="9315">
      <c r="B9315" s="11">
        <f>IFERROR(__xludf.DUMMYFUNCTION("""COMPUTED_VALUE"""),32986.0)</f>
        <v>32986</v>
      </c>
      <c r="C9315" s="9">
        <f>IFERROR(__xludf.DUMMYFUNCTION("""COMPUTED_VALUE"""),8.98)</f>
        <v>8.98</v>
      </c>
      <c r="H9315" s="17"/>
      <c r="K9315" s="17"/>
      <c r="N9315" s="17"/>
    </row>
    <row r="9316">
      <c r="B9316" s="11">
        <f>IFERROR(__xludf.DUMMYFUNCTION("""COMPUTED_VALUE"""),32983.0)</f>
        <v>32983</v>
      </c>
      <c r="C9316" s="9">
        <f>IFERROR(__xludf.DUMMYFUNCTION("""COMPUTED_VALUE"""),8.95)</f>
        <v>8.95</v>
      </c>
      <c r="H9316" s="17"/>
      <c r="K9316" s="17"/>
      <c r="N9316" s="17"/>
    </row>
    <row r="9317">
      <c r="B9317" s="11">
        <f>IFERROR(__xludf.DUMMYFUNCTION("""COMPUTED_VALUE"""),32982.0)</f>
        <v>32982</v>
      </c>
      <c r="C9317" s="9">
        <f>IFERROR(__xludf.DUMMYFUNCTION("""COMPUTED_VALUE"""),8.87)</f>
        <v>8.87</v>
      </c>
      <c r="H9317" s="17"/>
      <c r="K9317" s="17"/>
      <c r="N9317" s="17"/>
    </row>
    <row r="9318">
      <c r="B9318" s="11">
        <f>IFERROR(__xludf.DUMMYFUNCTION("""COMPUTED_VALUE"""),32981.0)</f>
        <v>32981</v>
      </c>
      <c r="C9318" s="9">
        <f>IFERROR(__xludf.DUMMYFUNCTION("""COMPUTED_VALUE"""),8.86)</f>
        <v>8.86</v>
      </c>
      <c r="H9318" s="17"/>
      <c r="K9318" s="17"/>
      <c r="N9318" s="17"/>
    </row>
    <row r="9319">
      <c r="B9319" s="11">
        <f>IFERROR(__xludf.DUMMYFUNCTION("""COMPUTED_VALUE"""),32980.0)</f>
        <v>32980</v>
      </c>
      <c r="C9319" s="9">
        <f>IFERROR(__xludf.DUMMYFUNCTION("""COMPUTED_VALUE"""),8.77)</f>
        <v>8.77</v>
      </c>
      <c r="H9319" s="17"/>
      <c r="K9319" s="17"/>
      <c r="N9319" s="17"/>
    </row>
    <row r="9320">
      <c r="B9320" s="11">
        <f>IFERROR(__xludf.DUMMYFUNCTION("""COMPUTED_VALUE"""),32979.0)</f>
        <v>32979</v>
      </c>
      <c r="C9320" s="9">
        <f>IFERROR(__xludf.DUMMYFUNCTION("""COMPUTED_VALUE"""),8.68)</f>
        <v>8.68</v>
      </c>
      <c r="H9320" s="17"/>
      <c r="K9320" s="17"/>
      <c r="N9320" s="17"/>
    </row>
    <row r="9321">
      <c r="B9321" s="11">
        <f>IFERROR(__xludf.DUMMYFUNCTION("""COMPUTED_VALUE"""),32976.0)</f>
        <v>32976</v>
      </c>
      <c r="C9321" s="9"/>
      <c r="H9321" s="17"/>
      <c r="K9321" s="17"/>
      <c r="N9321" s="17"/>
    </row>
    <row r="9322">
      <c r="B9322" s="11">
        <f>IFERROR(__xludf.DUMMYFUNCTION("""COMPUTED_VALUE"""),32975.0)</f>
        <v>32975</v>
      </c>
      <c r="C9322" s="9">
        <f>IFERROR(__xludf.DUMMYFUNCTION("""COMPUTED_VALUE"""),8.64)</f>
        <v>8.64</v>
      </c>
      <c r="H9322" s="17"/>
      <c r="K9322" s="17"/>
      <c r="N9322" s="17"/>
    </row>
    <row r="9323">
      <c r="B9323" s="11">
        <f>IFERROR(__xludf.DUMMYFUNCTION("""COMPUTED_VALUE"""),32974.0)</f>
        <v>32974</v>
      </c>
      <c r="C9323" s="9">
        <f>IFERROR(__xludf.DUMMYFUNCTION("""COMPUTED_VALUE"""),8.63)</f>
        <v>8.63</v>
      </c>
      <c r="H9323" s="17"/>
      <c r="K9323" s="17"/>
      <c r="N9323" s="17"/>
    </row>
    <row r="9324">
      <c r="B9324" s="11">
        <f>IFERROR(__xludf.DUMMYFUNCTION("""COMPUTED_VALUE"""),32973.0)</f>
        <v>32973</v>
      </c>
      <c r="C9324" s="9">
        <f>IFERROR(__xludf.DUMMYFUNCTION("""COMPUTED_VALUE"""),8.6)</f>
        <v>8.6</v>
      </c>
      <c r="H9324" s="17"/>
      <c r="K9324" s="17"/>
      <c r="N9324" s="17"/>
    </row>
    <row r="9325">
      <c r="B9325" s="11">
        <f>IFERROR(__xludf.DUMMYFUNCTION("""COMPUTED_VALUE"""),32972.0)</f>
        <v>32972</v>
      </c>
      <c r="C9325" s="9">
        <f>IFERROR(__xludf.DUMMYFUNCTION("""COMPUTED_VALUE"""),8.59)</f>
        <v>8.59</v>
      </c>
      <c r="H9325" s="17"/>
      <c r="K9325" s="17"/>
      <c r="N9325" s="17"/>
    </row>
    <row r="9326">
      <c r="B9326" s="11">
        <f>IFERROR(__xludf.DUMMYFUNCTION("""COMPUTED_VALUE"""),32969.0)</f>
        <v>32969</v>
      </c>
      <c r="C9326" s="9">
        <f>IFERROR(__xludf.DUMMYFUNCTION("""COMPUTED_VALUE"""),8.56)</f>
        <v>8.56</v>
      </c>
      <c r="H9326" s="17"/>
      <c r="K9326" s="17"/>
      <c r="N9326" s="17"/>
    </row>
    <row r="9327">
      <c r="B9327" s="11">
        <f>IFERROR(__xludf.DUMMYFUNCTION("""COMPUTED_VALUE"""),32968.0)</f>
        <v>32968</v>
      </c>
      <c r="C9327" s="9">
        <f>IFERROR(__xludf.DUMMYFUNCTION("""COMPUTED_VALUE"""),8.57)</f>
        <v>8.57</v>
      </c>
      <c r="H9327" s="17"/>
      <c r="K9327" s="17"/>
      <c r="N9327" s="17"/>
    </row>
    <row r="9328">
      <c r="B9328" s="11">
        <f>IFERROR(__xludf.DUMMYFUNCTION("""COMPUTED_VALUE"""),32967.0)</f>
        <v>32967</v>
      </c>
      <c r="C9328" s="9">
        <f>IFERROR(__xludf.DUMMYFUNCTION("""COMPUTED_VALUE"""),8.55)</f>
        <v>8.55</v>
      </c>
      <c r="H9328" s="17"/>
      <c r="K9328" s="17"/>
      <c r="N9328" s="17"/>
    </row>
    <row r="9329">
      <c r="B9329" s="11">
        <f>IFERROR(__xludf.DUMMYFUNCTION("""COMPUTED_VALUE"""),32966.0)</f>
        <v>32966</v>
      </c>
      <c r="C9329" s="9">
        <f>IFERROR(__xludf.DUMMYFUNCTION("""COMPUTED_VALUE"""),8.63)</f>
        <v>8.63</v>
      </c>
      <c r="H9329" s="17"/>
      <c r="K9329" s="17"/>
      <c r="N9329" s="17"/>
    </row>
    <row r="9330">
      <c r="B9330" s="11">
        <f>IFERROR(__xludf.DUMMYFUNCTION("""COMPUTED_VALUE"""),32965.0)</f>
        <v>32965</v>
      </c>
      <c r="C9330" s="9">
        <f>IFERROR(__xludf.DUMMYFUNCTION("""COMPUTED_VALUE"""),8.65)</f>
        <v>8.65</v>
      </c>
      <c r="H9330" s="17"/>
      <c r="K9330" s="17"/>
      <c r="N9330" s="17"/>
    </row>
    <row r="9331">
      <c r="B9331" s="11">
        <f>IFERROR(__xludf.DUMMYFUNCTION("""COMPUTED_VALUE"""),32962.0)</f>
        <v>32962</v>
      </c>
      <c r="C9331" s="9">
        <f>IFERROR(__xludf.DUMMYFUNCTION("""COMPUTED_VALUE"""),8.65)</f>
        <v>8.65</v>
      </c>
      <c r="H9331" s="17"/>
      <c r="K9331" s="17"/>
      <c r="N9331" s="17"/>
    </row>
    <row r="9332">
      <c r="B9332" s="11">
        <f>IFERROR(__xludf.DUMMYFUNCTION("""COMPUTED_VALUE"""),32961.0)</f>
        <v>32961</v>
      </c>
      <c r="C9332" s="9">
        <f>IFERROR(__xludf.DUMMYFUNCTION("""COMPUTED_VALUE"""),8.6)</f>
        <v>8.6</v>
      </c>
      <c r="H9332" s="17"/>
      <c r="K9332" s="17"/>
      <c r="N9332" s="17"/>
    </row>
    <row r="9333">
      <c r="B9333" s="11">
        <f>IFERROR(__xludf.DUMMYFUNCTION("""COMPUTED_VALUE"""),32960.0)</f>
        <v>32960</v>
      </c>
      <c r="C9333" s="9">
        <f>IFERROR(__xludf.DUMMYFUNCTION("""COMPUTED_VALUE"""),8.51)</f>
        <v>8.51</v>
      </c>
      <c r="H9333" s="17"/>
      <c r="K9333" s="17"/>
      <c r="N9333" s="17"/>
    </row>
    <row r="9334">
      <c r="B9334" s="11">
        <f>IFERROR(__xludf.DUMMYFUNCTION("""COMPUTED_VALUE"""),32959.0)</f>
        <v>32959</v>
      </c>
      <c r="C9334" s="9">
        <f>IFERROR(__xludf.DUMMYFUNCTION("""COMPUTED_VALUE"""),8.52)</f>
        <v>8.52</v>
      </c>
      <c r="H9334" s="17"/>
      <c r="K9334" s="17"/>
      <c r="N9334" s="17"/>
    </row>
    <row r="9335">
      <c r="B9335" s="11">
        <f>IFERROR(__xludf.DUMMYFUNCTION("""COMPUTED_VALUE"""),32958.0)</f>
        <v>32958</v>
      </c>
      <c r="C9335" s="9">
        <f>IFERROR(__xludf.DUMMYFUNCTION("""COMPUTED_VALUE"""),8.51)</f>
        <v>8.51</v>
      </c>
      <c r="H9335" s="17"/>
      <c r="K9335" s="17"/>
      <c r="N9335" s="17"/>
    </row>
    <row r="9336">
      <c r="B9336" s="11">
        <f>IFERROR(__xludf.DUMMYFUNCTION("""COMPUTED_VALUE"""),32955.0)</f>
        <v>32955</v>
      </c>
      <c r="C9336" s="9">
        <f>IFERROR(__xludf.DUMMYFUNCTION("""COMPUTED_VALUE"""),8.52)</f>
        <v>8.52</v>
      </c>
      <c r="H9336" s="17"/>
      <c r="K9336" s="17"/>
      <c r="N9336" s="17"/>
    </row>
    <row r="9337">
      <c r="B9337" s="11">
        <f>IFERROR(__xludf.DUMMYFUNCTION("""COMPUTED_VALUE"""),32954.0)</f>
        <v>32954</v>
      </c>
      <c r="C9337" s="9">
        <f>IFERROR(__xludf.DUMMYFUNCTION("""COMPUTED_VALUE"""),8.53)</f>
        <v>8.53</v>
      </c>
      <c r="H9337" s="17"/>
      <c r="K9337" s="17"/>
      <c r="N9337" s="17"/>
    </row>
    <row r="9338">
      <c r="B9338" s="11">
        <f>IFERROR(__xludf.DUMMYFUNCTION("""COMPUTED_VALUE"""),32953.0)</f>
        <v>32953</v>
      </c>
      <c r="C9338" s="9">
        <f>IFERROR(__xludf.DUMMYFUNCTION("""COMPUTED_VALUE"""),8.55)</f>
        <v>8.55</v>
      </c>
      <c r="H9338" s="17"/>
      <c r="K9338" s="17"/>
      <c r="N9338" s="17"/>
    </row>
    <row r="9339">
      <c r="B9339" s="11">
        <f>IFERROR(__xludf.DUMMYFUNCTION("""COMPUTED_VALUE"""),32952.0)</f>
        <v>32952</v>
      </c>
      <c r="C9339" s="9">
        <f>IFERROR(__xludf.DUMMYFUNCTION("""COMPUTED_VALUE"""),8.54)</f>
        <v>8.54</v>
      </c>
      <c r="H9339" s="17"/>
      <c r="K9339" s="17"/>
      <c r="N9339" s="17"/>
    </row>
    <row r="9340">
      <c r="B9340" s="11">
        <f>IFERROR(__xludf.DUMMYFUNCTION("""COMPUTED_VALUE"""),32951.0)</f>
        <v>32951</v>
      </c>
      <c r="C9340" s="9">
        <f>IFERROR(__xludf.DUMMYFUNCTION("""COMPUTED_VALUE"""),8.59)</f>
        <v>8.59</v>
      </c>
      <c r="H9340" s="17"/>
      <c r="K9340" s="17"/>
      <c r="N9340" s="17"/>
    </row>
    <row r="9341">
      <c r="B9341" s="11">
        <f>IFERROR(__xludf.DUMMYFUNCTION("""COMPUTED_VALUE"""),32948.0)</f>
        <v>32948</v>
      </c>
      <c r="C9341" s="9">
        <f>IFERROR(__xludf.DUMMYFUNCTION("""COMPUTED_VALUE"""),8.59)</f>
        <v>8.59</v>
      </c>
      <c r="H9341" s="17"/>
      <c r="K9341" s="17"/>
      <c r="N9341" s="17"/>
    </row>
    <row r="9342">
      <c r="B9342" s="11">
        <f>IFERROR(__xludf.DUMMYFUNCTION("""COMPUTED_VALUE"""),32947.0)</f>
        <v>32947</v>
      </c>
      <c r="C9342" s="9">
        <f>IFERROR(__xludf.DUMMYFUNCTION("""COMPUTED_VALUE"""),8.66)</f>
        <v>8.66</v>
      </c>
      <c r="H9342" s="17"/>
      <c r="K9342" s="17"/>
      <c r="N9342" s="17"/>
    </row>
    <row r="9343">
      <c r="B9343" s="11">
        <f>IFERROR(__xludf.DUMMYFUNCTION("""COMPUTED_VALUE"""),32946.0)</f>
        <v>32946</v>
      </c>
      <c r="C9343" s="9">
        <f>IFERROR(__xludf.DUMMYFUNCTION("""COMPUTED_VALUE"""),8.65)</f>
        <v>8.65</v>
      </c>
      <c r="H9343" s="17"/>
      <c r="K9343" s="17"/>
      <c r="N9343" s="17"/>
    </row>
    <row r="9344">
      <c r="B9344" s="11">
        <f>IFERROR(__xludf.DUMMYFUNCTION("""COMPUTED_VALUE"""),32945.0)</f>
        <v>32945</v>
      </c>
      <c r="C9344" s="9">
        <f>IFERROR(__xludf.DUMMYFUNCTION("""COMPUTED_VALUE"""),8.73)</f>
        <v>8.73</v>
      </c>
      <c r="H9344" s="17"/>
      <c r="K9344" s="17"/>
      <c r="N9344" s="17"/>
    </row>
    <row r="9345">
      <c r="B9345" s="11">
        <f>IFERROR(__xludf.DUMMYFUNCTION("""COMPUTED_VALUE"""),32944.0)</f>
        <v>32944</v>
      </c>
      <c r="C9345" s="9">
        <f>IFERROR(__xludf.DUMMYFUNCTION("""COMPUTED_VALUE"""),8.63)</f>
        <v>8.63</v>
      </c>
      <c r="H9345" s="17"/>
      <c r="K9345" s="17"/>
      <c r="N9345" s="17"/>
    </row>
    <row r="9346">
      <c r="B9346" s="11">
        <f>IFERROR(__xludf.DUMMYFUNCTION("""COMPUTED_VALUE"""),32941.0)</f>
        <v>32941</v>
      </c>
      <c r="C9346" s="9">
        <f>IFERROR(__xludf.DUMMYFUNCTION("""COMPUTED_VALUE"""),8.65)</f>
        <v>8.65</v>
      </c>
      <c r="H9346" s="17"/>
      <c r="K9346" s="17"/>
      <c r="N9346" s="17"/>
    </row>
    <row r="9347">
      <c r="B9347" s="11">
        <f>IFERROR(__xludf.DUMMYFUNCTION("""COMPUTED_VALUE"""),32940.0)</f>
        <v>32940</v>
      </c>
      <c r="C9347" s="9">
        <f>IFERROR(__xludf.DUMMYFUNCTION("""COMPUTED_VALUE"""),8.57)</f>
        <v>8.57</v>
      </c>
      <c r="H9347" s="17"/>
      <c r="K9347" s="17"/>
      <c r="N9347" s="17"/>
    </row>
    <row r="9348">
      <c r="B9348" s="11">
        <f>IFERROR(__xludf.DUMMYFUNCTION("""COMPUTED_VALUE"""),32939.0)</f>
        <v>32939</v>
      </c>
      <c r="C9348" s="9">
        <f>IFERROR(__xludf.DUMMYFUNCTION("""COMPUTED_VALUE"""),8.58)</f>
        <v>8.58</v>
      </c>
      <c r="H9348" s="17"/>
      <c r="K9348" s="17"/>
      <c r="N9348" s="17"/>
    </row>
    <row r="9349">
      <c r="B9349" s="11">
        <f>IFERROR(__xludf.DUMMYFUNCTION("""COMPUTED_VALUE"""),32938.0)</f>
        <v>32938</v>
      </c>
      <c r="C9349" s="9">
        <f>IFERROR(__xludf.DUMMYFUNCTION("""COMPUTED_VALUE"""),8.59)</f>
        <v>8.59</v>
      </c>
      <c r="H9349" s="17"/>
      <c r="K9349" s="17"/>
      <c r="N9349" s="17"/>
    </row>
    <row r="9350">
      <c r="B9350" s="11">
        <f>IFERROR(__xludf.DUMMYFUNCTION("""COMPUTED_VALUE"""),32937.0)</f>
        <v>32937</v>
      </c>
      <c r="C9350" s="9">
        <f>IFERROR(__xludf.DUMMYFUNCTION("""COMPUTED_VALUE"""),8.65)</f>
        <v>8.65</v>
      </c>
      <c r="H9350" s="17"/>
      <c r="K9350" s="17"/>
      <c r="N9350" s="17"/>
    </row>
    <row r="9351">
      <c r="B9351" s="11">
        <f>IFERROR(__xludf.DUMMYFUNCTION("""COMPUTED_VALUE"""),32934.0)</f>
        <v>32934</v>
      </c>
      <c r="C9351" s="9">
        <f>IFERROR(__xludf.DUMMYFUNCTION("""COMPUTED_VALUE"""),8.54)</f>
        <v>8.54</v>
      </c>
      <c r="H9351" s="17"/>
      <c r="K9351" s="17"/>
      <c r="N9351" s="17"/>
    </row>
    <row r="9352">
      <c r="B9352" s="11">
        <f>IFERROR(__xludf.DUMMYFUNCTION("""COMPUTED_VALUE"""),32933.0)</f>
        <v>32933</v>
      </c>
      <c r="C9352" s="9">
        <f>IFERROR(__xludf.DUMMYFUNCTION("""COMPUTED_VALUE"""),8.59)</f>
        <v>8.59</v>
      </c>
      <c r="H9352" s="17"/>
      <c r="K9352" s="17"/>
      <c r="N9352" s="17"/>
    </row>
    <row r="9353">
      <c r="B9353" s="11">
        <f>IFERROR(__xludf.DUMMYFUNCTION("""COMPUTED_VALUE"""),32932.0)</f>
        <v>32932</v>
      </c>
      <c r="C9353" s="9">
        <f>IFERROR(__xludf.DUMMYFUNCTION("""COMPUTED_VALUE"""),8.51)</f>
        <v>8.51</v>
      </c>
      <c r="H9353" s="17"/>
      <c r="K9353" s="17"/>
      <c r="N9353" s="17"/>
    </row>
    <row r="9354">
      <c r="B9354" s="11">
        <f>IFERROR(__xludf.DUMMYFUNCTION("""COMPUTED_VALUE"""),32931.0)</f>
        <v>32931</v>
      </c>
      <c r="C9354" s="9">
        <f>IFERROR(__xludf.DUMMYFUNCTION("""COMPUTED_VALUE"""),8.41)</f>
        <v>8.41</v>
      </c>
      <c r="H9354" s="17"/>
      <c r="K9354" s="17"/>
      <c r="N9354" s="17"/>
    </row>
    <row r="9355">
      <c r="B9355" s="11">
        <f>IFERROR(__xludf.DUMMYFUNCTION("""COMPUTED_VALUE"""),32930.0)</f>
        <v>32930</v>
      </c>
      <c r="C9355" s="9">
        <f>IFERROR(__xludf.DUMMYFUNCTION("""COMPUTED_VALUE"""),8.46)</f>
        <v>8.46</v>
      </c>
      <c r="H9355" s="17"/>
      <c r="K9355" s="17"/>
      <c r="N9355" s="17"/>
    </row>
    <row r="9356">
      <c r="B9356" s="11">
        <f>IFERROR(__xludf.DUMMYFUNCTION("""COMPUTED_VALUE"""),32927.0)</f>
        <v>32927</v>
      </c>
      <c r="C9356" s="9">
        <f>IFERROR(__xludf.DUMMYFUNCTION("""COMPUTED_VALUE"""),8.53)</f>
        <v>8.53</v>
      </c>
      <c r="H9356" s="17"/>
      <c r="K9356" s="17"/>
      <c r="N9356" s="17"/>
    </row>
    <row r="9357">
      <c r="B9357" s="11">
        <f>IFERROR(__xludf.DUMMYFUNCTION("""COMPUTED_VALUE"""),32926.0)</f>
        <v>32926</v>
      </c>
      <c r="C9357" s="9">
        <f>IFERROR(__xludf.DUMMYFUNCTION("""COMPUTED_VALUE"""),8.54)</f>
        <v>8.54</v>
      </c>
      <c r="H9357" s="17"/>
      <c r="K9357" s="17"/>
      <c r="N9357" s="17"/>
    </row>
    <row r="9358">
      <c r="B9358" s="11">
        <f>IFERROR(__xludf.DUMMYFUNCTION("""COMPUTED_VALUE"""),32925.0)</f>
        <v>32925</v>
      </c>
      <c r="C9358" s="9">
        <f>IFERROR(__xludf.DUMMYFUNCTION("""COMPUTED_VALUE"""),8.62)</f>
        <v>8.62</v>
      </c>
      <c r="H9358" s="17"/>
      <c r="K9358" s="17"/>
      <c r="N9358" s="17"/>
    </row>
    <row r="9359">
      <c r="B9359" s="11">
        <f>IFERROR(__xludf.DUMMYFUNCTION("""COMPUTED_VALUE"""),32924.0)</f>
        <v>32924</v>
      </c>
      <c r="C9359" s="9">
        <f>IFERROR(__xludf.DUMMYFUNCTION("""COMPUTED_VALUE"""),8.62)</f>
        <v>8.62</v>
      </c>
      <c r="H9359" s="17"/>
      <c r="K9359" s="17"/>
      <c r="N9359" s="17"/>
    </row>
    <row r="9360">
      <c r="B9360" s="11">
        <f>IFERROR(__xludf.DUMMYFUNCTION("""COMPUTED_VALUE"""),32923.0)</f>
        <v>32923</v>
      </c>
      <c r="C9360" s="9"/>
      <c r="H9360" s="17"/>
      <c r="K9360" s="17"/>
      <c r="N9360" s="17"/>
    </row>
    <row r="9361">
      <c r="B9361" s="11">
        <f>IFERROR(__xludf.DUMMYFUNCTION("""COMPUTED_VALUE"""),32920.0)</f>
        <v>32920</v>
      </c>
      <c r="C9361" s="9">
        <f>IFERROR(__xludf.DUMMYFUNCTION("""COMPUTED_VALUE"""),8.42)</f>
        <v>8.42</v>
      </c>
      <c r="H9361" s="17"/>
      <c r="K9361" s="17"/>
      <c r="N9361" s="17"/>
    </row>
    <row r="9362">
      <c r="B9362" s="11">
        <f>IFERROR(__xludf.DUMMYFUNCTION("""COMPUTED_VALUE"""),32919.0)</f>
        <v>32919</v>
      </c>
      <c r="C9362" s="9">
        <f>IFERROR(__xludf.DUMMYFUNCTION("""COMPUTED_VALUE"""),8.43)</f>
        <v>8.43</v>
      </c>
      <c r="H9362" s="17"/>
      <c r="K9362" s="17"/>
      <c r="N9362" s="17"/>
    </row>
    <row r="9363">
      <c r="B9363" s="11">
        <f>IFERROR(__xludf.DUMMYFUNCTION("""COMPUTED_VALUE"""),32918.0)</f>
        <v>32918</v>
      </c>
      <c r="C9363" s="9">
        <f>IFERROR(__xludf.DUMMYFUNCTION("""COMPUTED_VALUE"""),8.36)</f>
        <v>8.36</v>
      </c>
      <c r="H9363" s="17"/>
      <c r="K9363" s="17"/>
      <c r="N9363" s="17"/>
    </row>
    <row r="9364">
      <c r="B9364" s="11">
        <f>IFERROR(__xludf.DUMMYFUNCTION("""COMPUTED_VALUE"""),32917.0)</f>
        <v>32917</v>
      </c>
      <c r="C9364" s="9">
        <f>IFERROR(__xludf.DUMMYFUNCTION("""COMPUTED_VALUE"""),8.35)</f>
        <v>8.35</v>
      </c>
      <c r="H9364" s="17"/>
      <c r="K9364" s="17"/>
      <c r="N9364" s="17"/>
    </row>
    <row r="9365">
      <c r="B9365" s="11">
        <f>IFERROR(__xludf.DUMMYFUNCTION("""COMPUTED_VALUE"""),32916.0)</f>
        <v>32916</v>
      </c>
      <c r="C9365" s="9">
        <f>IFERROR(__xludf.DUMMYFUNCTION("""COMPUTED_VALUE"""),8.4)</f>
        <v>8.4</v>
      </c>
      <c r="H9365" s="17"/>
      <c r="K9365" s="17"/>
      <c r="N9365" s="17"/>
    </row>
    <row r="9366">
      <c r="B9366" s="11">
        <f>IFERROR(__xludf.DUMMYFUNCTION("""COMPUTED_VALUE"""),32913.0)</f>
        <v>32913</v>
      </c>
      <c r="C9366" s="9">
        <f>IFERROR(__xludf.DUMMYFUNCTION("""COMPUTED_VALUE"""),8.31)</f>
        <v>8.31</v>
      </c>
      <c r="H9366" s="17"/>
      <c r="K9366" s="17"/>
      <c r="N9366" s="17"/>
    </row>
    <row r="9367">
      <c r="B9367" s="11">
        <f>IFERROR(__xludf.DUMMYFUNCTION("""COMPUTED_VALUE"""),32912.0)</f>
        <v>32912</v>
      </c>
      <c r="C9367" s="9">
        <f>IFERROR(__xludf.DUMMYFUNCTION("""COMPUTED_VALUE"""),8.49)</f>
        <v>8.49</v>
      </c>
      <c r="H9367" s="17"/>
      <c r="K9367" s="17"/>
      <c r="N9367" s="17"/>
    </row>
    <row r="9368">
      <c r="B9368" s="11">
        <f>IFERROR(__xludf.DUMMYFUNCTION("""COMPUTED_VALUE"""),32911.0)</f>
        <v>32911</v>
      </c>
      <c r="C9368" s="9">
        <f>IFERROR(__xludf.DUMMYFUNCTION("""COMPUTED_VALUE"""),8.52)</f>
        <v>8.52</v>
      </c>
      <c r="H9368" s="17"/>
      <c r="K9368" s="17"/>
      <c r="N9368" s="17"/>
    </row>
    <row r="9369">
      <c r="B9369" s="11">
        <f>IFERROR(__xludf.DUMMYFUNCTION("""COMPUTED_VALUE"""),32910.0)</f>
        <v>32910</v>
      </c>
      <c r="C9369" s="9">
        <f>IFERROR(__xludf.DUMMYFUNCTION("""COMPUTED_VALUE"""),8.57)</f>
        <v>8.57</v>
      </c>
      <c r="H9369" s="17"/>
      <c r="K9369" s="17"/>
      <c r="N9369" s="17"/>
    </row>
    <row r="9370">
      <c r="B9370" s="11">
        <f>IFERROR(__xludf.DUMMYFUNCTION("""COMPUTED_VALUE"""),32909.0)</f>
        <v>32909</v>
      </c>
      <c r="C9370" s="9">
        <f>IFERROR(__xludf.DUMMYFUNCTION("""COMPUTED_VALUE"""),8.53)</f>
        <v>8.53</v>
      </c>
      <c r="H9370" s="17"/>
      <c r="K9370" s="17"/>
      <c r="N9370" s="17"/>
    </row>
    <row r="9371">
      <c r="B9371" s="11">
        <f>IFERROR(__xludf.DUMMYFUNCTION("""COMPUTED_VALUE"""),32906.0)</f>
        <v>32906</v>
      </c>
      <c r="C9371" s="9">
        <f>IFERROR(__xludf.DUMMYFUNCTION("""COMPUTED_VALUE"""),8.5)</f>
        <v>8.5</v>
      </c>
      <c r="H9371" s="17"/>
      <c r="K9371" s="17"/>
      <c r="N9371" s="17"/>
    </row>
    <row r="9372">
      <c r="B9372" s="11">
        <f>IFERROR(__xludf.DUMMYFUNCTION("""COMPUTED_VALUE"""),32905.0)</f>
        <v>32905</v>
      </c>
      <c r="C9372" s="9">
        <f>IFERROR(__xludf.DUMMYFUNCTION("""COMPUTED_VALUE"""),8.42)</f>
        <v>8.42</v>
      </c>
      <c r="H9372" s="17"/>
      <c r="K9372" s="17"/>
      <c r="N9372" s="17"/>
    </row>
    <row r="9373">
      <c r="B9373" s="11">
        <f>IFERROR(__xludf.DUMMYFUNCTION("""COMPUTED_VALUE"""),32904.0)</f>
        <v>32904</v>
      </c>
      <c r="C9373" s="9">
        <f>IFERROR(__xludf.DUMMYFUNCTION("""COMPUTED_VALUE"""),8.43)</f>
        <v>8.43</v>
      </c>
      <c r="H9373" s="17"/>
      <c r="K9373" s="17"/>
      <c r="N9373" s="17"/>
    </row>
    <row r="9374">
      <c r="B9374" s="11">
        <f>IFERROR(__xludf.DUMMYFUNCTION("""COMPUTED_VALUE"""),32903.0)</f>
        <v>32903</v>
      </c>
      <c r="C9374" s="9">
        <f>IFERROR(__xludf.DUMMYFUNCTION("""COMPUTED_VALUE"""),8.51)</f>
        <v>8.51</v>
      </c>
      <c r="H9374" s="17"/>
      <c r="K9374" s="17"/>
      <c r="N9374" s="17"/>
    </row>
    <row r="9375">
      <c r="B9375" s="11">
        <f>IFERROR(__xludf.DUMMYFUNCTION("""COMPUTED_VALUE"""),32902.0)</f>
        <v>32902</v>
      </c>
      <c r="C9375" s="9">
        <f>IFERROR(__xludf.DUMMYFUNCTION("""COMPUTED_VALUE"""),8.5)</f>
        <v>8.5</v>
      </c>
      <c r="H9375" s="17"/>
      <c r="K9375" s="17"/>
      <c r="N9375" s="17"/>
    </row>
    <row r="9376">
      <c r="B9376" s="11">
        <f>IFERROR(__xludf.DUMMYFUNCTION("""COMPUTED_VALUE"""),32899.0)</f>
        <v>32899</v>
      </c>
      <c r="C9376" s="9">
        <f>IFERROR(__xludf.DUMMYFUNCTION("""COMPUTED_VALUE"""),8.49)</f>
        <v>8.49</v>
      </c>
      <c r="H9376" s="17"/>
      <c r="K9376" s="17"/>
      <c r="N9376" s="17"/>
    </row>
    <row r="9377">
      <c r="B9377" s="11">
        <f>IFERROR(__xludf.DUMMYFUNCTION("""COMPUTED_VALUE"""),32898.0)</f>
        <v>32898</v>
      </c>
      <c r="C9377" s="9">
        <f>IFERROR(__xludf.DUMMYFUNCTION("""COMPUTED_VALUE"""),8.42)</f>
        <v>8.42</v>
      </c>
      <c r="H9377" s="17"/>
      <c r="K9377" s="17"/>
      <c r="N9377" s="17"/>
    </row>
    <row r="9378">
      <c r="B9378" s="11">
        <f>IFERROR(__xludf.DUMMYFUNCTION("""COMPUTED_VALUE"""),32897.0)</f>
        <v>32897</v>
      </c>
      <c r="C9378" s="9">
        <f>IFERROR(__xludf.DUMMYFUNCTION("""COMPUTED_VALUE"""),8.38)</f>
        <v>8.38</v>
      </c>
      <c r="H9378" s="17"/>
      <c r="K9378" s="17"/>
      <c r="N9378" s="17"/>
    </row>
    <row r="9379">
      <c r="B9379" s="11">
        <f>IFERROR(__xludf.DUMMYFUNCTION("""COMPUTED_VALUE"""),32896.0)</f>
        <v>32896</v>
      </c>
      <c r="C9379" s="9">
        <f>IFERROR(__xludf.DUMMYFUNCTION("""COMPUTED_VALUE"""),8.26)</f>
        <v>8.26</v>
      </c>
      <c r="H9379" s="17"/>
      <c r="K9379" s="17"/>
      <c r="N9379" s="17"/>
    </row>
    <row r="9380">
      <c r="B9380" s="11">
        <f>IFERROR(__xludf.DUMMYFUNCTION("""COMPUTED_VALUE"""),32895.0)</f>
        <v>32895</v>
      </c>
      <c r="C9380" s="9">
        <f>IFERROR(__xludf.DUMMYFUNCTION("""COMPUTED_VALUE"""),8.27)</f>
        <v>8.27</v>
      </c>
      <c r="H9380" s="17"/>
      <c r="K9380" s="17"/>
      <c r="N9380" s="17"/>
    </row>
    <row r="9381">
      <c r="B9381" s="11">
        <f>IFERROR(__xludf.DUMMYFUNCTION("""COMPUTED_VALUE"""),32892.0)</f>
        <v>32892</v>
      </c>
      <c r="C9381" s="9">
        <f>IFERROR(__xludf.DUMMYFUNCTION("""COMPUTED_VALUE"""),8.26)</f>
        <v>8.26</v>
      </c>
      <c r="H9381" s="17"/>
      <c r="K9381" s="17"/>
      <c r="N9381" s="17"/>
    </row>
    <row r="9382">
      <c r="B9382" s="11">
        <f>IFERROR(__xludf.DUMMYFUNCTION("""COMPUTED_VALUE"""),32891.0)</f>
        <v>32891</v>
      </c>
      <c r="C9382" s="9">
        <f>IFERROR(__xludf.DUMMYFUNCTION("""COMPUTED_VALUE"""),8.32)</f>
        <v>8.32</v>
      </c>
      <c r="H9382" s="17"/>
      <c r="K9382" s="17"/>
      <c r="N9382" s="17"/>
    </row>
    <row r="9383">
      <c r="B9383" s="11">
        <f>IFERROR(__xludf.DUMMYFUNCTION("""COMPUTED_VALUE"""),32890.0)</f>
        <v>32890</v>
      </c>
      <c r="C9383" s="9">
        <f>IFERROR(__xludf.DUMMYFUNCTION("""COMPUTED_VALUE"""),8.19)</f>
        <v>8.19</v>
      </c>
      <c r="H9383" s="17"/>
      <c r="K9383" s="17"/>
      <c r="N9383" s="17"/>
    </row>
    <row r="9384">
      <c r="B9384" s="11">
        <f>IFERROR(__xludf.DUMMYFUNCTION("""COMPUTED_VALUE"""),32889.0)</f>
        <v>32889</v>
      </c>
      <c r="C9384" s="9">
        <f>IFERROR(__xludf.DUMMYFUNCTION("""COMPUTED_VALUE"""),8.2)</f>
        <v>8.2</v>
      </c>
      <c r="H9384" s="17"/>
      <c r="K9384" s="17"/>
      <c r="N9384" s="17"/>
    </row>
    <row r="9385">
      <c r="B9385" s="11">
        <f>IFERROR(__xludf.DUMMYFUNCTION("""COMPUTED_VALUE"""),32888.0)</f>
        <v>32888</v>
      </c>
      <c r="C9385" s="9"/>
      <c r="H9385" s="17"/>
      <c r="K9385" s="17"/>
      <c r="N9385" s="17"/>
    </row>
    <row r="9386">
      <c r="B9386" s="11">
        <f>IFERROR(__xludf.DUMMYFUNCTION("""COMPUTED_VALUE"""),32885.0)</f>
        <v>32885</v>
      </c>
      <c r="C9386" s="9">
        <f>IFERROR(__xludf.DUMMYFUNCTION("""COMPUTED_VALUE"""),8.1)</f>
        <v>8.1</v>
      </c>
      <c r="H9386" s="17"/>
      <c r="K9386" s="17"/>
      <c r="N9386" s="17"/>
    </row>
    <row r="9387">
      <c r="B9387" s="11">
        <f>IFERROR(__xludf.DUMMYFUNCTION("""COMPUTED_VALUE"""),32884.0)</f>
        <v>32884</v>
      </c>
      <c r="C9387" s="9">
        <f>IFERROR(__xludf.DUMMYFUNCTION("""COMPUTED_VALUE"""),8.04)</f>
        <v>8.04</v>
      </c>
      <c r="H9387" s="17"/>
      <c r="K9387" s="17"/>
      <c r="N9387" s="17"/>
    </row>
    <row r="9388">
      <c r="B9388" s="11">
        <f>IFERROR(__xludf.DUMMYFUNCTION("""COMPUTED_VALUE"""),32883.0)</f>
        <v>32883</v>
      </c>
      <c r="C9388" s="9">
        <f>IFERROR(__xludf.DUMMYFUNCTION("""COMPUTED_VALUE"""),8.03)</f>
        <v>8.03</v>
      </c>
      <c r="H9388" s="17"/>
      <c r="K9388" s="17"/>
      <c r="N9388" s="17"/>
    </row>
    <row r="9389">
      <c r="B9389" s="11">
        <f>IFERROR(__xludf.DUMMYFUNCTION("""COMPUTED_VALUE"""),32882.0)</f>
        <v>32882</v>
      </c>
      <c r="C9389" s="9">
        <f>IFERROR(__xludf.DUMMYFUNCTION("""COMPUTED_VALUE"""),8.02)</f>
        <v>8.02</v>
      </c>
      <c r="H9389" s="17"/>
      <c r="K9389" s="17"/>
      <c r="N9389" s="17"/>
    </row>
    <row r="9390">
      <c r="B9390" s="11">
        <f>IFERROR(__xludf.DUMMYFUNCTION("""COMPUTED_VALUE"""),32881.0)</f>
        <v>32881</v>
      </c>
      <c r="C9390" s="9">
        <f>IFERROR(__xludf.DUMMYFUNCTION("""COMPUTED_VALUE"""),8.02)</f>
        <v>8.02</v>
      </c>
      <c r="H9390" s="17"/>
      <c r="K9390" s="17"/>
      <c r="N9390" s="17"/>
    </row>
    <row r="9391">
      <c r="B9391" s="11">
        <f>IFERROR(__xludf.DUMMYFUNCTION("""COMPUTED_VALUE"""),32878.0)</f>
        <v>32878</v>
      </c>
      <c r="C9391" s="9">
        <f>IFERROR(__xludf.DUMMYFUNCTION("""COMPUTED_VALUE"""),7.99)</f>
        <v>7.99</v>
      </c>
      <c r="H9391" s="17"/>
      <c r="K9391" s="17"/>
      <c r="N9391" s="17"/>
    </row>
    <row r="9392">
      <c r="B9392" s="11">
        <f>IFERROR(__xludf.DUMMYFUNCTION("""COMPUTED_VALUE"""),32877.0)</f>
        <v>32877</v>
      </c>
      <c r="C9392" s="9">
        <f>IFERROR(__xludf.DUMMYFUNCTION("""COMPUTED_VALUE"""),7.98)</f>
        <v>7.98</v>
      </c>
      <c r="H9392" s="17"/>
      <c r="K9392" s="17"/>
      <c r="N9392" s="17"/>
    </row>
    <row r="9393">
      <c r="B9393" s="11">
        <f>IFERROR(__xludf.DUMMYFUNCTION("""COMPUTED_VALUE"""),32876.0)</f>
        <v>32876</v>
      </c>
      <c r="C9393" s="9">
        <f>IFERROR(__xludf.DUMMYFUNCTION("""COMPUTED_VALUE"""),7.99)</f>
        <v>7.99</v>
      </c>
      <c r="H9393" s="17"/>
      <c r="K9393" s="17"/>
      <c r="N9393" s="17"/>
    </row>
    <row r="9394">
      <c r="B9394" s="11">
        <f>IFERROR(__xludf.DUMMYFUNCTION("""COMPUTED_VALUE"""),32875.0)</f>
        <v>32875</v>
      </c>
      <c r="C9394" s="9">
        <f>IFERROR(__xludf.DUMMYFUNCTION("""COMPUTED_VALUE"""),7.94)</f>
        <v>7.94</v>
      </c>
      <c r="H9394" s="17"/>
      <c r="K9394" s="17"/>
      <c r="N9394" s="17"/>
    </row>
    <row r="9395">
      <c r="B9395" s="11">
        <f>IFERROR(__xludf.DUMMYFUNCTION("""COMPUTED_VALUE"""),32874.0)</f>
        <v>32874</v>
      </c>
      <c r="C9395" s="9"/>
      <c r="H9395" s="17"/>
      <c r="K9395" s="17"/>
      <c r="N9395" s="17"/>
    </row>
    <row r="9396">
      <c r="B9396" s="11">
        <f>IFERROR(__xludf.DUMMYFUNCTION("""COMPUTED_VALUE"""),32871.0)</f>
        <v>32871</v>
      </c>
      <c r="C9396" s="9">
        <f>IFERROR(__xludf.DUMMYFUNCTION("""COMPUTED_VALUE"""),7.93)</f>
        <v>7.93</v>
      </c>
      <c r="H9396" s="17"/>
      <c r="K9396" s="17"/>
      <c r="N9396" s="17"/>
    </row>
    <row r="9397">
      <c r="B9397" s="11">
        <f>IFERROR(__xludf.DUMMYFUNCTION("""COMPUTED_VALUE"""),32870.0)</f>
        <v>32870</v>
      </c>
      <c r="C9397" s="9">
        <f>IFERROR(__xludf.DUMMYFUNCTION("""COMPUTED_VALUE"""),7.91)</f>
        <v>7.91</v>
      </c>
      <c r="H9397" s="17"/>
      <c r="K9397" s="17"/>
      <c r="N9397" s="17"/>
    </row>
    <row r="9398">
      <c r="B9398" s="11">
        <f>IFERROR(__xludf.DUMMYFUNCTION("""COMPUTED_VALUE"""),32869.0)</f>
        <v>32869</v>
      </c>
      <c r="C9398" s="9">
        <f>IFERROR(__xludf.DUMMYFUNCTION("""COMPUTED_VALUE"""),7.94)</f>
        <v>7.94</v>
      </c>
      <c r="H9398" s="17"/>
      <c r="K9398" s="17"/>
      <c r="N9398" s="17"/>
    </row>
    <row r="9399">
      <c r="B9399" s="11">
        <f>IFERROR(__xludf.DUMMYFUNCTION("""COMPUTED_VALUE"""),32868.0)</f>
        <v>32868</v>
      </c>
      <c r="C9399" s="9">
        <f>IFERROR(__xludf.DUMMYFUNCTION("""COMPUTED_VALUE"""),7.95)</f>
        <v>7.95</v>
      </c>
      <c r="H9399" s="17"/>
      <c r="K9399" s="17"/>
      <c r="N9399" s="17"/>
    </row>
    <row r="9400">
      <c r="B9400" s="11">
        <f>IFERROR(__xludf.DUMMYFUNCTION("""COMPUTED_VALUE"""),32867.0)</f>
        <v>32867</v>
      </c>
      <c r="C9400" s="9"/>
      <c r="H9400" s="17"/>
      <c r="K9400" s="17"/>
      <c r="N9400" s="17"/>
    </row>
    <row r="9401">
      <c r="B9401" s="11">
        <f>IFERROR(__xludf.DUMMYFUNCTION("""COMPUTED_VALUE"""),32864.0)</f>
        <v>32864</v>
      </c>
      <c r="C9401" s="9">
        <f>IFERROR(__xludf.DUMMYFUNCTION("""COMPUTED_VALUE"""),7.82)</f>
        <v>7.82</v>
      </c>
      <c r="H9401" s="17"/>
      <c r="K9401" s="17"/>
      <c r="N9401" s="17"/>
    </row>
    <row r="9402">
      <c r="B9402" s="11">
        <f>IFERROR(__xludf.DUMMYFUNCTION("""COMPUTED_VALUE"""),32863.0)</f>
        <v>32863</v>
      </c>
      <c r="C9402" s="9">
        <f>IFERROR(__xludf.DUMMYFUNCTION("""COMPUTED_VALUE"""),7.77)</f>
        <v>7.77</v>
      </c>
      <c r="H9402" s="17"/>
      <c r="K9402" s="17"/>
      <c r="N9402" s="17"/>
    </row>
    <row r="9403">
      <c r="B9403" s="11">
        <f>IFERROR(__xludf.DUMMYFUNCTION("""COMPUTED_VALUE"""),32862.0)</f>
        <v>32862</v>
      </c>
      <c r="C9403" s="9">
        <f>IFERROR(__xludf.DUMMYFUNCTION("""COMPUTED_VALUE"""),7.77)</f>
        <v>7.77</v>
      </c>
      <c r="H9403" s="17"/>
      <c r="K9403" s="17"/>
      <c r="N9403" s="17"/>
    </row>
    <row r="9404">
      <c r="B9404" s="11">
        <f>IFERROR(__xludf.DUMMYFUNCTION("""COMPUTED_VALUE"""),32861.0)</f>
        <v>32861</v>
      </c>
      <c r="C9404" s="9">
        <f>IFERROR(__xludf.DUMMYFUNCTION("""COMPUTED_VALUE"""),7.78)</f>
        <v>7.78</v>
      </c>
      <c r="H9404" s="17"/>
      <c r="K9404" s="17"/>
      <c r="N9404" s="17"/>
    </row>
    <row r="9405">
      <c r="B9405" s="11">
        <f>IFERROR(__xludf.DUMMYFUNCTION("""COMPUTED_VALUE"""),32860.0)</f>
        <v>32860</v>
      </c>
      <c r="C9405" s="9">
        <f>IFERROR(__xludf.DUMMYFUNCTION("""COMPUTED_VALUE"""),7.77)</f>
        <v>7.77</v>
      </c>
      <c r="H9405" s="17"/>
      <c r="K9405" s="17"/>
      <c r="N9405" s="17"/>
    </row>
    <row r="9406">
      <c r="B9406" s="11">
        <f>IFERROR(__xludf.DUMMYFUNCTION("""COMPUTED_VALUE"""),32857.0)</f>
        <v>32857</v>
      </c>
      <c r="C9406" s="9">
        <f>IFERROR(__xludf.DUMMYFUNCTION("""COMPUTED_VALUE"""),7.8)</f>
        <v>7.8</v>
      </c>
      <c r="H9406" s="17"/>
      <c r="K9406" s="17"/>
      <c r="N9406" s="17"/>
    </row>
    <row r="9407">
      <c r="B9407" s="11">
        <f>IFERROR(__xludf.DUMMYFUNCTION("""COMPUTED_VALUE"""),32856.0)</f>
        <v>32856</v>
      </c>
      <c r="C9407" s="9">
        <f>IFERROR(__xludf.DUMMYFUNCTION("""COMPUTED_VALUE"""),7.79)</f>
        <v>7.79</v>
      </c>
      <c r="H9407" s="17"/>
      <c r="K9407" s="17"/>
      <c r="N9407" s="17"/>
    </row>
    <row r="9408">
      <c r="B9408" s="11">
        <f>IFERROR(__xludf.DUMMYFUNCTION("""COMPUTED_VALUE"""),32855.0)</f>
        <v>32855</v>
      </c>
      <c r="C9408" s="9">
        <f>IFERROR(__xludf.DUMMYFUNCTION("""COMPUTED_VALUE"""),7.82)</f>
        <v>7.82</v>
      </c>
      <c r="H9408" s="17"/>
      <c r="K9408" s="17"/>
      <c r="N9408" s="17"/>
    </row>
    <row r="9409">
      <c r="B9409" s="11">
        <f>IFERROR(__xludf.DUMMYFUNCTION("""COMPUTED_VALUE"""),32854.0)</f>
        <v>32854</v>
      </c>
      <c r="C9409" s="9">
        <f>IFERROR(__xludf.DUMMYFUNCTION("""COMPUTED_VALUE"""),7.84)</f>
        <v>7.84</v>
      </c>
      <c r="H9409" s="17"/>
      <c r="K9409" s="17"/>
      <c r="N9409" s="17"/>
    </row>
    <row r="9410">
      <c r="B9410" s="11">
        <f>IFERROR(__xludf.DUMMYFUNCTION("""COMPUTED_VALUE"""),32853.0)</f>
        <v>32853</v>
      </c>
      <c r="C9410" s="9">
        <f>IFERROR(__xludf.DUMMYFUNCTION("""COMPUTED_VALUE"""),7.83)</f>
        <v>7.83</v>
      </c>
      <c r="H9410" s="17"/>
      <c r="K9410" s="17"/>
      <c r="N9410" s="17"/>
    </row>
    <row r="9411">
      <c r="B9411" s="11">
        <f>IFERROR(__xludf.DUMMYFUNCTION("""COMPUTED_VALUE"""),32850.0)</f>
        <v>32850</v>
      </c>
      <c r="C9411" s="9">
        <f>IFERROR(__xludf.DUMMYFUNCTION("""COMPUTED_VALUE"""),7.82)</f>
        <v>7.82</v>
      </c>
      <c r="H9411" s="17"/>
      <c r="K9411" s="17"/>
      <c r="N9411" s="17"/>
    </row>
    <row r="9412">
      <c r="B9412" s="11">
        <f>IFERROR(__xludf.DUMMYFUNCTION("""COMPUTED_VALUE"""),32849.0)</f>
        <v>32849</v>
      </c>
      <c r="C9412" s="9">
        <f>IFERROR(__xludf.DUMMYFUNCTION("""COMPUTED_VALUE"""),7.88)</f>
        <v>7.88</v>
      </c>
      <c r="H9412" s="17"/>
      <c r="K9412" s="17"/>
      <c r="N9412" s="17"/>
    </row>
    <row r="9413">
      <c r="B9413" s="11">
        <f>IFERROR(__xludf.DUMMYFUNCTION("""COMPUTED_VALUE"""),32848.0)</f>
        <v>32848</v>
      </c>
      <c r="C9413" s="9">
        <f>IFERROR(__xludf.DUMMYFUNCTION("""COMPUTED_VALUE"""),7.85)</f>
        <v>7.85</v>
      </c>
      <c r="H9413" s="17"/>
      <c r="K9413" s="17"/>
      <c r="N9413" s="17"/>
    </row>
    <row r="9414">
      <c r="B9414" s="11">
        <f>IFERROR(__xludf.DUMMYFUNCTION("""COMPUTED_VALUE"""),32847.0)</f>
        <v>32847</v>
      </c>
      <c r="C9414" s="9">
        <f>IFERROR(__xludf.DUMMYFUNCTION("""COMPUTED_VALUE"""),7.82)</f>
        <v>7.82</v>
      </c>
      <c r="H9414" s="17"/>
      <c r="K9414" s="17"/>
      <c r="N9414" s="17"/>
    </row>
    <row r="9415">
      <c r="B9415" s="11">
        <f>IFERROR(__xludf.DUMMYFUNCTION("""COMPUTED_VALUE"""),32846.0)</f>
        <v>32846</v>
      </c>
      <c r="C9415" s="9">
        <f>IFERROR(__xludf.DUMMYFUNCTION("""COMPUTED_VALUE"""),7.82)</f>
        <v>7.82</v>
      </c>
      <c r="H9415" s="17"/>
      <c r="K9415" s="17"/>
      <c r="N9415" s="17"/>
    </row>
    <row r="9416">
      <c r="B9416" s="11">
        <f>IFERROR(__xludf.DUMMYFUNCTION("""COMPUTED_VALUE"""),32843.0)</f>
        <v>32843</v>
      </c>
      <c r="C9416" s="9">
        <f>IFERROR(__xludf.DUMMYFUNCTION("""COMPUTED_VALUE"""),7.81)</f>
        <v>7.81</v>
      </c>
      <c r="H9416" s="17"/>
      <c r="K9416" s="17"/>
      <c r="N9416" s="17"/>
    </row>
    <row r="9417">
      <c r="B9417" s="11">
        <f>IFERROR(__xludf.DUMMYFUNCTION("""COMPUTED_VALUE"""),32842.0)</f>
        <v>32842</v>
      </c>
      <c r="C9417" s="9">
        <f>IFERROR(__xludf.DUMMYFUNCTION("""COMPUTED_VALUE"""),7.84)</f>
        <v>7.84</v>
      </c>
      <c r="H9417" s="17"/>
      <c r="K9417" s="17"/>
      <c r="N9417" s="17"/>
    </row>
    <row r="9418">
      <c r="B9418" s="11">
        <f>IFERROR(__xludf.DUMMYFUNCTION("""COMPUTED_VALUE"""),32841.0)</f>
        <v>32841</v>
      </c>
      <c r="C9418" s="9">
        <f>IFERROR(__xludf.DUMMYFUNCTION("""COMPUTED_VALUE"""),7.88)</f>
        <v>7.88</v>
      </c>
      <c r="H9418" s="17"/>
      <c r="K9418" s="17"/>
      <c r="N9418" s="17"/>
    </row>
    <row r="9419">
      <c r="B9419" s="11">
        <f>IFERROR(__xludf.DUMMYFUNCTION("""COMPUTED_VALUE"""),32840.0)</f>
        <v>32840</v>
      </c>
      <c r="C9419" s="9">
        <f>IFERROR(__xludf.DUMMYFUNCTION("""COMPUTED_VALUE"""),7.86)</f>
        <v>7.86</v>
      </c>
      <c r="H9419" s="17"/>
      <c r="K9419" s="17"/>
      <c r="N9419" s="17"/>
    </row>
    <row r="9420">
      <c r="B9420" s="11">
        <f>IFERROR(__xludf.DUMMYFUNCTION("""COMPUTED_VALUE"""),32839.0)</f>
        <v>32839</v>
      </c>
      <c r="C9420" s="9">
        <f>IFERROR(__xludf.DUMMYFUNCTION("""COMPUTED_VALUE"""),7.85)</f>
        <v>7.85</v>
      </c>
      <c r="H9420" s="17"/>
      <c r="K9420" s="17"/>
      <c r="N9420" s="17"/>
    </row>
    <row r="9421">
      <c r="B9421" s="11">
        <f>IFERROR(__xludf.DUMMYFUNCTION("""COMPUTED_VALUE"""),32836.0)</f>
        <v>32836</v>
      </c>
      <c r="C9421" s="9">
        <f>IFERROR(__xludf.DUMMYFUNCTION("""COMPUTED_VALUE"""),7.8)</f>
        <v>7.8</v>
      </c>
      <c r="H9421" s="17"/>
      <c r="K9421" s="17"/>
      <c r="N9421" s="17"/>
    </row>
    <row r="9422">
      <c r="B9422" s="11">
        <f>IFERROR(__xludf.DUMMYFUNCTION("""COMPUTED_VALUE"""),32835.0)</f>
        <v>32835</v>
      </c>
      <c r="C9422" s="9"/>
      <c r="H9422" s="17"/>
      <c r="K9422" s="17"/>
      <c r="N9422" s="17"/>
    </row>
    <row r="9423">
      <c r="B9423" s="11">
        <f>IFERROR(__xludf.DUMMYFUNCTION("""COMPUTED_VALUE"""),32834.0)</f>
        <v>32834</v>
      </c>
      <c r="C9423" s="9">
        <f>IFERROR(__xludf.DUMMYFUNCTION("""COMPUTED_VALUE"""),7.81)</f>
        <v>7.81</v>
      </c>
      <c r="H9423" s="17"/>
      <c r="K9423" s="17"/>
      <c r="N9423" s="17"/>
    </row>
    <row r="9424">
      <c r="B9424" s="11">
        <f>IFERROR(__xludf.DUMMYFUNCTION("""COMPUTED_VALUE"""),32833.0)</f>
        <v>32833</v>
      </c>
      <c r="C9424" s="9">
        <f>IFERROR(__xludf.DUMMYFUNCTION("""COMPUTED_VALUE"""),7.85)</f>
        <v>7.85</v>
      </c>
      <c r="H9424" s="17"/>
      <c r="K9424" s="17"/>
      <c r="N9424" s="17"/>
    </row>
    <row r="9425">
      <c r="B9425" s="11">
        <f>IFERROR(__xludf.DUMMYFUNCTION("""COMPUTED_VALUE"""),32832.0)</f>
        <v>32832</v>
      </c>
      <c r="C9425" s="9">
        <f>IFERROR(__xludf.DUMMYFUNCTION("""COMPUTED_VALUE"""),7.86)</f>
        <v>7.86</v>
      </c>
      <c r="H9425" s="17"/>
      <c r="K9425" s="17"/>
      <c r="N9425" s="17"/>
    </row>
    <row r="9426">
      <c r="B9426" s="11">
        <f>IFERROR(__xludf.DUMMYFUNCTION("""COMPUTED_VALUE"""),32829.0)</f>
        <v>32829</v>
      </c>
      <c r="C9426" s="9">
        <f>IFERROR(__xludf.DUMMYFUNCTION("""COMPUTED_VALUE"""),7.88)</f>
        <v>7.88</v>
      </c>
      <c r="H9426" s="17"/>
      <c r="K9426" s="17"/>
      <c r="N9426" s="17"/>
    </row>
    <row r="9427">
      <c r="B9427" s="11">
        <f>IFERROR(__xludf.DUMMYFUNCTION("""COMPUTED_VALUE"""),32828.0)</f>
        <v>32828</v>
      </c>
      <c r="C9427" s="9">
        <f>IFERROR(__xludf.DUMMYFUNCTION("""COMPUTED_VALUE"""),7.82)</f>
        <v>7.82</v>
      </c>
      <c r="H9427" s="17"/>
      <c r="K9427" s="17"/>
      <c r="N9427" s="17"/>
    </row>
    <row r="9428">
      <c r="B9428" s="11">
        <f>IFERROR(__xludf.DUMMYFUNCTION("""COMPUTED_VALUE"""),32827.0)</f>
        <v>32827</v>
      </c>
      <c r="C9428" s="9">
        <f>IFERROR(__xludf.DUMMYFUNCTION("""COMPUTED_VALUE"""),7.82)</f>
        <v>7.82</v>
      </c>
      <c r="H9428" s="17"/>
      <c r="K9428" s="17"/>
      <c r="N9428" s="17"/>
    </row>
    <row r="9429">
      <c r="B9429" s="11">
        <f>IFERROR(__xludf.DUMMYFUNCTION("""COMPUTED_VALUE"""),32826.0)</f>
        <v>32826</v>
      </c>
      <c r="C9429" s="9">
        <f>IFERROR(__xludf.DUMMYFUNCTION("""COMPUTED_VALUE"""),7.87)</f>
        <v>7.87</v>
      </c>
      <c r="H9429" s="17"/>
      <c r="K9429" s="17"/>
      <c r="N9429" s="17"/>
    </row>
    <row r="9430">
      <c r="B9430" s="11">
        <f>IFERROR(__xludf.DUMMYFUNCTION("""COMPUTED_VALUE"""),32825.0)</f>
        <v>32825</v>
      </c>
      <c r="C9430" s="9">
        <f>IFERROR(__xludf.DUMMYFUNCTION("""COMPUTED_VALUE"""),7.89)</f>
        <v>7.89</v>
      </c>
      <c r="H9430" s="17"/>
      <c r="K9430" s="17"/>
      <c r="N9430" s="17"/>
    </row>
    <row r="9431">
      <c r="B9431" s="11">
        <f>IFERROR(__xludf.DUMMYFUNCTION("""COMPUTED_VALUE"""),32822.0)</f>
        <v>32822</v>
      </c>
      <c r="C9431" s="9">
        <f>IFERROR(__xludf.DUMMYFUNCTION("""COMPUTED_VALUE"""),7.92)</f>
        <v>7.92</v>
      </c>
      <c r="H9431" s="17"/>
      <c r="K9431" s="17"/>
      <c r="N9431" s="17"/>
    </row>
    <row r="9432">
      <c r="B9432" s="11">
        <f>IFERROR(__xludf.DUMMYFUNCTION("""COMPUTED_VALUE"""),32821.0)</f>
        <v>32821</v>
      </c>
      <c r="C9432" s="9">
        <f>IFERROR(__xludf.DUMMYFUNCTION("""COMPUTED_VALUE"""),7.9)</f>
        <v>7.9</v>
      </c>
      <c r="H9432" s="17"/>
      <c r="K9432" s="17"/>
      <c r="N9432" s="17"/>
    </row>
    <row r="9433">
      <c r="B9433" s="11">
        <f>IFERROR(__xludf.DUMMYFUNCTION("""COMPUTED_VALUE"""),32820.0)</f>
        <v>32820</v>
      </c>
      <c r="C9433" s="9">
        <f>IFERROR(__xludf.DUMMYFUNCTION("""COMPUTED_VALUE"""),7.87)</f>
        <v>7.87</v>
      </c>
      <c r="H9433" s="17"/>
      <c r="K9433" s="17"/>
      <c r="N9433" s="17"/>
    </row>
    <row r="9434">
      <c r="B9434" s="11">
        <f>IFERROR(__xludf.DUMMYFUNCTION("""COMPUTED_VALUE"""),32819.0)</f>
        <v>32819</v>
      </c>
      <c r="C9434" s="9">
        <f>IFERROR(__xludf.DUMMYFUNCTION("""COMPUTED_VALUE"""),7.9)</f>
        <v>7.9</v>
      </c>
      <c r="H9434" s="17"/>
      <c r="K9434" s="17"/>
      <c r="N9434" s="17"/>
    </row>
    <row r="9435">
      <c r="B9435" s="11">
        <f>IFERROR(__xludf.DUMMYFUNCTION("""COMPUTED_VALUE"""),32818.0)</f>
        <v>32818</v>
      </c>
      <c r="C9435" s="9">
        <f>IFERROR(__xludf.DUMMYFUNCTION("""COMPUTED_VALUE"""),8.0)</f>
        <v>8</v>
      </c>
      <c r="H9435" s="17"/>
      <c r="K9435" s="17"/>
      <c r="N9435" s="17"/>
    </row>
    <row r="9436">
      <c r="B9436" s="11">
        <f>IFERROR(__xludf.DUMMYFUNCTION("""COMPUTED_VALUE"""),32815.0)</f>
        <v>32815</v>
      </c>
      <c r="C9436" s="9">
        <f>IFERROR(__xludf.DUMMYFUNCTION("""COMPUTED_VALUE"""),7.96)</f>
        <v>7.96</v>
      </c>
      <c r="H9436" s="17"/>
      <c r="K9436" s="17"/>
      <c r="N9436" s="17"/>
    </row>
    <row r="9437">
      <c r="B9437" s="11">
        <f>IFERROR(__xludf.DUMMYFUNCTION("""COMPUTED_VALUE"""),32814.0)</f>
        <v>32814</v>
      </c>
      <c r="C9437" s="9">
        <f>IFERROR(__xludf.DUMMYFUNCTION("""COMPUTED_VALUE"""),7.87)</f>
        <v>7.87</v>
      </c>
      <c r="H9437" s="17"/>
      <c r="K9437" s="17"/>
      <c r="N9437" s="17"/>
    </row>
    <row r="9438">
      <c r="B9438" s="11">
        <f>IFERROR(__xludf.DUMMYFUNCTION("""COMPUTED_VALUE"""),32813.0)</f>
        <v>32813</v>
      </c>
      <c r="C9438" s="9">
        <f>IFERROR(__xludf.DUMMYFUNCTION("""COMPUTED_VALUE"""),7.91)</f>
        <v>7.91</v>
      </c>
      <c r="H9438" s="17"/>
      <c r="K9438" s="17"/>
      <c r="N9438" s="17"/>
    </row>
    <row r="9439">
      <c r="B9439" s="11">
        <f>IFERROR(__xludf.DUMMYFUNCTION("""COMPUTED_VALUE"""),32812.0)</f>
        <v>32812</v>
      </c>
      <c r="C9439" s="9">
        <f>IFERROR(__xludf.DUMMYFUNCTION("""COMPUTED_VALUE"""),7.92)</f>
        <v>7.92</v>
      </c>
      <c r="H9439" s="17"/>
      <c r="K9439" s="17"/>
      <c r="N9439" s="17"/>
    </row>
    <row r="9440">
      <c r="B9440" s="11">
        <f>IFERROR(__xludf.DUMMYFUNCTION("""COMPUTED_VALUE"""),32811.0)</f>
        <v>32811</v>
      </c>
      <c r="C9440" s="9">
        <f>IFERROR(__xludf.DUMMYFUNCTION("""COMPUTED_VALUE"""),7.92)</f>
        <v>7.92</v>
      </c>
      <c r="H9440" s="17"/>
      <c r="K9440" s="17"/>
      <c r="N9440" s="17"/>
    </row>
    <row r="9441">
      <c r="B9441" s="11">
        <f>IFERROR(__xludf.DUMMYFUNCTION("""COMPUTED_VALUE"""),32808.0)</f>
        <v>32808</v>
      </c>
      <c r="C9441" s="9">
        <f>IFERROR(__xludf.DUMMYFUNCTION("""COMPUTED_VALUE"""),7.94)</f>
        <v>7.94</v>
      </c>
      <c r="H9441" s="17"/>
      <c r="K9441" s="17"/>
      <c r="N9441" s="17"/>
    </row>
    <row r="9442">
      <c r="B9442" s="11">
        <f>IFERROR(__xludf.DUMMYFUNCTION("""COMPUTED_VALUE"""),32807.0)</f>
        <v>32807</v>
      </c>
      <c r="C9442" s="9">
        <f>IFERROR(__xludf.DUMMYFUNCTION("""COMPUTED_VALUE"""),7.88)</f>
        <v>7.88</v>
      </c>
      <c r="H9442" s="17"/>
      <c r="K9442" s="17"/>
      <c r="N9442" s="17"/>
    </row>
    <row r="9443">
      <c r="B9443" s="11">
        <f>IFERROR(__xludf.DUMMYFUNCTION("""COMPUTED_VALUE"""),32806.0)</f>
        <v>32806</v>
      </c>
      <c r="C9443" s="9">
        <f>IFERROR(__xludf.DUMMYFUNCTION("""COMPUTED_VALUE"""),7.86)</f>
        <v>7.86</v>
      </c>
      <c r="H9443" s="17"/>
      <c r="K9443" s="17"/>
      <c r="N9443" s="17"/>
    </row>
    <row r="9444">
      <c r="B9444" s="11">
        <f>IFERROR(__xludf.DUMMYFUNCTION("""COMPUTED_VALUE"""),32805.0)</f>
        <v>32805</v>
      </c>
      <c r="C9444" s="9">
        <f>IFERROR(__xludf.DUMMYFUNCTION("""COMPUTED_VALUE"""),7.87)</f>
        <v>7.87</v>
      </c>
      <c r="H9444" s="17"/>
      <c r="K9444" s="17"/>
      <c r="N9444" s="17"/>
    </row>
    <row r="9445">
      <c r="B9445" s="11">
        <f>IFERROR(__xludf.DUMMYFUNCTION("""COMPUTED_VALUE"""),32804.0)</f>
        <v>32804</v>
      </c>
      <c r="C9445" s="9">
        <f>IFERROR(__xludf.DUMMYFUNCTION("""COMPUTED_VALUE"""),7.92)</f>
        <v>7.92</v>
      </c>
      <c r="H9445" s="17"/>
      <c r="K9445" s="17"/>
      <c r="N9445" s="17"/>
    </row>
    <row r="9446">
      <c r="B9446" s="11">
        <f>IFERROR(__xludf.DUMMYFUNCTION("""COMPUTED_VALUE"""),32801.0)</f>
        <v>32801</v>
      </c>
      <c r="C9446" s="9">
        <f>IFERROR(__xludf.DUMMYFUNCTION("""COMPUTED_VALUE"""),7.98)</f>
        <v>7.98</v>
      </c>
      <c r="H9446" s="17"/>
      <c r="K9446" s="17"/>
      <c r="N9446" s="17"/>
    </row>
    <row r="9447">
      <c r="B9447" s="11">
        <f>IFERROR(__xludf.DUMMYFUNCTION("""COMPUTED_VALUE"""),32800.0)</f>
        <v>32800</v>
      </c>
      <c r="C9447" s="9">
        <f>IFERROR(__xludf.DUMMYFUNCTION("""COMPUTED_VALUE"""),7.96)</f>
        <v>7.96</v>
      </c>
      <c r="H9447" s="17"/>
      <c r="K9447" s="17"/>
      <c r="N9447" s="17"/>
    </row>
    <row r="9448">
      <c r="B9448" s="11">
        <f>IFERROR(__xludf.DUMMYFUNCTION("""COMPUTED_VALUE"""),32799.0)</f>
        <v>32799</v>
      </c>
      <c r="C9448" s="9">
        <f>IFERROR(__xludf.DUMMYFUNCTION("""COMPUTED_VALUE"""),8.01)</f>
        <v>8.01</v>
      </c>
      <c r="H9448" s="17"/>
      <c r="K9448" s="17"/>
      <c r="N9448" s="17"/>
    </row>
    <row r="9449">
      <c r="B9449" s="11">
        <f>IFERROR(__xludf.DUMMYFUNCTION("""COMPUTED_VALUE"""),32798.0)</f>
        <v>32798</v>
      </c>
      <c r="C9449" s="9">
        <f>IFERROR(__xludf.DUMMYFUNCTION("""COMPUTED_VALUE"""),8.0)</f>
        <v>8</v>
      </c>
      <c r="H9449" s="17"/>
      <c r="K9449" s="17"/>
      <c r="N9449" s="17"/>
    </row>
    <row r="9450">
      <c r="B9450" s="11">
        <f>IFERROR(__xludf.DUMMYFUNCTION("""COMPUTED_VALUE"""),32797.0)</f>
        <v>32797</v>
      </c>
      <c r="C9450" s="9">
        <f>IFERROR(__xludf.DUMMYFUNCTION("""COMPUTED_VALUE"""),7.98)</f>
        <v>7.98</v>
      </c>
      <c r="H9450" s="17"/>
      <c r="K9450" s="17"/>
      <c r="N9450" s="17"/>
    </row>
    <row r="9451">
      <c r="B9451" s="11">
        <f>IFERROR(__xludf.DUMMYFUNCTION("""COMPUTED_VALUE"""),32794.0)</f>
        <v>32794</v>
      </c>
      <c r="C9451" s="9">
        <f>IFERROR(__xludf.DUMMYFUNCTION("""COMPUTED_VALUE"""),7.87)</f>
        <v>7.87</v>
      </c>
      <c r="H9451" s="17"/>
      <c r="K9451" s="17"/>
      <c r="N9451" s="17"/>
    </row>
    <row r="9452">
      <c r="B9452" s="11">
        <f>IFERROR(__xludf.DUMMYFUNCTION("""COMPUTED_VALUE"""),32793.0)</f>
        <v>32793</v>
      </c>
      <c r="C9452" s="9">
        <f>IFERROR(__xludf.DUMMYFUNCTION("""COMPUTED_VALUE"""),8.04)</f>
        <v>8.04</v>
      </c>
      <c r="H9452" s="17"/>
      <c r="K9452" s="17"/>
      <c r="N9452" s="17"/>
    </row>
    <row r="9453">
      <c r="B9453" s="11">
        <f>IFERROR(__xludf.DUMMYFUNCTION("""COMPUTED_VALUE"""),32792.0)</f>
        <v>32792</v>
      </c>
      <c r="C9453" s="9">
        <f>IFERROR(__xludf.DUMMYFUNCTION("""COMPUTED_VALUE"""),8.07)</f>
        <v>8.07</v>
      </c>
      <c r="H9453" s="17"/>
      <c r="K9453" s="17"/>
      <c r="N9453" s="17"/>
    </row>
    <row r="9454">
      <c r="B9454" s="11">
        <f>IFERROR(__xludf.DUMMYFUNCTION("""COMPUTED_VALUE"""),32791.0)</f>
        <v>32791</v>
      </c>
      <c r="C9454" s="9">
        <f>IFERROR(__xludf.DUMMYFUNCTION("""COMPUTED_VALUE"""),8.03)</f>
        <v>8.03</v>
      </c>
      <c r="H9454" s="17"/>
      <c r="K9454" s="17"/>
      <c r="N9454" s="17"/>
    </row>
    <row r="9455">
      <c r="B9455" s="11">
        <f>IFERROR(__xludf.DUMMYFUNCTION("""COMPUTED_VALUE"""),32790.0)</f>
        <v>32790</v>
      </c>
      <c r="C9455" s="9"/>
      <c r="H9455" s="17"/>
      <c r="K9455" s="17"/>
      <c r="N9455" s="17"/>
    </row>
    <row r="9456">
      <c r="B9456" s="11">
        <f>IFERROR(__xludf.DUMMYFUNCTION("""COMPUTED_VALUE"""),32787.0)</f>
        <v>32787</v>
      </c>
      <c r="C9456" s="9">
        <f>IFERROR(__xludf.DUMMYFUNCTION("""COMPUTED_VALUE"""),8.03)</f>
        <v>8.03</v>
      </c>
      <c r="H9456" s="17"/>
      <c r="K9456" s="17"/>
      <c r="N9456" s="17"/>
    </row>
    <row r="9457">
      <c r="B9457" s="11">
        <f>IFERROR(__xludf.DUMMYFUNCTION("""COMPUTED_VALUE"""),32786.0)</f>
        <v>32786</v>
      </c>
      <c r="C9457" s="9">
        <f>IFERROR(__xludf.DUMMYFUNCTION("""COMPUTED_VALUE"""),8.15)</f>
        <v>8.15</v>
      </c>
      <c r="H9457" s="17"/>
      <c r="K9457" s="17"/>
      <c r="N9457" s="17"/>
    </row>
    <row r="9458">
      <c r="B9458" s="11">
        <f>IFERROR(__xludf.DUMMYFUNCTION("""COMPUTED_VALUE"""),32785.0)</f>
        <v>32785</v>
      </c>
      <c r="C9458" s="9">
        <f>IFERROR(__xludf.DUMMYFUNCTION("""COMPUTED_VALUE"""),8.22)</f>
        <v>8.22</v>
      </c>
      <c r="H9458" s="17"/>
      <c r="K9458" s="17"/>
      <c r="N9458" s="17"/>
    </row>
    <row r="9459">
      <c r="B9459" s="11">
        <f>IFERROR(__xludf.DUMMYFUNCTION("""COMPUTED_VALUE"""),32784.0)</f>
        <v>32784</v>
      </c>
      <c r="C9459" s="9">
        <f>IFERROR(__xludf.DUMMYFUNCTION("""COMPUTED_VALUE"""),8.23)</f>
        <v>8.23</v>
      </c>
      <c r="H9459" s="17"/>
      <c r="K9459" s="17"/>
      <c r="N9459" s="17"/>
    </row>
    <row r="9460">
      <c r="B9460" s="11">
        <f>IFERROR(__xludf.DUMMYFUNCTION("""COMPUTED_VALUE"""),32783.0)</f>
        <v>32783</v>
      </c>
      <c r="C9460" s="9">
        <f>IFERROR(__xludf.DUMMYFUNCTION("""COMPUTED_VALUE"""),8.28)</f>
        <v>8.28</v>
      </c>
      <c r="H9460" s="17"/>
      <c r="K9460" s="17"/>
      <c r="N9460" s="17"/>
    </row>
    <row r="9461">
      <c r="B9461" s="11">
        <f>IFERROR(__xludf.DUMMYFUNCTION("""COMPUTED_VALUE"""),32780.0)</f>
        <v>32780</v>
      </c>
      <c r="C9461" s="9">
        <f>IFERROR(__xludf.DUMMYFUNCTION("""COMPUTED_VALUE"""),8.31)</f>
        <v>8.31</v>
      </c>
      <c r="H9461" s="17"/>
      <c r="K9461" s="17"/>
      <c r="N9461" s="17"/>
    </row>
    <row r="9462">
      <c r="B9462" s="11">
        <f>IFERROR(__xludf.DUMMYFUNCTION("""COMPUTED_VALUE"""),32779.0)</f>
        <v>32779</v>
      </c>
      <c r="C9462" s="9">
        <f>IFERROR(__xludf.DUMMYFUNCTION("""COMPUTED_VALUE"""),8.3)</f>
        <v>8.3</v>
      </c>
      <c r="H9462" s="17"/>
      <c r="K9462" s="17"/>
      <c r="N9462" s="17"/>
    </row>
    <row r="9463">
      <c r="B9463" s="11">
        <f>IFERROR(__xludf.DUMMYFUNCTION("""COMPUTED_VALUE"""),32778.0)</f>
        <v>32778</v>
      </c>
      <c r="C9463" s="9">
        <f>IFERROR(__xludf.DUMMYFUNCTION("""COMPUTED_VALUE"""),8.3)</f>
        <v>8.3</v>
      </c>
      <c r="H9463" s="17"/>
      <c r="K9463" s="17"/>
      <c r="N9463" s="17"/>
    </row>
    <row r="9464">
      <c r="B9464" s="11">
        <f>IFERROR(__xludf.DUMMYFUNCTION("""COMPUTED_VALUE"""),32777.0)</f>
        <v>32777</v>
      </c>
      <c r="C9464" s="9">
        <f>IFERROR(__xludf.DUMMYFUNCTION("""COMPUTED_VALUE"""),8.3)</f>
        <v>8.3</v>
      </c>
      <c r="H9464" s="17"/>
      <c r="K9464" s="17"/>
      <c r="N9464" s="17"/>
    </row>
    <row r="9465">
      <c r="B9465" s="11">
        <f>IFERROR(__xludf.DUMMYFUNCTION("""COMPUTED_VALUE"""),32776.0)</f>
        <v>32776</v>
      </c>
      <c r="C9465" s="9">
        <f>IFERROR(__xludf.DUMMYFUNCTION("""COMPUTED_VALUE"""),8.32)</f>
        <v>8.32</v>
      </c>
      <c r="H9465" s="17"/>
      <c r="K9465" s="17"/>
      <c r="N9465" s="17"/>
    </row>
    <row r="9466">
      <c r="B9466" s="11">
        <f>IFERROR(__xludf.DUMMYFUNCTION("""COMPUTED_VALUE"""),32773.0)</f>
        <v>32773</v>
      </c>
      <c r="C9466" s="9">
        <f>IFERROR(__xludf.DUMMYFUNCTION("""COMPUTED_VALUE"""),8.22)</f>
        <v>8.22</v>
      </c>
      <c r="H9466" s="17"/>
      <c r="K9466" s="17"/>
      <c r="N9466" s="17"/>
    </row>
    <row r="9467">
      <c r="B9467" s="11">
        <f>IFERROR(__xludf.DUMMYFUNCTION("""COMPUTED_VALUE"""),32772.0)</f>
        <v>32772</v>
      </c>
      <c r="C9467" s="9">
        <f>IFERROR(__xludf.DUMMYFUNCTION("""COMPUTED_VALUE"""),8.2)</f>
        <v>8.2</v>
      </c>
      <c r="H9467" s="17"/>
      <c r="K9467" s="17"/>
      <c r="N9467" s="17"/>
    </row>
    <row r="9468">
      <c r="B9468" s="11">
        <f>IFERROR(__xludf.DUMMYFUNCTION("""COMPUTED_VALUE"""),32771.0)</f>
        <v>32771</v>
      </c>
      <c r="C9468" s="9">
        <f>IFERROR(__xludf.DUMMYFUNCTION("""COMPUTED_VALUE"""),8.15)</f>
        <v>8.15</v>
      </c>
      <c r="H9468" s="17"/>
      <c r="K9468" s="17"/>
      <c r="N9468" s="17"/>
    </row>
    <row r="9469">
      <c r="B9469" s="11">
        <f>IFERROR(__xludf.DUMMYFUNCTION("""COMPUTED_VALUE"""),32770.0)</f>
        <v>32770</v>
      </c>
      <c r="C9469" s="9">
        <f>IFERROR(__xludf.DUMMYFUNCTION("""COMPUTED_VALUE"""),8.09)</f>
        <v>8.09</v>
      </c>
      <c r="H9469" s="17"/>
      <c r="K9469" s="17"/>
      <c r="N9469" s="17"/>
    </row>
    <row r="9470">
      <c r="B9470" s="11">
        <f>IFERROR(__xludf.DUMMYFUNCTION("""COMPUTED_VALUE"""),32769.0)</f>
        <v>32769</v>
      </c>
      <c r="C9470" s="9">
        <f>IFERROR(__xludf.DUMMYFUNCTION("""COMPUTED_VALUE"""),8.1)</f>
        <v>8.1</v>
      </c>
      <c r="H9470" s="17"/>
      <c r="K9470" s="17"/>
      <c r="N9470" s="17"/>
    </row>
    <row r="9471">
      <c r="B9471" s="11">
        <f>IFERROR(__xludf.DUMMYFUNCTION("""COMPUTED_VALUE"""),32766.0)</f>
        <v>32766</v>
      </c>
      <c r="C9471" s="9">
        <f>IFERROR(__xludf.DUMMYFUNCTION("""COMPUTED_VALUE"""),8.09)</f>
        <v>8.09</v>
      </c>
      <c r="H9471" s="17"/>
      <c r="K9471" s="17"/>
      <c r="N9471" s="17"/>
    </row>
    <row r="9472">
      <c r="B9472" s="11">
        <f>IFERROR(__xludf.DUMMYFUNCTION("""COMPUTED_VALUE"""),32765.0)</f>
        <v>32765</v>
      </c>
      <c r="C9472" s="9">
        <f>IFERROR(__xludf.DUMMYFUNCTION("""COMPUTED_VALUE"""),8.13)</f>
        <v>8.13</v>
      </c>
      <c r="H9472" s="17"/>
      <c r="K9472" s="17"/>
      <c r="N9472" s="17"/>
    </row>
    <row r="9473">
      <c r="B9473" s="11">
        <f>IFERROR(__xludf.DUMMYFUNCTION("""COMPUTED_VALUE"""),32764.0)</f>
        <v>32764</v>
      </c>
      <c r="C9473" s="9">
        <f>IFERROR(__xludf.DUMMYFUNCTION("""COMPUTED_VALUE"""),8.18)</f>
        <v>8.18</v>
      </c>
      <c r="H9473" s="17"/>
      <c r="K9473" s="17"/>
      <c r="N9473" s="17"/>
    </row>
    <row r="9474">
      <c r="B9474" s="11">
        <f>IFERROR(__xludf.DUMMYFUNCTION("""COMPUTED_VALUE"""),32763.0)</f>
        <v>32763</v>
      </c>
      <c r="C9474" s="9">
        <f>IFERROR(__xludf.DUMMYFUNCTION("""COMPUTED_VALUE"""),8.13)</f>
        <v>8.13</v>
      </c>
      <c r="H9474" s="17"/>
      <c r="K9474" s="17"/>
      <c r="N9474" s="17"/>
    </row>
    <row r="9475">
      <c r="B9475" s="11">
        <f>IFERROR(__xludf.DUMMYFUNCTION("""COMPUTED_VALUE"""),32762.0)</f>
        <v>32762</v>
      </c>
      <c r="C9475" s="9">
        <f>IFERROR(__xludf.DUMMYFUNCTION("""COMPUTED_VALUE"""),8.13)</f>
        <v>8.13</v>
      </c>
      <c r="H9475" s="17"/>
      <c r="K9475" s="17"/>
      <c r="N9475" s="17"/>
    </row>
    <row r="9476">
      <c r="B9476" s="11">
        <f>IFERROR(__xludf.DUMMYFUNCTION("""COMPUTED_VALUE"""),32759.0)</f>
        <v>32759</v>
      </c>
      <c r="C9476" s="9">
        <f>IFERROR(__xludf.DUMMYFUNCTION("""COMPUTED_VALUE"""),8.14)</f>
        <v>8.14</v>
      </c>
      <c r="H9476" s="17"/>
      <c r="K9476" s="17"/>
      <c r="N9476" s="17"/>
    </row>
    <row r="9477">
      <c r="B9477" s="11">
        <f>IFERROR(__xludf.DUMMYFUNCTION("""COMPUTED_VALUE"""),32758.0)</f>
        <v>32758</v>
      </c>
      <c r="C9477" s="9">
        <f>IFERROR(__xludf.DUMMYFUNCTION("""COMPUTED_VALUE"""),8.17)</f>
        <v>8.17</v>
      </c>
      <c r="H9477" s="17"/>
      <c r="K9477" s="17"/>
      <c r="N9477" s="17"/>
    </row>
    <row r="9478">
      <c r="B9478" s="11">
        <f>IFERROR(__xludf.DUMMYFUNCTION("""COMPUTED_VALUE"""),32757.0)</f>
        <v>32757</v>
      </c>
      <c r="C9478" s="9">
        <f>IFERROR(__xludf.DUMMYFUNCTION("""COMPUTED_VALUE"""),8.17)</f>
        <v>8.17</v>
      </c>
      <c r="H9478" s="17"/>
      <c r="K9478" s="17"/>
      <c r="N9478" s="17"/>
    </row>
    <row r="9479">
      <c r="B9479" s="11">
        <f>IFERROR(__xludf.DUMMYFUNCTION("""COMPUTED_VALUE"""),32756.0)</f>
        <v>32756</v>
      </c>
      <c r="C9479" s="9">
        <f>IFERROR(__xludf.DUMMYFUNCTION("""COMPUTED_VALUE"""),8.19)</f>
        <v>8.19</v>
      </c>
      <c r="H9479" s="17"/>
      <c r="K9479" s="17"/>
      <c r="N9479" s="17"/>
    </row>
    <row r="9480">
      <c r="B9480" s="11">
        <f>IFERROR(__xludf.DUMMYFUNCTION("""COMPUTED_VALUE"""),32755.0)</f>
        <v>32755</v>
      </c>
      <c r="C9480" s="9"/>
      <c r="H9480" s="17"/>
      <c r="K9480" s="17"/>
      <c r="N9480" s="17"/>
    </row>
    <row r="9481">
      <c r="B9481" s="11">
        <f>IFERROR(__xludf.DUMMYFUNCTION("""COMPUTED_VALUE"""),32752.0)</f>
        <v>32752</v>
      </c>
      <c r="C9481" s="9">
        <f>IFERROR(__xludf.DUMMYFUNCTION("""COMPUTED_VALUE"""),8.19)</f>
        <v>8.19</v>
      </c>
      <c r="H9481" s="17"/>
      <c r="K9481" s="17"/>
      <c r="N9481" s="17"/>
    </row>
    <row r="9482">
      <c r="B9482" s="11">
        <f>IFERROR(__xludf.DUMMYFUNCTION("""COMPUTED_VALUE"""),32751.0)</f>
        <v>32751</v>
      </c>
      <c r="C9482" s="9">
        <f>IFERROR(__xludf.DUMMYFUNCTION("""COMPUTED_VALUE"""),8.26)</f>
        <v>8.26</v>
      </c>
      <c r="H9482" s="17"/>
      <c r="K9482" s="17"/>
      <c r="N9482" s="17"/>
    </row>
    <row r="9483">
      <c r="B9483" s="11">
        <f>IFERROR(__xludf.DUMMYFUNCTION("""COMPUTED_VALUE"""),32750.0)</f>
        <v>32750</v>
      </c>
      <c r="C9483" s="9">
        <f>IFERROR(__xludf.DUMMYFUNCTION("""COMPUTED_VALUE"""),8.25)</f>
        <v>8.25</v>
      </c>
      <c r="H9483" s="17"/>
      <c r="K9483" s="17"/>
      <c r="N9483" s="17"/>
    </row>
    <row r="9484">
      <c r="B9484" s="11">
        <f>IFERROR(__xludf.DUMMYFUNCTION("""COMPUTED_VALUE"""),32749.0)</f>
        <v>32749</v>
      </c>
      <c r="C9484" s="9">
        <f>IFERROR(__xludf.DUMMYFUNCTION("""COMPUTED_VALUE"""),8.27)</f>
        <v>8.27</v>
      </c>
      <c r="H9484" s="17"/>
      <c r="K9484" s="17"/>
      <c r="N9484" s="17"/>
    </row>
    <row r="9485">
      <c r="B9485" s="11">
        <f>IFERROR(__xludf.DUMMYFUNCTION("""COMPUTED_VALUE"""),32748.0)</f>
        <v>32748</v>
      </c>
      <c r="C9485" s="9">
        <f>IFERROR(__xludf.DUMMYFUNCTION("""COMPUTED_VALUE"""),8.27)</f>
        <v>8.27</v>
      </c>
      <c r="H9485" s="17"/>
      <c r="K9485" s="17"/>
      <c r="N9485" s="17"/>
    </row>
    <row r="9486">
      <c r="B9486" s="11">
        <f>IFERROR(__xludf.DUMMYFUNCTION("""COMPUTED_VALUE"""),32745.0)</f>
        <v>32745</v>
      </c>
      <c r="C9486" s="9">
        <f>IFERROR(__xludf.DUMMYFUNCTION("""COMPUTED_VALUE"""),8.21)</f>
        <v>8.21</v>
      </c>
      <c r="H9486" s="17"/>
      <c r="K9486" s="17"/>
      <c r="N9486" s="17"/>
    </row>
    <row r="9487">
      <c r="B9487" s="11">
        <f>IFERROR(__xludf.DUMMYFUNCTION("""COMPUTED_VALUE"""),32744.0)</f>
        <v>32744</v>
      </c>
      <c r="C9487" s="9">
        <f>IFERROR(__xludf.DUMMYFUNCTION("""COMPUTED_VALUE"""),8.2)</f>
        <v>8.2</v>
      </c>
      <c r="H9487" s="17"/>
      <c r="K9487" s="17"/>
      <c r="N9487" s="17"/>
    </row>
    <row r="9488">
      <c r="B9488" s="11">
        <f>IFERROR(__xludf.DUMMYFUNCTION("""COMPUTED_VALUE"""),32743.0)</f>
        <v>32743</v>
      </c>
      <c r="C9488" s="9">
        <f>IFERROR(__xludf.DUMMYFUNCTION("""COMPUTED_VALUE"""),8.25)</f>
        <v>8.25</v>
      </c>
      <c r="H9488" s="17"/>
      <c r="K9488" s="17"/>
      <c r="N9488" s="17"/>
    </row>
    <row r="9489">
      <c r="B9489" s="11">
        <f>IFERROR(__xludf.DUMMYFUNCTION("""COMPUTED_VALUE"""),32742.0)</f>
        <v>32742</v>
      </c>
      <c r="C9489" s="9">
        <f>IFERROR(__xludf.DUMMYFUNCTION("""COMPUTED_VALUE"""),8.29)</f>
        <v>8.29</v>
      </c>
      <c r="H9489" s="17"/>
      <c r="K9489" s="17"/>
      <c r="N9489" s="17"/>
    </row>
    <row r="9490">
      <c r="B9490" s="11">
        <f>IFERROR(__xludf.DUMMYFUNCTION("""COMPUTED_VALUE"""),32741.0)</f>
        <v>32741</v>
      </c>
      <c r="C9490" s="9">
        <f>IFERROR(__xludf.DUMMYFUNCTION("""COMPUTED_VALUE"""),8.2)</f>
        <v>8.2</v>
      </c>
      <c r="H9490" s="17"/>
      <c r="K9490" s="17"/>
      <c r="N9490" s="17"/>
    </row>
    <row r="9491">
      <c r="B9491" s="11">
        <f>IFERROR(__xludf.DUMMYFUNCTION("""COMPUTED_VALUE"""),32738.0)</f>
        <v>32738</v>
      </c>
      <c r="C9491" s="9">
        <f>IFERROR(__xludf.DUMMYFUNCTION("""COMPUTED_VALUE"""),8.15)</f>
        <v>8.15</v>
      </c>
      <c r="H9491" s="17"/>
      <c r="K9491" s="17"/>
      <c r="N9491" s="17"/>
    </row>
    <row r="9492">
      <c r="B9492" s="11">
        <f>IFERROR(__xludf.DUMMYFUNCTION("""COMPUTED_VALUE"""),32737.0)</f>
        <v>32737</v>
      </c>
      <c r="C9492" s="9">
        <f>IFERROR(__xludf.DUMMYFUNCTION("""COMPUTED_VALUE"""),8.18)</f>
        <v>8.18</v>
      </c>
      <c r="H9492" s="17"/>
      <c r="K9492" s="17"/>
      <c r="N9492" s="17"/>
    </row>
    <row r="9493">
      <c r="B9493" s="11">
        <f>IFERROR(__xludf.DUMMYFUNCTION("""COMPUTED_VALUE"""),32736.0)</f>
        <v>32736</v>
      </c>
      <c r="C9493" s="9">
        <f>IFERROR(__xludf.DUMMYFUNCTION("""COMPUTED_VALUE"""),8.12)</f>
        <v>8.12</v>
      </c>
      <c r="H9493" s="17"/>
      <c r="K9493" s="17"/>
      <c r="N9493" s="17"/>
    </row>
    <row r="9494">
      <c r="B9494" s="11">
        <f>IFERROR(__xludf.DUMMYFUNCTION("""COMPUTED_VALUE"""),32735.0)</f>
        <v>32735</v>
      </c>
      <c r="C9494" s="9">
        <f>IFERROR(__xludf.DUMMYFUNCTION("""COMPUTED_VALUE"""),8.21)</f>
        <v>8.21</v>
      </c>
      <c r="H9494" s="17"/>
      <c r="K9494" s="17"/>
      <c r="N9494" s="17"/>
    </row>
    <row r="9495">
      <c r="B9495" s="11">
        <f>IFERROR(__xludf.DUMMYFUNCTION("""COMPUTED_VALUE"""),32734.0)</f>
        <v>32734</v>
      </c>
      <c r="C9495" s="9">
        <f>IFERROR(__xludf.DUMMYFUNCTION("""COMPUTED_VALUE"""),8.24)</f>
        <v>8.24</v>
      </c>
      <c r="H9495" s="17"/>
      <c r="K9495" s="17"/>
      <c r="N9495" s="17"/>
    </row>
    <row r="9496">
      <c r="B9496" s="11">
        <f>IFERROR(__xludf.DUMMYFUNCTION("""COMPUTED_VALUE"""),32731.0)</f>
        <v>32731</v>
      </c>
      <c r="C9496" s="9">
        <f>IFERROR(__xludf.DUMMYFUNCTION("""COMPUTED_VALUE"""),8.09)</f>
        <v>8.09</v>
      </c>
      <c r="H9496" s="17"/>
      <c r="K9496" s="17"/>
      <c r="N9496" s="17"/>
    </row>
    <row r="9497">
      <c r="B9497" s="11">
        <f>IFERROR(__xludf.DUMMYFUNCTION("""COMPUTED_VALUE"""),32730.0)</f>
        <v>32730</v>
      </c>
      <c r="C9497" s="9">
        <f>IFERROR(__xludf.DUMMYFUNCTION("""COMPUTED_VALUE"""),8.02)</f>
        <v>8.02</v>
      </c>
      <c r="H9497" s="17"/>
      <c r="K9497" s="17"/>
      <c r="N9497" s="17"/>
    </row>
    <row r="9498">
      <c r="B9498" s="11">
        <f>IFERROR(__xludf.DUMMYFUNCTION("""COMPUTED_VALUE"""),32729.0)</f>
        <v>32729</v>
      </c>
      <c r="C9498" s="9">
        <f>IFERROR(__xludf.DUMMYFUNCTION("""COMPUTED_VALUE"""),8.05)</f>
        <v>8.05</v>
      </c>
      <c r="H9498" s="17"/>
      <c r="K9498" s="17"/>
      <c r="N9498" s="17"/>
    </row>
    <row r="9499">
      <c r="B9499" s="11">
        <f>IFERROR(__xludf.DUMMYFUNCTION("""COMPUTED_VALUE"""),32728.0)</f>
        <v>32728</v>
      </c>
      <c r="C9499" s="9">
        <f>IFERROR(__xludf.DUMMYFUNCTION("""COMPUTED_VALUE"""),8.0)</f>
        <v>8</v>
      </c>
      <c r="H9499" s="17"/>
      <c r="K9499" s="17"/>
      <c r="N9499" s="17"/>
    </row>
    <row r="9500">
      <c r="B9500" s="11">
        <f>IFERROR(__xludf.DUMMYFUNCTION("""COMPUTED_VALUE"""),32727.0)</f>
        <v>32727</v>
      </c>
      <c r="C9500" s="9">
        <f>IFERROR(__xludf.DUMMYFUNCTION("""COMPUTED_VALUE"""),8.03)</f>
        <v>8.03</v>
      </c>
      <c r="H9500" s="17"/>
      <c r="K9500" s="17"/>
      <c r="N9500" s="17"/>
    </row>
    <row r="9501">
      <c r="B9501" s="11">
        <f>IFERROR(__xludf.DUMMYFUNCTION("""COMPUTED_VALUE"""),32724.0)</f>
        <v>32724</v>
      </c>
      <c r="C9501" s="9">
        <f>IFERROR(__xludf.DUMMYFUNCTION("""COMPUTED_VALUE"""),8.0)</f>
        <v>8</v>
      </c>
      <c r="H9501" s="17"/>
      <c r="K9501" s="17"/>
      <c r="N9501" s="17"/>
    </row>
    <row r="9502">
      <c r="B9502" s="11">
        <f>IFERROR(__xludf.DUMMYFUNCTION("""COMPUTED_VALUE"""),32723.0)</f>
        <v>32723</v>
      </c>
      <c r="C9502" s="9">
        <f>IFERROR(__xludf.DUMMYFUNCTION("""COMPUTED_VALUE"""),7.8)</f>
        <v>7.8</v>
      </c>
      <c r="H9502" s="17"/>
      <c r="K9502" s="17"/>
      <c r="N9502" s="17"/>
    </row>
    <row r="9503">
      <c r="B9503" s="11">
        <f>IFERROR(__xludf.DUMMYFUNCTION("""COMPUTED_VALUE"""),32722.0)</f>
        <v>32722</v>
      </c>
      <c r="C9503" s="9">
        <f>IFERROR(__xludf.DUMMYFUNCTION("""COMPUTED_VALUE"""),7.76)</f>
        <v>7.76</v>
      </c>
      <c r="H9503" s="17"/>
      <c r="K9503" s="17"/>
      <c r="N9503" s="17"/>
    </row>
    <row r="9504">
      <c r="B9504" s="11">
        <f>IFERROR(__xludf.DUMMYFUNCTION("""COMPUTED_VALUE"""),32721.0)</f>
        <v>32721</v>
      </c>
      <c r="C9504" s="9">
        <f>IFERROR(__xludf.DUMMYFUNCTION("""COMPUTED_VALUE"""),7.74)</f>
        <v>7.74</v>
      </c>
      <c r="H9504" s="17"/>
      <c r="K9504" s="17"/>
      <c r="N9504" s="17"/>
    </row>
    <row r="9505">
      <c r="B9505" s="11">
        <f>IFERROR(__xludf.DUMMYFUNCTION("""COMPUTED_VALUE"""),32720.0)</f>
        <v>32720</v>
      </c>
      <c r="C9505" s="9">
        <f>IFERROR(__xludf.DUMMYFUNCTION("""COMPUTED_VALUE"""),7.82)</f>
        <v>7.82</v>
      </c>
      <c r="H9505" s="17"/>
      <c r="K9505" s="17"/>
      <c r="N9505" s="17"/>
    </row>
    <row r="9506">
      <c r="B9506" s="11">
        <f>IFERROR(__xludf.DUMMYFUNCTION("""COMPUTED_VALUE"""),32717.0)</f>
        <v>32717</v>
      </c>
      <c r="C9506" s="9">
        <f>IFERROR(__xludf.DUMMYFUNCTION("""COMPUTED_VALUE"""),7.87)</f>
        <v>7.87</v>
      </c>
      <c r="H9506" s="17"/>
      <c r="K9506" s="17"/>
      <c r="N9506" s="17"/>
    </row>
    <row r="9507">
      <c r="B9507" s="11">
        <f>IFERROR(__xludf.DUMMYFUNCTION("""COMPUTED_VALUE"""),32716.0)</f>
        <v>32716</v>
      </c>
      <c r="C9507" s="9">
        <f>IFERROR(__xludf.DUMMYFUNCTION("""COMPUTED_VALUE"""),7.92)</f>
        <v>7.92</v>
      </c>
      <c r="H9507" s="17"/>
      <c r="K9507" s="17"/>
      <c r="N9507" s="17"/>
    </row>
    <row r="9508">
      <c r="B9508" s="11">
        <f>IFERROR(__xludf.DUMMYFUNCTION("""COMPUTED_VALUE"""),32715.0)</f>
        <v>32715</v>
      </c>
      <c r="C9508" s="9">
        <f>IFERROR(__xludf.DUMMYFUNCTION("""COMPUTED_VALUE"""),8.02)</f>
        <v>8.02</v>
      </c>
      <c r="H9508" s="17"/>
      <c r="K9508" s="17"/>
      <c r="N9508" s="17"/>
    </row>
    <row r="9509">
      <c r="B9509" s="11">
        <f>IFERROR(__xludf.DUMMYFUNCTION("""COMPUTED_VALUE"""),32714.0)</f>
        <v>32714</v>
      </c>
      <c r="C9509" s="9">
        <f>IFERROR(__xludf.DUMMYFUNCTION("""COMPUTED_VALUE"""),8.01)</f>
        <v>8.01</v>
      </c>
      <c r="H9509" s="17"/>
      <c r="K9509" s="17"/>
      <c r="N9509" s="17"/>
    </row>
    <row r="9510">
      <c r="B9510" s="11">
        <f>IFERROR(__xludf.DUMMYFUNCTION("""COMPUTED_VALUE"""),32713.0)</f>
        <v>32713</v>
      </c>
      <c r="C9510" s="9">
        <f>IFERROR(__xludf.DUMMYFUNCTION("""COMPUTED_VALUE"""),8.05)</f>
        <v>8.05</v>
      </c>
      <c r="H9510" s="17"/>
      <c r="K9510" s="17"/>
      <c r="N9510" s="17"/>
    </row>
    <row r="9511">
      <c r="B9511" s="11">
        <f>IFERROR(__xludf.DUMMYFUNCTION("""COMPUTED_VALUE"""),32710.0)</f>
        <v>32710</v>
      </c>
      <c r="C9511" s="9">
        <f>IFERROR(__xludf.DUMMYFUNCTION("""COMPUTED_VALUE"""),8.07)</f>
        <v>8.07</v>
      </c>
      <c r="H9511" s="17"/>
      <c r="K9511" s="17"/>
      <c r="N9511" s="17"/>
    </row>
    <row r="9512">
      <c r="B9512" s="11">
        <f>IFERROR(__xludf.DUMMYFUNCTION("""COMPUTED_VALUE"""),32709.0)</f>
        <v>32709</v>
      </c>
      <c r="C9512" s="9">
        <f>IFERROR(__xludf.DUMMYFUNCTION("""COMPUTED_VALUE"""),8.01)</f>
        <v>8.01</v>
      </c>
      <c r="H9512" s="17"/>
      <c r="K9512" s="17"/>
      <c r="N9512" s="17"/>
    </row>
    <row r="9513">
      <c r="B9513" s="11">
        <f>IFERROR(__xludf.DUMMYFUNCTION("""COMPUTED_VALUE"""),32708.0)</f>
        <v>32708</v>
      </c>
      <c r="C9513" s="9">
        <f>IFERROR(__xludf.DUMMYFUNCTION("""COMPUTED_VALUE"""),8.09)</f>
        <v>8.09</v>
      </c>
      <c r="H9513" s="17"/>
      <c r="K9513" s="17"/>
      <c r="N9513" s="17"/>
    </row>
    <row r="9514">
      <c r="B9514" s="11">
        <f>IFERROR(__xludf.DUMMYFUNCTION("""COMPUTED_VALUE"""),32707.0)</f>
        <v>32707</v>
      </c>
      <c r="C9514" s="9">
        <f>IFERROR(__xludf.DUMMYFUNCTION("""COMPUTED_VALUE"""),8.13)</f>
        <v>8.13</v>
      </c>
      <c r="H9514" s="17"/>
      <c r="K9514" s="17"/>
      <c r="N9514" s="17"/>
    </row>
    <row r="9515">
      <c r="B9515" s="11">
        <f>IFERROR(__xludf.DUMMYFUNCTION("""COMPUTED_VALUE"""),32706.0)</f>
        <v>32706</v>
      </c>
      <c r="C9515" s="9">
        <f>IFERROR(__xludf.DUMMYFUNCTION("""COMPUTED_VALUE"""),8.05)</f>
        <v>8.05</v>
      </c>
      <c r="H9515" s="17"/>
      <c r="K9515" s="17"/>
      <c r="N9515" s="17"/>
    </row>
    <row r="9516">
      <c r="B9516" s="11">
        <f>IFERROR(__xludf.DUMMYFUNCTION("""COMPUTED_VALUE"""),32703.0)</f>
        <v>32703</v>
      </c>
      <c r="C9516" s="9">
        <f>IFERROR(__xludf.DUMMYFUNCTION("""COMPUTED_VALUE"""),8.04)</f>
        <v>8.04</v>
      </c>
      <c r="H9516" s="17"/>
      <c r="K9516" s="17"/>
      <c r="N9516" s="17"/>
    </row>
    <row r="9517">
      <c r="B9517" s="11">
        <f>IFERROR(__xludf.DUMMYFUNCTION("""COMPUTED_VALUE"""),32702.0)</f>
        <v>32702</v>
      </c>
      <c r="C9517" s="9">
        <f>IFERROR(__xludf.DUMMYFUNCTION("""COMPUTED_VALUE"""),8.0)</f>
        <v>8</v>
      </c>
      <c r="H9517" s="17"/>
      <c r="K9517" s="17"/>
      <c r="N9517" s="17"/>
    </row>
    <row r="9518">
      <c r="B9518" s="11">
        <f>IFERROR(__xludf.DUMMYFUNCTION("""COMPUTED_VALUE"""),32701.0)</f>
        <v>32701</v>
      </c>
      <c r="C9518" s="9">
        <f>IFERROR(__xludf.DUMMYFUNCTION("""COMPUTED_VALUE"""),8.0)</f>
        <v>8</v>
      </c>
      <c r="H9518" s="17"/>
      <c r="K9518" s="17"/>
      <c r="N9518" s="17"/>
    </row>
    <row r="9519">
      <c r="B9519" s="11">
        <f>IFERROR(__xludf.DUMMYFUNCTION("""COMPUTED_VALUE"""),32700.0)</f>
        <v>32700</v>
      </c>
      <c r="C9519" s="9">
        <f>IFERROR(__xludf.DUMMYFUNCTION("""COMPUTED_VALUE"""),8.0)</f>
        <v>8</v>
      </c>
      <c r="H9519" s="17"/>
      <c r="K9519" s="17"/>
      <c r="N9519" s="17"/>
    </row>
    <row r="9520">
      <c r="B9520" s="11">
        <f>IFERROR(__xludf.DUMMYFUNCTION("""COMPUTED_VALUE"""),32699.0)</f>
        <v>32699</v>
      </c>
      <c r="C9520" s="9">
        <f>IFERROR(__xludf.DUMMYFUNCTION("""COMPUTED_VALUE"""),7.99)</f>
        <v>7.99</v>
      </c>
      <c r="H9520" s="17"/>
      <c r="K9520" s="17"/>
      <c r="N9520" s="17"/>
    </row>
    <row r="9521">
      <c r="B9521" s="11">
        <f>IFERROR(__xludf.DUMMYFUNCTION("""COMPUTED_VALUE"""),32696.0)</f>
        <v>32696</v>
      </c>
      <c r="C9521" s="9">
        <f>IFERROR(__xludf.DUMMYFUNCTION("""COMPUTED_VALUE"""),8.02)</f>
        <v>8.02</v>
      </c>
      <c r="H9521" s="17"/>
      <c r="K9521" s="17"/>
      <c r="N9521" s="17"/>
    </row>
    <row r="9522">
      <c r="B9522" s="11">
        <f>IFERROR(__xludf.DUMMYFUNCTION("""COMPUTED_VALUE"""),32695.0)</f>
        <v>32695</v>
      </c>
      <c r="C9522" s="9">
        <f>IFERROR(__xludf.DUMMYFUNCTION("""COMPUTED_VALUE"""),8.08)</f>
        <v>8.08</v>
      </c>
      <c r="H9522" s="17"/>
      <c r="K9522" s="17"/>
      <c r="N9522" s="17"/>
    </row>
    <row r="9523">
      <c r="B9523" s="11">
        <f>IFERROR(__xludf.DUMMYFUNCTION("""COMPUTED_VALUE"""),32694.0)</f>
        <v>32694</v>
      </c>
      <c r="C9523" s="9">
        <f>IFERROR(__xludf.DUMMYFUNCTION("""COMPUTED_VALUE"""),8.11)</f>
        <v>8.11</v>
      </c>
      <c r="H9523" s="17"/>
      <c r="K9523" s="17"/>
      <c r="N9523" s="17"/>
    </row>
    <row r="9524">
      <c r="B9524" s="11">
        <f>IFERROR(__xludf.DUMMYFUNCTION("""COMPUTED_VALUE"""),32693.0)</f>
        <v>32693</v>
      </c>
      <c r="C9524" s="9"/>
      <c r="H9524" s="17"/>
      <c r="K9524" s="17"/>
      <c r="N9524" s="17"/>
    </row>
    <row r="9525">
      <c r="B9525" s="11">
        <f>IFERROR(__xludf.DUMMYFUNCTION("""COMPUTED_VALUE"""),32692.0)</f>
        <v>32692</v>
      </c>
      <c r="C9525" s="9">
        <f>IFERROR(__xludf.DUMMYFUNCTION("""COMPUTED_VALUE"""),8.09)</f>
        <v>8.09</v>
      </c>
      <c r="H9525" s="17"/>
      <c r="K9525" s="17"/>
      <c r="N9525" s="17"/>
    </row>
    <row r="9526">
      <c r="B9526" s="11">
        <f>IFERROR(__xludf.DUMMYFUNCTION("""COMPUTED_VALUE"""),32689.0)</f>
        <v>32689</v>
      </c>
      <c r="C9526" s="9">
        <f>IFERROR(__xludf.DUMMYFUNCTION("""COMPUTED_VALUE"""),8.1)</f>
        <v>8.1</v>
      </c>
      <c r="H9526" s="17"/>
      <c r="K9526" s="17"/>
      <c r="N9526" s="17"/>
    </row>
    <row r="9527">
      <c r="B9527" s="11">
        <f>IFERROR(__xludf.DUMMYFUNCTION("""COMPUTED_VALUE"""),32688.0)</f>
        <v>32688</v>
      </c>
      <c r="C9527" s="9">
        <f>IFERROR(__xludf.DUMMYFUNCTION("""COMPUTED_VALUE"""),8.12)</f>
        <v>8.12</v>
      </c>
      <c r="H9527" s="17"/>
      <c r="K9527" s="17"/>
      <c r="N9527" s="17"/>
    </row>
    <row r="9528">
      <c r="B9528" s="11">
        <f>IFERROR(__xludf.DUMMYFUNCTION("""COMPUTED_VALUE"""),32687.0)</f>
        <v>32687</v>
      </c>
      <c r="C9528" s="9">
        <f>IFERROR(__xludf.DUMMYFUNCTION("""COMPUTED_VALUE"""),8.17)</f>
        <v>8.17</v>
      </c>
      <c r="H9528" s="17"/>
      <c r="K9528" s="17"/>
      <c r="N9528" s="17"/>
    </row>
    <row r="9529">
      <c r="B9529" s="11">
        <f>IFERROR(__xludf.DUMMYFUNCTION("""COMPUTED_VALUE"""),32686.0)</f>
        <v>32686</v>
      </c>
      <c r="C9529" s="9">
        <f>IFERROR(__xludf.DUMMYFUNCTION("""COMPUTED_VALUE"""),8.11)</f>
        <v>8.11</v>
      </c>
      <c r="H9529" s="17"/>
      <c r="K9529" s="17"/>
      <c r="N9529" s="17"/>
    </row>
    <row r="9530">
      <c r="B9530" s="11">
        <f>IFERROR(__xludf.DUMMYFUNCTION("""COMPUTED_VALUE"""),32685.0)</f>
        <v>32685</v>
      </c>
      <c r="C9530" s="9">
        <f>IFERROR(__xludf.DUMMYFUNCTION("""COMPUTED_VALUE"""),8.18)</f>
        <v>8.18</v>
      </c>
      <c r="H9530" s="17"/>
      <c r="K9530" s="17"/>
      <c r="N9530" s="17"/>
    </row>
    <row r="9531">
      <c r="B9531" s="11">
        <f>IFERROR(__xludf.DUMMYFUNCTION("""COMPUTED_VALUE"""),32682.0)</f>
        <v>32682</v>
      </c>
      <c r="C9531" s="9">
        <f>IFERROR(__xludf.DUMMYFUNCTION("""COMPUTED_VALUE"""),8.25)</f>
        <v>8.25</v>
      </c>
      <c r="H9531" s="17"/>
      <c r="K9531" s="17"/>
      <c r="N9531" s="17"/>
    </row>
    <row r="9532">
      <c r="B9532" s="11">
        <f>IFERROR(__xludf.DUMMYFUNCTION("""COMPUTED_VALUE"""),32681.0)</f>
        <v>32681</v>
      </c>
      <c r="C9532" s="9">
        <f>IFERROR(__xludf.DUMMYFUNCTION("""COMPUTED_VALUE"""),8.38)</f>
        <v>8.38</v>
      </c>
      <c r="H9532" s="17"/>
      <c r="K9532" s="17"/>
      <c r="N9532" s="17"/>
    </row>
    <row r="9533">
      <c r="B9533" s="11">
        <f>IFERROR(__xludf.DUMMYFUNCTION("""COMPUTED_VALUE"""),32680.0)</f>
        <v>32680</v>
      </c>
      <c r="C9533" s="9">
        <f>IFERROR(__xludf.DUMMYFUNCTION("""COMPUTED_VALUE"""),8.37)</f>
        <v>8.37</v>
      </c>
      <c r="H9533" s="17"/>
      <c r="K9533" s="17"/>
      <c r="N9533" s="17"/>
    </row>
    <row r="9534">
      <c r="B9534" s="11">
        <f>IFERROR(__xludf.DUMMYFUNCTION("""COMPUTED_VALUE"""),32679.0)</f>
        <v>32679</v>
      </c>
      <c r="C9534" s="9">
        <f>IFERROR(__xludf.DUMMYFUNCTION("""COMPUTED_VALUE"""),8.31)</f>
        <v>8.31</v>
      </c>
      <c r="H9534" s="17"/>
      <c r="K9534" s="17"/>
      <c r="N9534" s="17"/>
    </row>
    <row r="9535">
      <c r="B9535" s="11">
        <f>IFERROR(__xludf.DUMMYFUNCTION("""COMPUTED_VALUE"""),32678.0)</f>
        <v>32678</v>
      </c>
      <c r="C9535" s="9">
        <f>IFERROR(__xludf.DUMMYFUNCTION("""COMPUTED_VALUE"""),8.37)</f>
        <v>8.37</v>
      </c>
      <c r="H9535" s="17"/>
      <c r="K9535" s="17"/>
      <c r="N9535" s="17"/>
    </row>
    <row r="9536">
      <c r="B9536" s="11">
        <f>IFERROR(__xludf.DUMMYFUNCTION("""COMPUTED_VALUE"""),32675.0)</f>
        <v>32675</v>
      </c>
      <c r="C9536" s="9">
        <f>IFERROR(__xludf.DUMMYFUNCTION("""COMPUTED_VALUE"""),8.35)</f>
        <v>8.35</v>
      </c>
      <c r="H9536" s="17"/>
      <c r="K9536" s="17"/>
      <c r="N9536" s="17"/>
    </row>
    <row r="9537">
      <c r="B9537" s="11">
        <f>IFERROR(__xludf.DUMMYFUNCTION("""COMPUTED_VALUE"""),32674.0)</f>
        <v>32674</v>
      </c>
      <c r="C9537" s="9">
        <f>IFERROR(__xludf.DUMMYFUNCTION("""COMPUTED_VALUE"""),8.33)</f>
        <v>8.33</v>
      </c>
      <c r="H9537" s="17"/>
      <c r="K9537" s="17"/>
      <c r="N9537" s="17"/>
    </row>
    <row r="9538">
      <c r="B9538" s="11">
        <f>IFERROR(__xludf.DUMMYFUNCTION("""COMPUTED_VALUE"""),32673.0)</f>
        <v>32673</v>
      </c>
      <c r="C9538" s="9">
        <f>IFERROR(__xludf.DUMMYFUNCTION("""COMPUTED_VALUE"""),8.2)</f>
        <v>8.2</v>
      </c>
      <c r="H9538" s="17"/>
      <c r="K9538" s="17"/>
      <c r="N9538" s="17"/>
    </row>
    <row r="9539">
      <c r="B9539" s="11">
        <f>IFERROR(__xludf.DUMMYFUNCTION("""COMPUTED_VALUE"""),32672.0)</f>
        <v>32672</v>
      </c>
      <c r="C9539" s="9">
        <f>IFERROR(__xludf.DUMMYFUNCTION("""COMPUTED_VALUE"""),8.25)</f>
        <v>8.25</v>
      </c>
      <c r="H9539" s="17"/>
      <c r="K9539" s="17"/>
      <c r="N9539" s="17"/>
    </row>
    <row r="9540">
      <c r="B9540" s="11">
        <f>IFERROR(__xludf.DUMMYFUNCTION("""COMPUTED_VALUE"""),32671.0)</f>
        <v>32671</v>
      </c>
      <c r="C9540" s="9">
        <f>IFERROR(__xludf.DUMMYFUNCTION("""COMPUTED_VALUE"""),8.16)</f>
        <v>8.16</v>
      </c>
      <c r="H9540" s="17"/>
      <c r="K9540" s="17"/>
      <c r="N9540" s="17"/>
    </row>
    <row r="9541">
      <c r="B9541" s="11">
        <f>IFERROR(__xludf.DUMMYFUNCTION("""COMPUTED_VALUE"""),32668.0)</f>
        <v>32668</v>
      </c>
      <c r="C9541" s="9">
        <f>IFERROR(__xludf.DUMMYFUNCTION("""COMPUTED_VALUE"""),8.15)</f>
        <v>8.15</v>
      </c>
      <c r="H9541" s="17"/>
      <c r="K9541" s="17"/>
      <c r="N9541" s="17"/>
    </row>
    <row r="9542">
      <c r="B9542" s="11">
        <f>IFERROR(__xludf.DUMMYFUNCTION("""COMPUTED_VALUE"""),32667.0)</f>
        <v>32667</v>
      </c>
      <c r="C9542" s="9">
        <f>IFERROR(__xludf.DUMMYFUNCTION("""COMPUTED_VALUE"""),8.27)</f>
        <v>8.27</v>
      </c>
      <c r="H9542" s="17"/>
      <c r="K9542" s="17"/>
      <c r="N9542" s="17"/>
    </row>
    <row r="9543">
      <c r="B9543" s="11">
        <f>IFERROR(__xludf.DUMMYFUNCTION("""COMPUTED_VALUE"""),32666.0)</f>
        <v>32666</v>
      </c>
      <c r="C9543" s="9">
        <f>IFERROR(__xludf.DUMMYFUNCTION("""COMPUTED_VALUE"""),8.27)</f>
        <v>8.27</v>
      </c>
      <c r="H9543" s="17"/>
      <c r="K9543" s="17"/>
      <c r="N9543" s="17"/>
    </row>
    <row r="9544">
      <c r="B9544" s="11">
        <f>IFERROR(__xludf.DUMMYFUNCTION("""COMPUTED_VALUE"""),32665.0)</f>
        <v>32665</v>
      </c>
      <c r="C9544" s="9">
        <f>IFERROR(__xludf.DUMMYFUNCTION("""COMPUTED_VALUE"""),8.36)</f>
        <v>8.36</v>
      </c>
      <c r="H9544" s="17"/>
      <c r="K9544" s="17"/>
      <c r="N9544" s="17"/>
    </row>
    <row r="9545">
      <c r="B9545" s="11">
        <f>IFERROR(__xludf.DUMMYFUNCTION("""COMPUTED_VALUE"""),32664.0)</f>
        <v>32664</v>
      </c>
      <c r="C9545" s="9">
        <f>IFERROR(__xludf.DUMMYFUNCTION("""COMPUTED_VALUE"""),8.36)</f>
        <v>8.36</v>
      </c>
      <c r="H9545" s="17"/>
      <c r="K9545" s="17"/>
      <c r="N9545" s="17"/>
    </row>
    <row r="9546">
      <c r="B9546" s="11">
        <f>IFERROR(__xludf.DUMMYFUNCTION("""COMPUTED_VALUE"""),32661.0)</f>
        <v>32661</v>
      </c>
      <c r="C9546" s="9">
        <f>IFERROR(__xludf.DUMMYFUNCTION("""COMPUTED_VALUE"""),8.43)</f>
        <v>8.43</v>
      </c>
      <c r="H9546" s="17"/>
      <c r="K9546" s="17"/>
      <c r="N9546" s="17"/>
    </row>
    <row r="9547">
      <c r="B9547" s="11">
        <f>IFERROR(__xludf.DUMMYFUNCTION("""COMPUTED_VALUE"""),32660.0)</f>
        <v>32660</v>
      </c>
      <c r="C9547" s="9">
        <f>IFERROR(__xludf.DUMMYFUNCTION("""COMPUTED_VALUE"""),8.61)</f>
        <v>8.61</v>
      </c>
      <c r="H9547" s="17"/>
      <c r="K9547" s="17"/>
      <c r="N9547" s="17"/>
    </row>
    <row r="9548">
      <c r="B9548" s="11">
        <f>IFERROR(__xludf.DUMMYFUNCTION("""COMPUTED_VALUE"""),32659.0)</f>
        <v>32659</v>
      </c>
      <c r="C9548" s="9">
        <f>IFERROR(__xludf.DUMMYFUNCTION("""COMPUTED_VALUE"""),8.6)</f>
        <v>8.6</v>
      </c>
      <c r="H9548" s="17"/>
      <c r="K9548" s="17"/>
      <c r="N9548" s="17"/>
    </row>
    <row r="9549">
      <c r="B9549" s="11">
        <f>IFERROR(__xludf.DUMMYFUNCTION("""COMPUTED_VALUE"""),32658.0)</f>
        <v>32658</v>
      </c>
      <c r="C9549" s="9">
        <f>IFERROR(__xludf.DUMMYFUNCTION("""COMPUTED_VALUE"""),8.64)</f>
        <v>8.64</v>
      </c>
      <c r="H9549" s="17"/>
      <c r="K9549" s="17"/>
      <c r="N9549" s="17"/>
    </row>
    <row r="9550">
      <c r="B9550" s="11">
        <f>IFERROR(__xludf.DUMMYFUNCTION("""COMPUTED_VALUE"""),32657.0)</f>
        <v>32657</v>
      </c>
      <c r="C9550" s="9"/>
      <c r="H9550" s="17"/>
      <c r="K9550" s="17"/>
      <c r="N9550" s="17"/>
    </row>
    <row r="9551">
      <c r="B9551" s="11">
        <f>IFERROR(__xludf.DUMMYFUNCTION("""COMPUTED_VALUE"""),32654.0)</f>
        <v>32654</v>
      </c>
      <c r="C9551" s="9">
        <f>IFERROR(__xludf.DUMMYFUNCTION("""COMPUTED_VALUE"""),8.66)</f>
        <v>8.66</v>
      </c>
      <c r="H9551" s="17"/>
      <c r="K9551" s="17"/>
      <c r="N9551" s="17"/>
    </row>
    <row r="9552">
      <c r="B9552" s="11">
        <f>IFERROR(__xludf.DUMMYFUNCTION("""COMPUTED_VALUE"""),32653.0)</f>
        <v>32653</v>
      </c>
      <c r="C9552" s="9">
        <f>IFERROR(__xludf.DUMMYFUNCTION("""COMPUTED_VALUE"""),8.67)</f>
        <v>8.67</v>
      </c>
      <c r="H9552" s="17"/>
      <c r="K9552" s="17"/>
      <c r="N9552" s="17"/>
    </row>
    <row r="9553">
      <c r="B9553" s="11">
        <f>IFERROR(__xludf.DUMMYFUNCTION("""COMPUTED_VALUE"""),32652.0)</f>
        <v>32652</v>
      </c>
      <c r="C9553" s="9">
        <f>IFERROR(__xludf.DUMMYFUNCTION("""COMPUTED_VALUE"""),8.63)</f>
        <v>8.63</v>
      </c>
      <c r="H9553" s="17"/>
      <c r="K9553" s="17"/>
      <c r="N9553" s="17"/>
    </row>
    <row r="9554">
      <c r="B9554" s="11">
        <f>IFERROR(__xludf.DUMMYFUNCTION("""COMPUTED_VALUE"""),32651.0)</f>
        <v>32651</v>
      </c>
      <c r="C9554" s="9">
        <f>IFERROR(__xludf.DUMMYFUNCTION("""COMPUTED_VALUE"""),8.6)</f>
        <v>8.6</v>
      </c>
      <c r="H9554" s="17"/>
      <c r="K9554" s="17"/>
      <c r="N9554" s="17"/>
    </row>
    <row r="9555">
      <c r="B9555" s="11">
        <f>IFERROR(__xludf.DUMMYFUNCTION("""COMPUTED_VALUE"""),32650.0)</f>
        <v>32650</v>
      </c>
      <c r="C9555" s="9">
        <f>IFERROR(__xludf.DUMMYFUNCTION("""COMPUTED_VALUE"""),8.58)</f>
        <v>8.58</v>
      </c>
      <c r="H9555" s="17"/>
      <c r="K9555" s="17"/>
      <c r="N9555" s="17"/>
    </row>
    <row r="9556">
      <c r="B9556" s="11">
        <f>IFERROR(__xludf.DUMMYFUNCTION("""COMPUTED_VALUE"""),32647.0)</f>
        <v>32647</v>
      </c>
      <c r="C9556" s="9">
        <f>IFERROR(__xludf.DUMMYFUNCTION("""COMPUTED_VALUE"""),8.71)</f>
        <v>8.71</v>
      </c>
      <c r="H9556" s="17"/>
      <c r="K9556" s="17"/>
      <c r="N9556" s="17"/>
    </row>
    <row r="9557">
      <c r="B9557" s="11">
        <f>IFERROR(__xludf.DUMMYFUNCTION("""COMPUTED_VALUE"""),32646.0)</f>
        <v>32646</v>
      </c>
      <c r="C9557" s="9">
        <f>IFERROR(__xludf.DUMMYFUNCTION("""COMPUTED_VALUE"""),8.78)</f>
        <v>8.78</v>
      </c>
      <c r="H9557" s="17"/>
      <c r="K9557" s="17"/>
      <c r="N9557" s="17"/>
    </row>
    <row r="9558">
      <c r="B9558" s="11">
        <f>IFERROR(__xludf.DUMMYFUNCTION("""COMPUTED_VALUE"""),32645.0)</f>
        <v>32645</v>
      </c>
      <c r="C9558" s="9">
        <f>IFERROR(__xludf.DUMMYFUNCTION("""COMPUTED_VALUE"""),8.8)</f>
        <v>8.8</v>
      </c>
      <c r="H9558" s="17"/>
      <c r="K9558" s="17"/>
      <c r="N9558" s="17"/>
    </row>
    <row r="9559">
      <c r="B9559" s="11">
        <f>IFERROR(__xludf.DUMMYFUNCTION("""COMPUTED_VALUE"""),32644.0)</f>
        <v>32644</v>
      </c>
      <c r="C9559" s="9">
        <f>IFERROR(__xludf.DUMMYFUNCTION("""COMPUTED_VALUE"""),8.82)</f>
        <v>8.82</v>
      </c>
      <c r="H9559" s="17"/>
      <c r="K9559" s="17"/>
      <c r="N9559" s="17"/>
    </row>
    <row r="9560">
      <c r="B9560" s="11">
        <f>IFERROR(__xludf.DUMMYFUNCTION("""COMPUTED_VALUE"""),32643.0)</f>
        <v>32643</v>
      </c>
      <c r="C9560" s="9">
        <f>IFERROR(__xludf.DUMMYFUNCTION("""COMPUTED_VALUE"""),8.82)</f>
        <v>8.82</v>
      </c>
      <c r="H9560" s="17"/>
      <c r="K9560" s="17"/>
      <c r="N9560" s="17"/>
    </row>
    <row r="9561">
      <c r="B9561" s="11">
        <f>IFERROR(__xludf.DUMMYFUNCTION("""COMPUTED_VALUE"""),32640.0)</f>
        <v>32640</v>
      </c>
      <c r="C9561" s="9">
        <f>IFERROR(__xludf.DUMMYFUNCTION("""COMPUTED_VALUE"""),8.81)</f>
        <v>8.81</v>
      </c>
      <c r="H9561" s="17"/>
      <c r="K9561" s="17"/>
      <c r="N9561" s="17"/>
    </row>
    <row r="9562">
      <c r="B9562" s="11">
        <f>IFERROR(__xludf.DUMMYFUNCTION("""COMPUTED_VALUE"""),32639.0)</f>
        <v>32639</v>
      </c>
      <c r="C9562" s="9">
        <f>IFERROR(__xludf.DUMMYFUNCTION("""COMPUTED_VALUE"""),9.1)</f>
        <v>9.1</v>
      </c>
      <c r="H9562" s="17"/>
      <c r="K9562" s="17"/>
      <c r="N9562" s="17"/>
    </row>
    <row r="9563">
      <c r="B9563" s="11">
        <f>IFERROR(__xludf.DUMMYFUNCTION("""COMPUTED_VALUE"""),32638.0)</f>
        <v>32638</v>
      </c>
      <c r="C9563" s="9">
        <f>IFERROR(__xludf.DUMMYFUNCTION("""COMPUTED_VALUE"""),9.16)</f>
        <v>9.16</v>
      </c>
      <c r="H9563" s="17"/>
      <c r="K9563" s="17"/>
      <c r="N9563" s="17"/>
    </row>
    <row r="9564">
      <c r="B9564" s="11">
        <f>IFERROR(__xludf.DUMMYFUNCTION("""COMPUTED_VALUE"""),32637.0)</f>
        <v>32637</v>
      </c>
      <c r="C9564" s="9">
        <f>IFERROR(__xludf.DUMMYFUNCTION("""COMPUTED_VALUE"""),9.15)</f>
        <v>9.15</v>
      </c>
      <c r="H9564" s="17"/>
      <c r="K9564" s="17"/>
      <c r="N9564" s="17"/>
    </row>
    <row r="9565">
      <c r="B9565" s="11">
        <f>IFERROR(__xludf.DUMMYFUNCTION("""COMPUTED_VALUE"""),32636.0)</f>
        <v>32636</v>
      </c>
      <c r="C9565" s="9">
        <f>IFERROR(__xludf.DUMMYFUNCTION("""COMPUTED_VALUE"""),9.04)</f>
        <v>9.04</v>
      </c>
      <c r="H9565" s="17"/>
      <c r="K9565" s="17"/>
      <c r="N9565" s="17"/>
    </row>
    <row r="9566">
      <c r="B9566" s="11">
        <f>IFERROR(__xludf.DUMMYFUNCTION("""COMPUTED_VALUE"""),32633.0)</f>
        <v>32633</v>
      </c>
      <c r="C9566" s="9">
        <f>IFERROR(__xludf.DUMMYFUNCTION("""COMPUTED_VALUE"""),8.99)</f>
        <v>8.99</v>
      </c>
      <c r="H9566" s="17"/>
      <c r="K9566" s="17"/>
      <c r="N9566" s="17"/>
    </row>
    <row r="9567">
      <c r="B9567" s="11">
        <f>IFERROR(__xludf.DUMMYFUNCTION("""COMPUTED_VALUE"""),32632.0)</f>
        <v>32632</v>
      </c>
      <c r="C9567" s="9">
        <f>IFERROR(__xludf.DUMMYFUNCTION("""COMPUTED_VALUE"""),9.06)</f>
        <v>9.06</v>
      </c>
      <c r="H9567" s="17"/>
      <c r="K9567" s="17"/>
      <c r="N9567" s="17"/>
    </row>
    <row r="9568">
      <c r="B9568" s="11">
        <f>IFERROR(__xludf.DUMMYFUNCTION("""COMPUTED_VALUE"""),32631.0)</f>
        <v>32631</v>
      </c>
      <c r="C9568" s="9">
        <f>IFERROR(__xludf.DUMMYFUNCTION("""COMPUTED_VALUE"""),9.06)</f>
        <v>9.06</v>
      </c>
      <c r="H9568" s="17"/>
      <c r="K9568" s="17"/>
      <c r="N9568" s="17"/>
    </row>
    <row r="9569">
      <c r="B9569" s="11">
        <f>IFERROR(__xludf.DUMMYFUNCTION("""COMPUTED_VALUE"""),32630.0)</f>
        <v>32630</v>
      </c>
      <c r="C9569" s="9">
        <f>IFERROR(__xludf.DUMMYFUNCTION("""COMPUTED_VALUE"""),9.08)</f>
        <v>9.08</v>
      </c>
      <c r="H9569" s="17"/>
      <c r="K9569" s="17"/>
      <c r="N9569" s="17"/>
    </row>
    <row r="9570">
      <c r="B9570" s="11">
        <f>IFERROR(__xludf.DUMMYFUNCTION("""COMPUTED_VALUE"""),32629.0)</f>
        <v>32629</v>
      </c>
      <c r="C9570" s="9">
        <f>IFERROR(__xludf.DUMMYFUNCTION("""COMPUTED_VALUE"""),9.14)</f>
        <v>9.14</v>
      </c>
      <c r="H9570" s="17"/>
      <c r="K9570" s="17"/>
      <c r="N9570" s="17"/>
    </row>
    <row r="9571">
      <c r="B9571" s="11">
        <f>IFERROR(__xludf.DUMMYFUNCTION("""COMPUTED_VALUE"""),32626.0)</f>
        <v>32626</v>
      </c>
      <c r="C9571" s="9">
        <f>IFERROR(__xludf.DUMMYFUNCTION("""COMPUTED_VALUE"""),9.02)</f>
        <v>9.02</v>
      </c>
      <c r="H9571" s="17"/>
      <c r="K9571" s="17"/>
      <c r="N9571" s="17"/>
    </row>
    <row r="9572">
      <c r="B9572" s="11">
        <f>IFERROR(__xludf.DUMMYFUNCTION("""COMPUTED_VALUE"""),32625.0)</f>
        <v>32625</v>
      </c>
      <c r="C9572" s="9">
        <f>IFERROR(__xludf.DUMMYFUNCTION("""COMPUTED_VALUE"""),9.05)</f>
        <v>9.05</v>
      </c>
      <c r="H9572" s="17"/>
      <c r="K9572" s="17"/>
      <c r="N9572" s="17"/>
    </row>
    <row r="9573">
      <c r="B9573" s="11">
        <f>IFERROR(__xludf.DUMMYFUNCTION("""COMPUTED_VALUE"""),32624.0)</f>
        <v>32624</v>
      </c>
      <c r="C9573" s="9">
        <f>IFERROR(__xludf.DUMMYFUNCTION("""COMPUTED_VALUE"""),9.11)</f>
        <v>9.11</v>
      </c>
      <c r="H9573" s="17"/>
      <c r="K9573" s="17"/>
      <c r="N9573" s="17"/>
    </row>
    <row r="9574">
      <c r="B9574" s="11">
        <f>IFERROR(__xludf.DUMMYFUNCTION("""COMPUTED_VALUE"""),32623.0)</f>
        <v>32623</v>
      </c>
      <c r="C9574" s="9">
        <f>IFERROR(__xludf.DUMMYFUNCTION("""COMPUTED_VALUE"""),9.12)</f>
        <v>9.12</v>
      </c>
      <c r="H9574" s="17"/>
      <c r="K9574" s="17"/>
      <c r="N9574" s="17"/>
    </row>
    <row r="9575">
      <c r="B9575" s="11">
        <f>IFERROR(__xludf.DUMMYFUNCTION("""COMPUTED_VALUE"""),32622.0)</f>
        <v>32622</v>
      </c>
      <c r="C9575" s="9">
        <f>IFERROR(__xludf.DUMMYFUNCTION("""COMPUTED_VALUE"""),9.15)</f>
        <v>9.15</v>
      </c>
      <c r="H9575" s="17"/>
      <c r="K9575" s="17"/>
      <c r="N9575" s="17"/>
    </row>
    <row r="9576">
      <c r="B9576" s="11">
        <f>IFERROR(__xludf.DUMMYFUNCTION("""COMPUTED_VALUE"""),32619.0)</f>
        <v>32619</v>
      </c>
      <c r="C9576" s="9">
        <f>IFERROR(__xludf.DUMMYFUNCTION("""COMPUTED_VALUE"""),9.15)</f>
        <v>9.15</v>
      </c>
      <c r="H9576" s="17"/>
      <c r="K9576" s="17"/>
      <c r="N9576" s="17"/>
    </row>
    <row r="9577">
      <c r="B9577" s="11">
        <f>IFERROR(__xludf.DUMMYFUNCTION("""COMPUTED_VALUE"""),32618.0)</f>
        <v>32618</v>
      </c>
      <c r="C9577" s="9">
        <f>IFERROR(__xludf.DUMMYFUNCTION("""COMPUTED_VALUE"""),9.2)</f>
        <v>9.2</v>
      </c>
      <c r="H9577" s="17"/>
      <c r="K9577" s="17"/>
      <c r="N9577" s="17"/>
    </row>
    <row r="9578">
      <c r="B9578" s="11">
        <f>IFERROR(__xludf.DUMMYFUNCTION("""COMPUTED_VALUE"""),32617.0)</f>
        <v>32617</v>
      </c>
      <c r="C9578" s="9">
        <f>IFERROR(__xludf.DUMMYFUNCTION("""COMPUTED_VALUE"""),9.08)</f>
        <v>9.08</v>
      </c>
      <c r="H9578" s="17"/>
      <c r="K9578" s="17"/>
      <c r="N9578" s="17"/>
    </row>
    <row r="9579">
      <c r="B9579" s="11">
        <f>IFERROR(__xludf.DUMMYFUNCTION("""COMPUTED_VALUE"""),32616.0)</f>
        <v>32616</v>
      </c>
      <c r="C9579" s="9">
        <f>IFERROR(__xludf.DUMMYFUNCTION("""COMPUTED_VALUE"""),9.06)</f>
        <v>9.06</v>
      </c>
      <c r="H9579" s="17"/>
      <c r="K9579" s="17"/>
      <c r="N9579" s="17"/>
    </row>
    <row r="9580">
      <c r="B9580" s="11">
        <f>IFERROR(__xludf.DUMMYFUNCTION("""COMPUTED_VALUE"""),32615.0)</f>
        <v>32615</v>
      </c>
      <c r="C9580" s="9">
        <f>IFERROR(__xludf.DUMMYFUNCTION("""COMPUTED_VALUE"""),9.2)</f>
        <v>9.2</v>
      </c>
      <c r="H9580" s="17"/>
      <c r="K9580" s="17"/>
      <c r="N9580" s="17"/>
    </row>
    <row r="9581">
      <c r="B9581" s="11">
        <f>IFERROR(__xludf.DUMMYFUNCTION("""COMPUTED_VALUE"""),32612.0)</f>
        <v>32612</v>
      </c>
      <c r="C9581" s="9">
        <f>IFERROR(__xludf.DUMMYFUNCTION("""COMPUTED_VALUE"""),9.18)</f>
        <v>9.18</v>
      </c>
      <c r="H9581" s="17"/>
      <c r="K9581" s="17"/>
      <c r="N9581" s="17"/>
    </row>
    <row r="9582">
      <c r="B9582" s="11">
        <f>IFERROR(__xludf.DUMMYFUNCTION("""COMPUTED_VALUE"""),32611.0)</f>
        <v>32611</v>
      </c>
      <c r="C9582" s="9">
        <f>IFERROR(__xludf.DUMMYFUNCTION("""COMPUTED_VALUE"""),9.34)</f>
        <v>9.34</v>
      </c>
      <c r="H9582" s="17"/>
      <c r="K9582" s="17"/>
      <c r="N9582" s="17"/>
    </row>
    <row r="9583">
      <c r="B9583" s="11">
        <f>IFERROR(__xludf.DUMMYFUNCTION("""COMPUTED_VALUE"""),32610.0)</f>
        <v>32610</v>
      </c>
      <c r="C9583" s="9">
        <f>IFERROR(__xludf.DUMMYFUNCTION("""COMPUTED_VALUE"""),9.29)</f>
        <v>9.29</v>
      </c>
      <c r="H9583" s="17"/>
      <c r="K9583" s="17"/>
      <c r="N9583" s="17"/>
    </row>
    <row r="9584">
      <c r="B9584" s="11">
        <f>IFERROR(__xludf.DUMMYFUNCTION("""COMPUTED_VALUE"""),32609.0)</f>
        <v>32609</v>
      </c>
      <c r="C9584" s="9">
        <f>IFERROR(__xludf.DUMMYFUNCTION("""COMPUTED_VALUE"""),9.27)</f>
        <v>9.27</v>
      </c>
      <c r="H9584" s="17"/>
      <c r="K9584" s="17"/>
      <c r="N9584" s="17"/>
    </row>
    <row r="9585">
      <c r="B9585" s="11">
        <f>IFERROR(__xludf.DUMMYFUNCTION("""COMPUTED_VALUE"""),32608.0)</f>
        <v>32608</v>
      </c>
      <c r="C9585" s="9">
        <f>IFERROR(__xludf.DUMMYFUNCTION("""COMPUTED_VALUE"""),9.27)</f>
        <v>9.27</v>
      </c>
      <c r="H9585" s="17"/>
      <c r="K9585" s="17"/>
      <c r="N9585" s="17"/>
    </row>
    <row r="9586">
      <c r="B9586" s="11">
        <f>IFERROR(__xludf.DUMMYFUNCTION("""COMPUTED_VALUE"""),32605.0)</f>
        <v>32605</v>
      </c>
      <c r="C9586" s="9">
        <f>IFERROR(__xludf.DUMMYFUNCTION("""COMPUTED_VALUE"""),9.27)</f>
        <v>9.27</v>
      </c>
      <c r="H9586" s="17"/>
      <c r="K9586" s="17"/>
      <c r="N9586" s="17"/>
    </row>
    <row r="9587">
      <c r="B9587" s="11">
        <f>IFERROR(__xludf.DUMMYFUNCTION("""COMPUTED_VALUE"""),32604.0)</f>
        <v>32604</v>
      </c>
      <c r="C9587" s="9">
        <f>IFERROR(__xludf.DUMMYFUNCTION("""COMPUTED_VALUE"""),9.2)</f>
        <v>9.2</v>
      </c>
      <c r="H9587" s="17"/>
      <c r="K9587" s="17"/>
      <c r="N9587" s="17"/>
    </row>
    <row r="9588">
      <c r="B9588" s="11">
        <f>IFERROR(__xludf.DUMMYFUNCTION("""COMPUTED_VALUE"""),32603.0)</f>
        <v>32603</v>
      </c>
      <c r="C9588" s="9">
        <f>IFERROR(__xludf.DUMMYFUNCTION("""COMPUTED_VALUE"""),9.17)</f>
        <v>9.17</v>
      </c>
      <c r="H9588" s="17"/>
      <c r="K9588" s="17"/>
      <c r="N9588" s="17"/>
    </row>
    <row r="9589">
      <c r="B9589" s="11">
        <f>IFERROR(__xludf.DUMMYFUNCTION("""COMPUTED_VALUE"""),32602.0)</f>
        <v>32602</v>
      </c>
      <c r="C9589" s="9">
        <f>IFERROR(__xludf.DUMMYFUNCTION("""COMPUTED_VALUE"""),9.17)</f>
        <v>9.17</v>
      </c>
      <c r="H9589" s="17"/>
      <c r="K9589" s="17"/>
      <c r="N9589" s="17"/>
    </row>
    <row r="9590">
      <c r="B9590" s="11">
        <f>IFERROR(__xludf.DUMMYFUNCTION("""COMPUTED_VALUE"""),32601.0)</f>
        <v>32601</v>
      </c>
      <c r="C9590" s="9">
        <f>IFERROR(__xludf.DUMMYFUNCTION("""COMPUTED_VALUE"""),9.21)</f>
        <v>9.21</v>
      </c>
      <c r="H9590" s="17"/>
      <c r="K9590" s="17"/>
      <c r="N9590" s="17"/>
    </row>
    <row r="9591">
      <c r="B9591" s="11">
        <f>IFERROR(__xludf.DUMMYFUNCTION("""COMPUTED_VALUE"""),32598.0)</f>
        <v>32598</v>
      </c>
      <c r="C9591" s="9">
        <f>IFERROR(__xludf.DUMMYFUNCTION("""COMPUTED_VALUE"""),9.3)</f>
        <v>9.3</v>
      </c>
      <c r="H9591" s="17"/>
      <c r="K9591" s="17"/>
      <c r="N9591" s="17"/>
    </row>
    <row r="9592">
      <c r="B9592" s="11">
        <f>IFERROR(__xludf.DUMMYFUNCTION("""COMPUTED_VALUE"""),32597.0)</f>
        <v>32597</v>
      </c>
      <c r="C9592" s="9">
        <f>IFERROR(__xludf.DUMMYFUNCTION("""COMPUTED_VALUE"""),9.34)</f>
        <v>9.34</v>
      </c>
      <c r="H9592" s="17"/>
      <c r="K9592" s="17"/>
      <c r="N9592" s="17"/>
    </row>
    <row r="9593">
      <c r="B9593" s="11">
        <f>IFERROR(__xludf.DUMMYFUNCTION("""COMPUTED_VALUE"""),32596.0)</f>
        <v>32596</v>
      </c>
      <c r="C9593" s="9">
        <f>IFERROR(__xludf.DUMMYFUNCTION("""COMPUTED_VALUE"""),9.36)</f>
        <v>9.36</v>
      </c>
      <c r="H9593" s="17"/>
      <c r="K9593" s="17"/>
      <c r="N9593" s="17"/>
    </row>
    <row r="9594">
      <c r="B9594" s="11">
        <f>IFERROR(__xludf.DUMMYFUNCTION("""COMPUTED_VALUE"""),32595.0)</f>
        <v>32595</v>
      </c>
      <c r="C9594" s="9">
        <f>IFERROR(__xludf.DUMMYFUNCTION("""COMPUTED_VALUE"""),9.41)</f>
        <v>9.41</v>
      </c>
      <c r="H9594" s="17"/>
      <c r="K9594" s="17"/>
      <c r="N9594" s="17"/>
    </row>
    <row r="9595">
      <c r="B9595" s="11">
        <f>IFERROR(__xludf.DUMMYFUNCTION("""COMPUTED_VALUE"""),32594.0)</f>
        <v>32594</v>
      </c>
      <c r="C9595" s="9">
        <f>IFERROR(__xludf.DUMMYFUNCTION("""COMPUTED_VALUE"""),9.44)</f>
        <v>9.44</v>
      </c>
      <c r="H9595" s="17"/>
      <c r="K9595" s="17"/>
      <c r="N9595" s="17"/>
    </row>
    <row r="9596">
      <c r="B9596" s="11">
        <f>IFERROR(__xludf.DUMMYFUNCTION("""COMPUTED_VALUE"""),32591.0)</f>
        <v>32591</v>
      </c>
      <c r="C9596" s="9"/>
      <c r="H9596" s="17"/>
      <c r="K9596" s="17"/>
      <c r="N9596" s="17"/>
    </row>
    <row r="9597">
      <c r="B9597" s="11">
        <f>IFERROR(__xludf.DUMMYFUNCTION("""COMPUTED_VALUE"""),32590.0)</f>
        <v>32590</v>
      </c>
      <c r="C9597" s="9">
        <f>IFERROR(__xludf.DUMMYFUNCTION("""COMPUTED_VALUE"""),9.43)</f>
        <v>9.43</v>
      </c>
      <c r="H9597" s="17"/>
      <c r="K9597" s="17"/>
      <c r="N9597" s="17"/>
    </row>
    <row r="9598">
      <c r="B9598" s="11">
        <f>IFERROR(__xludf.DUMMYFUNCTION("""COMPUTED_VALUE"""),32589.0)</f>
        <v>32589</v>
      </c>
      <c r="C9598" s="9">
        <f>IFERROR(__xludf.DUMMYFUNCTION("""COMPUTED_VALUE"""),9.45)</f>
        <v>9.45</v>
      </c>
      <c r="H9598" s="17"/>
      <c r="K9598" s="17"/>
      <c r="N9598" s="17"/>
    </row>
    <row r="9599">
      <c r="B9599" s="11">
        <f>IFERROR(__xludf.DUMMYFUNCTION("""COMPUTED_VALUE"""),32588.0)</f>
        <v>32588</v>
      </c>
      <c r="C9599" s="9">
        <f>IFERROR(__xludf.DUMMYFUNCTION("""COMPUTED_VALUE"""),9.53)</f>
        <v>9.53</v>
      </c>
      <c r="H9599" s="17"/>
      <c r="K9599" s="17"/>
      <c r="N9599" s="17"/>
    </row>
    <row r="9600">
      <c r="B9600" s="11">
        <f>IFERROR(__xludf.DUMMYFUNCTION("""COMPUTED_VALUE"""),32587.0)</f>
        <v>32587</v>
      </c>
      <c r="C9600" s="9">
        <f>IFERROR(__xludf.DUMMYFUNCTION("""COMPUTED_VALUE"""),9.53)</f>
        <v>9.53</v>
      </c>
      <c r="H9600" s="17"/>
      <c r="K9600" s="17"/>
      <c r="N9600" s="17"/>
    </row>
    <row r="9601">
      <c r="B9601" s="11">
        <f>IFERROR(__xludf.DUMMYFUNCTION("""COMPUTED_VALUE"""),32584.0)</f>
        <v>32584</v>
      </c>
      <c r="C9601" s="9">
        <f>IFERROR(__xludf.DUMMYFUNCTION("""COMPUTED_VALUE"""),9.49)</f>
        <v>9.49</v>
      </c>
      <c r="H9601" s="17"/>
      <c r="K9601" s="17"/>
      <c r="N9601" s="17"/>
    </row>
    <row r="9602">
      <c r="B9602" s="11">
        <f>IFERROR(__xludf.DUMMYFUNCTION("""COMPUTED_VALUE"""),32583.0)</f>
        <v>32583</v>
      </c>
      <c r="C9602" s="9">
        <f>IFERROR(__xludf.DUMMYFUNCTION("""COMPUTED_VALUE"""),9.3)</f>
        <v>9.3</v>
      </c>
      <c r="H9602" s="17"/>
      <c r="K9602" s="17"/>
      <c r="N9602" s="17"/>
    </row>
    <row r="9603">
      <c r="B9603" s="11">
        <f>IFERROR(__xludf.DUMMYFUNCTION("""COMPUTED_VALUE"""),32582.0)</f>
        <v>32582</v>
      </c>
      <c r="C9603" s="9">
        <f>IFERROR(__xludf.DUMMYFUNCTION("""COMPUTED_VALUE"""),9.31)</f>
        <v>9.31</v>
      </c>
      <c r="H9603" s="17"/>
      <c r="K9603" s="17"/>
      <c r="N9603" s="17"/>
    </row>
    <row r="9604">
      <c r="B9604" s="11">
        <f>IFERROR(__xludf.DUMMYFUNCTION("""COMPUTED_VALUE"""),32581.0)</f>
        <v>32581</v>
      </c>
      <c r="C9604" s="9">
        <f>IFERROR(__xludf.DUMMYFUNCTION("""COMPUTED_VALUE"""),9.32)</f>
        <v>9.32</v>
      </c>
      <c r="H9604" s="17"/>
      <c r="K9604" s="17"/>
      <c r="N9604" s="17"/>
    </row>
    <row r="9605">
      <c r="B9605" s="11">
        <f>IFERROR(__xludf.DUMMYFUNCTION("""COMPUTED_VALUE"""),32580.0)</f>
        <v>32580</v>
      </c>
      <c r="C9605" s="9">
        <f>IFERROR(__xludf.DUMMYFUNCTION("""COMPUTED_VALUE"""),9.35)</f>
        <v>9.35</v>
      </c>
      <c r="H9605" s="17"/>
      <c r="K9605" s="17"/>
      <c r="N9605" s="17"/>
    </row>
    <row r="9606">
      <c r="B9606" s="11">
        <f>IFERROR(__xludf.DUMMYFUNCTION("""COMPUTED_VALUE"""),32577.0)</f>
        <v>32577</v>
      </c>
      <c r="C9606" s="9">
        <f>IFERROR(__xludf.DUMMYFUNCTION("""COMPUTED_VALUE"""),9.34)</f>
        <v>9.34</v>
      </c>
      <c r="H9606" s="17"/>
      <c r="K9606" s="17"/>
      <c r="N9606" s="17"/>
    </row>
    <row r="9607">
      <c r="B9607" s="11">
        <f>IFERROR(__xludf.DUMMYFUNCTION("""COMPUTED_VALUE"""),32576.0)</f>
        <v>32576</v>
      </c>
      <c r="C9607" s="9">
        <f>IFERROR(__xludf.DUMMYFUNCTION("""COMPUTED_VALUE"""),9.24)</f>
        <v>9.24</v>
      </c>
      <c r="H9607" s="17"/>
      <c r="K9607" s="17"/>
      <c r="N9607" s="17"/>
    </row>
    <row r="9608">
      <c r="B9608" s="11">
        <f>IFERROR(__xludf.DUMMYFUNCTION("""COMPUTED_VALUE"""),32575.0)</f>
        <v>32575</v>
      </c>
      <c r="C9608" s="9">
        <f>IFERROR(__xludf.DUMMYFUNCTION("""COMPUTED_VALUE"""),9.23)</f>
        <v>9.23</v>
      </c>
      <c r="H9608" s="17"/>
      <c r="K9608" s="17"/>
      <c r="N9608" s="17"/>
    </row>
    <row r="9609">
      <c r="B9609" s="11">
        <f>IFERROR(__xludf.DUMMYFUNCTION("""COMPUTED_VALUE"""),32574.0)</f>
        <v>32574</v>
      </c>
      <c r="C9609" s="9">
        <f>IFERROR(__xludf.DUMMYFUNCTION("""COMPUTED_VALUE"""),9.26)</f>
        <v>9.26</v>
      </c>
      <c r="H9609" s="17"/>
      <c r="K9609" s="17"/>
      <c r="N9609" s="17"/>
    </row>
    <row r="9610">
      <c r="B9610" s="11">
        <f>IFERROR(__xludf.DUMMYFUNCTION("""COMPUTED_VALUE"""),32573.0)</f>
        <v>32573</v>
      </c>
      <c r="C9610" s="9">
        <f>IFERROR(__xludf.DUMMYFUNCTION("""COMPUTED_VALUE"""),9.26)</f>
        <v>9.26</v>
      </c>
      <c r="H9610" s="17"/>
      <c r="K9610" s="17"/>
      <c r="N9610" s="17"/>
    </row>
    <row r="9611">
      <c r="B9611" s="11">
        <f>IFERROR(__xludf.DUMMYFUNCTION("""COMPUTED_VALUE"""),32570.0)</f>
        <v>32570</v>
      </c>
      <c r="C9611" s="9">
        <f>IFERROR(__xludf.DUMMYFUNCTION("""COMPUTED_VALUE"""),9.31)</f>
        <v>9.31</v>
      </c>
      <c r="H9611" s="17"/>
      <c r="K9611" s="17"/>
      <c r="N9611" s="17"/>
    </row>
    <row r="9612">
      <c r="B9612" s="11">
        <f>IFERROR(__xludf.DUMMYFUNCTION("""COMPUTED_VALUE"""),32569.0)</f>
        <v>32569</v>
      </c>
      <c r="C9612" s="9">
        <f>IFERROR(__xludf.DUMMYFUNCTION("""COMPUTED_VALUE"""),9.31)</f>
        <v>9.31</v>
      </c>
      <c r="H9612" s="17"/>
      <c r="K9612" s="17"/>
      <c r="N9612" s="17"/>
    </row>
    <row r="9613">
      <c r="B9613" s="11">
        <f>IFERROR(__xludf.DUMMYFUNCTION("""COMPUTED_VALUE"""),32568.0)</f>
        <v>32568</v>
      </c>
      <c r="C9613" s="9">
        <f>IFERROR(__xludf.DUMMYFUNCTION("""COMPUTED_VALUE"""),9.36)</f>
        <v>9.36</v>
      </c>
      <c r="H9613" s="17"/>
      <c r="K9613" s="17"/>
      <c r="N9613" s="17"/>
    </row>
    <row r="9614">
      <c r="B9614" s="11">
        <f>IFERROR(__xludf.DUMMYFUNCTION("""COMPUTED_VALUE"""),32567.0)</f>
        <v>32567</v>
      </c>
      <c r="C9614" s="9">
        <f>IFERROR(__xludf.DUMMYFUNCTION("""COMPUTED_VALUE"""),9.32)</f>
        <v>9.32</v>
      </c>
      <c r="H9614" s="17"/>
      <c r="K9614" s="17"/>
      <c r="N9614" s="17"/>
    </row>
    <row r="9615">
      <c r="B9615" s="11">
        <f>IFERROR(__xludf.DUMMYFUNCTION("""COMPUTED_VALUE"""),32566.0)</f>
        <v>32566</v>
      </c>
      <c r="C9615" s="9">
        <f>IFERROR(__xludf.DUMMYFUNCTION("""COMPUTED_VALUE"""),9.36)</f>
        <v>9.36</v>
      </c>
      <c r="H9615" s="17"/>
      <c r="K9615" s="17"/>
      <c r="N9615" s="17"/>
    </row>
    <row r="9616">
      <c r="B9616" s="11">
        <f>IFERROR(__xludf.DUMMYFUNCTION("""COMPUTED_VALUE"""),32563.0)</f>
        <v>32563</v>
      </c>
      <c r="C9616" s="9">
        <f>IFERROR(__xludf.DUMMYFUNCTION("""COMPUTED_VALUE"""),9.38)</f>
        <v>9.38</v>
      </c>
      <c r="H9616" s="17"/>
      <c r="K9616" s="17"/>
      <c r="N9616" s="17"/>
    </row>
    <row r="9617">
      <c r="B9617" s="11">
        <f>IFERROR(__xludf.DUMMYFUNCTION("""COMPUTED_VALUE"""),32562.0)</f>
        <v>32562</v>
      </c>
      <c r="C9617" s="9">
        <f>IFERROR(__xludf.DUMMYFUNCTION("""COMPUTED_VALUE"""),9.36)</f>
        <v>9.36</v>
      </c>
      <c r="H9617" s="17"/>
      <c r="K9617" s="17"/>
      <c r="N9617" s="17"/>
    </row>
    <row r="9618">
      <c r="B9618" s="11">
        <f>IFERROR(__xludf.DUMMYFUNCTION("""COMPUTED_VALUE"""),32561.0)</f>
        <v>32561</v>
      </c>
      <c r="C9618" s="9">
        <f>IFERROR(__xludf.DUMMYFUNCTION("""COMPUTED_VALUE"""),9.29)</f>
        <v>9.29</v>
      </c>
      <c r="H9618" s="17"/>
      <c r="K9618" s="17"/>
      <c r="N9618" s="17"/>
    </row>
    <row r="9619">
      <c r="B9619" s="11">
        <f>IFERROR(__xludf.DUMMYFUNCTION("""COMPUTED_VALUE"""),32560.0)</f>
        <v>32560</v>
      </c>
      <c r="C9619" s="9">
        <f>IFERROR(__xludf.DUMMYFUNCTION("""COMPUTED_VALUE"""),9.22)</f>
        <v>9.22</v>
      </c>
      <c r="H9619" s="17"/>
      <c r="K9619" s="17"/>
      <c r="N9619" s="17"/>
    </row>
    <row r="9620">
      <c r="B9620" s="11">
        <f>IFERROR(__xludf.DUMMYFUNCTION("""COMPUTED_VALUE"""),32559.0)</f>
        <v>32559</v>
      </c>
      <c r="C9620" s="9"/>
      <c r="H9620" s="17"/>
      <c r="K9620" s="17"/>
      <c r="N9620" s="17"/>
    </row>
    <row r="9621">
      <c r="B9621" s="11">
        <f>IFERROR(__xludf.DUMMYFUNCTION("""COMPUTED_VALUE"""),32556.0)</f>
        <v>32556</v>
      </c>
      <c r="C9621" s="9">
        <f>IFERROR(__xludf.DUMMYFUNCTION("""COMPUTED_VALUE"""),9.2)</f>
        <v>9.2</v>
      </c>
      <c r="H9621" s="17"/>
      <c r="K9621" s="17"/>
      <c r="N9621" s="17"/>
    </row>
    <row r="9622">
      <c r="B9622" s="11">
        <f>IFERROR(__xludf.DUMMYFUNCTION("""COMPUTED_VALUE"""),32555.0)</f>
        <v>32555</v>
      </c>
      <c r="C9622" s="9">
        <f>IFERROR(__xludf.DUMMYFUNCTION("""COMPUTED_VALUE"""),9.21)</f>
        <v>9.21</v>
      </c>
      <c r="H9622" s="17"/>
      <c r="K9622" s="17"/>
      <c r="N9622" s="17"/>
    </row>
    <row r="9623">
      <c r="B9623" s="11">
        <f>IFERROR(__xludf.DUMMYFUNCTION("""COMPUTED_VALUE"""),32554.0)</f>
        <v>32554</v>
      </c>
      <c r="C9623" s="9">
        <f>IFERROR(__xludf.DUMMYFUNCTION("""COMPUTED_VALUE"""),9.22)</f>
        <v>9.22</v>
      </c>
      <c r="H9623" s="17"/>
      <c r="K9623" s="17"/>
      <c r="N9623" s="17"/>
    </row>
    <row r="9624">
      <c r="B9624" s="11">
        <f>IFERROR(__xludf.DUMMYFUNCTION("""COMPUTED_VALUE"""),32553.0)</f>
        <v>32553</v>
      </c>
      <c r="C9624" s="9">
        <f>IFERROR(__xludf.DUMMYFUNCTION("""COMPUTED_VALUE"""),9.23)</f>
        <v>9.23</v>
      </c>
      <c r="H9624" s="17"/>
      <c r="K9624" s="17"/>
      <c r="N9624" s="17"/>
    </row>
    <row r="9625">
      <c r="B9625" s="11">
        <f>IFERROR(__xludf.DUMMYFUNCTION("""COMPUTED_VALUE"""),32552.0)</f>
        <v>32552</v>
      </c>
      <c r="C9625" s="9">
        <f>IFERROR(__xludf.DUMMYFUNCTION("""COMPUTED_VALUE"""),9.2)</f>
        <v>9.2</v>
      </c>
      <c r="H9625" s="17"/>
      <c r="K9625" s="17"/>
      <c r="N9625" s="17"/>
    </row>
    <row r="9626">
      <c r="B9626" s="11">
        <f>IFERROR(__xludf.DUMMYFUNCTION("""COMPUTED_VALUE"""),32549.0)</f>
        <v>32549</v>
      </c>
      <c r="C9626" s="9">
        <f>IFERROR(__xludf.DUMMYFUNCTION("""COMPUTED_VALUE"""),9.19)</f>
        <v>9.19</v>
      </c>
      <c r="H9626" s="17"/>
      <c r="K9626" s="17"/>
      <c r="N9626" s="17"/>
    </row>
    <row r="9627">
      <c r="B9627" s="11">
        <f>IFERROR(__xludf.DUMMYFUNCTION("""COMPUTED_VALUE"""),32548.0)</f>
        <v>32548</v>
      </c>
      <c r="C9627" s="9">
        <f>IFERROR(__xludf.DUMMYFUNCTION("""COMPUTED_VALUE"""),9.13)</f>
        <v>9.13</v>
      </c>
      <c r="H9627" s="17"/>
      <c r="K9627" s="17"/>
      <c r="N9627" s="17"/>
    </row>
    <row r="9628">
      <c r="B9628" s="11">
        <f>IFERROR(__xludf.DUMMYFUNCTION("""COMPUTED_VALUE"""),32547.0)</f>
        <v>32547</v>
      </c>
      <c r="C9628" s="9">
        <f>IFERROR(__xludf.DUMMYFUNCTION("""COMPUTED_VALUE"""),8.95)</f>
        <v>8.95</v>
      </c>
      <c r="H9628" s="17"/>
      <c r="K9628" s="17"/>
      <c r="N9628" s="17"/>
    </row>
    <row r="9629">
      <c r="B9629" s="11">
        <f>IFERROR(__xludf.DUMMYFUNCTION("""COMPUTED_VALUE"""),32546.0)</f>
        <v>32546</v>
      </c>
      <c r="C9629" s="9">
        <f>IFERROR(__xludf.DUMMYFUNCTION("""COMPUTED_VALUE"""),8.96)</f>
        <v>8.96</v>
      </c>
      <c r="H9629" s="17"/>
      <c r="K9629" s="17"/>
      <c r="N9629" s="17"/>
    </row>
    <row r="9630">
      <c r="B9630" s="11">
        <f>IFERROR(__xludf.DUMMYFUNCTION("""COMPUTED_VALUE"""),32545.0)</f>
        <v>32545</v>
      </c>
      <c r="C9630" s="9">
        <f>IFERROR(__xludf.DUMMYFUNCTION("""COMPUTED_VALUE"""),9.01)</f>
        <v>9.01</v>
      </c>
      <c r="H9630" s="17"/>
      <c r="K9630" s="17"/>
      <c r="N9630" s="17"/>
    </row>
    <row r="9631">
      <c r="B9631" s="11">
        <f>IFERROR(__xludf.DUMMYFUNCTION("""COMPUTED_VALUE"""),32542.0)</f>
        <v>32542</v>
      </c>
      <c r="C9631" s="9">
        <f>IFERROR(__xludf.DUMMYFUNCTION("""COMPUTED_VALUE"""),9.01)</f>
        <v>9.01</v>
      </c>
      <c r="H9631" s="17"/>
      <c r="K9631" s="17"/>
      <c r="N9631" s="17"/>
    </row>
    <row r="9632">
      <c r="B9632" s="11">
        <f>IFERROR(__xludf.DUMMYFUNCTION("""COMPUTED_VALUE"""),32541.0)</f>
        <v>32541</v>
      </c>
      <c r="C9632" s="9">
        <f>IFERROR(__xludf.DUMMYFUNCTION("""COMPUTED_VALUE"""),8.98)</f>
        <v>8.98</v>
      </c>
      <c r="H9632" s="17"/>
      <c r="K9632" s="17"/>
      <c r="N9632" s="17"/>
    </row>
    <row r="9633">
      <c r="B9633" s="11">
        <f>IFERROR(__xludf.DUMMYFUNCTION("""COMPUTED_VALUE"""),32540.0)</f>
        <v>32540</v>
      </c>
      <c r="C9633" s="9">
        <f>IFERROR(__xludf.DUMMYFUNCTION("""COMPUTED_VALUE"""),8.99)</f>
        <v>8.99</v>
      </c>
      <c r="H9633" s="17"/>
      <c r="K9633" s="17"/>
      <c r="N9633" s="17"/>
    </row>
    <row r="9634">
      <c r="B9634" s="11">
        <f>IFERROR(__xludf.DUMMYFUNCTION("""COMPUTED_VALUE"""),32539.0)</f>
        <v>32539</v>
      </c>
      <c r="C9634" s="9">
        <f>IFERROR(__xludf.DUMMYFUNCTION("""COMPUTED_VALUE"""),9.01)</f>
        <v>9.01</v>
      </c>
      <c r="H9634" s="17"/>
      <c r="K9634" s="17"/>
      <c r="N9634" s="17"/>
    </row>
    <row r="9635">
      <c r="B9635" s="11">
        <f>IFERROR(__xludf.DUMMYFUNCTION("""COMPUTED_VALUE"""),32538.0)</f>
        <v>32538</v>
      </c>
      <c r="C9635" s="9">
        <f>IFERROR(__xludf.DUMMYFUNCTION("""COMPUTED_VALUE"""),9.0)</f>
        <v>9</v>
      </c>
      <c r="H9635" s="17"/>
      <c r="K9635" s="17"/>
      <c r="N9635" s="17"/>
    </row>
    <row r="9636">
      <c r="B9636" s="11">
        <f>IFERROR(__xludf.DUMMYFUNCTION("""COMPUTED_VALUE"""),32535.0)</f>
        <v>32535</v>
      </c>
      <c r="C9636" s="9">
        <f>IFERROR(__xludf.DUMMYFUNCTION("""COMPUTED_VALUE"""),8.95)</f>
        <v>8.95</v>
      </c>
      <c r="H9636" s="17"/>
      <c r="K9636" s="17"/>
      <c r="N9636" s="17"/>
    </row>
    <row r="9637">
      <c r="B9637" s="11">
        <f>IFERROR(__xludf.DUMMYFUNCTION("""COMPUTED_VALUE"""),32534.0)</f>
        <v>32534</v>
      </c>
      <c r="C9637" s="9">
        <f>IFERROR(__xludf.DUMMYFUNCTION("""COMPUTED_VALUE"""),8.99)</f>
        <v>8.99</v>
      </c>
      <c r="H9637" s="17"/>
      <c r="K9637" s="17"/>
      <c r="N9637" s="17"/>
    </row>
    <row r="9638">
      <c r="B9638" s="11">
        <f>IFERROR(__xludf.DUMMYFUNCTION("""COMPUTED_VALUE"""),32533.0)</f>
        <v>32533</v>
      </c>
      <c r="C9638" s="9">
        <f>IFERROR(__xludf.DUMMYFUNCTION("""COMPUTED_VALUE"""),8.99)</f>
        <v>8.99</v>
      </c>
      <c r="H9638" s="17"/>
      <c r="K9638" s="17"/>
      <c r="N9638" s="17"/>
    </row>
    <row r="9639">
      <c r="B9639" s="11">
        <f>IFERROR(__xludf.DUMMYFUNCTION("""COMPUTED_VALUE"""),32532.0)</f>
        <v>32532</v>
      </c>
      <c r="C9639" s="9">
        <f>IFERROR(__xludf.DUMMYFUNCTION("""COMPUTED_VALUE"""),8.93)</f>
        <v>8.93</v>
      </c>
      <c r="H9639" s="17"/>
      <c r="K9639" s="17"/>
      <c r="N9639" s="17"/>
    </row>
    <row r="9640">
      <c r="B9640" s="11">
        <f>IFERROR(__xludf.DUMMYFUNCTION("""COMPUTED_VALUE"""),32531.0)</f>
        <v>32531</v>
      </c>
      <c r="C9640" s="9">
        <f>IFERROR(__xludf.DUMMYFUNCTION("""COMPUTED_VALUE"""),9.0)</f>
        <v>9</v>
      </c>
      <c r="H9640" s="17"/>
      <c r="K9640" s="17"/>
      <c r="N9640" s="17"/>
    </row>
    <row r="9641">
      <c r="B9641" s="11">
        <f>IFERROR(__xludf.DUMMYFUNCTION("""COMPUTED_VALUE"""),32528.0)</f>
        <v>32528</v>
      </c>
      <c r="C9641" s="9">
        <f>IFERROR(__xludf.DUMMYFUNCTION("""COMPUTED_VALUE"""),9.03)</f>
        <v>9.03</v>
      </c>
      <c r="H9641" s="17"/>
      <c r="K9641" s="17"/>
      <c r="N9641" s="17"/>
    </row>
    <row r="9642">
      <c r="B9642" s="11">
        <f>IFERROR(__xludf.DUMMYFUNCTION("""COMPUTED_VALUE"""),32527.0)</f>
        <v>32527</v>
      </c>
      <c r="C9642" s="9">
        <f>IFERROR(__xludf.DUMMYFUNCTION("""COMPUTED_VALUE"""),9.0)</f>
        <v>9</v>
      </c>
      <c r="H9642" s="17"/>
      <c r="K9642" s="17"/>
      <c r="N9642" s="17"/>
    </row>
    <row r="9643">
      <c r="B9643" s="11">
        <f>IFERROR(__xludf.DUMMYFUNCTION("""COMPUTED_VALUE"""),32526.0)</f>
        <v>32526</v>
      </c>
      <c r="C9643" s="9">
        <f>IFERROR(__xludf.DUMMYFUNCTION("""COMPUTED_VALUE"""),8.99)</f>
        <v>8.99</v>
      </c>
      <c r="H9643" s="17"/>
      <c r="K9643" s="17"/>
      <c r="N9643" s="17"/>
    </row>
    <row r="9644">
      <c r="B9644" s="11">
        <f>IFERROR(__xludf.DUMMYFUNCTION("""COMPUTED_VALUE"""),32525.0)</f>
        <v>32525</v>
      </c>
      <c r="C9644" s="9">
        <f>IFERROR(__xludf.DUMMYFUNCTION("""COMPUTED_VALUE"""),9.06)</f>
        <v>9.06</v>
      </c>
      <c r="H9644" s="17"/>
      <c r="K9644" s="17"/>
      <c r="N9644" s="17"/>
    </row>
    <row r="9645">
      <c r="B9645" s="11">
        <f>IFERROR(__xludf.DUMMYFUNCTION("""COMPUTED_VALUE"""),32524.0)</f>
        <v>32524</v>
      </c>
      <c r="C9645" s="9"/>
      <c r="H9645" s="17"/>
      <c r="K9645" s="17"/>
      <c r="N9645" s="17"/>
    </row>
    <row r="9646">
      <c r="B9646" s="11">
        <f>IFERROR(__xludf.DUMMYFUNCTION("""COMPUTED_VALUE"""),32521.0)</f>
        <v>32521</v>
      </c>
      <c r="C9646" s="9">
        <f>IFERROR(__xludf.DUMMYFUNCTION("""COMPUTED_VALUE"""),9.06)</f>
        <v>9.06</v>
      </c>
      <c r="H9646" s="17"/>
      <c r="K9646" s="17"/>
      <c r="N9646" s="17"/>
    </row>
    <row r="9647">
      <c r="B9647" s="11">
        <f>IFERROR(__xludf.DUMMYFUNCTION("""COMPUTED_VALUE"""),32520.0)</f>
        <v>32520</v>
      </c>
      <c r="C9647" s="9">
        <f>IFERROR(__xludf.DUMMYFUNCTION("""COMPUTED_VALUE"""),9.14)</f>
        <v>9.14</v>
      </c>
      <c r="H9647" s="17"/>
      <c r="K9647" s="17"/>
      <c r="N9647" s="17"/>
    </row>
    <row r="9648">
      <c r="B9648" s="11">
        <f>IFERROR(__xludf.DUMMYFUNCTION("""COMPUTED_VALUE"""),32519.0)</f>
        <v>32519</v>
      </c>
      <c r="C9648" s="9">
        <f>IFERROR(__xludf.DUMMYFUNCTION("""COMPUTED_VALUE"""),9.24)</f>
        <v>9.24</v>
      </c>
      <c r="H9648" s="17"/>
      <c r="K9648" s="17"/>
      <c r="N9648" s="17"/>
    </row>
    <row r="9649">
      <c r="B9649" s="11">
        <f>IFERROR(__xludf.DUMMYFUNCTION("""COMPUTED_VALUE"""),32518.0)</f>
        <v>32518</v>
      </c>
      <c r="C9649" s="9">
        <f>IFERROR(__xludf.DUMMYFUNCTION("""COMPUTED_VALUE"""),9.24)</f>
        <v>9.24</v>
      </c>
      <c r="H9649" s="17"/>
      <c r="K9649" s="17"/>
      <c r="N9649" s="17"/>
    </row>
    <row r="9650">
      <c r="B9650" s="11">
        <f>IFERROR(__xludf.DUMMYFUNCTION("""COMPUTED_VALUE"""),32517.0)</f>
        <v>32517</v>
      </c>
      <c r="C9650" s="9">
        <f>IFERROR(__xludf.DUMMYFUNCTION("""COMPUTED_VALUE"""),9.23)</f>
        <v>9.23</v>
      </c>
      <c r="H9650" s="17"/>
      <c r="K9650" s="17"/>
      <c r="N9650" s="17"/>
    </row>
    <row r="9651">
      <c r="B9651" s="11">
        <f>IFERROR(__xludf.DUMMYFUNCTION("""COMPUTED_VALUE"""),32514.0)</f>
        <v>32514</v>
      </c>
      <c r="C9651" s="9">
        <f>IFERROR(__xludf.DUMMYFUNCTION("""COMPUTED_VALUE"""),9.25)</f>
        <v>9.25</v>
      </c>
      <c r="H9651" s="17"/>
      <c r="K9651" s="17"/>
      <c r="N9651" s="17"/>
    </row>
    <row r="9652">
      <c r="B9652" s="11">
        <f>IFERROR(__xludf.DUMMYFUNCTION("""COMPUTED_VALUE"""),32513.0)</f>
        <v>32513</v>
      </c>
      <c r="C9652" s="9">
        <f>IFERROR(__xludf.DUMMYFUNCTION("""COMPUTED_VALUE"""),9.27)</f>
        <v>9.27</v>
      </c>
      <c r="H9652" s="17"/>
      <c r="K9652" s="17"/>
      <c r="N9652" s="17"/>
    </row>
    <row r="9653">
      <c r="B9653" s="11">
        <f>IFERROR(__xludf.DUMMYFUNCTION("""COMPUTED_VALUE"""),32512.0)</f>
        <v>32512</v>
      </c>
      <c r="C9653" s="9">
        <f>IFERROR(__xludf.DUMMYFUNCTION("""COMPUTED_VALUE"""),9.22)</f>
        <v>9.22</v>
      </c>
      <c r="H9653" s="17"/>
      <c r="K9653" s="17"/>
      <c r="N9653" s="17"/>
    </row>
    <row r="9654">
      <c r="B9654" s="11">
        <f>IFERROR(__xludf.DUMMYFUNCTION("""COMPUTED_VALUE"""),32511.0)</f>
        <v>32511</v>
      </c>
      <c r="C9654" s="9">
        <f>IFERROR(__xludf.DUMMYFUNCTION("""COMPUTED_VALUE"""),9.23)</f>
        <v>9.23</v>
      </c>
      <c r="H9654" s="17"/>
      <c r="K9654" s="17"/>
      <c r="N9654" s="17"/>
    </row>
    <row r="9655">
      <c r="B9655" s="11">
        <f>IFERROR(__xludf.DUMMYFUNCTION("""COMPUTED_VALUE"""),32510.0)</f>
        <v>32510</v>
      </c>
      <c r="C9655" s="9"/>
      <c r="H9655" s="17"/>
      <c r="K9655" s="17"/>
      <c r="N9655" s="17"/>
    </row>
    <row r="9656">
      <c r="B9656" s="11">
        <f>IFERROR(__xludf.DUMMYFUNCTION("""COMPUTED_VALUE"""),32507.0)</f>
        <v>32507</v>
      </c>
      <c r="C9656" s="9">
        <f>IFERROR(__xludf.DUMMYFUNCTION("""COMPUTED_VALUE"""),9.14)</f>
        <v>9.14</v>
      </c>
      <c r="H9656" s="17"/>
      <c r="K9656" s="17"/>
      <c r="N9656" s="17"/>
    </row>
    <row r="9657">
      <c r="B9657" s="11">
        <f>IFERROR(__xludf.DUMMYFUNCTION("""COMPUTED_VALUE"""),32506.0)</f>
        <v>32506</v>
      </c>
      <c r="C9657" s="9">
        <f>IFERROR(__xludf.DUMMYFUNCTION("""COMPUTED_VALUE"""),9.18)</f>
        <v>9.18</v>
      </c>
      <c r="H9657" s="17"/>
      <c r="K9657" s="17"/>
      <c r="N9657" s="17"/>
    </row>
    <row r="9658">
      <c r="B9658" s="11">
        <f>IFERROR(__xludf.DUMMYFUNCTION("""COMPUTED_VALUE"""),32505.0)</f>
        <v>32505</v>
      </c>
      <c r="C9658" s="9">
        <f>IFERROR(__xludf.DUMMYFUNCTION("""COMPUTED_VALUE"""),9.21)</f>
        <v>9.21</v>
      </c>
      <c r="H9658" s="17"/>
      <c r="K9658" s="17"/>
      <c r="N9658" s="17"/>
    </row>
    <row r="9659">
      <c r="B9659" s="11">
        <f>IFERROR(__xludf.DUMMYFUNCTION("""COMPUTED_VALUE"""),32504.0)</f>
        <v>32504</v>
      </c>
      <c r="C9659" s="9">
        <f>IFERROR(__xludf.DUMMYFUNCTION("""COMPUTED_VALUE"""),9.13)</f>
        <v>9.13</v>
      </c>
      <c r="H9659" s="17"/>
      <c r="K9659" s="17"/>
      <c r="N9659" s="17"/>
    </row>
    <row r="9660">
      <c r="B9660" s="11">
        <f>IFERROR(__xludf.DUMMYFUNCTION("""COMPUTED_VALUE"""),32503.0)</f>
        <v>32503</v>
      </c>
      <c r="C9660" s="9"/>
      <c r="H9660" s="17"/>
      <c r="K9660" s="17"/>
      <c r="N9660" s="17"/>
    </row>
    <row r="9661">
      <c r="B9661" s="11">
        <f>IFERROR(__xludf.DUMMYFUNCTION("""COMPUTED_VALUE"""),32500.0)</f>
        <v>32500</v>
      </c>
      <c r="C9661" s="9">
        <f>IFERROR(__xludf.DUMMYFUNCTION("""COMPUTED_VALUE"""),9.05)</f>
        <v>9.05</v>
      </c>
      <c r="H9661" s="17"/>
      <c r="K9661" s="17"/>
      <c r="N9661" s="17"/>
    </row>
    <row r="9662">
      <c r="B9662" s="11">
        <f>IFERROR(__xludf.DUMMYFUNCTION("""COMPUTED_VALUE"""),32499.0)</f>
        <v>32499</v>
      </c>
      <c r="C9662" s="9">
        <f>IFERROR(__xludf.DUMMYFUNCTION("""COMPUTED_VALUE"""),9.07)</f>
        <v>9.07</v>
      </c>
      <c r="H9662" s="17"/>
      <c r="K9662" s="17"/>
      <c r="N9662" s="17"/>
    </row>
    <row r="9663">
      <c r="B9663" s="11">
        <f>IFERROR(__xludf.DUMMYFUNCTION("""COMPUTED_VALUE"""),32498.0)</f>
        <v>32498</v>
      </c>
      <c r="C9663" s="9">
        <f>IFERROR(__xludf.DUMMYFUNCTION("""COMPUTED_VALUE"""),9.07)</f>
        <v>9.07</v>
      </c>
      <c r="H9663" s="17"/>
      <c r="K9663" s="17"/>
      <c r="N9663" s="17"/>
    </row>
    <row r="9664">
      <c r="B9664" s="11">
        <f>IFERROR(__xludf.DUMMYFUNCTION("""COMPUTED_VALUE"""),32497.0)</f>
        <v>32497</v>
      </c>
      <c r="C9664" s="9">
        <f>IFERROR(__xludf.DUMMYFUNCTION("""COMPUTED_VALUE"""),9.08)</f>
        <v>9.08</v>
      </c>
      <c r="H9664" s="17"/>
      <c r="K9664" s="17"/>
      <c r="N9664" s="17"/>
    </row>
    <row r="9665">
      <c r="B9665" s="11">
        <f>IFERROR(__xludf.DUMMYFUNCTION("""COMPUTED_VALUE"""),32496.0)</f>
        <v>32496</v>
      </c>
      <c r="C9665" s="9">
        <f>IFERROR(__xludf.DUMMYFUNCTION("""COMPUTED_VALUE"""),9.15)</f>
        <v>9.15</v>
      </c>
      <c r="H9665" s="17"/>
      <c r="K9665" s="17"/>
      <c r="N9665" s="17"/>
    </row>
    <row r="9666">
      <c r="B9666" s="11">
        <f>IFERROR(__xludf.DUMMYFUNCTION("""COMPUTED_VALUE"""),32493.0)</f>
        <v>32493</v>
      </c>
      <c r="C9666" s="9">
        <f>IFERROR(__xludf.DUMMYFUNCTION("""COMPUTED_VALUE"""),9.17)</f>
        <v>9.17</v>
      </c>
      <c r="H9666" s="17"/>
      <c r="K9666" s="17"/>
      <c r="N9666" s="17"/>
    </row>
    <row r="9667">
      <c r="B9667" s="11">
        <f>IFERROR(__xludf.DUMMYFUNCTION("""COMPUTED_VALUE"""),32492.0)</f>
        <v>32492</v>
      </c>
      <c r="C9667" s="9">
        <f>IFERROR(__xludf.DUMMYFUNCTION("""COMPUTED_VALUE"""),9.19)</f>
        <v>9.19</v>
      </c>
      <c r="H9667" s="17"/>
      <c r="K9667" s="17"/>
      <c r="N9667" s="17"/>
    </row>
    <row r="9668">
      <c r="B9668" s="11">
        <f>IFERROR(__xludf.DUMMYFUNCTION("""COMPUTED_VALUE"""),32491.0)</f>
        <v>32491</v>
      </c>
      <c r="C9668" s="9">
        <f>IFERROR(__xludf.DUMMYFUNCTION("""COMPUTED_VALUE"""),9.19)</f>
        <v>9.19</v>
      </c>
      <c r="H9668" s="17"/>
      <c r="K9668" s="17"/>
      <c r="N9668" s="17"/>
    </row>
    <row r="9669">
      <c r="B9669" s="11">
        <f>IFERROR(__xludf.DUMMYFUNCTION("""COMPUTED_VALUE"""),32490.0)</f>
        <v>32490</v>
      </c>
      <c r="C9669" s="9">
        <f>IFERROR(__xludf.DUMMYFUNCTION("""COMPUTED_VALUE"""),9.15)</f>
        <v>9.15</v>
      </c>
      <c r="H9669" s="17"/>
      <c r="K9669" s="17"/>
      <c r="N9669" s="17"/>
    </row>
    <row r="9670">
      <c r="B9670" s="11">
        <f>IFERROR(__xludf.DUMMYFUNCTION("""COMPUTED_VALUE"""),32489.0)</f>
        <v>32489</v>
      </c>
      <c r="C9670" s="9">
        <f>IFERROR(__xludf.DUMMYFUNCTION("""COMPUTED_VALUE"""),9.08)</f>
        <v>9.08</v>
      </c>
      <c r="H9670" s="17"/>
      <c r="K9670" s="17"/>
      <c r="N9670" s="17"/>
    </row>
    <row r="9671">
      <c r="B9671" s="11">
        <f>IFERROR(__xludf.DUMMYFUNCTION("""COMPUTED_VALUE"""),32486.0)</f>
        <v>32486</v>
      </c>
      <c r="C9671" s="9">
        <f>IFERROR(__xludf.DUMMYFUNCTION("""COMPUTED_VALUE"""),9.07)</f>
        <v>9.07</v>
      </c>
      <c r="H9671" s="17"/>
      <c r="K9671" s="17"/>
      <c r="N9671" s="17"/>
    </row>
    <row r="9672">
      <c r="B9672" s="11">
        <f>IFERROR(__xludf.DUMMYFUNCTION("""COMPUTED_VALUE"""),32485.0)</f>
        <v>32485</v>
      </c>
      <c r="C9672" s="9">
        <f>IFERROR(__xludf.DUMMYFUNCTION("""COMPUTED_VALUE"""),9.02)</f>
        <v>9.02</v>
      </c>
      <c r="H9672" s="17"/>
      <c r="K9672" s="17"/>
      <c r="N9672" s="17"/>
    </row>
    <row r="9673">
      <c r="B9673" s="11">
        <f>IFERROR(__xludf.DUMMYFUNCTION("""COMPUTED_VALUE"""),32484.0)</f>
        <v>32484</v>
      </c>
      <c r="C9673" s="9">
        <f>IFERROR(__xludf.DUMMYFUNCTION("""COMPUTED_VALUE"""),9.0)</f>
        <v>9</v>
      </c>
      <c r="H9673" s="17"/>
      <c r="K9673" s="17"/>
      <c r="N9673" s="17"/>
    </row>
    <row r="9674">
      <c r="B9674" s="11">
        <f>IFERROR(__xludf.DUMMYFUNCTION("""COMPUTED_VALUE"""),32483.0)</f>
        <v>32483</v>
      </c>
      <c r="C9674" s="9">
        <f>IFERROR(__xludf.DUMMYFUNCTION("""COMPUTED_VALUE"""),8.95)</f>
        <v>8.95</v>
      </c>
      <c r="H9674" s="17"/>
      <c r="K9674" s="17"/>
      <c r="N9674" s="17"/>
    </row>
    <row r="9675">
      <c r="B9675" s="11">
        <f>IFERROR(__xludf.DUMMYFUNCTION("""COMPUTED_VALUE"""),32482.0)</f>
        <v>32482</v>
      </c>
      <c r="C9675" s="9">
        <f>IFERROR(__xludf.DUMMYFUNCTION("""COMPUTED_VALUE"""),9.13)</f>
        <v>9.13</v>
      </c>
      <c r="H9675" s="17"/>
      <c r="K9675" s="17"/>
      <c r="N9675" s="17"/>
    </row>
    <row r="9676">
      <c r="B9676" s="11">
        <f>IFERROR(__xludf.DUMMYFUNCTION("""COMPUTED_VALUE"""),32479.0)</f>
        <v>32479</v>
      </c>
      <c r="C9676" s="9">
        <f>IFERROR(__xludf.DUMMYFUNCTION("""COMPUTED_VALUE"""),9.18)</f>
        <v>9.18</v>
      </c>
      <c r="H9676" s="17"/>
      <c r="K9676" s="17"/>
      <c r="N9676" s="17"/>
    </row>
    <row r="9677">
      <c r="B9677" s="11">
        <f>IFERROR(__xludf.DUMMYFUNCTION("""COMPUTED_VALUE"""),32478.0)</f>
        <v>32478</v>
      </c>
      <c r="C9677" s="9">
        <f>IFERROR(__xludf.DUMMYFUNCTION("""COMPUTED_VALUE"""),9.01)</f>
        <v>9.01</v>
      </c>
      <c r="H9677" s="17"/>
      <c r="K9677" s="17"/>
      <c r="N9677" s="17"/>
    </row>
    <row r="9678">
      <c r="B9678" s="11">
        <f>IFERROR(__xludf.DUMMYFUNCTION("""COMPUTED_VALUE"""),32477.0)</f>
        <v>32477</v>
      </c>
      <c r="C9678" s="9">
        <f>IFERROR(__xludf.DUMMYFUNCTION("""COMPUTED_VALUE"""),9.06)</f>
        <v>9.06</v>
      </c>
      <c r="H9678" s="17"/>
      <c r="K9678" s="17"/>
      <c r="N9678" s="17"/>
    </row>
    <row r="9679">
      <c r="B9679" s="11">
        <f>IFERROR(__xludf.DUMMYFUNCTION("""COMPUTED_VALUE"""),32476.0)</f>
        <v>32476</v>
      </c>
      <c r="C9679" s="9">
        <f>IFERROR(__xludf.DUMMYFUNCTION("""COMPUTED_VALUE"""),9.13)</f>
        <v>9.13</v>
      </c>
      <c r="H9679" s="17"/>
      <c r="K9679" s="17"/>
      <c r="N9679" s="17"/>
    </row>
    <row r="9680">
      <c r="B9680" s="11">
        <f>IFERROR(__xludf.DUMMYFUNCTION("""COMPUTED_VALUE"""),32475.0)</f>
        <v>32475</v>
      </c>
      <c r="C9680" s="9">
        <f>IFERROR(__xludf.DUMMYFUNCTION("""COMPUTED_VALUE"""),9.16)</f>
        <v>9.16</v>
      </c>
      <c r="H9680" s="17"/>
      <c r="K9680" s="17"/>
      <c r="N9680" s="17"/>
    </row>
    <row r="9681">
      <c r="B9681" s="11">
        <f>IFERROR(__xludf.DUMMYFUNCTION("""COMPUTED_VALUE"""),32472.0)</f>
        <v>32472</v>
      </c>
      <c r="C9681" s="9">
        <f>IFERROR(__xludf.DUMMYFUNCTION("""COMPUTED_VALUE"""),9.17)</f>
        <v>9.17</v>
      </c>
      <c r="H9681" s="17"/>
      <c r="K9681" s="17"/>
      <c r="N9681" s="17"/>
    </row>
    <row r="9682">
      <c r="B9682" s="11">
        <f>IFERROR(__xludf.DUMMYFUNCTION("""COMPUTED_VALUE"""),32471.0)</f>
        <v>32471</v>
      </c>
      <c r="C9682" s="9"/>
      <c r="H9682" s="17"/>
      <c r="K9682" s="17"/>
      <c r="N9682" s="17"/>
    </row>
    <row r="9683">
      <c r="B9683" s="11">
        <f>IFERROR(__xludf.DUMMYFUNCTION("""COMPUTED_VALUE"""),32470.0)</f>
        <v>32470</v>
      </c>
      <c r="C9683" s="9">
        <f>IFERROR(__xludf.DUMMYFUNCTION("""COMPUTED_VALUE"""),9.08)</f>
        <v>9.08</v>
      </c>
      <c r="H9683" s="17"/>
      <c r="K9683" s="17"/>
      <c r="N9683" s="17"/>
    </row>
    <row r="9684">
      <c r="B9684" s="11">
        <f>IFERROR(__xludf.DUMMYFUNCTION("""COMPUTED_VALUE"""),32469.0)</f>
        <v>32469</v>
      </c>
      <c r="C9684" s="9">
        <f>IFERROR(__xludf.DUMMYFUNCTION("""COMPUTED_VALUE"""),9.09)</f>
        <v>9.09</v>
      </c>
      <c r="H9684" s="17"/>
      <c r="K9684" s="17"/>
      <c r="N9684" s="17"/>
    </row>
    <row r="9685">
      <c r="B9685" s="11">
        <f>IFERROR(__xludf.DUMMYFUNCTION("""COMPUTED_VALUE"""),32468.0)</f>
        <v>32468</v>
      </c>
      <c r="C9685" s="9">
        <f>IFERROR(__xludf.DUMMYFUNCTION("""COMPUTED_VALUE"""),9.04)</f>
        <v>9.04</v>
      </c>
      <c r="H9685" s="17"/>
      <c r="K9685" s="17"/>
      <c r="N9685" s="17"/>
    </row>
    <row r="9686">
      <c r="B9686" s="11">
        <f>IFERROR(__xludf.DUMMYFUNCTION("""COMPUTED_VALUE"""),32465.0)</f>
        <v>32465</v>
      </c>
      <c r="C9686" s="9">
        <f>IFERROR(__xludf.DUMMYFUNCTION("""COMPUTED_VALUE"""),9.05)</f>
        <v>9.05</v>
      </c>
      <c r="H9686" s="17"/>
      <c r="K9686" s="17"/>
      <c r="N9686" s="17"/>
    </row>
    <row r="9687">
      <c r="B9687" s="11">
        <f>IFERROR(__xludf.DUMMYFUNCTION("""COMPUTED_VALUE"""),32464.0)</f>
        <v>32464</v>
      </c>
      <c r="C9687" s="9">
        <f>IFERROR(__xludf.DUMMYFUNCTION("""COMPUTED_VALUE"""),9.06)</f>
        <v>9.06</v>
      </c>
      <c r="H9687" s="17"/>
      <c r="K9687" s="17"/>
      <c r="N9687" s="17"/>
    </row>
    <row r="9688">
      <c r="B9688" s="11">
        <f>IFERROR(__xludf.DUMMYFUNCTION("""COMPUTED_VALUE"""),32463.0)</f>
        <v>32463</v>
      </c>
      <c r="C9688" s="9">
        <f>IFERROR(__xludf.DUMMYFUNCTION("""COMPUTED_VALUE"""),9.0)</f>
        <v>9</v>
      </c>
      <c r="H9688" s="17"/>
      <c r="K9688" s="17"/>
      <c r="N9688" s="17"/>
    </row>
    <row r="9689">
      <c r="B9689" s="11">
        <f>IFERROR(__xludf.DUMMYFUNCTION("""COMPUTED_VALUE"""),32462.0)</f>
        <v>32462</v>
      </c>
      <c r="C9689" s="9">
        <f>IFERROR(__xludf.DUMMYFUNCTION("""COMPUTED_VALUE"""),8.92)</f>
        <v>8.92</v>
      </c>
      <c r="H9689" s="17"/>
      <c r="K9689" s="17"/>
      <c r="N9689" s="17"/>
    </row>
    <row r="9690">
      <c r="B9690" s="11">
        <f>IFERROR(__xludf.DUMMYFUNCTION("""COMPUTED_VALUE"""),32461.0)</f>
        <v>32461</v>
      </c>
      <c r="C9690" s="9">
        <f>IFERROR(__xludf.DUMMYFUNCTION("""COMPUTED_VALUE"""),8.91)</f>
        <v>8.91</v>
      </c>
      <c r="H9690" s="17"/>
      <c r="K9690" s="17"/>
      <c r="N9690" s="17"/>
    </row>
    <row r="9691">
      <c r="B9691" s="11">
        <f>IFERROR(__xludf.DUMMYFUNCTION("""COMPUTED_VALUE"""),32458.0)</f>
        <v>32458</v>
      </c>
      <c r="C9691" s="9"/>
      <c r="H9691" s="17"/>
      <c r="K9691" s="17"/>
      <c r="N9691" s="17"/>
    </row>
    <row r="9692">
      <c r="B9692" s="11">
        <f>IFERROR(__xludf.DUMMYFUNCTION("""COMPUTED_VALUE"""),32457.0)</f>
        <v>32457</v>
      </c>
      <c r="C9692" s="9">
        <f>IFERROR(__xludf.DUMMYFUNCTION("""COMPUTED_VALUE"""),8.9)</f>
        <v>8.9</v>
      </c>
      <c r="H9692" s="17"/>
      <c r="K9692" s="17"/>
      <c r="N9692" s="17"/>
    </row>
    <row r="9693">
      <c r="B9693" s="11">
        <f>IFERROR(__xludf.DUMMYFUNCTION("""COMPUTED_VALUE"""),32456.0)</f>
        <v>32456</v>
      </c>
      <c r="C9693" s="9">
        <f>IFERROR(__xludf.DUMMYFUNCTION("""COMPUTED_VALUE"""),8.91)</f>
        <v>8.91</v>
      </c>
      <c r="H9693" s="17"/>
      <c r="K9693" s="17"/>
      <c r="N9693" s="17"/>
    </row>
    <row r="9694">
      <c r="B9694" s="11">
        <f>IFERROR(__xludf.DUMMYFUNCTION("""COMPUTED_VALUE"""),32455.0)</f>
        <v>32455</v>
      </c>
      <c r="C9694" s="9">
        <f>IFERROR(__xludf.DUMMYFUNCTION("""COMPUTED_VALUE"""),8.91)</f>
        <v>8.91</v>
      </c>
      <c r="H9694" s="17"/>
      <c r="K9694" s="17"/>
      <c r="N9694" s="17"/>
    </row>
    <row r="9695">
      <c r="B9695" s="11">
        <f>IFERROR(__xludf.DUMMYFUNCTION("""COMPUTED_VALUE"""),32454.0)</f>
        <v>32454</v>
      </c>
      <c r="C9695" s="9">
        <f>IFERROR(__xludf.DUMMYFUNCTION("""COMPUTED_VALUE"""),8.91)</f>
        <v>8.91</v>
      </c>
      <c r="H9695" s="17"/>
      <c r="K9695" s="17"/>
      <c r="N9695" s="17"/>
    </row>
    <row r="9696">
      <c r="B9696" s="11">
        <f>IFERROR(__xludf.DUMMYFUNCTION("""COMPUTED_VALUE"""),32451.0)</f>
        <v>32451</v>
      </c>
      <c r="C9696" s="9">
        <f>IFERROR(__xludf.DUMMYFUNCTION("""COMPUTED_VALUE"""),8.85)</f>
        <v>8.85</v>
      </c>
      <c r="H9696" s="17"/>
      <c r="K9696" s="17"/>
      <c r="N9696" s="17"/>
    </row>
    <row r="9697">
      <c r="B9697" s="11">
        <f>IFERROR(__xludf.DUMMYFUNCTION("""COMPUTED_VALUE"""),32450.0)</f>
        <v>32450</v>
      </c>
      <c r="C9697" s="9">
        <f>IFERROR(__xludf.DUMMYFUNCTION("""COMPUTED_VALUE"""),8.69)</f>
        <v>8.69</v>
      </c>
      <c r="H9697" s="17"/>
      <c r="K9697" s="17"/>
      <c r="N9697" s="17"/>
    </row>
    <row r="9698">
      <c r="B9698" s="11">
        <f>IFERROR(__xludf.DUMMYFUNCTION("""COMPUTED_VALUE"""),32449.0)</f>
        <v>32449</v>
      </c>
      <c r="C9698" s="9">
        <f>IFERROR(__xludf.DUMMYFUNCTION("""COMPUTED_VALUE"""),8.73)</f>
        <v>8.73</v>
      </c>
      <c r="H9698" s="17"/>
      <c r="K9698" s="17"/>
      <c r="N9698" s="17"/>
    </row>
    <row r="9699">
      <c r="B9699" s="11">
        <f>IFERROR(__xludf.DUMMYFUNCTION("""COMPUTED_VALUE"""),32448.0)</f>
        <v>32448</v>
      </c>
      <c r="C9699" s="9">
        <f>IFERROR(__xludf.DUMMYFUNCTION("""COMPUTED_VALUE"""),8.68)</f>
        <v>8.68</v>
      </c>
      <c r="H9699" s="17"/>
      <c r="K9699" s="17"/>
      <c r="N9699" s="17"/>
    </row>
    <row r="9700">
      <c r="B9700" s="11">
        <f>IFERROR(__xludf.DUMMYFUNCTION("""COMPUTED_VALUE"""),32447.0)</f>
        <v>32447</v>
      </c>
      <c r="C9700" s="9">
        <f>IFERROR(__xludf.DUMMYFUNCTION("""COMPUTED_VALUE"""),8.65)</f>
        <v>8.65</v>
      </c>
      <c r="H9700" s="17"/>
      <c r="K9700" s="17"/>
      <c r="N9700" s="17"/>
    </row>
    <row r="9701">
      <c r="B9701" s="11">
        <f>IFERROR(__xludf.DUMMYFUNCTION("""COMPUTED_VALUE"""),32444.0)</f>
        <v>32444</v>
      </c>
      <c r="C9701" s="9">
        <f>IFERROR(__xludf.DUMMYFUNCTION("""COMPUTED_VALUE"""),8.69)</f>
        <v>8.69</v>
      </c>
      <c r="H9701" s="17"/>
      <c r="K9701" s="17"/>
      <c r="N9701" s="17"/>
    </row>
    <row r="9702">
      <c r="B9702" s="11">
        <f>IFERROR(__xludf.DUMMYFUNCTION("""COMPUTED_VALUE"""),32443.0)</f>
        <v>32443</v>
      </c>
      <c r="C9702" s="9">
        <f>IFERROR(__xludf.DUMMYFUNCTION("""COMPUTED_VALUE"""),8.72)</f>
        <v>8.72</v>
      </c>
      <c r="H9702" s="17"/>
      <c r="K9702" s="17"/>
      <c r="N9702" s="17"/>
    </row>
    <row r="9703">
      <c r="B9703" s="11">
        <f>IFERROR(__xludf.DUMMYFUNCTION("""COMPUTED_VALUE"""),32442.0)</f>
        <v>32442</v>
      </c>
      <c r="C9703" s="9">
        <f>IFERROR(__xludf.DUMMYFUNCTION("""COMPUTED_VALUE"""),8.79)</f>
        <v>8.79</v>
      </c>
      <c r="H9703" s="17"/>
      <c r="K9703" s="17"/>
      <c r="N9703" s="17"/>
    </row>
    <row r="9704">
      <c r="B9704" s="11">
        <f>IFERROR(__xludf.DUMMYFUNCTION("""COMPUTED_VALUE"""),32441.0)</f>
        <v>32441</v>
      </c>
      <c r="C9704" s="9">
        <f>IFERROR(__xludf.DUMMYFUNCTION("""COMPUTED_VALUE"""),8.83)</f>
        <v>8.83</v>
      </c>
      <c r="H9704" s="17"/>
      <c r="K9704" s="17"/>
      <c r="N9704" s="17"/>
    </row>
    <row r="9705">
      <c r="B9705" s="11">
        <f>IFERROR(__xludf.DUMMYFUNCTION("""COMPUTED_VALUE"""),32440.0)</f>
        <v>32440</v>
      </c>
      <c r="C9705" s="9">
        <f>IFERROR(__xludf.DUMMYFUNCTION("""COMPUTED_VALUE"""),8.83)</f>
        <v>8.83</v>
      </c>
      <c r="H9705" s="17"/>
      <c r="K9705" s="17"/>
      <c r="N9705" s="17"/>
    </row>
    <row r="9706">
      <c r="B9706" s="11">
        <f>IFERROR(__xludf.DUMMYFUNCTION("""COMPUTED_VALUE"""),32437.0)</f>
        <v>32437</v>
      </c>
      <c r="C9706" s="9">
        <f>IFERROR(__xludf.DUMMYFUNCTION("""COMPUTED_VALUE"""),8.83)</f>
        <v>8.83</v>
      </c>
      <c r="H9706" s="17"/>
      <c r="K9706" s="17"/>
      <c r="N9706" s="17"/>
    </row>
    <row r="9707">
      <c r="B9707" s="11">
        <f>IFERROR(__xludf.DUMMYFUNCTION("""COMPUTED_VALUE"""),32436.0)</f>
        <v>32436</v>
      </c>
      <c r="C9707" s="9">
        <f>IFERROR(__xludf.DUMMYFUNCTION("""COMPUTED_VALUE"""),8.79)</f>
        <v>8.79</v>
      </c>
      <c r="H9707" s="17"/>
      <c r="K9707" s="17"/>
      <c r="N9707" s="17"/>
    </row>
    <row r="9708">
      <c r="B9708" s="11">
        <f>IFERROR(__xludf.DUMMYFUNCTION("""COMPUTED_VALUE"""),32435.0)</f>
        <v>32435</v>
      </c>
      <c r="C9708" s="9">
        <f>IFERROR(__xludf.DUMMYFUNCTION("""COMPUTED_VALUE"""),8.82)</f>
        <v>8.82</v>
      </c>
      <c r="H9708" s="17"/>
      <c r="K9708" s="17"/>
      <c r="N9708" s="17"/>
    </row>
    <row r="9709">
      <c r="B9709" s="11">
        <f>IFERROR(__xludf.DUMMYFUNCTION("""COMPUTED_VALUE"""),32434.0)</f>
        <v>32434</v>
      </c>
      <c r="C9709" s="9">
        <f>IFERROR(__xludf.DUMMYFUNCTION("""COMPUTED_VALUE"""),8.78)</f>
        <v>8.78</v>
      </c>
      <c r="H9709" s="17"/>
      <c r="K9709" s="17"/>
      <c r="N9709" s="17"/>
    </row>
    <row r="9710">
      <c r="B9710" s="11">
        <f>IFERROR(__xludf.DUMMYFUNCTION("""COMPUTED_VALUE"""),32433.0)</f>
        <v>32433</v>
      </c>
      <c r="C9710" s="9">
        <f>IFERROR(__xludf.DUMMYFUNCTION("""COMPUTED_VALUE"""),8.79)</f>
        <v>8.79</v>
      </c>
      <c r="H9710" s="17"/>
      <c r="K9710" s="17"/>
      <c r="N9710" s="17"/>
    </row>
    <row r="9711">
      <c r="B9711" s="11">
        <f>IFERROR(__xludf.DUMMYFUNCTION("""COMPUTED_VALUE"""),32430.0)</f>
        <v>32430</v>
      </c>
      <c r="C9711" s="9">
        <f>IFERROR(__xludf.DUMMYFUNCTION("""COMPUTED_VALUE"""),8.81)</f>
        <v>8.81</v>
      </c>
      <c r="H9711" s="17"/>
      <c r="K9711" s="17"/>
      <c r="N9711" s="17"/>
    </row>
    <row r="9712">
      <c r="B9712" s="11">
        <f>IFERROR(__xludf.DUMMYFUNCTION("""COMPUTED_VALUE"""),32429.0)</f>
        <v>32429</v>
      </c>
      <c r="C9712" s="9">
        <f>IFERROR(__xludf.DUMMYFUNCTION("""COMPUTED_VALUE"""),8.84)</f>
        <v>8.84</v>
      </c>
      <c r="H9712" s="17"/>
      <c r="K9712" s="17"/>
      <c r="N9712" s="17"/>
    </row>
    <row r="9713">
      <c r="B9713" s="11">
        <f>IFERROR(__xludf.DUMMYFUNCTION("""COMPUTED_VALUE"""),32428.0)</f>
        <v>32428</v>
      </c>
      <c r="C9713" s="9">
        <f>IFERROR(__xludf.DUMMYFUNCTION("""COMPUTED_VALUE"""),8.84)</f>
        <v>8.84</v>
      </c>
      <c r="H9713" s="17"/>
      <c r="K9713" s="17"/>
      <c r="N9713" s="17"/>
    </row>
    <row r="9714">
      <c r="B9714" s="11">
        <f>IFERROR(__xludf.DUMMYFUNCTION("""COMPUTED_VALUE"""),32427.0)</f>
        <v>32427</v>
      </c>
      <c r="C9714" s="9">
        <f>IFERROR(__xludf.DUMMYFUNCTION("""COMPUTED_VALUE"""),8.75)</f>
        <v>8.75</v>
      </c>
      <c r="H9714" s="17"/>
      <c r="K9714" s="17"/>
      <c r="N9714" s="17"/>
    </row>
    <row r="9715">
      <c r="B9715" s="11">
        <f>IFERROR(__xludf.DUMMYFUNCTION("""COMPUTED_VALUE"""),32426.0)</f>
        <v>32426</v>
      </c>
      <c r="C9715" s="9"/>
      <c r="H9715" s="17"/>
      <c r="K9715" s="17"/>
      <c r="N9715" s="17"/>
    </row>
    <row r="9716">
      <c r="B9716" s="11">
        <f>IFERROR(__xludf.DUMMYFUNCTION("""COMPUTED_VALUE"""),32423.0)</f>
        <v>32423</v>
      </c>
      <c r="C9716" s="9">
        <f>IFERROR(__xludf.DUMMYFUNCTION("""COMPUTED_VALUE"""),8.7)</f>
        <v>8.7</v>
      </c>
      <c r="H9716" s="17"/>
      <c r="K9716" s="17"/>
      <c r="N9716" s="17"/>
    </row>
    <row r="9717">
      <c r="B9717" s="11">
        <f>IFERROR(__xludf.DUMMYFUNCTION("""COMPUTED_VALUE"""),32422.0)</f>
        <v>32422</v>
      </c>
      <c r="C9717" s="9">
        <f>IFERROR(__xludf.DUMMYFUNCTION("""COMPUTED_VALUE"""),8.87)</f>
        <v>8.87</v>
      </c>
      <c r="H9717" s="17"/>
      <c r="K9717" s="17"/>
      <c r="N9717" s="17"/>
    </row>
    <row r="9718">
      <c r="B9718" s="11">
        <f>IFERROR(__xludf.DUMMYFUNCTION("""COMPUTED_VALUE"""),32421.0)</f>
        <v>32421</v>
      </c>
      <c r="C9718" s="9">
        <f>IFERROR(__xludf.DUMMYFUNCTION("""COMPUTED_VALUE"""),8.87)</f>
        <v>8.87</v>
      </c>
      <c r="H9718" s="17"/>
      <c r="K9718" s="17"/>
      <c r="N9718" s="17"/>
    </row>
    <row r="9719">
      <c r="B9719" s="11">
        <f>IFERROR(__xludf.DUMMYFUNCTION("""COMPUTED_VALUE"""),32420.0)</f>
        <v>32420</v>
      </c>
      <c r="C9719" s="9">
        <f>IFERROR(__xludf.DUMMYFUNCTION("""COMPUTED_VALUE"""),8.87)</f>
        <v>8.87</v>
      </c>
      <c r="H9719" s="17"/>
      <c r="K9719" s="17"/>
      <c r="N9719" s="17"/>
    </row>
    <row r="9720">
      <c r="B9720" s="11">
        <f>IFERROR(__xludf.DUMMYFUNCTION("""COMPUTED_VALUE"""),32419.0)</f>
        <v>32419</v>
      </c>
      <c r="C9720" s="9">
        <f>IFERROR(__xludf.DUMMYFUNCTION("""COMPUTED_VALUE"""),8.84)</f>
        <v>8.84</v>
      </c>
      <c r="H9720" s="17"/>
      <c r="K9720" s="17"/>
      <c r="N9720" s="17"/>
    </row>
    <row r="9721">
      <c r="B9721" s="11">
        <f>IFERROR(__xludf.DUMMYFUNCTION("""COMPUTED_VALUE"""),32416.0)</f>
        <v>32416</v>
      </c>
      <c r="C9721" s="9">
        <f>IFERROR(__xludf.DUMMYFUNCTION("""COMPUTED_VALUE"""),8.87)</f>
        <v>8.87</v>
      </c>
      <c r="H9721" s="17"/>
      <c r="K9721" s="17"/>
      <c r="N9721" s="17"/>
    </row>
    <row r="9722">
      <c r="B9722" s="11">
        <f>IFERROR(__xludf.DUMMYFUNCTION("""COMPUTED_VALUE"""),32415.0)</f>
        <v>32415</v>
      </c>
      <c r="C9722" s="9">
        <f>IFERROR(__xludf.DUMMYFUNCTION("""COMPUTED_VALUE"""),8.98)</f>
        <v>8.98</v>
      </c>
      <c r="H9722" s="17"/>
      <c r="K9722" s="17"/>
      <c r="N9722" s="17"/>
    </row>
    <row r="9723">
      <c r="B9723" s="11">
        <f>IFERROR(__xludf.DUMMYFUNCTION("""COMPUTED_VALUE"""),32414.0)</f>
        <v>32414</v>
      </c>
      <c r="C9723" s="9">
        <f>IFERROR(__xludf.DUMMYFUNCTION("""COMPUTED_VALUE"""),9.06)</f>
        <v>9.06</v>
      </c>
      <c r="H9723" s="17"/>
      <c r="K9723" s="17"/>
      <c r="N9723" s="17"/>
    </row>
    <row r="9724">
      <c r="B9724" s="11">
        <f>IFERROR(__xludf.DUMMYFUNCTION("""COMPUTED_VALUE"""),32413.0)</f>
        <v>32413</v>
      </c>
      <c r="C9724" s="9">
        <f>IFERROR(__xludf.DUMMYFUNCTION("""COMPUTED_VALUE"""),9.04)</f>
        <v>9.04</v>
      </c>
      <c r="H9724" s="17"/>
      <c r="K9724" s="17"/>
      <c r="N9724" s="17"/>
    </row>
    <row r="9725">
      <c r="B9725" s="11">
        <f>IFERROR(__xludf.DUMMYFUNCTION("""COMPUTED_VALUE"""),32412.0)</f>
        <v>32412</v>
      </c>
      <c r="C9725" s="9">
        <f>IFERROR(__xludf.DUMMYFUNCTION("""COMPUTED_VALUE"""),9.0)</f>
        <v>9</v>
      </c>
      <c r="H9725" s="17"/>
      <c r="K9725" s="17"/>
      <c r="N9725" s="17"/>
    </row>
    <row r="9726">
      <c r="B9726" s="11">
        <f>IFERROR(__xludf.DUMMYFUNCTION("""COMPUTED_VALUE"""),32409.0)</f>
        <v>32409</v>
      </c>
      <c r="C9726" s="9">
        <f>IFERROR(__xludf.DUMMYFUNCTION("""COMPUTED_VALUE"""),8.97)</f>
        <v>8.97</v>
      </c>
      <c r="H9726" s="17"/>
      <c r="K9726" s="17"/>
      <c r="N9726" s="17"/>
    </row>
    <row r="9727">
      <c r="B9727" s="11">
        <f>IFERROR(__xludf.DUMMYFUNCTION("""COMPUTED_VALUE"""),32408.0)</f>
        <v>32408</v>
      </c>
      <c r="C9727" s="9">
        <f>IFERROR(__xludf.DUMMYFUNCTION("""COMPUTED_VALUE"""),8.95)</f>
        <v>8.95</v>
      </c>
      <c r="H9727" s="17"/>
      <c r="K9727" s="17"/>
      <c r="N9727" s="17"/>
    </row>
    <row r="9728">
      <c r="B9728" s="11">
        <f>IFERROR(__xludf.DUMMYFUNCTION("""COMPUTED_VALUE"""),32407.0)</f>
        <v>32407</v>
      </c>
      <c r="C9728" s="9">
        <f>IFERROR(__xludf.DUMMYFUNCTION("""COMPUTED_VALUE"""),8.93)</f>
        <v>8.93</v>
      </c>
      <c r="H9728" s="17"/>
      <c r="K9728" s="17"/>
      <c r="N9728" s="17"/>
    </row>
    <row r="9729">
      <c r="B9729" s="11">
        <f>IFERROR(__xludf.DUMMYFUNCTION("""COMPUTED_VALUE"""),32406.0)</f>
        <v>32406</v>
      </c>
      <c r="C9729" s="9">
        <f>IFERROR(__xludf.DUMMYFUNCTION("""COMPUTED_VALUE"""),8.97)</f>
        <v>8.97</v>
      </c>
      <c r="H9729" s="17"/>
      <c r="K9729" s="17"/>
      <c r="N9729" s="17"/>
    </row>
    <row r="9730">
      <c r="B9730" s="11">
        <f>IFERROR(__xludf.DUMMYFUNCTION("""COMPUTED_VALUE"""),32405.0)</f>
        <v>32405</v>
      </c>
      <c r="C9730" s="9">
        <f>IFERROR(__xludf.DUMMYFUNCTION("""COMPUTED_VALUE"""),8.97)</f>
        <v>8.97</v>
      </c>
      <c r="H9730" s="17"/>
      <c r="K9730" s="17"/>
      <c r="N9730" s="17"/>
    </row>
    <row r="9731">
      <c r="B9731" s="11">
        <f>IFERROR(__xludf.DUMMYFUNCTION("""COMPUTED_VALUE"""),32402.0)</f>
        <v>32402</v>
      </c>
      <c r="C9731" s="9">
        <f>IFERROR(__xludf.DUMMYFUNCTION("""COMPUTED_VALUE"""),8.93)</f>
        <v>8.93</v>
      </c>
      <c r="H9731" s="17"/>
      <c r="K9731" s="17"/>
      <c r="N9731" s="17"/>
    </row>
    <row r="9732">
      <c r="B9732" s="11">
        <f>IFERROR(__xludf.DUMMYFUNCTION("""COMPUTED_VALUE"""),32401.0)</f>
        <v>32401</v>
      </c>
      <c r="C9732" s="9">
        <f>IFERROR(__xludf.DUMMYFUNCTION("""COMPUTED_VALUE"""),8.91)</f>
        <v>8.91</v>
      </c>
      <c r="H9732" s="17"/>
      <c r="K9732" s="17"/>
      <c r="N9732" s="17"/>
    </row>
    <row r="9733">
      <c r="B9733" s="11">
        <f>IFERROR(__xludf.DUMMYFUNCTION("""COMPUTED_VALUE"""),32400.0)</f>
        <v>32400</v>
      </c>
      <c r="C9733" s="9">
        <f>IFERROR(__xludf.DUMMYFUNCTION("""COMPUTED_VALUE"""),8.88)</f>
        <v>8.88</v>
      </c>
      <c r="H9733" s="17"/>
      <c r="K9733" s="17"/>
      <c r="N9733" s="17"/>
    </row>
    <row r="9734">
      <c r="B9734" s="11">
        <f>IFERROR(__xludf.DUMMYFUNCTION("""COMPUTED_VALUE"""),32399.0)</f>
        <v>32399</v>
      </c>
      <c r="C9734" s="9">
        <f>IFERROR(__xludf.DUMMYFUNCTION("""COMPUTED_VALUE"""),8.94)</f>
        <v>8.94</v>
      </c>
      <c r="H9734" s="17"/>
      <c r="K9734" s="17"/>
      <c r="N9734" s="17"/>
    </row>
    <row r="9735">
      <c r="B9735" s="11">
        <f>IFERROR(__xludf.DUMMYFUNCTION("""COMPUTED_VALUE"""),32398.0)</f>
        <v>32398</v>
      </c>
      <c r="C9735" s="9">
        <f>IFERROR(__xludf.DUMMYFUNCTION("""COMPUTED_VALUE"""),8.97)</f>
        <v>8.97</v>
      </c>
      <c r="H9735" s="17"/>
      <c r="K9735" s="17"/>
      <c r="N9735" s="17"/>
    </row>
    <row r="9736">
      <c r="B9736" s="11">
        <f>IFERROR(__xludf.DUMMYFUNCTION("""COMPUTED_VALUE"""),32395.0)</f>
        <v>32395</v>
      </c>
      <c r="C9736" s="9">
        <f>IFERROR(__xludf.DUMMYFUNCTION("""COMPUTED_VALUE"""),8.93)</f>
        <v>8.93</v>
      </c>
      <c r="H9736" s="17"/>
      <c r="K9736" s="17"/>
      <c r="N9736" s="17"/>
    </row>
    <row r="9737">
      <c r="B9737" s="11">
        <f>IFERROR(__xludf.DUMMYFUNCTION("""COMPUTED_VALUE"""),32394.0)</f>
        <v>32394</v>
      </c>
      <c r="C9737" s="9">
        <f>IFERROR(__xludf.DUMMYFUNCTION("""COMPUTED_VALUE"""),8.99)</f>
        <v>8.99</v>
      </c>
      <c r="H9737" s="17"/>
      <c r="K9737" s="17"/>
      <c r="N9737" s="17"/>
    </row>
    <row r="9738">
      <c r="B9738" s="11">
        <f>IFERROR(__xludf.DUMMYFUNCTION("""COMPUTED_VALUE"""),32393.0)</f>
        <v>32393</v>
      </c>
      <c r="C9738" s="9">
        <f>IFERROR(__xludf.DUMMYFUNCTION("""COMPUTED_VALUE"""),8.99)</f>
        <v>8.99</v>
      </c>
      <c r="H9738" s="17"/>
      <c r="K9738" s="17"/>
      <c r="N9738" s="17"/>
    </row>
    <row r="9739">
      <c r="B9739" s="11">
        <f>IFERROR(__xludf.DUMMYFUNCTION("""COMPUTED_VALUE"""),32392.0)</f>
        <v>32392</v>
      </c>
      <c r="C9739" s="9">
        <f>IFERROR(__xludf.DUMMYFUNCTION("""COMPUTED_VALUE"""),8.99)</f>
        <v>8.99</v>
      </c>
      <c r="H9739" s="17"/>
      <c r="K9739" s="17"/>
      <c r="N9739" s="17"/>
    </row>
    <row r="9740">
      <c r="B9740" s="11">
        <f>IFERROR(__xludf.DUMMYFUNCTION("""COMPUTED_VALUE"""),32391.0)</f>
        <v>32391</v>
      </c>
      <c r="C9740" s="9"/>
      <c r="H9740" s="17"/>
      <c r="K9740" s="17"/>
      <c r="N9740" s="17"/>
    </row>
    <row r="9741">
      <c r="B9741" s="11">
        <f>IFERROR(__xludf.DUMMYFUNCTION("""COMPUTED_VALUE"""),32388.0)</f>
        <v>32388</v>
      </c>
      <c r="C9741" s="9">
        <f>IFERROR(__xludf.DUMMYFUNCTION("""COMPUTED_VALUE"""),9.0)</f>
        <v>9</v>
      </c>
      <c r="H9741" s="17"/>
      <c r="K9741" s="17"/>
      <c r="N9741" s="17"/>
    </row>
    <row r="9742">
      <c r="B9742" s="11">
        <f>IFERROR(__xludf.DUMMYFUNCTION("""COMPUTED_VALUE"""),32387.0)</f>
        <v>32387</v>
      </c>
      <c r="C9742" s="9">
        <f>IFERROR(__xludf.DUMMYFUNCTION("""COMPUTED_VALUE"""),9.25)</f>
        <v>9.25</v>
      </c>
      <c r="H9742" s="17"/>
      <c r="K9742" s="17"/>
      <c r="N9742" s="17"/>
    </row>
    <row r="9743">
      <c r="B9743" s="11">
        <f>IFERROR(__xludf.DUMMYFUNCTION("""COMPUTED_VALUE"""),32386.0)</f>
        <v>32386</v>
      </c>
      <c r="C9743" s="9">
        <f>IFERROR(__xludf.DUMMYFUNCTION("""COMPUTED_VALUE"""),9.25)</f>
        <v>9.25</v>
      </c>
      <c r="H9743" s="17"/>
      <c r="K9743" s="17"/>
      <c r="N9743" s="17"/>
    </row>
    <row r="9744">
      <c r="B9744" s="11">
        <f>IFERROR(__xludf.DUMMYFUNCTION("""COMPUTED_VALUE"""),32385.0)</f>
        <v>32385</v>
      </c>
      <c r="C9744" s="9">
        <f>IFERROR(__xludf.DUMMYFUNCTION("""COMPUTED_VALUE"""),9.27)</f>
        <v>9.27</v>
      </c>
      <c r="H9744" s="17"/>
      <c r="K9744" s="17"/>
      <c r="N9744" s="17"/>
    </row>
    <row r="9745">
      <c r="B9745" s="11">
        <f>IFERROR(__xludf.DUMMYFUNCTION("""COMPUTED_VALUE"""),32384.0)</f>
        <v>32384</v>
      </c>
      <c r="C9745" s="9">
        <f>IFERROR(__xludf.DUMMYFUNCTION("""COMPUTED_VALUE"""),9.3)</f>
        <v>9.3</v>
      </c>
      <c r="H9745" s="17"/>
      <c r="K9745" s="17"/>
      <c r="N9745" s="17"/>
    </row>
    <row r="9746">
      <c r="B9746" s="11">
        <f>IFERROR(__xludf.DUMMYFUNCTION("""COMPUTED_VALUE"""),32381.0)</f>
        <v>32381</v>
      </c>
      <c r="C9746" s="9">
        <f>IFERROR(__xludf.DUMMYFUNCTION("""COMPUTED_VALUE"""),9.38)</f>
        <v>9.38</v>
      </c>
      <c r="H9746" s="17"/>
      <c r="K9746" s="17"/>
      <c r="N9746" s="17"/>
    </row>
    <row r="9747">
      <c r="B9747" s="11">
        <f>IFERROR(__xludf.DUMMYFUNCTION("""COMPUTED_VALUE"""),32380.0)</f>
        <v>32380</v>
      </c>
      <c r="C9747" s="9">
        <f>IFERROR(__xludf.DUMMYFUNCTION("""COMPUTED_VALUE"""),9.41)</f>
        <v>9.41</v>
      </c>
      <c r="H9747" s="17"/>
      <c r="K9747" s="17"/>
      <c r="N9747" s="17"/>
    </row>
    <row r="9748">
      <c r="B9748" s="11">
        <f>IFERROR(__xludf.DUMMYFUNCTION("""COMPUTED_VALUE"""),32379.0)</f>
        <v>32379</v>
      </c>
      <c r="C9748" s="9">
        <f>IFERROR(__xludf.DUMMYFUNCTION("""COMPUTED_VALUE"""),9.34)</f>
        <v>9.34</v>
      </c>
      <c r="H9748" s="17"/>
      <c r="K9748" s="17"/>
      <c r="N9748" s="17"/>
    </row>
    <row r="9749">
      <c r="B9749" s="11">
        <f>IFERROR(__xludf.DUMMYFUNCTION("""COMPUTED_VALUE"""),32378.0)</f>
        <v>32378</v>
      </c>
      <c r="C9749" s="9">
        <f>IFERROR(__xludf.DUMMYFUNCTION("""COMPUTED_VALUE"""),9.32)</f>
        <v>9.32</v>
      </c>
      <c r="H9749" s="17"/>
      <c r="K9749" s="17"/>
      <c r="N9749" s="17"/>
    </row>
    <row r="9750">
      <c r="B9750" s="11">
        <f>IFERROR(__xludf.DUMMYFUNCTION("""COMPUTED_VALUE"""),32377.0)</f>
        <v>32377</v>
      </c>
      <c r="C9750" s="9">
        <f>IFERROR(__xludf.DUMMYFUNCTION("""COMPUTED_VALUE"""),9.37)</f>
        <v>9.37</v>
      </c>
      <c r="H9750" s="17"/>
      <c r="K9750" s="17"/>
      <c r="N9750" s="17"/>
    </row>
    <row r="9751">
      <c r="B9751" s="11">
        <f>IFERROR(__xludf.DUMMYFUNCTION("""COMPUTED_VALUE"""),32374.0)</f>
        <v>32374</v>
      </c>
      <c r="C9751" s="9">
        <f>IFERROR(__xludf.DUMMYFUNCTION("""COMPUTED_VALUE"""),9.35)</f>
        <v>9.35</v>
      </c>
      <c r="H9751" s="17"/>
      <c r="K9751" s="17"/>
      <c r="N9751" s="17"/>
    </row>
    <row r="9752">
      <c r="B9752" s="11">
        <f>IFERROR(__xludf.DUMMYFUNCTION("""COMPUTED_VALUE"""),32373.0)</f>
        <v>32373</v>
      </c>
      <c r="C9752" s="9">
        <f>IFERROR(__xludf.DUMMYFUNCTION("""COMPUTED_VALUE"""),9.35)</f>
        <v>9.35</v>
      </c>
      <c r="H9752" s="17"/>
      <c r="K9752" s="17"/>
      <c r="N9752" s="17"/>
    </row>
    <row r="9753">
      <c r="B9753" s="11">
        <f>IFERROR(__xludf.DUMMYFUNCTION("""COMPUTED_VALUE"""),32372.0)</f>
        <v>32372</v>
      </c>
      <c r="C9753" s="9">
        <f>IFERROR(__xludf.DUMMYFUNCTION("""COMPUTED_VALUE"""),9.38)</f>
        <v>9.38</v>
      </c>
      <c r="H9753" s="17"/>
      <c r="K9753" s="17"/>
      <c r="N9753" s="17"/>
    </row>
    <row r="9754">
      <c r="B9754" s="11">
        <f>IFERROR(__xludf.DUMMYFUNCTION("""COMPUTED_VALUE"""),32371.0)</f>
        <v>32371</v>
      </c>
      <c r="C9754" s="9">
        <f>IFERROR(__xludf.DUMMYFUNCTION("""COMPUTED_VALUE"""),9.35)</f>
        <v>9.35</v>
      </c>
      <c r="H9754" s="17"/>
      <c r="K9754" s="17"/>
      <c r="N9754" s="17"/>
    </row>
    <row r="9755">
      <c r="B9755" s="11">
        <f>IFERROR(__xludf.DUMMYFUNCTION("""COMPUTED_VALUE"""),32370.0)</f>
        <v>32370</v>
      </c>
      <c r="C9755" s="9">
        <f>IFERROR(__xludf.DUMMYFUNCTION("""COMPUTED_VALUE"""),9.37)</f>
        <v>9.37</v>
      </c>
      <c r="H9755" s="17"/>
      <c r="K9755" s="17"/>
      <c r="N9755" s="17"/>
    </row>
    <row r="9756">
      <c r="B9756" s="11">
        <f>IFERROR(__xludf.DUMMYFUNCTION("""COMPUTED_VALUE"""),32367.0)</f>
        <v>32367</v>
      </c>
      <c r="C9756" s="9">
        <f>IFERROR(__xludf.DUMMYFUNCTION("""COMPUTED_VALUE"""),9.36)</f>
        <v>9.36</v>
      </c>
      <c r="H9756" s="17"/>
      <c r="K9756" s="17"/>
      <c r="N9756" s="17"/>
    </row>
    <row r="9757">
      <c r="B9757" s="11">
        <f>IFERROR(__xludf.DUMMYFUNCTION("""COMPUTED_VALUE"""),32366.0)</f>
        <v>32366</v>
      </c>
      <c r="C9757" s="9">
        <f>IFERROR(__xludf.DUMMYFUNCTION("""COMPUTED_VALUE"""),9.35)</f>
        <v>9.35</v>
      </c>
      <c r="H9757" s="17"/>
      <c r="K9757" s="17"/>
      <c r="N9757" s="17"/>
    </row>
    <row r="9758">
      <c r="B9758" s="11">
        <f>IFERROR(__xludf.DUMMYFUNCTION("""COMPUTED_VALUE"""),32365.0)</f>
        <v>32365</v>
      </c>
      <c r="C9758" s="9">
        <f>IFERROR(__xludf.DUMMYFUNCTION("""COMPUTED_VALUE"""),9.3)</f>
        <v>9.3</v>
      </c>
      <c r="H9758" s="17"/>
      <c r="K9758" s="17"/>
      <c r="N9758" s="17"/>
    </row>
    <row r="9759">
      <c r="B9759" s="11">
        <f>IFERROR(__xludf.DUMMYFUNCTION("""COMPUTED_VALUE"""),32364.0)</f>
        <v>32364</v>
      </c>
      <c r="C9759" s="9">
        <f>IFERROR(__xludf.DUMMYFUNCTION("""COMPUTED_VALUE"""),9.2)</f>
        <v>9.2</v>
      </c>
      <c r="H9759" s="17"/>
      <c r="K9759" s="17"/>
      <c r="N9759" s="17"/>
    </row>
    <row r="9760">
      <c r="B9760" s="11">
        <f>IFERROR(__xludf.DUMMYFUNCTION("""COMPUTED_VALUE"""),32363.0)</f>
        <v>32363</v>
      </c>
      <c r="C9760" s="9">
        <f>IFERROR(__xludf.DUMMYFUNCTION("""COMPUTED_VALUE"""),9.12)</f>
        <v>9.12</v>
      </c>
      <c r="H9760" s="17"/>
      <c r="K9760" s="17"/>
      <c r="N9760" s="17"/>
    </row>
    <row r="9761">
      <c r="B9761" s="11">
        <f>IFERROR(__xludf.DUMMYFUNCTION("""COMPUTED_VALUE"""),32360.0)</f>
        <v>32360</v>
      </c>
      <c r="C9761" s="9">
        <f>IFERROR(__xludf.DUMMYFUNCTION("""COMPUTED_VALUE"""),9.12)</f>
        <v>9.12</v>
      </c>
      <c r="H9761" s="17"/>
      <c r="K9761" s="17"/>
      <c r="N9761" s="17"/>
    </row>
    <row r="9762">
      <c r="B9762" s="11">
        <f>IFERROR(__xludf.DUMMYFUNCTION("""COMPUTED_VALUE"""),32359.0)</f>
        <v>32359</v>
      </c>
      <c r="C9762" s="9">
        <f>IFERROR(__xludf.DUMMYFUNCTION("""COMPUTED_VALUE"""),8.99)</f>
        <v>8.99</v>
      </c>
      <c r="H9762" s="17"/>
      <c r="K9762" s="17"/>
      <c r="N9762" s="17"/>
    </row>
    <row r="9763">
      <c r="B9763" s="11">
        <f>IFERROR(__xludf.DUMMYFUNCTION("""COMPUTED_VALUE"""),32358.0)</f>
        <v>32358</v>
      </c>
      <c r="C9763" s="9">
        <f>IFERROR(__xludf.DUMMYFUNCTION("""COMPUTED_VALUE"""),9.04)</f>
        <v>9.04</v>
      </c>
      <c r="H9763" s="17"/>
      <c r="K9763" s="17"/>
      <c r="N9763" s="17"/>
    </row>
    <row r="9764">
      <c r="B9764" s="11">
        <f>IFERROR(__xludf.DUMMYFUNCTION("""COMPUTED_VALUE"""),32357.0)</f>
        <v>32357</v>
      </c>
      <c r="C9764" s="9">
        <f>IFERROR(__xludf.DUMMYFUNCTION("""COMPUTED_VALUE"""),9.0)</f>
        <v>9</v>
      </c>
      <c r="H9764" s="17"/>
      <c r="K9764" s="17"/>
      <c r="N9764" s="17"/>
    </row>
    <row r="9765">
      <c r="B9765" s="11">
        <f>IFERROR(__xludf.DUMMYFUNCTION("""COMPUTED_VALUE"""),32356.0)</f>
        <v>32356</v>
      </c>
      <c r="C9765" s="9">
        <f>IFERROR(__xludf.DUMMYFUNCTION("""COMPUTED_VALUE"""),9.07)</f>
        <v>9.07</v>
      </c>
      <c r="H9765" s="17"/>
      <c r="K9765" s="17"/>
      <c r="N9765" s="17"/>
    </row>
    <row r="9766">
      <c r="B9766" s="11">
        <f>IFERROR(__xludf.DUMMYFUNCTION("""COMPUTED_VALUE"""),32353.0)</f>
        <v>32353</v>
      </c>
      <c r="C9766" s="9">
        <f>IFERROR(__xludf.DUMMYFUNCTION("""COMPUTED_VALUE"""),9.12)</f>
        <v>9.12</v>
      </c>
      <c r="H9766" s="17"/>
      <c r="K9766" s="17"/>
      <c r="N9766" s="17"/>
    </row>
    <row r="9767">
      <c r="B9767" s="11">
        <f>IFERROR(__xludf.DUMMYFUNCTION("""COMPUTED_VALUE"""),32352.0)</f>
        <v>32352</v>
      </c>
      <c r="C9767" s="9">
        <f>IFERROR(__xludf.DUMMYFUNCTION("""COMPUTED_VALUE"""),9.16)</f>
        <v>9.16</v>
      </c>
      <c r="H9767" s="17"/>
      <c r="K9767" s="17"/>
      <c r="N9767" s="17"/>
    </row>
    <row r="9768">
      <c r="B9768" s="11">
        <f>IFERROR(__xludf.DUMMYFUNCTION("""COMPUTED_VALUE"""),32351.0)</f>
        <v>32351</v>
      </c>
      <c r="C9768" s="9">
        <f>IFERROR(__xludf.DUMMYFUNCTION("""COMPUTED_VALUE"""),9.14)</f>
        <v>9.14</v>
      </c>
      <c r="H9768" s="17"/>
      <c r="K9768" s="17"/>
      <c r="N9768" s="17"/>
    </row>
    <row r="9769">
      <c r="B9769" s="11">
        <f>IFERROR(__xludf.DUMMYFUNCTION("""COMPUTED_VALUE"""),32350.0)</f>
        <v>32350</v>
      </c>
      <c r="C9769" s="9">
        <f>IFERROR(__xludf.DUMMYFUNCTION("""COMPUTED_VALUE"""),9.09)</f>
        <v>9.09</v>
      </c>
      <c r="H9769" s="17"/>
      <c r="K9769" s="17"/>
      <c r="N9769" s="17"/>
    </row>
    <row r="9770">
      <c r="B9770" s="11">
        <f>IFERROR(__xludf.DUMMYFUNCTION("""COMPUTED_VALUE"""),32349.0)</f>
        <v>32349</v>
      </c>
      <c r="C9770" s="9">
        <f>IFERROR(__xludf.DUMMYFUNCTION("""COMPUTED_VALUE"""),9.07)</f>
        <v>9.07</v>
      </c>
      <c r="H9770" s="17"/>
      <c r="K9770" s="17"/>
      <c r="N9770" s="17"/>
    </row>
    <row r="9771">
      <c r="B9771" s="11">
        <f>IFERROR(__xludf.DUMMYFUNCTION("""COMPUTED_VALUE"""),32346.0)</f>
        <v>32346</v>
      </c>
      <c r="C9771" s="9">
        <f>IFERROR(__xludf.DUMMYFUNCTION("""COMPUTED_VALUE"""),9.11)</f>
        <v>9.11</v>
      </c>
      <c r="H9771" s="17"/>
      <c r="K9771" s="17"/>
      <c r="N9771" s="17"/>
    </row>
    <row r="9772">
      <c r="B9772" s="11">
        <f>IFERROR(__xludf.DUMMYFUNCTION("""COMPUTED_VALUE"""),32345.0)</f>
        <v>32345</v>
      </c>
      <c r="C9772" s="9">
        <f>IFERROR(__xludf.DUMMYFUNCTION("""COMPUTED_VALUE"""),9.16)</f>
        <v>9.16</v>
      </c>
      <c r="H9772" s="17"/>
      <c r="K9772" s="17"/>
      <c r="N9772" s="17"/>
    </row>
    <row r="9773">
      <c r="B9773" s="11">
        <f>IFERROR(__xludf.DUMMYFUNCTION("""COMPUTED_VALUE"""),32344.0)</f>
        <v>32344</v>
      </c>
      <c r="C9773" s="9">
        <f>IFERROR(__xludf.DUMMYFUNCTION("""COMPUTED_VALUE"""),9.11)</f>
        <v>9.11</v>
      </c>
      <c r="H9773" s="17"/>
      <c r="K9773" s="17"/>
      <c r="N9773" s="17"/>
    </row>
    <row r="9774">
      <c r="B9774" s="11">
        <f>IFERROR(__xludf.DUMMYFUNCTION("""COMPUTED_VALUE"""),32343.0)</f>
        <v>32343</v>
      </c>
      <c r="C9774" s="9">
        <f>IFERROR(__xludf.DUMMYFUNCTION("""COMPUTED_VALUE"""),9.1)</f>
        <v>9.1</v>
      </c>
      <c r="H9774" s="17"/>
      <c r="K9774" s="17"/>
      <c r="N9774" s="17"/>
    </row>
    <row r="9775">
      <c r="B9775" s="11">
        <f>IFERROR(__xludf.DUMMYFUNCTION("""COMPUTED_VALUE"""),32342.0)</f>
        <v>32342</v>
      </c>
      <c r="C9775" s="9">
        <f>IFERROR(__xludf.DUMMYFUNCTION("""COMPUTED_VALUE"""),9.15)</f>
        <v>9.15</v>
      </c>
      <c r="H9775" s="17"/>
      <c r="K9775" s="17"/>
      <c r="N9775" s="17"/>
    </row>
    <row r="9776">
      <c r="B9776" s="11">
        <f>IFERROR(__xludf.DUMMYFUNCTION("""COMPUTED_VALUE"""),32339.0)</f>
        <v>32339</v>
      </c>
      <c r="C9776" s="9">
        <f>IFERROR(__xludf.DUMMYFUNCTION("""COMPUTED_VALUE"""),9.08)</f>
        <v>9.08</v>
      </c>
      <c r="H9776" s="17"/>
      <c r="K9776" s="17"/>
      <c r="N9776" s="17"/>
    </row>
    <row r="9777">
      <c r="B9777" s="11">
        <f>IFERROR(__xludf.DUMMYFUNCTION("""COMPUTED_VALUE"""),32338.0)</f>
        <v>32338</v>
      </c>
      <c r="C9777" s="9">
        <f>IFERROR(__xludf.DUMMYFUNCTION("""COMPUTED_VALUE"""),9.12)</f>
        <v>9.12</v>
      </c>
      <c r="H9777" s="17"/>
      <c r="K9777" s="17"/>
      <c r="N9777" s="17"/>
    </row>
    <row r="9778">
      <c r="B9778" s="11">
        <f>IFERROR(__xludf.DUMMYFUNCTION("""COMPUTED_VALUE"""),32337.0)</f>
        <v>32337</v>
      </c>
      <c r="C9778" s="9">
        <f>IFERROR(__xludf.DUMMYFUNCTION("""COMPUTED_VALUE"""),9.12)</f>
        <v>9.12</v>
      </c>
      <c r="H9778" s="17"/>
      <c r="K9778" s="17"/>
      <c r="N9778" s="17"/>
    </row>
    <row r="9779">
      <c r="B9779" s="11">
        <f>IFERROR(__xludf.DUMMYFUNCTION("""COMPUTED_VALUE"""),32336.0)</f>
        <v>32336</v>
      </c>
      <c r="C9779" s="9">
        <f>IFERROR(__xludf.DUMMYFUNCTION("""COMPUTED_VALUE"""),9.08)</f>
        <v>9.08</v>
      </c>
      <c r="H9779" s="17"/>
      <c r="K9779" s="17"/>
      <c r="N9779" s="17"/>
    </row>
    <row r="9780">
      <c r="B9780" s="11">
        <f>IFERROR(__xludf.DUMMYFUNCTION("""COMPUTED_VALUE"""),32335.0)</f>
        <v>32335</v>
      </c>
      <c r="C9780" s="9">
        <f>IFERROR(__xludf.DUMMYFUNCTION("""COMPUTED_VALUE"""),9.02)</f>
        <v>9.02</v>
      </c>
      <c r="H9780" s="17"/>
      <c r="K9780" s="17"/>
      <c r="N9780" s="17"/>
    </row>
    <row r="9781">
      <c r="B9781" s="11">
        <f>IFERROR(__xludf.DUMMYFUNCTION("""COMPUTED_VALUE"""),32332.0)</f>
        <v>32332</v>
      </c>
      <c r="C9781" s="9">
        <f>IFERROR(__xludf.DUMMYFUNCTION("""COMPUTED_VALUE"""),9.04)</f>
        <v>9.04</v>
      </c>
      <c r="H9781" s="17"/>
      <c r="K9781" s="17"/>
      <c r="N9781" s="17"/>
    </row>
    <row r="9782">
      <c r="B9782" s="11">
        <f>IFERROR(__xludf.DUMMYFUNCTION("""COMPUTED_VALUE"""),32331.0)</f>
        <v>32331</v>
      </c>
      <c r="C9782" s="9">
        <f>IFERROR(__xludf.DUMMYFUNCTION("""COMPUTED_VALUE"""),8.95)</f>
        <v>8.95</v>
      </c>
      <c r="H9782" s="17"/>
      <c r="K9782" s="17"/>
      <c r="N9782" s="17"/>
    </row>
    <row r="9783">
      <c r="B9783" s="11">
        <f>IFERROR(__xludf.DUMMYFUNCTION("""COMPUTED_VALUE"""),32330.0)</f>
        <v>32330</v>
      </c>
      <c r="C9783" s="9">
        <f>IFERROR(__xludf.DUMMYFUNCTION("""COMPUTED_VALUE"""),8.91)</f>
        <v>8.91</v>
      </c>
      <c r="H9783" s="17"/>
      <c r="K9783" s="17"/>
      <c r="N9783" s="17"/>
    </row>
    <row r="9784">
      <c r="B9784" s="11">
        <f>IFERROR(__xludf.DUMMYFUNCTION("""COMPUTED_VALUE"""),32329.0)</f>
        <v>32329</v>
      </c>
      <c r="C9784" s="9">
        <f>IFERROR(__xludf.DUMMYFUNCTION("""COMPUTED_VALUE"""),8.82)</f>
        <v>8.82</v>
      </c>
      <c r="H9784" s="17"/>
      <c r="K9784" s="17"/>
      <c r="N9784" s="17"/>
    </row>
    <row r="9785">
      <c r="B9785" s="11">
        <f>IFERROR(__xludf.DUMMYFUNCTION("""COMPUTED_VALUE"""),32328.0)</f>
        <v>32328</v>
      </c>
      <c r="C9785" s="9"/>
      <c r="H9785" s="17"/>
      <c r="K9785" s="17"/>
      <c r="N9785" s="17"/>
    </row>
    <row r="9786">
      <c r="B9786" s="11">
        <f>IFERROR(__xludf.DUMMYFUNCTION("""COMPUTED_VALUE"""),32325.0)</f>
        <v>32325</v>
      </c>
      <c r="C9786" s="9">
        <f>IFERROR(__xludf.DUMMYFUNCTION("""COMPUTED_VALUE"""),8.77)</f>
        <v>8.77</v>
      </c>
      <c r="H9786" s="17"/>
      <c r="K9786" s="17"/>
      <c r="N9786" s="17"/>
    </row>
    <row r="9787">
      <c r="B9787" s="11">
        <f>IFERROR(__xludf.DUMMYFUNCTION("""COMPUTED_VALUE"""),32324.0)</f>
        <v>32324</v>
      </c>
      <c r="C9787" s="9">
        <f>IFERROR(__xludf.DUMMYFUNCTION("""COMPUTED_VALUE"""),8.82)</f>
        <v>8.82</v>
      </c>
      <c r="H9787" s="17"/>
      <c r="K9787" s="17"/>
      <c r="N9787" s="17"/>
    </row>
    <row r="9788">
      <c r="B9788" s="11">
        <f>IFERROR(__xludf.DUMMYFUNCTION("""COMPUTED_VALUE"""),32323.0)</f>
        <v>32323</v>
      </c>
      <c r="C9788" s="9">
        <f>IFERROR(__xludf.DUMMYFUNCTION("""COMPUTED_VALUE"""),8.88)</f>
        <v>8.88</v>
      </c>
      <c r="H9788" s="17"/>
      <c r="K9788" s="17"/>
      <c r="N9788" s="17"/>
    </row>
    <row r="9789">
      <c r="B9789" s="11">
        <f>IFERROR(__xludf.DUMMYFUNCTION("""COMPUTED_VALUE"""),32322.0)</f>
        <v>32322</v>
      </c>
      <c r="C9789" s="9">
        <f>IFERROR(__xludf.DUMMYFUNCTION("""COMPUTED_VALUE"""),8.87)</f>
        <v>8.87</v>
      </c>
      <c r="H9789" s="17"/>
      <c r="K9789" s="17"/>
      <c r="N9789" s="17"/>
    </row>
    <row r="9790">
      <c r="B9790" s="11">
        <f>IFERROR(__xludf.DUMMYFUNCTION("""COMPUTED_VALUE"""),32321.0)</f>
        <v>32321</v>
      </c>
      <c r="C9790" s="9">
        <f>IFERROR(__xludf.DUMMYFUNCTION("""COMPUTED_VALUE"""),8.94)</f>
        <v>8.94</v>
      </c>
      <c r="H9790" s="17"/>
      <c r="K9790" s="17"/>
      <c r="N9790" s="17"/>
    </row>
    <row r="9791">
      <c r="B9791" s="11">
        <f>IFERROR(__xludf.DUMMYFUNCTION("""COMPUTED_VALUE"""),32318.0)</f>
        <v>32318</v>
      </c>
      <c r="C9791" s="9">
        <f>IFERROR(__xludf.DUMMYFUNCTION("""COMPUTED_VALUE"""),8.85)</f>
        <v>8.85</v>
      </c>
      <c r="H9791" s="17"/>
      <c r="K9791" s="17"/>
      <c r="N9791" s="17"/>
    </row>
    <row r="9792">
      <c r="B9792" s="11">
        <f>IFERROR(__xludf.DUMMYFUNCTION("""COMPUTED_VALUE"""),32317.0)</f>
        <v>32317</v>
      </c>
      <c r="C9792" s="9">
        <f>IFERROR(__xludf.DUMMYFUNCTION("""COMPUTED_VALUE"""),8.88)</f>
        <v>8.88</v>
      </c>
      <c r="H9792" s="17"/>
      <c r="K9792" s="17"/>
      <c r="N9792" s="17"/>
    </row>
    <row r="9793">
      <c r="B9793" s="11">
        <f>IFERROR(__xludf.DUMMYFUNCTION("""COMPUTED_VALUE"""),32316.0)</f>
        <v>32316</v>
      </c>
      <c r="C9793" s="9">
        <f>IFERROR(__xludf.DUMMYFUNCTION("""COMPUTED_VALUE"""),8.9)</f>
        <v>8.9</v>
      </c>
      <c r="H9793" s="17"/>
      <c r="K9793" s="17"/>
      <c r="N9793" s="17"/>
    </row>
    <row r="9794">
      <c r="B9794" s="11">
        <f>IFERROR(__xludf.DUMMYFUNCTION("""COMPUTED_VALUE"""),32315.0)</f>
        <v>32315</v>
      </c>
      <c r="C9794" s="9">
        <f>IFERROR(__xludf.DUMMYFUNCTION("""COMPUTED_VALUE"""),9.03)</f>
        <v>9.03</v>
      </c>
      <c r="H9794" s="17"/>
      <c r="K9794" s="17"/>
      <c r="N9794" s="17"/>
    </row>
    <row r="9795">
      <c r="B9795" s="11">
        <f>IFERROR(__xludf.DUMMYFUNCTION("""COMPUTED_VALUE"""),32314.0)</f>
        <v>32314</v>
      </c>
      <c r="C9795" s="9">
        <f>IFERROR(__xludf.DUMMYFUNCTION("""COMPUTED_VALUE"""),9.02)</f>
        <v>9.02</v>
      </c>
      <c r="H9795" s="17"/>
      <c r="K9795" s="17"/>
      <c r="N9795" s="17"/>
    </row>
    <row r="9796">
      <c r="B9796" s="11">
        <f>IFERROR(__xludf.DUMMYFUNCTION("""COMPUTED_VALUE"""),32311.0)</f>
        <v>32311</v>
      </c>
      <c r="C9796" s="9">
        <f>IFERROR(__xludf.DUMMYFUNCTION("""COMPUTED_VALUE"""),9.02)</f>
        <v>9.02</v>
      </c>
      <c r="H9796" s="17"/>
      <c r="K9796" s="17"/>
      <c r="N9796" s="17"/>
    </row>
    <row r="9797">
      <c r="B9797" s="11">
        <f>IFERROR(__xludf.DUMMYFUNCTION("""COMPUTED_VALUE"""),32310.0)</f>
        <v>32310</v>
      </c>
      <c r="C9797" s="9">
        <f>IFERROR(__xludf.DUMMYFUNCTION("""COMPUTED_VALUE"""),8.89)</f>
        <v>8.89</v>
      </c>
      <c r="H9797" s="17"/>
      <c r="K9797" s="17"/>
      <c r="N9797" s="17"/>
    </row>
    <row r="9798">
      <c r="B9798" s="11">
        <f>IFERROR(__xludf.DUMMYFUNCTION("""COMPUTED_VALUE"""),32309.0)</f>
        <v>32309</v>
      </c>
      <c r="C9798" s="9">
        <f>IFERROR(__xludf.DUMMYFUNCTION("""COMPUTED_VALUE"""),8.71)</f>
        <v>8.71</v>
      </c>
      <c r="H9798" s="17"/>
      <c r="K9798" s="17"/>
      <c r="N9798" s="17"/>
    </row>
    <row r="9799">
      <c r="B9799" s="11">
        <f>IFERROR(__xludf.DUMMYFUNCTION("""COMPUTED_VALUE"""),32308.0)</f>
        <v>32308</v>
      </c>
      <c r="C9799" s="9">
        <f>IFERROR(__xludf.DUMMYFUNCTION("""COMPUTED_VALUE"""),8.69)</f>
        <v>8.69</v>
      </c>
      <c r="H9799" s="17"/>
      <c r="K9799" s="17"/>
      <c r="N9799" s="17"/>
    </row>
    <row r="9800">
      <c r="B9800" s="11">
        <f>IFERROR(__xludf.DUMMYFUNCTION("""COMPUTED_VALUE"""),32307.0)</f>
        <v>32307</v>
      </c>
      <c r="C9800" s="9">
        <f>IFERROR(__xludf.DUMMYFUNCTION("""COMPUTED_VALUE"""),8.91)</f>
        <v>8.91</v>
      </c>
      <c r="H9800" s="17"/>
      <c r="K9800" s="17"/>
      <c r="N9800" s="17"/>
    </row>
    <row r="9801">
      <c r="B9801" s="11">
        <f>IFERROR(__xludf.DUMMYFUNCTION("""COMPUTED_VALUE"""),32304.0)</f>
        <v>32304</v>
      </c>
      <c r="C9801" s="9">
        <f>IFERROR(__xludf.DUMMYFUNCTION("""COMPUTED_VALUE"""),8.92)</f>
        <v>8.92</v>
      </c>
      <c r="H9801" s="17"/>
      <c r="K9801" s="17"/>
      <c r="N9801" s="17"/>
    </row>
    <row r="9802">
      <c r="B9802" s="11">
        <f>IFERROR(__xludf.DUMMYFUNCTION("""COMPUTED_VALUE"""),32303.0)</f>
        <v>32303</v>
      </c>
      <c r="C9802" s="9">
        <f>IFERROR(__xludf.DUMMYFUNCTION("""COMPUTED_VALUE"""),8.96)</f>
        <v>8.96</v>
      </c>
      <c r="H9802" s="17"/>
      <c r="K9802" s="17"/>
      <c r="N9802" s="17"/>
    </row>
    <row r="9803">
      <c r="B9803" s="11">
        <f>IFERROR(__xludf.DUMMYFUNCTION("""COMPUTED_VALUE"""),32302.0)</f>
        <v>32302</v>
      </c>
      <c r="C9803" s="9">
        <f>IFERROR(__xludf.DUMMYFUNCTION("""COMPUTED_VALUE"""),8.92)</f>
        <v>8.92</v>
      </c>
      <c r="H9803" s="17"/>
      <c r="K9803" s="17"/>
      <c r="N9803" s="17"/>
    </row>
    <row r="9804">
      <c r="B9804" s="11">
        <f>IFERROR(__xludf.DUMMYFUNCTION("""COMPUTED_VALUE"""),32301.0)</f>
        <v>32301</v>
      </c>
      <c r="C9804" s="9">
        <f>IFERROR(__xludf.DUMMYFUNCTION("""COMPUTED_VALUE"""),9.02)</f>
        <v>9.02</v>
      </c>
      <c r="H9804" s="17"/>
      <c r="K9804" s="17"/>
      <c r="N9804" s="17"/>
    </row>
    <row r="9805">
      <c r="B9805" s="11">
        <f>IFERROR(__xludf.DUMMYFUNCTION("""COMPUTED_VALUE"""),32300.0)</f>
        <v>32300</v>
      </c>
      <c r="C9805" s="9">
        <f>IFERROR(__xludf.DUMMYFUNCTION("""COMPUTED_VALUE"""),8.97)</f>
        <v>8.97</v>
      </c>
      <c r="H9805" s="17"/>
      <c r="K9805" s="17"/>
      <c r="N9805" s="17"/>
    </row>
    <row r="9806">
      <c r="B9806" s="11">
        <f>IFERROR(__xludf.DUMMYFUNCTION("""COMPUTED_VALUE"""),32297.0)</f>
        <v>32297</v>
      </c>
      <c r="C9806" s="9">
        <f>IFERROR(__xludf.DUMMYFUNCTION("""COMPUTED_VALUE"""),8.97)</f>
        <v>8.97</v>
      </c>
      <c r="H9806" s="17"/>
      <c r="K9806" s="17"/>
      <c r="N9806" s="17"/>
    </row>
    <row r="9807">
      <c r="B9807" s="11">
        <f>IFERROR(__xludf.DUMMYFUNCTION("""COMPUTED_VALUE"""),32296.0)</f>
        <v>32296</v>
      </c>
      <c r="C9807" s="9">
        <f>IFERROR(__xludf.DUMMYFUNCTION("""COMPUTED_VALUE"""),9.07)</f>
        <v>9.07</v>
      </c>
      <c r="H9807" s="17"/>
      <c r="K9807" s="17"/>
      <c r="N9807" s="17"/>
    </row>
    <row r="9808">
      <c r="B9808" s="11">
        <f>IFERROR(__xludf.DUMMYFUNCTION("""COMPUTED_VALUE"""),32295.0)</f>
        <v>32295</v>
      </c>
      <c r="C9808" s="9">
        <f>IFERROR(__xludf.DUMMYFUNCTION("""COMPUTED_VALUE"""),9.03)</f>
        <v>9.03</v>
      </c>
      <c r="H9808" s="17"/>
      <c r="K9808" s="17"/>
      <c r="N9808" s="17"/>
    </row>
    <row r="9809">
      <c r="B9809" s="11">
        <f>IFERROR(__xludf.DUMMYFUNCTION("""COMPUTED_VALUE"""),32294.0)</f>
        <v>32294</v>
      </c>
      <c r="C9809" s="9">
        <f>IFERROR(__xludf.DUMMYFUNCTION("""COMPUTED_VALUE"""),9.2)</f>
        <v>9.2</v>
      </c>
      <c r="H9809" s="17"/>
      <c r="K9809" s="17"/>
      <c r="N9809" s="17"/>
    </row>
    <row r="9810">
      <c r="B9810" s="11">
        <f>IFERROR(__xludf.DUMMYFUNCTION("""COMPUTED_VALUE"""),32293.0)</f>
        <v>32293</v>
      </c>
      <c r="C9810" s="9"/>
      <c r="H9810" s="17"/>
      <c r="K9810" s="17"/>
      <c r="N9810" s="17"/>
    </row>
    <row r="9811">
      <c r="B9811" s="11">
        <f>IFERROR(__xludf.DUMMYFUNCTION("""COMPUTED_VALUE"""),32290.0)</f>
        <v>32290</v>
      </c>
      <c r="C9811" s="9">
        <f>IFERROR(__xludf.DUMMYFUNCTION("""COMPUTED_VALUE"""),9.24)</f>
        <v>9.24</v>
      </c>
      <c r="H9811" s="17"/>
      <c r="K9811" s="17"/>
      <c r="N9811" s="17"/>
    </row>
    <row r="9812">
      <c r="B9812" s="11">
        <f>IFERROR(__xludf.DUMMYFUNCTION("""COMPUTED_VALUE"""),32289.0)</f>
        <v>32289</v>
      </c>
      <c r="C9812" s="9">
        <f>IFERROR(__xludf.DUMMYFUNCTION("""COMPUTED_VALUE"""),9.21)</f>
        <v>9.21</v>
      </c>
      <c r="H9812" s="17"/>
      <c r="K9812" s="17"/>
      <c r="N9812" s="17"/>
    </row>
    <row r="9813">
      <c r="B9813" s="11">
        <f>IFERROR(__xludf.DUMMYFUNCTION("""COMPUTED_VALUE"""),32288.0)</f>
        <v>32288</v>
      </c>
      <c r="C9813" s="9">
        <f>IFERROR(__xludf.DUMMYFUNCTION("""COMPUTED_VALUE"""),9.2)</f>
        <v>9.2</v>
      </c>
      <c r="H9813" s="17"/>
      <c r="K9813" s="17"/>
      <c r="N9813" s="17"/>
    </row>
    <row r="9814">
      <c r="B9814" s="11">
        <f>IFERROR(__xludf.DUMMYFUNCTION("""COMPUTED_VALUE"""),32287.0)</f>
        <v>32287</v>
      </c>
      <c r="C9814" s="9">
        <f>IFERROR(__xludf.DUMMYFUNCTION("""COMPUTED_VALUE"""),9.22)</f>
        <v>9.22</v>
      </c>
      <c r="H9814" s="17"/>
      <c r="K9814" s="17"/>
      <c r="N9814" s="17"/>
    </row>
    <row r="9815">
      <c r="B9815" s="11">
        <f>IFERROR(__xludf.DUMMYFUNCTION("""COMPUTED_VALUE"""),32286.0)</f>
        <v>32286</v>
      </c>
      <c r="C9815" s="9">
        <f>IFERROR(__xludf.DUMMYFUNCTION("""COMPUTED_VALUE"""),9.23)</f>
        <v>9.23</v>
      </c>
      <c r="H9815" s="17"/>
      <c r="K9815" s="17"/>
      <c r="N9815" s="17"/>
    </row>
    <row r="9816">
      <c r="B9816" s="11">
        <f>IFERROR(__xludf.DUMMYFUNCTION("""COMPUTED_VALUE"""),32283.0)</f>
        <v>32283</v>
      </c>
      <c r="C9816" s="9">
        <f>IFERROR(__xludf.DUMMYFUNCTION("""COMPUTED_VALUE"""),9.22)</f>
        <v>9.22</v>
      </c>
      <c r="H9816" s="17"/>
      <c r="K9816" s="17"/>
      <c r="N9816" s="17"/>
    </row>
    <row r="9817">
      <c r="B9817" s="11">
        <f>IFERROR(__xludf.DUMMYFUNCTION("""COMPUTED_VALUE"""),32282.0)</f>
        <v>32282</v>
      </c>
      <c r="C9817" s="9">
        <f>IFERROR(__xludf.DUMMYFUNCTION("""COMPUTED_VALUE"""),9.18)</f>
        <v>9.18</v>
      </c>
      <c r="H9817" s="17"/>
      <c r="K9817" s="17"/>
      <c r="N9817" s="17"/>
    </row>
    <row r="9818">
      <c r="B9818" s="11">
        <f>IFERROR(__xludf.DUMMYFUNCTION("""COMPUTED_VALUE"""),32281.0)</f>
        <v>32281</v>
      </c>
      <c r="C9818" s="9">
        <f>IFERROR(__xludf.DUMMYFUNCTION("""COMPUTED_VALUE"""),9.19)</f>
        <v>9.19</v>
      </c>
      <c r="H9818" s="17"/>
      <c r="K9818" s="17"/>
      <c r="N9818" s="17"/>
    </row>
    <row r="9819">
      <c r="B9819" s="11">
        <f>IFERROR(__xludf.DUMMYFUNCTION("""COMPUTED_VALUE"""),32280.0)</f>
        <v>32280</v>
      </c>
      <c r="C9819" s="9">
        <f>IFERROR(__xludf.DUMMYFUNCTION("""COMPUTED_VALUE"""),9.12)</f>
        <v>9.12</v>
      </c>
      <c r="H9819" s="17"/>
      <c r="K9819" s="17"/>
      <c r="N9819" s="17"/>
    </row>
    <row r="9820">
      <c r="B9820" s="11">
        <f>IFERROR(__xludf.DUMMYFUNCTION("""COMPUTED_VALUE"""),32279.0)</f>
        <v>32279</v>
      </c>
      <c r="C9820" s="9">
        <f>IFERROR(__xludf.DUMMYFUNCTION("""COMPUTED_VALUE"""),9.01)</f>
        <v>9.01</v>
      </c>
      <c r="H9820" s="17"/>
      <c r="K9820" s="17"/>
      <c r="N9820" s="17"/>
    </row>
    <row r="9821">
      <c r="B9821" s="11">
        <f>IFERROR(__xludf.DUMMYFUNCTION("""COMPUTED_VALUE"""),32276.0)</f>
        <v>32276</v>
      </c>
      <c r="C9821" s="9">
        <f>IFERROR(__xludf.DUMMYFUNCTION("""COMPUTED_VALUE"""),9.0)</f>
        <v>9</v>
      </c>
      <c r="H9821" s="17"/>
      <c r="K9821" s="17"/>
      <c r="N9821" s="17"/>
    </row>
    <row r="9822">
      <c r="B9822" s="11">
        <f>IFERROR(__xludf.DUMMYFUNCTION("""COMPUTED_VALUE"""),32275.0)</f>
        <v>32275</v>
      </c>
      <c r="C9822" s="9">
        <f>IFERROR(__xludf.DUMMYFUNCTION("""COMPUTED_VALUE"""),9.04)</f>
        <v>9.04</v>
      </c>
      <c r="H9822" s="17"/>
      <c r="K9822" s="17"/>
      <c r="N9822" s="17"/>
    </row>
    <row r="9823">
      <c r="B9823" s="11">
        <f>IFERROR(__xludf.DUMMYFUNCTION("""COMPUTED_VALUE"""),32274.0)</f>
        <v>32274</v>
      </c>
      <c r="C9823" s="9">
        <f>IFERROR(__xludf.DUMMYFUNCTION("""COMPUTED_VALUE"""),9.05)</f>
        <v>9.05</v>
      </c>
      <c r="H9823" s="17"/>
      <c r="K9823" s="17"/>
      <c r="N9823" s="17"/>
    </row>
    <row r="9824">
      <c r="B9824" s="11">
        <f>IFERROR(__xludf.DUMMYFUNCTION("""COMPUTED_VALUE"""),32273.0)</f>
        <v>32273</v>
      </c>
      <c r="C9824" s="9">
        <f>IFERROR(__xludf.DUMMYFUNCTION("""COMPUTED_VALUE"""),9.07)</f>
        <v>9.07</v>
      </c>
      <c r="H9824" s="17"/>
      <c r="K9824" s="17"/>
      <c r="N9824" s="17"/>
    </row>
    <row r="9825">
      <c r="B9825" s="11">
        <f>IFERROR(__xludf.DUMMYFUNCTION("""COMPUTED_VALUE"""),32272.0)</f>
        <v>32272</v>
      </c>
      <c r="C9825" s="9">
        <f>IFERROR(__xludf.DUMMYFUNCTION("""COMPUTED_VALUE"""),9.03)</f>
        <v>9.03</v>
      </c>
      <c r="H9825" s="17"/>
      <c r="K9825" s="17"/>
      <c r="N9825" s="17"/>
    </row>
    <row r="9826">
      <c r="B9826" s="11">
        <f>IFERROR(__xludf.DUMMYFUNCTION("""COMPUTED_VALUE"""),32269.0)</f>
        <v>32269</v>
      </c>
      <c r="C9826" s="9">
        <f>IFERROR(__xludf.DUMMYFUNCTION("""COMPUTED_VALUE"""),9.01)</f>
        <v>9.01</v>
      </c>
      <c r="H9826" s="17"/>
      <c r="K9826" s="17"/>
      <c r="N9826" s="17"/>
    </row>
    <row r="9827">
      <c r="B9827" s="11">
        <f>IFERROR(__xludf.DUMMYFUNCTION("""COMPUTED_VALUE"""),32268.0)</f>
        <v>32268</v>
      </c>
      <c r="C9827" s="9">
        <f>IFERROR(__xludf.DUMMYFUNCTION("""COMPUTED_VALUE"""),8.92)</f>
        <v>8.92</v>
      </c>
      <c r="H9827" s="17"/>
      <c r="K9827" s="17"/>
      <c r="N9827" s="17"/>
    </row>
    <row r="9828">
      <c r="B9828" s="11">
        <f>IFERROR(__xludf.DUMMYFUNCTION("""COMPUTED_VALUE"""),32267.0)</f>
        <v>32267</v>
      </c>
      <c r="C9828" s="9">
        <f>IFERROR(__xludf.DUMMYFUNCTION("""COMPUTED_VALUE"""),8.9)</f>
        <v>8.9</v>
      </c>
      <c r="H9828" s="17"/>
      <c r="K9828" s="17"/>
      <c r="N9828" s="17"/>
    </row>
    <row r="9829">
      <c r="B9829" s="11">
        <f>IFERROR(__xludf.DUMMYFUNCTION("""COMPUTED_VALUE"""),32266.0)</f>
        <v>32266</v>
      </c>
      <c r="C9829" s="9">
        <f>IFERROR(__xludf.DUMMYFUNCTION("""COMPUTED_VALUE"""),8.89)</f>
        <v>8.89</v>
      </c>
      <c r="H9829" s="17"/>
      <c r="K9829" s="17"/>
      <c r="N9829" s="17"/>
    </row>
    <row r="9830">
      <c r="B9830" s="11">
        <f>IFERROR(__xludf.DUMMYFUNCTION("""COMPUTED_VALUE"""),32265.0)</f>
        <v>32265</v>
      </c>
      <c r="C9830" s="9">
        <f>IFERROR(__xludf.DUMMYFUNCTION("""COMPUTED_VALUE"""),8.94)</f>
        <v>8.94</v>
      </c>
      <c r="H9830" s="17"/>
      <c r="K9830" s="17"/>
      <c r="N9830" s="17"/>
    </row>
    <row r="9831">
      <c r="B9831" s="11">
        <f>IFERROR(__xludf.DUMMYFUNCTION("""COMPUTED_VALUE"""),32262.0)</f>
        <v>32262</v>
      </c>
      <c r="C9831" s="9">
        <f>IFERROR(__xludf.DUMMYFUNCTION("""COMPUTED_VALUE"""),8.87)</f>
        <v>8.87</v>
      </c>
      <c r="H9831" s="17"/>
      <c r="K9831" s="17"/>
      <c r="N9831" s="17"/>
    </row>
    <row r="9832">
      <c r="B9832" s="11">
        <f>IFERROR(__xludf.DUMMYFUNCTION("""COMPUTED_VALUE"""),32261.0)</f>
        <v>32261</v>
      </c>
      <c r="C9832" s="9">
        <f>IFERROR(__xludf.DUMMYFUNCTION("""COMPUTED_VALUE"""),8.86)</f>
        <v>8.86</v>
      </c>
      <c r="H9832" s="17"/>
      <c r="K9832" s="17"/>
      <c r="N9832" s="17"/>
    </row>
    <row r="9833">
      <c r="B9833" s="11">
        <f>IFERROR(__xludf.DUMMYFUNCTION("""COMPUTED_VALUE"""),32260.0)</f>
        <v>32260</v>
      </c>
      <c r="C9833" s="9">
        <f>IFERROR(__xludf.DUMMYFUNCTION("""COMPUTED_VALUE"""),8.8)</f>
        <v>8.8</v>
      </c>
      <c r="H9833" s="17"/>
      <c r="K9833" s="17"/>
      <c r="N9833" s="17"/>
    </row>
    <row r="9834">
      <c r="B9834" s="11">
        <f>IFERROR(__xludf.DUMMYFUNCTION("""COMPUTED_VALUE"""),32259.0)</f>
        <v>32259</v>
      </c>
      <c r="C9834" s="9">
        <f>IFERROR(__xludf.DUMMYFUNCTION("""COMPUTED_VALUE"""),8.8)</f>
        <v>8.8</v>
      </c>
      <c r="H9834" s="17"/>
      <c r="K9834" s="17"/>
      <c r="N9834" s="17"/>
    </row>
    <row r="9835">
      <c r="B9835" s="11">
        <f>IFERROR(__xludf.DUMMYFUNCTION("""COMPUTED_VALUE"""),32258.0)</f>
        <v>32258</v>
      </c>
      <c r="C9835" s="9">
        <f>IFERROR(__xludf.DUMMYFUNCTION("""COMPUTED_VALUE"""),8.78)</f>
        <v>8.78</v>
      </c>
      <c r="H9835" s="17"/>
      <c r="K9835" s="17"/>
      <c r="N9835" s="17"/>
    </row>
    <row r="9836">
      <c r="B9836" s="11">
        <f>IFERROR(__xludf.DUMMYFUNCTION("""COMPUTED_VALUE"""),32255.0)</f>
        <v>32255</v>
      </c>
      <c r="C9836" s="9">
        <f>IFERROR(__xludf.DUMMYFUNCTION("""COMPUTED_VALUE"""),8.78)</f>
        <v>8.78</v>
      </c>
      <c r="H9836" s="17"/>
      <c r="K9836" s="17"/>
      <c r="N9836" s="17"/>
    </row>
    <row r="9837">
      <c r="B9837" s="11">
        <f>IFERROR(__xludf.DUMMYFUNCTION("""COMPUTED_VALUE"""),32254.0)</f>
        <v>32254</v>
      </c>
      <c r="C9837" s="9">
        <f>IFERROR(__xludf.DUMMYFUNCTION("""COMPUTED_VALUE"""),8.82)</f>
        <v>8.82</v>
      </c>
      <c r="H9837" s="17"/>
      <c r="K9837" s="17"/>
      <c r="N9837" s="17"/>
    </row>
    <row r="9838">
      <c r="B9838" s="11">
        <f>IFERROR(__xludf.DUMMYFUNCTION("""COMPUTED_VALUE"""),32253.0)</f>
        <v>32253</v>
      </c>
      <c r="C9838" s="9">
        <f>IFERROR(__xludf.DUMMYFUNCTION("""COMPUTED_VALUE"""),8.83)</f>
        <v>8.83</v>
      </c>
      <c r="H9838" s="17"/>
      <c r="K9838" s="17"/>
      <c r="N9838" s="17"/>
    </row>
    <row r="9839">
      <c r="B9839" s="11">
        <f>IFERROR(__xludf.DUMMYFUNCTION("""COMPUTED_VALUE"""),32252.0)</f>
        <v>32252</v>
      </c>
      <c r="C9839" s="9">
        <f>IFERROR(__xludf.DUMMYFUNCTION("""COMPUTED_VALUE"""),8.81)</f>
        <v>8.81</v>
      </c>
      <c r="H9839" s="17"/>
      <c r="K9839" s="17"/>
      <c r="N9839" s="17"/>
    </row>
    <row r="9840">
      <c r="B9840" s="11">
        <f>IFERROR(__xludf.DUMMYFUNCTION("""COMPUTED_VALUE"""),32251.0)</f>
        <v>32251</v>
      </c>
      <c r="C9840" s="9">
        <f>IFERROR(__xludf.DUMMYFUNCTION("""COMPUTED_VALUE"""),8.81)</f>
        <v>8.81</v>
      </c>
      <c r="H9840" s="17"/>
      <c r="K9840" s="17"/>
      <c r="N9840" s="17"/>
    </row>
    <row r="9841">
      <c r="B9841" s="11">
        <f>IFERROR(__xludf.DUMMYFUNCTION("""COMPUTED_VALUE"""),32248.0)</f>
        <v>32248</v>
      </c>
      <c r="C9841" s="9">
        <f>IFERROR(__xludf.DUMMYFUNCTION("""COMPUTED_VALUE"""),8.74)</f>
        <v>8.74</v>
      </c>
      <c r="H9841" s="17"/>
      <c r="K9841" s="17"/>
      <c r="N9841" s="17"/>
    </row>
    <row r="9842">
      <c r="B9842" s="11">
        <f>IFERROR(__xludf.DUMMYFUNCTION("""COMPUTED_VALUE"""),32247.0)</f>
        <v>32247</v>
      </c>
      <c r="C9842" s="9">
        <f>IFERROR(__xludf.DUMMYFUNCTION("""COMPUTED_VALUE"""),8.67)</f>
        <v>8.67</v>
      </c>
      <c r="H9842" s="17"/>
      <c r="K9842" s="17"/>
      <c r="N9842" s="17"/>
    </row>
    <row r="9843">
      <c r="B9843" s="11">
        <f>IFERROR(__xludf.DUMMYFUNCTION("""COMPUTED_VALUE"""),32246.0)</f>
        <v>32246</v>
      </c>
      <c r="C9843" s="9">
        <f>IFERROR(__xludf.DUMMYFUNCTION("""COMPUTED_VALUE"""),8.56)</f>
        <v>8.56</v>
      </c>
      <c r="H9843" s="17"/>
      <c r="K9843" s="17"/>
      <c r="N9843" s="17"/>
    </row>
    <row r="9844">
      <c r="B9844" s="11">
        <f>IFERROR(__xludf.DUMMYFUNCTION("""COMPUTED_VALUE"""),32245.0)</f>
        <v>32245</v>
      </c>
      <c r="C9844" s="9">
        <f>IFERROR(__xludf.DUMMYFUNCTION("""COMPUTED_VALUE"""),8.57)</f>
        <v>8.57</v>
      </c>
      <c r="H9844" s="17"/>
      <c r="K9844" s="17"/>
      <c r="N9844" s="17"/>
    </row>
    <row r="9845">
      <c r="B9845" s="11">
        <f>IFERROR(__xludf.DUMMYFUNCTION("""COMPUTED_VALUE"""),32244.0)</f>
        <v>32244</v>
      </c>
      <c r="C9845" s="9">
        <f>IFERROR(__xludf.DUMMYFUNCTION("""COMPUTED_VALUE"""),8.59)</f>
        <v>8.59</v>
      </c>
      <c r="H9845" s="17"/>
      <c r="K9845" s="17"/>
      <c r="N9845" s="17"/>
    </row>
    <row r="9846">
      <c r="B9846" s="11">
        <f>IFERROR(__xludf.DUMMYFUNCTION("""COMPUTED_VALUE"""),32241.0)</f>
        <v>32241</v>
      </c>
      <c r="C9846" s="9">
        <f>IFERROR(__xludf.DUMMYFUNCTION("""COMPUTED_VALUE"""),8.52)</f>
        <v>8.52</v>
      </c>
      <c r="H9846" s="17"/>
      <c r="K9846" s="17"/>
      <c r="N9846" s="17"/>
    </row>
    <row r="9847">
      <c r="B9847" s="11">
        <f>IFERROR(__xludf.DUMMYFUNCTION("""COMPUTED_VALUE"""),32240.0)</f>
        <v>32240</v>
      </c>
      <c r="C9847" s="9">
        <f>IFERROR(__xludf.DUMMYFUNCTION("""COMPUTED_VALUE"""),8.6)</f>
        <v>8.6</v>
      </c>
      <c r="H9847" s="17"/>
      <c r="K9847" s="17"/>
      <c r="N9847" s="17"/>
    </row>
    <row r="9848">
      <c r="B9848" s="11">
        <f>IFERROR(__xludf.DUMMYFUNCTION("""COMPUTED_VALUE"""),32239.0)</f>
        <v>32239</v>
      </c>
      <c r="C9848" s="9">
        <f>IFERROR(__xludf.DUMMYFUNCTION("""COMPUTED_VALUE"""),8.61)</f>
        <v>8.61</v>
      </c>
      <c r="H9848" s="17"/>
      <c r="K9848" s="17"/>
      <c r="N9848" s="17"/>
    </row>
    <row r="9849">
      <c r="B9849" s="11">
        <f>IFERROR(__xludf.DUMMYFUNCTION("""COMPUTED_VALUE"""),32238.0)</f>
        <v>32238</v>
      </c>
      <c r="C9849" s="9">
        <f>IFERROR(__xludf.DUMMYFUNCTION("""COMPUTED_VALUE"""),8.67)</f>
        <v>8.67</v>
      </c>
      <c r="H9849" s="17"/>
      <c r="K9849" s="17"/>
      <c r="N9849" s="17"/>
    </row>
    <row r="9850">
      <c r="B9850" s="11">
        <f>IFERROR(__xludf.DUMMYFUNCTION("""COMPUTED_VALUE"""),32237.0)</f>
        <v>32237</v>
      </c>
      <c r="C9850" s="9">
        <f>IFERROR(__xludf.DUMMYFUNCTION("""COMPUTED_VALUE"""),8.68)</f>
        <v>8.68</v>
      </c>
      <c r="H9850" s="17"/>
      <c r="K9850" s="17"/>
      <c r="N9850" s="17"/>
    </row>
    <row r="9851">
      <c r="B9851" s="11">
        <f>IFERROR(__xludf.DUMMYFUNCTION("""COMPUTED_VALUE"""),32234.0)</f>
        <v>32234</v>
      </c>
      <c r="C9851" s="9"/>
      <c r="H9851" s="17"/>
      <c r="K9851" s="17"/>
      <c r="N9851" s="17"/>
    </row>
    <row r="9852">
      <c r="B9852" s="11">
        <f>IFERROR(__xludf.DUMMYFUNCTION("""COMPUTED_VALUE"""),32233.0)</f>
        <v>32233</v>
      </c>
      <c r="C9852" s="9">
        <f>IFERROR(__xludf.DUMMYFUNCTION("""COMPUTED_VALUE"""),8.57)</f>
        <v>8.57</v>
      </c>
      <c r="H9852" s="17"/>
      <c r="K9852" s="17"/>
      <c r="N9852" s="17"/>
    </row>
    <row r="9853">
      <c r="B9853" s="11">
        <f>IFERROR(__xludf.DUMMYFUNCTION("""COMPUTED_VALUE"""),32232.0)</f>
        <v>32232</v>
      </c>
      <c r="C9853" s="9">
        <f>IFERROR(__xludf.DUMMYFUNCTION("""COMPUTED_VALUE"""),8.57)</f>
        <v>8.57</v>
      </c>
      <c r="H9853" s="17"/>
      <c r="K9853" s="17"/>
      <c r="N9853" s="17"/>
    </row>
    <row r="9854">
      <c r="B9854" s="11">
        <f>IFERROR(__xludf.DUMMYFUNCTION("""COMPUTED_VALUE"""),32231.0)</f>
        <v>32231</v>
      </c>
      <c r="C9854" s="9">
        <f>IFERROR(__xludf.DUMMYFUNCTION("""COMPUTED_VALUE"""),8.56)</f>
        <v>8.56</v>
      </c>
      <c r="H9854" s="17"/>
      <c r="K9854" s="17"/>
      <c r="N9854" s="17"/>
    </row>
    <row r="9855">
      <c r="B9855" s="11">
        <f>IFERROR(__xludf.DUMMYFUNCTION("""COMPUTED_VALUE"""),32230.0)</f>
        <v>32230</v>
      </c>
      <c r="C9855" s="9">
        <f>IFERROR(__xludf.DUMMYFUNCTION("""COMPUTED_VALUE"""),8.58)</f>
        <v>8.58</v>
      </c>
      <c r="H9855" s="17"/>
      <c r="K9855" s="17"/>
      <c r="N9855" s="17"/>
    </row>
    <row r="9856">
      <c r="B9856" s="11">
        <f>IFERROR(__xludf.DUMMYFUNCTION("""COMPUTED_VALUE"""),32227.0)</f>
        <v>32227</v>
      </c>
      <c r="C9856" s="9">
        <f>IFERROR(__xludf.DUMMYFUNCTION("""COMPUTED_VALUE"""),8.47)</f>
        <v>8.47</v>
      </c>
      <c r="H9856" s="17"/>
      <c r="K9856" s="17"/>
      <c r="N9856" s="17"/>
    </row>
    <row r="9857">
      <c r="B9857" s="11">
        <f>IFERROR(__xludf.DUMMYFUNCTION("""COMPUTED_VALUE"""),32226.0)</f>
        <v>32226</v>
      </c>
      <c r="C9857" s="9">
        <f>IFERROR(__xludf.DUMMYFUNCTION("""COMPUTED_VALUE"""),8.51)</f>
        <v>8.51</v>
      </c>
      <c r="H9857" s="17"/>
      <c r="K9857" s="17"/>
      <c r="N9857" s="17"/>
    </row>
    <row r="9858">
      <c r="B9858" s="11">
        <f>IFERROR(__xludf.DUMMYFUNCTION("""COMPUTED_VALUE"""),32225.0)</f>
        <v>32225</v>
      </c>
      <c r="C9858" s="9">
        <f>IFERROR(__xludf.DUMMYFUNCTION("""COMPUTED_VALUE"""),8.47)</f>
        <v>8.47</v>
      </c>
      <c r="H9858" s="17"/>
      <c r="K9858" s="17"/>
      <c r="N9858" s="17"/>
    </row>
    <row r="9859">
      <c r="B9859" s="11">
        <f>IFERROR(__xludf.DUMMYFUNCTION("""COMPUTED_VALUE"""),32224.0)</f>
        <v>32224</v>
      </c>
      <c r="C9859" s="9">
        <f>IFERROR(__xludf.DUMMYFUNCTION("""COMPUTED_VALUE"""),8.46)</f>
        <v>8.46</v>
      </c>
      <c r="H9859" s="17"/>
      <c r="K9859" s="17"/>
      <c r="N9859" s="17"/>
    </row>
    <row r="9860">
      <c r="B9860" s="11">
        <f>IFERROR(__xludf.DUMMYFUNCTION("""COMPUTED_VALUE"""),32223.0)</f>
        <v>32223</v>
      </c>
      <c r="C9860" s="9">
        <f>IFERROR(__xludf.DUMMYFUNCTION("""COMPUTED_VALUE"""),8.47)</f>
        <v>8.47</v>
      </c>
      <c r="H9860" s="17"/>
      <c r="K9860" s="17"/>
      <c r="N9860" s="17"/>
    </row>
    <row r="9861">
      <c r="B9861" s="11">
        <f>IFERROR(__xludf.DUMMYFUNCTION("""COMPUTED_VALUE"""),32220.0)</f>
        <v>32220</v>
      </c>
      <c r="C9861" s="9">
        <f>IFERROR(__xludf.DUMMYFUNCTION("""COMPUTED_VALUE"""),8.41)</f>
        <v>8.41</v>
      </c>
      <c r="H9861" s="17"/>
      <c r="K9861" s="17"/>
      <c r="N9861" s="17"/>
    </row>
    <row r="9862">
      <c r="B9862" s="11">
        <f>IFERROR(__xludf.DUMMYFUNCTION("""COMPUTED_VALUE"""),32219.0)</f>
        <v>32219</v>
      </c>
      <c r="C9862" s="9">
        <f>IFERROR(__xludf.DUMMYFUNCTION("""COMPUTED_VALUE"""),8.3)</f>
        <v>8.3</v>
      </c>
      <c r="H9862" s="17"/>
      <c r="K9862" s="17"/>
      <c r="N9862" s="17"/>
    </row>
    <row r="9863">
      <c r="B9863" s="11">
        <f>IFERROR(__xludf.DUMMYFUNCTION("""COMPUTED_VALUE"""),32218.0)</f>
        <v>32218</v>
      </c>
      <c r="C9863" s="9">
        <f>IFERROR(__xludf.DUMMYFUNCTION("""COMPUTED_VALUE"""),8.36)</f>
        <v>8.36</v>
      </c>
      <c r="H9863" s="17"/>
      <c r="K9863" s="17"/>
      <c r="N9863" s="17"/>
    </row>
    <row r="9864">
      <c r="B9864" s="11">
        <f>IFERROR(__xludf.DUMMYFUNCTION("""COMPUTED_VALUE"""),32217.0)</f>
        <v>32217</v>
      </c>
      <c r="C9864" s="9">
        <f>IFERROR(__xludf.DUMMYFUNCTION("""COMPUTED_VALUE"""),8.3)</f>
        <v>8.3</v>
      </c>
      <c r="H9864" s="17"/>
      <c r="K9864" s="17"/>
      <c r="N9864" s="17"/>
    </row>
    <row r="9865">
      <c r="B9865" s="11">
        <f>IFERROR(__xludf.DUMMYFUNCTION("""COMPUTED_VALUE"""),32216.0)</f>
        <v>32216</v>
      </c>
      <c r="C9865" s="9">
        <f>IFERROR(__xludf.DUMMYFUNCTION("""COMPUTED_VALUE"""),8.29)</f>
        <v>8.29</v>
      </c>
      <c r="H9865" s="17"/>
      <c r="K9865" s="17"/>
      <c r="N9865" s="17"/>
    </row>
    <row r="9866">
      <c r="B9866" s="11">
        <f>IFERROR(__xludf.DUMMYFUNCTION("""COMPUTED_VALUE"""),32213.0)</f>
        <v>32213</v>
      </c>
      <c r="C9866" s="9">
        <f>IFERROR(__xludf.DUMMYFUNCTION("""COMPUTED_VALUE"""),8.29)</f>
        <v>8.29</v>
      </c>
      <c r="H9866" s="17"/>
      <c r="K9866" s="17"/>
      <c r="N9866" s="17"/>
    </row>
    <row r="9867">
      <c r="B9867" s="11">
        <f>IFERROR(__xludf.DUMMYFUNCTION("""COMPUTED_VALUE"""),32212.0)</f>
        <v>32212</v>
      </c>
      <c r="C9867" s="9">
        <f>IFERROR(__xludf.DUMMYFUNCTION("""COMPUTED_VALUE"""),8.35)</f>
        <v>8.35</v>
      </c>
      <c r="H9867" s="17"/>
      <c r="K9867" s="17"/>
      <c r="N9867" s="17"/>
    </row>
    <row r="9868">
      <c r="B9868" s="11">
        <f>IFERROR(__xludf.DUMMYFUNCTION("""COMPUTED_VALUE"""),32211.0)</f>
        <v>32211</v>
      </c>
      <c r="C9868" s="9">
        <f>IFERROR(__xludf.DUMMYFUNCTION("""COMPUTED_VALUE"""),8.32)</f>
        <v>8.32</v>
      </c>
      <c r="H9868" s="17"/>
      <c r="K9868" s="17"/>
      <c r="N9868" s="17"/>
    </row>
    <row r="9869">
      <c r="B9869" s="11">
        <f>IFERROR(__xludf.DUMMYFUNCTION("""COMPUTED_VALUE"""),32210.0)</f>
        <v>32210</v>
      </c>
      <c r="C9869" s="9">
        <f>IFERROR(__xludf.DUMMYFUNCTION("""COMPUTED_VALUE"""),8.33)</f>
        <v>8.33</v>
      </c>
      <c r="H9869" s="17"/>
      <c r="K9869" s="17"/>
      <c r="N9869" s="17"/>
    </row>
    <row r="9870">
      <c r="B9870" s="11">
        <f>IFERROR(__xludf.DUMMYFUNCTION("""COMPUTED_VALUE"""),32209.0)</f>
        <v>32209</v>
      </c>
      <c r="C9870" s="9">
        <f>IFERROR(__xludf.DUMMYFUNCTION("""COMPUTED_VALUE"""),8.3)</f>
        <v>8.3</v>
      </c>
      <c r="H9870" s="17"/>
      <c r="K9870" s="17"/>
      <c r="N9870" s="17"/>
    </row>
    <row r="9871">
      <c r="B9871" s="11">
        <f>IFERROR(__xludf.DUMMYFUNCTION("""COMPUTED_VALUE"""),32206.0)</f>
        <v>32206</v>
      </c>
      <c r="C9871" s="9">
        <f>IFERROR(__xludf.DUMMYFUNCTION("""COMPUTED_VALUE"""),8.28)</f>
        <v>8.28</v>
      </c>
      <c r="H9871" s="17"/>
      <c r="K9871" s="17"/>
      <c r="N9871" s="17"/>
    </row>
    <row r="9872">
      <c r="B9872" s="11">
        <f>IFERROR(__xludf.DUMMYFUNCTION("""COMPUTED_VALUE"""),32205.0)</f>
        <v>32205</v>
      </c>
      <c r="C9872" s="9">
        <f>IFERROR(__xludf.DUMMYFUNCTION("""COMPUTED_VALUE"""),8.12)</f>
        <v>8.12</v>
      </c>
      <c r="H9872" s="17"/>
      <c r="K9872" s="17"/>
      <c r="N9872" s="17"/>
    </row>
    <row r="9873">
      <c r="B9873" s="11">
        <f>IFERROR(__xludf.DUMMYFUNCTION("""COMPUTED_VALUE"""),32204.0)</f>
        <v>32204</v>
      </c>
      <c r="C9873" s="9">
        <f>IFERROR(__xludf.DUMMYFUNCTION("""COMPUTED_VALUE"""),8.13)</f>
        <v>8.13</v>
      </c>
      <c r="H9873" s="17"/>
      <c r="K9873" s="17"/>
      <c r="N9873" s="17"/>
    </row>
    <row r="9874">
      <c r="B9874" s="11">
        <f>IFERROR(__xludf.DUMMYFUNCTION("""COMPUTED_VALUE"""),32203.0)</f>
        <v>32203</v>
      </c>
      <c r="C9874" s="9">
        <f>IFERROR(__xludf.DUMMYFUNCTION("""COMPUTED_VALUE"""),8.15)</f>
        <v>8.15</v>
      </c>
      <c r="H9874" s="17"/>
      <c r="K9874" s="17"/>
      <c r="N9874" s="17"/>
    </row>
    <row r="9875">
      <c r="B9875" s="11">
        <f>IFERROR(__xludf.DUMMYFUNCTION("""COMPUTED_VALUE"""),32202.0)</f>
        <v>32202</v>
      </c>
      <c r="C9875" s="9">
        <f>IFERROR(__xludf.DUMMYFUNCTION("""COMPUTED_VALUE"""),8.16)</f>
        <v>8.16</v>
      </c>
      <c r="H9875" s="17"/>
      <c r="K9875" s="17"/>
      <c r="N9875" s="17"/>
    </row>
    <row r="9876">
      <c r="B9876" s="11">
        <f>IFERROR(__xludf.DUMMYFUNCTION("""COMPUTED_VALUE"""),32199.0)</f>
        <v>32199</v>
      </c>
      <c r="C9876" s="9">
        <f>IFERROR(__xludf.DUMMYFUNCTION("""COMPUTED_VALUE"""),8.18)</f>
        <v>8.18</v>
      </c>
      <c r="H9876" s="17"/>
      <c r="K9876" s="17"/>
      <c r="N9876" s="17"/>
    </row>
    <row r="9877">
      <c r="B9877" s="11">
        <f>IFERROR(__xludf.DUMMYFUNCTION("""COMPUTED_VALUE"""),32198.0)</f>
        <v>32198</v>
      </c>
      <c r="C9877" s="9">
        <f>IFERROR(__xludf.DUMMYFUNCTION("""COMPUTED_VALUE"""),8.23)</f>
        <v>8.23</v>
      </c>
      <c r="H9877" s="17"/>
      <c r="K9877" s="17"/>
      <c r="N9877" s="17"/>
    </row>
    <row r="9878">
      <c r="B9878" s="11">
        <f>IFERROR(__xludf.DUMMYFUNCTION("""COMPUTED_VALUE"""),32197.0)</f>
        <v>32197</v>
      </c>
      <c r="C9878" s="9">
        <f>IFERROR(__xludf.DUMMYFUNCTION("""COMPUTED_VALUE"""),8.18)</f>
        <v>8.18</v>
      </c>
      <c r="H9878" s="17"/>
      <c r="K9878" s="17"/>
      <c r="N9878" s="17"/>
    </row>
    <row r="9879">
      <c r="B9879" s="11">
        <f>IFERROR(__xludf.DUMMYFUNCTION("""COMPUTED_VALUE"""),32196.0)</f>
        <v>32196</v>
      </c>
      <c r="C9879" s="9">
        <f>IFERROR(__xludf.DUMMYFUNCTION("""COMPUTED_VALUE"""),8.17)</f>
        <v>8.17</v>
      </c>
      <c r="H9879" s="17"/>
      <c r="K9879" s="17"/>
      <c r="N9879" s="17"/>
    </row>
    <row r="9880">
      <c r="B9880" s="11">
        <f>IFERROR(__xludf.DUMMYFUNCTION("""COMPUTED_VALUE"""),32195.0)</f>
        <v>32195</v>
      </c>
      <c r="C9880" s="9">
        <f>IFERROR(__xludf.DUMMYFUNCTION("""COMPUTED_VALUE"""),8.24)</f>
        <v>8.24</v>
      </c>
      <c r="H9880" s="17"/>
      <c r="K9880" s="17"/>
      <c r="N9880" s="17"/>
    </row>
    <row r="9881">
      <c r="B9881" s="11">
        <f>IFERROR(__xludf.DUMMYFUNCTION("""COMPUTED_VALUE"""),32192.0)</f>
        <v>32192</v>
      </c>
      <c r="C9881" s="9">
        <f>IFERROR(__xludf.DUMMYFUNCTION("""COMPUTED_VALUE"""),8.26)</f>
        <v>8.26</v>
      </c>
      <c r="H9881" s="17"/>
      <c r="K9881" s="17"/>
      <c r="N9881" s="17"/>
    </row>
    <row r="9882">
      <c r="B9882" s="11">
        <f>IFERROR(__xludf.DUMMYFUNCTION("""COMPUTED_VALUE"""),32191.0)</f>
        <v>32191</v>
      </c>
      <c r="C9882" s="9">
        <f>IFERROR(__xludf.DUMMYFUNCTION("""COMPUTED_VALUE"""),8.28)</f>
        <v>8.28</v>
      </c>
      <c r="H9882" s="17"/>
      <c r="K9882" s="17"/>
      <c r="N9882" s="17"/>
    </row>
    <row r="9883">
      <c r="B9883" s="11">
        <f>IFERROR(__xludf.DUMMYFUNCTION("""COMPUTED_VALUE"""),32190.0)</f>
        <v>32190</v>
      </c>
      <c r="C9883" s="9">
        <f>IFERROR(__xludf.DUMMYFUNCTION("""COMPUTED_VALUE"""),8.32)</f>
        <v>8.32</v>
      </c>
      <c r="H9883" s="17"/>
      <c r="K9883" s="17"/>
      <c r="N9883" s="17"/>
    </row>
    <row r="9884">
      <c r="B9884" s="11">
        <f>IFERROR(__xludf.DUMMYFUNCTION("""COMPUTED_VALUE"""),32189.0)</f>
        <v>32189</v>
      </c>
      <c r="C9884" s="9">
        <f>IFERROR(__xludf.DUMMYFUNCTION("""COMPUTED_VALUE"""),8.31)</f>
        <v>8.31</v>
      </c>
      <c r="H9884" s="17"/>
      <c r="K9884" s="17"/>
      <c r="N9884" s="17"/>
    </row>
    <row r="9885">
      <c r="B9885" s="11">
        <f>IFERROR(__xludf.DUMMYFUNCTION("""COMPUTED_VALUE"""),32188.0)</f>
        <v>32188</v>
      </c>
      <c r="C9885" s="9"/>
      <c r="H9885" s="17"/>
      <c r="K9885" s="17"/>
      <c r="N9885" s="17"/>
    </row>
    <row r="9886">
      <c r="B9886" s="11">
        <f>IFERROR(__xludf.DUMMYFUNCTION("""COMPUTED_VALUE"""),32185.0)</f>
        <v>32185</v>
      </c>
      <c r="C9886" s="9">
        <f>IFERROR(__xludf.DUMMYFUNCTION("""COMPUTED_VALUE"""),8.28)</f>
        <v>8.28</v>
      </c>
      <c r="H9886" s="17"/>
      <c r="K9886" s="17"/>
      <c r="N9886" s="17"/>
    </row>
    <row r="9887">
      <c r="B9887" s="11">
        <f>IFERROR(__xludf.DUMMYFUNCTION("""COMPUTED_VALUE"""),32184.0)</f>
        <v>32184</v>
      </c>
      <c r="C9887" s="9">
        <f>IFERROR(__xludf.DUMMYFUNCTION("""COMPUTED_VALUE"""),8.16)</f>
        <v>8.16</v>
      </c>
      <c r="H9887" s="17"/>
      <c r="K9887" s="17"/>
      <c r="N9887" s="17"/>
    </row>
    <row r="9888">
      <c r="B9888" s="11">
        <f>IFERROR(__xludf.DUMMYFUNCTION("""COMPUTED_VALUE"""),32183.0)</f>
        <v>32183</v>
      </c>
      <c r="C9888" s="9">
        <f>IFERROR(__xludf.DUMMYFUNCTION("""COMPUTED_VALUE"""),8.11)</f>
        <v>8.11</v>
      </c>
      <c r="H9888" s="17"/>
      <c r="K9888" s="17"/>
      <c r="N9888" s="17"/>
    </row>
    <row r="9889">
      <c r="B9889" s="11">
        <f>IFERROR(__xludf.DUMMYFUNCTION("""COMPUTED_VALUE"""),32182.0)</f>
        <v>32182</v>
      </c>
      <c r="C9889" s="9">
        <f>IFERROR(__xludf.DUMMYFUNCTION("""COMPUTED_VALUE"""),8.16)</f>
        <v>8.16</v>
      </c>
      <c r="H9889" s="17"/>
      <c r="K9889" s="17"/>
      <c r="N9889" s="17"/>
    </row>
    <row r="9890">
      <c r="B9890" s="11">
        <f>IFERROR(__xludf.DUMMYFUNCTION("""COMPUTED_VALUE"""),32181.0)</f>
        <v>32181</v>
      </c>
      <c r="C9890" s="9">
        <f>IFERROR(__xludf.DUMMYFUNCTION("""COMPUTED_VALUE"""),8.19)</f>
        <v>8.19</v>
      </c>
      <c r="H9890" s="17"/>
      <c r="K9890" s="17"/>
      <c r="N9890" s="17"/>
    </row>
    <row r="9891">
      <c r="B9891" s="11">
        <f>IFERROR(__xludf.DUMMYFUNCTION("""COMPUTED_VALUE"""),32178.0)</f>
        <v>32178</v>
      </c>
      <c r="C9891" s="9">
        <f>IFERROR(__xludf.DUMMYFUNCTION("""COMPUTED_VALUE"""),8.12)</f>
        <v>8.12</v>
      </c>
      <c r="H9891" s="17"/>
      <c r="K9891" s="17"/>
      <c r="N9891" s="17"/>
    </row>
    <row r="9892">
      <c r="B9892" s="11">
        <f>IFERROR(__xludf.DUMMYFUNCTION("""COMPUTED_VALUE"""),32177.0)</f>
        <v>32177</v>
      </c>
      <c r="C9892" s="9">
        <f>IFERROR(__xludf.DUMMYFUNCTION("""COMPUTED_VALUE"""),8.24)</f>
        <v>8.24</v>
      </c>
      <c r="H9892" s="17"/>
      <c r="K9892" s="17"/>
      <c r="N9892" s="17"/>
    </row>
    <row r="9893">
      <c r="B9893" s="11">
        <f>IFERROR(__xludf.DUMMYFUNCTION("""COMPUTED_VALUE"""),32176.0)</f>
        <v>32176</v>
      </c>
      <c r="C9893" s="9">
        <f>IFERROR(__xludf.DUMMYFUNCTION("""COMPUTED_VALUE"""),8.21)</f>
        <v>8.21</v>
      </c>
      <c r="H9893" s="17"/>
      <c r="K9893" s="17"/>
      <c r="N9893" s="17"/>
    </row>
    <row r="9894">
      <c r="B9894" s="11">
        <f>IFERROR(__xludf.DUMMYFUNCTION("""COMPUTED_VALUE"""),32175.0)</f>
        <v>32175</v>
      </c>
      <c r="C9894" s="9">
        <f>IFERROR(__xludf.DUMMYFUNCTION("""COMPUTED_VALUE"""),8.18)</f>
        <v>8.18</v>
      </c>
      <c r="H9894" s="17"/>
      <c r="K9894" s="17"/>
      <c r="N9894" s="17"/>
    </row>
    <row r="9895">
      <c r="B9895" s="11">
        <f>IFERROR(__xludf.DUMMYFUNCTION("""COMPUTED_VALUE"""),32174.0)</f>
        <v>32174</v>
      </c>
      <c r="C9895" s="9">
        <f>IFERROR(__xludf.DUMMYFUNCTION("""COMPUTED_VALUE"""),8.26)</f>
        <v>8.26</v>
      </c>
      <c r="H9895" s="17"/>
      <c r="K9895" s="17"/>
      <c r="N9895" s="17"/>
    </row>
    <row r="9896">
      <c r="B9896" s="11">
        <f>IFERROR(__xludf.DUMMYFUNCTION("""COMPUTED_VALUE"""),32171.0)</f>
        <v>32171</v>
      </c>
      <c r="C9896" s="9">
        <f>IFERROR(__xludf.DUMMYFUNCTION("""COMPUTED_VALUE"""),8.26)</f>
        <v>8.26</v>
      </c>
      <c r="H9896" s="17"/>
      <c r="K9896" s="17"/>
      <c r="N9896" s="17"/>
    </row>
    <row r="9897">
      <c r="B9897" s="11">
        <f>IFERROR(__xludf.DUMMYFUNCTION("""COMPUTED_VALUE"""),32170.0)</f>
        <v>32170</v>
      </c>
      <c r="C9897" s="9">
        <f>IFERROR(__xludf.DUMMYFUNCTION("""COMPUTED_VALUE"""),8.33)</f>
        <v>8.33</v>
      </c>
      <c r="H9897" s="17"/>
      <c r="K9897" s="17"/>
      <c r="N9897" s="17"/>
    </row>
    <row r="9898">
      <c r="B9898" s="11">
        <f>IFERROR(__xludf.DUMMYFUNCTION("""COMPUTED_VALUE"""),32169.0)</f>
        <v>32169</v>
      </c>
      <c r="C9898" s="9">
        <f>IFERROR(__xludf.DUMMYFUNCTION("""COMPUTED_VALUE"""),8.38)</f>
        <v>8.38</v>
      </c>
      <c r="H9898" s="17"/>
      <c r="K9898" s="17"/>
      <c r="N9898" s="17"/>
    </row>
    <row r="9899">
      <c r="B9899" s="11">
        <f>IFERROR(__xludf.DUMMYFUNCTION("""COMPUTED_VALUE"""),32168.0)</f>
        <v>32168</v>
      </c>
      <c r="C9899" s="9">
        <f>IFERROR(__xludf.DUMMYFUNCTION("""COMPUTED_VALUE"""),8.54)</f>
        <v>8.54</v>
      </c>
      <c r="H9899" s="17"/>
      <c r="K9899" s="17"/>
      <c r="N9899" s="17"/>
    </row>
    <row r="9900">
      <c r="B9900" s="11">
        <f>IFERROR(__xludf.DUMMYFUNCTION("""COMPUTED_VALUE"""),32167.0)</f>
        <v>32167</v>
      </c>
      <c r="C9900" s="9">
        <f>IFERROR(__xludf.DUMMYFUNCTION("""COMPUTED_VALUE"""),8.45)</f>
        <v>8.45</v>
      </c>
      <c r="H9900" s="17"/>
      <c r="K9900" s="17"/>
      <c r="N9900" s="17"/>
    </row>
    <row r="9901">
      <c r="B9901" s="11">
        <f>IFERROR(__xludf.DUMMYFUNCTION("""COMPUTED_VALUE"""),32164.0)</f>
        <v>32164</v>
      </c>
      <c r="C9901" s="9">
        <f>IFERROR(__xludf.DUMMYFUNCTION("""COMPUTED_VALUE"""),8.49)</f>
        <v>8.49</v>
      </c>
      <c r="H9901" s="17"/>
      <c r="K9901" s="17"/>
      <c r="N9901" s="17"/>
    </row>
    <row r="9902">
      <c r="B9902" s="11">
        <f>IFERROR(__xludf.DUMMYFUNCTION("""COMPUTED_VALUE"""),32163.0)</f>
        <v>32163</v>
      </c>
      <c r="C9902" s="9">
        <f>IFERROR(__xludf.DUMMYFUNCTION("""COMPUTED_VALUE"""),8.53)</f>
        <v>8.53</v>
      </c>
      <c r="H9902" s="17"/>
      <c r="K9902" s="17"/>
      <c r="N9902" s="17"/>
    </row>
    <row r="9903">
      <c r="B9903" s="11">
        <f>IFERROR(__xludf.DUMMYFUNCTION("""COMPUTED_VALUE"""),32162.0)</f>
        <v>32162</v>
      </c>
      <c r="C9903" s="9">
        <f>IFERROR(__xludf.DUMMYFUNCTION("""COMPUTED_VALUE"""),8.61)</f>
        <v>8.61</v>
      </c>
      <c r="H9903" s="17"/>
      <c r="K9903" s="17"/>
      <c r="N9903" s="17"/>
    </row>
    <row r="9904">
      <c r="B9904" s="11">
        <f>IFERROR(__xludf.DUMMYFUNCTION("""COMPUTED_VALUE"""),32161.0)</f>
        <v>32161</v>
      </c>
      <c r="C9904" s="9">
        <f>IFERROR(__xludf.DUMMYFUNCTION("""COMPUTED_VALUE"""),8.65)</f>
        <v>8.65</v>
      </c>
      <c r="H9904" s="17"/>
      <c r="K9904" s="17"/>
      <c r="N9904" s="17"/>
    </row>
    <row r="9905">
      <c r="B9905" s="11">
        <f>IFERROR(__xludf.DUMMYFUNCTION("""COMPUTED_VALUE"""),32160.0)</f>
        <v>32160</v>
      </c>
      <c r="C9905" s="9"/>
      <c r="H9905" s="17"/>
      <c r="K9905" s="17"/>
      <c r="N9905" s="17"/>
    </row>
    <row r="9906">
      <c r="B9906" s="11">
        <f>IFERROR(__xludf.DUMMYFUNCTION("""COMPUTED_VALUE"""),32157.0)</f>
        <v>32157</v>
      </c>
      <c r="C9906" s="9">
        <f>IFERROR(__xludf.DUMMYFUNCTION("""COMPUTED_VALUE"""),8.6)</f>
        <v>8.6</v>
      </c>
      <c r="H9906" s="17"/>
      <c r="K9906" s="17"/>
      <c r="N9906" s="17"/>
    </row>
    <row r="9907">
      <c r="B9907" s="11">
        <f>IFERROR(__xludf.DUMMYFUNCTION("""COMPUTED_VALUE"""),32156.0)</f>
        <v>32156</v>
      </c>
      <c r="C9907" s="9">
        <f>IFERROR(__xludf.DUMMYFUNCTION("""COMPUTED_VALUE"""),8.86)</f>
        <v>8.86</v>
      </c>
      <c r="H9907" s="17"/>
      <c r="K9907" s="17"/>
      <c r="N9907" s="17"/>
    </row>
    <row r="9908">
      <c r="B9908" s="11">
        <f>IFERROR(__xludf.DUMMYFUNCTION("""COMPUTED_VALUE"""),32155.0)</f>
        <v>32155</v>
      </c>
      <c r="C9908" s="9">
        <f>IFERROR(__xludf.DUMMYFUNCTION("""COMPUTED_VALUE"""),8.87)</f>
        <v>8.87</v>
      </c>
      <c r="H9908" s="17"/>
      <c r="K9908" s="17"/>
      <c r="N9908" s="17"/>
    </row>
    <row r="9909">
      <c r="B9909" s="11">
        <f>IFERROR(__xludf.DUMMYFUNCTION("""COMPUTED_VALUE"""),32154.0)</f>
        <v>32154</v>
      </c>
      <c r="C9909" s="9">
        <f>IFERROR(__xludf.DUMMYFUNCTION("""COMPUTED_VALUE"""),8.93)</f>
        <v>8.93</v>
      </c>
      <c r="H9909" s="17"/>
      <c r="K9909" s="17"/>
      <c r="N9909" s="17"/>
    </row>
    <row r="9910">
      <c r="B9910" s="11">
        <f>IFERROR(__xludf.DUMMYFUNCTION("""COMPUTED_VALUE"""),32153.0)</f>
        <v>32153</v>
      </c>
      <c r="C9910" s="9">
        <f>IFERROR(__xludf.DUMMYFUNCTION("""COMPUTED_VALUE"""),8.94)</f>
        <v>8.94</v>
      </c>
      <c r="H9910" s="17"/>
      <c r="K9910" s="17"/>
      <c r="N9910" s="17"/>
    </row>
    <row r="9911">
      <c r="B9911" s="11">
        <f>IFERROR(__xludf.DUMMYFUNCTION("""COMPUTED_VALUE"""),32150.0)</f>
        <v>32150</v>
      </c>
      <c r="C9911" s="9">
        <f>IFERROR(__xludf.DUMMYFUNCTION("""COMPUTED_VALUE"""),8.97)</f>
        <v>8.97</v>
      </c>
      <c r="H9911" s="17"/>
      <c r="K9911" s="17"/>
      <c r="N9911" s="17"/>
    </row>
    <row r="9912">
      <c r="B9912" s="11">
        <f>IFERROR(__xludf.DUMMYFUNCTION("""COMPUTED_VALUE"""),32149.0)</f>
        <v>32149</v>
      </c>
      <c r="C9912" s="9">
        <f>IFERROR(__xludf.DUMMYFUNCTION("""COMPUTED_VALUE"""),8.83)</f>
        <v>8.83</v>
      </c>
      <c r="H9912" s="17"/>
      <c r="K9912" s="17"/>
      <c r="N9912" s="17"/>
    </row>
    <row r="9913">
      <c r="B9913" s="11">
        <f>IFERROR(__xludf.DUMMYFUNCTION("""COMPUTED_VALUE"""),32148.0)</f>
        <v>32148</v>
      </c>
      <c r="C9913" s="9">
        <f>IFERROR(__xludf.DUMMYFUNCTION("""COMPUTED_VALUE"""),8.82)</f>
        <v>8.82</v>
      </c>
      <c r="H9913" s="17"/>
      <c r="K9913" s="17"/>
      <c r="N9913" s="17"/>
    </row>
    <row r="9914">
      <c r="B9914" s="11">
        <f>IFERROR(__xludf.DUMMYFUNCTION("""COMPUTED_VALUE"""),32147.0)</f>
        <v>32147</v>
      </c>
      <c r="C9914" s="9">
        <f>IFERROR(__xludf.DUMMYFUNCTION("""COMPUTED_VALUE"""),8.76)</f>
        <v>8.76</v>
      </c>
      <c r="H9914" s="17"/>
      <c r="K9914" s="17"/>
      <c r="N9914" s="17"/>
    </row>
    <row r="9915">
      <c r="B9915" s="11">
        <f>IFERROR(__xludf.DUMMYFUNCTION("""COMPUTED_VALUE"""),32146.0)</f>
        <v>32146</v>
      </c>
      <c r="C9915" s="9">
        <f>IFERROR(__xludf.DUMMYFUNCTION("""COMPUTED_VALUE"""),8.83)</f>
        <v>8.83</v>
      </c>
      <c r="H9915" s="17"/>
      <c r="K9915" s="17"/>
      <c r="N9915" s="17"/>
    </row>
    <row r="9916">
      <c r="B9916" s="11">
        <f>IFERROR(__xludf.DUMMYFUNCTION("""COMPUTED_VALUE"""),32143.0)</f>
        <v>32143</v>
      </c>
      <c r="C9916" s="9"/>
      <c r="H9916" s="17"/>
      <c r="K9916" s="17"/>
      <c r="N9916" s="17"/>
    </row>
    <row r="9917">
      <c r="B9917" s="11">
        <f>IFERROR(__xludf.DUMMYFUNCTION("""COMPUTED_VALUE"""),32142.0)</f>
        <v>32142</v>
      </c>
      <c r="C9917" s="9">
        <f>IFERROR(__xludf.DUMMYFUNCTION("""COMPUTED_VALUE"""),8.83)</f>
        <v>8.83</v>
      </c>
      <c r="H9917" s="17"/>
      <c r="K9917" s="17"/>
      <c r="N9917" s="17"/>
    </row>
    <row r="9918">
      <c r="B9918" s="11">
        <f>IFERROR(__xludf.DUMMYFUNCTION("""COMPUTED_VALUE"""),32141.0)</f>
        <v>32141</v>
      </c>
      <c r="C9918" s="9">
        <f>IFERROR(__xludf.DUMMYFUNCTION("""COMPUTED_VALUE"""),8.78)</f>
        <v>8.78</v>
      </c>
      <c r="H9918" s="17"/>
      <c r="K9918" s="17"/>
      <c r="N9918" s="17"/>
    </row>
    <row r="9919">
      <c r="B9919" s="11">
        <f>IFERROR(__xludf.DUMMYFUNCTION("""COMPUTED_VALUE"""),32140.0)</f>
        <v>32140</v>
      </c>
      <c r="C9919" s="9">
        <f>IFERROR(__xludf.DUMMYFUNCTION("""COMPUTED_VALUE"""),8.85)</f>
        <v>8.85</v>
      </c>
      <c r="H9919" s="17"/>
      <c r="K9919" s="17"/>
      <c r="N9919" s="17"/>
    </row>
    <row r="9920">
      <c r="B9920" s="11">
        <f>IFERROR(__xludf.DUMMYFUNCTION("""COMPUTED_VALUE"""),32139.0)</f>
        <v>32139</v>
      </c>
      <c r="C9920" s="9">
        <f>IFERROR(__xludf.DUMMYFUNCTION("""COMPUTED_VALUE"""),8.93)</f>
        <v>8.93</v>
      </c>
      <c r="H9920" s="17"/>
      <c r="K9920" s="17"/>
      <c r="N9920" s="17"/>
    </row>
    <row r="9921">
      <c r="B9921" s="11">
        <f>IFERROR(__xludf.DUMMYFUNCTION("""COMPUTED_VALUE"""),32136.0)</f>
        <v>32136</v>
      </c>
      <c r="C9921" s="9"/>
      <c r="H9921" s="17"/>
      <c r="K9921" s="17"/>
      <c r="N9921" s="17"/>
    </row>
    <row r="9922">
      <c r="B9922" s="11">
        <f>IFERROR(__xludf.DUMMYFUNCTION("""COMPUTED_VALUE"""),32135.0)</f>
        <v>32135</v>
      </c>
      <c r="C9922" s="9">
        <f>IFERROR(__xludf.DUMMYFUNCTION("""COMPUTED_VALUE"""),8.82)</f>
        <v>8.82</v>
      </c>
      <c r="H9922" s="17"/>
      <c r="K9922" s="17"/>
      <c r="N9922" s="17"/>
    </row>
    <row r="9923">
      <c r="B9923" s="11">
        <f>IFERROR(__xludf.DUMMYFUNCTION("""COMPUTED_VALUE"""),32134.0)</f>
        <v>32134</v>
      </c>
      <c r="C9923" s="9">
        <f>IFERROR(__xludf.DUMMYFUNCTION("""COMPUTED_VALUE"""),8.83)</f>
        <v>8.83</v>
      </c>
      <c r="H9923" s="17"/>
      <c r="K9923" s="17"/>
      <c r="N9923" s="17"/>
    </row>
    <row r="9924">
      <c r="B9924" s="11">
        <f>IFERROR(__xludf.DUMMYFUNCTION("""COMPUTED_VALUE"""),32133.0)</f>
        <v>32133</v>
      </c>
      <c r="C9924" s="9">
        <f>IFERROR(__xludf.DUMMYFUNCTION("""COMPUTED_VALUE"""),8.95)</f>
        <v>8.95</v>
      </c>
      <c r="H9924" s="17"/>
      <c r="K9924" s="17"/>
      <c r="N9924" s="17"/>
    </row>
    <row r="9925">
      <c r="B9925" s="11">
        <f>IFERROR(__xludf.DUMMYFUNCTION("""COMPUTED_VALUE"""),32132.0)</f>
        <v>32132</v>
      </c>
      <c r="C9925" s="9">
        <f>IFERROR(__xludf.DUMMYFUNCTION("""COMPUTED_VALUE"""),8.88)</f>
        <v>8.88</v>
      </c>
      <c r="H9925" s="17"/>
      <c r="K9925" s="17"/>
      <c r="N9925" s="17"/>
    </row>
    <row r="9926">
      <c r="B9926" s="11">
        <f>IFERROR(__xludf.DUMMYFUNCTION("""COMPUTED_VALUE"""),32129.0)</f>
        <v>32129</v>
      </c>
      <c r="C9926" s="9">
        <f>IFERROR(__xludf.DUMMYFUNCTION("""COMPUTED_VALUE"""),8.89)</f>
        <v>8.89</v>
      </c>
      <c r="H9926" s="17"/>
      <c r="K9926" s="17"/>
      <c r="N9926" s="17"/>
    </row>
    <row r="9927">
      <c r="B9927" s="11">
        <f>IFERROR(__xludf.DUMMYFUNCTION("""COMPUTED_VALUE"""),32128.0)</f>
        <v>32128</v>
      </c>
      <c r="C9927" s="9">
        <f>IFERROR(__xludf.DUMMYFUNCTION("""COMPUTED_VALUE"""),9.03)</f>
        <v>9.03</v>
      </c>
      <c r="H9927" s="17"/>
      <c r="K9927" s="17"/>
      <c r="N9927" s="17"/>
    </row>
    <row r="9928">
      <c r="B9928" s="11">
        <f>IFERROR(__xludf.DUMMYFUNCTION("""COMPUTED_VALUE"""),32127.0)</f>
        <v>32127</v>
      </c>
      <c r="C9928" s="9">
        <f>IFERROR(__xludf.DUMMYFUNCTION("""COMPUTED_VALUE"""),9.0)</f>
        <v>9</v>
      </c>
      <c r="H9928" s="17"/>
      <c r="K9928" s="17"/>
      <c r="N9928" s="17"/>
    </row>
    <row r="9929">
      <c r="B9929" s="11">
        <f>IFERROR(__xludf.DUMMYFUNCTION("""COMPUTED_VALUE"""),32126.0)</f>
        <v>32126</v>
      </c>
      <c r="C9929" s="9">
        <f>IFERROR(__xludf.DUMMYFUNCTION("""COMPUTED_VALUE"""),9.09)</f>
        <v>9.09</v>
      </c>
      <c r="H9929" s="17"/>
      <c r="K9929" s="17"/>
      <c r="N9929" s="17"/>
    </row>
    <row r="9930">
      <c r="B9930" s="11">
        <f>IFERROR(__xludf.DUMMYFUNCTION("""COMPUTED_VALUE"""),32125.0)</f>
        <v>32125</v>
      </c>
      <c r="C9930" s="9">
        <f>IFERROR(__xludf.DUMMYFUNCTION("""COMPUTED_VALUE"""),9.23)</f>
        <v>9.23</v>
      </c>
      <c r="H9930" s="17"/>
      <c r="K9930" s="17"/>
      <c r="N9930" s="17"/>
    </row>
    <row r="9931">
      <c r="B9931" s="11">
        <f>IFERROR(__xludf.DUMMYFUNCTION("""COMPUTED_VALUE"""),32122.0)</f>
        <v>32122</v>
      </c>
      <c r="C9931" s="9">
        <f>IFERROR(__xludf.DUMMYFUNCTION("""COMPUTED_VALUE"""),9.28)</f>
        <v>9.28</v>
      </c>
      <c r="H9931" s="17"/>
      <c r="K9931" s="17"/>
      <c r="N9931" s="17"/>
    </row>
    <row r="9932">
      <c r="B9932" s="11">
        <f>IFERROR(__xludf.DUMMYFUNCTION("""COMPUTED_VALUE"""),32121.0)</f>
        <v>32121</v>
      </c>
      <c r="C9932" s="9">
        <f>IFERROR(__xludf.DUMMYFUNCTION("""COMPUTED_VALUE"""),9.23)</f>
        <v>9.23</v>
      </c>
      <c r="H9932" s="17"/>
      <c r="K9932" s="17"/>
      <c r="N9932" s="17"/>
    </row>
    <row r="9933">
      <c r="B9933" s="11">
        <f>IFERROR(__xludf.DUMMYFUNCTION("""COMPUTED_VALUE"""),32120.0)</f>
        <v>32120</v>
      </c>
      <c r="C9933" s="9">
        <f>IFERROR(__xludf.DUMMYFUNCTION("""COMPUTED_VALUE"""),9.05)</f>
        <v>9.05</v>
      </c>
      <c r="H9933" s="17"/>
      <c r="K9933" s="17"/>
      <c r="N9933" s="17"/>
    </row>
    <row r="9934">
      <c r="B9934" s="11">
        <f>IFERROR(__xludf.DUMMYFUNCTION("""COMPUTED_VALUE"""),32119.0)</f>
        <v>32119</v>
      </c>
      <c r="C9934" s="9">
        <f>IFERROR(__xludf.DUMMYFUNCTION("""COMPUTED_VALUE"""),9.09)</f>
        <v>9.09</v>
      </c>
      <c r="H9934" s="17"/>
      <c r="K9934" s="17"/>
      <c r="N9934" s="17"/>
    </row>
    <row r="9935">
      <c r="B9935" s="11">
        <f>IFERROR(__xludf.DUMMYFUNCTION("""COMPUTED_VALUE"""),32118.0)</f>
        <v>32118</v>
      </c>
      <c r="C9935" s="9">
        <f>IFERROR(__xludf.DUMMYFUNCTION("""COMPUTED_VALUE"""),9.07)</f>
        <v>9.07</v>
      </c>
      <c r="H9935" s="17"/>
      <c r="K9935" s="17"/>
      <c r="N9935" s="17"/>
    </row>
    <row r="9936">
      <c r="B9936" s="11">
        <f>IFERROR(__xludf.DUMMYFUNCTION("""COMPUTED_VALUE"""),32115.0)</f>
        <v>32115</v>
      </c>
      <c r="C9936" s="9">
        <f>IFERROR(__xludf.DUMMYFUNCTION("""COMPUTED_VALUE"""),8.94)</f>
        <v>8.94</v>
      </c>
      <c r="H9936" s="17"/>
      <c r="K9936" s="17"/>
      <c r="N9936" s="17"/>
    </row>
    <row r="9937">
      <c r="B9937" s="11">
        <f>IFERROR(__xludf.DUMMYFUNCTION("""COMPUTED_VALUE"""),32114.0)</f>
        <v>32114</v>
      </c>
      <c r="C9937" s="9">
        <f>IFERROR(__xludf.DUMMYFUNCTION("""COMPUTED_VALUE"""),8.94)</f>
        <v>8.94</v>
      </c>
      <c r="H9937" s="17"/>
      <c r="K9937" s="17"/>
      <c r="N9937" s="17"/>
    </row>
    <row r="9938">
      <c r="B9938" s="11">
        <f>IFERROR(__xludf.DUMMYFUNCTION("""COMPUTED_VALUE"""),32113.0)</f>
        <v>32113</v>
      </c>
      <c r="C9938" s="9">
        <f>IFERROR(__xludf.DUMMYFUNCTION("""COMPUTED_VALUE"""),9.01)</f>
        <v>9.01</v>
      </c>
      <c r="H9938" s="17"/>
      <c r="K9938" s="17"/>
      <c r="N9938" s="17"/>
    </row>
    <row r="9939">
      <c r="B9939" s="11">
        <f>IFERROR(__xludf.DUMMYFUNCTION("""COMPUTED_VALUE"""),32112.0)</f>
        <v>32112</v>
      </c>
      <c r="C9939" s="9">
        <f>IFERROR(__xludf.DUMMYFUNCTION("""COMPUTED_VALUE"""),9.01)</f>
        <v>9.01</v>
      </c>
      <c r="H9939" s="17"/>
      <c r="K9939" s="17"/>
      <c r="N9939" s="17"/>
    </row>
    <row r="9940">
      <c r="B9940" s="11">
        <f>IFERROR(__xludf.DUMMYFUNCTION("""COMPUTED_VALUE"""),32111.0)</f>
        <v>32111</v>
      </c>
      <c r="C9940" s="9">
        <f>IFERROR(__xludf.DUMMYFUNCTION("""COMPUTED_VALUE"""),8.99)</f>
        <v>8.99</v>
      </c>
      <c r="H9940" s="17"/>
      <c r="K9940" s="17"/>
      <c r="N9940" s="17"/>
    </row>
    <row r="9941">
      <c r="B9941" s="11">
        <f>IFERROR(__xludf.DUMMYFUNCTION("""COMPUTED_VALUE"""),32108.0)</f>
        <v>32108</v>
      </c>
      <c r="C9941" s="9">
        <f>IFERROR(__xludf.DUMMYFUNCTION("""COMPUTED_VALUE"""),9.11)</f>
        <v>9.11</v>
      </c>
      <c r="H9941" s="17"/>
      <c r="K9941" s="17"/>
      <c r="N9941" s="17"/>
    </row>
    <row r="9942">
      <c r="B9942" s="11">
        <f>IFERROR(__xludf.DUMMYFUNCTION("""COMPUTED_VALUE"""),32107.0)</f>
        <v>32107</v>
      </c>
      <c r="C9942" s="9"/>
      <c r="H9942" s="17"/>
      <c r="K9942" s="17"/>
      <c r="N9942" s="17"/>
    </row>
    <row r="9943">
      <c r="B9943" s="11">
        <f>IFERROR(__xludf.DUMMYFUNCTION("""COMPUTED_VALUE"""),32106.0)</f>
        <v>32106</v>
      </c>
      <c r="C9943" s="9">
        <f>IFERROR(__xludf.DUMMYFUNCTION("""COMPUTED_VALUE"""),8.98)</f>
        <v>8.98</v>
      </c>
      <c r="H9943" s="17"/>
      <c r="K9943" s="17"/>
      <c r="N9943" s="17"/>
    </row>
    <row r="9944">
      <c r="B9944" s="11">
        <f>IFERROR(__xludf.DUMMYFUNCTION("""COMPUTED_VALUE"""),32105.0)</f>
        <v>32105</v>
      </c>
      <c r="C9944" s="9">
        <f>IFERROR(__xludf.DUMMYFUNCTION("""COMPUTED_VALUE"""),8.89)</f>
        <v>8.89</v>
      </c>
      <c r="H9944" s="17"/>
      <c r="K9944" s="17"/>
      <c r="N9944" s="17"/>
    </row>
    <row r="9945">
      <c r="B9945" s="11">
        <f>IFERROR(__xludf.DUMMYFUNCTION("""COMPUTED_VALUE"""),32104.0)</f>
        <v>32104</v>
      </c>
      <c r="C9945" s="9">
        <f>IFERROR(__xludf.DUMMYFUNCTION("""COMPUTED_VALUE"""),8.8)</f>
        <v>8.8</v>
      </c>
      <c r="H9945" s="17"/>
      <c r="K9945" s="17"/>
      <c r="N9945" s="17"/>
    </row>
    <row r="9946">
      <c r="B9946" s="11">
        <f>IFERROR(__xludf.DUMMYFUNCTION("""COMPUTED_VALUE"""),32101.0)</f>
        <v>32101</v>
      </c>
      <c r="C9946" s="9">
        <f>IFERROR(__xludf.DUMMYFUNCTION("""COMPUTED_VALUE"""),8.79)</f>
        <v>8.79</v>
      </c>
      <c r="H9946" s="17"/>
      <c r="K9946" s="17"/>
      <c r="N9946" s="17"/>
    </row>
    <row r="9947">
      <c r="B9947" s="11">
        <f>IFERROR(__xludf.DUMMYFUNCTION("""COMPUTED_VALUE"""),32100.0)</f>
        <v>32100</v>
      </c>
      <c r="C9947" s="9">
        <f>IFERROR(__xludf.DUMMYFUNCTION("""COMPUTED_VALUE"""),8.83)</f>
        <v>8.83</v>
      </c>
      <c r="H9947" s="17"/>
      <c r="K9947" s="17"/>
      <c r="N9947" s="17"/>
    </row>
    <row r="9948">
      <c r="B9948" s="11">
        <f>IFERROR(__xludf.DUMMYFUNCTION("""COMPUTED_VALUE"""),32099.0)</f>
        <v>32099</v>
      </c>
      <c r="C9948" s="9">
        <f>IFERROR(__xludf.DUMMYFUNCTION("""COMPUTED_VALUE"""),8.85)</f>
        <v>8.85</v>
      </c>
      <c r="H9948" s="17"/>
      <c r="K9948" s="17"/>
      <c r="N9948" s="17"/>
    </row>
    <row r="9949">
      <c r="B9949" s="11">
        <f>IFERROR(__xludf.DUMMYFUNCTION("""COMPUTED_VALUE"""),32098.0)</f>
        <v>32098</v>
      </c>
      <c r="C9949" s="9">
        <f>IFERROR(__xludf.DUMMYFUNCTION("""COMPUTED_VALUE"""),8.86)</f>
        <v>8.86</v>
      </c>
      <c r="H9949" s="17"/>
      <c r="K9949" s="17"/>
      <c r="N9949" s="17"/>
    </row>
    <row r="9950">
      <c r="B9950" s="11">
        <f>IFERROR(__xludf.DUMMYFUNCTION("""COMPUTED_VALUE"""),32097.0)</f>
        <v>32097</v>
      </c>
      <c r="C9950" s="9">
        <f>IFERROR(__xludf.DUMMYFUNCTION("""COMPUTED_VALUE"""),8.82)</f>
        <v>8.82</v>
      </c>
      <c r="H9950" s="17"/>
      <c r="K9950" s="17"/>
      <c r="N9950" s="17"/>
    </row>
    <row r="9951">
      <c r="B9951" s="11">
        <f>IFERROR(__xludf.DUMMYFUNCTION("""COMPUTED_VALUE"""),32094.0)</f>
        <v>32094</v>
      </c>
      <c r="C9951" s="9">
        <f>IFERROR(__xludf.DUMMYFUNCTION("""COMPUTED_VALUE"""),8.84)</f>
        <v>8.84</v>
      </c>
      <c r="H9951" s="17"/>
      <c r="K9951" s="17"/>
      <c r="N9951" s="17"/>
    </row>
    <row r="9952">
      <c r="B9952" s="11">
        <f>IFERROR(__xludf.DUMMYFUNCTION("""COMPUTED_VALUE"""),32093.0)</f>
        <v>32093</v>
      </c>
      <c r="C9952" s="9">
        <f>IFERROR(__xludf.DUMMYFUNCTION("""COMPUTED_VALUE"""),8.8)</f>
        <v>8.8</v>
      </c>
      <c r="H9952" s="17"/>
      <c r="K9952" s="17"/>
      <c r="N9952" s="17"/>
    </row>
    <row r="9953">
      <c r="B9953" s="11">
        <f>IFERROR(__xludf.DUMMYFUNCTION("""COMPUTED_VALUE"""),32092.0)</f>
        <v>32092</v>
      </c>
      <c r="C9953" s="9"/>
      <c r="H9953" s="17"/>
      <c r="K9953" s="17"/>
      <c r="N9953" s="17"/>
    </row>
    <row r="9954">
      <c r="B9954" s="11">
        <f>IFERROR(__xludf.DUMMYFUNCTION("""COMPUTED_VALUE"""),32091.0)</f>
        <v>32091</v>
      </c>
      <c r="C9954" s="9">
        <f>IFERROR(__xludf.DUMMYFUNCTION("""COMPUTED_VALUE"""),8.79)</f>
        <v>8.79</v>
      </c>
      <c r="H9954" s="17"/>
      <c r="K9954" s="17"/>
      <c r="N9954" s="17"/>
    </row>
    <row r="9955">
      <c r="B9955" s="11">
        <f>IFERROR(__xludf.DUMMYFUNCTION("""COMPUTED_VALUE"""),32090.0)</f>
        <v>32090</v>
      </c>
      <c r="C9955" s="9">
        <f>IFERROR(__xludf.DUMMYFUNCTION("""COMPUTED_VALUE"""),8.78)</f>
        <v>8.78</v>
      </c>
      <c r="H9955" s="17"/>
      <c r="K9955" s="17"/>
      <c r="N9955" s="17"/>
    </row>
    <row r="9956">
      <c r="B9956" s="11">
        <f>IFERROR(__xludf.DUMMYFUNCTION("""COMPUTED_VALUE"""),32087.0)</f>
        <v>32087</v>
      </c>
      <c r="C9956" s="9">
        <f>IFERROR(__xludf.DUMMYFUNCTION("""COMPUTED_VALUE"""),8.76)</f>
        <v>8.76</v>
      </c>
      <c r="H9956" s="17"/>
      <c r="K9956" s="17"/>
      <c r="N9956" s="17"/>
    </row>
    <row r="9957">
      <c r="B9957" s="11">
        <f>IFERROR(__xludf.DUMMYFUNCTION("""COMPUTED_VALUE"""),32086.0)</f>
        <v>32086</v>
      </c>
      <c r="C9957" s="9">
        <f>IFERROR(__xludf.DUMMYFUNCTION("""COMPUTED_VALUE"""),8.72)</f>
        <v>8.72</v>
      </c>
      <c r="H9957" s="17"/>
      <c r="K9957" s="17"/>
      <c r="N9957" s="17"/>
    </row>
    <row r="9958">
      <c r="B9958" s="11">
        <f>IFERROR(__xludf.DUMMYFUNCTION("""COMPUTED_VALUE"""),32085.0)</f>
        <v>32085</v>
      </c>
      <c r="C9958" s="9">
        <f>IFERROR(__xludf.DUMMYFUNCTION("""COMPUTED_VALUE"""),8.85)</f>
        <v>8.85</v>
      </c>
      <c r="H9958" s="17"/>
      <c r="K9958" s="17"/>
      <c r="N9958" s="17"/>
    </row>
    <row r="9959">
      <c r="B9959" s="11">
        <f>IFERROR(__xludf.DUMMYFUNCTION("""COMPUTED_VALUE"""),32084.0)</f>
        <v>32084</v>
      </c>
      <c r="C9959" s="9">
        <f>IFERROR(__xludf.DUMMYFUNCTION("""COMPUTED_VALUE"""),8.91)</f>
        <v>8.91</v>
      </c>
      <c r="H9959" s="17"/>
      <c r="K9959" s="17"/>
      <c r="N9959" s="17"/>
    </row>
    <row r="9960">
      <c r="B9960" s="11">
        <f>IFERROR(__xludf.DUMMYFUNCTION("""COMPUTED_VALUE"""),32083.0)</f>
        <v>32083</v>
      </c>
      <c r="C9960" s="9">
        <f>IFERROR(__xludf.DUMMYFUNCTION("""COMPUTED_VALUE"""),8.98)</f>
        <v>8.98</v>
      </c>
      <c r="H9960" s="17"/>
      <c r="K9960" s="17"/>
      <c r="N9960" s="17"/>
    </row>
    <row r="9961">
      <c r="B9961" s="11">
        <f>IFERROR(__xludf.DUMMYFUNCTION("""COMPUTED_VALUE"""),32080.0)</f>
        <v>32080</v>
      </c>
      <c r="C9961" s="9">
        <f>IFERROR(__xludf.DUMMYFUNCTION("""COMPUTED_VALUE"""),8.88)</f>
        <v>8.88</v>
      </c>
      <c r="H9961" s="17"/>
      <c r="K9961" s="17"/>
      <c r="N9961" s="17"/>
    </row>
    <row r="9962">
      <c r="B9962" s="11">
        <f>IFERROR(__xludf.DUMMYFUNCTION("""COMPUTED_VALUE"""),32079.0)</f>
        <v>32079</v>
      </c>
      <c r="C9962" s="9">
        <f>IFERROR(__xludf.DUMMYFUNCTION("""COMPUTED_VALUE"""),8.89)</f>
        <v>8.89</v>
      </c>
      <c r="H9962" s="17"/>
      <c r="K9962" s="17"/>
      <c r="N9962" s="17"/>
    </row>
    <row r="9963">
      <c r="B9963" s="11">
        <f>IFERROR(__xludf.DUMMYFUNCTION("""COMPUTED_VALUE"""),32078.0)</f>
        <v>32078</v>
      </c>
      <c r="C9963" s="9">
        <f>IFERROR(__xludf.DUMMYFUNCTION("""COMPUTED_VALUE"""),9.01)</f>
        <v>9.01</v>
      </c>
      <c r="H9963" s="17"/>
      <c r="K9963" s="17"/>
      <c r="N9963" s="17"/>
    </row>
    <row r="9964">
      <c r="B9964" s="11">
        <f>IFERROR(__xludf.DUMMYFUNCTION("""COMPUTED_VALUE"""),32077.0)</f>
        <v>32077</v>
      </c>
      <c r="C9964" s="9">
        <f>IFERROR(__xludf.DUMMYFUNCTION("""COMPUTED_VALUE"""),8.92)</f>
        <v>8.92</v>
      </c>
      <c r="H9964" s="17"/>
      <c r="K9964" s="17"/>
      <c r="N9964" s="17"/>
    </row>
    <row r="9965">
      <c r="B9965" s="11">
        <f>IFERROR(__xludf.DUMMYFUNCTION("""COMPUTED_VALUE"""),32076.0)</f>
        <v>32076</v>
      </c>
      <c r="C9965" s="9">
        <f>IFERROR(__xludf.DUMMYFUNCTION("""COMPUTED_VALUE"""),8.8)</f>
        <v>8.8</v>
      </c>
      <c r="H9965" s="17"/>
      <c r="K9965" s="17"/>
      <c r="N9965" s="17"/>
    </row>
    <row r="9966">
      <c r="B9966" s="11">
        <f>IFERROR(__xludf.DUMMYFUNCTION("""COMPUTED_VALUE"""),32073.0)</f>
        <v>32073</v>
      </c>
      <c r="C9966" s="9">
        <f>IFERROR(__xludf.DUMMYFUNCTION("""COMPUTED_VALUE"""),8.98)</f>
        <v>8.98</v>
      </c>
      <c r="H9966" s="17"/>
      <c r="K9966" s="17"/>
      <c r="N9966" s="17"/>
    </row>
    <row r="9967">
      <c r="B9967" s="11">
        <f>IFERROR(__xludf.DUMMYFUNCTION("""COMPUTED_VALUE"""),32072.0)</f>
        <v>32072</v>
      </c>
      <c r="C9967" s="9">
        <f>IFERROR(__xludf.DUMMYFUNCTION("""COMPUTED_VALUE"""),8.97)</f>
        <v>8.97</v>
      </c>
      <c r="H9967" s="17"/>
      <c r="K9967" s="17"/>
      <c r="N9967" s="17"/>
    </row>
    <row r="9968">
      <c r="B9968" s="11">
        <f>IFERROR(__xludf.DUMMYFUNCTION("""COMPUTED_VALUE"""),32071.0)</f>
        <v>32071</v>
      </c>
      <c r="C9968" s="9">
        <f>IFERROR(__xludf.DUMMYFUNCTION("""COMPUTED_VALUE"""),9.3)</f>
        <v>9.3</v>
      </c>
      <c r="H9968" s="17"/>
      <c r="K9968" s="17"/>
      <c r="N9968" s="17"/>
    </row>
    <row r="9969">
      <c r="B9969" s="11">
        <f>IFERROR(__xludf.DUMMYFUNCTION("""COMPUTED_VALUE"""),32070.0)</f>
        <v>32070</v>
      </c>
      <c r="C9969" s="9">
        <f>IFERROR(__xludf.DUMMYFUNCTION("""COMPUTED_VALUE"""),9.4)</f>
        <v>9.4</v>
      </c>
      <c r="H9969" s="17"/>
      <c r="K9969" s="17"/>
      <c r="N9969" s="17"/>
    </row>
    <row r="9970">
      <c r="B9970" s="11">
        <f>IFERROR(__xludf.DUMMYFUNCTION("""COMPUTED_VALUE"""),32069.0)</f>
        <v>32069</v>
      </c>
      <c r="C9970" s="9">
        <f>IFERROR(__xludf.DUMMYFUNCTION("""COMPUTED_VALUE"""),10.15)</f>
        <v>10.15</v>
      </c>
      <c r="H9970" s="17"/>
      <c r="K9970" s="17"/>
      <c r="N9970" s="17"/>
    </row>
    <row r="9971">
      <c r="B9971" s="11">
        <f>IFERROR(__xludf.DUMMYFUNCTION("""COMPUTED_VALUE"""),32066.0)</f>
        <v>32066</v>
      </c>
      <c r="C9971" s="9">
        <f>IFERROR(__xludf.DUMMYFUNCTION("""COMPUTED_VALUE"""),10.23)</f>
        <v>10.23</v>
      </c>
      <c r="H9971" s="17"/>
      <c r="K9971" s="17"/>
      <c r="N9971" s="17"/>
    </row>
    <row r="9972">
      <c r="B9972" s="11">
        <f>IFERROR(__xludf.DUMMYFUNCTION("""COMPUTED_VALUE"""),32065.0)</f>
        <v>32065</v>
      </c>
      <c r="C9972" s="9">
        <f>IFERROR(__xludf.DUMMYFUNCTION("""COMPUTED_VALUE"""),10.18)</f>
        <v>10.18</v>
      </c>
      <c r="H9972" s="17"/>
      <c r="K9972" s="17"/>
      <c r="N9972" s="17"/>
    </row>
    <row r="9973">
      <c r="B9973" s="11">
        <f>IFERROR(__xludf.DUMMYFUNCTION("""COMPUTED_VALUE"""),32064.0)</f>
        <v>32064</v>
      </c>
      <c r="C9973" s="9">
        <f>IFERROR(__xludf.DUMMYFUNCTION("""COMPUTED_VALUE"""),10.13)</f>
        <v>10.13</v>
      </c>
      <c r="H9973" s="17"/>
      <c r="K9973" s="17"/>
      <c r="N9973" s="17"/>
    </row>
    <row r="9974">
      <c r="B9974" s="11">
        <f>IFERROR(__xludf.DUMMYFUNCTION("""COMPUTED_VALUE"""),32063.0)</f>
        <v>32063</v>
      </c>
      <c r="C9974" s="9">
        <f>IFERROR(__xludf.DUMMYFUNCTION("""COMPUTED_VALUE"""),9.9)</f>
        <v>9.9</v>
      </c>
      <c r="H9974" s="17"/>
      <c r="K9974" s="17"/>
      <c r="N9974" s="17"/>
    </row>
    <row r="9975">
      <c r="B9975" s="11">
        <f>IFERROR(__xludf.DUMMYFUNCTION("""COMPUTED_VALUE"""),32062.0)</f>
        <v>32062</v>
      </c>
      <c r="C9975" s="9"/>
      <c r="H9975" s="17"/>
      <c r="K9975" s="17"/>
      <c r="N9975" s="17"/>
    </row>
    <row r="9976">
      <c r="B9976" s="11">
        <f>IFERROR(__xludf.DUMMYFUNCTION("""COMPUTED_VALUE"""),32059.0)</f>
        <v>32059</v>
      </c>
      <c r="C9976" s="9">
        <f>IFERROR(__xludf.DUMMYFUNCTION("""COMPUTED_VALUE"""),9.94)</f>
        <v>9.94</v>
      </c>
      <c r="H9976" s="17"/>
      <c r="K9976" s="17"/>
      <c r="N9976" s="17"/>
    </row>
    <row r="9977">
      <c r="B9977" s="11">
        <f>IFERROR(__xludf.DUMMYFUNCTION("""COMPUTED_VALUE"""),32058.0)</f>
        <v>32058</v>
      </c>
      <c r="C9977" s="9">
        <f>IFERROR(__xludf.DUMMYFUNCTION("""COMPUTED_VALUE"""),9.86)</f>
        <v>9.86</v>
      </c>
      <c r="H9977" s="17"/>
      <c r="K9977" s="17"/>
      <c r="N9977" s="17"/>
    </row>
    <row r="9978">
      <c r="B9978" s="11">
        <f>IFERROR(__xludf.DUMMYFUNCTION("""COMPUTED_VALUE"""),32057.0)</f>
        <v>32057</v>
      </c>
      <c r="C9978" s="9">
        <f>IFERROR(__xludf.DUMMYFUNCTION("""COMPUTED_VALUE"""),9.71)</f>
        <v>9.71</v>
      </c>
      <c r="H9978" s="17"/>
      <c r="K9978" s="17"/>
      <c r="N9978" s="17"/>
    </row>
    <row r="9979">
      <c r="B9979" s="11">
        <f>IFERROR(__xludf.DUMMYFUNCTION("""COMPUTED_VALUE"""),32056.0)</f>
        <v>32056</v>
      </c>
      <c r="C9979" s="9">
        <f>IFERROR(__xludf.DUMMYFUNCTION("""COMPUTED_VALUE"""),9.72)</f>
        <v>9.72</v>
      </c>
      <c r="H9979" s="17"/>
      <c r="K9979" s="17"/>
      <c r="N9979" s="17"/>
    </row>
    <row r="9980">
      <c r="B9980" s="11">
        <f>IFERROR(__xludf.DUMMYFUNCTION("""COMPUTED_VALUE"""),32055.0)</f>
        <v>32055</v>
      </c>
      <c r="C9980" s="9">
        <f>IFERROR(__xludf.DUMMYFUNCTION("""COMPUTED_VALUE"""),9.69)</f>
        <v>9.69</v>
      </c>
      <c r="H9980" s="17"/>
      <c r="K9980" s="17"/>
      <c r="N9980" s="17"/>
    </row>
    <row r="9981">
      <c r="B9981" s="11">
        <f>IFERROR(__xludf.DUMMYFUNCTION("""COMPUTED_VALUE"""),32052.0)</f>
        <v>32052</v>
      </c>
      <c r="C9981" s="9">
        <f>IFERROR(__xludf.DUMMYFUNCTION("""COMPUTED_VALUE"""),9.6)</f>
        <v>9.6</v>
      </c>
      <c r="H9981" s="17"/>
      <c r="K9981" s="17"/>
      <c r="N9981" s="17"/>
    </row>
    <row r="9982">
      <c r="B9982" s="11">
        <f>IFERROR(__xludf.DUMMYFUNCTION("""COMPUTED_VALUE"""),32051.0)</f>
        <v>32051</v>
      </c>
      <c r="C9982" s="9">
        <f>IFERROR(__xludf.DUMMYFUNCTION("""COMPUTED_VALUE"""),9.66)</f>
        <v>9.66</v>
      </c>
      <c r="H9982" s="17"/>
      <c r="K9982" s="17"/>
      <c r="N9982" s="17"/>
    </row>
    <row r="9983">
      <c r="B9983" s="11">
        <f>IFERROR(__xludf.DUMMYFUNCTION("""COMPUTED_VALUE"""),32050.0)</f>
        <v>32050</v>
      </c>
      <c r="C9983" s="9">
        <f>IFERROR(__xludf.DUMMYFUNCTION("""COMPUTED_VALUE"""),9.63)</f>
        <v>9.63</v>
      </c>
      <c r="H9983" s="17"/>
      <c r="K9983" s="17"/>
      <c r="N9983" s="17"/>
    </row>
    <row r="9984">
      <c r="B9984" s="11">
        <f>IFERROR(__xludf.DUMMYFUNCTION("""COMPUTED_VALUE"""),32049.0)</f>
        <v>32049</v>
      </c>
      <c r="C9984" s="9">
        <f>IFERROR(__xludf.DUMMYFUNCTION("""COMPUTED_VALUE"""),9.64)</f>
        <v>9.64</v>
      </c>
      <c r="H9984" s="17"/>
      <c r="K9984" s="17"/>
      <c r="N9984" s="17"/>
    </row>
    <row r="9985">
      <c r="B9985" s="11">
        <f>IFERROR(__xludf.DUMMYFUNCTION("""COMPUTED_VALUE"""),32048.0)</f>
        <v>32048</v>
      </c>
      <c r="C9985" s="9">
        <f>IFERROR(__xludf.DUMMYFUNCTION("""COMPUTED_VALUE"""),9.52)</f>
        <v>9.52</v>
      </c>
      <c r="H9985" s="17"/>
      <c r="K9985" s="17"/>
      <c r="N9985" s="17"/>
    </row>
    <row r="9986">
      <c r="B9986" s="11">
        <f>IFERROR(__xludf.DUMMYFUNCTION("""COMPUTED_VALUE"""),32045.0)</f>
        <v>32045</v>
      </c>
      <c r="C9986" s="9">
        <f>IFERROR(__xludf.DUMMYFUNCTION("""COMPUTED_VALUE"""),9.53)</f>
        <v>9.53</v>
      </c>
      <c r="H9986" s="17"/>
      <c r="K9986" s="17"/>
      <c r="N9986" s="17"/>
    </row>
    <row r="9987">
      <c r="B9987" s="11">
        <f>IFERROR(__xludf.DUMMYFUNCTION("""COMPUTED_VALUE"""),32044.0)</f>
        <v>32044</v>
      </c>
      <c r="C9987" s="9">
        <f>IFERROR(__xludf.DUMMYFUNCTION("""COMPUTED_VALUE"""),9.51)</f>
        <v>9.51</v>
      </c>
      <c r="H9987" s="17"/>
      <c r="K9987" s="17"/>
      <c r="N9987" s="17"/>
    </row>
    <row r="9988">
      <c r="B9988" s="11">
        <f>IFERROR(__xludf.DUMMYFUNCTION("""COMPUTED_VALUE"""),32043.0)</f>
        <v>32043</v>
      </c>
      <c r="C9988" s="9">
        <f>IFERROR(__xludf.DUMMYFUNCTION("""COMPUTED_VALUE"""),9.4)</f>
        <v>9.4</v>
      </c>
      <c r="H9988" s="17"/>
      <c r="K9988" s="17"/>
      <c r="N9988" s="17"/>
    </row>
    <row r="9989">
      <c r="B9989" s="11">
        <f>IFERROR(__xludf.DUMMYFUNCTION("""COMPUTED_VALUE"""),32042.0)</f>
        <v>32042</v>
      </c>
      <c r="C9989" s="9">
        <f>IFERROR(__xludf.DUMMYFUNCTION("""COMPUTED_VALUE"""),9.37)</f>
        <v>9.37</v>
      </c>
      <c r="H9989" s="17"/>
      <c r="K9989" s="17"/>
      <c r="N9989" s="17"/>
    </row>
    <row r="9990">
      <c r="B9990" s="11">
        <f>IFERROR(__xludf.DUMMYFUNCTION("""COMPUTED_VALUE"""),32041.0)</f>
        <v>32041</v>
      </c>
      <c r="C9990" s="9">
        <f>IFERROR(__xludf.DUMMYFUNCTION("""COMPUTED_VALUE"""),9.45)</f>
        <v>9.45</v>
      </c>
      <c r="H9990" s="17"/>
      <c r="K9990" s="17"/>
      <c r="N9990" s="17"/>
    </row>
    <row r="9991">
      <c r="B9991" s="11">
        <f>IFERROR(__xludf.DUMMYFUNCTION("""COMPUTED_VALUE"""),32038.0)</f>
        <v>32038</v>
      </c>
      <c r="C9991" s="9">
        <f>IFERROR(__xludf.DUMMYFUNCTION("""COMPUTED_VALUE"""),9.38)</f>
        <v>9.38</v>
      </c>
      <c r="H9991" s="17"/>
      <c r="K9991" s="17"/>
      <c r="N9991" s="17"/>
    </row>
    <row r="9992">
      <c r="B9992" s="11">
        <f>IFERROR(__xludf.DUMMYFUNCTION("""COMPUTED_VALUE"""),32037.0)</f>
        <v>32037</v>
      </c>
      <c r="C9992" s="9">
        <f>IFERROR(__xludf.DUMMYFUNCTION("""COMPUTED_VALUE"""),9.48)</f>
        <v>9.48</v>
      </c>
      <c r="H9992" s="17"/>
      <c r="K9992" s="17"/>
      <c r="N9992" s="17"/>
    </row>
    <row r="9993">
      <c r="B9993" s="11">
        <f>IFERROR(__xludf.DUMMYFUNCTION("""COMPUTED_VALUE"""),32036.0)</f>
        <v>32036</v>
      </c>
      <c r="C9993" s="9">
        <f>IFERROR(__xludf.DUMMYFUNCTION("""COMPUTED_VALUE"""),9.52)</f>
        <v>9.52</v>
      </c>
      <c r="H9993" s="17"/>
      <c r="K9993" s="17"/>
      <c r="N9993" s="17"/>
    </row>
    <row r="9994">
      <c r="B9994" s="11">
        <f>IFERROR(__xludf.DUMMYFUNCTION("""COMPUTED_VALUE"""),32035.0)</f>
        <v>32035</v>
      </c>
      <c r="C9994" s="9">
        <f>IFERROR(__xludf.DUMMYFUNCTION("""COMPUTED_VALUE"""),9.44)</f>
        <v>9.44</v>
      </c>
      <c r="H9994" s="17"/>
      <c r="K9994" s="17"/>
      <c r="N9994" s="17"/>
    </row>
    <row r="9995">
      <c r="B9995" s="11">
        <f>IFERROR(__xludf.DUMMYFUNCTION("""COMPUTED_VALUE"""),32034.0)</f>
        <v>32034</v>
      </c>
      <c r="C9995" s="9">
        <f>IFERROR(__xludf.DUMMYFUNCTION("""COMPUTED_VALUE"""),9.34)</f>
        <v>9.34</v>
      </c>
      <c r="H9995" s="17"/>
      <c r="K9995" s="17"/>
      <c r="N9995" s="17"/>
    </row>
    <row r="9996">
      <c r="B9996" s="11">
        <f>IFERROR(__xludf.DUMMYFUNCTION("""COMPUTED_VALUE"""),32031.0)</f>
        <v>32031</v>
      </c>
      <c r="C9996" s="9">
        <f>IFERROR(__xludf.DUMMYFUNCTION("""COMPUTED_VALUE"""),9.33)</f>
        <v>9.33</v>
      </c>
      <c r="H9996" s="17"/>
      <c r="K9996" s="17"/>
      <c r="N9996" s="17"/>
    </row>
    <row r="9997">
      <c r="B9997" s="11">
        <f>IFERROR(__xludf.DUMMYFUNCTION("""COMPUTED_VALUE"""),32030.0)</f>
        <v>32030</v>
      </c>
      <c r="C9997" s="9">
        <f>IFERROR(__xludf.DUMMYFUNCTION("""COMPUTED_VALUE"""),9.42)</f>
        <v>9.42</v>
      </c>
      <c r="H9997" s="17"/>
      <c r="K9997" s="17"/>
      <c r="N9997" s="17"/>
    </row>
    <row r="9998">
      <c r="B9998" s="11">
        <f>IFERROR(__xludf.DUMMYFUNCTION("""COMPUTED_VALUE"""),32029.0)</f>
        <v>32029</v>
      </c>
      <c r="C9998" s="9">
        <f>IFERROR(__xludf.DUMMYFUNCTION("""COMPUTED_VALUE"""),9.48)</f>
        <v>9.48</v>
      </c>
      <c r="H9998" s="17"/>
      <c r="K9998" s="17"/>
      <c r="N9998" s="17"/>
    </row>
    <row r="9999">
      <c r="B9999" s="11">
        <f>IFERROR(__xludf.DUMMYFUNCTION("""COMPUTED_VALUE"""),32028.0)</f>
        <v>32028</v>
      </c>
      <c r="C9999" s="9">
        <f>IFERROR(__xludf.DUMMYFUNCTION("""COMPUTED_VALUE"""),9.5)</f>
        <v>9.5</v>
      </c>
      <c r="H9999" s="17"/>
      <c r="K9999" s="17"/>
      <c r="N9999" s="17"/>
    </row>
    <row r="10000">
      <c r="B10000" s="11">
        <f>IFERROR(__xludf.DUMMYFUNCTION("""COMPUTED_VALUE"""),32027.0)</f>
        <v>32027</v>
      </c>
      <c r="C10000" s="9"/>
      <c r="H10000" s="17"/>
      <c r="K10000" s="17"/>
      <c r="N10000" s="17"/>
    </row>
    <row r="10001">
      <c r="B10001" s="11">
        <f>IFERROR(__xludf.DUMMYFUNCTION("""COMPUTED_VALUE"""),32024.0)</f>
        <v>32024</v>
      </c>
      <c r="C10001" s="9">
        <f>IFERROR(__xludf.DUMMYFUNCTION("""COMPUTED_VALUE"""),9.3)</f>
        <v>9.3</v>
      </c>
      <c r="H10001" s="17"/>
      <c r="K10001" s="17"/>
      <c r="N10001" s="17"/>
    </row>
    <row r="10002">
      <c r="B10002" s="11">
        <f>IFERROR(__xludf.DUMMYFUNCTION("""COMPUTED_VALUE"""),32023.0)</f>
        <v>32023</v>
      </c>
      <c r="C10002" s="9">
        <f>IFERROR(__xludf.DUMMYFUNCTION("""COMPUTED_VALUE"""),9.29)</f>
        <v>9.29</v>
      </c>
      <c r="H10002" s="17"/>
      <c r="K10002" s="17"/>
      <c r="N10002" s="17"/>
    </row>
    <row r="10003">
      <c r="B10003" s="11">
        <f>IFERROR(__xludf.DUMMYFUNCTION("""COMPUTED_VALUE"""),32022.0)</f>
        <v>32022</v>
      </c>
      <c r="C10003" s="9">
        <f>IFERROR(__xludf.DUMMYFUNCTION("""COMPUTED_VALUE"""),9.28)</f>
        <v>9.28</v>
      </c>
      <c r="H10003" s="17"/>
      <c r="K10003" s="17"/>
      <c r="N10003" s="17"/>
    </row>
    <row r="10004">
      <c r="B10004" s="11">
        <f>IFERROR(__xludf.DUMMYFUNCTION("""COMPUTED_VALUE"""),32021.0)</f>
        <v>32021</v>
      </c>
      <c r="C10004" s="9">
        <f>IFERROR(__xludf.DUMMYFUNCTION("""COMPUTED_VALUE"""),9.05)</f>
        <v>9.05</v>
      </c>
      <c r="H10004" s="17"/>
      <c r="K10004" s="17"/>
      <c r="N10004" s="17"/>
    </row>
    <row r="10005">
      <c r="B10005" s="11">
        <f>IFERROR(__xludf.DUMMYFUNCTION("""COMPUTED_VALUE"""),32020.0)</f>
        <v>32020</v>
      </c>
      <c r="C10005" s="9">
        <f>IFERROR(__xludf.DUMMYFUNCTION("""COMPUTED_VALUE"""),9.0)</f>
        <v>9</v>
      </c>
      <c r="H10005" s="17"/>
      <c r="K10005" s="17"/>
      <c r="N10005" s="17"/>
    </row>
    <row r="10006">
      <c r="B10006" s="11">
        <f>IFERROR(__xludf.DUMMYFUNCTION("""COMPUTED_VALUE"""),32017.0)</f>
        <v>32017</v>
      </c>
      <c r="C10006" s="9">
        <f>IFERROR(__xludf.DUMMYFUNCTION("""COMPUTED_VALUE"""),9.02)</f>
        <v>9.02</v>
      </c>
      <c r="H10006" s="17"/>
      <c r="K10006" s="17"/>
      <c r="N10006" s="17"/>
    </row>
    <row r="10007">
      <c r="B10007" s="11">
        <f>IFERROR(__xludf.DUMMYFUNCTION("""COMPUTED_VALUE"""),32016.0)</f>
        <v>32016</v>
      </c>
      <c r="C10007" s="9">
        <f>IFERROR(__xludf.DUMMYFUNCTION("""COMPUTED_VALUE"""),8.92)</f>
        <v>8.92</v>
      </c>
      <c r="H10007" s="17"/>
      <c r="K10007" s="17"/>
      <c r="N10007" s="17"/>
    </row>
    <row r="10008">
      <c r="B10008" s="11">
        <f>IFERROR(__xludf.DUMMYFUNCTION("""COMPUTED_VALUE"""),32015.0)</f>
        <v>32015</v>
      </c>
      <c r="C10008" s="9">
        <f>IFERROR(__xludf.DUMMYFUNCTION("""COMPUTED_VALUE"""),8.79)</f>
        <v>8.79</v>
      </c>
      <c r="H10008" s="17"/>
      <c r="K10008" s="17"/>
      <c r="N10008" s="17"/>
    </row>
    <row r="10009">
      <c r="B10009" s="11">
        <f>IFERROR(__xludf.DUMMYFUNCTION("""COMPUTED_VALUE"""),32014.0)</f>
        <v>32014</v>
      </c>
      <c r="C10009" s="9">
        <f>IFERROR(__xludf.DUMMYFUNCTION("""COMPUTED_VALUE"""),8.73)</f>
        <v>8.73</v>
      </c>
      <c r="H10009" s="17"/>
      <c r="K10009" s="17"/>
      <c r="N10009" s="17"/>
    </row>
    <row r="10010">
      <c r="B10010" s="11">
        <f>IFERROR(__xludf.DUMMYFUNCTION("""COMPUTED_VALUE"""),32013.0)</f>
        <v>32013</v>
      </c>
      <c r="C10010" s="9">
        <f>IFERROR(__xludf.DUMMYFUNCTION("""COMPUTED_VALUE"""),8.78)</f>
        <v>8.78</v>
      </c>
      <c r="H10010" s="17"/>
      <c r="K10010" s="17"/>
      <c r="N10010" s="17"/>
    </row>
    <row r="10011">
      <c r="B10011" s="11">
        <f>IFERROR(__xludf.DUMMYFUNCTION("""COMPUTED_VALUE"""),32010.0)</f>
        <v>32010</v>
      </c>
      <c r="C10011" s="9">
        <f>IFERROR(__xludf.DUMMYFUNCTION("""COMPUTED_VALUE"""),8.77)</f>
        <v>8.77</v>
      </c>
      <c r="H10011" s="17"/>
      <c r="K10011" s="17"/>
      <c r="N10011" s="17"/>
    </row>
    <row r="10012">
      <c r="B10012" s="11">
        <f>IFERROR(__xludf.DUMMYFUNCTION("""COMPUTED_VALUE"""),32009.0)</f>
        <v>32009</v>
      </c>
      <c r="C10012" s="9">
        <f>IFERROR(__xludf.DUMMYFUNCTION("""COMPUTED_VALUE"""),8.74)</f>
        <v>8.74</v>
      </c>
      <c r="H10012" s="17"/>
      <c r="K10012" s="17"/>
      <c r="N10012" s="17"/>
    </row>
    <row r="10013">
      <c r="B10013" s="11">
        <f>IFERROR(__xludf.DUMMYFUNCTION("""COMPUTED_VALUE"""),32008.0)</f>
        <v>32008</v>
      </c>
      <c r="C10013" s="9">
        <f>IFERROR(__xludf.DUMMYFUNCTION("""COMPUTED_VALUE"""),8.77)</f>
        <v>8.77</v>
      </c>
      <c r="H10013" s="17"/>
      <c r="K10013" s="17"/>
      <c r="N10013" s="17"/>
    </row>
    <row r="10014">
      <c r="B10014" s="11">
        <f>IFERROR(__xludf.DUMMYFUNCTION("""COMPUTED_VALUE"""),32007.0)</f>
        <v>32007</v>
      </c>
      <c r="C10014" s="9">
        <f>IFERROR(__xludf.DUMMYFUNCTION("""COMPUTED_VALUE"""),8.73)</f>
        <v>8.73</v>
      </c>
      <c r="H10014" s="17"/>
      <c r="K10014" s="17"/>
      <c r="N10014" s="17"/>
    </row>
    <row r="10015">
      <c r="B10015" s="11">
        <f>IFERROR(__xludf.DUMMYFUNCTION("""COMPUTED_VALUE"""),32006.0)</f>
        <v>32006</v>
      </c>
      <c r="C10015" s="9">
        <f>IFERROR(__xludf.DUMMYFUNCTION("""COMPUTED_VALUE"""),8.56)</f>
        <v>8.56</v>
      </c>
      <c r="H10015" s="17"/>
      <c r="K10015" s="17"/>
      <c r="N10015" s="17"/>
    </row>
    <row r="10016">
      <c r="B10016" s="11">
        <f>IFERROR(__xludf.DUMMYFUNCTION("""COMPUTED_VALUE"""),32003.0)</f>
        <v>32003</v>
      </c>
      <c r="C10016" s="9">
        <f>IFERROR(__xludf.DUMMYFUNCTION("""COMPUTED_VALUE"""),8.58)</f>
        <v>8.58</v>
      </c>
      <c r="H10016" s="17"/>
      <c r="K10016" s="17"/>
      <c r="N10016" s="17"/>
    </row>
    <row r="10017">
      <c r="B10017" s="11">
        <f>IFERROR(__xludf.DUMMYFUNCTION("""COMPUTED_VALUE"""),32002.0)</f>
        <v>32002</v>
      </c>
      <c r="C10017" s="9">
        <f>IFERROR(__xludf.DUMMYFUNCTION("""COMPUTED_VALUE"""),8.63)</f>
        <v>8.63</v>
      </c>
      <c r="H10017" s="17"/>
      <c r="K10017" s="17"/>
      <c r="N10017" s="17"/>
    </row>
    <row r="10018">
      <c r="B10018" s="11">
        <f>IFERROR(__xludf.DUMMYFUNCTION("""COMPUTED_VALUE"""),32001.0)</f>
        <v>32001</v>
      </c>
      <c r="C10018" s="9">
        <f>IFERROR(__xludf.DUMMYFUNCTION("""COMPUTED_VALUE"""),8.72)</f>
        <v>8.72</v>
      </c>
      <c r="H10018" s="17"/>
      <c r="K10018" s="17"/>
      <c r="N10018" s="17"/>
    </row>
    <row r="10019">
      <c r="B10019" s="11">
        <f>IFERROR(__xludf.DUMMYFUNCTION("""COMPUTED_VALUE"""),32000.0)</f>
        <v>32000</v>
      </c>
      <c r="C10019" s="9">
        <f>IFERROR(__xludf.DUMMYFUNCTION("""COMPUTED_VALUE"""),8.73)</f>
        <v>8.73</v>
      </c>
      <c r="H10019" s="17"/>
      <c r="K10019" s="17"/>
      <c r="N10019" s="17"/>
    </row>
    <row r="10020">
      <c r="B10020" s="11">
        <f>IFERROR(__xludf.DUMMYFUNCTION("""COMPUTED_VALUE"""),31999.0)</f>
        <v>31999</v>
      </c>
      <c r="C10020" s="9">
        <f>IFERROR(__xludf.DUMMYFUNCTION("""COMPUTED_VALUE"""),8.74)</f>
        <v>8.74</v>
      </c>
      <c r="H10020" s="17"/>
      <c r="K10020" s="17"/>
      <c r="N10020" s="17"/>
    </row>
    <row r="10021">
      <c r="B10021" s="11">
        <f>IFERROR(__xludf.DUMMYFUNCTION("""COMPUTED_VALUE"""),31996.0)</f>
        <v>31996</v>
      </c>
      <c r="C10021" s="9">
        <f>IFERROR(__xludf.DUMMYFUNCTION("""COMPUTED_VALUE"""),8.7)</f>
        <v>8.7</v>
      </c>
      <c r="H10021" s="17"/>
      <c r="K10021" s="17"/>
      <c r="N10021" s="17"/>
    </row>
    <row r="10022">
      <c r="B10022" s="11">
        <f>IFERROR(__xludf.DUMMYFUNCTION("""COMPUTED_VALUE"""),31995.0)</f>
        <v>31995</v>
      </c>
      <c r="C10022" s="9">
        <f>IFERROR(__xludf.DUMMYFUNCTION("""COMPUTED_VALUE"""),8.73)</f>
        <v>8.73</v>
      </c>
      <c r="H10022" s="17"/>
      <c r="K10022" s="17"/>
      <c r="N10022" s="17"/>
    </row>
    <row r="10023">
      <c r="B10023" s="11">
        <f>IFERROR(__xludf.DUMMYFUNCTION("""COMPUTED_VALUE"""),31994.0)</f>
        <v>31994</v>
      </c>
      <c r="C10023" s="9">
        <f>IFERROR(__xludf.DUMMYFUNCTION("""COMPUTED_VALUE"""),8.71)</f>
        <v>8.71</v>
      </c>
      <c r="H10023" s="17"/>
      <c r="K10023" s="17"/>
      <c r="N10023" s="17"/>
    </row>
    <row r="10024">
      <c r="B10024" s="11">
        <f>IFERROR(__xludf.DUMMYFUNCTION("""COMPUTED_VALUE"""),31993.0)</f>
        <v>31993</v>
      </c>
      <c r="C10024" s="9">
        <f>IFERROR(__xludf.DUMMYFUNCTION("""COMPUTED_VALUE"""),8.81)</f>
        <v>8.81</v>
      </c>
      <c r="H10024" s="17"/>
      <c r="K10024" s="17"/>
      <c r="N10024" s="17"/>
    </row>
    <row r="10025">
      <c r="B10025" s="11">
        <f>IFERROR(__xludf.DUMMYFUNCTION("""COMPUTED_VALUE"""),31992.0)</f>
        <v>31992</v>
      </c>
      <c r="C10025" s="9">
        <f>IFERROR(__xludf.DUMMYFUNCTION("""COMPUTED_VALUE"""),8.81)</f>
        <v>8.81</v>
      </c>
      <c r="H10025" s="17"/>
      <c r="K10025" s="17"/>
      <c r="N10025" s="17"/>
    </row>
    <row r="10026">
      <c r="B10026" s="11">
        <f>IFERROR(__xludf.DUMMYFUNCTION("""COMPUTED_VALUE"""),31989.0)</f>
        <v>31989</v>
      </c>
      <c r="C10026" s="9">
        <f>IFERROR(__xludf.DUMMYFUNCTION("""COMPUTED_VALUE"""),8.66)</f>
        <v>8.66</v>
      </c>
      <c r="H10026" s="17"/>
      <c r="K10026" s="17"/>
      <c r="N10026" s="17"/>
    </row>
    <row r="10027">
      <c r="B10027" s="11">
        <f>IFERROR(__xludf.DUMMYFUNCTION("""COMPUTED_VALUE"""),31988.0)</f>
        <v>31988</v>
      </c>
      <c r="C10027" s="9">
        <f>IFERROR(__xludf.DUMMYFUNCTION("""COMPUTED_VALUE"""),8.61)</f>
        <v>8.61</v>
      </c>
      <c r="H10027" s="17"/>
      <c r="K10027" s="17"/>
      <c r="N10027" s="17"/>
    </row>
    <row r="10028">
      <c r="B10028" s="11">
        <f>IFERROR(__xludf.DUMMYFUNCTION("""COMPUTED_VALUE"""),31987.0)</f>
        <v>31987</v>
      </c>
      <c r="C10028" s="9">
        <f>IFERROR(__xludf.DUMMYFUNCTION("""COMPUTED_VALUE"""),8.61)</f>
        <v>8.61</v>
      </c>
      <c r="H10028" s="17"/>
      <c r="K10028" s="17"/>
      <c r="N10028" s="17"/>
    </row>
    <row r="10029">
      <c r="B10029" s="11">
        <f>IFERROR(__xludf.DUMMYFUNCTION("""COMPUTED_VALUE"""),31986.0)</f>
        <v>31986</v>
      </c>
      <c r="C10029" s="9">
        <f>IFERROR(__xludf.DUMMYFUNCTION("""COMPUTED_VALUE"""),8.62)</f>
        <v>8.62</v>
      </c>
      <c r="H10029" s="17"/>
      <c r="K10029" s="17"/>
      <c r="N10029" s="17"/>
    </row>
    <row r="10030">
      <c r="B10030" s="11">
        <f>IFERROR(__xludf.DUMMYFUNCTION("""COMPUTED_VALUE"""),31985.0)</f>
        <v>31985</v>
      </c>
      <c r="C10030" s="9">
        <f>IFERROR(__xludf.DUMMYFUNCTION("""COMPUTED_VALUE"""),8.6)</f>
        <v>8.6</v>
      </c>
      <c r="H10030" s="17"/>
      <c r="K10030" s="17"/>
      <c r="N10030" s="17"/>
    </row>
    <row r="10031">
      <c r="B10031" s="11">
        <f>IFERROR(__xludf.DUMMYFUNCTION("""COMPUTED_VALUE"""),31982.0)</f>
        <v>31982</v>
      </c>
      <c r="C10031" s="9">
        <f>IFERROR(__xludf.DUMMYFUNCTION("""COMPUTED_VALUE"""),8.58)</f>
        <v>8.58</v>
      </c>
      <c r="H10031" s="17"/>
      <c r="K10031" s="17"/>
      <c r="N10031" s="17"/>
    </row>
    <row r="10032">
      <c r="B10032" s="11">
        <f>IFERROR(__xludf.DUMMYFUNCTION("""COMPUTED_VALUE"""),31981.0)</f>
        <v>31981</v>
      </c>
      <c r="C10032" s="9">
        <f>IFERROR(__xludf.DUMMYFUNCTION("""COMPUTED_VALUE"""),8.56)</f>
        <v>8.56</v>
      </c>
      <c r="H10032" s="17"/>
      <c r="K10032" s="17"/>
      <c r="N10032" s="17"/>
    </row>
    <row r="10033">
      <c r="B10033" s="11">
        <f>IFERROR(__xludf.DUMMYFUNCTION("""COMPUTED_VALUE"""),31980.0)</f>
        <v>31980</v>
      </c>
      <c r="C10033" s="9">
        <f>IFERROR(__xludf.DUMMYFUNCTION("""COMPUTED_VALUE"""),8.54)</f>
        <v>8.54</v>
      </c>
      <c r="H10033" s="17"/>
      <c r="K10033" s="17"/>
      <c r="N10033" s="17"/>
    </row>
    <row r="10034">
      <c r="B10034" s="11">
        <f>IFERROR(__xludf.DUMMYFUNCTION("""COMPUTED_VALUE"""),31979.0)</f>
        <v>31979</v>
      </c>
      <c r="C10034" s="9">
        <f>IFERROR(__xludf.DUMMYFUNCTION("""COMPUTED_VALUE"""),8.49)</f>
        <v>8.49</v>
      </c>
      <c r="H10034" s="17"/>
      <c r="K10034" s="17"/>
      <c r="N10034" s="17"/>
    </row>
    <row r="10035">
      <c r="B10035" s="11">
        <f>IFERROR(__xludf.DUMMYFUNCTION("""COMPUTED_VALUE"""),31978.0)</f>
        <v>31978</v>
      </c>
      <c r="C10035" s="9">
        <f>IFERROR(__xludf.DUMMYFUNCTION("""COMPUTED_VALUE"""),8.41)</f>
        <v>8.41</v>
      </c>
      <c r="H10035" s="17"/>
      <c r="K10035" s="17"/>
      <c r="N10035" s="17"/>
    </row>
    <row r="10036">
      <c r="B10036" s="11">
        <f>IFERROR(__xludf.DUMMYFUNCTION("""COMPUTED_VALUE"""),31975.0)</f>
        <v>31975</v>
      </c>
      <c r="C10036" s="9">
        <f>IFERROR(__xludf.DUMMYFUNCTION("""COMPUTED_VALUE"""),8.36)</f>
        <v>8.36</v>
      </c>
      <c r="H10036" s="17"/>
      <c r="K10036" s="17"/>
      <c r="N10036" s="17"/>
    </row>
    <row r="10037">
      <c r="B10037" s="11">
        <f>IFERROR(__xludf.DUMMYFUNCTION("""COMPUTED_VALUE"""),31974.0)</f>
        <v>31974</v>
      </c>
      <c r="C10037" s="9">
        <f>IFERROR(__xludf.DUMMYFUNCTION("""COMPUTED_VALUE"""),8.41)</f>
        <v>8.41</v>
      </c>
      <c r="H10037" s="17"/>
      <c r="K10037" s="17"/>
      <c r="N10037" s="17"/>
    </row>
    <row r="10038">
      <c r="B10038" s="11">
        <f>IFERROR(__xludf.DUMMYFUNCTION("""COMPUTED_VALUE"""),31973.0)</f>
        <v>31973</v>
      </c>
      <c r="C10038" s="9">
        <f>IFERROR(__xludf.DUMMYFUNCTION("""COMPUTED_VALUE"""),8.43)</f>
        <v>8.43</v>
      </c>
      <c r="H10038" s="17"/>
      <c r="K10038" s="17"/>
      <c r="N10038" s="17"/>
    </row>
    <row r="10039">
      <c r="B10039" s="11">
        <f>IFERROR(__xludf.DUMMYFUNCTION("""COMPUTED_VALUE"""),31972.0)</f>
        <v>31972</v>
      </c>
      <c r="C10039" s="9">
        <f>IFERROR(__xludf.DUMMYFUNCTION("""COMPUTED_VALUE"""),8.33)</f>
        <v>8.33</v>
      </c>
      <c r="H10039" s="17"/>
      <c r="K10039" s="17"/>
      <c r="N10039" s="17"/>
    </row>
    <row r="10040">
      <c r="B10040" s="11">
        <f>IFERROR(__xludf.DUMMYFUNCTION("""COMPUTED_VALUE"""),31971.0)</f>
        <v>31971</v>
      </c>
      <c r="C10040" s="9">
        <f>IFERROR(__xludf.DUMMYFUNCTION("""COMPUTED_VALUE"""),8.38)</f>
        <v>8.38</v>
      </c>
      <c r="H10040" s="17"/>
      <c r="K10040" s="17"/>
      <c r="N10040" s="17"/>
    </row>
    <row r="10041">
      <c r="B10041" s="11">
        <f>IFERROR(__xludf.DUMMYFUNCTION("""COMPUTED_VALUE"""),31968.0)</f>
        <v>31968</v>
      </c>
      <c r="C10041" s="9">
        <f>IFERROR(__xludf.DUMMYFUNCTION("""COMPUTED_VALUE"""),8.32)</f>
        <v>8.32</v>
      </c>
      <c r="H10041" s="17"/>
      <c r="K10041" s="17"/>
      <c r="N10041" s="17"/>
    </row>
    <row r="10042">
      <c r="B10042" s="11">
        <f>IFERROR(__xludf.DUMMYFUNCTION("""COMPUTED_VALUE"""),31967.0)</f>
        <v>31967</v>
      </c>
      <c r="C10042" s="9">
        <f>IFERROR(__xludf.DUMMYFUNCTION("""COMPUTED_VALUE"""),8.37)</f>
        <v>8.37</v>
      </c>
      <c r="H10042" s="17"/>
      <c r="K10042" s="17"/>
      <c r="N10042" s="17"/>
    </row>
    <row r="10043">
      <c r="B10043" s="11">
        <f>IFERROR(__xludf.DUMMYFUNCTION("""COMPUTED_VALUE"""),31966.0)</f>
        <v>31966</v>
      </c>
      <c r="C10043" s="9">
        <f>IFERROR(__xludf.DUMMYFUNCTION("""COMPUTED_VALUE"""),8.32)</f>
        <v>8.32</v>
      </c>
      <c r="H10043" s="17"/>
      <c r="K10043" s="17"/>
      <c r="N10043" s="17"/>
    </row>
    <row r="10044">
      <c r="B10044" s="11">
        <f>IFERROR(__xludf.DUMMYFUNCTION("""COMPUTED_VALUE"""),31965.0)</f>
        <v>31965</v>
      </c>
      <c r="C10044" s="9">
        <f>IFERROR(__xludf.DUMMYFUNCTION("""COMPUTED_VALUE"""),8.28)</f>
        <v>8.28</v>
      </c>
      <c r="H10044" s="17"/>
      <c r="K10044" s="17"/>
      <c r="N10044" s="17"/>
    </row>
    <row r="10045">
      <c r="B10045" s="11">
        <f>IFERROR(__xludf.DUMMYFUNCTION("""COMPUTED_VALUE"""),31964.0)</f>
        <v>31964</v>
      </c>
      <c r="C10045" s="9">
        <f>IFERROR(__xludf.DUMMYFUNCTION("""COMPUTED_VALUE"""),8.29)</f>
        <v>8.29</v>
      </c>
      <c r="H10045" s="17"/>
      <c r="K10045" s="17"/>
      <c r="N10045" s="17"/>
    </row>
    <row r="10046">
      <c r="B10046" s="11">
        <f>IFERROR(__xludf.DUMMYFUNCTION("""COMPUTED_VALUE"""),31961.0)</f>
        <v>31961</v>
      </c>
      <c r="C10046" s="9"/>
      <c r="H10046" s="17"/>
      <c r="K10046" s="17"/>
      <c r="N10046" s="17"/>
    </row>
    <row r="10047">
      <c r="B10047" s="11">
        <f>IFERROR(__xludf.DUMMYFUNCTION("""COMPUTED_VALUE"""),31960.0)</f>
        <v>31960</v>
      </c>
      <c r="C10047" s="9">
        <f>IFERROR(__xludf.DUMMYFUNCTION("""COMPUTED_VALUE"""),8.3)</f>
        <v>8.3</v>
      </c>
      <c r="H10047" s="17"/>
      <c r="K10047" s="17"/>
      <c r="N10047" s="17"/>
    </row>
    <row r="10048">
      <c r="B10048" s="11">
        <f>IFERROR(__xludf.DUMMYFUNCTION("""COMPUTED_VALUE"""),31959.0)</f>
        <v>31959</v>
      </c>
      <c r="C10048" s="9">
        <f>IFERROR(__xludf.DUMMYFUNCTION("""COMPUTED_VALUE"""),8.36)</f>
        <v>8.36</v>
      </c>
      <c r="H10048" s="17"/>
      <c r="K10048" s="17"/>
      <c r="N10048" s="17"/>
    </row>
    <row r="10049">
      <c r="B10049" s="11">
        <f>IFERROR(__xludf.DUMMYFUNCTION("""COMPUTED_VALUE"""),31958.0)</f>
        <v>31958</v>
      </c>
      <c r="C10049" s="9">
        <f>IFERROR(__xludf.DUMMYFUNCTION("""COMPUTED_VALUE"""),8.38)</f>
        <v>8.38</v>
      </c>
      <c r="H10049" s="17"/>
      <c r="K10049" s="17"/>
      <c r="N10049" s="17"/>
    </row>
    <row r="10050">
      <c r="B10050" s="11">
        <f>IFERROR(__xludf.DUMMYFUNCTION("""COMPUTED_VALUE"""),31957.0)</f>
        <v>31957</v>
      </c>
      <c r="C10050" s="9">
        <f>IFERROR(__xludf.DUMMYFUNCTION("""COMPUTED_VALUE"""),8.34)</f>
        <v>8.34</v>
      </c>
      <c r="H10050" s="17"/>
      <c r="K10050" s="17"/>
      <c r="N10050" s="17"/>
    </row>
    <row r="10051">
      <c r="B10051" s="11">
        <f>IFERROR(__xludf.DUMMYFUNCTION("""COMPUTED_VALUE"""),31954.0)</f>
        <v>31954</v>
      </c>
      <c r="C10051" s="9">
        <f>IFERROR(__xludf.DUMMYFUNCTION("""COMPUTED_VALUE"""),8.37)</f>
        <v>8.37</v>
      </c>
      <c r="H10051" s="17"/>
      <c r="K10051" s="17"/>
      <c r="N10051" s="17"/>
    </row>
    <row r="10052">
      <c r="B10052" s="11">
        <f>IFERROR(__xludf.DUMMYFUNCTION("""COMPUTED_VALUE"""),31953.0)</f>
        <v>31953</v>
      </c>
      <c r="C10052" s="9">
        <f>IFERROR(__xludf.DUMMYFUNCTION("""COMPUTED_VALUE"""),8.25)</f>
        <v>8.25</v>
      </c>
      <c r="H10052" s="17"/>
      <c r="K10052" s="17"/>
      <c r="N10052" s="17"/>
    </row>
    <row r="10053">
      <c r="B10053" s="11">
        <f>IFERROR(__xludf.DUMMYFUNCTION("""COMPUTED_VALUE"""),31952.0)</f>
        <v>31952</v>
      </c>
      <c r="C10053" s="9">
        <f>IFERROR(__xludf.DUMMYFUNCTION("""COMPUTED_VALUE"""),8.31)</f>
        <v>8.31</v>
      </c>
      <c r="H10053" s="17"/>
      <c r="K10053" s="17"/>
      <c r="N10053" s="17"/>
    </row>
    <row r="10054">
      <c r="B10054" s="11">
        <f>IFERROR(__xludf.DUMMYFUNCTION("""COMPUTED_VALUE"""),31951.0)</f>
        <v>31951</v>
      </c>
      <c r="C10054" s="9">
        <f>IFERROR(__xludf.DUMMYFUNCTION("""COMPUTED_VALUE"""),8.23)</f>
        <v>8.23</v>
      </c>
      <c r="H10054" s="17"/>
      <c r="K10054" s="17"/>
      <c r="N10054" s="17"/>
    </row>
    <row r="10055">
      <c r="B10055" s="11">
        <f>IFERROR(__xludf.DUMMYFUNCTION("""COMPUTED_VALUE"""),31950.0)</f>
        <v>31950</v>
      </c>
      <c r="C10055" s="9">
        <f>IFERROR(__xludf.DUMMYFUNCTION("""COMPUTED_VALUE"""),8.23)</f>
        <v>8.23</v>
      </c>
      <c r="H10055" s="17"/>
      <c r="K10055" s="17"/>
      <c r="N10055" s="17"/>
    </row>
    <row r="10056">
      <c r="B10056" s="11">
        <f>IFERROR(__xludf.DUMMYFUNCTION("""COMPUTED_VALUE"""),31947.0)</f>
        <v>31947</v>
      </c>
      <c r="C10056" s="9">
        <f>IFERROR(__xludf.DUMMYFUNCTION("""COMPUTED_VALUE"""),8.3)</f>
        <v>8.3</v>
      </c>
      <c r="H10056" s="17"/>
      <c r="K10056" s="17"/>
      <c r="N10056" s="17"/>
    </row>
    <row r="10057">
      <c r="B10057" s="11">
        <f>IFERROR(__xludf.DUMMYFUNCTION("""COMPUTED_VALUE"""),31946.0)</f>
        <v>31946</v>
      </c>
      <c r="C10057" s="9">
        <f>IFERROR(__xludf.DUMMYFUNCTION("""COMPUTED_VALUE"""),8.27)</f>
        <v>8.27</v>
      </c>
      <c r="H10057" s="17"/>
      <c r="K10057" s="17"/>
      <c r="N10057" s="17"/>
    </row>
    <row r="10058">
      <c r="B10058" s="11">
        <f>IFERROR(__xludf.DUMMYFUNCTION("""COMPUTED_VALUE"""),31945.0)</f>
        <v>31945</v>
      </c>
      <c r="C10058" s="9">
        <f>IFERROR(__xludf.DUMMYFUNCTION("""COMPUTED_VALUE"""),8.23)</f>
        <v>8.23</v>
      </c>
      <c r="H10058" s="17"/>
      <c r="K10058" s="17"/>
      <c r="N10058" s="17"/>
    </row>
    <row r="10059">
      <c r="B10059" s="11">
        <f>IFERROR(__xludf.DUMMYFUNCTION("""COMPUTED_VALUE"""),31944.0)</f>
        <v>31944</v>
      </c>
      <c r="C10059" s="9">
        <f>IFERROR(__xludf.DUMMYFUNCTION("""COMPUTED_VALUE"""),8.28)</f>
        <v>8.28</v>
      </c>
      <c r="H10059" s="17"/>
      <c r="K10059" s="17"/>
      <c r="N10059" s="17"/>
    </row>
    <row r="10060">
      <c r="B10060" s="11">
        <f>IFERROR(__xludf.DUMMYFUNCTION("""COMPUTED_VALUE"""),31943.0)</f>
        <v>31943</v>
      </c>
      <c r="C10060" s="9">
        <f>IFERROR(__xludf.DUMMYFUNCTION("""COMPUTED_VALUE"""),8.28)</f>
        <v>8.28</v>
      </c>
      <c r="H10060" s="17"/>
      <c r="K10060" s="17"/>
      <c r="N10060" s="17"/>
    </row>
    <row r="10061">
      <c r="B10061" s="11">
        <f>IFERROR(__xludf.DUMMYFUNCTION("""COMPUTED_VALUE"""),31940.0)</f>
        <v>31940</v>
      </c>
      <c r="C10061" s="9">
        <f>IFERROR(__xludf.DUMMYFUNCTION("""COMPUTED_VALUE"""),8.32)</f>
        <v>8.32</v>
      </c>
      <c r="H10061" s="17"/>
      <c r="K10061" s="17"/>
      <c r="N10061" s="17"/>
    </row>
    <row r="10062">
      <c r="B10062" s="11">
        <f>IFERROR(__xludf.DUMMYFUNCTION("""COMPUTED_VALUE"""),31939.0)</f>
        <v>31939</v>
      </c>
      <c r="C10062" s="9">
        <f>IFERROR(__xludf.DUMMYFUNCTION("""COMPUTED_VALUE"""),8.52)</f>
        <v>8.52</v>
      </c>
      <c r="H10062" s="17"/>
      <c r="K10062" s="17"/>
      <c r="N10062" s="17"/>
    </row>
    <row r="10063">
      <c r="B10063" s="11">
        <f>IFERROR(__xludf.DUMMYFUNCTION("""COMPUTED_VALUE"""),31938.0)</f>
        <v>31938</v>
      </c>
      <c r="C10063" s="9">
        <f>IFERROR(__xludf.DUMMYFUNCTION("""COMPUTED_VALUE"""),8.56)</f>
        <v>8.56</v>
      </c>
      <c r="H10063" s="17"/>
      <c r="K10063" s="17"/>
      <c r="N10063" s="17"/>
    </row>
    <row r="10064">
      <c r="B10064" s="11">
        <f>IFERROR(__xludf.DUMMYFUNCTION("""COMPUTED_VALUE"""),31937.0)</f>
        <v>31937</v>
      </c>
      <c r="C10064" s="9">
        <f>IFERROR(__xludf.DUMMYFUNCTION("""COMPUTED_VALUE"""),8.56)</f>
        <v>8.56</v>
      </c>
      <c r="H10064" s="17"/>
      <c r="K10064" s="17"/>
      <c r="N10064" s="17"/>
    </row>
    <row r="10065">
      <c r="B10065" s="11">
        <f>IFERROR(__xludf.DUMMYFUNCTION("""COMPUTED_VALUE"""),31936.0)</f>
        <v>31936</v>
      </c>
      <c r="C10065" s="9">
        <f>IFERROR(__xludf.DUMMYFUNCTION("""COMPUTED_VALUE"""),8.53)</f>
        <v>8.53</v>
      </c>
      <c r="H10065" s="17"/>
      <c r="K10065" s="17"/>
      <c r="N10065" s="17"/>
    </row>
    <row r="10066">
      <c r="B10066" s="11">
        <f>IFERROR(__xludf.DUMMYFUNCTION("""COMPUTED_VALUE"""),31933.0)</f>
        <v>31933</v>
      </c>
      <c r="C10066" s="9">
        <f>IFERROR(__xludf.DUMMYFUNCTION("""COMPUTED_VALUE"""),8.5)</f>
        <v>8.5</v>
      </c>
      <c r="H10066" s="17"/>
      <c r="K10066" s="17"/>
      <c r="N10066" s="17"/>
    </row>
    <row r="10067">
      <c r="B10067" s="11">
        <f>IFERROR(__xludf.DUMMYFUNCTION("""COMPUTED_VALUE"""),31932.0)</f>
        <v>31932</v>
      </c>
      <c r="C10067" s="9">
        <f>IFERROR(__xludf.DUMMYFUNCTION("""COMPUTED_VALUE"""),8.58)</f>
        <v>8.58</v>
      </c>
      <c r="H10067" s="17"/>
      <c r="K10067" s="17"/>
      <c r="N10067" s="17"/>
    </row>
    <row r="10068">
      <c r="B10068" s="11">
        <f>IFERROR(__xludf.DUMMYFUNCTION("""COMPUTED_VALUE"""),31931.0)</f>
        <v>31931</v>
      </c>
      <c r="C10068" s="9">
        <f>IFERROR(__xludf.DUMMYFUNCTION("""COMPUTED_VALUE"""),8.64)</f>
        <v>8.64</v>
      </c>
      <c r="H10068" s="17"/>
      <c r="K10068" s="17"/>
      <c r="N10068" s="17"/>
    </row>
    <row r="10069">
      <c r="B10069" s="11">
        <f>IFERROR(__xludf.DUMMYFUNCTION("""COMPUTED_VALUE"""),31930.0)</f>
        <v>31930</v>
      </c>
      <c r="C10069" s="9">
        <f>IFERROR(__xludf.DUMMYFUNCTION("""COMPUTED_VALUE"""),8.72)</f>
        <v>8.72</v>
      </c>
      <c r="H10069" s="17"/>
      <c r="K10069" s="17"/>
      <c r="N10069" s="17"/>
    </row>
    <row r="10070">
      <c r="B10070" s="11">
        <f>IFERROR(__xludf.DUMMYFUNCTION("""COMPUTED_VALUE"""),31929.0)</f>
        <v>31929</v>
      </c>
      <c r="C10070" s="9">
        <f>IFERROR(__xludf.DUMMYFUNCTION("""COMPUTED_VALUE"""),8.45)</f>
        <v>8.45</v>
      </c>
      <c r="H10070" s="17"/>
      <c r="K10070" s="17"/>
      <c r="N10070" s="17"/>
    </row>
    <row r="10071">
      <c r="B10071" s="11">
        <f>IFERROR(__xludf.DUMMYFUNCTION("""COMPUTED_VALUE"""),31926.0)</f>
        <v>31926</v>
      </c>
      <c r="C10071" s="9">
        <f>IFERROR(__xludf.DUMMYFUNCTION("""COMPUTED_VALUE"""),8.49)</f>
        <v>8.49</v>
      </c>
      <c r="H10071" s="17"/>
      <c r="K10071" s="17"/>
      <c r="N10071" s="17"/>
    </row>
    <row r="10072">
      <c r="B10072" s="11">
        <f>IFERROR(__xludf.DUMMYFUNCTION("""COMPUTED_VALUE"""),31925.0)</f>
        <v>31925</v>
      </c>
      <c r="C10072" s="9">
        <f>IFERROR(__xludf.DUMMYFUNCTION("""COMPUTED_VALUE"""),8.56)</f>
        <v>8.56</v>
      </c>
      <c r="H10072" s="17"/>
      <c r="K10072" s="17"/>
      <c r="N10072" s="17"/>
    </row>
    <row r="10073">
      <c r="B10073" s="11">
        <f>IFERROR(__xludf.DUMMYFUNCTION("""COMPUTED_VALUE"""),31924.0)</f>
        <v>31924</v>
      </c>
      <c r="C10073" s="9">
        <f>IFERROR(__xludf.DUMMYFUNCTION("""COMPUTED_VALUE"""),8.6)</f>
        <v>8.6</v>
      </c>
      <c r="H10073" s="17"/>
      <c r="K10073" s="17"/>
      <c r="N10073" s="17"/>
    </row>
    <row r="10074">
      <c r="B10074" s="11">
        <f>IFERROR(__xludf.DUMMYFUNCTION("""COMPUTED_VALUE"""),31923.0)</f>
        <v>31923</v>
      </c>
      <c r="C10074" s="9">
        <f>IFERROR(__xludf.DUMMYFUNCTION("""COMPUTED_VALUE"""),8.55)</f>
        <v>8.55</v>
      </c>
      <c r="H10074" s="17"/>
      <c r="K10074" s="17"/>
      <c r="N10074" s="17"/>
    </row>
    <row r="10075">
      <c r="B10075" s="11">
        <f>IFERROR(__xludf.DUMMYFUNCTION("""COMPUTED_VALUE"""),31922.0)</f>
        <v>31922</v>
      </c>
      <c r="C10075" s="9"/>
      <c r="H10075" s="17"/>
      <c r="K10075" s="17"/>
      <c r="N10075" s="17"/>
    </row>
    <row r="10076">
      <c r="B10076" s="11">
        <f>IFERROR(__xludf.DUMMYFUNCTION("""COMPUTED_VALUE"""),31919.0)</f>
        <v>31919</v>
      </c>
      <c r="C10076" s="9">
        <f>IFERROR(__xludf.DUMMYFUNCTION("""COMPUTED_VALUE"""),8.78)</f>
        <v>8.78</v>
      </c>
      <c r="H10076" s="17"/>
      <c r="K10076" s="17"/>
      <c r="N10076" s="17"/>
    </row>
    <row r="10077">
      <c r="B10077" s="11">
        <f>IFERROR(__xludf.DUMMYFUNCTION("""COMPUTED_VALUE"""),31918.0)</f>
        <v>31918</v>
      </c>
      <c r="C10077" s="9">
        <f>IFERROR(__xludf.DUMMYFUNCTION("""COMPUTED_VALUE"""),8.87)</f>
        <v>8.87</v>
      </c>
      <c r="H10077" s="17"/>
      <c r="K10077" s="17"/>
      <c r="N10077" s="17"/>
    </row>
    <row r="10078">
      <c r="B10078" s="11">
        <f>IFERROR(__xludf.DUMMYFUNCTION("""COMPUTED_VALUE"""),31917.0)</f>
        <v>31917</v>
      </c>
      <c r="C10078" s="9">
        <f>IFERROR(__xludf.DUMMYFUNCTION("""COMPUTED_VALUE"""),8.92)</f>
        <v>8.92</v>
      </c>
      <c r="H10078" s="17"/>
      <c r="K10078" s="17"/>
      <c r="N10078" s="17"/>
    </row>
    <row r="10079">
      <c r="B10079" s="11">
        <f>IFERROR(__xludf.DUMMYFUNCTION("""COMPUTED_VALUE"""),31916.0)</f>
        <v>31916</v>
      </c>
      <c r="C10079" s="9">
        <f>IFERROR(__xludf.DUMMYFUNCTION("""COMPUTED_VALUE"""),8.89)</f>
        <v>8.89</v>
      </c>
      <c r="H10079" s="17"/>
      <c r="K10079" s="17"/>
      <c r="N10079" s="17"/>
    </row>
    <row r="10080">
      <c r="B10080" s="11">
        <f>IFERROR(__xludf.DUMMYFUNCTION("""COMPUTED_VALUE"""),31915.0)</f>
        <v>31915</v>
      </c>
      <c r="C10080" s="9">
        <f>IFERROR(__xludf.DUMMYFUNCTION("""COMPUTED_VALUE"""),8.73)</f>
        <v>8.73</v>
      </c>
      <c r="H10080" s="17"/>
      <c r="K10080" s="17"/>
      <c r="N10080" s="17"/>
    </row>
    <row r="10081">
      <c r="B10081" s="11">
        <f>IFERROR(__xludf.DUMMYFUNCTION("""COMPUTED_VALUE"""),31912.0)</f>
        <v>31912</v>
      </c>
      <c r="C10081" s="9">
        <f>IFERROR(__xludf.DUMMYFUNCTION("""COMPUTED_VALUE"""),8.8)</f>
        <v>8.8</v>
      </c>
      <c r="H10081" s="17"/>
      <c r="K10081" s="17"/>
      <c r="N10081" s="17"/>
    </row>
    <row r="10082">
      <c r="B10082" s="11">
        <f>IFERROR(__xludf.DUMMYFUNCTION("""COMPUTED_VALUE"""),31911.0)</f>
        <v>31911</v>
      </c>
      <c r="C10082" s="9">
        <f>IFERROR(__xludf.DUMMYFUNCTION("""COMPUTED_VALUE"""),8.57)</f>
        <v>8.57</v>
      </c>
      <c r="H10082" s="17"/>
      <c r="K10082" s="17"/>
      <c r="N10082" s="17"/>
    </row>
    <row r="10083">
      <c r="B10083" s="11">
        <f>IFERROR(__xludf.DUMMYFUNCTION("""COMPUTED_VALUE"""),31910.0)</f>
        <v>31910</v>
      </c>
      <c r="C10083" s="9">
        <f>IFERROR(__xludf.DUMMYFUNCTION("""COMPUTED_VALUE"""),8.55)</f>
        <v>8.55</v>
      </c>
      <c r="H10083" s="17"/>
      <c r="K10083" s="17"/>
      <c r="N10083" s="17"/>
    </row>
    <row r="10084">
      <c r="B10084" s="11">
        <f>IFERROR(__xludf.DUMMYFUNCTION("""COMPUTED_VALUE"""),31909.0)</f>
        <v>31909</v>
      </c>
      <c r="C10084" s="9">
        <f>IFERROR(__xludf.DUMMYFUNCTION("""COMPUTED_VALUE"""),8.55)</f>
        <v>8.55</v>
      </c>
      <c r="H10084" s="17"/>
      <c r="K10084" s="17"/>
      <c r="N10084" s="17"/>
    </row>
    <row r="10085">
      <c r="B10085" s="11">
        <f>IFERROR(__xludf.DUMMYFUNCTION("""COMPUTED_VALUE"""),31908.0)</f>
        <v>31908</v>
      </c>
      <c r="C10085" s="9">
        <f>IFERROR(__xludf.DUMMYFUNCTION("""COMPUTED_VALUE"""),8.57)</f>
        <v>8.57</v>
      </c>
      <c r="H10085" s="17"/>
      <c r="K10085" s="17"/>
      <c r="N10085" s="17"/>
    </row>
    <row r="10086">
      <c r="B10086" s="11">
        <f>IFERROR(__xludf.DUMMYFUNCTION("""COMPUTED_VALUE"""),31905.0)</f>
        <v>31905</v>
      </c>
      <c r="C10086" s="9">
        <f>IFERROR(__xludf.DUMMYFUNCTION("""COMPUTED_VALUE"""),8.43)</f>
        <v>8.43</v>
      </c>
      <c r="H10086" s="17"/>
      <c r="K10086" s="17"/>
      <c r="N10086" s="17"/>
    </row>
    <row r="10087">
      <c r="B10087" s="11">
        <f>IFERROR(__xludf.DUMMYFUNCTION("""COMPUTED_VALUE"""),31904.0)</f>
        <v>31904</v>
      </c>
      <c r="C10087" s="9">
        <f>IFERROR(__xludf.DUMMYFUNCTION("""COMPUTED_VALUE"""),8.5)</f>
        <v>8.5</v>
      </c>
      <c r="H10087" s="17"/>
      <c r="K10087" s="17"/>
      <c r="N10087" s="17"/>
    </row>
    <row r="10088">
      <c r="B10088" s="11">
        <f>IFERROR(__xludf.DUMMYFUNCTION("""COMPUTED_VALUE"""),31903.0)</f>
        <v>31903</v>
      </c>
      <c r="C10088" s="9">
        <f>IFERROR(__xludf.DUMMYFUNCTION("""COMPUTED_VALUE"""),8.54)</f>
        <v>8.54</v>
      </c>
      <c r="H10088" s="17"/>
      <c r="K10088" s="17"/>
      <c r="N10088" s="17"/>
    </row>
    <row r="10089">
      <c r="B10089" s="11">
        <f>IFERROR(__xludf.DUMMYFUNCTION("""COMPUTED_VALUE"""),31902.0)</f>
        <v>31902</v>
      </c>
      <c r="C10089" s="9">
        <f>IFERROR(__xludf.DUMMYFUNCTION("""COMPUTED_VALUE"""),8.45)</f>
        <v>8.45</v>
      </c>
      <c r="H10089" s="17"/>
      <c r="K10089" s="17"/>
      <c r="N10089" s="17"/>
    </row>
    <row r="10090">
      <c r="B10090" s="11">
        <f>IFERROR(__xludf.DUMMYFUNCTION("""COMPUTED_VALUE"""),31901.0)</f>
        <v>31901</v>
      </c>
      <c r="C10090" s="9">
        <f>IFERROR(__xludf.DUMMYFUNCTION("""COMPUTED_VALUE"""),8.52)</f>
        <v>8.52</v>
      </c>
      <c r="H10090" s="17"/>
      <c r="K10090" s="17"/>
      <c r="N10090" s="17"/>
    </row>
    <row r="10091">
      <c r="B10091" s="11">
        <f>IFERROR(__xludf.DUMMYFUNCTION("""COMPUTED_VALUE"""),31898.0)</f>
        <v>31898</v>
      </c>
      <c r="C10091" s="9">
        <f>IFERROR(__xludf.DUMMYFUNCTION("""COMPUTED_VALUE"""),8.39)</f>
        <v>8.39</v>
      </c>
      <c r="H10091" s="17"/>
      <c r="K10091" s="17"/>
      <c r="N10091" s="17"/>
    </row>
    <row r="10092">
      <c r="B10092" s="11">
        <f>IFERROR(__xludf.DUMMYFUNCTION("""COMPUTED_VALUE"""),31897.0)</f>
        <v>31897</v>
      </c>
      <c r="C10092" s="9">
        <f>IFERROR(__xludf.DUMMYFUNCTION("""COMPUTED_VALUE"""),8.21)</f>
        <v>8.21</v>
      </c>
      <c r="H10092" s="17"/>
      <c r="K10092" s="17"/>
      <c r="N10092" s="17"/>
    </row>
    <row r="10093">
      <c r="B10093" s="11">
        <f>IFERROR(__xludf.DUMMYFUNCTION("""COMPUTED_VALUE"""),31896.0)</f>
        <v>31896</v>
      </c>
      <c r="C10093" s="9">
        <f>IFERROR(__xludf.DUMMYFUNCTION("""COMPUTED_VALUE"""),8.35)</f>
        <v>8.35</v>
      </c>
      <c r="H10093" s="17"/>
      <c r="K10093" s="17"/>
      <c r="N10093" s="17"/>
    </row>
    <row r="10094">
      <c r="B10094" s="11">
        <f>IFERROR(__xludf.DUMMYFUNCTION("""COMPUTED_VALUE"""),31895.0)</f>
        <v>31895</v>
      </c>
      <c r="C10094" s="9">
        <f>IFERROR(__xludf.DUMMYFUNCTION("""COMPUTED_VALUE"""),8.28)</f>
        <v>8.28</v>
      </c>
      <c r="H10094" s="17"/>
      <c r="K10094" s="17"/>
      <c r="N10094" s="17"/>
    </row>
    <row r="10095">
      <c r="B10095" s="11">
        <f>IFERROR(__xludf.DUMMYFUNCTION("""COMPUTED_VALUE"""),31894.0)</f>
        <v>31894</v>
      </c>
      <c r="C10095" s="9">
        <f>IFERROR(__xludf.DUMMYFUNCTION("""COMPUTED_VALUE"""),8.37)</f>
        <v>8.37</v>
      </c>
      <c r="H10095" s="17"/>
      <c r="K10095" s="17"/>
      <c r="N10095" s="17"/>
    </row>
    <row r="10096">
      <c r="B10096" s="11">
        <f>IFERROR(__xludf.DUMMYFUNCTION("""COMPUTED_VALUE"""),31891.0)</f>
        <v>31891</v>
      </c>
      <c r="C10096" s="9">
        <f>IFERROR(__xludf.DUMMYFUNCTION("""COMPUTED_VALUE"""),8.47)</f>
        <v>8.47</v>
      </c>
      <c r="H10096" s="17"/>
      <c r="K10096" s="17"/>
      <c r="N10096" s="17"/>
    </row>
    <row r="10097">
      <c r="B10097" s="11">
        <f>IFERROR(__xludf.DUMMYFUNCTION("""COMPUTED_VALUE"""),31890.0)</f>
        <v>31890</v>
      </c>
      <c r="C10097" s="9">
        <f>IFERROR(__xludf.DUMMYFUNCTION("""COMPUTED_VALUE"""),8.39)</f>
        <v>8.39</v>
      </c>
      <c r="H10097" s="17"/>
      <c r="K10097" s="17"/>
      <c r="N10097" s="17"/>
    </row>
    <row r="10098">
      <c r="B10098" s="11">
        <f>IFERROR(__xludf.DUMMYFUNCTION("""COMPUTED_VALUE"""),31889.0)</f>
        <v>31889</v>
      </c>
      <c r="C10098" s="9">
        <f>IFERROR(__xludf.DUMMYFUNCTION("""COMPUTED_VALUE"""),8.24)</f>
        <v>8.24</v>
      </c>
      <c r="H10098" s="17"/>
      <c r="K10098" s="17"/>
      <c r="N10098" s="17"/>
    </row>
    <row r="10099">
      <c r="B10099" s="11">
        <f>IFERROR(__xludf.DUMMYFUNCTION("""COMPUTED_VALUE"""),31888.0)</f>
        <v>31888</v>
      </c>
      <c r="C10099" s="9">
        <f>IFERROR(__xludf.DUMMYFUNCTION("""COMPUTED_VALUE"""),8.19)</f>
        <v>8.19</v>
      </c>
      <c r="H10099" s="17"/>
      <c r="K10099" s="17"/>
      <c r="N10099" s="17"/>
    </row>
    <row r="10100">
      <c r="B10100" s="11">
        <f>IFERROR(__xludf.DUMMYFUNCTION("""COMPUTED_VALUE"""),31887.0)</f>
        <v>31887</v>
      </c>
      <c r="C10100" s="9">
        <f>IFERROR(__xludf.DUMMYFUNCTION("""COMPUTED_VALUE"""),8.2)</f>
        <v>8.2</v>
      </c>
      <c r="H10100" s="17"/>
      <c r="K10100" s="17"/>
      <c r="N10100" s="17"/>
    </row>
    <row r="10101">
      <c r="B10101" s="11">
        <f>IFERROR(__xludf.DUMMYFUNCTION("""COMPUTED_VALUE"""),31884.0)</f>
        <v>31884</v>
      </c>
      <c r="C10101" s="9"/>
      <c r="H10101" s="17"/>
      <c r="K10101" s="17"/>
      <c r="N10101" s="17"/>
    </row>
    <row r="10102">
      <c r="B10102" s="11">
        <f>IFERROR(__xludf.DUMMYFUNCTION("""COMPUTED_VALUE"""),31883.0)</f>
        <v>31883</v>
      </c>
      <c r="C10102" s="9">
        <f>IFERROR(__xludf.DUMMYFUNCTION("""COMPUTED_VALUE"""),8.03)</f>
        <v>8.03</v>
      </c>
      <c r="H10102" s="17"/>
      <c r="K10102" s="17"/>
      <c r="N10102" s="17"/>
    </row>
    <row r="10103">
      <c r="B10103" s="11">
        <f>IFERROR(__xludf.DUMMYFUNCTION("""COMPUTED_VALUE"""),31882.0)</f>
        <v>31882</v>
      </c>
      <c r="C10103" s="9">
        <f>IFERROR(__xludf.DUMMYFUNCTION("""COMPUTED_VALUE"""),8.1)</f>
        <v>8.1</v>
      </c>
      <c r="H10103" s="17"/>
      <c r="K10103" s="17"/>
      <c r="N10103" s="17"/>
    </row>
    <row r="10104">
      <c r="B10104" s="11">
        <f>IFERROR(__xludf.DUMMYFUNCTION("""COMPUTED_VALUE"""),31881.0)</f>
        <v>31881</v>
      </c>
      <c r="C10104" s="9">
        <f>IFERROR(__xludf.DUMMYFUNCTION("""COMPUTED_VALUE"""),8.28)</f>
        <v>8.28</v>
      </c>
      <c r="H10104" s="17"/>
      <c r="K10104" s="17"/>
      <c r="N10104" s="17"/>
    </row>
    <row r="10105">
      <c r="B10105" s="11">
        <f>IFERROR(__xludf.DUMMYFUNCTION("""COMPUTED_VALUE"""),31880.0)</f>
        <v>31880</v>
      </c>
      <c r="C10105" s="9">
        <f>IFERROR(__xludf.DUMMYFUNCTION("""COMPUTED_VALUE"""),8.07)</f>
        <v>8.07</v>
      </c>
      <c r="H10105" s="17"/>
      <c r="K10105" s="17"/>
      <c r="N10105" s="17"/>
    </row>
    <row r="10106">
      <c r="B10106" s="11">
        <f>IFERROR(__xludf.DUMMYFUNCTION("""COMPUTED_VALUE"""),31877.0)</f>
        <v>31877</v>
      </c>
      <c r="C10106" s="9">
        <f>IFERROR(__xludf.DUMMYFUNCTION("""COMPUTED_VALUE"""),7.98)</f>
        <v>7.98</v>
      </c>
      <c r="H10106" s="17"/>
      <c r="K10106" s="17"/>
      <c r="N10106" s="17"/>
    </row>
    <row r="10107">
      <c r="B10107" s="11">
        <f>IFERROR(__xludf.DUMMYFUNCTION("""COMPUTED_VALUE"""),31876.0)</f>
        <v>31876</v>
      </c>
      <c r="C10107" s="9">
        <f>IFERROR(__xludf.DUMMYFUNCTION("""COMPUTED_VALUE"""),7.78)</f>
        <v>7.78</v>
      </c>
      <c r="H10107" s="17"/>
      <c r="K10107" s="17"/>
      <c r="N10107" s="17"/>
    </row>
    <row r="10108">
      <c r="B10108" s="11">
        <f>IFERROR(__xludf.DUMMYFUNCTION("""COMPUTED_VALUE"""),31875.0)</f>
        <v>31875</v>
      </c>
      <c r="C10108" s="9">
        <f>IFERROR(__xludf.DUMMYFUNCTION("""COMPUTED_VALUE"""),7.61)</f>
        <v>7.61</v>
      </c>
      <c r="H10108" s="17"/>
      <c r="K10108" s="17"/>
      <c r="N10108" s="17"/>
    </row>
    <row r="10109">
      <c r="B10109" s="11">
        <f>IFERROR(__xludf.DUMMYFUNCTION("""COMPUTED_VALUE"""),31874.0)</f>
        <v>31874</v>
      </c>
      <c r="C10109" s="9">
        <f>IFERROR(__xludf.DUMMYFUNCTION("""COMPUTED_VALUE"""),7.62)</f>
        <v>7.62</v>
      </c>
      <c r="H10109" s="17"/>
      <c r="K10109" s="17"/>
      <c r="N10109" s="17"/>
    </row>
    <row r="10110">
      <c r="B10110" s="11">
        <f>IFERROR(__xludf.DUMMYFUNCTION("""COMPUTED_VALUE"""),31873.0)</f>
        <v>31873</v>
      </c>
      <c r="C10110" s="9">
        <f>IFERROR(__xludf.DUMMYFUNCTION("""COMPUTED_VALUE"""),7.54)</f>
        <v>7.54</v>
      </c>
      <c r="H10110" s="17"/>
      <c r="K10110" s="17"/>
      <c r="N10110" s="17"/>
    </row>
    <row r="10111">
      <c r="B10111" s="11">
        <f>IFERROR(__xludf.DUMMYFUNCTION("""COMPUTED_VALUE"""),31870.0)</f>
        <v>31870</v>
      </c>
      <c r="C10111" s="9">
        <f>IFERROR(__xludf.DUMMYFUNCTION("""COMPUTED_VALUE"""),7.59)</f>
        <v>7.59</v>
      </c>
      <c r="H10111" s="17"/>
      <c r="K10111" s="17"/>
      <c r="N10111" s="17"/>
    </row>
    <row r="10112">
      <c r="B10112" s="11">
        <f>IFERROR(__xludf.DUMMYFUNCTION("""COMPUTED_VALUE"""),31869.0)</f>
        <v>31869</v>
      </c>
      <c r="C10112" s="9">
        <f>IFERROR(__xludf.DUMMYFUNCTION("""COMPUTED_VALUE"""),7.59)</f>
        <v>7.59</v>
      </c>
      <c r="H10112" s="17"/>
      <c r="K10112" s="17"/>
      <c r="N10112" s="17"/>
    </row>
    <row r="10113">
      <c r="B10113" s="11">
        <f>IFERROR(__xludf.DUMMYFUNCTION("""COMPUTED_VALUE"""),31868.0)</f>
        <v>31868</v>
      </c>
      <c r="C10113" s="9">
        <f>IFERROR(__xludf.DUMMYFUNCTION("""COMPUTED_VALUE"""),7.59)</f>
        <v>7.59</v>
      </c>
      <c r="H10113" s="17"/>
      <c r="K10113" s="17"/>
      <c r="N10113" s="17"/>
    </row>
    <row r="10114">
      <c r="B10114" s="11">
        <f>IFERROR(__xludf.DUMMYFUNCTION("""COMPUTED_VALUE"""),31867.0)</f>
        <v>31867</v>
      </c>
      <c r="C10114" s="9">
        <f>IFERROR(__xludf.DUMMYFUNCTION("""COMPUTED_VALUE"""),7.51)</f>
        <v>7.51</v>
      </c>
      <c r="H10114" s="17"/>
      <c r="K10114" s="17"/>
      <c r="N10114" s="17"/>
    </row>
    <row r="10115">
      <c r="B10115" s="11">
        <f>IFERROR(__xludf.DUMMYFUNCTION("""COMPUTED_VALUE"""),31866.0)</f>
        <v>31866</v>
      </c>
      <c r="C10115" s="9">
        <f>IFERROR(__xludf.DUMMYFUNCTION("""COMPUTED_VALUE"""),7.54)</f>
        <v>7.54</v>
      </c>
      <c r="H10115" s="17"/>
      <c r="K10115" s="17"/>
      <c r="N10115" s="17"/>
    </row>
    <row r="10116">
      <c r="B10116" s="11">
        <f>IFERROR(__xludf.DUMMYFUNCTION("""COMPUTED_VALUE"""),31863.0)</f>
        <v>31863</v>
      </c>
      <c r="C10116" s="9">
        <f>IFERROR(__xludf.DUMMYFUNCTION("""COMPUTED_VALUE"""),7.33)</f>
        <v>7.33</v>
      </c>
      <c r="H10116" s="17"/>
      <c r="K10116" s="17"/>
      <c r="N10116" s="17"/>
    </row>
    <row r="10117">
      <c r="B10117" s="11">
        <f>IFERROR(__xludf.DUMMYFUNCTION("""COMPUTED_VALUE"""),31862.0)</f>
        <v>31862</v>
      </c>
      <c r="C10117" s="9">
        <f>IFERROR(__xludf.DUMMYFUNCTION("""COMPUTED_VALUE"""),7.24)</f>
        <v>7.24</v>
      </c>
      <c r="H10117" s="17"/>
      <c r="K10117" s="17"/>
      <c r="N10117" s="17"/>
    </row>
    <row r="10118">
      <c r="B10118" s="11">
        <f>IFERROR(__xludf.DUMMYFUNCTION("""COMPUTED_VALUE"""),31861.0)</f>
        <v>31861</v>
      </c>
      <c r="C10118" s="9">
        <f>IFERROR(__xludf.DUMMYFUNCTION("""COMPUTED_VALUE"""),7.26)</f>
        <v>7.26</v>
      </c>
      <c r="H10118" s="17"/>
      <c r="K10118" s="17"/>
      <c r="N10118" s="17"/>
    </row>
    <row r="10119">
      <c r="B10119" s="11">
        <f>IFERROR(__xludf.DUMMYFUNCTION("""COMPUTED_VALUE"""),31860.0)</f>
        <v>31860</v>
      </c>
      <c r="C10119" s="9">
        <f>IFERROR(__xludf.DUMMYFUNCTION("""COMPUTED_VALUE"""),7.27)</f>
        <v>7.27</v>
      </c>
      <c r="H10119" s="17"/>
      <c r="K10119" s="17"/>
      <c r="N10119" s="17"/>
    </row>
    <row r="10120">
      <c r="B10120" s="11">
        <f>IFERROR(__xludf.DUMMYFUNCTION("""COMPUTED_VALUE"""),31859.0)</f>
        <v>31859</v>
      </c>
      <c r="C10120" s="9">
        <f>IFERROR(__xludf.DUMMYFUNCTION("""COMPUTED_VALUE"""),7.25)</f>
        <v>7.25</v>
      </c>
      <c r="H10120" s="17"/>
      <c r="K10120" s="17"/>
      <c r="N10120" s="17"/>
    </row>
    <row r="10121">
      <c r="B10121" s="11">
        <f>IFERROR(__xludf.DUMMYFUNCTION("""COMPUTED_VALUE"""),31856.0)</f>
        <v>31856</v>
      </c>
      <c r="C10121" s="9">
        <f>IFERROR(__xludf.DUMMYFUNCTION("""COMPUTED_VALUE"""),7.22)</f>
        <v>7.22</v>
      </c>
      <c r="H10121" s="17"/>
      <c r="K10121" s="17"/>
      <c r="N10121" s="17"/>
    </row>
    <row r="10122">
      <c r="B10122" s="11">
        <f>IFERROR(__xludf.DUMMYFUNCTION("""COMPUTED_VALUE"""),31855.0)</f>
        <v>31855</v>
      </c>
      <c r="C10122" s="9">
        <f>IFERROR(__xludf.DUMMYFUNCTION("""COMPUTED_VALUE"""),7.21)</f>
        <v>7.21</v>
      </c>
      <c r="H10122" s="17"/>
      <c r="K10122" s="17"/>
      <c r="N10122" s="17"/>
    </row>
    <row r="10123">
      <c r="B10123" s="11">
        <f>IFERROR(__xludf.DUMMYFUNCTION("""COMPUTED_VALUE"""),31854.0)</f>
        <v>31854</v>
      </c>
      <c r="C10123" s="9">
        <f>IFERROR(__xludf.DUMMYFUNCTION("""COMPUTED_VALUE"""),7.21)</f>
        <v>7.21</v>
      </c>
      <c r="H10123" s="17"/>
      <c r="K10123" s="17"/>
      <c r="N10123" s="17"/>
    </row>
    <row r="10124">
      <c r="B10124" s="11">
        <f>IFERROR(__xludf.DUMMYFUNCTION("""COMPUTED_VALUE"""),31853.0)</f>
        <v>31853</v>
      </c>
      <c r="C10124" s="9">
        <f>IFERROR(__xludf.DUMMYFUNCTION("""COMPUTED_VALUE"""),7.2)</f>
        <v>7.2</v>
      </c>
      <c r="H10124" s="17"/>
      <c r="K10124" s="17"/>
      <c r="N10124" s="17"/>
    </row>
    <row r="10125">
      <c r="B10125" s="11">
        <f>IFERROR(__xludf.DUMMYFUNCTION("""COMPUTED_VALUE"""),31852.0)</f>
        <v>31852</v>
      </c>
      <c r="C10125" s="9">
        <f>IFERROR(__xludf.DUMMYFUNCTION("""COMPUTED_VALUE"""),7.22)</f>
        <v>7.22</v>
      </c>
      <c r="H10125" s="17"/>
      <c r="K10125" s="17"/>
      <c r="N10125" s="17"/>
    </row>
    <row r="10126">
      <c r="B10126" s="11">
        <f>IFERROR(__xludf.DUMMYFUNCTION("""COMPUTED_VALUE"""),31849.0)</f>
        <v>31849</v>
      </c>
      <c r="C10126" s="9">
        <f>IFERROR(__xludf.DUMMYFUNCTION("""COMPUTED_VALUE"""),7.19)</f>
        <v>7.19</v>
      </c>
      <c r="H10126" s="17"/>
      <c r="K10126" s="17"/>
      <c r="N10126" s="17"/>
    </row>
    <row r="10127">
      <c r="B10127" s="11">
        <f>IFERROR(__xludf.DUMMYFUNCTION("""COMPUTED_VALUE"""),31848.0)</f>
        <v>31848</v>
      </c>
      <c r="C10127" s="9">
        <f>IFERROR(__xludf.DUMMYFUNCTION("""COMPUTED_VALUE"""),7.22)</f>
        <v>7.22</v>
      </c>
      <c r="H10127" s="17"/>
      <c r="K10127" s="17"/>
      <c r="N10127" s="17"/>
    </row>
    <row r="10128">
      <c r="B10128" s="11">
        <f>IFERROR(__xludf.DUMMYFUNCTION("""COMPUTED_VALUE"""),31847.0)</f>
        <v>31847</v>
      </c>
      <c r="C10128" s="9">
        <f>IFERROR(__xludf.DUMMYFUNCTION("""COMPUTED_VALUE"""),7.23)</f>
        <v>7.23</v>
      </c>
      <c r="H10128" s="17"/>
      <c r="K10128" s="17"/>
      <c r="N10128" s="17"/>
    </row>
    <row r="10129">
      <c r="B10129" s="11">
        <f>IFERROR(__xludf.DUMMYFUNCTION("""COMPUTED_VALUE"""),31846.0)</f>
        <v>31846</v>
      </c>
      <c r="C10129" s="9">
        <f>IFERROR(__xludf.DUMMYFUNCTION("""COMPUTED_VALUE"""),7.23)</f>
        <v>7.23</v>
      </c>
      <c r="H10129" s="17"/>
      <c r="K10129" s="17"/>
      <c r="N10129" s="17"/>
    </row>
    <row r="10130">
      <c r="B10130" s="11">
        <f>IFERROR(__xludf.DUMMYFUNCTION("""COMPUTED_VALUE"""),31845.0)</f>
        <v>31845</v>
      </c>
      <c r="C10130" s="9">
        <f>IFERROR(__xludf.DUMMYFUNCTION("""COMPUTED_VALUE"""),7.23)</f>
        <v>7.23</v>
      </c>
      <c r="H10130" s="17"/>
      <c r="K10130" s="17"/>
      <c r="N10130" s="17"/>
    </row>
    <row r="10131">
      <c r="B10131" s="11">
        <f>IFERROR(__xludf.DUMMYFUNCTION("""COMPUTED_VALUE"""),31842.0)</f>
        <v>31842</v>
      </c>
      <c r="C10131" s="9">
        <f>IFERROR(__xludf.DUMMYFUNCTION("""COMPUTED_VALUE"""),7.23)</f>
        <v>7.23</v>
      </c>
      <c r="H10131" s="17"/>
      <c r="K10131" s="17"/>
      <c r="N10131" s="17"/>
    </row>
    <row r="10132">
      <c r="B10132" s="11">
        <f>IFERROR(__xludf.DUMMYFUNCTION("""COMPUTED_VALUE"""),31841.0)</f>
        <v>31841</v>
      </c>
      <c r="C10132" s="9">
        <f>IFERROR(__xludf.DUMMYFUNCTION("""COMPUTED_VALUE"""),7.16)</f>
        <v>7.16</v>
      </c>
      <c r="H10132" s="17"/>
      <c r="K10132" s="17"/>
      <c r="N10132" s="17"/>
    </row>
    <row r="10133">
      <c r="B10133" s="11">
        <f>IFERROR(__xludf.DUMMYFUNCTION("""COMPUTED_VALUE"""),31840.0)</f>
        <v>31840</v>
      </c>
      <c r="C10133" s="9">
        <f>IFERROR(__xludf.DUMMYFUNCTION("""COMPUTED_VALUE"""),7.14)</f>
        <v>7.14</v>
      </c>
      <c r="H10133" s="17"/>
      <c r="K10133" s="17"/>
      <c r="N10133" s="17"/>
    </row>
    <row r="10134">
      <c r="B10134" s="11">
        <f>IFERROR(__xludf.DUMMYFUNCTION("""COMPUTED_VALUE"""),31839.0)</f>
        <v>31839</v>
      </c>
      <c r="C10134" s="9">
        <f>IFERROR(__xludf.DUMMYFUNCTION("""COMPUTED_VALUE"""),7.21)</f>
        <v>7.21</v>
      </c>
      <c r="H10134" s="17"/>
      <c r="K10134" s="17"/>
      <c r="N10134" s="17"/>
    </row>
    <row r="10135">
      <c r="B10135" s="11">
        <f>IFERROR(__xludf.DUMMYFUNCTION("""COMPUTED_VALUE"""),31838.0)</f>
        <v>31838</v>
      </c>
      <c r="C10135" s="9">
        <f>IFERROR(__xludf.DUMMYFUNCTION("""COMPUTED_VALUE"""),7.17)</f>
        <v>7.17</v>
      </c>
      <c r="H10135" s="17"/>
      <c r="K10135" s="17"/>
      <c r="N10135" s="17"/>
    </row>
    <row r="10136">
      <c r="B10136" s="11">
        <f>IFERROR(__xludf.DUMMYFUNCTION("""COMPUTED_VALUE"""),31835.0)</f>
        <v>31835</v>
      </c>
      <c r="C10136" s="9">
        <f>IFERROR(__xludf.DUMMYFUNCTION("""COMPUTED_VALUE"""),7.19)</f>
        <v>7.19</v>
      </c>
      <c r="H10136" s="17"/>
      <c r="K10136" s="17"/>
      <c r="N10136" s="17"/>
    </row>
    <row r="10137">
      <c r="B10137" s="11">
        <f>IFERROR(__xludf.DUMMYFUNCTION("""COMPUTED_VALUE"""),31834.0)</f>
        <v>31834</v>
      </c>
      <c r="C10137" s="9">
        <f>IFERROR(__xludf.DUMMYFUNCTION("""COMPUTED_VALUE"""),7.21)</f>
        <v>7.21</v>
      </c>
      <c r="H10137" s="17"/>
      <c r="K10137" s="17"/>
      <c r="N10137" s="17"/>
    </row>
    <row r="10138">
      <c r="B10138" s="11">
        <f>IFERROR(__xludf.DUMMYFUNCTION("""COMPUTED_VALUE"""),31833.0)</f>
        <v>31833</v>
      </c>
      <c r="C10138" s="9">
        <f>IFERROR(__xludf.DUMMYFUNCTION("""COMPUTED_VALUE"""),7.21)</f>
        <v>7.21</v>
      </c>
      <c r="H10138" s="17"/>
      <c r="K10138" s="17"/>
      <c r="N10138" s="17"/>
    </row>
    <row r="10139">
      <c r="B10139" s="11">
        <f>IFERROR(__xludf.DUMMYFUNCTION("""COMPUTED_VALUE"""),31832.0)</f>
        <v>31832</v>
      </c>
      <c r="C10139" s="9">
        <f>IFERROR(__xludf.DUMMYFUNCTION("""COMPUTED_VALUE"""),7.18)</f>
        <v>7.18</v>
      </c>
      <c r="H10139" s="17"/>
      <c r="K10139" s="17"/>
      <c r="N10139" s="17"/>
    </row>
    <row r="10140">
      <c r="B10140" s="11">
        <f>IFERROR(__xludf.DUMMYFUNCTION("""COMPUTED_VALUE"""),31831.0)</f>
        <v>31831</v>
      </c>
      <c r="C10140" s="9">
        <f>IFERROR(__xludf.DUMMYFUNCTION("""COMPUTED_VALUE"""),7.23)</f>
        <v>7.23</v>
      </c>
      <c r="H10140" s="17"/>
      <c r="K10140" s="17"/>
      <c r="N10140" s="17"/>
    </row>
    <row r="10141">
      <c r="B10141" s="11">
        <f>IFERROR(__xludf.DUMMYFUNCTION("""COMPUTED_VALUE"""),31828.0)</f>
        <v>31828</v>
      </c>
      <c r="C10141" s="9">
        <f>IFERROR(__xludf.DUMMYFUNCTION("""COMPUTED_VALUE"""),7.24)</f>
        <v>7.24</v>
      </c>
      <c r="H10141" s="17"/>
      <c r="K10141" s="17"/>
      <c r="N10141" s="17"/>
    </row>
    <row r="10142">
      <c r="B10142" s="11">
        <f>IFERROR(__xludf.DUMMYFUNCTION("""COMPUTED_VALUE"""),31827.0)</f>
        <v>31827</v>
      </c>
      <c r="C10142" s="9">
        <f>IFERROR(__xludf.DUMMYFUNCTION("""COMPUTED_VALUE"""),7.23)</f>
        <v>7.23</v>
      </c>
      <c r="H10142" s="17"/>
      <c r="K10142" s="17"/>
      <c r="N10142" s="17"/>
    </row>
    <row r="10143">
      <c r="B10143" s="11">
        <f>IFERROR(__xludf.DUMMYFUNCTION("""COMPUTED_VALUE"""),31826.0)</f>
        <v>31826</v>
      </c>
      <c r="C10143" s="9">
        <f>IFERROR(__xludf.DUMMYFUNCTION("""COMPUTED_VALUE"""),7.3)</f>
        <v>7.3</v>
      </c>
      <c r="H10143" s="17"/>
      <c r="K10143" s="17"/>
      <c r="N10143" s="17"/>
    </row>
    <row r="10144">
      <c r="B10144" s="11">
        <f>IFERROR(__xludf.DUMMYFUNCTION("""COMPUTED_VALUE"""),31825.0)</f>
        <v>31825</v>
      </c>
      <c r="C10144" s="9">
        <f>IFERROR(__xludf.DUMMYFUNCTION("""COMPUTED_VALUE"""),7.33)</f>
        <v>7.33</v>
      </c>
      <c r="H10144" s="17"/>
      <c r="K10144" s="17"/>
      <c r="N10144" s="17"/>
    </row>
    <row r="10145">
      <c r="B10145" s="11">
        <f>IFERROR(__xludf.DUMMYFUNCTION("""COMPUTED_VALUE"""),31824.0)</f>
        <v>31824</v>
      </c>
      <c r="C10145" s="9"/>
      <c r="H10145" s="17"/>
      <c r="K10145" s="17"/>
      <c r="N10145" s="17"/>
    </row>
    <row r="10146">
      <c r="B10146" s="11">
        <f>IFERROR(__xludf.DUMMYFUNCTION("""COMPUTED_VALUE"""),31821.0)</f>
        <v>31821</v>
      </c>
      <c r="C10146" s="9">
        <f>IFERROR(__xludf.DUMMYFUNCTION("""COMPUTED_VALUE"""),7.28)</f>
        <v>7.28</v>
      </c>
      <c r="H10146" s="17"/>
      <c r="K10146" s="17"/>
      <c r="N10146" s="17"/>
    </row>
    <row r="10147">
      <c r="B10147" s="11">
        <f>IFERROR(__xludf.DUMMYFUNCTION("""COMPUTED_VALUE"""),31820.0)</f>
        <v>31820</v>
      </c>
      <c r="C10147" s="9">
        <f>IFERROR(__xludf.DUMMYFUNCTION("""COMPUTED_VALUE"""),7.31)</f>
        <v>7.31</v>
      </c>
      <c r="H10147" s="17"/>
      <c r="K10147" s="17"/>
      <c r="N10147" s="17"/>
    </row>
    <row r="10148">
      <c r="B10148" s="11">
        <f>IFERROR(__xludf.DUMMYFUNCTION("""COMPUTED_VALUE"""),31819.0)</f>
        <v>31819</v>
      </c>
      <c r="C10148" s="9">
        <f>IFERROR(__xludf.DUMMYFUNCTION("""COMPUTED_VALUE"""),7.37)</f>
        <v>7.37</v>
      </c>
      <c r="H10148" s="17"/>
      <c r="K10148" s="17"/>
      <c r="N10148" s="17"/>
    </row>
    <row r="10149">
      <c r="B10149" s="11">
        <f>IFERROR(__xludf.DUMMYFUNCTION("""COMPUTED_VALUE"""),31818.0)</f>
        <v>31818</v>
      </c>
      <c r="C10149" s="9">
        <f>IFERROR(__xludf.DUMMYFUNCTION("""COMPUTED_VALUE"""),7.33)</f>
        <v>7.33</v>
      </c>
      <c r="H10149" s="17"/>
      <c r="K10149" s="17"/>
      <c r="N10149" s="17"/>
    </row>
    <row r="10150">
      <c r="B10150" s="11">
        <f>IFERROR(__xludf.DUMMYFUNCTION("""COMPUTED_VALUE"""),31817.0)</f>
        <v>31817</v>
      </c>
      <c r="C10150" s="9">
        <f>IFERROR(__xludf.DUMMYFUNCTION("""COMPUTED_VALUE"""),7.25)</f>
        <v>7.25</v>
      </c>
      <c r="H10150" s="17"/>
      <c r="K10150" s="17"/>
      <c r="N10150" s="17"/>
    </row>
    <row r="10151">
      <c r="B10151" s="11">
        <f>IFERROR(__xludf.DUMMYFUNCTION("""COMPUTED_VALUE"""),31814.0)</f>
        <v>31814</v>
      </c>
      <c r="C10151" s="9">
        <f>IFERROR(__xludf.DUMMYFUNCTION("""COMPUTED_VALUE"""),7.19)</f>
        <v>7.19</v>
      </c>
      <c r="H10151" s="17"/>
      <c r="K10151" s="17"/>
      <c r="N10151" s="17"/>
    </row>
    <row r="10152">
      <c r="B10152" s="11">
        <f>IFERROR(__xludf.DUMMYFUNCTION("""COMPUTED_VALUE"""),31813.0)</f>
        <v>31813</v>
      </c>
      <c r="C10152" s="9">
        <f>IFERROR(__xludf.DUMMYFUNCTION("""COMPUTED_VALUE"""),7.2)</f>
        <v>7.2</v>
      </c>
      <c r="H10152" s="17"/>
      <c r="K10152" s="17"/>
      <c r="N10152" s="17"/>
    </row>
    <row r="10153">
      <c r="B10153" s="11">
        <f>IFERROR(__xludf.DUMMYFUNCTION("""COMPUTED_VALUE"""),31812.0)</f>
        <v>31812</v>
      </c>
      <c r="C10153" s="9">
        <f>IFERROR(__xludf.DUMMYFUNCTION("""COMPUTED_VALUE"""),7.23)</f>
        <v>7.23</v>
      </c>
      <c r="H10153" s="17"/>
      <c r="K10153" s="17"/>
      <c r="N10153" s="17"/>
    </row>
    <row r="10154">
      <c r="B10154" s="11">
        <f>IFERROR(__xludf.DUMMYFUNCTION("""COMPUTED_VALUE"""),31811.0)</f>
        <v>31811</v>
      </c>
      <c r="C10154" s="9">
        <f>IFERROR(__xludf.DUMMYFUNCTION("""COMPUTED_VALUE"""),7.25)</f>
        <v>7.25</v>
      </c>
      <c r="H10154" s="17"/>
      <c r="K10154" s="17"/>
      <c r="N10154" s="17"/>
    </row>
    <row r="10155">
      <c r="B10155" s="11">
        <f>IFERROR(__xludf.DUMMYFUNCTION("""COMPUTED_VALUE"""),31810.0)</f>
        <v>31810</v>
      </c>
      <c r="C10155" s="9">
        <f>IFERROR(__xludf.DUMMYFUNCTION("""COMPUTED_VALUE"""),7.23)</f>
        <v>7.23</v>
      </c>
      <c r="H10155" s="17"/>
      <c r="K10155" s="17"/>
      <c r="N10155" s="17"/>
    </row>
    <row r="10156">
      <c r="B10156" s="11">
        <f>IFERROR(__xludf.DUMMYFUNCTION("""COMPUTED_VALUE"""),31807.0)</f>
        <v>31807</v>
      </c>
      <c r="C10156" s="9">
        <f>IFERROR(__xludf.DUMMYFUNCTION("""COMPUTED_VALUE"""),7.18)</f>
        <v>7.18</v>
      </c>
      <c r="H10156" s="17"/>
      <c r="K10156" s="17"/>
      <c r="N10156" s="17"/>
    </row>
    <row r="10157">
      <c r="B10157" s="11">
        <f>IFERROR(__xludf.DUMMYFUNCTION("""COMPUTED_VALUE"""),31806.0)</f>
        <v>31806</v>
      </c>
      <c r="C10157" s="9">
        <f>IFERROR(__xludf.DUMMYFUNCTION("""COMPUTED_VALUE"""),7.13)</f>
        <v>7.13</v>
      </c>
      <c r="H10157" s="17"/>
      <c r="K10157" s="17"/>
      <c r="N10157" s="17"/>
    </row>
    <row r="10158">
      <c r="B10158" s="11">
        <f>IFERROR(__xludf.DUMMYFUNCTION("""COMPUTED_VALUE"""),31805.0)</f>
        <v>31805</v>
      </c>
      <c r="C10158" s="9">
        <f>IFERROR(__xludf.DUMMYFUNCTION("""COMPUTED_VALUE"""),7.13)</f>
        <v>7.13</v>
      </c>
      <c r="H10158" s="17"/>
      <c r="K10158" s="17"/>
      <c r="N10158" s="17"/>
    </row>
    <row r="10159">
      <c r="B10159" s="11">
        <f>IFERROR(__xludf.DUMMYFUNCTION("""COMPUTED_VALUE"""),31804.0)</f>
        <v>31804</v>
      </c>
      <c r="C10159" s="9">
        <f>IFERROR(__xludf.DUMMYFUNCTION("""COMPUTED_VALUE"""),7.16)</f>
        <v>7.16</v>
      </c>
      <c r="H10159" s="17"/>
      <c r="K10159" s="17"/>
      <c r="N10159" s="17"/>
    </row>
    <row r="10160">
      <c r="B10160" s="11">
        <f>IFERROR(__xludf.DUMMYFUNCTION("""COMPUTED_VALUE"""),31803.0)</f>
        <v>31803</v>
      </c>
      <c r="C10160" s="9">
        <f>IFERROR(__xludf.DUMMYFUNCTION("""COMPUTED_VALUE"""),7.17)</f>
        <v>7.17</v>
      </c>
      <c r="H10160" s="17"/>
      <c r="K10160" s="17"/>
      <c r="N10160" s="17"/>
    </row>
    <row r="10161">
      <c r="B10161" s="11">
        <f>IFERROR(__xludf.DUMMYFUNCTION("""COMPUTED_VALUE"""),31800.0)</f>
        <v>31800</v>
      </c>
      <c r="C10161" s="9">
        <f>IFERROR(__xludf.DUMMYFUNCTION("""COMPUTED_VALUE"""),7.06)</f>
        <v>7.06</v>
      </c>
      <c r="H10161" s="17"/>
      <c r="K10161" s="17"/>
      <c r="N10161" s="17"/>
    </row>
    <row r="10162">
      <c r="B10162" s="11">
        <f>IFERROR(__xludf.DUMMYFUNCTION("""COMPUTED_VALUE"""),31799.0)</f>
        <v>31799</v>
      </c>
      <c r="C10162" s="9">
        <f>IFERROR(__xludf.DUMMYFUNCTION("""COMPUTED_VALUE"""),7.03)</f>
        <v>7.03</v>
      </c>
      <c r="H10162" s="17"/>
      <c r="K10162" s="17"/>
      <c r="N10162" s="17"/>
    </row>
    <row r="10163">
      <c r="B10163" s="11">
        <f>IFERROR(__xludf.DUMMYFUNCTION("""COMPUTED_VALUE"""),31798.0)</f>
        <v>31798</v>
      </c>
      <c r="C10163" s="9">
        <f>IFERROR(__xludf.DUMMYFUNCTION("""COMPUTED_VALUE"""),7.01)</f>
        <v>7.01</v>
      </c>
      <c r="H10163" s="17"/>
      <c r="K10163" s="17"/>
      <c r="N10163" s="17"/>
    </row>
    <row r="10164">
      <c r="B10164" s="11">
        <f>IFERROR(__xludf.DUMMYFUNCTION("""COMPUTED_VALUE"""),31797.0)</f>
        <v>31797</v>
      </c>
      <c r="C10164" s="9">
        <f>IFERROR(__xludf.DUMMYFUNCTION("""COMPUTED_VALUE"""),7.01)</f>
        <v>7.01</v>
      </c>
      <c r="H10164" s="17"/>
      <c r="K10164" s="17"/>
      <c r="N10164" s="17"/>
    </row>
    <row r="10165">
      <c r="B10165" s="11">
        <f>IFERROR(__xludf.DUMMYFUNCTION("""COMPUTED_VALUE"""),31796.0)</f>
        <v>31796</v>
      </c>
      <c r="C10165" s="9"/>
      <c r="H10165" s="17"/>
      <c r="K10165" s="17"/>
      <c r="N10165" s="17"/>
    </row>
    <row r="10166">
      <c r="B10166" s="11">
        <f>IFERROR(__xludf.DUMMYFUNCTION("""COMPUTED_VALUE"""),31793.0)</f>
        <v>31793</v>
      </c>
      <c r="C10166" s="9">
        <f>IFERROR(__xludf.DUMMYFUNCTION("""COMPUTED_VALUE"""),7.03)</f>
        <v>7.03</v>
      </c>
      <c r="H10166" s="17"/>
      <c r="K10166" s="17"/>
      <c r="N10166" s="17"/>
    </row>
    <row r="10167">
      <c r="B10167" s="11">
        <f>IFERROR(__xludf.DUMMYFUNCTION("""COMPUTED_VALUE"""),31792.0)</f>
        <v>31792</v>
      </c>
      <c r="C10167" s="9">
        <f>IFERROR(__xludf.DUMMYFUNCTION("""COMPUTED_VALUE"""),7.08)</f>
        <v>7.08</v>
      </c>
      <c r="H10167" s="17"/>
      <c r="K10167" s="17"/>
      <c r="N10167" s="17"/>
    </row>
    <row r="10168">
      <c r="B10168" s="11">
        <f>IFERROR(__xludf.DUMMYFUNCTION("""COMPUTED_VALUE"""),31791.0)</f>
        <v>31791</v>
      </c>
      <c r="C10168" s="9">
        <f>IFERROR(__xludf.DUMMYFUNCTION("""COMPUTED_VALUE"""),7.11)</f>
        <v>7.11</v>
      </c>
      <c r="H10168" s="17"/>
      <c r="K10168" s="17"/>
      <c r="N10168" s="17"/>
    </row>
    <row r="10169">
      <c r="B10169" s="11">
        <f>IFERROR(__xludf.DUMMYFUNCTION("""COMPUTED_VALUE"""),31790.0)</f>
        <v>31790</v>
      </c>
      <c r="C10169" s="9">
        <f>IFERROR(__xludf.DUMMYFUNCTION("""COMPUTED_VALUE"""),7.1)</f>
        <v>7.1</v>
      </c>
      <c r="H10169" s="17"/>
      <c r="K10169" s="17"/>
      <c r="N10169" s="17"/>
    </row>
    <row r="10170">
      <c r="B10170" s="11">
        <f>IFERROR(__xludf.DUMMYFUNCTION("""COMPUTED_VALUE"""),31789.0)</f>
        <v>31789</v>
      </c>
      <c r="C10170" s="9">
        <f>IFERROR(__xludf.DUMMYFUNCTION("""COMPUTED_VALUE"""),7.05)</f>
        <v>7.05</v>
      </c>
      <c r="H10170" s="17"/>
      <c r="K10170" s="17"/>
      <c r="N10170" s="17"/>
    </row>
    <row r="10171">
      <c r="B10171" s="11">
        <f>IFERROR(__xludf.DUMMYFUNCTION("""COMPUTED_VALUE"""),31786.0)</f>
        <v>31786</v>
      </c>
      <c r="C10171" s="9">
        <f>IFERROR(__xludf.DUMMYFUNCTION("""COMPUTED_VALUE"""),7.01)</f>
        <v>7.01</v>
      </c>
      <c r="H10171" s="17"/>
      <c r="K10171" s="17"/>
      <c r="N10171" s="17"/>
    </row>
    <row r="10172">
      <c r="B10172" s="11">
        <f>IFERROR(__xludf.DUMMYFUNCTION("""COMPUTED_VALUE"""),31785.0)</f>
        <v>31785</v>
      </c>
      <c r="C10172" s="9">
        <f>IFERROR(__xludf.DUMMYFUNCTION("""COMPUTED_VALUE"""),7.04)</f>
        <v>7.04</v>
      </c>
      <c r="H10172" s="17"/>
      <c r="K10172" s="17"/>
      <c r="N10172" s="17"/>
    </row>
    <row r="10173">
      <c r="B10173" s="11">
        <f>IFERROR(__xludf.DUMMYFUNCTION("""COMPUTED_VALUE"""),31784.0)</f>
        <v>31784</v>
      </c>
      <c r="C10173" s="9">
        <f>IFERROR(__xludf.DUMMYFUNCTION("""COMPUTED_VALUE"""),7.05)</f>
        <v>7.05</v>
      </c>
      <c r="H10173" s="17"/>
      <c r="K10173" s="17"/>
      <c r="N10173" s="17"/>
    </row>
    <row r="10174">
      <c r="B10174" s="11">
        <f>IFERROR(__xludf.DUMMYFUNCTION("""COMPUTED_VALUE"""),31783.0)</f>
        <v>31783</v>
      </c>
      <c r="C10174" s="9">
        <f>IFERROR(__xludf.DUMMYFUNCTION("""COMPUTED_VALUE"""),7.08)</f>
        <v>7.08</v>
      </c>
      <c r="H10174" s="17"/>
      <c r="K10174" s="17"/>
      <c r="N10174" s="17"/>
    </row>
    <row r="10175">
      <c r="B10175" s="11">
        <f>IFERROR(__xludf.DUMMYFUNCTION("""COMPUTED_VALUE"""),31782.0)</f>
        <v>31782</v>
      </c>
      <c r="C10175" s="9">
        <f>IFERROR(__xludf.DUMMYFUNCTION("""COMPUTED_VALUE"""),7.08)</f>
        <v>7.08</v>
      </c>
      <c r="H10175" s="17"/>
      <c r="K10175" s="17"/>
      <c r="N10175" s="17"/>
    </row>
    <row r="10176">
      <c r="B10176" s="11">
        <f>IFERROR(__xludf.DUMMYFUNCTION("""COMPUTED_VALUE"""),31779.0)</f>
        <v>31779</v>
      </c>
      <c r="C10176" s="9">
        <f>IFERROR(__xludf.DUMMYFUNCTION("""COMPUTED_VALUE"""),7.18)</f>
        <v>7.18</v>
      </c>
      <c r="H10176" s="17"/>
      <c r="K10176" s="17"/>
      <c r="N10176" s="17"/>
    </row>
    <row r="10177">
      <c r="B10177" s="11">
        <f>IFERROR(__xludf.DUMMYFUNCTION("""COMPUTED_VALUE"""),31778.0)</f>
        <v>31778</v>
      </c>
      <c r="C10177" s="9"/>
      <c r="H10177" s="17"/>
      <c r="K10177" s="17"/>
      <c r="N10177" s="17"/>
    </row>
    <row r="10178">
      <c r="B10178" s="11">
        <f>IFERROR(__xludf.DUMMYFUNCTION("""COMPUTED_VALUE"""),31777.0)</f>
        <v>31777</v>
      </c>
      <c r="C10178" s="9">
        <f>IFERROR(__xludf.DUMMYFUNCTION("""COMPUTED_VALUE"""),7.23)</f>
        <v>7.23</v>
      </c>
      <c r="H10178" s="17"/>
      <c r="K10178" s="17"/>
      <c r="N10178" s="17"/>
    </row>
    <row r="10179">
      <c r="B10179" s="11">
        <f>IFERROR(__xludf.DUMMYFUNCTION("""COMPUTED_VALUE"""),31776.0)</f>
        <v>31776</v>
      </c>
      <c r="C10179" s="9">
        <f>IFERROR(__xludf.DUMMYFUNCTION("""COMPUTED_VALUE"""),7.23)</f>
        <v>7.23</v>
      </c>
      <c r="H10179" s="17"/>
      <c r="K10179" s="17"/>
      <c r="N10179" s="17"/>
    </row>
    <row r="10180">
      <c r="B10180" s="11">
        <f>IFERROR(__xludf.DUMMYFUNCTION("""COMPUTED_VALUE"""),31775.0)</f>
        <v>31775</v>
      </c>
      <c r="C10180" s="9">
        <f>IFERROR(__xludf.DUMMYFUNCTION("""COMPUTED_VALUE"""),7.17)</f>
        <v>7.17</v>
      </c>
      <c r="H10180" s="17"/>
      <c r="K10180" s="17"/>
      <c r="N10180" s="17"/>
    </row>
    <row r="10181">
      <c r="B10181" s="11">
        <f>IFERROR(__xludf.DUMMYFUNCTION("""COMPUTED_VALUE"""),31772.0)</f>
        <v>31772</v>
      </c>
      <c r="C10181" s="9">
        <f>IFERROR(__xludf.DUMMYFUNCTION("""COMPUTED_VALUE"""),7.08)</f>
        <v>7.08</v>
      </c>
      <c r="H10181" s="17"/>
      <c r="K10181" s="17"/>
      <c r="N10181" s="17"/>
    </row>
    <row r="10182">
      <c r="B10182" s="11">
        <f>IFERROR(__xludf.DUMMYFUNCTION("""COMPUTED_VALUE"""),31771.0)</f>
        <v>31771</v>
      </c>
      <c r="C10182" s="9"/>
      <c r="H10182" s="17"/>
      <c r="K10182" s="17"/>
      <c r="N10182" s="17"/>
    </row>
    <row r="10183">
      <c r="B10183" s="11">
        <f>IFERROR(__xludf.DUMMYFUNCTION("""COMPUTED_VALUE"""),31770.0)</f>
        <v>31770</v>
      </c>
      <c r="C10183" s="9">
        <f>IFERROR(__xludf.DUMMYFUNCTION("""COMPUTED_VALUE"""),7.07)</f>
        <v>7.07</v>
      </c>
      <c r="H10183" s="17"/>
      <c r="K10183" s="17"/>
      <c r="N10183" s="17"/>
    </row>
    <row r="10184">
      <c r="B10184" s="11">
        <f>IFERROR(__xludf.DUMMYFUNCTION("""COMPUTED_VALUE"""),31769.0)</f>
        <v>31769</v>
      </c>
      <c r="C10184" s="9">
        <f>IFERROR(__xludf.DUMMYFUNCTION("""COMPUTED_VALUE"""),7.08)</f>
        <v>7.08</v>
      </c>
      <c r="H10184" s="17"/>
      <c r="K10184" s="17"/>
      <c r="N10184" s="17"/>
    </row>
    <row r="10185">
      <c r="B10185" s="11">
        <f>IFERROR(__xludf.DUMMYFUNCTION("""COMPUTED_VALUE"""),31768.0)</f>
        <v>31768</v>
      </c>
      <c r="C10185" s="9">
        <f>IFERROR(__xludf.DUMMYFUNCTION("""COMPUTED_VALUE"""),7.1)</f>
        <v>7.1</v>
      </c>
      <c r="H10185" s="17"/>
      <c r="K10185" s="17"/>
      <c r="N10185" s="17"/>
    </row>
    <row r="10186">
      <c r="B10186" s="11">
        <f>IFERROR(__xludf.DUMMYFUNCTION("""COMPUTED_VALUE"""),31765.0)</f>
        <v>31765</v>
      </c>
      <c r="C10186" s="9">
        <f>IFERROR(__xludf.DUMMYFUNCTION("""COMPUTED_VALUE"""),7.1)</f>
        <v>7.1</v>
      </c>
      <c r="H10186" s="17"/>
      <c r="K10186" s="17"/>
      <c r="N10186" s="17"/>
    </row>
    <row r="10187">
      <c r="B10187" s="11">
        <f>IFERROR(__xludf.DUMMYFUNCTION("""COMPUTED_VALUE"""),31764.0)</f>
        <v>31764</v>
      </c>
      <c r="C10187" s="9">
        <f>IFERROR(__xludf.DUMMYFUNCTION("""COMPUTED_VALUE"""),7.11)</f>
        <v>7.11</v>
      </c>
      <c r="H10187" s="17"/>
      <c r="K10187" s="17"/>
      <c r="N10187" s="17"/>
    </row>
    <row r="10188">
      <c r="B10188" s="11">
        <f>IFERROR(__xludf.DUMMYFUNCTION("""COMPUTED_VALUE"""),31763.0)</f>
        <v>31763</v>
      </c>
      <c r="C10188" s="9">
        <f>IFERROR(__xludf.DUMMYFUNCTION("""COMPUTED_VALUE"""),7.12)</f>
        <v>7.12</v>
      </c>
      <c r="H10188" s="17"/>
      <c r="K10188" s="17"/>
      <c r="N10188" s="17"/>
    </row>
    <row r="10189">
      <c r="B10189" s="11">
        <f>IFERROR(__xludf.DUMMYFUNCTION("""COMPUTED_VALUE"""),31762.0)</f>
        <v>31762</v>
      </c>
      <c r="C10189" s="9">
        <f>IFERROR(__xludf.DUMMYFUNCTION("""COMPUTED_VALUE"""),7.12)</f>
        <v>7.12</v>
      </c>
      <c r="H10189" s="17"/>
      <c r="K10189" s="17"/>
      <c r="N10189" s="17"/>
    </row>
    <row r="10190">
      <c r="B10190" s="11">
        <f>IFERROR(__xludf.DUMMYFUNCTION("""COMPUTED_VALUE"""),31761.0)</f>
        <v>31761</v>
      </c>
      <c r="C10190" s="9">
        <f>IFERROR(__xludf.DUMMYFUNCTION("""COMPUTED_VALUE"""),7.15)</f>
        <v>7.15</v>
      </c>
      <c r="H10190" s="17"/>
      <c r="K10190" s="17"/>
      <c r="N10190" s="17"/>
    </row>
    <row r="10191">
      <c r="B10191" s="11">
        <f>IFERROR(__xludf.DUMMYFUNCTION("""COMPUTED_VALUE"""),31758.0)</f>
        <v>31758</v>
      </c>
      <c r="C10191" s="9">
        <f>IFERROR(__xludf.DUMMYFUNCTION("""COMPUTED_VALUE"""),7.13)</f>
        <v>7.13</v>
      </c>
      <c r="H10191" s="17"/>
      <c r="K10191" s="17"/>
      <c r="N10191" s="17"/>
    </row>
    <row r="10192">
      <c r="B10192" s="11">
        <f>IFERROR(__xludf.DUMMYFUNCTION("""COMPUTED_VALUE"""),31757.0)</f>
        <v>31757</v>
      </c>
      <c r="C10192" s="9">
        <f>IFERROR(__xludf.DUMMYFUNCTION("""COMPUTED_VALUE"""),7.12)</f>
        <v>7.12</v>
      </c>
      <c r="H10192" s="17"/>
      <c r="K10192" s="17"/>
      <c r="N10192" s="17"/>
    </row>
    <row r="10193">
      <c r="B10193" s="11">
        <f>IFERROR(__xludf.DUMMYFUNCTION("""COMPUTED_VALUE"""),31756.0)</f>
        <v>31756</v>
      </c>
      <c r="C10193" s="9">
        <f>IFERROR(__xludf.DUMMYFUNCTION("""COMPUTED_VALUE"""),7.05)</f>
        <v>7.05</v>
      </c>
      <c r="H10193" s="17"/>
      <c r="K10193" s="17"/>
      <c r="N10193" s="17"/>
    </row>
    <row r="10194">
      <c r="B10194" s="11">
        <f>IFERROR(__xludf.DUMMYFUNCTION("""COMPUTED_VALUE"""),31755.0)</f>
        <v>31755</v>
      </c>
      <c r="C10194" s="9">
        <f>IFERROR(__xludf.DUMMYFUNCTION("""COMPUTED_VALUE"""),7.07)</f>
        <v>7.07</v>
      </c>
      <c r="H10194" s="17"/>
      <c r="K10194" s="17"/>
      <c r="N10194" s="17"/>
    </row>
    <row r="10195">
      <c r="B10195" s="11">
        <f>IFERROR(__xludf.DUMMYFUNCTION("""COMPUTED_VALUE"""),31754.0)</f>
        <v>31754</v>
      </c>
      <c r="C10195" s="9">
        <f>IFERROR(__xludf.DUMMYFUNCTION("""COMPUTED_VALUE"""),7.1)</f>
        <v>7.1</v>
      </c>
      <c r="H10195" s="17"/>
      <c r="K10195" s="17"/>
      <c r="N10195" s="17"/>
    </row>
    <row r="10196">
      <c r="B10196" s="11">
        <f>IFERROR(__xludf.DUMMYFUNCTION("""COMPUTED_VALUE"""),31751.0)</f>
        <v>31751</v>
      </c>
      <c r="C10196" s="9">
        <f>IFERROR(__xludf.DUMMYFUNCTION("""COMPUTED_VALUE"""),7.12)</f>
        <v>7.12</v>
      </c>
      <c r="H10196" s="17"/>
      <c r="K10196" s="17"/>
      <c r="N10196" s="17"/>
    </row>
    <row r="10197">
      <c r="B10197" s="11">
        <f>IFERROR(__xludf.DUMMYFUNCTION("""COMPUTED_VALUE"""),31750.0)</f>
        <v>31750</v>
      </c>
      <c r="C10197" s="9">
        <f>IFERROR(__xludf.DUMMYFUNCTION("""COMPUTED_VALUE"""),7.01)</f>
        <v>7.01</v>
      </c>
      <c r="H10197" s="17"/>
      <c r="K10197" s="17"/>
      <c r="N10197" s="17"/>
    </row>
    <row r="10198">
      <c r="B10198" s="11">
        <f>IFERROR(__xludf.DUMMYFUNCTION("""COMPUTED_VALUE"""),31749.0)</f>
        <v>31749</v>
      </c>
      <c r="C10198" s="9">
        <f>IFERROR(__xludf.DUMMYFUNCTION("""COMPUTED_VALUE"""),7.06)</f>
        <v>7.06</v>
      </c>
      <c r="H10198" s="17"/>
      <c r="K10198" s="17"/>
      <c r="N10198" s="17"/>
    </row>
    <row r="10199">
      <c r="B10199" s="11">
        <f>IFERROR(__xludf.DUMMYFUNCTION("""COMPUTED_VALUE"""),31748.0)</f>
        <v>31748</v>
      </c>
      <c r="C10199" s="9">
        <f>IFERROR(__xludf.DUMMYFUNCTION("""COMPUTED_VALUE"""),7.08)</f>
        <v>7.08</v>
      </c>
      <c r="H10199" s="17"/>
      <c r="K10199" s="17"/>
      <c r="N10199" s="17"/>
    </row>
    <row r="10200">
      <c r="B10200" s="11">
        <f>IFERROR(__xludf.DUMMYFUNCTION("""COMPUTED_VALUE"""),31747.0)</f>
        <v>31747</v>
      </c>
      <c r="C10200" s="9">
        <f>IFERROR(__xludf.DUMMYFUNCTION("""COMPUTED_VALUE"""),7.18)</f>
        <v>7.18</v>
      </c>
      <c r="H10200" s="17"/>
      <c r="K10200" s="17"/>
      <c r="N10200" s="17"/>
    </row>
    <row r="10201">
      <c r="B10201" s="11">
        <f>IFERROR(__xludf.DUMMYFUNCTION("""COMPUTED_VALUE"""),31744.0)</f>
        <v>31744</v>
      </c>
      <c r="C10201" s="9">
        <f>IFERROR(__xludf.DUMMYFUNCTION("""COMPUTED_VALUE"""),7.15)</f>
        <v>7.15</v>
      </c>
      <c r="H10201" s="17"/>
      <c r="K10201" s="17"/>
      <c r="N10201" s="17"/>
    </row>
    <row r="10202">
      <c r="B10202" s="11">
        <f>IFERROR(__xludf.DUMMYFUNCTION("""COMPUTED_VALUE"""),31743.0)</f>
        <v>31743</v>
      </c>
      <c r="C10202" s="9"/>
      <c r="H10202" s="17"/>
      <c r="K10202" s="17"/>
      <c r="N10202" s="17"/>
    </row>
    <row r="10203">
      <c r="B10203" s="11">
        <f>IFERROR(__xludf.DUMMYFUNCTION("""COMPUTED_VALUE"""),31742.0)</f>
        <v>31742</v>
      </c>
      <c r="C10203" s="9">
        <f>IFERROR(__xludf.DUMMYFUNCTION("""COMPUTED_VALUE"""),7.15)</f>
        <v>7.15</v>
      </c>
      <c r="H10203" s="17"/>
      <c r="K10203" s="17"/>
      <c r="N10203" s="17"/>
    </row>
    <row r="10204">
      <c r="B10204" s="11">
        <f>IFERROR(__xludf.DUMMYFUNCTION("""COMPUTED_VALUE"""),31741.0)</f>
        <v>31741</v>
      </c>
      <c r="C10204" s="9">
        <f>IFERROR(__xludf.DUMMYFUNCTION("""COMPUTED_VALUE"""),7.15)</f>
        <v>7.15</v>
      </c>
      <c r="H10204" s="17"/>
      <c r="K10204" s="17"/>
      <c r="N10204" s="17"/>
    </row>
    <row r="10205">
      <c r="B10205" s="11">
        <f>IFERROR(__xludf.DUMMYFUNCTION("""COMPUTED_VALUE"""),31740.0)</f>
        <v>31740</v>
      </c>
      <c r="C10205" s="9">
        <f>IFERROR(__xludf.DUMMYFUNCTION("""COMPUTED_VALUE"""),7.11)</f>
        <v>7.11</v>
      </c>
      <c r="H10205" s="17"/>
      <c r="K10205" s="17"/>
      <c r="N10205" s="17"/>
    </row>
    <row r="10206">
      <c r="B10206" s="11">
        <f>IFERROR(__xludf.DUMMYFUNCTION("""COMPUTED_VALUE"""),31737.0)</f>
        <v>31737</v>
      </c>
      <c r="C10206" s="9">
        <f>IFERROR(__xludf.DUMMYFUNCTION("""COMPUTED_VALUE"""),7.17)</f>
        <v>7.17</v>
      </c>
      <c r="H10206" s="17"/>
      <c r="K10206" s="17"/>
      <c r="N10206" s="17"/>
    </row>
    <row r="10207">
      <c r="B10207" s="11">
        <f>IFERROR(__xludf.DUMMYFUNCTION("""COMPUTED_VALUE"""),31736.0)</f>
        <v>31736</v>
      </c>
      <c r="C10207" s="9">
        <f>IFERROR(__xludf.DUMMYFUNCTION("""COMPUTED_VALUE"""),7.19)</f>
        <v>7.19</v>
      </c>
      <c r="H10207" s="17"/>
      <c r="K10207" s="17"/>
      <c r="N10207" s="17"/>
    </row>
    <row r="10208">
      <c r="B10208" s="11">
        <f>IFERROR(__xludf.DUMMYFUNCTION("""COMPUTED_VALUE"""),31735.0)</f>
        <v>31735</v>
      </c>
      <c r="C10208" s="9">
        <f>IFERROR(__xludf.DUMMYFUNCTION("""COMPUTED_VALUE"""),7.19)</f>
        <v>7.19</v>
      </c>
      <c r="H10208" s="17"/>
      <c r="K10208" s="17"/>
      <c r="N10208" s="17"/>
    </row>
    <row r="10209">
      <c r="B10209" s="11">
        <f>IFERROR(__xludf.DUMMYFUNCTION("""COMPUTED_VALUE"""),31734.0)</f>
        <v>31734</v>
      </c>
      <c r="C10209" s="9">
        <f>IFERROR(__xludf.DUMMYFUNCTION("""COMPUTED_VALUE"""),7.27)</f>
        <v>7.27</v>
      </c>
      <c r="H10209" s="17"/>
      <c r="K10209" s="17"/>
      <c r="N10209" s="17"/>
    </row>
    <row r="10210">
      <c r="B10210" s="11">
        <f>IFERROR(__xludf.DUMMYFUNCTION("""COMPUTED_VALUE"""),31733.0)</f>
        <v>31733</v>
      </c>
      <c r="C10210" s="9">
        <f>IFERROR(__xludf.DUMMYFUNCTION("""COMPUTED_VALUE"""),7.22)</f>
        <v>7.22</v>
      </c>
      <c r="H10210" s="17"/>
      <c r="K10210" s="17"/>
      <c r="N10210" s="17"/>
    </row>
    <row r="10211">
      <c r="B10211" s="11">
        <f>IFERROR(__xludf.DUMMYFUNCTION("""COMPUTED_VALUE"""),31730.0)</f>
        <v>31730</v>
      </c>
      <c r="C10211" s="9">
        <f>IFERROR(__xludf.DUMMYFUNCTION("""COMPUTED_VALUE"""),7.29)</f>
        <v>7.29</v>
      </c>
      <c r="H10211" s="17"/>
      <c r="K10211" s="17"/>
      <c r="N10211" s="17"/>
    </row>
    <row r="10212">
      <c r="B10212" s="11">
        <f>IFERROR(__xludf.DUMMYFUNCTION("""COMPUTED_VALUE"""),31729.0)</f>
        <v>31729</v>
      </c>
      <c r="C10212" s="9">
        <f>IFERROR(__xludf.DUMMYFUNCTION("""COMPUTED_VALUE"""),7.33)</f>
        <v>7.33</v>
      </c>
      <c r="H10212" s="17"/>
      <c r="K10212" s="17"/>
      <c r="N10212" s="17"/>
    </row>
    <row r="10213">
      <c r="B10213" s="11">
        <f>IFERROR(__xludf.DUMMYFUNCTION("""COMPUTED_VALUE"""),31728.0)</f>
        <v>31728</v>
      </c>
      <c r="C10213" s="9">
        <f>IFERROR(__xludf.DUMMYFUNCTION("""COMPUTED_VALUE"""),7.35)</f>
        <v>7.35</v>
      </c>
      <c r="H10213" s="17"/>
      <c r="K10213" s="17"/>
      <c r="N10213" s="17"/>
    </row>
    <row r="10214">
      <c r="B10214" s="11">
        <f>IFERROR(__xludf.DUMMYFUNCTION("""COMPUTED_VALUE"""),31727.0)</f>
        <v>31727</v>
      </c>
      <c r="C10214" s="9"/>
      <c r="H10214" s="17"/>
      <c r="K10214" s="17"/>
      <c r="N10214" s="17"/>
    </row>
    <row r="10215">
      <c r="B10215" s="11">
        <f>IFERROR(__xludf.DUMMYFUNCTION("""COMPUTED_VALUE"""),31726.0)</f>
        <v>31726</v>
      </c>
      <c r="C10215" s="9">
        <f>IFERROR(__xludf.DUMMYFUNCTION("""COMPUTED_VALUE"""),7.38)</f>
        <v>7.38</v>
      </c>
      <c r="H10215" s="17"/>
      <c r="K10215" s="17"/>
      <c r="N10215" s="17"/>
    </row>
    <row r="10216">
      <c r="B10216" s="11">
        <f>IFERROR(__xludf.DUMMYFUNCTION("""COMPUTED_VALUE"""),31723.0)</f>
        <v>31723</v>
      </c>
      <c r="C10216" s="9">
        <f>IFERROR(__xludf.DUMMYFUNCTION("""COMPUTED_VALUE"""),7.4)</f>
        <v>7.4</v>
      </c>
      <c r="H10216" s="17"/>
      <c r="K10216" s="17"/>
      <c r="N10216" s="17"/>
    </row>
    <row r="10217">
      <c r="B10217" s="11">
        <f>IFERROR(__xludf.DUMMYFUNCTION("""COMPUTED_VALUE"""),31722.0)</f>
        <v>31722</v>
      </c>
      <c r="C10217" s="9">
        <f>IFERROR(__xludf.DUMMYFUNCTION("""COMPUTED_VALUE"""),7.32)</f>
        <v>7.32</v>
      </c>
      <c r="H10217" s="17"/>
      <c r="K10217" s="17"/>
      <c r="N10217" s="17"/>
    </row>
    <row r="10218">
      <c r="B10218" s="11">
        <f>IFERROR(__xludf.DUMMYFUNCTION("""COMPUTED_VALUE"""),31721.0)</f>
        <v>31721</v>
      </c>
      <c r="C10218" s="9">
        <f>IFERROR(__xludf.DUMMYFUNCTION("""COMPUTED_VALUE"""),7.24)</f>
        <v>7.24</v>
      </c>
      <c r="H10218" s="17"/>
      <c r="K10218" s="17"/>
      <c r="N10218" s="17"/>
    </row>
    <row r="10219">
      <c r="B10219" s="11">
        <f>IFERROR(__xludf.DUMMYFUNCTION("""COMPUTED_VALUE"""),31720.0)</f>
        <v>31720</v>
      </c>
      <c r="C10219" s="9">
        <f>IFERROR(__xludf.DUMMYFUNCTION("""COMPUTED_VALUE"""),7.31)</f>
        <v>7.31</v>
      </c>
      <c r="H10219" s="17"/>
      <c r="K10219" s="17"/>
      <c r="N10219" s="17"/>
    </row>
    <row r="10220">
      <c r="B10220" s="11">
        <f>IFERROR(__xludf.DUMMYFUNCTION("""COMPUTED_VALUE"""),31719.0)</f>
        <v>31719</v>
      </c>
      <c r="C10220" s="9">
        <f>IFERROR(__xludf.DUMMYFUNCTION("""COMPUTED_VALUE"""),7.29)</f>
        <v>7.29</v>
      </c>
      <c r="H10220" s="17"/>
      <c r="K10220" s="17"/>
      <c r="N10220" s="17"/>
    </row>
    <row r="10221">
      <c r="B10221" s="11">
        <f>IFERROR(__xludf.DUMMYFUNCTION("""COMPUTED_VALUE"""),31716.0)</f>
        <v>31716</v>
      </c>
      <c r="C10221" s="9">
        <f>IFERROR(__xludf.DUMMYFUNCTION("""COMPUTED_VALUE"""),7.34)</f>
        <v>7.34</v>
      </c>
      <c r="H10221" s="17"/>
      <c r="K10221" s="17"/>
      <c r="N10221" s="17"/>
    </row>
    <row r="10222">
      <c r="B10222" s="11">
        <f>IFERROR(__xludf.DUMMYFUNCTION("""COMPUTED_VALUE"""),31715.0)</f>
        <v>31715</v>
      </c>
      <c r="C10222" s="9">
        <f>IFERROR(__xludf.DUMMYFUNCTION("""COMPUTED_VALUE"""),7.31)</f>
        <v>7.31</v>
      </c>
      <c r="H10222" s="17"/>
      <c r="K10222" s="17"/>
      <c r="N10222" s="17"/>
    </row>
    <row r="10223">
      <c r="B10223" s="11">
        <f>IFERROR(__xludf.DUMMYFUNCTION("""COMPUTED_VALUE"""),31714.0)</f>
        <v>31714</v>
      </c>
      <c r="C10223" s="9">
        <f>IFERROR(__xludf.DUMMYFUNCTION("""COMPUTED_VALUE"""),7.41)</f>
        <v>7.41</v>
      </c>
      <c r="H10223" s="17"/>
      <c r="K10223" s="17"/>
      <c r="N10223" s="17"/>
    </row>
    <row r="10224">
      <c r="B10224" s="11">
        <f>IFERROR(__xludf.DUMMYFUNCTION("""COMPUTED_VALUE"""),31713.0)</f>
        <v>31713</v>
      </c>
      <c r="C10224" s="9">
        <f>IFERROR(__xludf.DUMMYFUNCTION("""COMPUTED_VALUE"""),7.45)</f>
        <v>7.45</v>
      </c>
      <c r="H10224" s="17"/>
      <c r="K10224" s="17"/>
      <c r="N10224" s="17"/>
    </row>
    <row r="10225">
      <c r="B10225" s="11">
        <f>IFERROR(__xludf.DUMMYFUNCTION("""COMPUTED_VALUE"""),31712.0)</f>
        <v>31712</v>
      </c>
      <c r="C10225" s="9">
        <f>IFERROR(__xludf.DUMMYFUNCTION("""COMPUTED_VALUE"""),7.42)</f>
        <v>7.42</v>
      </c>
      <c r="H10225" s="17"/>
      <c r="K10225" s="17"/>
      <c r="N10225" s="17"/>
    </row>
    <row r="10226">
      <c r="B10226" s="11">
        <f>IFERROR(__xludf.DUMMYFUNCTION("""COMPUTED_VALUE"""),31709.0)</f>
        <v>31709</v>
      </c>
      <c r="C10226" s="9">
        <f>IFERROR(__xludf.DUMMYFUNCTION("""COMPUTED_VALUE"""),7.47)</f>
        <v>7.47</v>
      </c>
      <c r="H10226" s="17"/>
      <c r="K10226" s="17"/>
      <c r="N10226" s="17"/>
    </row>
    <row r="10227">
      <c r="B10227" s="11">
        <f>IFERROR(__xludf.DUMMYFUNCTION("""COMPUTED_VALUE"""),31708.0)</f>
        <v>31708</v>
      </c>
      <c r="C10227" s="9">
        <f>IFERROR(__xludf.DUMMYFUNCTION("""COMPUTED_VALUE"""),7.43)</f>
        <v>7.43</v>
      </c>
      <c r="H10227" s="17"/>
      <c r="K10227" s="17"/>
      <c r="N10227" s="17"/>
    </row>
    <row r="10228">
      <c r="B10228" s="11">
        <f>IFERROR(__xludf.DUMMYFUNCTION("""COMPUTED_VALUE"""),31707.0)</f>
        <v>31707</v>
      </c>
      <c r="C10228" s="9">
        <f>IFERROR(__xludf.DUMMYFUNCTION("""COMPUTED_VALUE"""),7.49)</f>
        <v>7.49</v>
      </c>
      <c r="H10228" s="17"/>
      <c r="K10228" s="17"/>
      <c r="N10228" s="17"/>
    </row>
    <row r="10229">
      <c r="B10229" s="11">
        <f>IFERROR(__xludf.DUMMYFUNCTION("""COMPUTED_VALUE"""),31706.0)</f>
        <v>31706</v>
      </c>
      <c r="C10229" s="9">
        <f>IFERROR(__xludf.DUMMYFUNCTION("""COMPUTED_VALUE"""),7.57)</f>
        <v>7.57</v>
      </c>
      <c r="H10229" s="17"/>
      <c r="K10229" s="17"/>
      <c r="N10229" s="17"/>
    </row>
    <row r="10230">
      <c r="B10230" s="11">
        <f>IFERROR(__xludf.DUMMYFUNCTION("""COMPUTED_VALUE"""),31705.0)</f>
        <v>31705</v>
      </c>
      <c r="C10230" s="9">
        <f>IFERROR(__xludf.DUMMYFUNCTION("""COMPUTED_VALUE"""),7.66)</f>
        <v>7.66</v>
      </c>
      <c r="H10230" s="17"/>
      <c r="K10230" s="17"/>
      <c r="N10230" s="17"/>
    </row>
    <row r="10231">
      <c r="B10231" s="11">
        <f>IFERROR(__xludf.DUMMYFUNCTION("""COMPUTED_VALUE"""),31702.0)</f>
        <v>31702</v>
      </c>
      <c r="C10231" s="9">
        <f>IFERROR(__xludf.DUMMYFUNCTION("""COMPUTED_VALUE"""),7.57)</f>
        <v>7.57</v>
      </c>
      <c r="H10231" s="17"/>
      <c r="K10231" s="17"/>
      <c r="N10231" s="17"/>
    </row>
    <row r="10232">
      <c r="B10232" s="11">
        <f>IFERROR(__xludf.DUMMYFUNCTION("""COMPUTED_VALUE"""),31701.0)</f>
        <v>31701</v>
      </c>
      <c r="C10232" s="9">
        <f>IFERROR(__xludf.DUMMYFUNCTION("""COMPUTED_VALUE"""),7.53)</f>
        <v>7.53</v>
      </c>
      <c r="H10232" s="17"/>
      <c r="K10232" s="17"/>
      <c r="N10232" s="17"/>
    </row>
    <row r="10233">
      <c r="B10233" s="11">
        <f>IFERROR(__xludf.DUMMYFUNCTION("""COMPUTED_VALUE"""),31700.0)</f>
        <v>31700</v>
      </c>
      <c r="C10233" s="9">
        <f>IFERROR(__xludf.DUMMYFUNCTION("""COMPUTED_VALUE"""),7.51)</f>
        <v>7.51</v>
      </c>
      <c r="H10233" s="17"/>
      <c r="K10233" s="17"/>
      <c r="N10233" s="17"/>
    </row>
    <row r="10234">
      <c r="B10234" s="11">
        <f>IFERROR(__xludf.DUMMYFUNCTION("""COMPUTED_VALUE"""),31699.0)</f>
        <v>31699</v>
      </c>
      <c r="C10234" s="9">
        <f>IFERROR(__xludf.DUMMYFUNCTION("""COMPUTED_VALUE"""),7.49)</f>
        <v>7.49</v>
      </c>
      <c r="H10234" s="17"/>
      <c r="K10234" s="17"/>
      <c r="N10234" s="17"/>
    </row>
    <row r="10235">
      <c r="B10235" s="11">
        <f>IFERROR(__xludf.DUMMYFUNCTION("""COMPUTED_VALUE"""),31698.0)</f>
        <v>31698</v>
      </c>
      <c r="C10235" s="9"/>
      <c r="H10235" s="17"/>
      <c r="K10235" s="17"/>
      <c r="N10235" s="17"/>
    </row>
    <row r="10236">
      <c r="B10236" s="11">
        <f>IFERROR(__xludf.DUMMYFUNCTION("""COMPUTED_VALUE"""),31695.0)</f>
        <v>31695</v>
      </c>
      <c r="C10236" s="9">
        <f>IFERROR(__xludf.DUMMYFUNCTION("""COMPUTED_VALUE"""),7.36)</f>
        <v>7.36</v>
      </c>
      <c r="H10236" s="17"/>
      <c r="K10236" s="17"/>
      <c r="N10236" s="17"/>
    </row>
    <row r="10237">
      <c r="B10237" s="11">
        <f>IFERROR(__xludf.DUMMYFUNCTION("""COMPUTED_VALUE"""),31694.0)</f>
        <v>31694</v>
      </c>
      <c r="C10237" s="9">
        <f>IFERROR(__xludf.DUMMYFUNCTION("""COMPUTED_VALUE"""),7.33)</f>
        <v>7.33</v>
      </c>
      <c r="H10237" s="17"/>
      <c r="K10237" s="17"/>
      <c r="N10237" s="17"/>
    </row>
    <row r="10238">
      <c r="B10238" s="11">
        <f>IFERROR(__xludf.DUMMYFUNCTION("""COMPUTED_VALUE"""),31693.0)</f>
        <v>31693</v>
      </c>
      <c r="C10238" s="9">
        <f>IFERROR(__xludf.DUMMYFUNCTION("""COMPUTED_VALUE"""),7.31)</f>
        <v>7.31</v>
      </c>
      <c r="H10238" s="17"/>
      <c r="K10238" s="17"/>
      <c r="N10238" s="17"/>
    </row>
    <row r="10239">
      <c r="B10239" s="11">
        <f>IFERROR(__xludf.DUMMYFUNCTION("""COMPUTED_VALUE"""),31692.0)</f>
        <v>31692</v>
      </c>
      <c r="C10239" s="9">
        <f>IFERROR(__xludf.DUMMYFUNCTION("""COMPUTED_VALUE"""),7.28)</f>
        <v>7.28</v>
      </c>
      <c r="H10239" s="17"/>
      <c r="K10239" s="17"/>
      <c r="N10239" s="17"/>
    </row>
    <row r="10240">
      <c r="B10240" s="11">
        <f>IFERROR(__xludf.DUMMYFUNCTION("""COMPUTED_VALUE"""),31691.0)</f>
        <v>31691</v>
      </c>
      <c r="C10240" s="9">
        <f>IFERROR(__xludf.DUMMYFUNCTION("""COMPUTED_VALUE"""),7.28)</f>
        <v>7.28</v>
      </c>
      <c r="H10240" s="17"/>
      <c r="K10240" s="17"/>
      <c r="N10240" s="17"/>
    </row>
    <row r="10241">
      <c r="B10241" s="11">
        <f>IFERROR(__xludf.DUMMYFUNCTION("""COMPUTED_VALUE"""),31688.0)</f>
        <v>31688</v>
      </c>
      <c r="C10241" s="9">
        <f>IFERROR(__xludf.DUMMYFUNCTION("""COMPUTED_VALUE"""),7.31)</f>
        <v>7.31</v>
      </c>
      <c r="H10241" s="17"/>
      <c r="K10241" s="17"/>
      <c r="N10241" s="17"/>
    </row>
    <row r="10242">
      <c r="B10242" s="11">
        <f>IFERROR(__xludf.DUMMYFUNCTION("""COMPUTED_VALUE"""),31687.0)</f>
        <v>31687</v>
      </c>
      <c r="C10242" s="9">
        <f>IFERROR(__xludf.DUMMYFUNCTION("""COMPUTED_VALUE"""),7.45)</f>
        <v>7.45</v>
      </c>
      <c r="H10242" s="17"/>
      <c r="K10242" s="17"/>
      <c r="N10242" s="17"/>
    </row>
    <row r="10243">
      <c r="B10243" s="11">
        <f>IFERROR(__xludf.DUMMYFUNCTION("""COMPUTED_VALUE"""),31686.0)</f>
        <v>31686</v>
      </c>
      <c r="C10243" s="9">
        <f>IFERROR(__xludf.DUMMYFUNCTION("""COMPUTED_VALUE"""),7.41)</f>
        <v>7.41</v>
      </c>
      <c r="H10243" s="17"/>
      <c r="K10243" s="17"/>
      <c r="N10243" s="17"/>
    </row>
    <row r="10244">
      <c r="B10244" s="11">
        <f>IFERROR(__xludf.DUMMYFUNCTION("""COMPUTED_VALUE"""),31685.0)</f>
        <v>31685</v>
      </c>
      <c r="C10244" s="9">
        <f>IFERROR(__xludf.DUMMYFUNCTION("""COMPUTED_VALUE"""),7.45)</f>
        <v>7.45</v>
      </c>
      <c r="H10244" s="17"/>
      <c r="K10244" s="17"/>
      <c r="N10244" s="17"/>
    </row>
    <row r="10245">
      <c r="B10245" s="11">
        <f>IFERROR(__xludf.DUMMYFUNCTION("""COMPUTED_VALUE"""),31684.0)</f>
        <v>31684</v>
      </c>
      <c r="C10245" s="9">
        <f>IFERROR(__xludf.DUMMYFUNCTION("""COMPUTED_VALUE"""),7.54)</f>
        <v>7.54</v>
      </c>
      <c r="H10245" s="17"/>
      <c r="K10245" s="17"/>
      <c r="N10245" s="17"/>
    </row>
    <row r="10246">
      <c r="B10246" s="11">
        <f>IFERROR(__xludf.DUMMYFUNCTION("""COMPUTED_VALUE"""),31681.0)</f>
        <v>31681</v>
      </c>
      <c r="C10246" s="9">
        <f>IFERROR(__xludf.DUMMYFUNCTION("""COMPUTED_VALUE"""),7.47)</f>
        <v>7.47</v>
      </c>
      <c r="H10246" s="17"/>
      <c r="K10246" s="17"/>
      <c r="N10246" s="17"/>
    </row>
    <row r="10247">
      <c r="B10247" s="11">
        <f>IFERROR(__xludf.DUMMYFUNCTION("""COMPUTED_VALUE"""),31680.0)</f>
        <v>31680</v>
      </c>
      <c r="C10247" s="9">
        <f>IFERROR(__xludf.DUMMYFUNCTION("""COMPUTED_VALUE"""),7.47)</f>
        <v>7.47</v>
      </c>
      <c r="H10247" s="17"/>
      <c r="K10247" s="17"/>
      <c r="N10247" s="17"/>
    </row>
    <row r="10248">
      <c r="B10248" s="11">
        <f>IFERROR(__xludf.DUMMYFUNCTION("""COMPUTED_VALUE"""),31679.0)</f>
        <v>31679</v>
      </c>
      <c r="C10248" s="9">
        <f>IFERROR(__xludf.DUMMYFUNCTION("""COMPUTED_VALUE"""),7.48)</f>
        <v>7.48</v>
      </c>
      <c r="H10248" s="17"/>
      <c r="K10248" s="17"/>
      <c r="N10248" s="17"/>
    </row>
    <row r="10249">
      <c r="B10249" s="11">
        <f>IFERROR(__xludf.DUMMYFUNCTION("""COMPUTED_VALUE"""),31678.0)</f>
        <v>31678</v>
      </c>
      <c r="C10249" s="9">
        <f>IFERROR(__xludf.DUMMYFUNCTION("""COMPUTED_VALUE"""),7.58)</f>
        <v>7.58</v>
      </c>
      <c r="H10249" s="17"/>
      <c r="K10249" s="17"/>
      <c r="N10249" s="17"/>
    </row>
    <row r="10250">
      <c r="B10250" s="11">
        <f>IFERROR(__xludf.DUMMYFUNCTION("""COMPUTED_VALUE"""),31677.0)</f>
        <v>31677</v>
      </c>
      <c r="C10250" s="9">
        <f>IFERROR(__xludf.DUMMYFUNCTION("""COMPUTED_VALUE"""),7.62)</f>
        <v>7.62</v>
      </c>
      <c r="H10250" s="17"/>
      <c r="K10250" s="17"/>
      <c r="N10250" s="17"/>
    </row>
    <row r="10251">
      <c r="B10251" s="11">
        <f>IFERROR(__xludf.DUMMYFUNCTION("""COMPUTED_VALUE"""),31674.0)</f>
        <v>31674</v>
      </c>
      <c r="C10251" s="9">
        <f>IFERROR(__xludf.DUMMYFUNCTION("""COMPUTED_VALUE"""),7.67)</f>
        <v>7.67</v>
      </c>
      <c r="H10251" s="17"/>
      <c r="K10251" s="17"/>
      <c r="N10251" s="17"/>
    </row>
    <row r="10252">
      <c r="B10252" s="11">
        <f>IFERROR(__xludf.DUMMYFUNCTION("""COMPUTED_VALUE"""),31673.0)</f>
        <v>31673</v>
      </c>
      <c r="C10252" s="9">
        <f>IFERROR(__xludf.DUMMYFUNCTION("""COMPUTED_VALUE"""),7.62)</f>
        <v>7.62</v>
      </c>
      <c r="H10252" s="17"/>
      <c r="K10252" s="17"/>
      <c r="N10252" s="17"/>
    </row>
    <row r="10253">
      <c r="B10253" s="11">
        <f>IFERROR(__xludf.DUMMYFUNCTION("""COMPUTED_VALUE"""),31672.0)</f>
        <v>31672</v>
      </c>
      <c r="C10253" s="9">
        <f>IFERROR(__xludf.DUMMYFUNCTION("""COMPUTED_VALUE"""),7.46)</f>
        <v>7.46</v>
      </c>
      <c r="H10253" s="17"/>
      <c r="K10253" s="17"/>
      <c r="N10253" s="17"/>
    </row>
    <row r="10254">
      <c r="B10254" s="11">
        <f>IFERROR(__xludf.DUMMYFUNCTION("""COMPUTED_VALUE"""),31671.0)</f>
        <v>31671</v>
      </c>
      <c r="C10254" s="9">
        <f>IFERROR(__xludf.DUMMYFUNCTION("""COMPUTED_VALUE"""),7.53)</f>
        <v>7.53</v>
      </c>
      <c r="H10254" s="17"/>
      <c r="K10254" s="17"/>
      <c r="N10254" s="17"/>
    </row>
    <row r="10255">
      <c r="B10255" s="11">
        <f>IFERROR(__xludf.DUMMYFUNCTION("""COMPUTED_VALUE"""),31670.0)</f>
        <v>31670</v>
      </c>
      <c r="C10255" s="9">
        <f>IFERROR(__xludf.DUMMYFUNCTION("""COMPUTED_VALUE"""),7.53)</f>
        <v>7.53</v>
      </c>
      <c r="H10255" s="17"/>
      <c r="K10255" s="17"/>
      <c r="N10255" s="17"/>
    </row>
    <row r="10256">
      <c r="B10256" s="11">
        <f>IFERROR(__xludf.DUMMYFUNCTION("""COMPUTED_VALUE"""),31667.0)</f>
        <v>31667</v>
      </c>
      <c r="C10256" s="9">
        <f>IFERROR(__xludf.DUMMYFUNCTION("""COMPUTED_VALUE"""),7.63)</f>
        <v>7.63</v>
      </c>
      <c r="H10256" s="17"/>
      <c r="K10256" s="17"/>
      <c r="N10256" s="17"/>
    </row>
    <row r="10257">
      <c r="B10257" s="11">
        <f>IFERROR(__xludf.DUMMYFUNCTION("""COMPUTED_VALUE"""),31666.0)</f>
        <v>31666</v>
      </c>
      <c r="C10257" s="9">
        <f>IFERROR(__xludf.DUMMYFUNCTION("""COMPUTED_VALUE"""),7.57)</f>
        <v>7.57</v>
      </c>
      <c r="H10257" s="17"/>
      <c r="K10257" s="17"/>
      <c r="N10257" s="17"/>
    </row>
    <row r="10258">
      <c r="B10258" s="11">
        <f>IFERROR(__xludf.DUMMYFUNCTION("""COMPUTED_VALUE"""),31665.0)</f>
        <v>31665</v>
      </c>
      <c r="C10258" s="9">
        <f>IFERROR(__xludf.DUMMYFUNCTION("""COMPUTED_VALUE"""),7.35)</f>
        <v>7.35</v>
      </c>
      <c r="H10258" s="17"/>
      <c r="K10258" s="17"/>
      <c r="N10258" s="17"/>
    </row>
    <row r="10259">
      <c r="B10259" s="11">
        <f>IFERROR(__xludf.DUMMYFUNCTION("""COMPUTED_VALUE"""),31664.0)</f>
        <v>31664</v>
      </c>
      <c r="C10259" s="9">
        <f>IFERROR(__xludf.DUMMYFUNCTION("""COMPUTED_VALUE"""),7.35)</f>
        <v>7.35</v>
      </c>
      <c r="H10259" s="17"/>
      <c r="K10259" s="17"/>
      <c r="N10259" s="17"/>
    </row>
    <row r="10260">
      <c r="B10260" s="11">
        <f>IFERROR(__xludf.DUMMYFUNCTION("""COMPUTED_VALUE"""),31663.0)</f>
        <v>31663</v>
      </c>
      <c r="C10260" s="9">
        <f>IFERROR(__xludf.DUMMYFUNCTION("""COMPUTED_VALUE"""),7.38)</f>
        <v>7.38</v>
      </c>
      <c r="H10260" s="17"/>
      <c r="K10260" s="17"/>
      <c r="N10260" s="17"/>
    </row>
    <row r="10261">
      <c r="B10261" s="11">
        <f>IFERROR(__xludf.DUMMYFUNCTION("""COMPUTED_VALUE"""),31660.0)</f>
        <v>31660</v>
      </c>
      <c r="C10261" s="9">
        <f>IFERROR(__xludf.DUMMYFUNCTION("""COMPUTED_VALUE"""),7.32)</f>
        <v>7.32</v>
      </c>
      <c r="H10261" s="17"/>
      <c r="K10261" s="17"/>
      <c r="N10261" s="17"/>
    </row>
    <row r="10262">
      <c r="B10262" s="11">
        <f>IFERROR(__xludf.DUMMYFUNCTION("""COMPUTED_VALUE"""),31659.0)</f>
        <v>31659</v>
      </c>
      <c r="C10262" s="9">
        <f>IFERROR(__xludf.DUMMYFUNCTION("""COMPUTED_VALUE"""),7.15)</f>
        <v>7.15</v>
      </c>
      <c r="H10262" s="17"/>
      <c r="K10262" s="17"/>
      <c r="N10262" s="17"/>
    </row>
    <row r="10263">
      <c r="B10263" s="11">
        <f>IFERROR(__xludf.DUMMYFUNCTION("""COMPUTED_VALUE"""),31658.0)</f>
        <v>31658</v>
      </c>
      <c r="C10263" s="9">
        <f>IFERROR(__xludf.DUMMYFUNCTION("""COMPUTED_VALUE"""),7.2)</f>
        <v>7.2</v>
      </c>
      <c r="H10263" s="17"/>
      <c r="K10263" s="17"/>
      <c r="N10263" s="17"/>
    </row>
    <row r="10264">
      <c r="B10264" s="11">
        <f>IFERROR(__xludf.DUMMYFUNCTION("""COMPUTED_VALUE"""),31657.0)</f>
        <v>31657</v>
      </c>
      <c r="C10264" s="9">
        <f>IFERROR(__xludf.DUMMYFUNCTION("""COMPUTED_VALUE"""),7.03)</f>
        <v>7.03</v>
      </c>
      <c r="H10264" s="17"/>
      <c r="K10264" s="17"/>
      <c r="N10264" s="17"/>
    </row>
    <row r="10265">
      <c r="B10265" s="11">
        <f>IFERROR(__xludf.DUMMYFUNCTION("""COMPUTED_VALUE"""),31656.0)</f>
        <v>31656</v>
      </c>
      <c r="C10265" s="9"/>
      <c r="H10265" s="17"/>
      <c r="K10265" s="17"/>
      <c r="N10265" s="17"/>
    </row>
    <row r="10266">
      <c r="B10266" s="11">
        <f>IFERROR(__xludf.DUMMYFUNCTION("""COMPUTED_VALUE"""),31653.0)</f>
        <v>31653</v>
      </c>
      <c r="C10266" s="9">
        <f>IFERROR(__xludf.DUMMYFUNCTION("""COMPUTED_VALUE"""),6.95)</f>
        <v>6.95</v>
      </c>
      <c r="H10266" s="17"/>
      <c r="K10266" s="17"/>
      <c r="N10266" s="17"/>
    </row>
    <row r="10267">
      <c r="B10267" s="11">
        <f>IFERROR(__xludf.DUMMYFUNCTION("""COMPUTED_VALUE"""),31652.0)</f>
        <v>31652</v>
      </c>
      <c r="C10267" s="9">
        <f>IFERROR(__xludf.DUMMYFUNCTION("""COMPUTED_VALUE"""),7.04)</f>
        <v>7.04</v>
      </c>
      <c r="H10267" s="17"/>
      <c r="K10267" s="17"/>
      <c r="N10267" s="17"/>
    </row>
    <row r="10268">
      <c r="B10268" s="11">
        <f>IFERROR(__xludf.DUMMYFUNCTION("""COMPUTED_VALUE"""),31651.0)</f>
        <v>31651</v>
      </c>
      <c r="C10268" s="9">
        <f>IFERROR(__xludf.DUMMYFUNCTION("""COMPUTED_VALUE"""),7.06)</f>
        <v>7.06</v>
      </c>
      <c r="H10268" s="17"/>
      <c r="K10268" s="17"/>
      <c r="N10268" s="17"/>
    </row>
    <row r="10269">
      <c r="B10269" s="11">
        <f>IFERROR(__xludf.DUMMYFUNCTION("""COMPUTED_VALUE"""),31650.0)</f>
        <v>31650</v>
      </c>
      <c r="C10269" s="9">
        <f>IFERROR(__xludf.DUMMYFUNCTION("""COMPUTED_VALUE"""),6.97)</f>
        <v>6.97</v>
      </c>
      <c r="H10269" s="17"/>
      <c r="K10269" s="17"/>
      <c r="N10269" s="17"/>
    </row>
    <row r="10270">
      <c r="B10270" s="11">
        <f>IFERROR(__xludf.DUMMYFUNCTION("""COMPUTED_VALUE"""),31649.0)</f>
        <v>31649</v>
      </c>
      <c r="C10270" s="9">
        <f>IFERROR(__xludf.DUMMYFUNCTION("""COMPUTED_VALUE"""),7.06)</f>
        <v>7.06</v>
      </c>
      <c r="H10270" s="17"/>
      <c r="K10270" s="17"/>
      <c r="N10270" s="17"/>
    </row>
    <row r="10271">
      <c r="B10271" s="11">
        <f>IFERROR(__xludf.DUMMYFUNCTION("""COMPUTED_VALUE"""),31646.0)</f>
        <v>31646</v>
      </c>
      <c r="C10271" s="9">
        <f>IFERROR(__xludf.DUMMYFUNCTION("""COMPUTED_VALUE"""),7.07)</f>
        <v>7.07</v>
      </c>
      <c r="H10271" s="17"/>
      <c r="K10271" s="17"/>
      <c r="N10271" s="17"/>
    </row>
    <row r="10272">
      <c r="B10272" s="11">
        <f>IFERROR(__xludf.DUMMYFUNCTION("""COMPUTED_VALUE"""),31645.0)</f>
        <v>31645</v>
      </c>
      <c r="C10272" s="9">
        <f>IFERROR(__xludf.DUMMYFUNCTION("""COMPUTED_VALUE"""),6.96)</f>
        <v>6.96</v>
      </c>
      <c r="H10272" s="17"/>
      <c r="K10272" s="17"/>
      <c r="N10272" s="17"/>
    </row>
    <row r="10273">
      <c r="B10273" s="11">
        <f>IFERROR(__xludf.DUMMYFUNCTION("""COMPUTED_VALUE"""),31644.0)</f>
        <v>31644</v>
      </c>
      <c r="C10273" s="9">
        <f>IFERROR(__xludf.DUMMYFUNCTION("""COMPUTED_VALUE"""),7.0)</f>
        <v>7</v>
      </c>
      <c r="H10273" s="17"/>
      <c r="K10273" s="17"/>
      <c r="N10273" s="17"/>
    </row>
    <row r="10274">
      <c r="B10274" s="11">
        <f>IFERROR(__xludf.DUMMYFUNCTION("""COMPUTED_VALUE"""),31643.0)</f>
        <v>31643</v>
      </c>
      <c r="C10274" s="9">
        <f>IFERROR(__xludf.DUMMYFUNCTION("""COMPUTED_VALUE"""),7.02)</f>
        <v>7.02</v>
      </c>
      <c r="H10274" s="17"/>
      <c r="K10274" s="17"/>
      <c r="N10274" s="17"/>
    </row>
    <row r="10275">
      <c r="B10275" s="11">
        <f>IFERROR(__xludf.DUMMYFUNCTION("""COMPUTED_VALUE"""),31642.0)</f>
        <v>31642</v>
      </c>
      <c r="C10275" s="9">
        <f>IFERROR(__xludf.DUMMYFUNCTION("""COMPUTED_VALUE"""),7.14)</f>
        <v>7.14</v>
      </c>
      <c r="H10275" s="17"/>
      <c r="K10275" s="17"/>
      <c r="N10275" s="17"/>
    </row>
    <row r="10276">
      <c r="B10276" s="11">
        <f>IFERROR(__xludf.DUMMYFUNCTION("""COMPUTED_VALUE"""),31639.0)</f>
        <v>31639</v>
      </c>
      <c r="C10276" s="9">
        <f>IFERROR(__xludf.DUMMYFUNCTION("""COMPUTED_VALUE"""),7.14)</f>
        <v>7.14</v>
      </c>
      <c r="H10276" s="17"/>
      <c r="K10276" s="17"/>
      <c r="N10276" s="17"/>
    </row>
    <row r="10277">
      <c r="B10277" s="11">
        <f>IFERROR(__xludf.DUMMYFUNCTION("""COMPUTED_VALUE"""),31638.0)</f>
        <v>31638</v>
      </c>
      <c r="C10277" s="9">
        <f>IFERROR(__xludf.DUMMYFUNCTION("""COMPUTED_VALUE"""),7.16)</f>
        <v>7.16</v>
      </c>
      <c r="H10277" s="17"/>
      <c r="K10277" s="17"/>
      <c r="N10277" s="17"/>
    </row>
    <row r="10278">
      <c r="B10278" s="11">
        <f>IFERROR(__xludf.DUMMYFUNCTION("""COMPUTED_VALUE"""),31637.0)</f>
        <v>31637</v>
      </c>
      <c r="C10278" s="9">
        <f>IFERROR(__xludf.DUMMYFUNCTION("""COMPUTED_VALUE"""),7.15)</f>
        <v>7.15</v>
      </c>
      <c r="H10278" s="17"/>
      <c r="K10278" s="17"/>
      <c r="N10278" s="17"/>
    </row>
    <row r="10279">
      <c r="B10279" s="11">
        <f>IFERROR(__xludf.DUMMYFUNCTION("""COMPUTED_VALUE"""),31636.0)</f>
        <v>31636</v>
      </c>
      <c r="C10279" s="9">
        <f>IFERROR(__xludf.DUMMYFUNCTION("""COMPUTED_VALUE"""),7.23)</f>
        <v>7.23</v>
      </c>
      <c r="H10279" s="17"/>
      <c r="K10279" s="17"/>
      <c r="N10279" s="17"/>
    </row>
    <row r="10280">
      <c r="B10280" s="11">
        <f>IFERROR(__xludf.DUMMYFUNCTION("""COMPUTED_VALUE"""),31635.0)</f>
        <v>31635</v>
      </c>
      <c r="C10280" s="9">
        <f>IFERROR(__xludf.DUMMYFUNCTION("""COMPUTED_VALUE"""),7.25)</f>
        <v>7.25</v>
      </c>
      <c r="H10280" s="17"/>
      <c r="K10280" s="17"/>
      <c r="N10280" s="17"/>
    </row>
    <row r="10281">
      <c r="B10281" s="11">
        <f>IFERROR(__xludf.DUMMYFUNCTION("""COMPUTED_VALUE"""),31632.0)</f>
        <v>31632</v>
      </c>
      <c r="C10281" s="9">
        <f>IFERROR(__xludf.DUMMYFUNCTION("""COMPUTED_VALUE"""),7.3)</f>
        <v>7.3</v>
      </c>
      <c r="H10281" s="17"/>
      <c r="K10281" s="17"/>
      <c r="N10281" s="17"/>
    </row>
    <row r="10282">
      <c r="B10282" s="11">
        <f>IFERROR(__xludf.DUMMYFUNCTION("""COMPUTED_VALUE"""),31631.0)</f>
        <v>31631</v>
      </c>
      <c r="C10282" s="9">
        <f>IFERROR(__xludf.DUMMYFUNCTION("""COMPUTED_VALUE"""),7.45)</f>
        <v>7.45</v>
      </c>
      <c r="H10282" s="17"/>
      <c r="K10282" s="17"/>
      <c r="N10282" s="17"/>
    </row>
    <row r="10283">
      <c r="B10283" s="11">
        <f>IFERROR(__xludf.DUMMYFUNCTION("""COMPUTED_VALUE"""),31630.0)</f>
        <v>31630</v>
      </c>
      <c r="C10283" s="9">
        <f>IFERROR(__xludf.DUMMYFUNCTION("""COMPUTED_VALUE"""),7.47)</f>
        <v>7.47</v>
      </c>
      <c r="H10283" s="17"/>
      <c r="K10283" s="17"/>
      <c r="N10283" s="17"/>
    </row>
    <row r="10284">
      <c r="B10284" s="11">
        <f>IFERROR(__xludf.DUMMYFUNCTION("""COMPUTED_VALUE"""),31629.0)</f>
        <v>31629</v>
      </c>
      <c r="C10284" s="9">
        <f>IFERROR(__xludf.DUMMYFUNCTION("""COMPUTED_VALUE"""),7.39)</f>
        <v>7.39</v>
      </c>
      <c r="H10284" s="17"/>
      <c r="K10284" s="17"/>
      <c r="N10284" s="17"/>
    </row>
    <row r="10285">
      <c r="B10285" s="11">
        <f>IFERROR(__xludf.DUMMYFUNCTION("""COMPUTED_VALUE"""),31628.0)</f>
        <v>31628</v>
      </c>
      <c r="C10285" s="9">
        <f>IFERROR(__xludf.DUMMYFUNCTION("""COMPUTED_VALUE"""),7.33)</f>
        <v>7.33</v>
      </c>
      <c r="H10285" s="17"/>
      <c r="K10285" s="17"/>
      <c r="N10285" s="17"/>
    </row>
    <row r="10286">
      <c r="B10286" s="11">
        <f>IFERROR(__xludf.DUMMYFUNCTION("""COMPUTED_VALUE"""),31625.0)</f>
        <v>31625</v>
      </c>
      <c r="C10286" s="9">
        <f>IFERROR(__xludf.DUMMYFUNCTION("""COMPUTED_VALUE"""),7.34)</f>
        <v>7.34</v>
      </c>
      <c r="H10286" s="17"/>
      <c r="K10286" s="17"/>
      <c r="N10286" s="17"/>
    </row>
    <row r="10287">
      <c r="B10287" s="11">
        <f>IFERROR(__xludf.DUMMYFUNCTION("""COMPUTED_VALUE"""),31624.0)</f>
        <v>31624</v>
      </c>
      <c r="C10287" s="9">
        <f>IFERROR(__xludf.DUMMYFUNCTION("""COMPUTED_VALUE"""),7.34)</f>
        <v>7.34</v>
      </c>
      <c r="H10287" s="17"/>
      <c r="K10287" s="17"/>
      <c r="N10287" s="17"/>
    </row>
    <row r="10288">
      <c r="B10288" s="11">
        <f>IFERROR(__xludf.DUMMYFUNCTION("""COMPUTED_VALUE"""),31623.0)</f>
        <v>31623</v>
      </c>
      <c r="C10288" s="9">
        <f>IFERROR(__xludf.DUMMYFUNCTION("""COMPUTED_VALUE"""),7.41)</f>
        <v>7.41</v>
      </c>
      <c r="H10288" s="17"/>
      <c r="K10288" s="17"/>
      <c r="N10288" s="17"/>
    </row>
    <row r="10289">
      <c r="B10289" s="11">
        <f>IFERROR(__xludf.DUMMYFUNCTION("""COMPUTED_VALUE"""),31622.0)</f>
        <v>31622</v>
      </c>
      <c r="C10289" s="9">
        <f>IFERROR(__xludf.DUMMYFUNCTION("""COMPUTED_VALUE"""),7.41)</f>
        <v>7.41</v>
      </c>
      <c r="H10289" s="17"/>
      <c r="K10289" s="17"/>
      <c r="N10289" s="17"/>
    </row>
    <row r="10290">
      <c r="B10290" s="11">
        <f>IFERROR(__xludf.DUMMYFUNCTION("""COMPUTED_VALUE"""),31621.0)</f>
        <v>31621</v>
      </c>
      <c r="C10290" s="9">
        <f>IFERROR(__xludf.DUMMYFUNCTION("""COMPUTED_VALUE"""),7.53)</f>
        <v>7.53</v>
      </c>
      <c r="H10290" s="17"/>
      <c r="K10290" s="17"/>
      <c r="N10290" s="17"/>
    </row>
    <row r="10291">
      <c r="B10291" s="11">
        <f>IFERROR(__xludf.DUMMYFUNCTION("""COMPUTED_VALUE"""),31618.0)</f>
        <v>31618</v>
      </c>
      <c r="C10291" s="9">
        <f>IFERROR(__xludf.DUMMYFUNCTION("""COMPUTED_VALUE"""),7.33)</f>
        <v>7.33</v>
      </c>
      <c r="H10291" s="17"/>
      <c r="K10291" s="17"/>
      <c r="N10291" s="17"/>
    </row>
    <row r="10292">
      <c r="B10292" s="11">
        <f>IFERROR(__xludf.DUMMYFUNCTION("""COMPUTED_VALUE"""),31617.0)</f>
        <v>31617</v>
      </c>
      <c r="C10292" s="9">
        <f>IFERROR(__xludf.DUMMYFUNCTION("""COMPUTED_VALUE"""),7.35)</f>
        <v>7.35</v>
      </c>
      <c r="H10292" s="17"/>
      <c r="K10292" s="17"/>
      <c r="N10292" s="17"/>
    </row>
    <row r="10293">
      <c r="B10293" s="11">
        <f>IFERROR(__xludf.DUMMYFUNCTION("""COMPUTED_VALUE"""),31616.0)</f>
        <v>31616</v>
      </c>
      <c r="C10293" s="9">
        <f>IFERROR(__xludf.DUMMYFUNCTION("""COMPUTED_VALUE"""),7.29)</f>
        <v>7.29</v>
      </c>
      <c r="H10293" s="17"/>
      <c r="K10293" s="17"/>
      <c r="N10293" s="17"/>
    </row>
    <row r="10294">
      <c r="B10294" s="11">
        <f>IFERROR(__xludf.DUMMYFUNCTION("""COMPUTED_VALUE"""),31615.0)</f>
        <v>31615</v>
      </c>
      <c r="C10294" s="9">
        <f>IFERROR(__xludf.DUMMYFUNCTION("""COMPUTED_VALUE"""),7.2)</f>
        <v>7.2</v>
      </c>
      <c r="H10294" s="17"/>
      <c r="K10294" s="17"/>
      <c r="N10294" s="17"/>
    </row>
    <row r="10295">
      <c r="B10295" s="11">
        <f>IFERROR(__xludf.DUMMYFUNCTION("""COMPUTED_VALUE"""),31614.0)</f>
        <v>31614</v>
      </c>
      <c r="C10295" s="9">
        <f>IFERROR(__xludf.DUMMYFUNCTION("""COMPUTED_VALUE"""),7.14)</f>
        <v>7.14</v>
      </c>
      <c r="H10295" s="17"/>
      <c r="K10295" s="17"/>
      <c r="N10295" s="17"/>
    </row>
    <row r="10296">
      <c r="B10296" s="11">
        <f>IFERROR(__xludf.DUMMYFUNCTION("""COMPUTED_VALUE"""),31611.0)</f>
        <v>31611</v>
      </c>
      <c r="C10296" s="9">
        <f>IFERROR(__xludf.DUMMYFUNCTION("""COMPUTED_VALUE"""),7.16)</f>
        <v>7.16</v>
      </c>
      <c r="H10296" s="17"/>
      <c r="K10296" s="17"/>
      <c r="N10296" s="17"/>
    </row>
    <row r="10297">
      <c r="B10297" s="11">
        <f>IFERROR(__xludf.DUMMYFUNCTION("""COMPUTED_VALUE"""),31610.0)</f>
        <v>31610</v>
      </c>
      <c r="C10297" s="9">
        <f>IFERROR(__xludf.DUMMYFUNCTION("""COMPUTED_VALUE"""),7.18)</f>
        <v>7.18</v>
      </c>
      <c r="H10297" s="17"/>
      <c r="K10297" s="17"/>
      <c r="N10297" s="17"/>
    </row>
    <row r="10298">
      <c r="B10298" s="11">
        <f>IFERROR(__xludf.DUMMYFUNCTION("""COMPUTED_VALUE"""),31609.0)</f>
        <v>31609</v>
      </c>
      <c r="C10298" s="9">
        <f>IFERROR(__xludf.DUMMYFUNCTION("""COMPUTED_VALUE"""),7.2)</f>
        <v>7.2</v>
      </c>
      <c r="H10298" s="17"/>
      <c r="K10298" s="17"/>
      <c r="N10298" s="17"/>
    </row>
    <row r="10299">
      <c r="B10299" s="11">
        <f>IFERROR(__xludf.DUMMYFUNCTION("""COMPUTED_VALUE"""),31608.0)</f>
        <v>31608</v>
      </c>
      <c r="C10299" s="9">
        <f>IFERROR(__xludf.DUMMYFUNCTION("""COMPUTED_VALUE"""),7.16)</f>
        <v>7.16</v>
      </c>
      <c r="H10299" s="17"/>
      <c r="K10299" s="17"/>
      <c r="N10299" s="17"/>
    </row>
    <row r="10300">
      <c r="B10300" s="11">
        <f>IFERROR(__xludf.DUMMYFUNCTION("""COMPUTED_VALUE"""),31607.0)</f>
        <v>31607</v>
      </c>
      <c r="C10300" s="9">
        <f>IFERROR(__xludf.DUMMYFUNCTION("""COMPUTED_VALUE"""),7.25)</f>
        <v>7.25</v>
      </c>
      <c r="H10300" s="17"/>
      <c r="K10300" s="17"/>
      <c r="N10300" s="17"/>
    </row>
    <row r="10301">
      <c r="B10301" s="11">
        <f>IFERROR(__xludf.DUMMYFUNCTION("""COMPUTED_VALUE"""),31604.0)</f>
        <v>31604</v>
      </c>
      <c r="C10301" s="9">
        <f>IFERROR(__xludf.DUMMYFUNCTION("""COMPUTED_VALUE"""),7.3)</f>
        <v>7.3</v>
      </c>
      <c r="H10301" s="17"/>
      <c r="K10301" s="17"/>
      <c r="N10301" s="17"/>
    </row>
    <row r="10302">
      <c r="B10302" s="11">
        <f>IFERROR(__xludf.DUMMYFUNCTION("""COMPUTED_VALUE"""),31603.0)</f>
        <v>31603</v>
      </c>
      <c r="C10302" s="9">
        <f>IFERROR(__xludf.DUMMYFUNCTION("""COMPUTED_VALUE"""),7.31)</f>
        <v>7.31</v>
      </c>
      <c r="H10302" s="17"/>
      <c r="K10302" s="17"/>
      <c r="N10302" s="17"/>
    </row>
    <row r="10303">
      <c r="B10303" s="11">
        <f>IFERROR(__xludf.DUMMYFUNCTION("""COMPUTED_VALUE"""),31602.0)</f>
        <v>31602</v>
      </c>
      <c r="C10303" s="9">
        <f>IFERROR(__xludf.DUMMYFUNCTION("""COMPUTED_VALUE"""),7.31)</f>
        <v>7.31</v>
      </c>
      <c r="H10303" s="17"/>
      <c r="K10303" s="17"/>
      <c r="N10303" s="17"/>
    </row>
    <row r="10304">
      <c r="B10304" s="11">
        <f>IFERROR(__xludf.DUMMYFUNCTION("""COMPUTED_VALUE"""),31601.0)</f>
        <v>31601</v>
      </c>
      <c r="C10304" s="9">
        <f>IFERROR(__xludf.DUMMYFUNCTION("""COMPUTED_VALUE"""),7.44)</f>
        <v>7.44</v>
      </c>
      <c r="H10304" s="17"/>
      <c r="K10304" s="17"/>
      <c r="N10304" s="17"/>
    </row>
    <row r="10305">
      <c r="B10305" s="11">
        <f>IFERROR(__xludf.DUMMYFUNCTION("""COMPUTED_VALUE"""),31600.0)</f>
        <v>31600</v>
      </c>
      <c r="C10305" s="9">
        <f>IFERROR(__xludf.DUMMYFUNCTION("""COMPUTED_VALUE"""),7.31)</f>
        <v>7.31</v>
      </c>
      <c r="H10305" s="17"/>
      <c r="K10305" s="17"/>
      <c r="N10305" s="17"/>
    </row>
    <row r="10306">
      <c r="B10306" s="11">
        <f>IFERROR(__xludf.DUMMYFUNCTION("""COMPUTED_VALUE"""),31597.0)</f>
        <v>31597</v>
      </c>
      <c r="C10306" s="9"/>
      <c r="H10306" s="17"/>
      <c r="K10306" s="17"/>
      <c r="N10306" s="17"/>
    </row>
    <row r="10307">
      <c r="B10307" s="11">
        <f>IFERROR(__xludf.DUMMYFUNCTION("""COMPUTED_VALUE"""),31596.0)</f>
        <v>31596</v>
      </c>
      <c r="C10307" s="9">
        <f>IFERROR(__xludf.DUMMYFUNCTION("""COMPUTED_VALUE"""),7.31)</f>
        <v>7.31</v>
      </c>
      <c r="H10307" s="17"/>
      <c r="K10307" s="17"/>
      <c r="N10307" s="17"/>
    </row>
    <row r="10308">
      <c r="B10308" s="11">
        <f>IFERROR(__xludf.DUMMYFUNCTION("""COMPUTED_VALUE"""),31595.0)</f>
        <v>31595</v>
      </c>
      <c r="C10308" s="9">
        <f>IFERROR(__xludf.DUMMYFUNCTION("""COMPUTED_VALUE"""),7.37)</f>
        <v>7.37</v>
      </c>
      <c r="H10308" s="17"/>
      <c r="K10308" s="17"/>
      <c r="N10308" s="17"/>
    </row>
    <row r="10309">
      <c r="B10309" s="11">
        <f>IFERROR(__xludf.DUMMYFUNCTION("""COMPUTED_VALUE"""),31594.0)</f>
        <v>31594</v>
      </c>
      <c r="C10309" s="9">
        <f>IFERROR(__xludf.DUMMYFUNCTION("""COMPUTED_VALUE"""),7.37)</f>
        <v>7.37</v>
      </c>
      <c r="H10309" s="17"/>
      <c r="K10309" s="17"/>
      <c r="N10309" s="17"/>
    </row>
    <row r="10310">
      <c r="B10310" s="11">
        <f>IFERROR(__xludf.DUMMYFUNCTION("""COMPUTED_VALUE"""),31593.0)</f>
        <v>31593</v>
      </c>
      <c r="C10310" s="9">
        <f>IFERROR(__xludf.DUMMYFUNCTION("""COMPUTED_VALUE"""),7.35)</f>
        <v>7.35</v>
      </c>
      <c r="H10310" s="17"/>
      <c r="K10310" s="17"/>
      <c r="N10310" s="17"/>
    </row>
    <row r="10311">
      <c r="B10311" s="11">
        <f>IFERROR(__xludf.DUMMYFUNCTION("""COMPUTED_VALUE"""),31590.0)</f>
        <v>31590</v>
      </c>
      <c r="C10311" s="9">
        <f>IFERROR(__xludf.DUMMYFUNCTION("""COMPUTED_VALUE"""),7.38)</f>
        <v>7.38</v>
      </c>
      <c r="H10311" s="17"/>
      <c r="K10311" s="17"/>
      <c r="N10311" s="17"/>
    </row>
    <row r="10312">
      <c r="B10312" s="11">
        <f>IFERROR(__xludf.DUMMYFUNCTION("""COMPUTED_VALUE"""),31589.0)</f>
        <v>31589</v>
      </c>
      <c r="C10312" s="9">
        <f>IFERROR(__xludf.DUMMYFUNCTION("""COMPUTED_VALUE"""),7.42)</f>
        <v>7.42</v>
      </c>
      <c r="H10312" s="17"/>
      <c r="K10312" s="17"/>
      <c r="N10312" s="17"/>
    </row>
    <row r="10313">
      <c r="B10313" s="11">
        <f>IFERROR(__xludf.DUMMYFUNCTION("""COMPUTED_VALUE"""),31588.0)</f>
        <v>31588</v>
      </c>
      <c r="C10313" s="9">
        <f>IFERROR(__xludf.DUMMYFUNCTION("""COMPUTED_VALUE"""),7.42)</f>
        <v>7.42</v>
      </c>
      <c r="H10313" s="17"/>
      <c r="K10313" s="17"/>
      <c r="N10313" s="17"/>
    </row>
    <row r="10314">
      <c r="B10314" s="11">
        <f>IFERROR(__xludf.DUMMYFUNCTION("""COMPUTED_VALUE"""),31587.0)</f>
        <v>31587</v>
      </c>
      <c r="C10314" s="9">
        <f>IFERROR(__xludf.DUMMYFUNCTION("""COMPUTED_VALUE"""),7.47)</f>
        <v>7.47</v>
      </c>
      <c r="H10314" s="17"/>
      <c r="K10314" s="17"/>
      <c r="N10314" s="17"/>
    </row>
    <row r="10315">
      <c r="B10315" s="11">
        <f>IFERROR(__xludf.DUMMYFUNCTION("""COMPUTED_VALUE"""),31586.0)</f>
        <v>31586</v>
      </c>
      <c r="C10315" s="9">
        <f>IFERROR(__xludf.DUMMYFUNCTION("""COMPUTED_VALUE"""),7.55)</f>
        <v>7.55</v>
      </c>
      <c r="H10315" s="17"/>
      <c r="K10315" s="17"/>
      <c r="N10315" s="17"/>
    </row>
    <row r="10316">
      <c r="B10316" s="11">
        <f>IFERROR(__xludf.DUMMYFUNCTION("""COMPUTED_VALUE"""),31583.0)</f>
        <v>31583</v>
      </c>
      <c r="C10316" s="9">
        <f>IFERROR(__xludf.DUMMYFUNCTION("""COMPUTED_VALUE"""),7.6)</f>
        <v>7.6</v>
      </c>
      <c r="H10316" s="17"/>
      <c r="K10316" s="17"/>
      <c r="N10316" s="17"/>
    </row>
    <row r="10317">
      <c r="B10317" s="11">
        <f>IFERROR(__xludf.DUMMYFUNCTION("""COMPUTED_VALUE"""),31582.0)</f>
        <v>31582</v>
      </c>
      <c r="C10317" s="9">
        <f>IFERROR(__xludf.DUMMYFUNCTION("""COMPUTED_VALUE"""),7.69)</f>
        <v>7.69</v>
      </c>
      <c r="H10317" s="17"/>
      <c r="K10317" s="17"/>
      <c r="N10317" s="17"/>
    </row>
    <row r="10318">
      <c r="B10318" s="11">
        <f>IFERROR(__xludf.DUMMYFUNCTION("""COMPUTED_VALUE"""),31581.0)</f>
        <v>31581</v>
      </c>
      <c r="C10318" s="9">
        <f>IFERROR(__xludf.DUMMYFUNCTION("""COMPUTED_VALUE"""),7.57)</f>
        <v>7.57</v>
      </c>
      <c r="H10318" s="17"/>
      <c r="K10318" s="17"/>
      <c r="N10318" s="17"/>
    </row>
    <row r="10319">
      <c r="B10319" s="11">
        <f>IFERROR(__xludf.DUMMYFUNCTION("""COMPUTED_VALUE"""),31580.0)</f>
        <v>31580</v>
      </c>
      <c r="C10319" s="9">
        <f>IFERROR(__xludf.DUMMYFUNCTION("""COMPUTED_VALUE"""),7.63)</f>
        <v>7.63</v>
      </c>
      <c r="H10319" s="17"/>
      <c r="K10319" s="17"/>
      <c r="N10319" s="17"/>
    </row>
    <row r="10320">
      <c r="B10320" s="11">
        <f>IFERROR(__xludf.DUMMYFUNCTION("""COMPUTED_VALUE"""),31579.0)</f>
        <v>31579</v>
      </c>
      <c r="C10320" s="9">
        <f>IFERROR(__xludf.DUMMYFUNCTION("""COMPUTED_VALUE"""),7.63)</f>
        <v>7.63</v>
      </c>
      <c r="H10320" s="17"/>
      <c r="K10320" s="17"/>
      <c r="N10320" s="17"/>
    </row>
    <row r="10321">
      <c r="B10321" s="11">
        <f>IFERROR(__xludf.DUMMYFUNCTION("""COMPUTED_VALUE"""),31576.0)</f>
        <v>31576</v>
      </c>
      <c r="C10321" s="9">
        <f>IFERROR(__xludf.DUMMYFUNCTION("""COMPUTED_VALUE"""),7.73)</f>
        <v>7.73</v>
      </c>
      <c r="H10321" s="17"/>
      <c r="K10321" s="17"/>
      <c r="N10321" s="17"/>
    </row>
    <row r="10322">
      <c r="B10322" s="11">
        <f>IFERROR(__xludf.DUMMYFUNCTION("""COMPUTED_VALUE"""),31575.0)</f>
        <v>31575</v>
      </c>
      <c r="C10322" s="9">
        <f>IFERROR(__xludf.DUMMYFUNCTION("""COMPUTED_VALUE"""),7.98)</f>
        <v>7.98</v>
      </c>
      <c r="H10322" s="17"/>
      <c r="K10322" s="17"/>
      <c r="N10322" s="17"/>
    </row>
    <row r="10323">
      <c r="B10323" s="11">
        <f>IFERROR(__xludf.DUMMYFUNCTION("""COMPUTED_VALUE"""),31574.0)</f>
        <v>31574</v>
      </c>
      <c r="C10323" s="9">
        <f>IFERROR(__xludf.DUMMYFUNCTION("""COMPUTED_VALUE"""),8.01)</f>
        <v>8.01</v>
      </c>
      <c r="H10323" s="17"/>
      <c r="K10323" s="17"/>
      <c r="N10323" s="17"/>
    </row>
    <row r="10324">
      <c r="B10324" s="11">
        <f>IFERROR(__xludf.DUMMYFUNCTION("""COMPUTED_VALUE"""),31573.0)</f>
        <v>31573</v>
      </c>
      <c r="C10324" s="9">
        <f>IFERROR(__xludf.DUMMYFUNCTION("""COMPUTED_VALUE"""),8.07)</f>
        <v>8.07</v>
      </c>
      <c r="H10324" s="17"/>
      <c r="K10324" s="17"/>
      <c r="N10324" s="17"/>
    </row>
    <row r="10325">
      <c r="B10325" s="11">
        <f>IFERROR(__xludf.DUMMYFUNCTION("""COMPUTED_VALUE"""),31572.0)</f>
        <v>31572</v>
      </c>
      <c r="C10325" s="9">
        <f>IFERROR(__xludf.DUMMYFUNCTION("""COMPUTED_VALUE"""),8.13)</f>
        <v>8.13</v>
      </c>
      <c r="H10325" s="17"/>
      <c r="K10325" s="17"/>
      <c r="N10325" s="17"/>
    </row>
    <row r="10326">
      <c r="B10326" s="11">
        <f>IFERROR(__xludf.DUMMYFUNCTION("""COMPUTED_VALUE"""),31569.0)</f>
        <v>31569</v>
      </c>
      <c r="C10326" s="9">
        <f>IFERROR(__xludf.DUMMYFUNCTION("""COMPUTED_VALUE"""),7.95)</f>
        <v>7.95</v>
      </c>
      <c r="H10326" s="17"/>
      <c r="K10326" s="17"/>
      <c r="N10326" s="17"/>
    </row>
    <row r="10327">
      <c r="B10327" s="11">
        <f>IFERROR(__xludf.DUMMYFUNCTION("""COMPUTED_VALUE"""),31568.0)</f>
        <v>31568</v>
      </c>
      <c r="C10327" s="9">
        <f>IFERROR(__xludf.DUMMYFUNCTION("""COMPUTED_VALUE"""),8.31)</f>
        <v>8.31</v>
      </c>
      <c r="H10327" s="17"/>
      <c r="K10327" s="17"/>
      <c r="N10327" s="17"/>
    </row>
    <row r="10328">
      <c r="B10328" s="11">
        <f>IFERROR(__xludf.DUMMYFUNCTION("""COMPUTED_VALUE"""),31567.0)</f>
        <v>31567</v>
      </c>
      <c r="C10328" s="9">
        <f>IFERROR(__xludf.DUMMYFUNCTION("""COMPUTED_VALUE"""),8.39)</f>
        <v>8.39</v>
      </c>
      <c r="H10328" s="17"/>
      <c r="K10328" s="17"/>
      <c r="N10328" s="17"/>
    </row>
    <row r="10329">
      <c r="B10329" s="11">
        <f>IFERROR(__xludf.DUMMYFUNCTION("""COMPUTED_VALUE"""),31566.0)</f>
        <v>31566</v>
      </c>
      <c r="C10329" s="9">
        <f>IFERROR(__xludf.DUMMYFUNCTION("""COMPUTED_VALUE"""),8.19)</f>
        <v>8.19</v>
      </c>
      <c r="H10329" s="17"/>
      <c r="K10329" s="17"/>
      <c r="N10329" s="17"/>
    </row>
    <row r="10330">
      <c r="B10330" s="11">
        <f>IFERROR(__xludf.DUMMYFUNCTION("""COMPUTED_VALUE"""),31565.0)</f>
        <v>31565</v>
      </c>
      <c r="C10330" s="9">
        <f>IFERROR(__xludf.DUMMYFUNCTION("""COMPUTED_VALUE"""),8.32)</f>
        <v>8.32</v>
      </c>
      <c r="H10330" s="17"/>
      <c r="K10330" s="17"/>
      <c r="N10330" s="17"/>
    </row>
    <row r="10331">
      <c r="B10331" s="11">
        <f>IFERROR(__xludf.DUMMYFUNCTION("""COMPUTED_VALUE"""),31562.0)</f>
        <v>31562</v>
      </c>
      <c r="C10331" s="9">
        <f>IFERROR(__xludf.DUMMYFUNCTION("""COMPUTED_VALUE"""),8.05)</f>
        <v>8.05</v>
      </c>
      <c r="H10331" s="17"/>
      <c r="K10331" s="17"/>
      <c r="N10331" s="17"/>
    </row>
    <row r="10332">
      <c r="B10332" s="11">
        <f>IFERROR(__xludf.DUMMYFUNCTION("""COMPUTED_VALUE"""),31561.0)</f>
        <v>31561</v>
      </c>
      <c r="C10332" s="9">
        <f>IFERROR(__xludf.DUMMYFUNCTION("""COMPUTED_VALUE"""),7.99)</f>
        <v>7.99</v>
      </c>
      <c r="H10332" s="17"/>
      <c r="K10332" s="17"/>
      <c r="N10332" s="17"/>
    </row>
    <row r="10333">
      <c r="B10333" s="11">
        <f>IFERROR(__xludf.DUMMYFUNCTION("""COMPUTED_VALUE"""),31560.0)</f>
        <v>31560</v>
      </c>
      <c r="C10333" s="9">
        <f>IFERROR(__xludf.DUMMYFUNCTION("""COMPUTED_VALUE"""),7.73)</f>
        <v>7.73</v>
      </c>
      <c r="H10333" s="17"/>
      <c r="K10333" s="17"/>
      <c r="N10333" s="17"/>
    </row>
    <row r="10334">
      <c r="B10334" s="11">
        <f>IFERROR(__xludf.DUMMYFUNCTION("""COMPUTED_VALUE"""),31559.0)</f>
        <v>31559</v>
      </c>
      <c r="C10334" s="9">
        <f>IFERROR(__xludf.DUMMYFUNCTION("""COMPUTED_VALUE"""),7.73)</f>
        <v>7.73</v>
      </c>
      <c r="H10334" s="17"/>
      <c r="K10334" s="17"/>
      <c r="N10334" s="17"/>
    </row>
    <row r="10335">
      <c r="B10335" s="11">
        <f>IFERROR(__xludf.DUMMYFUNCTION("""COMPUTED_VALUE"""),31558.0)</f>
        <v>31558</v>
      </c>
      <c r="C10335" s="9"/>
      <c r="H10335" s="17"/>
      <c r="K10335" s="17"/>
      <c r="N10335" s="17"/>
    </row>
    <row r="10336">
      <c r="B10336" s="11">
        <f>IFERROR(__xludf.DUMMYFUNCTION("""COMPUTED_VALUE"""),31555.0)</f>
        <v>31555</v>
      </c>
      <c r="C10336" s="9">
        <f>IFERROR(__xludf.DUMMYFUNCTION("""COMPUTED_VALUE"""),7.84)</f>
        <v>7.84</v>
      </c>
      <c r="H10336" s="17"/>
      <c r="K10336" s="17"/>
      <c r="N10336" s="17"/>
    </row>
    <row r="10337">
      <c r="B10337" s="11">
        <f>IFERROR(__xludf.DUMMYFUNCTION("""COMPUTED_VALUE"""),31554.0)</f>
        <v>31554</v>
      </c>
      <c r="C10337" s="9">
        <f>IFERROR(__xludf.DUMMYFUNCTION("""COMPUTED_VALUE"""),7.88)</f>
        <v>7.88</v>
      </c>
      <c r="H10337" s="17"/>
      <c r="K10337" s="17"/>
      <c r="N10337" s="17"/>
    </row>
    <row r="10338">
      <c r="B10338" s="11">
        <f>IFERROR(__xludf.DUMMYFUNCTION("""COMPUTED_VALUE"""),31553.0)</f>
        <v>31553</v>
      </c>
      <c r="C10338" s="9">
        <f>IFERROR(__xludf.DUMMYFUNCTION("""COMPUTED_VALUE"""),7.9)</f>
        <v>7.9</v>
      </c>
      <c r="H10338" s="17"/>
      <c r="K10338" s="17"/>
      <c r="N10338" s="17"/>
    </row>
    <row r="10339">
      <c r="B10339" s="11">
        <f>IFERROR(__xludf.DUMMYFUNCTION("""COMPUTED_VALUE"""),31552.0)</f>
        <v>31552</v>
      </c>
      <c r="C10339" s="9">
        <f>IFERROR(__xludf.DUMMYFUNCTION("""COMPUTED_VALUE"""),7.88)</f>
        <v>7.88</v>
      </c>
      <c r="H10339" s="17"/>
      <c r="K10339" s="17"/>
      <c r="N10339" s="17"/>
    </row>
    <row r="10340">
      <c r="B10340" s="11">
        <f>IFERROR(__xludf.DUMMYFUNCTION("""COMPUTED_VALUE"""),31551.0)</f>
        <v>31551</v>
      </c>
      <c r="C10340" s="9">
        <f>IFERROR(__xludf.DUMMYFUNCTION("""COMPUTED_VALUE"""),7.98)</f>
        <v>7.98</v>
      </c>
      <c r="H10340" s="17"/>
      <c r="K10340" s="17"/>
      <c r="N10340" s="17"/>
    </row>
    <row r="10341">
      <c r="B10341" s="11">
        <f>IFERROR(__xludf.DUMMYFUNCTION("""COMPUTED_VALUE"""),31548.0)</f>
        <v>31548</v>
      </c>
      <c r="C10341" s="9">
        <f>IFERROR(__xludf.DUMMYFUNCTION("""COMPUTED_VALUE"""),7.99)</f>
        <v>7.99</v>
      </c>
      <c r="H10341" s="17"/>
      <c r="K10341" s="17"/>
      <c r="N10341" s="17"/>
    </row>
    <row r="10342">
      <c r="B10342" s="11">
        <f>IFERROR(__xludf.DUMMYFUNCTION("""COMPUTED_VALUE"""),31547.0)</f>
        <v>31547</v>
      </c>
      <c r="C10342" s="9">
        <f>IFERROR(__xludf.DUMMYFUNCTION("""COMPUTED_VALUE"""),7.79)</f>
        <v>7.79</v>
      </c>
      <c r="H10342" s="17"/>
      <c r="K10342" s="17"/>
      <c r="N10342" s="17"/>
    </row>
    <row r="10343">
      <c r="B10343" s="11">
        <f>IFERROR(__xludf.DUMMYFUNCTION("""COMPUTED_VALUE"""),31546.0)</f>
        <v>31546</v>
      </c>
      <c r="C10343" s="9">
        <f>IFERROR(__xludf.DUMMYFUNCTION("""COMPUTED_VALUE"""),7.66)</f>
        <v>7.66</v>
      </c>
      <c r="H10343" s="17"/>
      <c r="K10343" s="17"/>
      <c r="N10343" s="17"/>
    </row>
    <row r="10344">
      <c r="B10344" s="11">
        <f>IFERROR(__xludf.DUMMYFUNCTION("""COMPUTED_VALUE"""),31545.0)</f>
        <v>31545</v>
      </c>
      <c r="C10344" s="9">
        <f>IFERROR(__xludf.DUMMYFUNCTION("""COMPUTED_VALUE"""),7.63)</f>
        <v>7.63</v>
      </c>
      <c r="H10344" s="17"/>
      <c r="K10344" s="17"/>
      <c r="N10344" s="17"/>
    </row>
    <row r="10345">
      <c r="B10345" s="11">
        <f>IFERROR(__xludf.DUMMYFUNCTION("""COMPUTED_VALUE"""),31544.0)</f>
        <v>31544</v>
      </c>
      <c r="C10345" s="9">
        <f>IFERROR(__xludf.DUMMYFUNCTION("""COMPUTED_VALUE"""),7.67)</f>
        <v>7.67</v>
      </c>
      <c r="H10345" s="17"/>
      <c r="K10345" s="17"/>
      <c r="N10345" s="17"/>
    </row>
    <row r="10346">
      <c r="B10346" s="11">
        <f>IFERROR(__xludf.DUMMYFUNCTION("""COMPUTED_VALUE"""),31541.0)</f>
        <v>31541</v>
      </c>
      <c r="C10346" s="9">
        <f>IFERROR(__xludf.DUMMYFUNCTION("""COMPUTED_VALUE"""),7.48)</f>
        <v>7.48</v>
      </c>
      <c r="H10346" s="17"/>
      <c r="K10346" s="17"/>
      <c r="N10346" s="17"/>
    </row>
    <row r="10347">
      <c r="B10347" s="11">
        <f>IFERROR(__xludf.DUMMYFUNCTION("""COMPUTED_VALUE"""),31540.0)</f>
        <v>31540</v>
      </c>
      <c r="C10347" s="9">
        <f>IFERROR(__xludf.DUMMYFUNCTION("""COMPUTED_VALUE"""),7.4)</f>
        <v>7.4</v>
      </c>
      <c r="H10347" s="17"/>
      <c r="K10347" s="17"/>
      <c r="N10347" s="17"/>
    </row>
    <row r="10348">
      <c r="B10348" s="11">
        <f>IFERROR(__xludf.DUMMYFUNCTION("""COMPUTED_VALUE"""),31539.0)</f>
        <v>31539</v>
      </c>
      <c r="C10348" s="9">
        <f>IFERROR(__xludf.DUMMYFUNCTION("""COMPUTED_VALUE"""),7.43)</f>
        <v>7.43</v>
      </c>
      <c r="H10348" s="17"/>
      <c r="K10348" s="17"/>
      <c r="N10348" s="17"/>
    </row>
    <row r="10349">
      <c r="B10349" s="11">
        <f>IFERROR(__xludf.DUMMYFUNCTION("""COMPUTED_VALUE"""),31538.0)</f>
        <v>31538</v>
      </c>
      <c r="C10349" s="9">
        <f>IFERROR(__xludf.DUMMYFUNCTION("""COMPUTED_VALUE"""),7.46)</f>
        <v>7.46</v>
      </c>
      <c r="H10349" s="17"/>
      <c r="K10349" s="17"/>
      <c r="N10349" s="17"/>
    </row>
    <row r="10350">
      <c r="B10350" s="11">
        <f>IFERROR(__xludf.DUMMYFUNCTION("""COMPUTED_VALUE"""),31537.0)</f>
        <v>31537</v>
      </c>
      <c r="C10350" s="9">
        <f>IFERROR(__xludf.DUMMYFUNCTION("""COMPUTED_VALUE"""),7.45)</f>
        <v>7.45</v>
      </c>
      <c r="H10350" s="17"/>
      <c r="K10350" s="17"/>
      <c r="N10350" s="17"/>
    </row>
    <row r="10351">
      <c r="B10351" s="11">
        <f>IFERROR(__xludf.DUMMYFUNCTION("""COMPUTED_VALUE"""),31534.0)</f>
        <v>31534</v>
      </c>
      <c r="C10351" s="9">
        <f>IFERROR(__xludf.DUMMYFUNCTION("""COMPUTED_VALUE"""),7.51)</f>
        <v>7.51</v>
      </c>
      <c r="H10351" s="17"/>
      <c r="K10351" s="17"/>
      <c r="N10351" s="17"/>
    </row>
    <row r="10352">
      <c r="B10352" s="11">
        <f>IFERROR(__xludf.DUMMYFUNCTION("""COMPUTED_VALUE"""),31533.0)</f>
        <v>31533</v>
      </c>
      <c r="C10352" s="9">
        <f>IFERROR(__xludf.DUMMYFUNCTION("""COMPUTED_VALUE"""),7.45)</f>
        <v>7.45</v>
      </c>
      <c r="H10352" s="17"/>
      <c r="K10352" s="17"/>
      <c r="N10352" s="17"/>
    </row>
    <row r="10353">
      <c r="B10353" s="11">
        <f>IFERROR(__xludf.DUMMYFUNCTION("""COMPUTED_VALUE"""),31532.0)</f>
        <v>31532</v>
      </c>
      <c r="C10353" s="9">
        <f>IFERROR(__xludf.DUMMYFUNCTION("""COMPUTED_VALUE"""),7.38)</f>
        <v>7.38</v>
      </c>
      <c r="H10353" s="17"/>
      <c r="K10353" s="17"/>
      <c r="N10353" s="17"/>
    </row>
    <row r="10354">
      <c r="B10354" s="11">
        <f>IFERROR(__xludf.DUMMYFUNCTION("""COMPUTED_VALUE"""),31531.0)</f>
        <v>31531</v>
      </c>
      <c r="C10354" s="9">
        <f>IFERROR(__xludf.DUMMYFUNCTION("""COMPUTED_VALUE"""),7.38)</f>
        <v>7.38</v>
      </c>
      <c r="H10354" s="17"/>
      <c r="K10354" s="17"/>
      <c r="N10354" s="17"/>
    </row>
    <row r="10355">
      <c r="B10355" s="11">
        <f>IFERROR(__xludf.DUMMYFUNCTION("""COMPUTED_VALUE"""),31530.0)</f>
        <v>31530</v>
      </c>
      <c r="C10355" s="9">
        <f>IFERROR(__xludf.DUMMYFUNCTION("""COMPUTED_VALUE"""),7.48)</f>
        <v>7.48</v>
      </c>
      <c r="H10355" s="17"/>
      <c r="K10355" s="17"/>
      <c r="N10355" s="17"/>
    </row>
    <row r="10356">
      <c r="B10356" s="11">
        <f>IFERROR(__xludf.DUMMYFUNCTION("""COMPUTED_VALUE"""),31527.0)</f>
        <v>31527</v>
      </c>
      <c r="C10356" s="9">
        <f>IFERROR(__xludf.DUMMYFUNCTION("""COMPUTED_VALUE"""),7.58)</f>
        <v>7.58</v>
      </c>
      <c r="H10356" s="17"/>
      <c r="K10356" s="17"/>
      <c r="N10356" s="17"/>
    </row>
    <row r="10357">
      <c r="B10357" s="11">
        <f>IFERROR(__xludf.DUMMYFUNCTION("""COMPUTED_VALUE"""),31526.0)</f>
        <v>31526</v>
      </c>
      <c r="C10357" s="9">
        <f>IFERROR(__xludf.DUMMYFUNCTION("""COMPUTED_VALUE"""),7.51)</f>
        <v>7.51</v>
      </c>
      <c r="H10357" s="17"/>
      <c r="K10357" s="17"/>
      <c r="N10357" s="17"/>
    </row>
    <row r="10358">
      <c r="B10358" s="11">
        <f>IFERROR(__xludf.DUMMYFUNCTION("""COMPUTED_VALUE"""),31525.0)</f>
        <v>31525</v>
      </c>
      <c r="C10358" s="9">
        <f>IFERROR(__xludf.DUMMYFUNCTION("""COMPUTED_VALUE"""),7.36)</f>
        <v>7.36</v>
      </c>
      <c r="H10358" s="17"/>
      <c r="K10358" s="17"/>
      <c r="N10358" s="17"/>
    </row>
    <row r="10359">
      <c r="B10359" s="11">
        <f>IFERROR(__xludf.DUMMYFUNCTION("""COMPUTED_VALUE"""),31524.0)</f>
        <v>31524</v>
      </c>
      <c r="C10359" s="9">
        <f>IFERROR(__xludf.DUMMYFUNCTION("""COMPUTED_VALUE"""),7.25)</f>
        <v>7.25</v>
      </c>
      <c r="H10359" s="17"/>
      <c r="K10359" s="17"/>
      <c r="N10359" s="17"/>
    </row>
    <row r="10360">
      <c r="B10360" s="11">
        <f>IFERROR(__xludf.DUMMYFUNCTION("""COMPUTED_VALUE"""),31523.0)</f>
        <v>31523</v>
      </c>
      <c r="C10360" s="9">
        <f>IFERROR(__xludf.DUMMYFUNCTION("""COMPUTED_VALUE"""),7.04)</f>
        <v>7.04</v>
      </c>
      <c r="H10360" s="17"/>
      <c r="K10360" s="17"/>
      <c r="N10360" s="17"/>
    </row>
    <row r="10361">
      <c r="B10361" s="11">
        <f>IFERROR(__xludf.DUMMYFUNCTION("""COMPUTED_VALUE"""),31520.0)</f>
        <v>31520</v>
      </c>
      <c r="C10361" s="9">
        <f>IFERROR(__xludf.DUMMYFUNCTION("""COMPUTED_VALUE"""),7.09)</f>
        <v>7.09</v>
      </c>
      <c r="H10361" s="17"/>
      <c r="K10361" s="17"/>
      <c r="N10361" s="17"/>
    </row>
    <row r="10362">
      <c r="B10362" s="11">
        <f>IFERROR(__xludf.DUMMYFUNCTION("""COMPUTED_VALUE"""),31519.0)</f>
        <v>31519</v>
      </c>
      <c r="C10362" s="9">
        <f>IFERROR(__xludf.DUMMYFUNCTION("""COMPUTED_VALUE"""),7.03)</f>
        <v>7.03</v>
      </c>
      <c r="H10362" s="17"/>
      <c r="K10362" s="17"/>
      <c r="N10362" s="17"/>
    </row>
    <row r="10363">
      <c r="B10363" s="11">
        <f>IFERROR(__xludf.DUMMYFUNCTION("""COMPUTED_VALUE"""),31518.0)</f>
        <v>31518</v>
      </c>
      <c r="C10363" s="9">
        <f>IFERROR(__xludf.DUMMYFUNCTION("""COMPUTED_VALUE"""),6.98)</f>
        <v>6.98</v>
      </c>
      <c r="H10363" s="17"/>
      <c r="K10363" s="17"/>
      <c r="N10363" s="17"/>
    </row>
    <row r="10364">
      <c r="B10364" s="11">
        <f>IFERROR(__xludf.DUMMYFUNCTION("""COMPUTED_VALUE"""),31517.0)</f>
        <v>31517</v>
      </c>
      <c r="C10364" s="9">
        <f>IFERROR(__xludf.DUMMYFUNCTION("""COMPUTED_VALUE"""),7.22)</f>
        <v>7.22</v>
      </c>
      <c r="H10364" s="17"/>
      <c r="K10364" s="17"/>
      <c r="N10364" s="17"/>
    </row>
    <row r="10365">
      <c r="B10365" s="11">
        <f>IFERROR(__xludf.DUMMYFUNCTION("""COMPUTED_VALUE"""),31516.0)</f>
        <v>31516</v>
      </c>
      <c r="C10365" s="9">
        <f>IFERROR(__xludf.DUMMYFUNCTION("""COMPUTED_VALUE"""),7.19)</f>
        <v>7.19</v>
      </c>
      <c r="H10365" s="17"/>
      <c r="K10365" s="17"/>
      <c r="N10365" s="17"/>
    </row>
    <row r="10366">
      <c r="B10366" s="11">
        <f>IFERROR(__xludf.DUMMYFUNCTION("""COMPUTED_VALUE"""),31513.0)</f>
        <v>31513</v>
      </c>
      <c r="C10366" s="9">
        <f>IFERROR(__xludf.DUMMYFUNCTION("""COMPUTED_VALUE"""),7.29)</f>
        <v>7.29</v>
      </c>
      <c r="H10366" s="17"/>
      <c r="K10366" s="17"/>
      <c r="N10366" s="17"/>
    </row>
    <row r="10367">
      <c r="B10367" s="11">
        <f>IFERROR(__xludf.DUMMYFUNCTION("""COMPUTED_VALUE"""),31512.0)</f>
        <v>31512</v>
      </c>
      <c r="C10367" s="9">
        <f>IFERROR(__xludf.DUMMYFUNCTION("""COMPUTED_VALUE"""),7.23)</f>
        <v>7.23</v>
      </c>
      <c r="H10367" s="17"/>
      <c r="K10367" s="17"/>
      <c r="N10367" s="17"/>
    </row>
    <row r="10368">
      <c r="B10368" s="11">
        <f>IFERROR(__xludf.DUMMYFUNCTION("""COMPUTED_VALUE"""),31511.0)</f>
        <v>31511</v>
      </c>
      <c r="C10368" s="9">
        <f>IFERROR(__xludf.DUMMYFUNCTION("""COMPUTED_VALUE"""),7.27)</f>
        <v>7.27</v>
      </c>
      <c r="H10368" s="17"/>
      <c r="K10368" s="17"/>
      <c r="N10368" s="17"/>
    </row>
    <row r="10369">
      <c r="B10369" s="11">
        <f>IFERROR(__xludf.DUMMYFUNCTION("""COMPUTED_VALUE"""),31510.0)</f>
        <v>31510</v>
      </c>
      <c r="C10369" s="9">
        <f>IFERROR(__xludf.DUMMYFUNCTION("""COMPUTED_VALUE"""),7.31)</f>
        <v>7.31</v>
      </c>
      <c r="H10369" s="17"/>
      <c r="K10369" s="17"/>
      <c r="N10369" s="17"/>
    </row>
    <row r="10370">
      <c r="B10370" s="11">
        <f>IFERROR(__xludf.DUMMYFUNCTION("""COMPUTED_VALUE"""),31509.0)</f>
        <v>31509</v>
      </c>
      <c r="C10370" s="9">
        <f>IFERROR(__xludf.DUMMYFUNCTION("""COMPUTED_VALUE"""),7.43)</f>
        <v>7.43</v>
      </c>
      <c r="H10370" s="17"/>
      <c r="K10370" s="17"/>
      <c r="N10370" s="17"/>
    </row>
    <row r="10371">
      <c r="B10371" s="11">
        <f>IFERROR(__xludf.DUMMYFUNCTION("""COMPUTED_VALUE"""),31506.0)</f>
        <v>31506</v>
      </c>
      <c r="C10371" s="9">
        <f>IFERROR(__xludf.DUMMYFUNCTION("""COMPUTED_VALUE"""),7.45)</f>
        <v>7.45</v>
      </c>
      <c r="H10371" s="17"/>
      <c r="K10371" s="17"/>
      <c r="N10371" s="17"/>
    </row>
    <row r="10372">
      <c r="B10372" s="11">
        <f>IFERROR(__xludf.DUMMYFUNCTION("""COMPUTED_VALUE"""),31505.0)</f>
        <v>31505</v>
      </c>
      <c r="C10372" s="9">
        <f>IFERROR(__xludf.DUMMYFUNCTION("""COMPUTED_VALUE"""),7.41)</f>
        <v>7.41</v>
      </c>
      <c r="H10372" s="17"/>
      <c r="K10372" s="17"/>
      <c r="N10372" s="17"/>
    </row>
    <row r="10373">
      <c r="B10373" s="11">
        <f>IFERROR(__xludf.DUMMYFUNCTION("""COMPUTED_VALUE"""),31504.0)</f>
        <v>31504</v>
      </c>
      <c r="C10373" s="9">
        <f>IFERROR(__xludf.DUMMYFUNCTION("""COMPUTED_VALUE"""),7.33)</f>
        <v>7.33</v>
      </c>
      <c r="H10373" s="17"/>
      <c r="K10373" s="17"/>
      <c r="N10373" s="17"/>
    </row>
    <row r="10374">
      <c r="B10374" s="11">
        <f>IFERROR(__xludf.DUMMYFUNCTION("""COMPUTED_VALUE"""),31503.0)</f>
        <v>31503</v>
      </c>
      <c r="C10374" s="9">
        <f>IFERROR(__xludf.DUMMYFUNCTION("""COMPUTED_VALUE"""),7.37)</f>
        <v>7.37</v>
      </c>
      <c r="H10374" s="17"/>
      <c r="K10374" s="17"/>
      <c r="N10374" s="17"/>
    </row>
    <row r="10375">
      <c r="B10375" s="11">
        <f>IFERROR(__xludf.DUMMYFUNCTION("""COMPUTED_VALUE"""),31502.0)</f>
        <v>31502</v>
      </c>
      <c r="C10375" s="9">
        <f>IFERROR(__xludf.DUMMYFUNCTION("""COMPUTED_VALUE"""),7.39)</f>
        <v>7.39</v>
      </c>
      <c r="H10375" s="17"/>
      <c r="K10375" s="17"/>
      <c r="N10375" s="17"/>
    </row>
    <row r="10376">
      <c r="B10376" s="11">
        <f>IFERROR(__xludf.DUMMYFUNCTION("""COMPUTED_VALUE"""),31499.0)</f>
        <v>31499</v>
      </c>
      <c r="C10376" s="9"/>
      <c r="H10376" s="17"/>
      <c r="K10376" s="17"/>
      <c r="N10376" s="17"/>
    </row>
    <row r="10377">
      <c r="B10377" s="11">
        <f>IFERROR(__xludf.DUMMYFUNCTION("""COMPUTED_VALUE"""),31498.0)</f>
        <v>31498</v>
      </c>
      <c r="C10377" s="9">
        <f>IFERROR(__xludf.DUMMYFUNCTION("""COMPUTED_VALUE"""),7.49)</f>
        <v>7.49</v>
      </c>
      <c r="H10377" s="17"/>
      <c r="K10377" s="17"/>
      <c r="N10377" s="17"/>
    </row>
    <row r="10378">
      <c r="B10378" s="11">
        <f>IFERROR(__xludf.DUMMYFUNCTION("""COMPUTED_VALUE"""),31497.0)</f>
        <v>31497</v>
      </c>
      <c r="C10378" s="9">
        <f>IFERROR(__xludf.DUMMYFUNCTION("""COMPUTED_VALUE"""),7.64)</f>
        <v>7.64</v>
      </c>
      <c r="H10378" s="17"/>
      <c r="K10378" s="17"/>
      <c r="N10378" s="17"/>
    </row>
    <row r="10379">
      <c r="B10379" s="11">
        <f>IFERROR(__xludf.DUMMYFUNCTION("""COMPUTED_VALUE"""),31496.0)</f>
        <v>31496</v>
      </c>
      <c r="C10379" s="9">
        <f>IFERROR(__xludf.DUMMYFUNCTION("""COMPUTED_VALUE"""),7.7)</f>
        <v>7.7</v>
      </c>
      <c r="H10379" s="17"/>
      <c r="K10379" s="17"/>
      <c r="N10379" s="17"/>
    </row>
    <row r="10380">
      <c r="B10380" s="11">
        <f>IFERROR(__xludf.DUMMYFUNCTION("""COMPUTED_VALUE"""),31495.0)</f>
        <v>31495</v>
      </c>
      <c r="C10380" s="9">
        <f>IFERROR(__xludf.DUMMYFUNCTION("""COMPUTED_VALUE"""),7.7)</f>
        <v>7.7</v>
      </c>
      <c r="H10380" s="17"/>
      <c r="K10380" s="17"/>
      <c r="N10380" s="17"/>
    </row>
    <row r="10381">
      <c r="B10381" s="11">
        <f>IFERROR(__xludf.DUMMYFUNCTION("""COMPUTED_VALUE"""),31492.0)</f>
        <v>31492</v>
      </c>
      <c r="C10381" s="9">
        <f>IFERROR(__xludf.DUMMYFUNCTION("""COMPUTED_VALUE"""),7.8)</f>
        <v>7.8</v>
      </c>
      <c r="H10381" s="17"/>
      <c r="K10381" s="17"/>
      <c r="N10381" s="17"/>
    </row>
    <row r="10382">
      <c r="B10382" s="11">
        <f>IFERROR(__xludf.DUMMYFUNCTION("""COMPUTED_VALUE"""),31491.0)</f>
        <v>31491</v>
      </c>
      <c r="C10382" s="9">
        <f>IFERROR(__xludf.DUMMYFUNCTION("""COMPUTED_VALUE"""),7.78)</f>
        <v>7.78</v>
      </c>
      <c r="H10382" s="17"/>
      <c r="K10382" s="17"/>
      <c r="N10382" s="17"/>
    </row>
    <row r="10383">
      <c r="B10383" s="11">
        <f>IFERROR(__xludf.DUMMYFUNCTION("""COMPUTED_VALUE"""),31490.0)</f>
        <v>31490</v>
      </c>
      <c r="C10383" s="9">
        <f>IFERROR(__xludf.DUMMYFUNCTION("""COMPUTED_VALUE"""),7.82)</f>
        <v>7.82</v>
      </c>
      <c r="H10383" s="17"/>
      <c r="K10383" s="17"/>
      <c r="N10383" s="17"/>
    </row>
    <row r="10384">
      <c r="B10384" s="11">
        <f>IFERROR(__xludf.DUMMYFUNCTION("""COMPUTED_VALUE"""),31489.0)</f>
        <v>31489</v>
      </c>
      <c r="C10384" s="9">
        <f>IFERROR(__xludf.DUMMYFUNCTION("""COMPUTED_VALUE"""),7.83)</f>
        <v>7.83</v>
      </c>
      <c r="H10384" s="17"/>
      <c r="K10384" s="17"/>
      <c r="N10384" s="17"/>
    </row>
    <row r="10385">
      <c r="B10385" s="11">
        <f>IFERROR(__xludf.DUMMYFUNCTION("""COMPUTED_VALUE"""),31488.0)</f>
        <v>31488</v>
      </c>
      <c r="C10385" s="9">
        <f>IFERROR(__xludf.DUMMYFUNCTION("""COMPUTED_VALUE"""),7.77)</f>
        <v>7.77</v>
      </c>
      <c r="H10385" s="17"/>
      <c r="K10385" s="17"/>
      <c r="N10385" s="17"/>
    </row>
    <row r="10386">
      <c r="B10386" s="11">
        <f>IFERROR(__xludf.DUMMYFUNCTION("""COMPUTED_VALUE"""),31485.0)</f>
        <v>31485</v>
      </c>
      <c r="C10386" s="9">
        <f>IFERROR(__xludf.DUMMYFUNCTION("""COMPUTED_VALUE"""),7.72)</f>
        <v>7.72</v>
      </c>
      <c r="H10386" s="17"/>
      <c r="K10386" s="17"/>
      <c r="N10386" s="17"/>
    </row>
    <row r="10387">
      <c r="B10387" s="11">
        <f>IFERROR(__xludf.DUMMYFUNCTION("""COMPUTED_VALUE"""),31484.0)</f>
        <v>31484</v>
      </c>
      <c r="C10387" s="9">
        <f>IFERROR(__xludf.DUMMYFUNCTION("""COMPUTED_VALUE"""),7.75)</f>
        <v>7.75</v>
      </c>
      <c r="H10387" s="17"/>
      <c r="K10387" s="17"/>
      <c r="N10387" s="17"/>
    </row>
    <row r="10388">
      <c r="B10388" s="11">
        <f>IFERROR(__xludf.DUMMYFUNCTION("""COMPUTED_VALUE"""),31483.0)</f>
        <v>31483</v>
      </c>
      <c r="C10388" s="9">
        <f>IFERROR(__xludf.DUMMYFUNCTION("""COMPUTED_VALUE"""),7.68)</f>
        <v>7.68</v>
      </c>
      <c r="H10388" s="17"/>
      <c r="K10388" s="17"/>
      <c r="N10388" s="17"/>
    </row>
    <row r="10389">
      <c r="B10389" s="11">
        <f>IFERROR(__xludf.DUMMYFUNCTION("""COMPUTED_VALUE"""),31482.0)</f>
        <v>31482</v>
      </c>
      <c r="C10389" s="9">
        <f>IFERROR(__xludf.DUMMYFUNCTION("""COMPUTED_VALUE"""),7.7)</f>
        <v>7.7</v>
      </c>
      <c r="H10389" s="17"/>
      <c r="K10389" s="17"/>
      <c r="N10389" s="17"/>
    </row>
    <row r="10390">
      <c r="B10390" s="11">
        <f>IFERROR(__xludf.DUMMYFUNCTION("""COMPUTED_VALUE"""),31481.0)</f>
        <v>31481</v>
      </c>
      <c r="C10390" s="9">
        <f>IFERROR(__xludf.DUMMYFUNCTION("""COMPUTED_VALUE"""),7.76)</f>
        <v>7.76</v>
      </c>
      <c r="H10390" s="17"/>
      <c r="K10390" s="17"/>
      <c r="N10390" s="17"/>
    </row>
    <row r="10391">
      <c r="B10391" s="11">
        <f>IFERROR(__xludf.DUMMYFUNCTION("""COMPUTED_VALUE"""),31478.0)</f>
        <v>31478</v>
      </c>
      <c r="C10391" s="9">
        <f>IFERROR(__xludf.DUMMYFUNCTION("""COMPUTED_VALUE"""),7.96)</f>
        <v>7.96</v>
      </c>
      <c r="H10391" s="17"/>
      <c r="K10391" s="17"/>
      <c r="N10391" s="17"/>
    </row>
    <row r="10392">
      <c r="B10392" s="11">
        <f>IFERROR(__xludf.DUMMYFUNCTION("""COMPUTED_VALUE"""),31477.0)</f>
        <v>31477</v>
      </c>
      <c r="C10392" s="9">
        <f>IFERROR(__xludf.DUMMYFUNCTION("""COMPUTED_VALUE"""),8.04)</f>
        <v>8.04</v>
      </c>
      <c r="H10392" s="17"/>
      <c r="K10392" s="17"/>
      <c r="N10392" s="17"/>
    </row>
    <row r="10393">
      <c r="B10393" s="11">
        <f>IFERROR(__xludf.DUMMYFUNCTION("""COMPUTED_VALUE"""),31476.0)</f>
        <v>31476</v>
      </c>
      <c r="C10393" s="9">
        <f>IFERROR(__xludf.DUMMYFUNCTION("""COMPUTED_VALUE"""),8.12)</f>
        <v>8.12</v>
      </c>
      <c r="H10393" s="17"/>
      <c r="K10393" s="17"/>
      <c r="N10393" s="17"/>
    </row>
    <row r="10394">
      <c r="B10394" s="11">
        <f>IFERROR(__xludf.DUMMYFUNCTION("""COMPUTED_VALUE"""),31475.0)</f>
        <v>31475</v>
      </c>
      <c r="C10394" s="9">
        <f>IFERROR(__xludf.DUMMYFUNCTION("""COMPUTED_VALUE"""),7.93)</f>
        <v>7.93</v>
      </c>
      <c r="H10394" s="17"/>
      <c r="K10394" s="17"/>
      <c r="N10394" s="17"/>
    </row>
    <row r="10395">
      <c r="B10395" s="11">
        <f>IFERROR(__xludf.DUMMYFUNCTION("""COMPUTED_VALUE"""),31474.0)</f>
        <v>31474</v>
      </c>
      <c r="C10395" s="9">
        <f>IFERROR(__xludf.DUMMYFUNCTION("""COMPUTED_VALUE"""),7.99)</f>
        <v>7.99</v>
      </c>
      <c r="H10395" s="17"/>
      <c r="K10395" s="17"/>
      <c r="N10395" s="17"/>
    </row>
    <row r="10396">
      <c r="B10396" s="11">
        <f>IFERROR(__xludf.DUMMYFUNCTION("""COMPUTED_VALUE"""),31471.0)</f>
        <v>31471</v>
      </c>
      <c r="C10396" s="9">
        <f>IFERROR(__xludf.DUMMYFUNCTION("""COMPUTED_VALUE"""),8.13)</f>
        <v>8.13</v>
      </c>
      <c r="H10396" s="17"/>
      <c r="K10396" s="17"/>
      <c r="N10396" s="17"/>
    </row>
    <row r="10397">
      <c r="B10397" s="11">
        <f>IFERROR(__xludf.DUMMYFUNCTION("""COMPUTED_VALUE"""),31470.0)</f>
        <v>31470</v>
      </c>
      <c r="C10397" s="9">
        <f>IFERROR(__xludf.DUMMYFUNCTION("""COMPUTED_VALUE"""),8.15)</f>
        <v>8.15</v>
      </c>
      <c r="H10397" s="17"/>
      <c r="K10397" s="17"/>
      <c r="N10397" s="17"/>
    </row>
    <row r="10398">
      <c r="B10398" s="11">
        <f>IFERROR(__xludf.DUMMYFUNCTION("""COMPUTED_VALUE"""),31469.0)</f>
        <v>31469</v>
      </c>
      <c r="C10398" s="9">
        <f>IFERROR(__xludf.DUMMYFUNCTION("""COMPUTED_VALUE"""),8.36)</f>
        <v>8.36</v>
      </c>
      <c r="H10398" s="17"/>
      <c r="K10398" s="17"/>
      <c r="N10398" s="17"/>
    </row>
    <row r="10399">
      <c r="B10399" s="11">
        <f>IFERROR(__xludf.DUMMYFUNCTION("""COMPUTED_VALUE"""),31468.0)</f>
        <v>31468</v>
      </c>
      <c r="C10399" s="9">
        <f>IFERROR(__xludf.DUMMYFUNCTION("""COMPUTED_VALUE"""),8.4)</f>
        <v>8.4</v>
      </c>
      <c r="H10399" s="17"/>
      <c r="K10399" s="17"/>
      <c r="N10399" s="17"/>
    </row>
    <row r="10400">
      <c r="B10400" s="11">
        <f>IFERROR(__xludf.DUMMYFUNCTION("""COMPUTED_VALUE"""),31467.0)</f>
        <v>31467</v>
      </c>
      <c r="C10400" s="9">
        <f>IFERROR(__xludf.DUMMYFUNCTION("""COMPUTED_VALUE"""),8.39)</f>
        <v>8.39</v>
      </c>
      <c r="H10400" s="17"/>
      <c r="K10400" s="17"/>
      <c r="N10400" s="17"/>
    </row>
    <row r="10401">
      <c r="B10401" s="11">
        <f>IFERROR(__xludf.DUMMYFUNCTION("""COMPUTED_VALUE"""),31464.0)</f>
        <v>31464</v>
      </c>
      <c r="C10401" s="9">
        <f>IFERROR(__xludf.DUMMYFUNCTION("""COMPUTED_VALUE"""),8.48)</f>
        <v>8.48</v>
      </c>
      <c r="H10401" s="17"/>
      <c r="K10401" s="17"/>
      <c r="N10401" s="17"/>
    </row>
    <row r="10402">
      <c r="B10402" s="11">
        <f>IFERROR(__xludf.DUMMYFUNCTION("""COMPUTED_VALUE"""),31463.0)</f>
        <v>31463</v>
      </c>
      <c r="C10402" s="9">
        <f>IFERROR(__xludf.DUMMYFUNCTION("""COMPUTED_VALUE"""),8.67)</f>
        <v>8.67</v>
      </c>
      <c r="H10402" s="17"/>
      <c r="K10402" s="17"/>
      <c r="N10402" s="17"/>
    </row>
    <row r="10403">
      <c r="B10403" s="11">
        <f>IFERROR(__xludf.DUMMYFUNCTION("""COMPUTED_VALUE"""),31462.0)</f>
        <v>31462</v>
      </c>
      <c r="C10403" s="9">
        <f>IFERROR(__xludf.DUMMYFUNCTION("""COMPUTED_VALUE"""),8.7)</f>
        <v>8.7</v>
      </c>
      <c r="H10403" s="17"/>
      <c r="K10403" s="17"/>
      <c r="N10403" s="17"/>
    </row>
    <row r="10404">
      <c r="B10404" s="11">
        <f>IFERROR(__xludf.DUMMYFUNCTION("""COMPUTED_VALUE"""),31461.0)</f>
        <v>31461</v>
      </c>
      <c r="C10404" s="9">
        <f>IFERROR(__xludf.DUMMYFUNCTION("""COMPUTED_VALUE"""),8.64)</f>
        <v>8.64</v>
      </c>
      <c r="H10404" s="17"/>
      <c r="K10404" s="17"/>
      <c r="N10404" s="17"/>
    </row>
    <row r="10405">
      <c r="B10405" s="11">
        <f>IFERROR(__xludf.DUMMYFUNCTION("""COMPUTED_VALUE"""),31460.0)</f>
        <v>31460</v>
      </c>
      <c r="C10405" s="9"/>
      <c r="H10405" s="17"/>
      <c r="K10405" s="17"/>
      <c r="N10405" s="17"/>
    </row>
    <row r="10406">
      <c r="B10406" s="11">
        <f>IFERROR(__xludf.DUMMYFUNCTION("""COMPUTED_VALUE"""),31457.0)</f>
        <v>31457</v>
      </c>
      <c r="C10406" s="9">
        <f>IFERROR(__xludf.DUMMYFUNCTION("""COMPUTED_VALUE"""),8.68)</f>
        <v>8.68</v>
      </c>
      <c r="H10406" s="17"/>
      <c r="K10406" s="17"/>
      <c r="N10406" s="17"/>
    </row>
    <row r="10407">
      <c r="B10407" s="11">
        <f>IFERROR(__xludf.DUMMYFUNCTION("""COMPUTED_VALUE"""),31456.0)</f>
        <v>31456</v>
      </c>
      <c r="C10407" s="9">
        <f>IFERROR(__xludf.DUMMYFUNCTION("""COMPUTED_VALUE"""),8.85)</f>
        <v>8.85</v>
      </c>
      <c r="H10407" s="17"/>
      <c r="K10407" s="17"/>
      <c r="N10407" s="17"/>
    </row>
    <row r="10408">
      <c r="B10408" s="11">
        <f>IFERROR(__xludf.DUMMYFUNCTION("""COMPUTED_VALUE"""),31455.0)</f>
        <v>31455</v>
      </c>
      <c r="C10408" s="9">
        <f>IFERROR(__xludf.DUMMYFUNCTION("""COMPUTED_VALUE"""),8.91)</f>
        <v>8.91</v>
      </c>
      <c r="H10408" s="17"/>
      <c r="K10408" s="17"/>
      <c r="N10408" s="17"/>
    </row>
    <row r="10409">
      <c r="B10409" s="11">
        <f>IFERROR(__xludf.DUMMYFUNCTION("""COMPUTED_VALUE"""),31454.0)</f>
        <v>31454</v>
      </c>
      <c r="C10409" s="9">
        <f>IFERROR(__xludf.DUMMYFUNCTION("""COMPUTED_VALUE"""),8.93)</f>
        <v>8.93</v>
      </c>
      <c r="H10409" s="17"/>
      <c r="K10409" s="17"/>
      <c r="N10409" s="17"/>
    </row>
    <row r="10410">
      <c r="B10410" s="11">
        <f>IFERROR(__xludf.DUMMYFUNCTION("""COMPUTED_VALUE"""),31453.0)</f>
        <v>31453</v>
      </c>
      <c r="C10410" s="9">
        <f>IFERROR(__xludf.DUMMYFUNCTION("""COMPUTED_VALUE"""),9.0)</f>
        <v>9</v>
      </c>
      <c r="H10410" s="17"/>
      <c r="K10410" s="17"/>
      <c r="N10410" s="17"/>
    </row>
    <row r="10411">
      <c r="B10411" s="11">
        <f>IFERROR(__xludf.DUMMYFUNCTION("""COMPUTED_VALUE"""),31450.0)</f>
        <v>31450</v>
      </c>
      <c r="C10411" s="9">
        <f>IFERROR(__xludf.DUMMYFUNCTION("""COMPUTED_VALUE"""),9.11)</f>
        <v>9.11</v>
      </c>
      <c r="H10411" s="17"/>
      <c r="K10411" s="17"/>
      <c r="N10411" s="17"/>
    </row>
    <row r="10412">
      <c r="B10412" s="11">
        <f>IFERROR(__xludf.DUMMYFUNCTION("""COMPUTED_VALUE"""),31449.0)</f>
        <v>31449</v>
      </c>
      <c r="C10412" s="9">
        <f>IFERROR(__xludf.DUMMYFUNCTION("""COMPUTED_VALUE"""),9.03)</f>
        <v>9.03</v>
      </c>
      <c r="H10412" s="17"/>
      <c r="K10412" s="17"/>
      <c r="N10412" s="17"/>
    </row>
    <row r="10413">
      <c r="B10413" s="11">
        <f>IFERROR(__xludf.DUMMYFUNCTION("""COMPUTED_VALUE"""),31448.0)</f>
        <v>31448</v>
      </c>
      <c r="C10413" s="9">
        <f>IFERROR(__xludf.DUMMYFUNCTION("""COMPUTED_VALUE"""),8.97)</f>
        <v>8.97</v>
      </c>
      <c r="H10413" s="17"/>
      <c r="K10413" s="17"/>
      <c r="N10413" s="17"/>
    </row>
    <row r="10414">
      <c r="B10414" s="11">
        <f>IFERROR(__xludf.DUMMYFUNCTION("""COMPUTED_VALUE"""),31447.0)</f>
        <v>31447</v>
      </c>
      <c r="C10414" s="9">
        <f>IFERROR(__xludf.DUMMYFUNCTION("""COMPUTED_VALUE"""),8.96)</f>
        <v>8.96</v>
      </c>
      <c r="H10414" s="17"/>
      <c r="K10414" s="17"/>
      <c r="N10414" s="17"/>
    </row>
    <row r="10415">
      <c r="B10415" s="11">
        <f>IFERROR(__xludf.DUMMYFUNCTION("""COMPUTED_VALUE"""),31446.0)</f>
        <v>31446</v>
      </c>
      <c r="C10415" s="9">
        <f>IFERROR(__xludf.DUMMYFUNCTION("""COMPUTED_VALUE"""),9.02)</f>
        <v>9.02</v>
      </c>
      <c r="H10415" s="17"/>
      <c r="K10415" s="17"/>
      <c r="N10415" s="17"/>
    </row>
    <row r="10416">
      <c r="B10416" s="11">
        <f>IFERROR(__xludf.DUMMYFUNCTION("""COMPUTED_VALUE"""),31443.0)</f>
        <v>31443</v>
      </c>
      <c r="C10416" s="9">
        <f>IFERROR(__xludf.DUMMYFUNCTION("""COMPUTED_VALUE"""),9.08)</f>
        <v>9.08</v>
      </c>
      <c r="H10416" s="17"/>
      <c r="K10416" s="17"/>
      <c r="N10416" s="17"/>
    </row>
    <row r="10417">
      <c r="B10417" s="11">
        <f>IFERROR(__xludf.DUMMYFUNCTION("""COMPUTED_VALUE"""),31442.0)</f>
        <v>31442</v>
      </c>
      <c r="C10417" s="9">
        <f>IFERROR(__xludf.DUMMYFUNCTION("""COMPUTED_VALUE"""),9.1)</f>
        <v>9.1</v>
      </c>
      <c r="H10417" s="17"/>
      <c r="K10417" s="17"/>
      <c r="N10417" s="17"/>
    </row>
    <row r="10418">
      <c r="B10418" s="11">
        <f>IFERROR(__xludf.DUMMYFUNCTION("""COMPUTED_VALUE"""),31441.0)</f>
        <v>31441</v>
      </c>
      <c r="C10418" s="9">
        <f>IFERROR(__xludf.DUMMYFUNCTION("""COMPUTED_VALUE"""),9.09)</f>
        <v>9.09</v>
      </c>
      <c r="H10418" s="17"/>
      <c r="K10418" s="17"/>
      <c r="N10418" s="17"/>
    </row>
    <row r="10419">
      <c r="B10419" s="11">
        <f>IFERROR(__xludf.DUMMYFUNCTION("""COMPUTED_VALUE"""),31440.0)</f>
        <v>31440</v>
      </c>
      <c r="C10419" s="9">
        <f>IFERROR(__xludf.DUMMYFUNCTION("""COMPUTED_VALUE"""),9.05)</f>
        <v>9.05</v>
      </c>
      <c r="H10419" s="17"/>
      <c r="K10419" s="17"/>
      <c r="N10419" s="17"/>
    </row>
    <row r="10420">
      <c r="B10420" s="11">
        <f>IFERROR(__xludf.DUMMYFUNCTION("""COMPUTED_VALUE"""),31439.0)</f>
        <v>31439</v>
      </c>
      <c r="C10420" s="9">
        <f>IFERROR(__xludf.DUMMYFUNCTION("""COMPUTED_VALUE"""),9.13)</f>
        <v>9.13</v>
      </c>
      <c r="H10420" s="17"/>
      <c r="K10420" s="17"/>
      <c r="N10420" s="17"/>
    </row>
    <row r="10421">
      <c r="B10421" s="11">
        <f>IFERROR(__xludf.DUMMYFUNCTION("""COMPUTED_VALUE"""),31436.0)</f>
        <v>31436</v>
      </c>
      <c r="C10421" s="9">
        <f>IFERROR(__xludf.DUMMYFUNCTION("""COMPUTED_VALUE"""),9.23)</f>
        <v>9.23</v>
      </c>
      <c r="H10421" s="17"/>
      <c r="K10421" s="17"/>
      <c r="N10421" s="17"/>
    </row>
    <row r="10422">
      <c r="B10422" s="11">
        <f>IFERROR(__xludf.DUMMYFUNCTION("""COMPUTED_VALUE"""),31435.0)</f>
        <v>31435</v>
      </c>
      <c r="C10422" s="9">
        <f>IFERROR(__xludf.DUMMYFUNCTION("""COMPUTED_VALUE"""),9.23)</f>
        <v>9.23</v>
      </c>
      <c r="H10422" s="17"/>
      <c r="K10422" s="17"/>
      <c r="N10422" s="17"/>
    </row>
    <row r="10423">
      <c r="B10423" s="11">
        <f>IFERROR(__xludf.DUMMYFUNCTION("""COMPUTED_VALUE"""),31434.0)</f>
        <v>31434</v>
      </c>
      <c r="C10423" s="9">
        <f>IFERROR(__xludf.DUMMYFUNCTION("""COMPUTED_VALUE"""),9.28)</f>
        <v>9.28</v>
      </c>
      <c r="H10423" s="17"/>
      <c r="K10423" s="17"/>
      <c r="N10423" s="17"/>
    </row>
    <row r="10424">
      <c r="B10424" s="11">
        <f>IFERROR(__xludf.DUMMYFUNCTION("""COMPUTED_VALUE"""),31433.0)</f>
        <v>31433</v>
      </c>
      <c r="C10424" s="9">
        <f>IFERROR(__xludf.DUMMYFUNCTION("""COMPUTED_VALUE"""),9.22)</f>
        <v>9.22</v>
      </c>
      <c r="H10424" s="17"/>
      <c r="K10424" s="17"/>
      <c r="N10424" s="17"/>
    </row>
    <row r="10425">
      <c r="B10425" s="11">
        <f>IFERROR(__xludf.DUMMYFUNCTION("""COMPUTED_VALUE"""),31432.0)</f>
        <v>31432</v>
      </c>
      <c r="C10425" s="9"/>
      <c r="H10425" s="17"/>
      <c r="K10425" s="17"/>
      <c r="N10425" s="17"/>
    </row>
    <row r="10426">
      <c r="B10426" s="11">
        <f>IFERROR(__xludf.DUMMYFUNCTION("""COMPUTED_VALUE"""),31429.0)</f>
        <v>31429</v>
      </c>
      <c r="C10426" s="9">
        <f>IFERROR(__xludf.DUMMYFUNCTION("""COMPUTED_VALUE"""),9.24)</f>
        <v>9.24</v>
      </c>
      <c r="H10426" s="17"/>
      <c r="K10426" s="17"/>
      <c r="N10426" s="17"/>
    </row>
    <row r="10427">
      <c r="B10427" s="11">
        <f>IFERROR(__xludf.DUMMYFUNCTION("""COMPUTED_VALUE"""),31428.0)</f>
        <v>31428</v>
      </c>
      <c r="C10427" s="9">
        <f>IFERROR(__xludf.DUMMYFUNCTION("""COMPUTED_VALUE"""),9.3)</f>
        <v>9.3</v>
      </c>
      <c r="H10427" s="17"/>
      <c r="K10427" s="17"/>
      <c r="N10427" s="17"/>
    </row>
    <row r="10428">
      <c r="B10428" s="11">
        <f>IFERROR(__xludf.DUMMYFUNCTION("""COMPUTED_VALUE"""),31427.0)</f>
        <v>31427</v>
      </c>
      <c r="C10428" s="9">
        <f>IFERROR(__xludf.DUMMYFUNCTION("""COMPUTED_VALUE"""),9.31)</f>
        <v>9.31</v>
      </c>
      <c r="H10428" s="17"/>
      <c r="K10428" s="17"/>
      <c r="N10428" s="17"/>
    </row>
    <row r="10429">
      <c r="B10429" s="11">
        <f>IFERROR(__xludf.DUMMYFUNCTION("""COMPUTED_VALUE"""),31426.0)</f>
        <v>31426</v>
      </c>
      <c r="C10429" s="9">
        <f>IFERROR(__xludf.DUMMYFUNCTION("""COMPUTED_VALUE"""),9.43)</f>
        <v>9.43</v>
      </c>
      <c r="H10429" s="17"/>
      <c r="K10429" s="17"/>
      <c r="N10429" s="17"/>
    </row>
    <row r="10430">
      <c r="B10430" s="11">
        <f>IFERROR(__xludf.DUMMYFUNCTION("""COMPUTED_VALUE"""),31425.0)</f>
        <v>31425</v>
      </c>
      <c r="C10430" s="9">
        <f>IFERROR(__xludf.DUMMYFUNCTION("""COMPUTED_VALUE"""),9.49)</f>
        <v>9.49</v>
      </c>
      <c r="H10430" s="17"/>
      <c r="K10430" s="17"/>
      <c r="N10430" s="17"/>
    </row>
    <row r="10431">
      <c r="B10431" s="11">
        <f>IFERROR(__xludf.DUMMYFUNCTION("""COMPUTED_VALUE"""),31422.0)</f>
        <v>31422</v>
      </c>
      <c r="C10431" s="9">
        <f>IFERROR(__xludf.DUMMYFUNCTION("""COMPUTED_VALUE"""),9.39)</f>
        <v>9.39</v>
      </c>
      <c r="H10431" s="17"/>
      <c r="K10431" s="17"/>
      <c r="N10431" s="17"/>
    </row>
    <row r="10432">
      <c r="B10432" s="11">
        <f>IFERROR(__xludf.DUMMYFUNCTION("""COMPUTED_VALUE"""),31421.0)</f>
        <v>31421</v>
      </c>
      <c r="C10432" s="9">
        <f>IFERROR(__xludf.DUMMYFUNCTION("""COMPUTED_VALUE"""),9.27)</f>
        <v>9.27</v>
      </c>
      <c r="H10432" s="17"/>
      <c r="K10432" s="17"/>
      <c r="N10432" s="17"/>
    </row>
    <row r="10433">
      <c r="B10433" s="11">
        <f>IFERROR(__xludf.DUMMYFUNCTION("""COMPUTED_VALUE"""),31420.0)</f>
        <v>31420</v>
      </c>
      <c r="C10433" s="9">
        <f>IFERROR(__xludf.DUMMYFUNCTION("""COMPUTED_VALUE"""),9.13)</f>
        <v>9.13</v>
      </c>
      <c r="H10433" s="17"/>
      <c r="K10433" s="17"/>
      <c r="N10433" s="17"/>
    </row>
    <row r="10434">
      <c r="B10434" s="11">
        <f>IFERROR(__xludf.DUMMYFUNCTION("""COMPUTED_VALUE"""),31419.0)</f>
        <v>31419</v>
      </c>
      <c r="C10434" s="9">
        <f>IFERROR(__xludf.DUMMYFUNCTION("""COMPUTED_VALUE"""),8.94)</f>
        <v>8.94</v>
      </c>
      <c r="H10434" s="17"/>
      <c r="K10434" s="17"/>
      <c r="N10434" s="17"/>
    </row>
    <row r="10435">
      <c r="B10435" s="11">
        <f>IFERROR(__xludf.DUMMYFUNCTION("""COMPUTED_VALUE"""),31418.0)</f>
        <v>31418</v>
      </c>
      <c r="C10435" s="9">
        <f>IFERROR(__xludf.DUMMYFUNCTION("""COMPUTED_VALUE"""),9.07)</f>
        <v>9.07</v>
      </c>
      <c r="H10435" s="17"/>
      <c r="K10435" s="17"/>
      <c r="N10435" s="17"/>
    </row>
    <row r="10436">
      <c r="B10436" s="11">
        <f>IFERROR(__xludf.DUMMYFUNCTION("""COMPUTED_VALUE"""),31415.0)</f>
        <v>31415</v>
      </c>
      <c r="C10436" s="9">
        <f>IFERROR(__xludf.DUMMYFUNCTION("""COMPUTED_VALUE"""),9.05)</f>
        <v>9.05</v>
      </c>
      <c r="H10436" s="17"/>
      <c r="K10436" s="17"/>
      <c r="N10436" s="17"/>
    </row>
    <row r="10437">
      <c r="B10437" s="11">
        <f>IFERROR(__xludf.DUMMYFUNCTION("""COMPUTED_VALUE"""),31414.0)</f>
        <v>31414</v>
      </c>
      <c r="C10437" s="9">
        <f>IFERROR(__xludf.DUMMYFUNCTION("""COMPUTED_VALUE"""),9.04)</f>
        <v>9.04</v>
      </c>
      <c r="H10437" s="17"/>
      <c r="K10437" s="17"/>
      <c r="N10437" s="17"/>
    </row>
    <row r="10438">
      <c r="B10438" s="11">
        <f>IFERROR(__xludf.DUMMYFUNCTION("""COMPUTED_VALUE"""),31413.0)</f>
        <v>31413</v>
      </c>
      <c r="C10438" s="9"/>
      <c r="H10438" s="17"/>
      <c r="K10438" s="17"/>
      <c r="N10438" s="17"/>
    </row>
    <row r="10439">
      <c r="B10439" s="11">
        <f>IFERROR(__xludf.DUMMYFUNCTION("""COMPUTED_VALUE"""),31412.0)</f>
        <v>31412</v>
      </c>
      <c r="C10439" s="9">
        <f>IFERROR(__xludf.DUMMYFUNCTION("""COMPUTED_VALUE"""),9.0)</f>
        <v>9</v>
      </c>
      <c r="H10439" s="17"/>
      <c r="K10439" s="17"/>
      <c r="N10439" s="17"/>
    </row>
    <row r="10440">
      <c r="B10440" s="11">
        <f>IFERROR(__xludf.DUMMYFUNCTION("""COMPUTED_VALUE"""),31411.0)</f>
        <v>31411</v>
      </c>
      <c r="C10440" s="9">
        <f>IFERROR(__xludf.DUMMYFUNCTION("""COMPUTED_VALUE"""),9.01)</f>
        <v>9.01</v>
      </c>
      <c r="H10440" s="17"/>
      <c r="K10440" s="17"/>
      <c r="N10440" s="17"/>
    </row>
    <row r="10441">
      <c r="B10441" s="11">
        <f>IFERROR(__xludf.DUMMYFUNCTION("""COMPUTED_VALUE"""),31408.0)</f>
        <v>31408</v>
      </c>
      <c r="C10441" s="9">
        <f>IFERROR(__xludf.DUMMYFUNCTION("""COMPUTED_VALUE"""),8.99)</f>
        <v>8.99</v>
      </c>
      <c r="H10441" s="17"/>
      <c r="K10441" s="17"/>
      <c r="N10441" s="17"/>
    </row>
    <row r="10442">
      <c r="B10442" s="11">
        <f>IFERROR(__xludf.DUMMYFUNCTION("""COMPUTED_VALUE"""),31407.0)</f>
        <v>31407</v>
      </c>
      <c r="C10442" s="9">
        <f>IFERROR(__xludf.DUMMYFUNCTION("""COMPUTED_VALUE"""),9.04)</f>
        <v>9.04</v>
      </c>
      <c r="H10442" s="17"/>
      <c r="K10442" s="17"/>
      <c r="N10442" s="17"/>
    </row>
    <row r="10443">
      <c r="B10443" s="11">
        <f>IFERROR(__xludf.DUMMYFUNCTION("""COMPUTED_VALUE"""),31406.0)</f>
        <v>31406</v>
      </c>
      <c r="C10443" s="9"/>
      <c r="H10443" s="17"/>
      <c r="K10443" s="17"/>
      <c r="N10443" s="17"/>
    </row>
    <row r="10444">
      <c r="B10444" s="11">
        <f>IFERROR(__xludf.DUMMYFUNCTION("""COMPUTED_VALUE"""),31405.0)</f>
        <v>31405</v>
      </c>
      <c r="C10444" s="9">
        <f>IFERROR(__xludf.DUMMYFUNCTION("""COMPUTED_VALUE"""),9.07)</f>
        <v>9.07</v>
      </c>
      <c r="H10444" s="17"/>
      <c r="K10444" s="17"/>
      <c r="N10444" s="17"/>
    </row>
    <row r="10445">
      <c r="B10445" s="11">
        <f>IFERROR(__xludf.DUMMYFUNCTION("""COMPUTED_VALUE"""),31404.0)</f>
        <v>31404</v>
      </c>
      <c r="C10445" s="9">
        <f>IFERROR(__xludf.DUMMYFUNCTION("""COMPUTED_VALUE"""),9.08)</f>
        <v>9.08</v>
      </c>
      <c r="H10445" s="17"/>
      <c r="K10445" s="17"/>
      <c r="N10445" s="17"/>
    </row>
    <row r="10446">
      <c r="B10446" s="11">
        <f>IFERROR(__xludf.DUMMYFUNCTION("""COMPUTED_VALUE"""),31401.0)</f>
        <v>31401</v>
      </c>
      <c r="C10446" s="9">
        <f>IFERROR(__xludf.DUMMYFUNCTION("""COMPUTED_VALUE"""),9.04)</f>
        <v>9.04</v>
      </c>
      <c r="H10446" s="17"/>
      <c r="K10446" s="17"/>
      <c r="N10446" s="17"/>
    </row>
    <row r="10447">
      <c r="B10447" s="11">
        <f>IFERROR(__xludf.DUMMYFUNCTION("""COMPUTED_VALUE"""),31400.0)</f>
        <v>31400</v>
      </c>
      <c r="C10447" s="9">
        <f>IFERROR(__xludf.DUMMYFUNCTION("""COMPUTED_VALUE"""),9.1)</f>
        <v>9.1</v>
      </c>
      <c r="H10447" s="17"/>
      <c r="K10447" s="17"/>
      <c r="N10447" s="17"/>
    </row>
    <row r="10448">
      <c r="B10448" s="11">
        <f>IFERROR(__xludf.DUMMYFUNCTION("""COMPUTED_VALUE"""),31399.0)</f>
        <v>31399</v>
      </c>
      <c r="C10448" s="9">
        <f>IFERROR(__xludf.DUMMYFUNCTION("""COMPUTED_VALUE"""),9.11)</f>
        <v>9.11</v>
      </c>
      <c r="H10448" s="17"/>
      <c r="K10448" s="17"/>
      <c r="N10448" s="17"/>
    </row>
    <row r="10449">
      <c r="B10449" s="11">
        <f>IFERROR(__xludf.DUMMYFUNCTION("""COMPUTED_VALUE"""),31398.0)</f>
        <v>31398</v>
      </c>
      <c r="C10449" s="9">
        <f>IFERROR(__xludf.DUMMYFUNCTION("""COMPUTED_VALUE"""),9.04)</f>
        <v>9.04</v>
      </c>
      <c r="H10449" s="17"/>
      <c r="K10449" s="17"/>
      <c r="N10449" s="17"/>
    </row>
    <row r="10450">
      <c r="B10450" s="11">
        <f>IFERROR(__xludf.DUMMYFUNCTION("""COMPUTED_VALUE"""),31397.0)</f>
        <v>31397</v>
      </c>
      <c r="C10450" s="9">
        <f>IFERROR(__xludf.DUMMYFUNCTION("""COMPUTED_VALUE"""),9.16)</f>
        <v>9.16</v>
      </c>
      <c r="H10450" s="17"/>
      <c r="K10450" s="17"/>
      <c r="N10450" s="17"/>
    </row>
    <row r="10451">
      <c r="B10451" s="11">
        <f>IFERROR(__xludf.DUMMYFUNCTION("""COMPUTED_VALUE"""),31394.0)</f>
        <v>31394</v>
      </c>
      <c r="C10451" s="9">
        <f>IFERROR(__xludf.DUMMYFUNCTION("""COMPUTED_VALUE"""),9.21)</f>
        <v>9.21</v>
      </c>
      <c r="H10451" s="17"/>
      <c r="K10451" s="17"/>
      <c r="N10451" s="17"/>
    </row>
    <row r="10452">
      <c r="B10452" s="11">
        <f>IFERROR(__xludf.DUMMYFUNCTION("""COMPUTED_VALUE"""),31393.0)</f>
        <v>31393</v>
      </c>
      <c r="C10452" s="9">
        <f>IFERROR(__xludf.DUMMYFUNCTION("""COMPUTED_VALUE"""),9.27)</f>
        <v>9.27</v>
      </c>
      <c r="H10452" s="17"/>
      <c r="K10452" s="17"/>
      <c r="N10452" s="17"/>
    </row>
    <row r="10453">
      <c r="B10453" s="11">
        <f>IFERROR(__xludf.DUMMYFUNCTION("""COMPUTED_VALUE"""),31392.0)</f>
        <v>31392</v>
      </c>
      <c r="C10453" s="9">
        <f>IFERROR(__xludf.DUMMYFUNCTION("""COMPUTED_VALUE"""),9.2)</f>
        <v>9.2</v>
      </c>
      <c r="H10453" s="17"/>
      <c r="K10453" s="17"/>
      <c r="N10453" s="17"/>
    </row>
    <row r="10454">
      <c r="B10454" s="11">
        <f>IFERROR(__xludf.DUMMYFUNCTION("""COMPUTED_VALUE"""),31391.0)</f>
        <v>31391</v>
      </c>
      <c r="C10454" s="9">
        <f>IFERROR(__xludf.DUMMYFUNCTION("""COMPUTED_VALUE"""),9.36)</f>
        <v>9.36</v>
      </c>
      <c r="H10454" s="17"/>
      <c r="K10454" s="17"/>
      <c r="N10454" s="17"/>
    </row>
    <row r="10455">
      <c r="B10455" s="11">
        <f>IFERROR(__xludf.DUMMYFUNCTION("""COMPUTED_VALUE"""),31390.0)</f>
        <v>31390</v>
      </c>
      <c r="C10455" s="9">
        <f>IFERROR(__xludf.DUMMYFUNCTION("""COMPUTED_VALUE"""),9.49)</f>
        <v>9.49</v>
      </c>
      <c r="H10455" s="17"/>
      <c r="K10455" s="17"/>
      <c r="N10455" s="17"/>
    </row>
    <row r="10456">
      <c r="B10456" s="11">
        <f>IFERROR(__xludf.DUMMYFUNCTION("""COMPUTED_VALUE"""),31387.0)</f>
        <v>31387</v>
      </c>
      <c r="C10456" s="9">
        <f>IFERROR(__xludf.DUMMYFUNCTION("""COMPUTED_VALUE"""),9.65)</f>
        <v>9.65</v>
      </c>
      <c r="H10456" s="17"/>
      <c r="K10456" s="17"/>
      <c r="N10456" s="17"/>
    </row>
    <row r="10457">
      <c r="B10457" s="11">
        <f>IFERROR(__xludf.DUMMYFUNCTION("""COMPUTED_VALUE"""),31386.0)</f>
        <v>31386</v>
      </c>
      <c r="C10457" s="9">
        <f>IFERROR(__xludf.DUMMYFUNCTION("""COMPUTED_VALUE"""),9.62)</f>
        <v>9.62</v>
      </c>
      <c r="H10457" s="17"/>
      <c r="K10457" s="17"/>
      <c r="N10457" s="17"/>
    </row>
    <row r="10458">
      <c r="B10458" s="11">
        <f>IFERROR(__xludf.DUMMYFUNCTION("""COMPUTED_VALUE"""),31385.0)</f>
        <v>31385</v>
      </c>
      <c r="C10458" s="9">
        <f>IFERROR(__xludf.DUMMYFUNCTION("""COMPUTED_VALUE"""),9.63)</f>
        <v>9.63</v>
      </c>
      <c r="H10458" s="17"/>
      <c r="K10458" s="17"/>
      <c r="N10458" s="17"/>
    </row>
    <row r="10459">
      <c r="B10459" s="11">
        <f>IFERROR(__xludf.DUMMYFUNCTION("""COMPUTED_VALUE"""),31384.0)</f>
        <v>31384</v>
      </c>
      <c r="C10459" s="9">
        <f>IFERROR(__xludf.DUMMYFUNCTION("""COMPUTED_VALUE"""),9.68)</f>
        <v>9.68</v>
      </c>
      <c r="H10459" s="17"/>
      <c r="K10459" s="17"/>
      <c r="N10459" s="17"/>
    </row>
    <row r="10460">
      <c r="B10460" s="11">
        <f>IFERROR(__xludf.DUMMYFUNCTION("""COMPUTED_VALUE"""),31383.0)</f>
        <v>31383</v>
      </c>
      <c r="C10460" s="9">
        <f>IFERROR(__xludf.DUMMYFUNCTION("""COMPUTED_VALUE"""),9.69)</f>
        <v>9.69</v>
      </c>
      <c r="H10460" s="17"/>
      <c r="K10460" s="17"/>
      <c r="N10460" s="17"/>
    </row>
    <row r="10461">
      <c r="B10461" s="11">
        <f>IFERROR(__xludf.DUMMYFUNCTION("""COMPUTED_VALUE"""),31380.0)</f>
        <v>31380</v>
      </c>
      <c r="C10461" s="9">
        <f>IFERROR(__xludf.DUMMYFUNCTION("""COMPUTED_VALUE"""),9.59)</f>
        <v>9.59</v>
      </c>
      <c r="H10461" s="17"/>
      <c r="K10461" s="17"/>
      <c r="N10461" s="17"/>
    </row>
    <row r="10462">
      <c r="B10462" s="11">
        <f>IFERROR(__xludf.DUMMYFUNCTION("""COMPUTED_VALUE"""),31379.0)</f>
        <v>31379</v>
      </c>
      <c r="C10462" s="9"/>
      <c r="H10462" s="17"/>
      <c r="K10462" s="17"/>
      <c r="N10462" s="17"/>
    </row>
    <row r="10463">
      <c r="B10463" s="11">
        <f>IFERROR(__xludf.DUMMYFUNCTION("""COMPUTED_VALUE"""),31378.0)</f>
        <v>31378</v>
      </c>
      <c r="C10463" s="9">
        <f>IFERROR(__xludf.DUMMYFUNCTION("""COMPUTED_VALUE"""),9.64)</f>
        <v>9.64</v>
      </c>
      <c r="H10463" s="17"/>
      <c r="K10463" s="17"/>
      <c r="N10463" s="17"/>
    </row>
    <row r="10464">
      <c r="B10464" s="11">
        <f>IFERROR(__xludf.DUMMYFUNCTION("""COMPUTED_VALUE"""),31377.0)</f>
        <v>31377</v>
      </c>
      <c r="C10464" s="9">
        <f>IFERROR(__xludf.DUMMYFUNCTION("""COMPUTED_VALUE"""),9.68)</f>
        <v>9.68</v>
      </c>
      <c r="H10464" s="17"/>
      <c r="K10464" s="17"/>
      <c r="N10464" s="17"/>
    </row>
    <row r="10465">
      <c r="B10465" s="11">
        <f>IFERROR(__xludf.DUMMYFUNCTION("""COMPUTED_VALUE"""),31376.0)</f>
        <v>31376</v>
      </c>
      <c r="C10465" s="9">
        <f>IFERROR(__xludf.DUMMYFUNCTION("""COMPUTED_VALUE"""),9.68)</f>
        <v>9.68</v>
      </c>
      <c r="H10465" s="17"/>
      <c r="K10465" s="17"/>
      <c r="N10465" s="17"/>
    </row>
    <row r="10466">
      <c r="B10466" s="11">
        <f>IFERROR(__xludf.DUMMYFUNCTION("""COMPUTED_VALUE"""),31373.0)</f>
        <v>31373</v>
      </c>
      <c r="C10466" s="9">
        <f>IFERROR(__xludf.DUMMYFUNCTION("""COMPUTED_VALUE"""),9.66)</f>
        <v>9.66</v>
      </c>
      <c r="H10466" s="17"/>
      <c r="K10466" s="17"/>
      <c r="N10466" s="17"/>
    </row>
    <row r="10467">
      <c r="B10467" s="11">
        <f>IFERROR(__xludf.DUMMYFUNCTION("""COMPUTED_VALUE"""),31372.0)</f>
        <v>31372</v>
      </c>
      <c r="C10467" s="9">
        <f>IFERROR(__xludf.DUMMYFUNCTION("""COMPUTED_VALUE"""),9.58)</f>
        <v>9.58</v>
      </c>
      <c r="H10467" s="17"/>
      <c r="K10467" s="17"/>
      <c r="N10467" s="17"/>
    </row>
    <row r="10468">
      <c r="B10468" s="11">
        <f>IFERROR(__xludf.DUMMYFUNCTION("""COMPUTED_VALUE"""),31371.0)</f>
        <v>31371</v>
      </c>
      <c r="C10468" s="9">
        <f>IFERROR(__xludf.DUMMYFUNCTION("""COMPUTED_VALUE"""),9.72)</f>
        <v>9.72</v>
      </c>
      <c r="H10468" s="17"/>
      <c r="K10468" s="17"/>
      <c r="N10468" s="17"/>
    </row>
    <row r="10469">
      <c r="B10469" s="11">
        <f>IFERROR(__xludf.DUMMYFUNCTION("""COMPUTED_VALUE"""),31370.0)</f>
        <v>31370</v>
      </c>
      <c r="C10469" s="9">
        <f>IFERROR(__xludf.DUMMYFUNCTION("""COMPUTED_VALUE"""),9.73)</f>
        <v>9.73</v>
      </c>
      <c r="H10469" s="17"/>
      <c r="K10469" s="17"/>
      <c r="N10469" s="17"/>
    </row>
    <row r="10470">
      <c r="B10470" s="11">
        <f>IFERROR(__xludf.DUMMYFUNCTION("""COMPUTED_VALUE"""),31369.0)</f>
        <v>31369</v>
      </c>
      <c r="C10470" s="9">
        <f>IFERROR(__xludf.DUMMYFUNCTION("""COMPUTED_VALUE"""),9.72)</f>
        <v>9.72</v>
      </c>
      <c r="H10470" s="17"/>
      <c r="K10470" s="17"/>
      <c r="N10470" s="17"/>
    </row>
    <row r="10471">
      <c r="B10471" s="11">
        <f>IFERROR(__xludf.DUMMYFUNCTION("""COMPUTED_VALUE"""),31366.0)</f>
        <v>31366</v>
      </c>
      <c r="C10471" s="9">
        <f>IFERROR(__xludf.DUMMYFUNCTION("""COMPUTED_VALUE"""),9.92)</f>
        <v>9.92</v>
      </c>
      <c r="H10471" s="17"/>
      <c r="K10471" s="17"/>
      <c r="N10471" s="17"/>
    </row>
    <row r="10472">
      <c r="B10472" s="11">
        <f>IFERROR(__xludf.DUMMYFUNCTION("""COMPUTED_VALUE"""),31365.0)</f>
        <v>31365</v>
      </c>
      <c r="C10472" s="9">
        <f>IFERROR(__xludf.DUMMYFUNCTION("""COMPUTED_VALUE"""),9.84)</f>
        <v>9.84</v>
      </c>
      <c r="H10472" s="17"/>
      <c r="K10472" s="17"/>
      <c r="N10472" s="17"/>
    </row>
    <row r="10473">
      <c r="B10473" s="11">
        <f>IFERROR(__xludf.DUMMYFUNCTION("""COMPUTED_VALUE"""),31364.0)</f>
        <v>31364</v>
      </c>
      <c r="C10473" s="9">
        <f>IFERROR(__xludf.DUMMYFUNCTION("""COMPUTED_VALUE"""),9.78)</f>
        <v>9.78</v>
      </c>
      <c r="H10473" s="17"/>
      <c r="K10473" s="17"/>
      <c r="N10473" s="17"/>
    </row>
    <row r="10474">
      <c r="B10474" s="11">
        <f>IFERROR(__xludf.DUMMYFUNCTION("""COMPUTED_VALUE"""),31363.0)</f>
        <v>31363</v>
      </c>
      <c r="C10474" s="9">
        <f>IFERROR(__xludf.DUMMYFUNCTION("""COMPUTED_VALUE"""),9.74)</f>
        <v>9.74</v>
      </c>
      <c r="H10474" s="17"/>
      <c r="K10474" s="17"/>
      <c r="N10474" s="17"/>
    </row>
    <row r="10475">
      <c r="B10475" s="11">
        <f>IFERROR(__xludf.DUMMYFUNCTION("""COMPUTED_VALUE"""),31362.0)</f>
        <v>31362</v>
      </c>
      <c r="C10475" s="9"/>
      <c r="H10475" s="17"/>
      <c r="K10475" s="17"/>
      <c r="N10475" s="17"/>
    </row>
    <row r="10476">
      <c r="B10476" s="11">
        <f>IFERROR(__xludf.DUMMYFUNCTION("""COMPUTED_VALUE"""),31359.0)</f>
        <v>31359</v>
      </c>
      <c r="C10476" s="9">
        <f>IFERROR(__xludf.DUMMYFUNCTION("""COMPUTED_VALUE"""),9.84)</f>
        <v>9.84</v>
      </c>
      <c r="H10476" s="17"/>
      <c r="K10476" s="17"/>
      <c r="N10476" s="17"/>
    </row>
    <row r="10477">
      <c r="B10477" s="11">
        <f>IFERROR(__xludf.DUMMYFUNCTION("""COMPUTED_VALUE"""),31358.0)</f>
        <v>31358</v>
      </c>
      <c r="C10477" s="9">
        <f>IFERROR(__xludf.DUMMYFUNCTION("""COMPUTED_VALUE"""),9.91)</f>
        <v>9.91</v>
      </c>
      <c r="H10477" s="17"/>
      <c r="K10477" s="17"/>
      <c r="N10477" s="17"/>
    </row>
    <row r="10478">
      <c r="B10478" s="11">
        <f>IFERROR(__xludf.DUMMYFUNCTION("""COMPUTED_VALUE"""),31357.0)</f>
        <v>31357</v>
      </c>
      <c r="C10478" s="9">
        <f>IFERROR(__xludf.DUMMYFUNCTION("""COMPUTED_VALUE"""),9.93)</f>
        <v>9.93</v>
      </c>
      <c r="H10478" s="17"/>
      <c r="K10478" s="17"/>
      <c r="N10478" s="17"/>
    </row>
    <row r="10479">
      <c r="B10479" s="11">
        <f>IFERROR(__xludf.DUMMYFUNCTION("""COMPUTED_VALUE"""),31356.0)</f>
        <v>31356</v>
      </c>
      <c r="C10479" s="9">
        <f>IFERROR(__xludf.DUMMYFUNCTION("""COMPUTED_VALUE"""),9.93)</f>
        <v>9.93</v>
      </c>
      <c r="H10479" s="17"/>
      <c r="K10479" s="17"/>
      <c r="N10479" s="17"/>
    </row>
    <row r="10480">
      <c r="B10480" s="11">
        <f>IFERROR(__xludf.DUMMYFUNCTION("""COMPUTED_VALUE"""),31355.0)</f>
        <v>31355</v>
      </c>
      <c r="C10480" s="9">
        <f>IFERROR(__xludf.DUMMYFUNCTION("""COMPUTED_VALUE"""),9.98)</f>
        <v>9.98</v>
      </c>
      <c r="H10480" s="17"/>
      <c r="K10480" s="17"/>
      <c r="N10480" s="17"/>
    </row>
    <row r="10481">
      <c r="B10481" s="11">
        <f>IFERROR(__xludf.DUMMYFUNCTION("""COMPUTED_VALUE"""),31352.0)</f>
        <v>31352</v>
      </c>
      <c r="C10481" s="9">
        <f>IFERROR(__xludf.DUMMYFUNCTION("""COMPUTED_VALUE"""),9.98)</f>
        <v>9.98</v>
      </c>
      <c r="H10481" s="17"/>
      <c r="K10481" s="17"/>
      <c r="N10481" s="17"/>
    </row>
    <row r="10482">
      <c r="B10482" s="11">
        <f>IFERROR(__xludf.DUMMYFUNCTION("""COMPUTED_VALUE"""),31351.0)</f>
        <v>31351</v>
      </c>
      <c r="C10482" s="9">
        <f>IFERROR(__xludf.DUMMYFUNCTION("""COMPUTED_VALUE"""),10.01)</f>
        <v>10.01</v>
      </c>
      <c r="H10482" s="17"/>
      <c r="K10482" s="17"/>
      <c r="N10482" s="17"/>
    </row>
    <row r="10483">
      <c r="B10483" s="11">
        <f>IFERROR(__xludf.DUMMYFUNCTION("""COMPUTED_VALUE"""),31350.0)</f>
        <v>31350</v>
      </c>
      <c r="C10483" s="9">
        <f>IFERROR(__xludf.DUMMYFUNCTION("""COMPUTED_VALUE"""),9.97)</f>
        <v>9.97</v>
      </c>
      <c r="H10483" s="17"/>
      <c r="K10483" s="17"/>
      <c r="N10483" s="17"/>
    </row>
    <row r="10484">
      <c r="B10484" s="11">
        <f>IFERROR(__xludf.DUMMYFUNCTION("""COMPUTED_VALUE"""),31349.0)</f>
        <v>31349</v>
      </c>
      <c r="C10484" s="9">
        <f>IFERROR(__xludf.DUMMYFUNCTION("""COMPUTED_VALUE"""),10.11)</f>
        <v>10.11</v>
      </c>
      <c r="H10484" s="17"/>
      <c r="K10484" s="17"/>
      <c r="N10484" s="17"/>
    </row>
    <row r="10485">
      <c r="B10485" s="11">
        <f>IFERROR(__xludf.DUMMYFUNCTION("""COMPUTED_VALUE"""),31348.0)</f>
        <v>31348</v>
      </c>
      <c r="C10485" s="9">
        <f>IFERROR(__xludf.DUMMYFUNCTION("""COMPUTED_VALUE"""),10.28)</f>
        <v>10.28</v>
      </c>
      <c r="H10485" s="17"/>
      <c r="K10485" s="17"/>
      <c r="N10485" s="17"/>
    </row>
    <row r="10486">
      <c r="B10486" s="11">
        <f>IFERROR(__xludf.DUMMYFUNCTION("""COMPUTED_VALUE"""),31345.0)</f>
        <v>31345</v>
      </c>
      <c r="C10486" s="9">
        <f>IFERROR(__xludf.DUMMYFUNCTION("""COMPUTED_VALUE"""),10.21)</f>
        <v>10.21</v>
      </c>
      <c r="H10486" s="17"/>
      <c r="K10486" s="17"/>
      <c r="N10486" s="17"/>
    </row>
    <row r="10487">
      <c r="B10487" s="11">
        <f>IFERROR(__xludf.DUMMYFUNCTION("""COMPUTED_VALUE"""),31344.0)</f>
        <v>31344</v>
      </c>
      <c r="C10487" s="9">
        <f>IFERROR(__xludf.DUMMYFUNCTION("""COMPUTED_VALUE"""),10.15)</f>
        <v>10.15</v>
      </c>
      <c r="H10487" s="17"/>
      <c r="K10487" s="17"/>
      <c r="N10487" s="17"/>
    </row>
    <row r="10488">
      <c r="B10488" s="11">
        <f>IFERROR(__xludf.DUMMYFUNCTION("""COMPUTED_VALUE"""),31343.0)</f>
        <v>31343</v>
      </c>
      <c r="C10488" s="9">
        <f>IFERROR(__xludf.DUMMYFUNCTION("""COMPUTED_VALUE"""),10.14)</f>
        <v>10.14</v>
      </c>
      <c r="H10488" s="17"/>
      <c r="K10488" s="17"/>
      <c r="N10488" s="17"/>
    </row>
    <row r="10489">
      <c r="B10489" s="11">
        <f>IFERROR(__xludf.DUMMYFUNCTION("""COMPUTED_VALUE"""),31342.0)</f>
        <v>31342</v>
      </c>
      <c r="C10489" s="9">
        <f>IFERROR(__xludf.DUMMYFUNCTION("""COMPUTED_VALUE"""),10.12)</f>
        <v>10.12</v>
      </c>
      <c r="H10489" s="17"/>
      <c r="K10489" s="17"/>
      <c r="N10489" s="17"/>
    </row>
    <row r="10490">
      <c r="B10490" s="11">
        <f>IFERROR(__xludf.DUMMYFUNCTION("""COMPUTED_VALUE"""),31341.0)</f>
        <v>31341</v>
      </c>
      <c r="C10490" s="9">
        <f>IFERROR(__xludf.DUMMYFUNCTION("""COMPUTED_VALUE"""),10.18)</f>
        <v>10.18</v>
      </c>
      <c r="H10490" s="17"/>
      <c r="K10490" s="17"/>
      <c r="N10490" s="17"/>
    </row>
    <row r="10491">
      <c r="B10491" s="11">
        <f>IFERROR(__xludf.DUMMYFUNCTION("""COMPUTED_VALUE"""),31338.0)</f>
        <v>31338</v>
      </c>
      <c r="C10491" s="9">
        <f>IFERROR(__xludf.DUMMYFUNCTION("""COMPUTED_VALUE"""),10.17)</f>
        <v>10.17</v>
      </c>
      <c r="H10491" s="17"/>
      <c r="K10491" s="17"/>
      <c r="N10491" s="17"/>
    </row>
    <row r="10492">
      <c r="B10492" s="11">
        <f>IFERROR(__xludf.DUMMYFUNCTION("""COMPUTED_VALUE"""),31337.0)</f>
        <v>31337</v>
      </c>
      <c r="C10492" s="9">
        <f>IFERROR(__xludf.DUMMYFUNCTION("""COMPUTED_VALUE"""),10.21)</f>
        <v>10.21</v>
      </c>
      <c r="H10492" s="17"/>
      <c r="K10492" s="17"/>
      <c r="N10492" s="17"/>
    </row>
    <row r="10493">
      <c r="B10493" s="11">
        <f>IFERROR(__xludf.DUMMYFUNCTION("""COMPUTED_VALUE"""),31336.0)</f>
        <v>31336</v>
      </c>
      <c r="C10493" s="9">
        <f>IFERROR(__xludf.DUMMYFUNCTION("""COMPUTED_VALUE"""),10.25)</f>
        <v>10.25</v>
      </c>
      <c r="H10493" s="17"/>
      <c r="K10493" s="17"/>
      <c r="N10493" s="17"/>
    </row>
    <row r="10494">
      <c r="B10494" s="11">
        <f>IFERROR(__xludf.DUMMYFUNCTION("""COMPUTED_VALUE"""),31335.0)</f>
        <v>31335</v>
      </c>
      <c r="C10494" s="9">
        <f>IFERROR(__xludf.DUMMYFUNCTION("""COMPUTED_VALUE"""),10.3)</f>
        <v>10.3</v>
      </c>
      <c r="H10494" s="17"/>
      <c r="K10494" s="17"/>
      <c r="N10494" s="17"/>
    </row>
    <row r="10495">
      <c r="B10495" s="11">
        <f>IFERROR(__xludf.DUMMYFUNCTION("""COMPUTED_VALUE"""),31334.0)</f>
        <v>31334</v>
      </c>
      <c r="C10495" s="9"/>
      <c r="H10495" s="17"/>
      <c r="K10495" s="17"/>
      <c r="N10495" s="17"/>
    </row>
    <row r="10496">
      <c r="B10496" s="11">
        <f>IFERROR(__xludf.DUMMYFUNCTION("""COMPUTED_VALUE"""),31331.0)</f>
        <v>31331</v>
      </c>
      <c r="C10496" s="9">
        <f>IFERROR(__xludf.DUMMYFUNCTION("""COMPUTED_VALUE"""),10.34)</f>
        <v>10.34</v>
      </c>
      <c r="H10496" s="17"/>
      <c r="K10496" s="17"/>
      <c r="N10496" s="17"/>
    </row>
    <row r="10497">
      <c r="B10497" s="11">
        <f>IFERROR(__xludf.DUMMYFUNCTION("""COMPUTED_VALUE"""),31330.0)</f>
        <v>31330</v>
      </c>
      <c r="C10497" s="9">
        <f>IFERROR(__xludf.DUMMYFUNCTION("""COMPUTED_VALUE"""),10.35)</f>
        <v>10.35</v>
      </c>
      <c r="H10497" s="17"/>
      <c r="K10497" s="17"/>
      <c r="N10497" s="17"/>
    </row>
    <row r="10498">
      <c r="B10498" s="11">
        <f>IFERROR(__xludf.DUMMYFUNCTION("""COMPUTED_VALUE"""),31329.0)</f>
        <v>31329</v>
      </c>
      <c r="C10498" s="9">
        <f>IFERROR(__xludf.DUMMYFUNCTION("""COMPUTED_VALUE"""),10.37)</f>
        <v>10.37</v>
      </c>
      <c r="H10498" s="17"/>
      <c r="K10498" s="17"/>
      <c r="N10498" s="17"/>
    </row>
    <row r="10499">
      <c r="B10499" s="11">
        <f>IFERROR(__xludf.DUMMYFUNCTION("""COMPUTED_VALUE"""),31328.0)</f>
        <v>31328</v>
      </c>
      <c r="C10499" s="9">
        <f>IFERROR(__xludf.DUMMYFUNCTION("""COMPUTED_VALUE"""),10.36)</f>
        <v>10.36</v>
      </c>
      <c r="H10499" s="17"/>
      <c r="K10499" s="17"/>
      <c r="N10499" s="17"/>
    </row>
    <row r="10500">
      <c r="B10500" s="11">
        <f>IFERROR(__xludf.DUMMYFUNCTION("""COMPUTED_VALUE"""),31327.0)</f>
        <v>31327</v>
      </c>
      <c r="C10500" s="9">
        <f>IFERROR(__xludf.DUMMYFUNCTION("""COMPUTED_VALUE"""),10.42)</f>
        <v>10.42</v>
      </c>
      <c r="H10500" s="17"/>
      <c r="K10500" s="17"/>
      <c r="N10500" s="17"/>
    </row>
    <row r="10501">
      <c r="B10501" s="11">
        <f>IFERROR(__xludf.DUMMYFUNCTION("""COMPUTED_VALUE"""),31324.0)</f>
        <v>31324</v>
      </c>
      <c r="C10501" s="9">
        <f>IFERROR(__xludf.DUMMYFUNCTION("""COMPUTED_VALUE"""),10.36)</f>
        <v>10.36</v>
      </c>
      <c r="H10501" s="17"/>
      <c r="K10501" s="17"/>
      <c r="N10501" s="17"/>
    </row>
    <row r="10502">
      <c r="B10502" s="11">
        <f>IFERROR(__xludf.DUMMYFUNCTION("""COMPUTED_VALUE"""),31323.0)</f>
        <v>31323</v>
      </c>
      <c r="C10502" s="9">
        <f>IFERROR(__xludf.DUMMYFUNCTION("""COMPUTED_VALUE"""),10.32)</f>
        <v>10.32</v>
      </c>
      <c r="H10502" s="17"/>
      <c r="K10502" s="17"/>
      <c r="N10502" s="17"/>
    </row>
    <row r="10503">
      <c r="B10503" s="11">
        <f>IFERROR(__xludf.DUMMYFUNCTION("""COMPUTED_VALUE"""),31322.0)</f>
        <v>31322</v>
      </c>
      <c r="C10503" s="9">
        <f>IFERROR(__xludf.DUMMYFUNCTION("""COMPUTED_VALUE"""),10.3)</f>
        <v>10.3</v>
      </c>
      <c r="H10503" s="17"/>
      <c r="K10503" s="17"/>
      <c r="N10503" s="17"/>
    </row>
    <row r="10504">
      <c r="B10504" s="11">
        <f>IFERROR(__xludf.DUMMYFUNCTION("""COMPUTED_VALUE"""),31321.0)</f>
        <v>31321</v>
      </c>
      <c r="C10504" s="9">
        <f>IFERROR(__xludf.DUMMYFUNCTION("""COMPUTED_VALUE"""),10.29)</f>
        <v>10.29</v>
      </c>
      <c r="H10504" s="17"/>
      <c r="K10504" s="17"/>
      <c r="N10504" s="17"/>
    </row>
    <row r="10505">
      <c r="B10505" s="11">
        <f>IFERROR(__xludf.DUMMYFUNCTION("""COMPUTED_VALUE"""),31320.0)</f>
        <v>31320</v>
      </c>
      <c r="C10505" s="9">
        <f>IFERROR(__xludf.DUMMYFUNCTION("""COMPUTED_VALUE"""),10.31)</f>
        <v>10.31</v>
      </c>
      <c r="H10505" s="17"/>
      <c r="K10505" s="17"/>
      <c r="N10505" s="17"/>
    </row>
    <row r="10506">
      <c r="B10506" s="11">
        <f>IFERROR(__xludf.DUMMYFUNCTION("""COMPUTED_VALUE"""),31317.0)</f>
        <v>31317</v>
      </c>
      <c r="C10506" s="9"/>
      <c r="H10506" s="17"/>
      <c r="K10506" s="17"/>
      <c r="N10506" s="17"/>
    </row>
    <row r="10507">
      <c r="B10507" s="11">
        <f>IFERROR(__xludf.DUMMYFUNCTION("""COMPUTED_VALUE"""),31316.0)</f>
        <v>31316</v>
      </c>
      <c r="C10507" s="9">
        <f>IFERROR(__xludf.DUMMYFUNCTION("""COMPUTED_VALUE"""),10.22)</f>
        <v>10.22</v>
      </c>
      <c r="H10507" s="17"/>
      <c r="K10507" s="17"/>
      <c r="N10507" s="17"/>
    </row>
    <row r="10508">
      <c r="B10508" s="11">
        <f>IFERROR(__xludf.DUMMYFUNCTION("""COMPUTED_VALUE"""),31315.0)</f>
        <v>31315</v>
      </c>
      <c r="C10508" s="9">
        <f>IFERROR(__xludf.DUMMYFUNCTION("""COMPUTED_VALUE"""),10.27)</f>
        <v>10.27</v>
      </c>
      <c r="H10508" s="17"/>
      <c r="K10508" s="17"/>
      <c r="N10508" s="17"/>
    </row>
    <row r="10509">
      <c r="B10509" s="11">
        <f>IFERROR(__xludf.DUMMYFUNCTION("""COMPUTED_VALUE"""),31314.0)</f>
        <v>31314</v>
      </c>
      <c r="C10509" s="9">
        <f>IFERROR(__xludf.DUMMYFUNCTION("""COMPUTED_VALUE"""),10.33)</f>
        <v>10.33</v>
      </c>
      <c r="H10509" s="17"/>
      <c r="K10509" s="17"/>
      <c r="N10509" s="17"/>
    </row>
    <row r="10510">
      <c r="B10510" s="11">
        <f>IFERROR(__xludf.DUMMYFUNCTION("""COMPUTED_VALUE"""),31313.0)</f>
        <v>31313</v>
      </c>
      <c r="C10510" s="9">
        <f>IFERROR(__xludf.DUMMYFUNCTION("""COMPUTED_VALUE"""),10.39)</f>
        <v>10.39</v>
      </c>
      <c r="H10510" s="17"/>
      <c r="K10510" s="17"/>
      <c r="N10510" s="17"/>
    </row>
    <row r="10511">
      <c r="B10511" s="11">
        <f>IFERROR(__xludf.DUMMYFUNCTION("""COMPUTED_VALUE"""),31310.0)</f>
        <v>31310</v>
      </c>
      <c r="C10511" s="9">
        <f>IFERROR(__xludf.DUMMYFUNCTION("""COMPUTED_VALUE"""),10.36)</f>
        <v>10.36</v>
      </c>
      <c r="H10511" s="17"/>
      <c r="K10511" s="17"/>
      <c r="N10511" s="17"/>
    </row>
    <row r="10512">
      <c r="B10512" s="11">
        <f>IFERROR(__xludf.DUMMYFUNCTION("""COMPUTED_VALUE"""),31309.0)</f>
        <v>31309</v>
      </c>
      <c r="C10512" s="9">
        <f>IFERROR(__xludf.DUMMYFUNCTION("""COMPUTED_VALUE"""),10.43)</f>
        <v>10.43</v>
      </c>
      <c r="H10512" s="17"/>
      <c r="K10512" s="17"/>
      <c r="N10512" s="17"/>
    </row>
    <row r="10513">
      <c r="B10513" s="11">
        <f>IFERROR(__xludf.DUMMYFUNCTION("""COMPUTED_VALUE"""),31308.0)</f>
        <v>31308</v>
      </c>
      <c r="C10513" s="9">
        <f>IFERROR(__xludf.DUMMYFUNCTION("""COMPUTED_VALUE"""),10.43)</f>
        <v>10.43</v>
      </c>
      <c r="H10513" s="17"/>
      <c r="K10513" s="17"/>
      <c r="N10513" s="17"/>
    </row>
    <row r="10514">
      <c r="B10514" s="11">
        <f>IFERROR(__xludf.DUMMYFUNCTION("""COMPUTED_VALUE"""),31307.0)</f>
        <v>31307</v>
      </c>
      <c r="C10514" s="9">
        <f>IFERROR(__xludf.DUMMYFUNCTION("""COMPUTED_VALUE"""),10.41)</f>
        <v>10.41</v>
      </c>
      <c r="H10514" s="17"/>
      <c r="K10514" s="17"/>
      <c r="N10514" s="17"/>
    </row>
    <row r="10515">
      <c r="B10515" s="11">
        <f>IFERROR(__xludf.DUMMYFUNCTION("""COMPUTED_VALUE"""),31306.0)</f>
        <v>31306</v>
      </c>
      <c r="C10515" s="9">
        <f>IFERROR(__xludf.DUMMYFUNCTION("""COMPUTED_VALUE"""),10.37)</f>
        <v>10.37</v>
      </c>
      <c r="H10515" s="17"/>
      <c r="K10515" s="17"/>
      <c r="N10515" s="17"/>
    </row>
    <row r="10516">
      <c r="B10516" s="11">
        <f>IFERROR(__xludf.DUMMYFUNCTION("""COMPUTED_VALUE"""),31303.0)</f>
        <v>31303</v>
      </c>
      <c r="C10516" s="9">
        <f>IFERROR(__xludf.DUMMYFUNCTION("""COMPUTED_VALUE"""),10.4)</f>
        <v>10.4</v>
      </c>
      <c r="H10516" s="17"/>
      <c r="K10516" s="17"/>
      <c r="N10516" s="17"/>
    </row>
    <row r="10517">
      <c r="B10517" s="11">
        <f>IFERROR(__xludf.DUMMYFUNCTION("""COMPUTED_VALUE"""),31302.0)</f>
        <v>31302</v>
      </c>
      <c r="C10517" s="9">
        <f>IFERROR(__xludf.DUMMYFUNCTION("""COMPUTED_VALUE"""),10.52)</f>
        <v>10.52</v>
      </c>
      <c r="H10517" s="17"/>
      <c r="K10517" s="17"/>
      <c r="N10517" s="17"/>
    </row>
    <row r="10518">
      <c r="B10518" s="11">
        <f>IFERROR(__xludf.DUMMYFUNCTION("""COMPUTED_VALUE"""),31301.0)</f>
        <v>31301</v>
      </c>
      <c r="C10518" s="9">
        <f>IFERROR(__xludf.DUMMYFUNCTION("""COMPUTED_VALUE"""),10.51)</f>
        <v>10.51</v>
      </c>
      <c r="H10518" s="17"/>
      <c r="K10518" s="17"/>
      <c r="N10518" s="17"/>
    </row>
    <row r="10519">
      <c r="B10519" s="11">
        <f>IFERROR(__xludf.DUMMYFUNCTION("""COMPUTED_VALUE"""),31300.0)</f>
        <v>31300</v>
      </c>
      <c r="C10519" s="9">
        <f>IFERROR(__xludf.DUMMYFUNCTION("""COMPUTED_VALUE"""),10.48)</f>
        <v>10.48</v>
      </c>
      <c r="H10519" s="17"/>
      <c r="K10519" s="17"/>
      <c r="N10519" s="17"/>
    </row>
    <row r="10520">
      <c r="B10520" s="11">
        <f>IFERROR(__xludf.DUMMYFUNCTION("""COMPUTED_VALUE"""),31299.0)</f>
        <v>31299</v>
      </c>
      <c r="C10520" s="9">
        <f>IFERROR(__xludf.DUMMYFUNCTION("""COMPUTED_VALUE"""),10.49)</f>
        <v>10.49</v>
      </c>
      <c r="H10520" s="17"/>
      <c r="K10520" s="17"/>
      <c r="N10520" s="17"/>
    </row>
    <row r="10521">
      <c r="B10521" s="11">
        <f>IFERROR(__xludf.DUMMYFUNCTION("""COMPUTED_VALUE"""),31296.0)</f>
        <v>31296</v>
      </c>
      <c r="C10521" s="9">
        <f>IFERROR(__xludf.DUMMYFUNCTION("""COMPUTED_VALUE"""),10.5)</f>
        <v>10.5</v>
      </c>
      <c r="H10521" s="17"/>
      <c r="K10521" s="17"/>
      <c r="N10521" s="17"/>
    </row>
    <row r="10522">
      <c r="B10522" s="11">
        <f>IFERROR(__xludf.DUMMYFUNCTION("""COMPUTED_VALUE"""),31295.0)</f>
        <v>31295</v>
      </c>
      <c r="C10522" s="9">
        <f>IFERROR(__xludf.DUMMYFUNCTION("""COMPUTED_VALUE"""),10.27)</f>
        <v>10.27</v>
      </c>
      <c r="H10522" s="17"/>
      <c r="K10522" s="17"/>
      <c r="N10522" s="17"/>
    </row>
    <row r="10523">
      <c r="B10523" s="11">
        <f>IFERROR(__xludf.DUMMYFUNCTION("""COMPUTED_VALUE"""),31294.0)</f>
        <v>31294</v>
      </c>
      <c r="C10523" s="9">
        <f>IFERROR(__xludf.DUMMYFUNCTION("""COMPUTED_VALUE"""),10.16)</f>
        <v>10.16</v>
      </c>
      <c r="H10523" s="17"/>
      <c r="K10523" s="17"/>
      <c r="N10523" s="17"/>
    </row>
    <row r="10524">
      <c r="B10524" s="11">
        <f>IFERROR(__xludf.DUMMYFUNCTION("""COMPUTED_VALUE"""),31293.0)</f>
        <v>31293</v>
      </c>
      <c r="C10524" s="9">
        <f>IFERROR(__xludf.DUMMYFUNCTION("""COMPUTED_VALUE"""),10.24)</f>
        <v>10.24</v>
      </c>
      <c r="H10524" s="17"/>
      <c r="K10524" s="17"/>
      <c r="N10524" s="17"/>
    </row>
    <row r="10525">
      <c r="B10525" s="11">
        <f>IFERROR(__xludf.DUMMYFUNCTION("""COMPUTED_VALUE"""),31292.0)</f>
        <v>31292</v>
      </c>
      <c r="C10525" s="9"/>
      <c r="H10525" s="17"/>
      <c r="K10525" s="17"/>
      <c r="N10525" s="17"/>
    </row>
    <row r="10526">
      <c r="B10526" s="11">
        <f>IFERROR(__xludf.DUMMYFUNCTION("""COMPUTED_VALUE"""),31289.0)</f>
        <v>31289</v>
      </c>
      <c r="C10526" s="9">
        <f>IFERROR(__xludf.DUMMYFUNCTION("""COMPUTED_VALUE"""),10.28)</f>
        <v>10.28</v>
      </c>
      <c r="H10526" s="17"/>
      <c r="K10526" s="17"/>
      <c r="N10526" s="17"/>
    </row>
    <row r="10527">
      <c r="B10527" s="11">
        <f>IFERROR(__xludf.DUMMYFUNCTION("""COMPUTED_VALUE"""),31288.0)</f>
        <v>31288</v>
      </c>
      <c r="C10527" s="9">
        <f>IFERROR(__xludf.DUMMYFUNCTION("""COMPUTED_VALUE"""),10.12)</f>
        <v>10.12</v>
      </c>
      <c r="H10527" s="17"/>
      <c r="K10527" s="17"/>
      <c r="N10527" s="17"/>
    </row>
    <row r="10528">
      <c r="B10528" s="11">
        <f>IFERROR(__xludf.DUMMYFUNCTION("""COMPUTED_VALUE"""),31287.0)</f>
        <v>31287</v>
      </c>
      <c r="C10528" s="9">
        <f>IFERROR(__xludf.DUMMYFUNCTION("""COMPUTED_VALUE"""),10.16)</f>
        <v>10.16</v>
      </c>
      <c r="H10528" s="17"/>
      <c r="K10528" s="17"/>
      <c r="N10528" s="17"/>
    </row>
    <row r="10529">
      <c r="B10529" s="11">
        <f>IFERROR(__xludf.DUMMYFUNCTION("""COMPUTED_VALUE"""),31286.0)</f>
        <v>31286</v>
      </c>
      <c r="C10529" s="9">
        <f>IFERROR(__xludf.DUMMYFUNCTION("""COMPUTED_VALUE"""),10.12)</f>
        <v>10.12</v>
      </c>
      <c r="H10529" s="17"/>
      <c r="K10529" s="17"/>
      <c r="N10529" s="17"/>
    </row>
    <row r="10530">
      <c r="B10530" s="11">
        <f>IFERROR(__xludf.DUMMYFUNCTION("""COMPUTED_VALUE"""),31285.0)</f>
        <v>31285</v>
      </c>
      <c r="C10530" s="9">
        <f>IFERROR(__xludf.DUMMYFUNCTION("""COMPUTED_VALUE"""),10.18)</f>
        <v>10.18</v>
      </c>
      <c r="H10530" s="17"/>
      <c r="K10530" s="17"/>
      <c r="N10530" s="17"/>
    </row>
    <row r="10531">
      <c r="B10531" s="11">
        <f>IFERROR(__xludf.DUMMYFUNCTION("""COMPUTED_VALUE"""),31282.0)</f>
        <v>31282</v>
      </c>
      <c r="C10531" s="9">
        <f>IFERROR(__xludf.DUMMYFUNCTION("""COMPUTED_VALUE"""),10.14)</f>
        <v>10.14</v>
      </c>
      <c r="H10531" s="17"/>
      <c r="K10531" s="17"/>
      <c r="N10531" s="17"/>
    </row>
    <row r="10532">
      <c r="B10532" s="11">
        <f>IFERROR(__xludf.DUMMYFUNCTION("""COMPUTED_VALUE"""),31281.0)</f>
        <v>31281</v>
      </c>
      <c r="C10532" s="9">
        <f>IFERROR(__xludf.DUMMYFUNCTION("""COMPUTED_VALUE"""),10.1)</f>
        <v>10.1</v>
      </c>
      <c r="H10532" s="17"/>
      <c r="K10532" s="17"/>
      <c r="N10532" s="17"/>
    </row>
    <row r="10533">
      <c r="B10533" s="11">
        <f>IFERROR(__xludf.DUMMYFUNCTION("""COMPUTED_VALUE"""),31280.0)</f>
        <v>31280</v>
      </c>
      <c r="C10533" s="9">
        <f>IFERROR(__xludf.DUMMYFUNCTION("""COMPUTED_VALUE"""),10.12)</f>
        <v>10.12</v>
      </c>
      <c r="H10533" s="17"/>
      <c r="K10533" s="17"/>
      <c r="N10533" s="17"/>
    </row>
    <row r="10534">
      <c r="B10534" s="11">
        <f>IFERROR(__xludf.DUMMYFUNCTION("""COMPUTED_VALUE"""),31279.0)</f>
        <v>31279</v>
      </c>
      <c r="C10534" s="9">
        <f>IFERROR(__xludf.DUMMYFUNCTION("""COMPUTED_VALUE"""),10.2)</f>
        <v>10.2</v>
      </c>
      <c r="H10534" s="17"/>
      <c r="K10534" s="17"/>
      <c r="N10534" s="17"/>
    </row>
    <row r="10535">
      <c r="B10535" s="11">
        <f>IFERROR(__xludf.DUMMYFUNCTION("""COMPUTED_VALUE"""),31278.0)</f>
        <v>31278</v>
      </c>
      <c r="C10535" s="9">
        <f>IFERROR(__xludf.DUMMYFUNCTION("""COMPUTED_VALUE"""),10.23)</f>
        <v>10.23</v>
      </c>
      <c r="H10535" s="17"/>
      <c r="K10535" s="17"/>
      <c r="N10535" s="17"/>
    </row>
    <row r="10536">
      <c r="B10536" s="11">
        <f>IFERROR(__xludf.DUMMYFUNCTION("""COMPUTED_VALUE"""),31275.0)</f>
        <v>31275</v>
      </c>
      <c r="C10536" s="9">
        <f>IFERROR(__xludf.DUMMYFUNCTION("""COMPUTED_VALUE"""),10.26)</f>
        <v>10.26</v>
      </c>
      <c r="H10536" s="17"/>
      <c r="K10536" s="17"/>
      <c r="N10536" s="17"/>
    </row>
    <row r="10537">
      <c r="B10537" s="11">
        <f>IFERROR(__xludf.DUMMYFUNCTION("""COMPUTED_VALUE"""),31274.0)</f>
        <v>31274</v>
      </c>
      <c r="C10537" s="9">
        <f>IFERROR(__xludf.DUMMYFUNCTION("""COMPUTED_VALUE"""),10.36)</f>
        <v>10.36</v>
      </c>
      <c r="H10537" s="17"/>
      <c r="K10537" s="17"/>
      <c r="N10537" s="17"/>
    </row>
    <row r="10538">
      <c r="B10538" s="11">
        <f>IFERROR(__xludf.DUMMYFUNCTION("""COMPUTED_VALUE"""),31273.0)</f>
        <v>31273</v>
      </c>
      <c r="C10538" s="9">
        <f>IFERROR(__xludf.DUMMYFUNCTION("""COMPUTED_VALUE"""),10.38)</f>
        <v>10.38</v>
      </c>
      <c r="H10538" s="17"/>
      <c r="K10538" s="17"/>
      <c r="N10538" s="17"/>
    </row>
    <row r="10539">
      <c r="B10539" s="11">
        <f>IFERROR(__xludf.DUMMYFUNCTION("""COMPUTED_VALUE"""),31272.0)</f>
        <v>31272</v>
      </c>
      <c r="C10539" s="9">
        <f>IFERROR(__xludf.DUMMYFUNCTION("""COMPUTED_VALUE"""),10.46)</f>
        <v>10.46</v>
      </c>
      <c r="H10539" s="17"/>
      <c r="K10539" s="17"/>
      <c r="N10539" s="17"/>
    </row>
    <row r="10540">
      <c r="B10540" s="11">
        <f>IFERROR(__xludf.DUMMYFUNCTION("""COMPUTED_VALUE"""),31271.0)</f>
        <v>31271</v>
      </c>
      <c r="C10540" s="9">
        <f>IFERROR(__xludf.DUMMYFUNCTION("""COMPUTED_VALUE"""),10.38)</f>
        <v>10.38</v>
      </c>
      <c r="H10540" s="17"/>
      <c r="K10540" s="17"/>
      <c r="N10540" s="17"/>
    </row>
    <row r="10541">
      <c r="B10541" s="11">
        <f>IFERROR(__xludf.DUMMYFUNCTION("""COMPUTED_VALUE"""),31268.0)</f>
        <v>31268</v>
      </c>
      <c r="C10541" s="9">
        <f>IFERROR(__xludf.DUMMYFUNCTION("""COMPUTED_VALUE"""),10.37)</f>
        <v>10.37</v>
      </c>
      <c r="H10541" s="17"/>
      <c r="K10541" s="17"/>
      <c r="N10541" s="17"/>
    </row>
    <row r="10542">
      <c r="B10542" s="11">
        <f>IFERROR(__xludf.DUMMYFUNCTION("""COMPUTED_VALUE"""),31267.0)</f>
        <v>31267</v>
      </c>
      <c r="C10542" s="9">
        <f>IFERROR(__xludf.DUMMYFUNCTION("""COMPUTED_VALUE"""),10.43)</f>
        <v>10.43</v>
      </c>
      <c r="H10542" s="17"/>
      <c r="K10542" s="17"/>
      <c r="N10542" s="17"/>
    </row>
    <row r="10543">
      <c r="B10543" s="11">
        <f>IFERROR(__xludf.DUMMYFUNCTION("""COMPUTED_VALUE"""),31266.0)</f>
        <v>31266</v>
      </c>
      <c r="C10543" s="9">
        <f>IFERROR(__xludf.DUMMYFUNCTION("""COMPUTED_VALUE"""),10.55)</f>
        <v>10.55</v>
      </c>
      <c r="H10543" s="17"/>
      <c r="K10543" s="17"/>
      <c r="N10543" s="17"/>
    </row>
    <row r="10544">
      <c r="B10544" s="11">
        <f>IFERROR(__xludf.DUMMYFUNCTION("""COMPUTED_VALUE"""),31265.0)</f>
        <v>31265</v>
      </c>
      <c r="C10544" s="9">
        <f>IFERROR(__xludf.DUMMYFUNCTION("""COMPUTED_VALUE"""),10.65)</f>
        <v>10.65</v>
      </c>
      <c r="H10544" s="17"/>
      <c r="K10544" s="17"/>
      <c r="N10544" s="17"/>
    </row>
    <row r="10545">
      <c r="B10545" s="11">
        <f>IFERROR(__xludf.DUMMYFUNCTION("""COMPUTED_VALUE"""),31264.0)</f>
        <v>31264</v>
      </c>
      <c r="C10545" s="9">
        <f>IFERROR(__xludf.DUMMYFUNCTION("""COMPUTED_VALUE"""),10.64)</f>
        <v>10.64</v>
      </c>
      <c r="H10545" s="17"/>
      <c r="K10545" s="17"/>
      <c r="N10545" s="17"/>
    </row>
    <row r="10546">
      <c r="B10546" s="11">
        <f>IFERROR(__xludf.DUMMYFUNCTION("""COMPUTED_VALUE"""),31261.0)</f>
        <v>31261</v>
      </c>
      <c r="C10546" s="9">
        <f>IFERROR(__xludf.DUMMYFUNCTION("""COMPUTED_VALUE"""),10.66)</f>
        <v>10.66</v>
      </c>
      <c r="H10546" s="17"/>
      <c r="K10546" s="17"/>
      <c r="N10546" s="17"/>
    </row>
    <row r="10547">
      <c r="B10547" s="11">
        <f>IFERROR(__xludf.DUMMYFUNCTION("""COMPUTED_VALUE"""),31260.0)</f>
        <v>31260</v>
      </c>
      <c r="C10547" s="9">
        <f>IFERROR(__xludf.DUMMYFUNCTION("""COMPUTED_VALUE"""),10.51)</f>
        <v>10.51</v>
      </c>
      <c r="H10547" s="17"/>
      <c r="K10547" s="17"/>
      <c r="N10547" s="17"/>
    </row>
    <row r="10548">
      <c r="B10548" s="11">
        <f>IFERROR(__xludf.DUMMYFUNCTION("""COMPUTED_VALUE"""),31259.0)</f>
        <v>31259</v>
      </c>
      <c r="C10548" s="9">
        <f>IFERROR(__xludf.DUMMYFUNCTION("""COMPUTED_VALUE"""),10.57)</f>
        <v>10.57</v>
      </c>
      <c r="H10548" s="17"/>
      <c r="K10548" s="17"/>
      <c r="N10548" s="17"/>
    </row>
    <row r="10549">
      <c r="B10549" s="11">
        <f>IFERROR(__xludf.DUMMYFUNCTION("""COMPUTED_VALUE"""),31258.0)</f>
        <v>31258</v>
      </c>
      <c r="C10549" s="9">
        <f>IFERROR(__xludf.DUMMYFUNCTION("""COMPUTED_VALUE"""),10.66)</f>
        <v>10.66</v>
      </c>
      <c r="H10549" s="17"/>
      <c r="K10549" s="17"/>
      <c r="N10549" s="17"/>
    </row>
    <row r="10550">
      <c r="B10550" s="11">
        <f>IFERROR(__xludf.DUMMYFUNCTION("""COMPUTED_VALUE"""),31257.0)</f>
        <v>31257</v>
      </c>
      <c r="C10550" s="9">
        <f>IFERROR(__xludf.DUMMYFUNCTION("""COMPUTED_VALUE"""),10.67)</f>
        <v>10.67</v>
      </c>
      <c r="H10550" s="17"/>
      <c r="K10550" s="17"/>
      <c r="N10550" s="17"/>
    </row>
    <row r="10551">
      <c r="B10551" s="11">
        <f>IFERROR(__xludf.DUMMYFUNCTION("""COMPUTED_VALUE"""),31254.0)</f>
        <v>31254</v>
      </c>
      <c r="C10551" s="9">
        <f>IFERROR(__xludf.DUMMYFUNCTION("""COMPUTED_VALUE"""),10.59)</f>
        <v>10.59</v>
      </c>
      <c r="H10551" s="17"/>
      <c r="K10551" s="17"/>
      <c r="N10551" s="17"/>
    </row>
    <row r="10552">
      <c r="B10552" s="11">
        <f>IFERROR(__xludf.DUMMYFUNCTION("""COMPUTED_VALUE"""),31253.0)</f>
        <v>31253</v>
      </c>
      <c r="C10552" s="9">
        <f>IFERROR(__xludf.DUMMYFUNCTION("""COMPUTED_VALUE"""),10.52)</f>
        <v>10.52</v>
      </c>
      <c r="H10552" s="17"/>
      <c r="K10552" s="17"/>
      <c r="N10552" s="17"/>
    </row>
    <row r="10553">
      <c r="B10553" s="11">
        <f>IFERROR(__xludf.DUMMYFUNCTION("""COMPUTED_VALUE"""),31252.0)</f>
        <v>31252</v>
      </c>
      <c r="C10553" s="9">
        <f>IFERROR(__xludf.DUMMYFUNCTION("""COMPUTED_VALUE"""),10.51)</f>
        <v>10.51</v>
      </c>
      <c r="H10553" s="17"/>
      <c r="K10553" s="17"/>
      <c r="N10553" s="17"/>
    </row>
    <row r="10554">
      <c r="B10554" s="11">
        <f>IFERROR(__xludf.DUMMYFUNCTION("""COMPUTED_VALUE"""),31251.0)</f>
        <v>31251</v>
      </c>
      <c r="C10554" s="9">
        <f>IFERROR(__xludf.DUMMYFUNCTION("""COMPUTED_VALUE"""),10.47)</f>
        <v>10.47</v>
      </c>
      <c r="H10554" s="17"/>
      <c r="K10554" s="17"/>
      <c r="N10554" s="17"/>
    </row>
    <row r="10555">
      <c r="B10555" s="11">
        <f>IFERROR(__xludf.DUMMYFUNCTION("""COMPUTED_VALUE"""),31250.0)</f>
        <v>31250</v>
      </c>
      <c r="C10555" s="9">
        <f>IFERROR(__xludf.DUMMYFUNCTION("""COMPUTED_VALUE"""),10.46)</f>
        <v>10.46</v>
      </c>
      <c r="H10555" s="17"/>
      <c r="K10555" s="17"/>
      <c r="N10555" s="17"/>
    </row>
    <row r="10556">
      <c r="B10556" s="11">
        <f>IFERROR(__xludf.DUMMYFUNCTION("""COMPUTED_VALUE"""),31247.0)</f>
        <v>31247</v>
      </c>
      <c r="C10556" s="9">
        <f>IFERROR(__xludf.DUMMYFUNCTION("""COMPUTED_VALUE"""),10.34)</f>
        <v>10.34</v>
      </c>
      <c r="H10556" s="17"/>
      <c r="K10556" s="17"/>
      <c r="N10556" s="17"/>
    </row>
    <row r="10557">
      <c r="B10557" s="11">
        <f>IFERROR(__xludf.DUMMYFUNCTION("""COMPUTED_VALUE"""),31246.0)</f>
        <v>31246</v>
      </c>
      <c r="C10557" s="9">
        <f>IFERROR(__xludf.DUMMYFUNCTION("""COMPUTED_VALUE"""),10.3)</f>
        <v>10.3</v>
      </c>
      <c r="H10557" s="17"/>
      <c r="K10557" s="17"/>
      <c r="N10557" s="17"/>
    </row>
    <row r="10558">
      <c r="B10558" s="11">
        <f>IFERROR(__xludf.DUMMYFUNCTION("""COMPUTED_VALUE"""),31245.0)</f>
        <v>31245</v>
      </c>
      <c r="C10558" s="9">
        <f>IFERROR(__xludf.DUMMYFUNCTION("""COMPUTED_VALUE"""),10.12)</f>
        <v>10.12</v>
      </c>
      <c r="H10558" s="17"/>
      <c r="K10558" s="17"/>
      <c r="N10558" s="17"/>
    </row>
    <row r="10559">
      <c r="B10559" s="11">
        <f>IFERROR(__xludf.DUMMYFUNCTION("""COMPUTED_VALUE"""),31244.0)</f>
        <v>31244</v>
      </c>
      <c r="C10559" s="9">
        <f>IFERROR(__xludf.DUMMYFUNCTION("""COMPUTED_VALUE"""),10.15)</f>
        <v>10.15</v>
      </c>
      <c r="H10559" s="17"/>
      <c r="K10559" s="17"/>
      <c r="N10559" s="17"/>
    </row>
    <row r="10560">
      <c r="B10560" s="11">
        <f>IFERROR(__xludf.DUMMYFUNCTION("""COMPUTED_VALUE"""),31243.0)</f>
        <v>31243</v>
      </c>
      <c r="C10560" s="9">
        <f>IFERROR(__xludf.DUMMYFUNCTION("""COMPUTED_VALUE"""),10.22)</f>
        <v>10.22</v>
      </c>
      <c r="H10560" s="17"/>
      <c r="K10560" s="17"/>
      <c r="N10560" s="17"/>
    </row>
    <row r="10561">
      <c r="B10561" s="11">
        <f>IFERROR(__xludf.DUMMYFUNCTION("""COMPUTED_VALUE"""),31240.0)</f>
        <v>31240</v>
      </c>
      <c r="C10561" s="9">
        <f>IFERROR(__xludf.DUMMYFUNCTION("""COMPUTED_VALUE"""),10.23)</f>
        <v>10.23</v>
      </c>
      <c r="H10561" s="17"/>
      <c r="K10561" s="17"/>
      <c r="N10561" s="17"/>
    </row>
    <row r="10562">
      <c r="B10562" s="11">
        <f>IFERROR(__xludf.DUMMYFUNCTION("""COMPUTED_VALUE"""),31239.0)</f>
        <v>31239</v>
      </c>
      <c r="C10562" s="9">
        <f>IFERROR(__xludf.DUMMYFUNCTION("""COMPUTED_VALUE"""),10.22)</f>
        <v>10.22</v>
      </c>
      <c r="H10562" s="17"/>
      <c r="K10562" s="17"/>
      <c r="N10562" s="17"/>
    </row>
    <row r="10563">
      <c r="B10563" s="11">
        <f>IFERROR(__xludf.DUMMYFUNCTION("""COMPUTED_VALUE"""),31238.0)</f>
        <v>31238</v>
      </c>
      <c r="C10563" s="9">
        <f>IFERROR(__xludf.DUMMYFUNCTION("""COMPUTED_VALUE"""),10.07)</f>
        <v>10.07</v>
      </c>
      <c r="H10563" s="17"/>
      <c r="K10563" s="17"/>
      <c r="N10563" s="17"/>
    </row>
    <row r="10564">
      <c r="B10564" s="11">
        <f>IFERROR(__xludf.DUMMYFUNCTION("""COMPUTED_VALUE"""),31237.0)</f>
        <v>31237</v>
      </c>
      <c r="C10564" s="9">
        <f>IFERROR(__xludf.DUMMYFUNCTION("""COMPUTED_VALUE"""),10.05)</f>
        <v>10.05</v>
      </c>
      <c r="H10564" s="17"/>
      <c r="K10564" s="17"/>
      <c r="N10564" s="17"/>
    </row>
    <row r="10565">
      <c r="B10565" s="11">
        <f>IFERROR(__xludf.DUMMYFUNCTION("""COMPUTED_VALUE"""),31236.0)</f>
        <v>31236</v>
      </c>
      <c r="C10565" s="9">
        <f>IFERROR(__xludf.DUMMYFUNCTION("""COMPUTED_VALUE"""),10.05)</f>
        <v>10.05</v>
      </c>
      <c r="H10565" s="17"/>
      <c r="K10565" s="17"/>
      <c r="N10565" s="17"/>
    </row>
    <row r="10566">
      <c r="B10566" s="11">
        <f>IFERROR(__xludf.DUMMYFUNCTION("""COMPUTED_VALUE"""),31233.0)</f>
        <v>31233</v>
      </c>
      <c r="C10566" s="9">
        <f>IFERROR(__xludf.DUMMYFUNCTION("""COMPUTED_VALUE"""),9.93)</f>
        <v>9.93</v>
      </c>
      <c r="H10566" s="17"/>
      <c r="K10566" s="17"/>
      <c r="N10566" s="17"/>
    </row>
    <row r="10567">
      <c r="B10567" s="11">
        <f>IFERROR(__xludf.DUMMYFUNCTION("""COMPUTED_VALUE"""),31232.0)</f>
        <v>31232</v>
      </c>
      <c r="C10567" s="9"/>
      <c r="H10567" s="17"/>
      <c r="K10567" s="17"/>
      <c r="N10567" s="17"/>
    </row>
    <row r="10568">
      <c r="B10568" s="11">
        <f>IFERROR(__xludf.DUMMYFUNCTION("""COMPUTED_VALUE"""),31231.0)</f>
        <v>31231</v>
      </c>
      <c r="C10568" s="9">
        <f>IFERROR(__xludf.DUMMYFUNCTION("""COMPUTED_VALUE"""),10.23)</f>
        <v>10.23</v>
      </c>
      <c r="H10568" s="17"/>
      <c r="K10568" s="17"/>
      <c r="N10568" s="17"/>
    </row>
    <row r="10569">
      <c r="B10569" s="11">
        <f>IFERROR(__xludf.DUMMYFUNCTION("""COMPUTED_VALUE"""),31230.0)</f>
        <v>31230</v>
      </c>
      <c r="C10569" s="9">
        <f>IFERROR(__xludf.DUMMYFUNCTION("""COMPUTED_VALUE"""),10.2)</f>
        <v>10.2</v>
      </c>
      <c r="H10569" s="17"/>
      <c r="K10569" s="17"/>
      <c r="N10569" s="17"/>
    </row>
    <row r="10570">
      <c r="B10570" s="11">
        <f>IFERROR(__xludf.DUMMYFUNCTION("""COMPUTED_VALUE"""),31229.0)</f>
        <v>31229</v>
      </c>
      <c r="C10570" s="9">
        <f>IFERROR(__xludf.DUMMYFUNCTION("""COMPUTED_VALUE"""),10.19)</f>
        <v>10.19</v>
      </c>
      <c r="H10570" s="17"/>
      <c r="K10570" s="17"/>
      <c r="N10570" s="17"/>
    </row>
    <row r="10571">
      <c r="B10571" s="11">
        <f>IFERROR(__xludf.DUMMYFUNCTION("""COMPUTED_VALUE"""),31226.0)</f>
        <v>31226</v>
      </c>
      <c r="C10571" s="9">
        <f>IFERROR(__xludf.DUMMYFUNCTION("""COMPUTED_VALUE"""),10.25)</f>
        <v>10.25</v>
      </c>
      <c r="H10571" s="17"/>
      <c r="K10571" s="17"/>
      <c r="N10571" s="17"/>
    </row>
    <row r="10572">
      <c r="B10572" s="11">
        <f>IFERROR(__xludf.DUMMYFUNCTION("""COMPUTED_VALUE"""),31225.0)</f>
        <v>31225</v>
      </c>
      <c r="C10572" s="9">
        <f>IFERROR(__xludf.DUMMYFUNCTION("""COMPUTED_VALUE"""),10.39)</f>
        <v>10.39</v>
      </c>
      <c r="H10572" s="17"/>
      <c r="K10572" s="17"/>
      <c r="N10572" s="17"/>
    </row>
    <row r="10573">
      <c r="B10573" s="11">
        <f>IFERROR(__xludf.DUMMYFUNCTION("""COMPUTED_VALUE"""),31224.0)</f>
        <v>31224</v>
      </c>
      <c r="C10573" s="9">
        <f>IFERROR(__xludf.DUMMYFUNCTION("""COMPUTED_VALUE"""),10.54)</f>
        <v>10.54</v>
      </c>
      <c r="H10573" s="17"/>
      <c r="K10573" s="17"/>
      <c r="N10573" s="17"/>
    </row>
    <row r="10574">
      <c r="B10574" s="11">
        <f>IFERROR(__xludf.DUMMYFUNCTION("""COMPUTED_VALUE"""),31223.0)</f>
        <v>31223</v>
      </c>
      <c r="C10574" s="9">
        <f>IFERROR(__xludf.DUMMYFUNCTION("""COMPUTED_VALUE"""),10.5)</f>
        <v>10.5</v>
      </c>
      <c r="H10574" s="17"/>
      <c r="K10574" s="17"/>
      <c r="N10574" s="17"/>
    </row>
    <row r="10575">
      <c r="B10575" s="11">
        <f>IFERROR(__xludf.DUMMYFUNCTION("""COMPUTED_VALUE"""),31222.0)</f>
        <v>31222</v>
      </c>
      <c r="C10575" s="9">
        <f>IFERROR(__xludf.DUMMYFUNCTION("""COMPUTED_VALUE"""),10.45)</f>
        <v>10.45</v>
      </c>
      <c r="H10575" s="17"/>
      <c r="K10575" s="17"/>
      <c r="N10575" s="17"/>
    </row>
    <row r="10576">
      <c r="B10576" s="11">
        <f>IFERROR(__xludf.DUMMYFUNCTION("""COMPUTED_VALUE"""),31219.0)</f>
        <v>31219</v>
      </c>
      <c r="C10576" s="9">
        <f>IFERROR(__xludf.DUMMYFUNCTION("""COMPUTED_VALUE"""),10.34)</f>
        <v>10.34</v>
      </c>
      <c r="H10576" s="17"/>
      <c r="K10576" s="17"/>
      <c r="N10576" s="17"/>
    </row>
    <row r="10577">
      <c r="B10577" s="11">
        <f>IFERROR(__xludf.DUMMYFUNCTION("""COMPUTED_VALUE"""),31218.0)</f>
        <v>31218</v>
      </c>
      <c r="C10577" s="9">
        <f>IFERROR(__xludf.DUMMYFUNCTION("""COMPUTED_VALUE"""),10.14)</f>
        <v>10.14</v>
      </c>
      <c r="H10577" s="17"/>
      <c r="K10577" s="17"/>
      <c r="N10577" s="17"/>
    </row>
    <row r="10578">
      <c r="B10578" s="11">
        <f>IFERROR(__xludf.DUMMYFUNCTION("""COMPUTED_VALUE"""),31217.0)</f>
        <v>31217</v>
      </c>
      <c r="C10578" s="9">
        <f>IFERROR(__xludf.DUMMYFUNCTION("""COMPUTED_VALUE"""),10.04)</f>
        <v>10.04</v>
      </c>
      <c r="H10578" s="17"/>
      <c r="K10578" s="17"/>
      <c r="N10578" s="17"/>
    </row>
    <row r="10579">
      <c r="B10579" s="11">
        <f>IFERROR(__xludf.DUMMYFUNCTION("""COMPUTED_VALUE"""),31216.0)</f>
        <v>31216</v>
      </c>
      <c r="C10579" s="9">
        <f>IFERROR(__xludf.DUMMYFUNCTION("""COMPUTED_VALUE"""),9.9)</f>
        <v>9.9</v>
      </c>
      <c r="H10579" s="17"/>
      <c r="K10579" s="17"/>
      <c r="N10579" s="17"/>
    </row>
    <row r="10580">
      <c r="B10580" s="11">
        <f>IFERROR(__xludf.DUMMYFUNCTION("""COMPUTED_VALUE"""),31215.0)</f>
        <v>31215</v>
      </c>
      <c r="C10580" s="9">
        <f>IFERROR(__xludf.DUMMYFUNCTION("""COMPUTED_VALUE"""),9.97)</f>
        <v>9.97</v>
      </c>
      <c r="H10580" s="17"/>
      <c r="K10580" s="17"/>
      <c r="N10580" s="17"/>
    </row>
    <row r="10581">
      <c r="B10581" s="11">
        <f>IFERROR(__xludf.DUMMYFUNCTION("""COMPUTED_VALUE"""),31212.0)</f>
        <v>31212</v>
      </c>
      <c r="C10581" s="9">
        <f>IFERROR(__xludf.DUMMYFUNCTION("""COMPUTED_VALUE"""),9.98)</f>
        <v>9.98</v>
      </c>
      <c r="H10581" s="17"/>
      <c r="K10581" s="17"/>
      <c r="N10581" s="17"/>
    </row>
    <row r="10582">
      <c r="B10582" s="11">
        <f>IFERROR(__xludf.DUMMYFUNCTION("""COMPUTED_VALUE"""),31211.0)</f>
        <v>31211</v>
      </c>
      <c r="C10582" s="9">
        <f>IFERROR(__xludf.DUMMYFUNCTION("""COMPUTED_VALUE"""),10.21)</f>
        <v>10.21</v>
      </c>
      <c r="H10582" s="17"/>
      <c r="K10582" s="17"/>
      <c r="N10582" s="17"/>
    </row>
    <row r="10583">
      <c r="B10583" s="11">
        <f>IFERROR(__xludf.DUMMYFUNCTION("""COMPUTED_VALUE"""),31210.0)</f>
        <v>31210</v>
      </c>
      <c r="C10583" s="9">
        <f>IFERROR(__xludf.DUMMYFUNCTION("""COMPUTED_VALUE"""),10.16)</f>
        <v>10.16</v>
      </c>
      <c r="H10583" s="17"/>
      <c r="K10583" s="17"/>
      <c r="N10583" s="17"/>
    </row>
    <row r="10584">
      <c r="B10584" s="11">
        <f>IFERROR(__xludf.DUMMYFUNCTION("""COMPUTED_VALUE"""),31209.0)</f>
        <v>31209</v>
      </c>
      <c r="C10584" s="9">
        <f>IFERROR(__xludf.DUMMYFUNCTION("""COMPUTED_VALUE"""),10.08)</f>
        <v>10.08</v>
      </c>
      <c r="H10584" s="17"/>
      <c r="K10584" s="17"/>
      <c r="N10584" s="17"/>
    </row>
    <row r="10585">
      <c r="B10585" s="11">
        <f>IFERROR(__xludf.DUMMYFUNCTION("""COMPUTED_VALUE"""),31208.0)</f>
        <v>31208</v>
      </c>
      <c r="C10585" s="9">
        <f>IFERROR(__xludf.DUMMYFUNCTION("""COMPUTED_VALUE"""),10.16)</f>
        <v>10.16</v>
      </c>
      <c r="H10585" s="17"/>
      <c r="K10585" s="17"/>
      <c r="N10585" s="17"/>
    </row>
    <row r="10586">
      <c r="B10586" s="11">
        <f>IFERROR(__xludf.DUMMYFUNCTION("""COMPUTED_VALUE"""),31205.0)</f>
        <v>31205</v>
      </c>
      <c r="C10586" s="9">
        <f>IFERROR(__xludf.DUMMYFUNCTION("""COMPUTED_VALUE"""),10.19)</f>
        <v>10.19</v>
      </c>
      <c r="H10586" s="17"/>
      <c r="K10586" s="17"/>
      <c r="N10586" s="17"/>
    </row>
    <row r="10587">
      <c r="B10587" s="11">
        <f>IFERROR(__xludf.DUMMYFUNCTION("""COMPUTED_VALUE"""),31204.0)</f>
        <v>31204</v>
      </c>
      <c r="C10587" s="9">
        <f>IFERROR(__xludf.DUMMYFUNCTION("""COMPUTED_VALUE"""),9.89)</f>
        <v>9.89</v>
      </c>
      <c r="H10587" s="17"/>
      <c r="K10587" s="17"/>
      <c r="N10587" s="17"/>
    </row>
    <row r="10588">
      <c r="B10588" s="11">
        <f>IFERROR(__xludf.DUMMYFUNCTION("""COMPUTED_VALUE"""),31203.0)</f>
        <v>31203</v>
      </c>
      <c r="C10588" s="9">
        <f>IFERROR(__xludf.DUMMYFUNCTION("""COMPUTED_VALUE"""),9.83)</f>
        <v>9.83</v>
      </c>
      <c r="H10588" s="17"/>
      <c r="K10588" s="17"/>
      <c r="N10588" s="17"/>
    </row>
    <row r="10589">
      <c r="B10589" s="11">
        <f>IFERROR(__xludf.DUMMYFUNCTION("""COMPUTED_VALUE"""),31202.0)</f>
        <v>31202</v>
      </c>
      <c r="C10589" s="9">
        <f>IFERROR(__xludf.DUMMYFUNCTION("""COMPUTED_VALUE"""),10.05)</f>
        <v>10.05</v>
      </c>
      <c r="H10589" s="17"/>
      <c r="K10589" s="17"/>
      <c r="N10589" s="17"/>
    </row>
    <row r="10590">
      <c r="B10590" s="11">
        <f>IFERROR(__xludf.DUMMYFUNCTION("""COMPUTED_VALUE"""),31201.0)</f>
        <v>31201</v>
      </c>
      <c r="C10590" s="9">
        <f>IFERROR(__xludf.DUMMYFUNCTION("""COMPUTED_VALUE"""),10.05)</f>
        <v>10.05</v>
      </c>
      <c r="H10590" s="17"/>
      <c r="K10590" s="17"/>
      <c r="N10590" s="17"/>
    </row>
    <row r="10591">
      <c r="B10591" s="11">
        <f>IFERROR(__xludf.DUMMYFUNCTION("""COMPUTED_VALUE"""),31198.0)</f>
        <v>31198</v>
      </c>
      <c r="C10591" s="9">
        <f>IFERROR(__xludf.DUMMYFUNCTION("""COMPUTED_VALUE"""),10.28)</f>
        <v>10.28</v>
      </c>
      <c r="H10591" s="17"/>
      <c r="K10591" s="17"/>
      <c r="N10591" s="17"/>
    </row>
    <row r="10592">
      <c r="B10592" s="11">
        <f>IFERROR(__xludf.DUMMYFUNCTION("""COMPUTED_VALUE"""),31197.0)</f>
        <v>31197</v>
      </c>
      <c r="C10592" s="9">
        <f>IFERROR(__xludf.DUMMYFUNCTION("""COMPUTED_VALUE"""),10.39)</f>
        <v>10.39</v>
      </c>
      <c r="H10592" s="17"/>
      <c r="K10592" s="17"/>
      <c r="N10592" s="17"/>
    </row>
    <row r="10593">
      <c r="B10593" s="11">
        <f>IFERROR(__xludf.DUMMYFUNCTION("""COMPUTED_VALUE"""),31196.0)</f>
        <v>31196</v>
      </c>
      <c r="C10593" s="9">
        <f>IFERROR(__xludf.DUMMYFUNCTION("""COMPUTED_VALUE"""),10.46)</f>
        <v>10.46</v>
      </c>
      <c r="H10593" s="17"/>
      <c r="K10593" s="17"/>
      <c r="N10593" s="17"/>
    </row>
    <row r="10594">
      <c r="B10594" s="11">
        <f>IFERROR(__xludf.DUMMYFUNCTION("""COMPUTED_VALUE"""),31195.0)</f>
        <v>31195</v>
      </c>
      <c r="C10594" s="9">
        <f>IFERROR(__xludf.DUMMYFUNCTION("""COMPUTED_VALUE"""),10.43)</f>
        <v>10.43</v>
      </c>
      <c r="H10594" s="17"/>
      <c r="K10594" s="17"/>
      <c r="N10594" s="17"/>
    </row>
    <row r="10595">
      <c r="B10595" s="11">
        <f>IFERROR(__xludf.DUMMYFUNCTION("""COMPUTED_VALUE"""),31194.0)</f>
        <v>31194</v>
      </c>
      <c r="C10595" s="9"/>
      <c r="H10595" s="17"/>
      <c r="K10595" s="17"/>
      <c r="N10595" s="17"/>
    </row>
    <row r="10596">
      <c r="B10596" s="11">
        <f>IFERROR(__xludf.DUMMYFUNCTION("""COMPUTED_VALUE"""),31191.0)</f>
        <v>31191</v>
      </c>
      <c r="C10596" s="9">
        <f>IFERROR(__xludf.DUMMYFUNCTION("""COMPUTED_VALUE"""),10.57)</f>
        <v>10.57</v>
      </c>
      <c r="H10596" s="17"/>
      <c r="K10596" s="17"/>
      <c r="N10596" s="17"/>
    </row>
    <row r="10597">
      <c r="B10597" s="11">
        <f>IFERROR(__xludf.DUMMYFUNCTION("""COMPUTED_VALUE"""),31190.0)</f>
        <v>31190</v>
      </c>
      <c r="C10597" s="9">
        <f>IFERROR(__xludf.DUMMYFUNCTION("""COMPUTED_VALUE"""),10.64)</f>
        <v>10.64</v>
      </c>
      <c r="H10597" s="17"/>
      <c r="K10597" s="17"/>
      <c r="N10597" s="17"/>
    </row>
    <row r="10598">
      <c r="B10598" s="11">
        <f>IFERROR(__xludf.DUMMYFUNCTION("""COMPUTED_VALUE"""),31189.0)</f>
        <v>31189</v>
      </c>
      <c r="C10598" s="9">
        <f>IFERROR(__xludf.DUMMYFUNCTION("""COMPUTED_VALUE"""),10.62)</f>
        <v>10.62</v>
      </c>
      <c r="H10598" s="17"/>
      <c r="K10598" s="17"/>
      <c r="N10598" s="17"/>
    </row>
    <row r="10599">
      <c r="B10599" s="11">
        <f>IFERROR(__xludf.DUMMYFUNCTION("""COMPUTED_VALUE"""),31188.0)</f>
        <v>31188</v>
      </c>
      <c r="C10599" s="9">
        <f>IFERROR(__xludf.DUMMYFUNCTION("""COMPUTED_VALUE"""),10.6)</f>
        <v>10.6</v>
      </c>
      <c r="H10599" s="17"/>
      <c r="K10599" s="17"/>
      <c r="N10599" s="17"/>
    </row>
    <row r="10600">
      <c r="B10600" s="11">
        <f>IFERROR(__xludf.DUMMYFUNCTION("""COMPUTED_VALUE"""),31187.0)</f>
        <v>31187</v>
      </c>
      <c r="C10600" s="9">
        <f>IFERROR(__xludf.DUMMYFUNCTION("""COMPUTED_VALUE"""),10.56)</f>
        <v>10.56</v>
      </c>
      <c r="H10600" s="17"/>
      <c r="K10600" s="17"/>
      <c r="N10600" s="17"/>
    </row>
    <row r="10601">
      <c r="B10601" s="11">
        <f>IFERROR(__xludf.DUMMYFUNCTION("""COMPUTED_VALUE"""),31184.0)</f>
        <v>31184</v>
      </c>
      <c r="C10601" s="9">
        <f>IFERROR(__xludf.DUMMYFUNCTION("""COMPUTED_VALUE"""),10.84)</f>
        <v>10.84</v>
      </c>
      <c r="H10601" s="17"/>
      <c r="K10601" s="17"/>
      <c r="N10601" s="17"/>
    </row>
    <row r="10602">
      <c r="B10602" s="11">
        <f>IFERROR(__xludf.DUMMYFUNCTION("""COMPUTED_VALUE"""),31183.0)</f>
        <v>31183</v>
      </c>
      <c r="C10602" s="9">
        <f>IFERROR(__xludf.DUMMYFUNCTION("""COMPUTED_VALUE"""),10.81)</f>
        <v>10.81</v>
      </c>
      <c r="H10602" s="17"/>
      <c r="K10602" s="17"/>
      <c r="N10602" s="17"/>
    </row>
    <row r="10603">
      <c r="B10603" s="11">
        <f>IFERROR(__xludf.DUMMYFUNCTION("""COMPUTED_VALUE"""),31182.0)</f>
        <v>31182</v>
      </c>
      <c r="C10603" s="9">
        <f>IFERROR(__xludf.DUMMYFUNCTION("""COMPUTED_VALUE"""),10.89)</f>
        <v>10.89</v>
      </c>
      <c r="H10603" s="17"/>
      <c r="K10603" s="17"/>
      <c r="N10603" s="17"/>
    </row>
    <row r="10604">
      <c r="B10604" s="11">
        <f>IFERROR(__xludf.DUMMYFUNCTION("""COMPUTED_VALUE"""),31181.0)</f>
        <v>31181</v>
      </c>
      <c r="C10604" s="9">
        <f>IFERROR(__xludf.DUMMYFUNCTION("""COMPUTED_VALUE"""),10.87)</f>
        <v>10.87</v>
      </c>
      <c r="H10604" s="17"/>
      <c r="K10604" s="17"/>
      <c r="N10604" s="17"/>
    </row>
    <row r="10605">
      <c r="B10605" s="11">
        <f>IFERROR(__xludf.DUMMYFUNCTION("""COMPUTED_VALUE"""),31180.0)</f>
        <v>31180</v>
      </c>
      <c r="C10605" s="9">
        <f>IFERROR(__xludf.DUMMYFUNCTION("""COMPUTED_VALUE"""),11.04)</f>
        <v>11.04</v>
      </c>
      <c r="H10605" s="17"/>
      <c r="K10605" s="17"/>
      <c r="N10605" s="17"/>
    </row>
    <row r="10606">
      <c r="B10606" s="11">
        <f>IFERROR(__xludf.DUMMYFUNCTION("""COMPUTED_VALUE"""),31177.0)</f>
        <v>31177</v>
      </c>
      <c r="C10606" s="9">
        <f>IFERROR(__xludf.DUMMYFUNCTION("""COMPUTED_VALUE"""),11.04)</f>
        <v>11.04</v>
      </c>
      <c r="H10606" s="17"/>
      <c r="K10606" s="17"/>
      <c r="N10606" s="17"/>
    </row>
    <row r="10607">
      <c r="B10607" s="11">
        <f>IFERROR(__xludf.DUMMYFUNCTION("""COMPUTED_VALUE"""),31176.0)</f>
        <v>31176</v>
      </c>
      <c r="C10607" s="9">
        <f>IFERROR(__xludf.DUMMYFUNCTION("""COMPUTED_VALUE"""),11.2)</f>
        <v>11.2</v>
      </c>
      <c r="H10607" s="17"/>
      <c r="K10607" s="17"/>
      <c r="N10607" s="17"/>
    </row>
    <row r="10608">
      <c r="B10608" s="11">
        <f>IFERROR(__xludf.DUMMYFUNCTION("""COMPUTED_VALUE"""),31175.0)</f>
        <v>31175</v>
      </c>
      <c r="C10608" s="9">
        <f>IFERROR(__xludf.DUMMYFUNCTION("""COMPUTED_VALUE"""),11.26)</f>
        <v>11.26</v>
      </c>
      <c r="H10608" s="17"/>
      <c r="K10608" s="17"/>
      <c r="N10608" s="17"/>
    </row>
    <row r="10609">
      <c r="B10609" s="11">
        <f>IFERROR(__xludf.DUMMYFUNCTION("""COMPUTED_VALUE"""),31174.0)</f>
        <v>31174</v>
      </c>
      <c r="C10609" s="9">
        <f>IFERROR(__xludf.DUMMYFUNCTION("""COMPUTED_VALUE"""),11.17)</f>
        <v>11.17</v>
      </c>
      <c r="H10609" s="17"/>
      <c r="K10609" s="17"/>
      <c r="N10609" s="17"/>
    </row>
    <row r="10610">
      <c r="B10610" s="11">
        <f>IFERROR(__xludf.DUMMYFUNCTION("""COMPUTED_VALUE"""),31173.0)</f>
        <v>31173</v>
      </c>
      <c r="C10610" s="9">
        <f>IFERROR(__xludf.DUMMYFUNCTION("""COMPUTED_VALUE"""),11.19)</f>
        <v>11.19</v>
      </c>
      <c r="H10610" s="17"/>
      <c r="K10610" s="17"/>
      <c r="N10610" s="17"/>
    </row>
    <row r="10611">
      <c r="B10611" s="11">
        <f>IFERROR(__xludf.DUMMYFUNCTION("""COMPUTED_VALUE"""),31170.0)</f>
        <v>31170</v>
      </c>
      <c r="C10611" s="9">
        <f>IFERROR(__xludf.DUMMYFUNCTION("""COMPUTED_VALUE"""),11.21)</f>
        <v>11.21</v>
      </c>
      <c r="H10611" s="17"/>
      <c r="K10611" s="17"/>
      <c r="N10611" s="17"/>
    </row>
    <row r="10612">
      <c r="B10612" s="11">
        <f>IFERROR(__xludf.DUMMYFUNCTION("""COMPUTED_VALUE"""),31169.0)</f>
        <v>31169</v>
      </c>
      <c r="C10612" s="9">
        <f>IFERROR(__xludf.DUMMYFUNCTION("""COMPUTED_VALUE"""),11.29)</f>
        <v>11.29</v>
      </c>
      <c r="H10612" s="17"/>
      <c r="K10612" s="17"/>
      <c r="N10612" s="17"/>
    </row>
    <row r="10613">
      <c r="B10613" s="11">
        <f>IFERROR(__xludf.DUMMYFUNCTION("""COMPUTED_VALUE"""),31168.0)</f>
        <v>31168</v>
      </c>
      <c r="C10613" s="9">
        <f>IFERROR(__xludf.DUMMYFUNCTION("""COMPUTED_VALUE"""),11.27)</f>
        <v>11.27</v>
      </c>
      <c r="H10613" s="17"/>
      <c r="K10613" s="17"/>
      <c r="N10613" s="17"/>
    </row>
    <row r="10614">
      <c r="B10614" s="11">
        <f>IFERROR(__xludf.DUMMYFUNCTION("""COMPUTED_VALUE"""),31167.0)</f>
        <v>31167</v>
      </c>
      <c r="C10614" s="9">
        <f>IFERROR(__xludf.DUMMYFUNCTION("""COMPUTED_VALUE"""),11.41)</f>
        <v>11.41</v>
      </c>
      <c r="H10614" s="17"/>
      <c r="K10614" s="17"/>
      <c r="N10614" s="17"/>
    </row>
    <row r="10615">
      <c r="B10615" s="11">
        <f>IFERROR(__xludf.DUMMYFUNCTION("""COMPUTED_VALUE"""),31166.0)</f>
        <v>31166</v>
      </c>
      <c r="C10615" s="9">
        <f>IFERROR(__xludf.DUMMYFUNCTION("""COMPUTED_VALUE"""),11.47)</f>
        <v>11.47</v>
      </c>
      <c r="H10615" s="17"/>
      <c r="K10615" s="17"/>
      <c r="N10615" s="17"/>
    </row>
    <row r="10616">
      <c r="B10616" s="11">
        <f>IFERROR(__xludf.DUMMYFUNCTION("""COMPUTED_VALUE"""),31163.0)</f>
        <v>31163</v>
      </c>
      <c r="C10616" s="9">
        <f>IFERROR(__xludf.DUMMYFUNCTION("""COMPUTED_VALUE"""),11.35)</f>
        <v>11.35</v>
      </c>
      <c r="H10616" s="17"/>
      <c r="K10616" s="17"/>
      <c r="N10616" s="17"/>
    </row>
    <row r="10617">
      <c r="B10617" s="11">
        <f>IFERROR(__xludf.DUMMYFUNCTION("""COMPUTED_VALUE"""),31162.0)</f>
        <v>31162</v>
      </c>
      <c r="C10617" s="9">
        <f>IFERROR(__xludf.DUMMYFUNCTION("""COMPUTED_VALUE"""),11.37)</f>
        <v>11.37</v>
      </c>
      <c r="H10617" s="17"/>
      <c r="K10617" s="17"/>
      <c r="N10617" s="17"/>
    </row>
    <row r="10618">
      <c r="B10618" s="11">
        <f>IFERROR(__xludf.DUMMYFUNCTION("""COMPUTED_VALUE"""),31161.0)</f>
        <v>31161</v>
      </c>
      <c r="C10618" s="9">
        <f>IFERROR(__xludf.DUMMYFUNCTION("""COMPUTED_VALUE"""),11.25)</f>
        <v>11.25</v>
      </c>
      <c r="H10618" s="17"/>
      <c r="K10618" s="17"/>
      <c r="N10618" s="17"/>
    </row>
    <row r="10619">
      <c r="B10619" s="11">
        <f>IFERROR(__xludf.DUMMYFUNCTION("""COMPUTED_VALUE"""),31160.0)</f>
        <v>31160</v>
      </c>
      <c r="C10619" s="9">
        <f>IFERROR(__xludf.DUMMYFUNCTION("""COMPUTED_VALUE"""),11.25)</f>
        <v>11.25</v>
      </c>
      <c r="H10619" s="17"/>
      <c r="K10619" s="17"/>
      <c r="N10619" s="17"/>
    </row>
    <row r="10620">
      <c r="B10620" s="11">
        <f>IFERROR(__xludf.DUMMYFUNCTION("""COMPUTED_VALUE"""),31159.0)</f>
        <v>31159</v>
      </c>
      <c r="C10620" s="9">
        <f>IFERROR(__xludf.DUMMYFUNCTION("""COMPUTED_VALUE"""),11.13)</f>
        <v>11.13</v>
      </c>
      <c r="H10620" s="17"/>
      <c r="K10620" s="17"/>
      <c r="N10620" s="17"/>
    </row>
    <row r="10621">
      <c r="B10621" s="11">
        <f>IFERROR(__xludf.DUMMYFUNCTION("""COMPUTED_VALUE"""),31156.0)</f>
        <v>31156</v>
      </c>
      <c r="C10621" s="9">
        <f>IFERROR(__xludf.DUMMYFUNCTION("""COMPUTED_VALUE"""),11.16)</f>
        <v>11.16</v>
      </c>
      <c r="H10621" s="17"/>
      <c r="K10621" s="17"/>
      <c r="N10621" s="17"/>
    </row>
    <row r="10622">
      <c r="B10622" s="11">
        <f>IFERROR(__xludf.DUMMYFUNCTION("""COMPUTED_VALUE"""),31155.0)</f>
        <v>31155</v>
      </c>
      <c r="C10622" s="9">
        <f>IFERROR(__xludf.DUMMYFUNCTION("""COMPUTED_VALUE"""),11.13)</f>
        <v>11.13</v>
      </c>
      <c r="H10622" s="17"/>
      <c r="K10622" s="17"/>
      <c r="N10622" s="17"/>
    </row>
    <row r="10623">
      <c r="B10623" s="11">
        <f>IFERROR(__xludf.DUMMYFUNCTION("""COMPUTED_VALUE"""),31154.0)</f>
        <v>31154</v>
      </c>
      <c r="C10623" s="9">
        <f>IFERROR(__xludf.DUMMYFUNCTION("""COMPUTED_VALUE"""),11.29)</f>
        <v>11.29</v>
      </c>
      <c r="H10623" s="17"/>
      <c r="K10623" s="17"/>
      <c r="N10623" s="17"/>
    </row>
    <row r="10624">
      <c r="B10624" s="11">
        <f>IFERROR(__xludf.DUMMYFUNCTION("""COMPUTED_VALUE"""),31153.0)</f>
        <v>31153</v>
      </c>
      <c r="C10624" s="9">
        <f>IFERROR(__xludf.DUMMYFUNCTION("""COMPUTED_VALUE"""),11.25)</f>
        <v>11.25</v>
      </c>
      <c r="H10624" s="17"/>
      <c r="K10624" s="17"/>
      <c r="N10624" s="17"/>
    </row>
    <row r="10625">
      <c r="B10625" s="11">
        <f>IFERROR(__xludf.DUMMYFUNCTION("""COMPUTED_VALUE"""),31152.0)</f>
        <v>31152</v>
      </c>
      <c r="C10625" s="9">
        <f>IFERROR(__xludf.DUMMYFUNCTION("""COMPUTED_VALUE"""),11.37)</f>
        <v>11.37</v>
      </c>
      <c r="H10625" s="17"/>
      <c r="K10625" s="17"/>
      <c r="N10625" s="17"/>
    </row>
    <row r="10626">
      <c r="B10626" s="11">
        <f>IFERROR(__xludf.DUMMYFUNCTION("""COMPUTED_VALUE"""),31149.0)</f>
        <v>31149</v>
      </c>
      <c r="C10626" s="9">
        <f>IFERROR(__xludf.DUMMYFUNCTION("""COMPUTED_VALUE"""),11.43)</f>
        <v>11.43</v>
      </c>
      <c r="H10626" s="17"/>
      <c r="K10626" s="17"/>
      <c r="N10626" s="17"/>
    </row>
    <row r="10627">
      <c r="B10627" s="11">
        <f>IFERROR(__xludf.DUMMYFUNCTION("""COMPUTED_VALUE"""),31148.0)</f>
        <v>31148</v>
      </c>
      <c r="C10627" s="9">
        <f>IFERROR(__xludf.DUMMYFUNCTION("""COMPUTED_VALUE"""),11.42)</f>
        <v>11.42</v>
      </c>
      <c r="H10627" s="17"/>
      <c r="K10627" s="17"/>
      <c r="N10627" s="17"/>
    </row>
    <row r="10628">
      <c r="B10628" s="11">
        <f>IFERROR(__xludf.DUMMYFUNCTION("""COMPUTED_VALUE"""),31147.0)</f>
        <v>31147</v>
      </c>
      <c r="C10628" s="9">
        <f>IFERROR(__xludf.DUMMYFUNCTION("""COMPUTED_VALUE"""),11.58)</f>
        <v>11.58</v>
      </c>
      <c r="H10628" s="17"/>
      <c r="K10628" s="17"/>
      <c r="N10628" s="17"/>
    </row>
    <row r="10629">
      <c r="B10629" s="11">
        <f>IFERROR(__xludf.DUMMYFUNCTION("""COMPUTED_VALUE"""),31146.0)</f>
        <v>31146</v>
      </c>
      <c r="C10629" s="9">
        <f>IFERROR(__xludf.DUMMYFUNCTION("""COMPUTED_VALUE"""),11.66)</f>
        <v>11.66</v>
      </c>
      <c r="H10629" s="17"/>
      <c r="K10629" s="17"/>
      <c r="N10629" s="17"/>
    </row>
    <row r="10630">
      <c r="B10630" s="11">
        <f>IFERROR(__xludf.DUMMYFUNCTION("""COMPUTED_VALUE"""),31145.0)</f>
        <v>31145</v>
      </c>
      <c r="C10630" s="9">
        <f>IFERROR(__xludf.DUMMYFUNCTION("""COMPUTED_VALUE"""),11.77)</f>
        <v>11.77</v>
      </c>
      <c r="H10630" s="17"/>
      <c r="K10630" s="17"/>
      <c r="N10630" s="17"/>
    </row>
    <row r="10631">
      <c r="B10631" s="11">
        <f>IFERROR(__xludf.DUMMYFUNCTION("""COMPUTED_VALUE"""),31142.0)</f>
        <v>31142</v>
      </c>
      <c r="C10631" s="9"/>
      <c r="H10631" s="17"/>
      <c r="K10631" s="17"/>
      <c r="N10631" s="17"/>
    </row>
    <row r="10632">
      <c r="B10632" s="11">
        <f>IFERROR(__xludf.DUMMYFUNCTION("""COMPUTED_VALUE"""),31141.0)</f>
        <v>31141</v>
      </c>
      <c r="C10632" s="9">
        <f>IFERROR(__xludf.DUMMYFUNCTION("""COMPUTED_VALUE"""),11.75)</f>
        <v>11.75</v>
      </c>
      <c r="H10632" s="17"/>
      <c r="K10632" s="17"/>
      <c r="N10632" s="17"/>
    </row>
    <row r="10633">
      <c r="B10633" s="11">
        <f>IFERROR(__xludf.DUMMYFUNCTION("""COMPUTED_VALUE"""),31140.0)</f>
        <v>31140</v>
      </c>
      <c r="C10633" s="9">
        <f>IFERROR(__xludf.DUMMYFUNCTION("""COMPUTED_VALUE"""),11.73)</f>
        <v>11.73</v>
      </c>
      <c r="H10633" s="17"/>
      <c r="K10633" s="17"/>
      <c r="N10633" s="17"/>
    </row>
    <row r="10634">
      <c r="B10634" s="11">
        <f>IFERROR(__xludf.DUMMYFUNCTION("""COMPUTED_VALUE"""),31139.0)</f>
        <v>31139</v>
      </c>
      <c r="C10634" s="9">
        <f>IFERROR(__xludf.DUMMYFUNCTION("""COMPUTED_VALUE"""),11.7)</f>
        <v>11.7</v>
      </c>
      <c r="H10634" s="17"/>
      <c r="K10634" s="17"/>
      <c r="N10634" s="17"/>
    </row>
    <row r="10635">
      <c r="B10635" s="11">
        <f>IFERROR(__xludf.DUMMYFUNCTION("""COMPUTED_VALUE"""),31138.0)</f>
        <v>31138</v>
      </c>
      <c r="C10635" s="9">
        <f>IFERROR(__xludf.DUMMYFUNCTION("""COMPUTED_VALUE"""),11.66)</f>
        <v>11.66</v>
      </c>
      <c r="H10635" s="17"/>
      <c r="K10635" s="17"/>
      <c r="N10635" s="17"/>
    </row>
    <row r="10636">
      <c r="B10636" s="11">
        <f>IFERROR(__xludf.DUMMYFUNCTION("""COMPUTED_VALUE"""),31135.0)</f>
        <v>31135</v>
      </c>
      <c r="C10636" s="9">
        <f>IFERROR(__xludf.DUMMYFUNCTION("""COMPUTED_VALUE"""),11.65)</f>
        <v>11.65</v>
      </c>
      <c r="H10636" s="17"/>
      <c r="K10636" s="17"/>
      <c r="N10636" s="17"/>
    </row>
    <row r="10637">
      <c r="B10637" s="11">
        <f>IFERROR(__xludf.DUMMYFUNCTION("""COMPUTED_VALUE"""),31134.0)</f>
        <v>31134</v>
      </c>
      <c r="C10637" s="9">
        <f>IFERROR(__xludf.DUMMYFUNCTION("""COMPUTED_VALUE"""),11.75)</f>
        <v>11.75</v>
      </c>
      <c r="H10637" s="17"/>
      <c r="K10637" s="17"/>
      <c r="N10637" s="17"/>
    </row>
    <row r="10638">
      <c r="B10638" s="11">
        <f>IFERROR(__xludf.DUMMYFUNCTION("""COMPUTED_VALUE"""),31133.0)</f>
        <v>31133</v>
      </c>
      <c r="C10638" s="9">
        <f>IFERROR(__xludf.DUMMYFUNCTION("""COMPUTED_VALUE"""),11.84)</f>
        <v>11.84</v>
      </c>
      <c r="H10638" s="17"/>
      <c r="K10638" s="17"/>
      <c r="N10638" s="17"/>
    </row>
    <row r="10639">
      <c r="B10639" s="11">
        <f>IFERROR(__xludf.DUMMYFUNCTION("""COMPUTED_VALUE"""),31132.0)</f>
        <v>31132</v>
      </c>
      <c r="C10639" s="9">
        <f>IFERROR(__xludf.DUMMYFUNCTION("""COMPUTED_VALUE"""),11.77)</f>
        <v>11.77</v>
      </c>
      <c r="H10639" s="17"/>
      <c r="K10639" s="17"/>
      <c r="N10639" s="17"/>
    </row>
    <row r="10640">
      <c r="B10640" s="11">
        <f>IFERROR(__xludf.DUMMYFUNCTION("""COMPUTED_VALUE"""),31131.0)</f>
        <v>31131</v>
      </c>
      <c r="C10640" s="9">
        <f>IFERROR(__xludf.DUMMYFUNCTION("""COMPUTED_VALUE"""),11.86)</f>
        <v>11.86</v>
      </c>
      <c r="H10640" s="17"/>
      <c r="K10640" s="17"/>
      <c r="N10640" s="17"/>
    </row>
    <row r="10641">
      <c r="B10641" s="11">
        <f>IFERROR(__xludf.DUMMYFUNCTION("""COMPUTED_VALUE"""),31128.0)</f>
        <v>31128</v>
      </c>
      <c r="C10641" s="9">
        <f>IFERROR(__xludf.DUMMYFUNCTION("""COMPUTED_VALUE"""),11.88)</f>
        <v>11.88</v>
      </c>
      <c r="H10641" s="17"/>
      <c r="K10641" s="17"/>
      <c r="N10641" s="17"/>
    </row>
    <row r="10642">
      <c r="B10642" s="11">
        <f>IFERROR(__xludf.DUMMYFUNCTION("""COMPUTED_VALUE"""),31127.0)</f>
        <v>31127</v>
      </c>
      <c r="C10642" s="9">
        <f>IFERROR(__xludf.DUMMYFUNCTION("""COMPUTED_VALUE"""),11.82)</f>
        <v>11.82</v>
      </c>
      <c r="H10642" s="17"/>
      <c r="K10642" s="17"/>
      <c r="N10642" s="17"/>
    </row>
    <row r="10643">
      <c r="B10643" s="11">
        <f>IFERROR(__xludf.DUMMYFUNCTION("""COMPUTED_VALUE"""),31126.0)</f>
        <v>31126</v>
      </c>
      <c r="C10643" s="9">
        <f>IFERROR(__xludf.DUMMYFUNCTION("""COMPUTED_VALUE"""),11.91)</f>
        <v>11.91</v>
      </c>
      <c r="H10643" s="17"/>
      <c r="K10643" s="17"/>
      <c r="N10643" s="17"/>
    </row>
    <row r="10644">
      <c r="B10644" s="11">
        <f>IFERROR(__xludf.DUMMYFUNCTION("""COMPUTED_VALUE"""),31125.0)</f>
        <v>31125</v>
      </c>
      <c r="C10644" s="9">
        <f>IFERROR(__xludf.DUMMYFUNCTION("""COMPUTED_VALUE"""),11.99)</f>
        <v>11.99</v>
      </c>
      <c r="H10644" s="17"/>
      <c r="K10644" s="17"/>
      <c r="N10644" s="17"/>
    </row>
    <row r="10645">
      <c r="B10645" s="11">
        <f>IFERROR(__xludf.DUMMYFUNCTION("""COMPUTED_VALUE"""),31124.0)</f>
        <v>31124</v>
      </c>
      <c r="C10645" s="9">
        <f>IFERROR(__xludf.DUMMYFUNCTION("""COMPUTED_VALUE"""),12.02)</f>
        <v>12.02</v>
      </c>
      <c r="H10645" s="17"/>
      <c r="K10645" s="17"/>
      <c r="N10645" s="17"/>
    </row>
    <row r="10646">
      <c r="B10646" s="11">
        <f>IFERROR(__xludf.DUMMYFUNCTION("""COMPUTED_VALUE"""),31121.0)</f>
        <v>31121</v>
      </c>
      <c r="C10646" s="9">
        <f>IFERROR(__xludf.DUMMYFUNCTION("""COMPUTED_VALUE"""),11.93)</f>
        <v>11.93</v>
      </c>
      <c r="H10646" s="17"/>
      <c r="K10646" s="17"/>
      <c r="N10646" s="17"/>
    </row>
    <row r="10647">
      <c r="B10647" s="11">
        <f>IFERROR(__xludf.DUMMYFUNCTION("""COMPUTED_VALUE"""),31120.0)</f>
        <v>31120</v>
      </c>
      <c r="C10647" s="9">
        <f>IFERROR(__xludf.DUMMYFUNCTION("""COMPUTED_VALUE"""),11.92)</f>
        <v>11.92</v>
      </c>
      <c r="H10647" s="17"/>
      <c r="K10647" s="17"/>
      <c r="N10647" s="17"/>
    </row>
    <row r="10648">
      <c r="B10648" s="11">
        <f>IFERROR(__xludf.DUMMYFUNCTION("""COMPUTED_VALUE"""),31119.0)</f>
        <v>31119</v>
      </c>
      <c r="C10648" s="9">
        <f>IFERROR(__xludf.DUMMYFUNCTION("""COMPUTED_VALUE"""),11.9)</f>
        <v>11.9</v>
      </c>
      <c r="H10648" s="17"/>
      <c r="K10648" s="17"/>
      <c r="N10648" s="17"/>
    </row>
    <row r="10649">
      <c r="B10649" s="11">
        <f>IFERROR(__xludf.DUMMYFUNCTION("""COMPUTED_VALUE"""),31118.0)</f>
        <v>31118</v>
      </c>
      <c r="C10649" s="9">
        <f>IFERROR(__xludf.DUMMYFUNCTION("""COMPUTED_VALUE"""),11.78)</f>
        <v>11.78</v>
      </c>
      <c r="H10649" s="17"/>
      <c r="K10649" s="17"/>
      <c r="N10649" s="17"/>
    </row>
    <row r="10650">
      <c r="B10650" s="11">
        <f>IFERROR(__xludf.DUMMYFUNCTION("""COMPUTED_VALUE"""),31117.0)</f>
        <v>31117</v>
      </c>
      <c r="C10650" s="9">
        <f>IFERROR(__xludf.DUMMYFUNCTION("""COMPUTED_VALUE"""),11.72)</f>
        <v>11.72</v>
      </c>
      <c r="H10650" s="17"/>
      <c r="K10650" s="17"/>
      <c r="N10650" s="17"/>
    </row>
    <row r="10651">
      <c r="B10651" s="11">
        <f>IFERROR(__xludf.DUMMYFUNCTION("""COMPUTED_VALUE"""),31114.0)</f>
        <v>31114</v>
      </c>
      <c r="C10651" s="9">
        <f>IFERROR(__xludf.DUMMYFUNCTION("""COMPUTED_VALUE"""),11.71)</f>
        <v>11.71</v>
      </c>
      <c r="H10651" s="17"/>
      <c r="K10651" s="17"/>
      <c r="N10651" s="17"/>
    </row>
    <row r="10652">
      <c r="B10652" s="11">
        <f>IFERROR(__xludf.DUMMYFUNCTION("""COMPUTED_VALUE"""),31113.0)</f>
        <v>31113</v>
      </c>
      <c r="C10652" s="9">
        <f>IFERROR(__xludf.DUMMYFUNCTION("""COMPUTED_VALUE"""),11.94)</f>
        <v>11.94</v>
      </c>
      <c r="H10652" s="17"/>
      <c r="K10652" s="17"/>
      <c r="N10652" s="17"/>
    </row>
    <row r="10653">
      <c r="B10653" s="11">
        <f>IFERROR(__xludf.DUMMYFUNCTION("""COMPUTED_VALUE"""),31112.0)</f>
        <v>31112</v>
      </c>
      <c r="C10653" s="9">
        <f>IFERROR(__xludf.DUMMYFUNCTION("""COMPUTED_VALUE"""),11.92)</f>
        <v>11.92</v>
      </c>
      <c r="H10653" s="17"/>
      <c r="K10653" s="17"/>
      <c r="N10653" s="17"/>
    </row>
    <row r="10654">
      <c r="B10654" s="11">
        <f>IFERROR(__xludf.DUMMYFUNCTION("""COMPUTED_VALUE"""),31111.0)</f>
        <v>31111</v>
      </c>
      <c r="C10654" s="9">
        <f>IFERROR(__xludf.DUMMYFUNCTION("""COMPUTED_VALUE"""),11.86)</f>
        <v>11.86</v>
      </c>
      <c r="H10654" s="17"/>
      <c r="K10654" s="17"/>
      <c r="N10654" s="17"/>
    </row>
    <row r="10655">
      <c r="B10655" s="11">
        <f>IFERROR(__xludf.DUMMYFUNCTION("""COMPUTED_VALUE"""),31110.0)</f>
        <v>31110</v>
      </c>
      <c r="C10655" s="9">
        <f>IFERROR(__xludf.DUMMYFUNCTION("""COMPUTED_VALUE"""),11.93)</f>
        <v>11.93</v>
      </c>
      <c r="H10655" s="17"/>
      <c r="K10655" s="17"/>
      <c r="N10655" s="17"/>
    </row>
    <row r="10656">
      <c r="B10656" s="11">
        <f>IFERROR(__xludf.DUMMYFUNCTION("""COMPUTED_VALUE"""),31107.0)</f>
        <v>31107</v>
      </c>
      <c r="C10656" s="9">
        <f>IFERROR(__xludf.DUMMYFUNCTION("""COMPUTED_VALUE"""),11.86)</f>
        <v>11.86</v>
      </c>
      <c r="H10656" s="17"/>
      <c r="K10656" s="17"/>
      <c r="N10656" s="17"/>
    </row>
    <row r="10657">
      <c r="B10657" s="11">
        <f>IFERROR(__xludf.DUMMYFUNCTION("""COMPUTED_VALUE"""),31106.0)</f>
        <v>31106</v>
      </c>
      <c r="C10657" s="9">
        <f>IFERROR(__xludf.DUMMYFUNCTION("""COMPUTED_VALUE"""),11.91)</f>
        <v>11.91</v>
      </c>
      <c r="H10657" s="17"/>
      <c r="K10657" s="17"/>
      <c r="N10657" s="17"/>
    </row>
    <row r="10658">
      <c r="B10658" s="11">
        <f>IFERROR(__xludf.DUMMYFUNCTION("""COMPUTED_VALUE"""),31105.0)</f>
        <v>31105</v>
      </c>
      <c r="C10658" s="9">
        <f>IFERROR(__xludf.DUMMYFUNCTION("""COMPUTED_VALUE"""),11.89)</f>
        <v>11.89</v>
      </c>
      <c r="H10658" s="17"/>
      <c r="K10658" s="17"/>
      <c r="N10658" s="17"/>
    </row>
    <row r="10659">
      <c r="B10659" s="11">
        <f>IFERROR(__xludf.DUMMYFUNCTION("""COMPUTED_VALUE"""),31104.0)</f>
        <v>31104</v>
      </c>
      <c r="C10659" s="9">
        <f>IFERROR(__xludf.DUMMYFUNCTION("""COMPUTED_VALUE"""),11.72)</f>
        <v>11.72</v>
      </c>
      <c r="H10659" s="17"/>
      <c r="K10659" s="17"/>
      <c r="N10659" s="17"/>
    </row>
    <row r="10660">
      <c r="B10660" s="11">
        <f>IFERROR(__xludf.DUMMYFUNCTION("""COMPUTED_VALUE"""),31103.0)</f>
        <v>31103</v>
      </c>
      <c r="C10660" s="9">
        <f>IFERROR(__xludf.DUMMYFUNCTION("""COMPUTED_VALUE"""),11.75)</f>
        <v>11.75</v>
      </c>
      <c r="H10660" s="17"/>
      <c r="K10660" s="17"/>
      <c r="N10660" s="17"/>
    </row>
    <row r="10661">
      <c r="B10661" s="11">
        <f>IFERROR(__xludf.DUMMYFUNCTION("""COMPUTED_VALUE"""),31100.0)</f>
        <v>31100</v>
      </c>
      <c r="C10661" s="9">
        <f>IFERROR(__xludf.DUMMYFUNCTION("""COMPUTED_VALUE"""),11.76)</f>
        <v>11.76</v>
      </c>
      <c r="H10661" s="17"/>
      <c r="K10661" s="17"/>
      <c r="N10661" s="17"/>
    </row>
    <row r="10662">
      <c r="B10662" s="11">
        <f>IFERROR(__xludf.DUMMYFUNCTION("""COMPUTED_VALUE"""),31099.0)</f>
        <v>31099</v>
      </c>
      <c r="C10662" s="9">
        <f>IFERROR(__xludf.DUMMYFUNCTION("""COMPUTED_VALUE"""),11.64)</f>
        <v>11.64</v>
      </c>
      <c r="H10662" s="17"/>
      <c r="K10662" s="17"/>
      <c r="N10662" s="17"/>
    </row>
    <row r="10663">
      <c r="B10663" s="11">
        <f>IFERROR(__xludf.DUMMYFUNCTION("""COMPUTED_VALUE"""),31098.0)</f>
        <v>31098</v>
      </c>
      <c r="C10663" s="9">
        <f>IFERROR(__xludf.DUMMYFUNCTION("""COMPUTED_VALUE"""),11.52)</f>
        <v>11.52</v>
      </c>
      <c r="H10663" s="17"/>
      <c r="K10663" s="17"/>
      <c r="N10663" s="17"/>
    </row>
    <row r="10664">
      <c r="B10664" s="11">
        <f>IFERROR(__xludf.DUMMYFUNCTION("""COMPUTED_VALUE"""),31097.0)</f>
        <v>31097</v>
      </c>
      <c r="C10664" s="9">
        <f>IFERROR(__xludf.DUMMYFUNCTION("""COMPUTED_VALUE"""),11.37)</f>
        <v>11.37</v>
      </c>
      <c r="H10664" s="17"/>
      <c r="K10664" s="17"/>
      <c r="N10664" s="17"/>
    </row>
    <row r="10665">
      <c r="B10665" s="11">
        <f>IFERROR(__xludf.DUMMYFUNCTION("""COMPUTED_VALUE"""),31096.0)</f>
        <v>31096</v>
      </c>
      <c r="C10665" s="9"/>
      <c r="H10665" s="17"/>
      <c r="K10665" s="17"/>
      <c r="N10665" s="17"/>
    </row>
    <row r="10666">
      <c r="B10666" s="11">
        <f>IFERROR(__xludf.DUMMYFUNCTION("""COMPUTED_VALUE"""),31093.0)</f>
        <v>31093</v>
      </c>
      <c r="C10666" s="9">
        <f>IFERROR(__xludf.DUMMYFUNCTION("""COMPUTED_VALUE"""),11.38)</f>
        <v>11.38</v>
      </c>
      <c r="H10666" s="17"/>
      <c r="K10666" s="17"/>
      <c r="N10666" s="17"/>
    </row>
    <row r="10667">
      <c r="B10667" s="11">
        <f>IFERROR(__xludf.DUMMYFUNCTION("""COMPUTED_VALUE"""),31092.0)</f>
        <v>31092</v>
      </c>
      <c r="C10667" s="9">
        <f>IFERROR(__xludf.DUMMYFUNCTION("""COMPUTED_VALUE"""),11.29)</f>
        <v>11.29</v>
      </c>
      <c r="H10667" s="17"/>
      <c r="K10667" s="17"/>
      <c r="N10667" s="17"/>
    </row>
    <row r="10668">
      <c r="B10668" s="11">
        <f>IFERROR(__xludf.DUMMYFUNCTION("""COMPUTED_VALUE"""),31091.0)</f>
        <v>31091</v>
      </c>
      <c r="C10668" s="9">
        <f>IFERROR(__xludf.DUMMYFUNCTION("""COMPUTED_VALUE"""),11.39)</f>
        <v>11.39</v>
      </c>
      <c r="H10668" s="17"/>
      <c r="K10668" s="17"/>
      <c r="N10668" s="17"/>
    </row>
    <row r="10669">
      <c r="B10669" s="11">
        <f>IFERROR(__xludf.DUMMYFUNCTION("""COMPUTED_VALUE"""),31090.0)</f>
        <v>31090</v>
      </c>
      <c r="C10669" s="9"/>
      <c r="H10669" s="17"/>
      <c r="K10669" s="17"/>
      <c r="N10669" s="17"/>
    </row>
    <row r="10670">
      <c r="B10670" s="11">
        <f>IFERROR(__xludf.DUMMYFUNCTION("""COMPUTED_VALUE"""),31089.0)</f>
        <v>31089</v>
      </c>
      <c r="C10670" s="9">
        <f>IFERROR(__xludf.DUMMYFUNCTION("""COMPUTED_VALUE"""),11.42)</f>
        <v>11.42</v>
      </c>
      <c r="H10670" s="17"/>
      <c r="K10670" s="17"/>
      <c r="N10670" s="17"/>
    </row>
    <row r="10671">
      <c r="B10671" s="11">
        <f>IFERROR(__xludf.DUMMYFUNCTION("""COMPUTED_VALUE"""),31086.0)</f>
        <v>31086</v>
      </c>
      <c r="C10671" s="9">
        <f>IFERROR(__xludf.DUMMYFUNCTION("""COMPUTED_VALUE"""),11.37)</f>
        <v>11.37</v>
      </c>
      <c r="H10671" s="17"/>
      <c r="K10671" s="17"/>
      <c r="N10671" s="17"/>
    </row>
    <row r="10672">
      <c r="B10672" s="11">
        <f>IFERROR(__xludf.DUMMYFUNCTION("""COMPUTED_VALUE"""),31085.0)</f>
        <v>31085</v>
      </c>
      <c r="C10672" s="9">
        <f>IFERROR(__xludf.DUMMYFUNCTION("""COMPUTED_VALUE"""),11.41)</f>
        <v>11.41</v>
      </c>
      <c r="H10672" s="17"/>
      <c r="K10672" s="17"/>
      <c r="N10672" s="17"/>
    </row>
    <row r="10673">
      <c r="B10673" s="11">
        <f>IFERROR(__xludf.DUMMYFUNCTION("""COMPUTED_VALUE"""),31084.0)</f>
        <v>31084</v>
      </c>
      <c r="C10673" s="9">
        <f>IFERROR(__xludf.DUMMYFUNCTION("""COMPUTED_VALUE"""),11.4)</f>
        <v>11.4</v>
      </c>
      <c r="H10673" s="17"/>
      <c r="K10673" s="17"/>
      <c r="N10673" s="17"/>
    </row>
    <row r="10674">
      <c r="B10674" s="11">
        <f>IFERROR(__xludf.DUMMYFUNCTION("""COMPUTED_VALUE"""),31083.0)</f>
        <v>31083</v>
      </c>
      <c r="C10674" s="9">
        <f>IFERROR(__xludf.DUMMYFUNCTION("""COMPUTED_VALUE"""),11.3)</f>
        <v>11.3</v>
      </c>
      <c r="H10674" s="17"/>
      <c r="K10674" s="17"/>
      <c r="N10674" s="17"/>
    </row>
    <row r="10675">
      <c r="B10675" s="11">
        <f>IFERROR(__xludf.DUMMYFUNCTION("""COMPUTED_VALUE"""),31082.0)</f>
        <v>31082</v>
      </c>
      <c r="C10675" s="9">
        <f>IFERROR(__xludf.DUMMYFUNCTION("""COMPUTED_VALUE"""),11.35)</f>
        <v>11.35</v>
      </c>
      <c r="H10675" s="17"/>
      <c r="K10675" s="17"/>
      <c r="N10675" s="17"/>
    </row>
    <row r="10676">
      <c r="B10676" s="11">
        <f>IFERROR(__xludf.DUMMYFUNCTION("""COMPUTED_VALUE"""),31079.0)</f>
        <v>31079</v>
      </c>
      <c r="C10676" s="9">
        <f>IFERROR(__xludf.DUMMYFUNCTION("""COMPUTED_VALUE"""),11.29)</f>
        <v>11.29</v>
      </c>
      <c r="H10676" s="17"/>
      <c r="K10676" s="17"/>
      <c r="N10676" s="17"/>
    </row>
    <row r="10677">
      <c r="B10677" s="11">
        <f>IFERROR(__xludf.DUMMYFUNCTION("""COMPUTED_VALUE"""),31078.0)</f>
        <v>31078</v>
      </c>
      <c r="C10677" s="9">
        <f>IFERROR(__xludf.DUMMYFUNCTION("""COMPUTED_VALUE"""),11.17)</f>
        <v>11.17</v>
      </c>
      <c r="H10677" s="17"/>
      <c r="K10677" s="17"/>
      <c r="N10677" s="17"/>
    </row>
    <row r="10678">
      <c r="B10678" s="11">
        <f>IFERROR(__xludf.DUMMYFUNCTION("""COMPUTED_VALUE"""),31077.0)</f>
        <v>31077</v>
      </c>
      <c r="C10678" s="9">
        <f>IFERROR(__xludf.DUMMYFUNCTION("""COMPUTED_VALUE"""),11.08)</f>
        <v>11.08</v>
      </c>
      <c r="H10678" s="17"/>
      <c r="K10678" s="17"/>
      <c r="N10678" s="17"/>
    </row>
    <row r="10679">
      <c r="B10679" s="11">
        <f>IFERROR(__xludf.DUMMYFUNCTION("""COMPUTED_VALUE"""),31076.0)</f>
        <v>31076</v>
      </c>
      <c r="C10679" s="9">
        <f>IFERROR(__xludf.DUMMYFUNCTION("""COMPUTED_VALUE"""),11.11)</f>
        <v>11.11</v>
      </c>
      <c r="H10679" s="17"/>
      <c r="K10679" s="17"/>
      <c r="N10679" s="17"/>
    </row>
    <row r="10680">
      <c r="B10680" s="11">
        <f>IFERROR(__xludf.DUMMYFUNCTION("""COMPUTED_VALUE"""),31075.0)</f>
        <v>31075</v>
      </c>
      <c r="C10680" s="9">
        <f>IFERROR(__xludf.DUMMYFUNCTION("""COMPUTED_VALUE"""),11.11)</f>
        <v>11.11</v>
      </c>
      <c r="H10680" s="17"/>
      <c r="K10680" s="17"/>
      <c r="N10680" s="17"/>
    </row>
    <row r="10681">
      <c r="B10681" s="11">
        <f>IFERROR(__xludf.DUMMYFUNCTION("""COMPUTED_VALUE"""),31072.0)</f>
        <v>31072</v>
      </c>
      <c r="C10681" s="9">
        <f>IFERROR(__xludf.DUMMYFUNCTION("""COMPUTED_VALUE"""),11.11)</f>
        <v>11.11</v>
      </c>
      <c r="H10681" s="17"/>
      <c r="K10681" s="17"/>
      <c r="N10681" s="17"/>
    </row>
    <row r="10682">
      <c r="B10682" s="11">
        <f>IFERROR(__xludf.DUMMYFUNCTION("""COMPUTED_VALUE"""),31071.0)</f>
        <v>31071</v>
      </c>
      <c r="C10682" s="9">
        <f>IFERROR(__xludf.DUMMYFUNCTION("""COMPUTED_VALUE"""),11.06)</f>
        <v>11.06</v>
      </c>
      <c r="H10682" s="17"/>
      <c r="K10682" s="17"/>
      <c r="N10682" s="17"/>
    </row>
    <row r="10683">
      <c r="B10683" s="11">
        <f>IFERROR(__xludf.DUMMYFUNCTION("""COMPUTED_VALUE"""),31070.0)</f>
        <v>31070</v>
      </c>
      <c r="C10683" s="9">
        <f>IFERROR(__xludf.DUMMYFUNCTION("""COMPUTED_VALUE"""),11.21)</f>
        <v>11.21</v>
      </c>
      <c r="H10683" s="17"/>
      <c r="K10683" s="17"/>
      <c r="N10683" s="17"/>
    </row>
    <row r="10684">
      <c r="B10684" s="11">
        <f>IFERROR(__xludf.DUMMYFUNCTION("""COMPUTED_VALUE"""),31069.0)</f>
        <v>31069</v>
      </c>
      <c r="C10684" s="9">
        <f>IFERROR(__xludf.DUMMYFUNCTION("""COMPUTED_VALUE"""),11.27)</f>
        <v>11.27</v>
      </c>
      <c r="H10684" s="17"/>
      <c r="K10684" s="17"/>
      <c r="N10684" s="17"/>
    </row>
    <row r="10685">
      <c r="B10685" s="11">
        <f>IFERROR(__xludf.DUMMYFUNCTION("""COMPUTED_VALUE"""),31068.0)</f>
        <v>31068</v>
      </c>
      <c r="C10685" s="9"/>
      <c r="H10685" s="17"/>
      <c r="K10685" s="17"/>
      <c r="N10685" s="17"/>
    </row>
    <row r="10686">
      <c r="B10686" s="11">
        <f>IFERROR(__xludf.DUMMYFUNCTION("""COMPUTED_VALUE"""),31065.0)</f>
        <v>31065</v>
      </c>
      <c r="C10686" s="9">
        <f>IFERROR(__xludf.DUMMYFUNCTION("""COMPUTED_VALUE"""),11.39)</f>
        <v>11.39</v>
      </c>
      <c r="H10686" s="17"/>
      <c r="K10686" s="17"/>
      <c r="N10686" s="17"/>
    </row>
    <row r="10687">
      <c r="B10687" s="11">
        <f>IFERROR(__xludf.DUMMYFUNCTION("""COMPUTED_VALUE"""),31064.0)</f>
        <v>31064</v>
      </c>
      <c r="C10687" s="9">
        <f>IFERROR(__xludf.DUMMYFUNCTION("""COMPUTED_VALUE"""),11.48)</f>
        <v>11.48</v>
      </c>
      <c r="H10687" s="17"/>
      <c r="K10687" s="17"/>
      <c r="N10687" s="17"/>
    </row>
    <row r="10688">
      <c r="B10688" s="11">
        <f>IFERROR(__xludf.DUMMYFUNCTION("""COMPUTED_VALUE"""),31063.0)</f>
        <v>31063</v>
      </c>
      <c r="C10688" s="9">
        <f>IFERROR(__xludf.DUMMYFUNCTION("""COMPUTED_VALUE"""),11.51)</f>
        <v>11.51</v>
      </c>
      <c r="H10688" s="17"/>
      <c r="K10688" s="17"/>
      <c r="N10688" s="17"/>
    </row>
    <row r="10689">
      <c r="B10689" s="11">
        <f>IFERROR(__xludf.DUMMYFUNCTION("""COMPUTED_VALUE"""),31062.0)</f>
        <v>31062</v>
      </c>
      <c r="C10689" s="9">
        <f>IFERROR(__xludf.DUMMYFUNCTION("""COMPUTED_VALUE"""),11.49)</f>
        <v>11.49</v>
      </c>
      <c r="H10689" s="17"/>
      <c r="K10689" s="17"/>
      <c r="N10689" s="17"/>
    </row>
    <row r="10690">
      <c r="B10690" s="11">
        <f>IFERROR(__xludf.DUMMYFUNCTION("""COMPUTED_VALUE"""),31061.0)</f>
        <v>31061</v>
      </c>
      <c r="C10690" s="9">
        <f>IFERROR(__xludf.DUMMYFUNCTION("""COMPUTED_VALUE"""),11.6)</f>
        <v>11.6</v>
      </c>
      <c r="H10690" s="17"/>
      <c r="K10690" s="17"/>
      <c r="N10690" s="17"/>
    </row>
    <row r="10691">
      <c r="B10691" s="11">
        <f>IFERROR(__xludf.DUMMYFUNCTION("""COMPUTED_VALUE"""),31058.0)</f>
        <v>31058</v>
      </c>
      <c r="C10691" s="9">
        <f>IFERROR(__xludf.DUMMYFUNCTION("""COMPUTED_VALUE"""),11.59)</f>
        <v>11.59</v>
      </c>
      <c r="H10691" s="17"/>
      <c r="K10691" s="17"/>
      <c r="N10691" s="17"/>
    </row>
    <row r="10692">
      <c r="B10692" s="11">
        <f>IFERROR(__xludf.DUMMYFUNCTION("""COMPUTED_VALUE"""),31057.0)</f>
        <v>31057</v>
      </c>
      <c r="C10692" s="9">
        <f>IFERROR(__xludf.DUMMYFUNCTION("""COMPUTED_VALUE"""),11.48)</f>
        <v>11.48</v>
      </c>
      <c r="H10692" s="17"/>
      <c r="K10692" s="17"/>
      <c r="N10692" s="17"/>
    </row>
    <row r="10693">
      <c r="B10693" s="11">
        <f>IFERROR(__xludf.DUMMYFUNCTION("""COMPUTED_VALUE"""),31056.0)</f>
        <v>31056</v>
      </c>
      <c r="C10693" s="9">
        <f>IFERROR(__xludf.DUMMYFUNCTION("""COMPUTED_VALUE"""),11.47)</f>
        <v>11.47</v>
      </c>
      <c r="H10693" s="17"/>
      <c r="K10693" s="17"/>
      <c r="N10693" s="17"/>
    </row>
    <row r="10694">
      <c r="B10694" s="11">
        <f>IFERROR(__xludf.DUMMYFUNCTION("""COMPUTED_VALUE"""),31055.0)</f>
        <v>31055</v>
      </c>
      <c r="C10694" s="9">
        <f>IFERROR(__xludf.DUMMYFUNCTION("""COMPUTED_VALUE"""),11.45)</f>
        <v>11.45</v>
      </c>
      <c r="H10694" s="17"/>
      <c r="K10694" s="17"/>
      <c r="N10694" s="17"/>
    </row>
    <row r="10695">
      <c r="B10695" s="11">
        <f>IFERROR(__xludf.DUMMYFUNCTION("""COMPUTED_VALUE"""),31054.0)</f>
        <v>31054</v>
      </c>
      <c r="C10695" s="9">
        <f>IFERROR(__xludf.DUMMYFUNCTION("""COMPUTED_VALUE"""),11.5)</f>
        <v>11.5</v>
      </c>
      <c r="H10695" s="17"/>
      <c r="K10695" s="17"/>
      <c r="N10695" s="17"/>
    </row>
    <row r="10696">
      <c r="B10696" s="11">
        <f>IFERROR(__xludf.DUMMYFUNCTION("""COMPUTED_VALUE"""),31051.0)</f>
        <v>31051</v>
      </c>
      <c r="C10696" s="9">
        <f>IFERROR(__xludf.DUMMYFUNCTION("""COMPUTED_VALUE"""),11.67)</f>
        <v>11.67</v>
      </c>
      <c r="H10696" s="17"/>
      <c r="K10696" s="17"/>
      <c r="N10696" s="17"/>
    </row>
    <row r="10697">
      <c r="B10697" s="11">
        <f>IFERROR(__xludf.DUMMYFUNCTION("""COMPUTED_VALUE"""),31050.0)</f>
        <v>31050</v>
      </c>
      <c r="C10697" s="9">
        <f>IFERROR(__xludf.DUMMYFUNCTION("""COMPUTED_VALUE"""),11.62)</f>
        <v>11.62</v>
      </c>
      <c r="H10697" s="17"/>
      <c r="K10697" s="17"/>
      <c r="N10697" s="17"/>
    </row>
    <row r="10698">
      <c r="B10698" s="11">
        <f>IFERROR(__xludf.DUMMYFUNCTION("""COMPUTED_VALUE"""),31049.0)</f>
        <v>31049</v>
      </c>
      <c r="C10698" s="9">
        <f>IFERROR(__xludf.DUMMYFUNCTION("""COMPUTED_VALUE"""),11.7)</f>
        <v>11.7</v>
      </c>
      <c r="H10698" s="17"/>
      <c r="K10698" s="17"/>
      <c r="N10698" s="17"/>
    </row>
    <row r="10699">
      <c r="B10699" s="11">
        <f>IFERROR(__xludf.DUMMYFUNCTION("""COMPUTED_VALUE"""),31048.0)</f>
        <v>31048</v>
      </c>
      <c r="C10699" s="9"/>
      <c r="H10699" s="17"/>
      <c r="K10699" s="17"/>
      <c r="N10699" s="17"/>
    </row>
    <row r="10700">
      <c r="B10700" s="11">
        <f>IFERROR(__xludf.DUMMYFUNCTION("""COMPUTED_VALUE"""),31047.0)</f>
        <v>31047</v>
      </c>
      <c r="C10700" s="9">
        <f>IFERROR(__xludf.DUMMYFUNCTION("""COMPUTED_VALUE"""),11.55)</f>
        <v>11.55</v>
      </c>
      <c r="H10700" s="17"/>
      <c r="K10700" s="17"/>
      <c r="N10700" s="17"/>
    </row>
    <row r="10701">
      <c r="B10701" s="11">
        <f>IFERROR(__xludf.DUMMYFUNCTION("""COMPUTED_VALUE"""),31044.0)</f>
        <v>31044</v>
      </c>
      <c r="C10701" s="9">
        <f>IFERROR(__xludf.DUMMYFUNCTION("""COMPUTED_VALUE"""),11.46)</f>
        <v>11.46</v>
      </c>
      <c r="H10701" s="17"/>
      <c r="K10701" s="17"/>
      <c r="N10701" s="17"/>
    </row>
    <row r="10702">
      <c r="B10702" s="11">
        <f>IFERROR(__xludf.DUMMYFUNCTION("""COMPUTED_VALUE"""),31043.0)</f>
        <v>31043</v>
      </c>
      <c r="C10702" s="9">
        <f>IFERROR(__xludf.DUMMYFUNCTION("""COMPUTED_VALUE"""),11.45)</f>
        <v>11.45</v>
      </c>
      <c r="H10702" s="17"/>
      <c r="K10702" s="17"/>
      <c r="N10702" s="17"/>
    </row>
    <row r="10703">
      <c r="B10703" s="11">
        <f>IFERROR(__xludf.DUMMYFUNCTION("""COMPUTED_VALUE"""),31042.0)</f>
        <v>31042</v>
      </c>
      <c r="C10703" s="9">
        <f>IFERROR(__xludf.DUMMYFUNCTION("""COMPUTED_VALUE"""),11.45)</f>
        <v>11.45</v>
      </c>
      <c r="H10703" s="17"/>
      <c r="K10703" s="17"/>
      <c r="N10703" s="17"/>
    </row>
    <row r="10704">
      <c r="B10704" s="11">
        <f>IFERROR(__xludf.DUMMYFUNCTION("""COMPUTED_VALUE"""),31041.0)</f>
        <v>31041</v>
      </c>
      <c r="C10704" s="9"/>
      <c r="H10704" s="17"/>
      <c r="K10704" s="17"/>
      <c r="N10704" s="17"/>
    </row>
    <row r="10705">
      <c r="B10705" s="11">
        <f>IFERROR(__xludf.DUMMYFUNCTION("""COMPUTED_VALUE"""),31040.0)</f>
        <v>31040</v>
      </c>
      <c r="C10705" s="9">
        <f>IFERROR(__xludf.DUMMYFUNCTION("""COMPUTED_VALUE"""),11.31)</f>
        <v>11.31</v>
      </c>
      <c r="H10705" s="17"/>
      <c r="K10705" s="17"/>
      <c r="N10705" s="17"/>
    </row>
    <row r="10706">
      <c r="B10706" s="11">
        <f>IFERROR(__xludf.DUMMYFUNCTION("""COMPUTED_VALUE"""),31037.0)</f>
        <v>31037</v>
      </c>
      <c r="C10706" s="9">
        <f>IFERROR(__xludf.DUMMYFUNCTION("""COMPUTED_VALUE"""),11.34)</f>
        <v>11.34</v>
      </c>
      <c r="H10706" s="17"/>
      <c r="K10706" s="17"/>
      <c r="N10706" s="17"/>
    </row>
    <row r="10707">
      <c r="B10707" s="11">
        <f>IFERROR(__xludf.DUMMYFUNCTION("""COMPUTED_VALUE"""),31036.0)</f>
        <v>31036</v>
      </c>
      <c r="C10707" s="9">
        <f>IFERROR(__xludf.DUMMYFUNCTION("""COMPUTED_VALUE"""),11.37)</f>
        <v>11.37</v>
      </c>
      <c r="H10707" s="17"/>
      <c r="K10707" s="17"/>
      <c r="N10707" s="17"/>
    </row>
    <row r="10708">
      <c r="B10708" s="11">
        <f>IFERROR(__xludf.DUMMYFUNCTION("""COMPUTED_VALUE"""),31035.0)</f>
        <v>31035</v>
      </c>
      <c r="C10708" s="9">
        <f>IFERROR(__xludf.DUMMYFUNCTION("""COMPUTED_VALUE"""),11.34)</f>
        <v>11.34</v>
      </c>
      <c r="H10708" s="17"/>
      <c r="K10708" s="17"/>
      <c r="N10708" s="17"/>
    </row>
    <row r="10709">
      <c r="B10709" s="11">
        <f>IFERROR(__xludf.DUMMYFUNCTION("""COMPUTED_VALUE"""),31034.0)</f>
        <v>31034</v>
      </c>
      <c r="C10709" s="9">
        <f>IFERROR(__xludf.DUMMYFUNCTION("""COMPUTED_VALUE"""),11.29)</f>
        <v>11.29</v>
      </c>
      <c r="H10709" s="17"/>
      <c r="K10709" s="17"/>
      <c r="N10709" s="17"/>
    </row>
    <row r="10710">
      <c r="B10710" s="11">
        <f>IFERROR(__xludf.DUMMYFUNCTION("""COMPUTED_VALUE"""),31033.0)</f>
        <v>31033</v>
      </c>
      <c r="C10710" s="9">
        <f>IFERROR(__xludf.DUMMYFUNCTION("""COMPUTED_VALUE"""),11.49)</f>
        <v>11.49</v>
      </c>
      <c r="H10710" s="17"/>
      <c r="K10710" s="17"/>
      <c r="N10710" s="17"/>
    </row>
    <row r="10711">
      <c r="B10711" s="11">
        <f>IFERROR(__xludf.DUMMYFUNCTION("""COMPUTED_VALUE"""),31030.0)</f>
        <v>31030</v>
      </c>
      <c r="C10711" s="9">
        <f>IFERROR(__xludf.DUMMYFUNCTION("""COMPUTED_VALUE"""),11.56)</f>
        <v>11.56</v>
      </c>
      <c r="H10711" s="17"/>
      <c r="K10711" s="17"/>
      <c r="N10711" s="17"/>
    </row>
    <row r="10712">
      <c r="B10712" s="11">
        <f>IFERROR(__xludf.DUMMYFUNCTION("""COMPUTED_VALUE"""),31029.0)</f>
        <v>31029</v>
      </c>
      <c r="C10712" s="9">
        <f>IFERROR(__xludf.DUMMYFUNCTION("""COMPUTED_VALUE"""),11.7)</f>
        <v>11.7</v>
      </c>
      <c r="H10712" s="17"/>
      <c r="K10712" s="17"/>
      <c r="N10712" s="17"/>
    </row>
    <row r="10713">
      <c r="B10713" s="11">
        <f>IFERROR(__xludf.DUMMYFUNCTION("""COMPUTED_VALUE"""),31028.0)</f>
        <v>31028</v>
      </c>
      <c r="C10713" s="9">
        <f>IFERROR(__xludf.DUMMYFUNCTION("""COMPUTED_VALUE"""),11.54)</f>
        <v>11.54</v>
      </c>
      <c r="H10713" s="17"/>
      <c r="K10713" s="17"/>
      <c r="N10713" s="17"/>
    </row>
    <row r="10714">
      <c r="B10714" s="11">
        <f>IFERROR(__xludf.DUMMYFUNCTION("""COMPUTED_VALUE"""),31027.0)</f>
        <v>31027</v>
      </c>
      <c r="C10714" s="9">
        <f>IFERROR(__xludf.DUMMYFUNCTION("""COMPUTED_VALUE"""),11.57)</f>
        <v>11.57</v>
      </c>
      <c r="H10714" s="17"/>
      <c r="K10714" s="17"/>
      <c r="N10714" s="17"/>
    </row>
    <row r="10715">
      <c r="B10715" s="11">
        <f>IFERROR(__xludf.DUMMYFUNCTION("""COMPUTED_VALUE"""),31026.0)</f>
        <v>31026</v>
      </c>
      <c r="C10715" s="9">
        <f>IFERROR(__xludf.DUMMYFUNCTION("""COMPUTED_VALUE"""),11.66)</f>
        <v>11.66</v>
      </c>
      <c r="H10715" s="17"/>
      <c r="K10715" s="17"/>
      <c r="N10715" s="17"/>
    </row>
    <row r="10716">
      <c r="B10716" s="11">
        <f>IFERROR(__xludf.DUMMYFUNCTION("""COMPUTED_VALUE"""),31023.0)</f>
        <v>31023</v>
      </c>
      <c r="C10716" s="9">
        <f>IFERROR(__xludf.DUMMYFUNCTION("""COMPUTED_VALUE"""),11.7)</f>
        <v>11.7</v>
      </c>
      <c r="H10716" s="17"/>
      <c r="K10716" s="17"/>
      <c r="N10716" s="17"/>
    </row>
    <row r="10717">
      <c r="B10717" s="11">
        <f>IFERROR(__xludf.DUMMYFUNCTION("""COMPUTED_VALUE"""),31022.0)</f>
        <v>31022</v>
      </c>
      <c r="C10717" s="9">
        <f>IFERROR(__xludf.DUMMYFUNCTION("""COMPUTED_VALUE"""),11.61)</f>
        <v>11.61</v>
      </c>
      <c r="H10717" s="17"/>
      <c r="K10717" s="17"/>
      <c r="N10717" s="17"/>
    </row>
    <row r="10718">
      <c r="B10718" s="11">
        <f>IFERROR(__xludf.DUMMYFUNCTION("""COMPUTED_VALUE"""),31021.0)</f>
        <v>31021</v>
      </c>
      <c r="C10718" s="9">
        <f>IFERROR(__xludf.DUMMYFUNCTION("""COMPUTED_VALUE"""),11.52)</f>
        <v>11.52</v>
      </c>
      <c r="H10718" s="17"/>
      <c r="K10718" s="17"/>
      <c r="N10718" s="17"/>
    </row>
    <row r="10719">
      <c r="B10719" s="11">
        <f>IFERROR(__xludf.DUMMYFUNCTION("""COMPUTED_VALUE"""),31020.0)</f>
        <v>31020</v>
      </c>
      <c r="C10719" s="9">
        <f>IFERROR(__xludf.DUMMYFUNCTION("""COMPUTED_VALUE"""),11.52)</f>
        <v>11.52</v>
      </c>
      <c r="H10719" s="17"/>
      <c r="K10719" s="17"/>
      <c r="N10719" s="17"/>
    </row>
    <row r="10720">
      <c r="B10720" s="11">
        <f>IFERROR(__xludf.DUMMYFUNCTION("""COMPUTED_VALUE"""),31019.0)</f>
        <v>31019</v>
      </c>
      <c r="C10720" s="9">
        <f>IFERROR(__xludf.DUMMYFUNCTION("""COMPUTED_VALUE"""),11.56)</f>
        <v>11.56</v>
      </c>
      <c r="H10720" s="17"/>
      <c r="K10720" s="17"/>
      <c r="N10720" s="17"/>
    </row>
    <row r="10721">
      <c r="B10721" s="11">
        <f>IFERROR(__xludf.DUMMYFUNCTION("""COMPUTED_VALUE"""),31016.0)</f>
        <v>31016</v>
      </c>
      <c r="C10721" s="9">
        <f>IFERROR(__xludf.DUMMYFUNCTION("""COMPUTED_VALUE"""),11.58)</f>
        <v>11.58</v>
      </c>
      <c r="H10721" s="17"/>
      <c r="K10721" s="17"/>
      <c r="N10721" s="17"/>
    </row>
    <row r="10722">
      <c r="B10722" s="11">
        <f>IFERROR(__xludf.DUMMYFUNCTION("""COMPUTED_VALUE"""),31015.0)</f>
        <v>31015</v>
      </c>
      <c r="C10722" s="9">
        <f>IFERROR(__xludf.DUMMYFUNCTION("""COMPUTED_VALUE"""),11.42)</f>
        <v>11.42</v>
      </c>
      <c r="H10722" s="17"/>
      <c r="K10722" s="17"/>
      <c r="N10722" s="17"/>
    </row>
    <row r="10723">
      <c r="B10723" s="11">
        <f>IFERROR(__xludf.DUMMYFUNCTION("""COMPUTED_VALUE"""),31014.0)</f>
        <v>31014</v>
      </c>
      <c r="C10723" s="9">
        <f>IFERROR(__xludf.DUMMYFUNCTION("""COMPUTED_VALUE"""),11.38)</f>
        <v>11.38</v>
      </c>
      <c r="H10723" s="17"/>
      <c r="K10723" s="17"/>
      <c r="N10723" s="17"/>
    </row>
    <row r="10724">
      <c r="B10724" s="11">
        <f>IFERROR(__xludf.DUMMYFUNCTION("""COMPUTED_VALUE"""),31013.0)</f>
        <v>31013</v>
      </c>
      <c r="C10724" s="9">
        <f>IFERROR(__xludf.DUMMYFUNCTION("""COMPUTED_VALUE"""),11.28)</f>
        <v>11.28</v>
      </c>
      <c r="H10724" s="17"/>
      <c r="K10724" s="17"/>
      <c r="N10724" s="17"/>
    </row>
    <row r="10725">
      <c r="B10725" s="11">
        <f>IFERROR(__xludf.DUMMYFUNCTION("""COMPUTED_VALUE"""),31012.0)</f>
        <v>31012</v>
      </c>
      <c r="C10725" s="9">
        <f>IFERROR(__xludf.DUMMYFUNCTION("""COMPUTED_VALUE"""),11.28)</f>
        <v>11.28</v>
      </c>
      <c r="H10725" s="17"/>
      <c r="K10725" s="17"/>
      <c r="N10725" s="17"/>
    </row>
    <row r="10726">
      <c r="B10726" s="11">
        <f>IFERROR(__xludf.DUMMYFUNCTION("""COMPUTED_VALUE"""),31009.0)</f>
        <v>31009</v>
      </c>
      <c r="C10726" s="9">
        <f>IFERROR(__xludf.DUMMYFUNCTION("""COMPUTED_VALUE"""),11.24)</f>
        <v>11.24</v>
      </c>
      <c r="H10726" s="17"/>
      <c r="K10726" s="17"/>
      <c r="N10726" s="17"/>
    </row>
    <row r="10727">
      <c r="B10727" s="11">
        <f>IFERROR(__xludf.DUMMYFUNCTION("""COMPUTED_VALUE"""),31008.0)</f>
        <v>31008</v>
      </c>
      <c r="C10727" s="9"/>
      <c r="H10727" s="17"/>
      <c r="K10727" s="17"/>
      <c r="N10727" s="17"/>
    </row>
    <row r="10728">
      <c r="B10728" s="11">
        <f>IFERROR(__xludf.DUMMYFUNCTION("""COMPUTED_VALUE"""),31007.0)</f>
        <v>31007</v>
      </c>
      <c r="C10728" s="9">
        <f>IFERROR(__xludf.DUMMYFUNCTION("""COMPUTED_VALUE"""),11.39)</f>
        <v>11.39</v>
      </c>
      <c r="H10728" s="17"/>
      <c r="K10728" s="17"/>
      <c r="N10728" s="17"/>
    </row>
    <row r="10729">
      <c r="B10729" s="11">
        <f>IFERROR(__xludf.DUMMYFUNCTION("""COMPUTED_VALUE"""),31006.0)</f>
        <v>31006</v>
      </c>
      <c r="C10729" s="9">
        <f>IFERROR(__xludf.DUMMYFUNCTION("""COMPUTED_VALUE"""),11.53)</f>
        <v>11.53</v>
      </c>
      <c r="H10729" s="17"/>
      <c r="K10729" s="17"/>
      <c r="N10729" s="17"/>
    </row>
    <row r="10730">
      <c r="B10730" s="11">
        <f>IFERROR(__xludf.DUMMYFUNCTION("""COMPUTED_VALUE"""),31005.0)</f>
        <v>31005</v>
      </c>
      <c r="C10730" s="9">
        <f>IFERROR(__xludf.DUMMYFUNCTION("""COMPUTED_VALUE"""),11.61)</f>
        <v>11.61</v>
      </c>
      <c r="H10730" s="17"/>
      <c r="K10730" s="17"/>
      <c r="N10730" s="17"/>
    </row>
    <row r="10731">
      <c r="B10731" s="11">
        <f>IFERROR(__xludf.DUMMYFUNCTION("""COMPUTED_VALUE"""),31002.0)</f>
        <v>31002</v>
      </c>
      <c r="C10731" s="9">
        <f>IFERROR(__xludf.DUMMYFUNCTION("""COMPUTED_VALUE"""),11.69)</f>
        <v>11.69</v>
      </c>
      <c r="H10731" s="17"/>
      <c r="K10731" s="17"/>
      <c r="N10731" s="17"/>
    </row>
    <row r="10732">
      <c r="B10732" s="11">
        <f>IFERROR(__xludf.DUMMYFUNCTION("""COMPUTED_VALUE"""),31001.0)</f>
        <v>31001</v>
      </c>
      <c r="C10732" s="9">
        <f>IFERROR(__xludf.DUMMYFUNCTION("""COMPUTED_VALUE"""),11.73)</f>
        <v>11.73</v>
      </c>
      <c r="H10732" s="17"/>
      <c r="K10732" s="17"/>
      <c r="N10732" s="17"/>
    </row>
    <row r="10733">
      <c r="B10733" s="11">
        <f>IFERROR(__xludf.DUMMYFUNCTION("""COMPUTED_VALUE"""),31000.0)</f>
        <v>31000</v>
      </c>
      <c r="C10733" s="9">
        <f>IFERROR(__xludf.DUMMYFUNCTION("""COMPUTED_VALUE"""),11.81)</f>
        <v>11.81</v>
      </c>
      <c r="H10733" s="17"/>
      <c r="K10733" s="17"/>
      <c r="N10733" s="17"/>
    </row>
    <row r="10734">
      <c r="B10734" s="11">
        <f>IFERROR(__xludf.DUMMYFUNCTION("""COMPUTED_VALUE"""),30999.0)</f>
        <v>30999</v>
      </c>
      <c r="C10734" s="9">
        <f>IFERROR(__xludf.DUMMYFUNCTION("""COMPUTED_VALUE"""),11.78)</f>
        <v>11.78</v>
      </c>
      <c r="H10734" s="17"/>
      <c r="K10734" s="17"/>
      <c r="N10734" s="17"/>
    </row>
    <row r="10735">
      <c r="B10735" s="11">
        <f>IFERROR(__xludf.DUMMYFUNCTION("""COMPUTED_VALUE"""),30998.0)</f>
        <v>30998</v>
      </c>
      <c r="C10735" s="9"/>
      <c r="H10735" s="17"/>
      <c r="K10735" s="17"/>
      <c r="N10735" s="17"/>
    </row>
    <row r="10736">
      <c r="B10736" s="11">
        <f>IFERROR(__xludf.DUMMYFUNCTION("""COMPUTED_VALUE"""),30995.0)</f>
        <v>30995</v>
      </c>
      <c r="C10736" s="9">
        <f>IFERROR(__xludf.DUMMYFUNCTION("""COMPUTED_VALUE"""),11.71)</f>
        <v>11.71</v>
      </c>
      <c r="H10736" s="17"/>
      <c r="K10736" s="17"/>
      <c r="N10736" s="17"/>
    </row>
    <row r="10737">
      <c r="B10737" s="11">
        <f>IFERROR(__xludf.DUMMYFUNCTION("""COMPUTED_VALUE"""),30994.0)</f>
        <v>30994</v>
      </c>
      <c r="C10737" s="9">
        <f>IFERROR(__xludf.DUMMYFUNCTION("""COMPUTED_VALUE"""),11.81)</f>
        <v>11.81</v>
      </c>
      <c r="H10737" s="17"/>
      <c r="K10737" s="17"/>
      <c r="N10737" s="17"/>
    </row>
    <row r="10738">
      <c r="B10738" s="11">
        <f>IFERROR(__xludf.DUMMYFUNCTION("""COMPUTED_VALUE"""),30993.0)</f>
        <v>30993</v>
      </c>
      <c r="C10738" s="9">
        <f>IFERROR(__xludf.DUMMYFUNCTION("""COMPUTED_VALUE"""),11.72)</f>
        <v>11.72</v>
      </c>
      <c r="H10738" s="17"/>
      <c r="K10738" s="17"/>
      <c r="N10738" s="17"/>
    </row>
    <row r="10739">
      <c r="B10739" s="11">
        <f>IFERROR(__xludf.DUMMYFUNCTION("""COMPUTED_VALUE"""),30992.0)</f>
        <v>30992</v>
      </c>
      <c r="C10739" s="9"/>
      <c r="H10739" s="17"/>
      <c r="K10739" s="17"/>
      <c r="N10739" s="17"/>
    </row>
    <row r="10740">
      <c r="B10740" s="11">
        <f>IFERROR(__xludf.DUMMYFUNCTION("""COMPUTED_VALUE"""),30991.0)</f>
        <v>30991</v>
      </c>
      <c r="C10740" s="9">
        <f>IFERROR(__xludf.DUMMYFUNCTION("""COMPUTED_VALUE"""),11.6)</f>
        <v>11.6</v>
      </c>
      <c r="H10740" s="17"/>
      <c r="K10740" s="17"/>
      <c r="N10740" s="17"/>
    </row>
    <row r="10741">
      <c r="B10741" s="11">
        <f>IFERROR(__xludf.DUMMYFUNCTION("""COMPUTED_VALUE"""),30988.0)</f>
        <v>30988</v>
      </c>
      <c r="C10741" s="9">
        <f>IFERROR(__xludf.DUMMYFUNCTION("""COMPUTED_VALUE"""),11.66)</f>
        <v>11.66</v>
      </c>
      <c r="H10741" s="17"/>
      <c r="K10741" s="17"/>
      <c r="N10741" s="17"/>
    </row>
    <row r="10742">
      <c r="B10742" s="11">
        <f>IFERROR(__xludf.DUMMYFUNCTION("""COMPUTED_VALUE"""),30987.0)</f>
        <v>30987</v>
      </c>
      <c r="C10742" s="9">
        <f>IFERROR(__xludf.DUMMYFUNCTION("""COMPUTED_VALUE"""),11.66)</f>
        <v>11.66</v>
      </c>
      <c r="H10742" s="17"/>
      <c r="K10742" s="17"/>
      <c r="N10742" s="17"/>
    </row>
    <row r="10743">
      <c r="B10743" s="11">
        <f>IFERROR(__xludf.DUMMYFUNCTION("""COMPUTED_VALUE"""),30986.0)</f>
        <v>30986</v>
      </c>
      <c r="C10743" s="9">
        <f>IFERROR(__xludf.DUMMYFUNCTION("""COMPUTED_VALUE"""),11.79)</f>
        <v>11.79</v>
      </c>
      <c r="H10743" s="17"/>
      <c r="K10743" s="17"/>
      <c r="N10743" s="17"/>
    </row>
    <row r="10744">
      <c r="B10744" s="11">
        <f>IFERROR(__xludf.DUMMYFUNCTION("""COMPUTED_VALUE"""),30985.0)</f>
        <v>30985</v>
      </c>
      <c r="C10744" s="9">
        <f>IFERROR(__xludf.DUMMYFUNCTION("""COMPUTED_VALUE"""),11.75)</f>
        <v>11.75</v>
      </c>
      <c r="H10744" s="17"/>
      <c r="K10744" s="17"/>
      <c r="N10744" s="17"/>
    </row>
    <row r="10745">
      <c r="B10745" s="11">
        <f>IFERROR(__xludf.DUMMYFUNCTION("""COMPUTED_VALUE"""),30984.0)</f>
        <v>30984</v>
      </c>
      <c r="C10745" s="9">
        <f>IFERROR(__xludf.DUMMYFUNCTION("""COMPUTED_VALUE"""),11.95)</f>
        <v>11.95</v>
      </c>
      <c r="H10745" s="17"/>
      <c r="K10745" s="17"/>
      <c r="N10745" s="17"/>
    </row>
    <row r="10746">
      <c r="B10746" s="11">
        <f>IFERROR(__xludf.DUMMYFUNCTION("""COMPUTED_VALUE"""),30981.0)</f>
        <v>30981</v>
      </c>
      <c r="C10746" s="9">
        <f>IFERROR(__xludf.DUMMYFUNCTION("""COMPUTED_VALUE"""),11.99)</f>
        <v>11.99</v>
      </c>
      <c r="H10746" s="17"/>
      <c r="K10746" s="17"/>
      <c r="N10746" s="17"/>
    </row>
    <row r="10747">
      <c r="B10747" s="11">
        <f>IFERROR(__xludf.DUMMYFUNCTION("""COMPUTED_VALUE"""),30980.0)</f>
        <v>30980</v>
      </c>
      <c r="C10747" s="9">
        <f>IFERROR(__xludf.DUMMYFUNCTION("""COMPUTED_VALUE"""),11.83)</f>
        <v>11.83</v>
      </c>
      <c r="H10747" s="17"/>
      <c r="K10747" s="17"/>
      <c r="N10747" s="17"/>
    </row>
    <row r="10748">
      <c r="B10748" s="11">
        <f>IFERROR(__xludf.DUMMYFUNCTION("""COMPUTED_VALUE"""),30979.0)</f>
        <v>30979</v>
      </c>
      <c r="C10748" s="9">
        <f>IFERROR(__xludf.DUMMYFUNCTION("""COMPUTED_VALUE"""),11.74)</f>
        <v>11.74</v>
      </c>
      <c r="H10748" s="17"/>
      <c r="K10748" s="17"/>
      <c r="N10748" s="17"/>
    </row>
    <row r="10749">
      <c r="B10749" s="11">
        <f>IFERROR(__xludf.DUMMYFUNCTION("""COMPUTED_VALUE"""),30978.0)</f>
        <v>30978</v>
      </c>
      <c r="C10749" s="9">
        <f>IFERROR(__xludf.DUMMYFUNCTION("""COMPUTED_VALUE"""),11.78)</f>
        <v>11.78</v>
      </c>
      <c r="H10749" s="17"/>
      <c r="K10749" s="17"/>
      <c r="N10749" s="17"/>
    </row>
    <row r="10750">
      <c r="B10750" s="11">
        <f>IFERROR(__xludf.DUMMYFUNCTION("""COMPUTED_VALUE"""),30977.0)</f>
        <v>30977</v>
      </c>
      <c r="C10750" s="9">
        <f>IFERROR(__xludf.DUMMYFUNCTION("""COMPUTED_VALUE"""),11.9)</f>
        <v>11.9</v>
      </c>
      <c r="H10750" s="17"/>
      <c r="K10750" s="17"/>
      <c r="N10750" s="17"/>
    </row>
    <row r="10751">
      <c r="B10751" s="11">
        <f>IFERROR(__xludf.DUMMYFUNCTION("""COMPUTED_VALUE"""),30974.0)</f>
        <v>30974</v>
      </c>
      <c r="C10751" s="9">
        <f>IFERROR(__xludf.DUMMYFUNCTION("""COMPUTED_VALUE"""),11.93)</f>
        <v>11.93</v>
      </c>
      <c r="H10751" s="17"/>
      <c r="K10751" s="17"/>
      <c r="N10751" s="17"/>
    </row>
    <row r="10752">
      <c r="B10752" s="11">
        <f>IFERROR(__xludf.DUMMYFUNCTION("""COMPUTED_VALUE"""),30973.0)</f>
        <v>30973</v>
      </c>
      <c r="C10752" s="9">
        <f>IFERROR(__xludf.DUMMYFUNCTION("""COMPUTED_VALUE"""),12.09)</f>
        <v>12.09</v>
      </c>
      <c r="H10752" s="17"/>
      <c r="K10752" s="17"/>
      <c r="N10752" s="17"/>
    </row>
    <row r="10753">
      <c r="B10753" s="11">
        <f>IFERROR(__xludf.DUMMYFUNCTION("""COMPUTED_VALUE"""),30972.0)</f>
        <v>30972</v>
      </c>
      <c r="C10753" s="9">
        <f>IFERROR(__xludf.DUMMYFUNCTION("""COMPUTED_VALUE"""),12.28)</f>
        <v>12.28</v>
      </c>
      <c r="H10753" s="17"/>
      <c r="K10753" s="17"/>
      <c r="N10753" s="17"/>
    </row>
    <row r="10754">
      <c r="B10754" s="11">
        <f>IFERROR(__xludf.DUMMYFUNCTION("""COMPUTED_VALUE"""),30971.0)</f>
        <v>30971</v>
      </c>
      <c r="C10754" s="9">
        <f>IFERROR(__xludf.DUMMYFUNCTION("""COMPUTED_VALUE"""),12.32)</f>
        <v>12.32</v>
      </c>
      <c r="H10754" s="17"/>
      <c r="K10754" s="17"/>
      <c r="N10754" s="17"/>
    </row>
    <row r="10755">
      <c r="B10755" s="11">
        <f>IFERROR(__xludf.DUMMYFUNCTION("""COMPUTED_VALUE"""),30970.0)</f>
        <v>30970</v>
      </c>
      <c r="C10755" s="9">
        <f>IFERROR(__xludf.DUMMYFUNCTION("""COMPUTED_VALUE"""),12.34)</f>
        <v>12.34</v>
      </c>
      <c r="H10755" s="17"/>
      <c r="K10755" s="17"/>
      <c r="N10755" s="17"/>
    </row>
    <row r="10756">
      <c r="B10756" s="11">
        <f>IFERROR(__xludf.DUMMYFUNCTION("""COMPUTED_VALUE"""),30967.0)</f>
        <v>30967</v>
      </c>
      <c r="C10756" s="9">
        <f>IFERROR(__xludf.DUMMYFUNCTION("""COMPUTED_VALUE"""),12.28)</f>
        <v>12.28</v>
      </c>
      <c r="H10756" s="17"/>
      <c r="K10756" s="17"/>
      <c r="N10756" s="17"/>
    </row>
    <row r="10757">
      <c r="B10757" s="11">
        <f>IFERROR(__xludf.DUMMYFUNCTION("""COMPUTED_VALUE"""),30966.0)</f>
        <v>30966</v>
      </c>
      <c r="C10757" s="9">
        <f>IFERROR(__xludf.DUMMYFUNCTION("""COMPUTED_VALUE"""),12.31)</f>
        <v>12.31</v>
      </c>
      <c r="H10757" s="17"/>
      <c r="K10757" s="17"/>
      <c r="N10757" s="17"/>
    </row>
    <row r="10758">
      <c r="B10758" s="11">
        <f>IFERROR(__xludf.DUMMYFUNCTION("""COMPUTED_VALUE"""),30965.0)</f>
        <v>30965</v>
      </c>
      <c r="C10758" s="9">
        <f>IFERROR(__xludf.DUMMYFUNCTION("""COMPUTED_VALUE"""),12.36)</f>
        <v>12.36</v>
      </c>
      <c r="H10758" s="17"/>
      <c r="K10758" s="17"/>
      <c r="N10758" s="17"/>
    </row>
    <row r="10759">
      <c r="B10759" s="11">
        <f>IFERROR(__xludf.DUMMYFUNCTION("""COMPUTED_VALUE"""),30964.0)</f>
        <v>30964</v>
      </c>
      <c r="C10759" s="9">
        <f>IFERROR(__xludf.DUMMYFUNCTION("""COMPUTED_VALUE"""),12.36)</f>
        <v>12.36</v>
      </c>
      <c r="H10759" s="17"/>
      <c r="K10759" s="17"/>
      <c r="N10759" s="17"/>
    </row>
    <row r="10760">
      <c r="B10760" s="11">
        <f>IFERROR(__xludf.DUMMYFUNCTION("""COMPUTED_VALUE"""),30963.0)</f>
        <v>30963</v>
      </c>
      <c r="C10760" s="9"/>
      <c r="H10760" s="17"/>
      <c r="K10760" s="17"/>
      <c r="N10760" s="17"/>
    </row>
    <row r="10761">
      <c r="B10761" s="11">
        <f>IFERROR(__xludf.DUMMYFUNCTION("""COMPUTED_VALUE"""),30960.0)</f>
        <v>30960</v>
      </c>
      <c r="C10761" s="9">
        <f>IFERROR(__xludf.DUMMYFUNCTION("""COMPUTED_VALUE"""),12.39)</f>
        <v>12.39</v>
      </c>
      <c r="H10761" s="17"/>
      <c r="K10761" s="17"/>
      <c r="N10761" s="17"/>
    </row>
    <row r="10762">
      <c r="B10762" s="11">
        <f>IFERROR(__xludf.DUMMYFUNCTION("""COMPUTED_VALUE"""),30959.0)</f>
        <v>30959</v>
      </c>
      <c r="C10762" s="9">
        <f>IFERROR(__xludf.DUMMYFUNCTION("""COMPUTED_VALUE"""),12.52)</f>
        <v>12.52</v>
      </c>
      <c r="H10762" s="17"/>
      <c r="K10762" s="17"/>
      <c r="N10762" s="17"/>
    </row>
    <row r="10763">
      <c r="B10763" s="11">
        <f>IFERROR(__xludf.DUMMYFUNCTION("""COMPUTED_VALUE"""),30958.0)</f>
        <v>30958</v>
      </c>
      <c r="C10763" s="9">
        <f>IFERROR(__xludf.DUMMYFUNCTION("""COMPUTED_VALUE"""),12.54)</f>
        <v>12.54</v>
      </c>
      <c r="H10763" s="17"/>
      <c r="K10763" s="17"/>
      <c r="N10763" s="17"/>
    </row>
    <row r="10764">
      <c r="B10764" s="11">
        <f>IFERROR(__xludf.DUMMYFUNCTION("""COMPUTED_VALUE"""),30957.0)</f>
        <v>30957</v>
      </c>
      <c r="C10764" s="9">
        <f>IFERROR(__xludf.DUMMYFUNCTION("""COMPUTED_VALUE"""),12.54)</f>
        <v>12.54</v>
      </c>
      <c r="H10764" s="17"/>
      <c r="K10764" s="17"/>
      <c r="N10764" s="17"/>
    </row>
    <row r="10765">
      <c r="B10765" s="11">
        <f>IFERROR(__xludf.DUMMYFUNCTION("""COMPUTED_VALUE"""),30956.0)</f>
        <v>30956</v>
      </c>
      <c r="C10765" s="9">
        <f>IFERROR(__xludf.DUMMYFUNCTION("""COMPUTED_VALUE"""),12.54)</f>
        <v>12.54</v>
      </c>
      <c r="H10765" s="17"/>
      <c r="K10765" s="17"/>
      <c r="N10765" s="17"/>
    </row>
    <row r="10766">
      <c r="B10766" s="11">
        <f>IFERROR(__xludf.DUMMYFUNCTION("""COMPUTED_VALUE"""),30953.0)</f>
        <v>30953</v>
      </c>
      <c r="C10766" s="9">
        <f>IFERROR(__xludf.DUMMYFUNCTION("""COMPUTED_VALUE"""),12.47)</f>
        <v>12.47</v>
      </c>
      <c r="H10766" s="17"/>
      <c r="K10766" s="17"/>
      <c r="N10766" s="17"/>
    </row>
    <row r="10767">
      <c r="B10767" s="11">
        <f>IFERROR(__xludf.DUMMYFUNCTION("""COMPUTED_VALUE"""),30952.0)</f>
        <v>30952</v>
      </c>
      <c r="C10767" s="9">
        <f>IFERROR(__xludf.DUMMYFUNCTION("""COMPUTED_VALUE"""),12.31)</f>
        <v>12.31</v>
      </c>
      <c r="H10767" s="17"/>
      <c r="K10767" s="17"/>
      <c r="N10767" s="17"/>
    </row>
    <row r="10768">
      <c r="B10768" s="11">
        <f>IFERROR(__xludf.DUMMYFUNCTION("""COMPUTED_VALUE"""),30951.0)</f>
        <v>30951</v>
      </c>
      <c r="C10768" s="9">
        <f>IFERROR(__xludf.DUMMYFUNCTION("""COMPUTED_VALUE"""),12.46)</f>
        <v>12.46</v>
      </c>
      <c r="H10768" s="17"/>
      <c r="K10768" s="17"/>
      <c r="N10768" s="17"/>
    </row>
    <row r="10769">
      <c r="B10769" s="11">
        <f>IFERROR(__xludf.DUMMYFUNCTION("""COMPUTED_VALUE"""),30950.0)</f>
        <v>30950</v>
      </c>
      <c r="C10769" s="9">
        <f>IFERROR(__xludf.DUMMYFUNCTION("""COMPUTED_VALUE"""),12.56)</f>
        <v>12.56</v>
      </c>
      <c r="H10769" s="17"/>
      <c r="K10769" s="17"/>
      <c r="N10769" s="17"/>
    </row>
    <row r="10770">
      <c r="B10770" s="11">
        <f>IFERROR(__xludf.DUMMYFUNCTION("""COMPUTED_VALUE"""),30949.0)</f>
        <v>30949</v>
      </c>
      <c r="C10770" s="9">
        <f>IFERROR(__xludf.DUMMYFUNCTION("""COMPUTED_VALUE"""),12.52)</f>
        <v>12.52</v>
      </c>
      <c r="H10770" s="17"/>
      <c r="K10770" s="17"/>
      <c r="N10770" s="17"/>
    </row>
    <row r="10771">
      <c r="B10771" s="11">
        <f>IFERROR(__xludf.DUMMYFUNCTION("""COMPUTED_VALUE"""),30946.0)</f>
        <v>30946</v>
      </c>
      <c r="C10771" s="9">
        <f>IFERROR(__xludf.DUMMYFUNCTION("""COMPUTED_VALUE"""),12.45)</f>
        <v>12.45</v>
      </c>
      <c r="H10771" s="17"/>
      <c r="K10771" s="17"/>
      <c r="N10771" s="17"/>
    </row>
    <row r="10772">
      <c r="B10772" s="11">
        <f>IFERROR(__xludf.DUMMYFUNCTION("""COMPUTED_VALUE"""),30945.0)</f>
        <v>30945</v>
      </c>
      <c r="C10772" s="9">
        <f>IFERROR(__xludf.DUMMYFUNCTION("""COMPUTED_VALUE"""),12.28)</f>
        <v>12.28</v>
      </c>
      <c r="H10772" s="17"/>
      <c r="K10772" s="17"/>
      <c r="N10772" s="17"/>
    </row>
    <row r="10773">
      <c r="B10773" s="11">
        <f>IFERROR(__xludf.DUMMYFUNCTION("""COMPUTED_VALUE"""),30944.0)</f>
        <v>30944</v>
      </c>
      <c r="C10773" s="9">
        <f>IFERROR(__xludf.DUMMYFUNCTION("""COMPUTED_VALUE"""),12.25)</f>
        <v>12.25</v>
      </c>
      <c r="H10773" s="17"/>
      <c r="K10773" s="17"/>
      <c r="N10773" s="17"/>
    </row>
    <row r="10774">
      <c r="B10774" s="11">
        <f>IFERROR(__xludf.DUMMYFUNCTION("""COMPUTED_VALUE"""),30943.0)</f>
        <v>30943</v>
      </c>
      <c r="C10774" s="9">
        <f>IFERROR(__xludf.DUMMYFUNCTION("""COMPUTED_VALUE"""),12.35)</f>
        <v>12.35</v>
      </c>
      <c r="H10774" s="17"/>
      <c r="K10774" s="17"/>
      <c r="N10774" s="17"/>
    </row>
    <row r="10775">
      <c r="B10775" s="11">
        <f>IFERROR(__xludf.DUMMYFUNCTION("""COMPUTED_VALUE"""),30942.0)</f>
        <v>30942</v>
      </c>
      <c r="C10775" s="9">
        <f>IFERROR(__xludf.DUMMYFUNCTION("""COMPUTED_VALUE"""),12.4)</f>
        <v>12.4</v>
      </c>
      <c r="H10775" s="17"/>
      <c r="K10775" s="17"/>
      <c r="N10775" s="17"/>
    </row>
    <row r="10776">
      <c r="B10776" s="11">
        <f>IFERROR(__xludf.DUMMYFUNCTION("""COMPUTED_VALUE"""),30939.0)</f>
        <v>30939</v>
      </c>
      <c r="C10776" s="9">
        <f>IFERROR(__xludf.DUMMYFUNCTION("""COMPUTED_VALUE"""),12.42)</f>
        <v>12.42</v>
      </c>
      <c r="H10776" s="17"/>
      <c r="K10776" s="17"/>
      <c r="N10776" s="17"/>
    </row>
    <row r="10777">
      <c r="B10777" s="11">
        <f>IFERROR(__xludf.DUMMYFUNCTION("""COMPUTED_VALUE"""),30938.0)</f>
        <v>30938</v>
      </c>
      <c r="C10777" s="9">
        <f>IFERROR(__xludf.DUMMYFUNCTION("""COMPUTED_VALUE"""),12.44)</f>
        <v>12.44</v>
      </c>
      <c r="H10777" s="17"/>
      <c r="K10777" s="17"/>
      <c r="N10777" s="17"/>
    </row>
    <row r="10778">
      <c r="B10778" s="11">
        <f>IFERROR(__xludf.DUMMYFUNCTION("""COMPUTED_VALUE"""),30937.0)</f>
        <v>30937</v>
      </c>
      <c r="C10778" s="9">
        <f>IFERROR(__xludf.DUMMYFUNCTION("""COMPUTED_VALUE"""),12.55)</f>
        <v>12.55</v>
      </c>
      <c r="H10778" s="17"/>
      <c r="K10778" s="17"/>
      <c r="N10778" s="17"/>
    </row>
    <row r="10779">
      <c r="B10779" s="11">
        <f>IFERROR(__xludf.DUMMYFUNCTION("""COMPUTED_VALUE"""),30936.0)</f>
        <v>30936</v>
      </c>
      <c r="C10779" s="9">
        <f>IFERROR(__xludf.DUMMYFUNCTION("""COMPUTED_VALUE"""),12.54)</f>
        <v>12.54</v>
      </c>
      <c r="H10779" s="17"/>
      <c r="K10779" s="17"/>
      <c r="N10779" s="17"/>
    </row>
    <row r="10780">
      <c r="B10780" s="11">
        <f>IFERROR(__xludf.DUMMYFUNCTION("""COMPUTED_VALUE"""),30935.0)</f>
        <v>30935</v>
      </c>
      <c r="C10780" s="9">
        <f>IFERROR(__xludf.DUMMYFUNCTION("""COMPUTED_VALUE"""),12.62)</f>
        <v>12.62</v>
      </c>
      <c r="H10780" s="17"/>
      <c r="K10780" s="17"/>
      <c r="N10780" s="17"/>
    </row>
    <row r="10781">
      <c r="B10781" s="11">
        <f>IFERROR(__xludf.DUMMYFUNCTION("""COMPUTED_VALUE"""),30932.0)</f>
        <v>30932</v>
      </c>
      <c r="C10781" s="9">
        <f>IFERROR(__xludf.DUMMYFUNCTION("""COMPUTED_VALUE"""),12.7)</f>
        <v>12.7</v>
      </c>
      <c r="H10781" s="17"/>
      <c r="K10781" s="17"/>
      <c r="N10781" s="17"/>
    </row>
    <row r="10782">
      <c r="B10782" s="11">
        <f>IFERROR(__xludf.DUMMYFUNCTION("""COMPUTED_VALUE"""),30931.0)</f>
        <v>30931</v>
      </c>
      <c r="C10782" s="9">
        <f>IFERROR(__xludf.DUMMYFUNCTION("""COMPUTED_VALUE"""),12.81)</f>
        <v>12.81</v>
      </c>
      <c r="H10782" s="17"/>
      <c r="K10782" s="17"/>
      <c r="N10782" s="17"/>
    </row>
    <row r="10783">
      <c r="B10783" s="11">
        <f>IFERROR(__xludf.DUMMYFUNCTION("""COMPUTED_VALUE"""),30930.0)</f>
        <v>30930</v>
      </c>
      <c r="C10783" s="9">
        <f>IFERROR(__xludf.DUMMYFUNCTION("""COMPUTED_VALUE"""),12.92)</f>
        <v>12.92</v>
      </c>
      <c r="H10783" s="17"/>
      <c r="K10783" s="17"/>
      <c r="N10783" s="17"/>
    </row>
    <row r="10784">
      <c r="B10784" s="11">
        <f>IFERROR(__xludf.DUMMYFUNCTION("""COMPUTED_VALUE"""),30929.0)</f>
        <v>30929</v>
      </c>
      <c r="C10784" s="9">
        <f>IFERROR(__xludf.DUMMYFUNCTION("""COMPUTED_VALUE"""),12.88)</f>
        <v>12.88</v>
      </c>
      <c r="H10784" s="17"/>
      <c r="K10784" s="17"/>
      <c r="N10784" s="17"/>
    </row>
    <row r="10785">
      <c r="B10785" s="11">
        <f>IFERROR(__xludf.DUMMYFUNCTION("""COMPUTED_VALUE"""),30928.0)</f>
        <v>30928</v>
      </c>
      <c r="C10785" s="9"/>
      <c r="H10785" s="17"/>
      <c r="K10785" s="17"/>
      <c r="N10785" s="17"/>
    </row>
    <row r="10786">
      <c r="B10786" s="11">
        <f>IFERROR(__xludf.DUMMYFUNCTION("""COMPUTED_VALUE"""),30925.0)</f>
        <v>30925</v>
      </c>
      <c r="C10786" s="9">
        <f>IFERROR(__xludf.DUMMYFUNCTION("""COMPUTED_VALUE"""),12.79)</f>
        <v>12.79</v>
      </c>
      <c r="H10786" s="17"/>
      <c r="K10786" s="17"/>
      <c r="N10786" s="17"/>
    </row>
    <row r="10787">
      <c r="B10787" s="11">
        <f>IFERROR(__xludf.DUMMYFUNCTION("""COMPUTED_VALUE"""),30924.0)</f>
        <v>30924</v>
      </c>
      <c r="C10787" s="9">
        <f>IFERROR(__xludf.DUMMYFUNCTION("""COMPUTED_VALUE"""),12.84)</f>
        <v>12.84</v>
      </c>
      <c r="H10787" s="17"/>
      <c r="K10787" s="17"/>
      <c r="N10787" s="17"/>
    </row>
    <row r="10788">
      <c r="B10788" s="11">
        <f>IFERROR(__xludf.DUMMYFUNCTION("""COMPUTED_VALUE"""),30923.0)</f>
        <v>30923</v>
      </c>
      <c r="C10788" s="9">
        <f>IFERROR(__xludf.DUMMYFUNCTION("""COMPUTED_VALUE"""),12.83)</f>
        <v>12.83</v>
      </c>
      <c r="H10788" s="17"/>
      <c r="K10788" s="17"/>
      <c r="N10788" s="17"/>
    </row>
    <row r="10789">
      <c r="B10789" s="11">
        <f>IFERROR(__xludf.DUMMYFUNCTION("""COMPUTED_VALUE"""),30922.0)</f>
        <v>30922</v>
      </c>
      <c r="C10789" s="9">
        <f>IFERROR(__xludf.DUMMYFUNCTION("""COMPUTED_VALUE"""),12.81)</f>
        <v>12.81</v>
      </c>
      <c r="H10789" s="17"/>
      <c r="K10789" s="17"/>
      <c r="N10789" s="17"/>
    </row>
    <row r="10790">
      <c r="B10790" s="11">
        <f>IFERROR(__xludf.DUMMYFUNCTION("""COMPUTED_VALUE"""),30921.0)</f>
        <v>30921</v>
      </c>
      <c r="C10790" s="9">
        <f>IFERROR(__xludf.DUMMYFUNCTION("""COMPUTED_VALUE"""),12.81)</f>
        <v>12.81</v>
      </c>
      <c r="H10790" s="17"/>
      <c r="K10790" s="17"/>
      <c r="N10790" s="17"/>
    </row>
    <row r="10791">
      <c r="B10791" s="11">
        <f>IFERROR(__xludf.DUMMYFUNCTION("""COMPUTED_VALUE"""),30918.0)</f>
        <v>30918</v>
      </c>
      <c r="C10791" s="9">
        <f>IFERROR(__xludf.DUMMYFUNCTION("""COMPUTED_VALUE"""),12.66)</f>
        <v>12.66</v>
      </c>
      <c r="H10791" s="17"/>
      <c r="K10791" s="17"/>
      <c r="N10791" s="17"/>
    </row>
    <row r="10792">
      <c r="B10792" s="11">
        <f>IFERROR(__xludf.DUMMYFUNCTION("""COMPUTED_VALUE"""),30917.0)</f>
        <v>30917</v>
      </c>
      <c r="C10792" s="9">
        <f>IFERROR(__xludf.DUMMYFUNCTION("""COMPUTED_VALUE"""),12.69)</f>
        <v>12.69</v>
      </c>
      <c r="H10792" s="17"/>
      <c r="K10792" s="17"/>
      <c r="N10792" s="17"/>
    </row>
    <row r="10793">
      <c r="B10793" s="11">
        <f>IFERROR(__xludf.DUMMYFUNCTION("""COMPUTED_VALUE"""),30916.0)</f>
        <v>30916</v>
      </c>
      <c r="C10793" s="9">
        <f>IFERROR(__xludf.DUMMYFUNCTION("""COMPUTED_VALUE"""),12.65)</f>
        <v>12.65</v>
      </c>
      <c r="H10793" s="17"/>
      <c r="K10793" s="17"/>
      <c r="N10793" s="17"/>
    </row>
    <row r="10794">
      <c r="B10794" s="11">
        <f>IFERROR(__xludf.DUMMYFUNCTION("""COMPUTED_VALUE"""),30915.0)</f>
        <v>30915</v>
      </c>
      <c r="C10794" s="9">
        <f>IFERROR(__xludf.DUMMYFUNCTION("""COMPUTED_VALUE"""),12.62)</f>
        <v>12.62</v>
      </c>
      <c r="H10794" s="17"/>
      <c r="K10794" s="17"/>
      <c r="N10794" s="17"/>
    </row>
    <row r="10795">
      <c r="B10795" s="11">
        <f>IFERROR(__xludf.DUMMYFUNCTION("""COMPUTED_VALUE"""),30914.0)</f>
        <v>30914</v>
      </c>
      <c r="C10795" s="9">
        <f>IFERROR(__xludf.DUMMYFUNCTION("""COMPUTED_VALUE"""),12.69)</f>
        <v>12.69</v>
      </c>
      <c r="H10795" s="17"/>
      <c r="K10795" s="17"/>
      <c r="N10795" s="17"/>
    </row>
    <row r="10796">
      <c r="B10796" s="11">
        <f>IFERROR(__xludf.DUMMYFUNCTION("""COMPUTED_VALUE"""),30911.0)</f>
        <v>30911</v>
      </c>
      <c r="C10796" s="9">
        <f>IFERROR(__xludf.DUMMYFUNCTION("""COMPUTED_VALUE"""),12.7)</f>
        <v>12.7</v>
      </c>
      <c r="H10796" s="17"/>
      <c r="K10796" s="17"/>
      <c r="N10796" s="17"/>
    </row>
    <row r="10797">
      <c r="B10797" s="11">
        <f>IFERROR(__xludf.DUMMYFUNCTION("""COMPUTED_VALUE"""),30910.0)</f>
        <v>30910</v>
      </c>
      <c r="C10797" s="9">
        <f>IFERROR(__xludf.DUMMYFUNCTION("""COMPUTED_VALUE"""),12.7)</f>
        <v>12.7</v>
      </c>
      <c r="H10797" s="17"/>
      <c r="K10797" s="17"/>
      <c r="N10797" s="17"/>
    </row>
    <row r="10798">
      <c r="B10798" s="11">
        <f>IFERROR(__xludf.DUMMYFUNCTION("""COMPUTED_VALUE"""),30909.0)</f>
        <v>30909</v>
      </c>
      <c r="C10798" s="9">
        <f>IFERROR(__xludf.DUMMYFUNCTION("""COMPUTED_VALUE"""),12.74)</f>
        <v>12.74</v>
      </c>
      <c r="H10798" s="17"/>
      <c r="K10798" s="17"/>
      <c r="N10798" s="17"/>
    </row>
    <row r="10799">
      <c r="B10799" s="11">
        <f>IFERROR(__xludf.DUMMYFUNCTION("""COMPUTED_VALUE"""),30908.0)</f>
        <v>30908</v>
      </c>
      <c r="C10799" s="9">
        <f>IFERROR(__xludf.DUMMYFUNCTION("""COMPUTED_VALUE"""),12.67)</f>
        <v>12.67</v>
      </c>
      <c r="H10799" s="17"/>
      <c r="K10799" s="17"/>
      <c r="N10799" s="17"/>
    </row>
    <row r="10800">
      <c r="B10800" s="11">
        <f>IFERROR(__xludf.DUMMYFUNCTION("""COMPUTED_VALUE"""),30907.0)</f>
        <v>30907</v>
      </c>
      <c r="C10800" s="9">
        <f>IFERROR(__xludf.DUMMYFUNCTION("""COMPUTED_VALUE"""),12.74)</f>
        <v>12.74</v>
      </c>
      <c r="H10800" s="17"/>
      <c r="K10800" s="17"/>
      <c r="N10800" s="17"/>
    </row>
    <row r="10801">
      <c r="B10801" s="11">
        <f>IFERROR(__xludf.DUMMYFUNCTION("""COMPUTED_VALUE"""),30904.0)</f>
        <v>30904</v>
      </c>
      <c r="C10801" s="9">
        <f>IFERROR(__xludf.DUMMYFUNCTION("""COMPUTED_VALUE"""),12.68)</f>
        <v>12.68</v>
      </c>
      <c r="H10801" s="17"/>
      <c r="K10801" s="17"/>
      <c r="N10801" s="17"/>
    </row>
    <row r="10802">
      <c r="B10802" s="11">
        <f>IFERROR(__xludf.DUMMYFUNCTION("""COMPUTED_VALUE"""),30903.0)</f>
        <v>30903</v>
      </c>
      <c r="C10802" s="9">
        <f>IFERROR(__xludf.DUMMYFUNCTION("""COMPUTED_VALUE"""),12.61)</f>
        <v>12.61</v>
      </c>
      <c r="H10802" s="17"/>
      <c r="K10802" s="17"/>
      <c r="N10802" s="17"/>
    </row>
    <row r="10803">
      <c r="B10803" s="11">
        <f>IFERROR(__xludf.DUMMYFUNCTION("""COMPUTED_VALUE"""),30902.0)</f>
        <v>30902</v>
      </c>
      <c r="C10803" s="9">
        <f>IFERROR(__xludf.DUMMYFUNCTION("""COMPUTED_VALUE"""),12.66)</f>
        <v>12.66</v>
      </c>
      <c r="H10803" s="17"/>
      <c r="K10803" s="17"/>
      <c r="N10803" s="17"/>
    </row>
    <row r="10804">
      <c r="B10804" s="11">
        <f>IFERROR(__xludf.DUMMYFUNCTION("""COMPUTED_VALUE"""),30901.0)</f>
        <v>30901</v>
      </c>
      <c r="C10804" s="9">
        <f>IFERROR(__xludf.DUMMYFUNCTION("""COMPUTED_VALUE"""),12.69)</f>
        <v>12.69</v>
      </c>
      <c r="H10804" s="17"/>
      <c r="K10804" s="17"/>
      <c r="N10804" s="17"/>
    </row>
    <row r="10805">
      <c r="B10805" s="11">
        <f>IFERROR(__xludf.DUMMYFUNCTION("""COMPUTED_VALUE"""),30900.0)</f>
        <v>30900</v>
      </c>
      <c r="C10805" s="9">
        <f>IFERROR(__xludf.DUMMYFUNCTION("""COMPUTED_VALUE"""),12.73)</f>
        <v>12.73</v>
      </c>
      <c r="H10805" s="17"/>
      <c r="K10805" s="17"/>
      <c r="N10805" s="17"/>
    </row>
    <row r="10806">
      <c r="B10806" s="11">
        <f>IFERROR(__xludf.DUMMYFUNCTION("""COMPUTED_VALUE"""),30897.0)</f>
        <v>30897</v>
      </c>
      <c r="C10806" s="9">
        <f>IFERROR(__xludf.DUMMYFUNCTION("""COMPUTED_VALUE"""),12.61)</f>
        <v>12.61</v>
      </c>
      <c r="H10806" s="17"/>
      <c r="K10806" s="17"/>
      <c r="N10806" s="17"/>
    </row>
    <row r="10807">
      <c r="B10807" s="11">
        <f>IFERROR(__xludf.DUMMYFUNCTION("""COMPUTED_VALUE"""),30896.0)</f>
        <v>30896</v>
      </c>
      <c r="C10807" s="9">
        <f>IFERROR(__xludf.DUMMYFUNCTION("""COMPUTED_VALUE"""),12.74)</f>
        <v>12.74</v>
      </c>
      <c r="H10807" s="17"/>
      <c r="K10807" s="17"/>
      <c r="N10807" s="17"/>
    </row>
    <row r="10808">
      <c r="B10808" s="11">
        <f>IFERROR(__xludf.DUMMYFUNCTION("""COMPUTED_VALUE"""),30895.0)</f>
        <v>30895</v>
      </c>
      <c r="C10808" s="9">
        <f>IFERROR(__xludf.DUMMYFUNCTION("""COMPUTED_VALUE"""),12.81)</f>
        <v>12.81</v>
      </c>
      <c r="H10808" s="17"/>
      <c r="K10808" s="17"/>
      <c r="N10808" s="17"/>
    </row>
    <row r="10809">
      <c r="B10809" s="11">
        <f>IFERROR(__xludf.DUMMYFUNCTION("""COMPUTED_VALUE"""),30894.0)</f>
        <v>30894</v>
      </c>
      <c r="C10809" s="9">
        <f>IFERROR(__xludf.DUMMYFUNCTION("""COMPUTED_VALUE"""),12.91)</f>
        <v>12.91</v>
      </c>
      <c r="H10809" s="17"/>
      <c r="K10809" s="17"/>
      <c r="N10809" s="17"/>
    </row>
    <row r="10810">
      <c r="B10810" s="11">
        <f>IFERROR(__xludf.DUMMYFUNCTION("""COMPUTED_VALUE"""),30893.0)</f>
        <v>30893</v>
      </c>
      <c r="C10810" s="9">
        <f>IFERROR(__xludf.DUMMYFUNCTION("""COMPUTED_VALUE"""),13.05)</f>
        <v>13.05</v>
      </c>
      <c r="H10810" s="17"/>
      <c r="K10810" s="17"/>
      <c r="N10810" s="17"/>
    </row>
    <row r="10811">
      <c r="B10811" s="11">
        <f>IFERROR(__xludf.DUMMYFUNCTION("""COMPUTED_VALUE"""),30890.0)</f>
        <v>30890</v>
      </c>
      <c r="C10811" s="9">
        <f>IFERROR(__xludf.DUMMYFUNCTION("""COMPUTED_VALUE"""),12.95)</f>
        <v>12.95</v>
      </c>
      <c r="H10811" s="17"/>
      <c r="K10811" s="17"/>
      <c r="N10811" s="17"/>
    </row>
    <row r="10812">
      <c r="B10812" s="11">
        <f>IFERROR(__xludf.DUMMYFUNCTION("""COMPUTED_VALUE"""),30889.0)</f>
        <v>30889</v>
      </c>
      <c r="C10812" s="9">
        <f>IFERROR(__xludf.DUMMYFUNCTION("""COMPUTED_VALUE"""),12.89)</f>
        <v>12.89</v>
      </c>
      <c r="H10812" s="17"/>
      <c r="K10812" s="17"/>
      <c r="N10812" s="17"/>
    </row>
    <row r="10813">
      <c r="B10813" s="11">
        <f>IFERROR(__xludf.DUMMYFUNCTION("""COMPUTED_VALUE"""),30888.0)</f>
        <v>30888</v>
      </c>
      <c r="C10813" s="9">
        <f>IFERROR(__xludf.DUMMYFUNCTION("""COMPUTED_VALUE"""),13.06)</f>
        <v>13.06</v>
      </c>
      <c r="H10813" s="17"/>
      <c r="K10813" s="17"/>
      <c r="N10813" s="17"/>
    </row>
    <row r="10814">
      <c r="B10814" s="11">
        <f>IFERROR(__xludf.DUMMYFUNCTION("""COMPUTED_VALUE"""),30887.0)</f>
        <v>30887</v>
      </c>
      <c r="C10814" s="9">
        <f>IFERROR(__xludf.DUMMYFUNCTION("""COMPUTED_VALUE"""),13.31)</f>
        <v>13.31</v>
      </c>
      <c r="H10814" s="17"/>
      <c r="K10814" s="17"/>
      <c r="N10814" s="17"/>
    </row>
    <row r="10815">
      <c r="B10815" s="11">
        <f>IFERROR(__xludf.DUMMYFUNCTION("""COMPUTED_VALUE"""),30886.0)</f>
        <v>30886</v>
      </c>
      <c r="C10815" s="9">
        <f>IFERROR(__xludf.DUMMYFUNCTION("""COMPUTED_VALUE"""),13.35)</f>
        <v>13.35</v>
      </c>
      <c r="H10815" s="17"/>
      <c r="K10815" s="17"/>
      <c r="N10815" s="17"/>
    </row>
    <row r="10816">
      <c r="B10816" s="11">
        <f>IFERROR(__xludf.DUMMYFUNCTION("""COMPUTED_VALUE"""),30883.0)</f>
        <v>30883</v>
      </c>
      <c r="C10816" s="9">
        <f>IFERROR(__xludf.DUMMYFUNCTION("""COMPUTED_VALUE"""),13.36)</f>
        <v>13.36</v>
      </c>
      <c r="H10816" s="17"/>
      <c r="K10816" s="17"/>
      <c r="N10816" s="17"/>
    </row>
    <row r="10817">
      <c r="B10817" s="11">
        <f>IFERROR(__xludf.DUMMYFUNCTION("""COMPUTED_VALUE"""),30882.0)</f>
        <v>30882</v>
      </c>
      <c r="C10817" s="9">
        <f>IFERROR(__xludf.DUMMYFUNCTION("""COMPUTED_VALUE"""),13.25)</f>
        <v>13.25</v>
      </c>
      <c r="H10817" s="17"/>
      <c r="K10817" s="17"/>
      <c r="N10817" s="17"/>
    </row>
    <row r="10818">
      <c r="B10818" s="11">
        <f>IFERROR(__xludf.DUMMYFUNCTION("""COMPUTED_VALUE"""),30881.0)</f>
        <v>30881</v>
      </c>
      <c r="C10818" s="9">
        <f>IFERROR(__xludf.DUMMYFUNCTION("""COMPUTED_VALUE"""),13.32)</f>
        <v>13.32</v>
      </c>
      <c r="H10818" s="17"/>
      <c r="K10818" s="17"/>
      <c r="N10818" s="17"/>
    </row>
    <row r="10819">
      <c r="B10819" s="11">
        <f>IFERROR(__xludf.DUMMYFUNCTION("""COMPUTED_VALUE"""),30880.0)</f>
        <v>30880</v>
      </c>
      <c r="C10819" s="9">
        <f>IFERROR(__xludf.DUMMYFUNCTION("""COMPUTED_VALUE"""),13.37)</f>
        <v>13.37</v>
      </c>
      <c r="H10819" s="17"/>
      <c r="K10819" s="17"/>
      <c r="N10819" s="17"/>
    </row>
    <row r="10820">
      <c r="B10820" s="11">
        <f>IFERROR(__xludf.DUMMYFUNCTION("""COMPUTED_VALUE"""),30879.0)</f>
        <v>30879</v>
      </c>
      <c r="C10820" s="9">
        <f>IFERROR(__xludf.DUMMYFUNCTION("""COMPUTED_VALUE"""),13.32)</f>
        <v>13.32</v>
      </c>
      <c r="H10820" s="17"/>
      <c r="K10820" s="17"/>
      <c r="N10820" s="17"/>
    </row>
    <row r="10821">
      <c r="B10821" s="11">
        <f>IFERROR(__xludf.DUMMYFUNCTION("""COMPUTED_VALUE"""),30876.0)</f>
        <v>30876</v>
      </c>
      <c r="C10821" s="9">
        <f>IFERROR(__xludf.DUMMYFUNCTION("""COMPUTED_VALUE"""),13.3)</f>
        <v>13.3</v>
      </c>
      <c r="H10821" s="17"/>
      <c r="K10821" s="17"/>
      <c r="N10821" s="17"/>
    </row>
    <row r="10822">
      <c r="B10822" s="11">
        <f>IFERROR(__xludf.DUMMYFUNCTION("""COMPUTED_VALUE"""),30875.0)</f>
        <v>30875</v>
      </c>
      <c r="C10822" s="9">
        <f>IFERROR(__xludf.DUMMYFUNCTION("""COMPUTED_VALUE"""),13.42)</f>
        <v>13.42</v>
      </c>
      <c r="H10822" s="17"/>
      <c r="K10822" s="17"/>
      <c r="N10822" s="17"/>
    </row>
    <row r="10823">
      <c r="B10823" s="11">
        <f>IFERROR(__xludf.DUMMYFUNCTION("""COMPUTED_VALUE"""),30874.0)</f>
        <v>30874</v>
      </c>
      <c r="C10823" s="9">
        <f>IFERROR(__xludf.DUMMYFUNCTION("""COMPUTED_VALUE"""),13.55)</f>
        <v>13.55</v>
      </c>
      <c r="H10823" s="17"/>
      <c r="K10823" s="17"/>
      <c r="N10823" s="17"/>
    </row>
    <row r="10824">
      <c r="B10824" s="11">
        <f>IFERROR(__xludf.DUMMYFUNCTION("""COMPUTED_VALUE"""),30873.0)</f>
        <v>30873</v>
      </c>
      <c r="C10824" s="9">
        <f>IFERROR(__xludf.DUMMYFUNCTION("""COMPUTED_VALUE"""),13.53)</f>
        <v>13.53</v>
      </c>
      <c r="H10824" s="17"/>
      <c r="K10824" s="17"/>
      <c r="N10824" s="17"/>
    </row>
    <row r="10825">
      <c r="B10825" s="11">
        <f>IFERROR(__xludf.DUMMYFUNCTION("""COMPUTED_VALUE"""),30872.0)</f>
        <v>30872</v>
      </c>
      <c r="C10825" s="9">
        <f>IFERROR(__xludf.DUMMYFUNCTION("""COMPUTED_VALUE"""),13.48)</f>
        <v>13.48</v>
      </c>
      <c r="H10825" s="17"/>
      <c r="K10825" s="17"/>
      <c r="N10825" s="17"/>
    </row>
    <row r="10826">
      <c r="B10826" s="11">
        <f>IFERROR(__xludf.DUMMYFUNCTION("""COMPUTED_VALUE"""),30869.0)</f>
        <v>30869</v>
      </c>
      <c r="C10826" s="9">
        <f>IFERROR(__xludf.DUMMYFUNCTION("""COMPUTED_VALUE"""),13.75)</f>
        <v>13.75</v>
      </c>
      <c r="H10826" s="17"/>
      <c r="K10826" s="17"/>
      <c r="N10826" s="17"/>
    </row>
    <row r="10827">
      <c r="B10827" s="11">
        <f>IFERROR(__xludf.DUMMYFUNCTION("""COMPUTED_VALUE"""),30868.0)</f>
        <v>30868</v>
      </c>
      <c r="C10827" s="9">
        <f>IFERROR(__xludf.DUMMYFUNCTION("""COMPUTED_VALUE"""),13.77)</f>
        <v>13.77</v>
      </c>
      <c r="H10827" s="17"/>
      <c r="K10827" s="17"/>
      <c r="N10827" s="17"/>
    </row>
    <row r="10828">
      <c r="B10828" s="11">
        <f>IFERROR(__xludf.DUMMYFUNCTION("""COMPUTED_VALUE"""),30867.0)</f>
        <v>30867</v>
      </c>
      <c r="C10828" s="9"/>
      <c r="H10828" s="17"/>
      <c r="K10828" s="17"/>
      <c r="N10828" s="17"/>
    </row>
    <row r="10829">
      <c r="B10829" s="11">
        <f>IFERROR(__xludf.DUMMYFUNCTION("""COMPUTED_VALUE"""),30866.0)</f>
        <v>30866</v>
      </c>
      <c r="C10829" s="9">
        <f>IFERROR(__xludf.DUMMYFUNCTION("""COMPUTED_VALUE"""),13.8)</f>
        <v>13.8</v>
      </c>
      <c r="H10829" s="17"/>
      <c r="K10829" s="17"/>
      <c r="N10829" s="17"/>
    </row>
    <row r="10830">
      <c r="B10830" s="11">
        <f>IFERROR(__xludf.DUMMYFUNCTION("""COMPUTED_VALUE"""),30865.0)</f>
        <v>30865</v>
      </c>
      <c r="C10830" s="9">
        <f>IFERROR(__xludf.DUMMYFUNCTION("""COMPUTED_VALUE"""),13.87)</f>
        <v>13.87</v>
      </c>
      <c r="H10830" s="17"/>
      <c r="K10830" s="17"/>
      <c r="N10830" s="17"/>
    </row>
    <row r="10831">
      <c r="B10831" s="11">
        <f>IFERROR(__xludf.DUMMYFUNCTION("""COMPUTED_VALUE"""),30862.0)</f>
        <v>30862</v>
      </c>
      <c r="C10831" s="9">
        <f>IFERROR(__xludf.DUMMYFUNCTION("""COMPUTED_VALUE"""),13.84)</f>
        <v>13.84</v>
      </c>
      <c r="H10831" s="17"/>
      <c r="K10831" s="17"/>
      <c r="N10831" s="17"/>
    </row>
    <row r="10832">
      <c r="B10832" s="11">
        <f>IFERROR(__xludf.DUMMYFUNCTION("""COMPUTED_VALUE"""),30861.0)</f>
        <v>30861</v>
      </c>
      <c r="C10832" s="9">
        <f>IFERROR(__xludf.DUMMYFUNCTION("""COMPUTED_VALUE"""),13.8)</f>
        <v>13.8</v>
      </c>
      <c r="H10832" s="17"/>
      <c r="K10832" s="17"/>
      <c r="N10832" s="17"/>
    </row>
    <row r="10833">
      <c r="B10833" s="11">
        <f>IFERROR(__xludf.DUMMYFUNCTION("""COMPUTED_VALUE"""),30860.0)</f>
        <v>30860</v>
      </c>
      <c r="C10833" s="9">
        <f>IFERROR(__xludf.DUMMYFUNCTION("""COMPUTED_VALUE"""),13.76)</f>
        <v>13.76</v>
      </c>
      <c r="H10833" s="17"/>
      <c r="K10833" s="17"/>
      <c r="N10833" s="17"/>
    </row>
    <row r="10834">
      <c r="B10834" s="11">
        <f>IFERROR(__xludf.DUMMYFUNCTION("""COMPUTED_VALUE"""),30859.0)</f>
        <v>30859</v>
      </c>
      <c r="C10834" s="9">
        <f>IFERROR(__xludf.DUMMYFUNCTION("""COMPUTED_VALUE"""),13.79)</f>
        <v>13.79</v>
      </c>
      <c r="H10834" s="17"/>
      <c r="K10834" s="17"/>
      <c r="N10834" s="17"/>
    </row>
    <row r="10835">
      <c r="B10835" s="11">
        <f>IFERROR(__xludf.DUMMYFUNCTION("""COMPUTED_VALUE"""),30858.0)</f>
        <v>30858</v>
      </c>
      <c r="C10835" s="9">
        <f>IFERROR(__xludf.DUMMYFUNCTION("""COMPUTED_VALUE"""),13.75)</f>
        <v>13.75</v>
      </c>
      <c r="H10835" s="17"/>
      <c r="K10835" s="17"/>
      <c r="N10835" s="17"/>
    </row>
    <row r="10836">
      <c r="B10836" s="11">
        <f>IFERROR(__xludf.DUMMYFUNCTION("""COMPUTED_VALUE"""),30855.0)</f>
        <v>30855</v>
      </c>
      <c r="C10836" s="9">
        <f>IFERROR(__xludf.DUMMYFUNCTION("""COMPUTED_VALUE"""),13.74)</f>
        <v>13.74</v>
      </c>
      <c r="H10836" s="17"/>
      <c r="K10836" s="17"/>
      <c r="N10836" s="17"/>
    </row>
    <row r="10837">
      <c r="B10837" s="11">
        <f>IFERROR(__xludf.DUMMYFUNCTION("""COMPUTED_VALUE"""),30854.0)</f>
        <v>30854</v>
      </c>
      <c r="C10837" s="9">
        <f>IFERROR(__xludf.DUMMYFUNCTION("""COMPUTED_VALUE"""),13.72)</f>
        <v>13.72</v>
      </c>
      <c r="H10837" s="17"/>
      <c r="K10837" s="17"/>
      <c r="N10837" s="17"/>
    </row>
    <row r="10838">
      <c r="B10838" s="11">
        <f>IFERROR(__xludf.DUMMYFUNCTION("""COMPUTED_VALUE"""),30853.0)</f>
        <v>30853</v>
      </c>
      <c r="C10838" s="9">
        <f>IFERROR(__xludf.DUMMYFUNCTION("""COMPUTED_VALUE"""),13.65)</f>
        <v>13.65</v>
      </c>
      <c r="H10838" s="17"/>
      <c r="K10838" s="17"/>
      <c r="N10838" s="17"/>
    </row>
    <row r="10839">
      <c r="B10839" s="11">
        <f>IFERROR(__xludf.DUMMYFUNCTION("""COMPUTED_VALUE"""),30852.0)</f>
        <v>30852</v>
      </c>
      <c r="C10839" s="9">
        <f>IFERROR(__xludf.DUMMYFUNCTION("""COMPUTED_VALUE"""),13.38)</f>
        <v>13.38</v>
      </c>
      <c r="H10839" s="17"/>
      <c r="K10839" s="17"/>
      <c r="N10839" s="17"/>
    </row>
    <row r="10840">
      <c r="B10840" s="11">
        <f>IFERROR(__xludf.DUMMYFUNCTION("""COMPUTED_VALUE"""),30851.0)</f>
        <v>30851</v>
      </c>
      <c r="C10840" s="9">
        <f>IFERROR(__xludf.DUMMYFUNCTION("""COMPUTED_VALUE"""),13.27)</f>
        <v>13.27</v>
      </c>
      <c r="H10840" s="17"/>
      <c r="K10840" s="17"/>
      <c r="N10840" s="17"/>
    </row>
    <row r="10841">
      <c r="B10841" s="11">
        <f>IFERROR(__xludf.DUMMYFUNCTION("""COMPUTED_VALUE"""),30848.0)</f>
        <v>30848</v>
      </c>
      <c r="C10841" s="9">
        <f>IFERROR(__xludf.DUMMYFUNCTION("""COMPUTED_VALUE"""),13.21)</f>
        <v>13.21</v>
      </c>
      <c r="H10841" s="17"/>
      <c r="K10841" s="17"/>
      <c r="N10841" s="17"/>
    </row>
    <row r="10842">
      <c r="B10842" s="11">
        <f>IFERROR(__xludf.DUMMYFUNCTION("""COMPUTED_VALUE"""),30847.0)</f>
        <v>30847</v>
      </c>
      <c r="C10842" s="9">
        <f>IFERROR(__xludf.DUMMYFUNCTION("""COMPUTED_VALUE"""),13.39)</f>
        <v>13.39</v>
      </c>
      <c r="H10842" s="17"/>
      <c r="K10842" s="17"/>
      <c r="N10842" s="17"/>
    </row>
    <row r="10843">
      <c r="B10843" s="11">
        <f>IFERROR(__xludf.DUMMYFUNCTION("""COMPUTED_VALUE"""),30846.0)</f>
        <v>30846</v>
      </c>
      <c r="C10843" s="9">
        <f>IFERROR(__xludf.DUMMYFUNCTION("""COMPUTED_VALUE"""),13.44)</f>
        <v>13.44</v>
      </c>
      <c r="H10843" s="17"/>
      <c r="K10843" s="17"/>
      <c r="N10843" s="17"/>
    </row>
    <row r="10844">
      <c r="B10844" s="11">
        <f>IFERROR(__xludf.DUMMYFUNCTION("""COMPUTED_VALUE"""),30845.0)</f>
        <v>30845</v>
      </c>
      <c r="C10844" s="9">
        <f>IFERROR(__xludf.DUMMYFUNCTION("""COMPUTED_VALUE"""),13.54)</f>
        <v>13.54</v>
      </c>
      <c r="H10844" s="17"/>
      <c r="K10844" s="17"/>
      <c r="N10844" s="17"/>
    </row>
    <row r="10845">
      <c r="B10845" s="11">
        <f>IFERROR(__xludf.DUMMYFUNCTION("""COMPUTED_VALUE"""),30844.0)</f>
        <v>30844</v>
      </c>
      <c r="C10845" s="9">
        <f>IFERROR(__xludf.DUMMYFUNCTION("""COMPUTED_VALUE"""),13.58)</f>
        <v>13.58</v>
      </c>
      <c r="H10845" s="17"/>
      <c r="K10845" s="17"/>
      <c r="N10845" s="17"/>
    </row>
    <row r="10846">
      <c r="B10846" s="11">
        <f>IFERROR(__xludf.DUMMYFUNCTION("""COMPUTED_VALUE"""),30841.0)</f>
        <v>30841</v>
      </c>
      <c r="C10846" s="9">
        <f>IFERROR(__xludf.DUMMYFUNCTION("""COMPUTED_VALUE"""),13.46)</f>
        <v>13.46</v>
      </c>
      <c r="H10846" s="17"/>
      <c r="K10846" s="17"/>
      <c r="N10846" s="17"/>
    </row>
    <row r="10847">
      <c r="B10847" s="11">
        <f>IFERROR(__xludf.DUMMYFUNCTION("""COMPUTED_VALUE"""),30840.0)</f>
        <v>30840</v>
      </c>
      <c r="C10847" s="9">
        <f>IFERROR(__xludf.DUMMYFUNCTION("""COMPUTED_VALUE"""),13.54)</f>
        <v>13.54</v>
      </c>
      <c r="H10847" s="17"/>
      <c r="K10847" s="17"/>
      <c r="N10847" s="17"/>
    </row>
    <row r="10848">
      <c r="B10848" s="11">
        <f>IFERROR(__xludf.DUMMYFUNCTION("""COMPUTED_VALUE"""),30839.0)</f>
        <v>30839</v>
      </c>
      <c r="C10848" s="9">
        <f>IFERROR(__xludf.DUMMYFUNCTION("""COMPUTED_VALUE"""),13.54)</f>
        <v>13.54</v>
      </c>
      <c r="H10848" s="17"/>
      <c r="K10848" s="17"/>
      <c r="N10848" s="17"/>
    </row>
    <row r="10849">
      <c r="B10849" s="11">
        <f>IFERROR(__xludf.DUMMYFUNCTION("""COMPUTED_VALUE"""),30838.0)</f>
        <v>30838</v>
      </c>
      <c r="C10849" s="9">
        <f>IFERROR(__xludf.DUMMYFUNCTION("""COMPUTED_VALUE"""),13.37)</f>
        <v>13.37</v>
      </c>
      <c r="H10849" s="17"/>
      <c r="K10849" s="17"/>
      <c r="N10849" s="17"/>
    </row>
    <row r="10850">
      <c r="B10850" s="11">
        <f>IFERROR(__xludf.DUMMYFUNCTION("""COMPUTED_VALUE"""),30837.0)</f>
        <v>30837</v>
      </c>
      <c r="C10850" s="9">
        <f>IFERROR(__xludf.DUMMYFUNCTION("""COMPUTED_VALUE"""),13.42)</f>
        <v>13.42</v>
      </c>
      <c r="H10850" s="17"/>
      <c r="K10850" s="17"/>
      <c r="N10850" s="17"/>
    </row>
    <row r="10851">
      <c r="B10851" s="11">
        <f>IFERROR(__xludf.DUMMYFUNCTION("""COMPUTED_VALUE"""),30834.0)</f>
        <v>30834</v>
      </c>
      <c r="C10851" s="9">
        <f>IFERROR(__xludf.DUMMYFUNCTION("""COMPUTED_VALUE"""),13.63)</f>
        <v>13.63</v>
      </c>
      <c r="H10851" s="17"/>
      <c r="K10851" s="17"/>
      <c r="N10851" s="17"/>
    </row>
    <row r="10852">
      <c r="B10852" s="11">
        <f>IFERROR(__xludf.DUMMYFUNCTION("""COMPUTED_VALUE"""),30833.0)</f>
        <v>30833</v>
      </c>
      <c r="C10852" s="9">
        <f>IFERROR(__xludf.DUMMYFUNCTION("""COMPUTED_VALUE"""),13.91)</f>
        <v>13.91</v>
      </c>
      <c r="H10852" s="17"/>
      <c r="K10852" s="17"/>
      <c r="N10852" s="17"/>
    </row>
    <row r="10853">
      <c r="B10853" s="11">
        <f>IFERROR(__xludf.DUMMYFUNCTION("""COMPUTED_VALUE"""),30832.0)</f>
        <v>30832</v>
      </c>
      <c r="C10853" s="9">
        <f>IFERROR(__xludf.DUMMYFUNCTION("""COMPUTED_VALUE"""),13.99)</f>
        <v>13.99</v>
      </c>
      <c r="H10853" s="17"/>
      <c r="K10853" s="17"/>
      <c r="N10853" s="17"/>
    </row>
    <row r="10854">
      <c r="B10854" s="11">
        <f>IFERROR(__xludf.DUMMYFUNCTION("""COMPUTED_VALUE"""),30831.0)</f>
        <v>30831</v>
      </c>
      <c r="C10854" s="9">
        <f>IFERROR(__xludf.DUMMYFUNCTION("""COMPUTED_VALUE"""),13.89)</f>
        <v>13.89</v>
      </c>
      <c r="H10854" s="17"/>
      <c r="K10854" s="17"/>
      <c r="N10854" s="17"/>
    </row>
    <row r="10855">
      <c r="B10855" s="11">
        <f>IFERROR(__xludf.DUMMYFUNCTION("""COMPUTED_VALUE"""),30830.0)</f>
        <v>30830</v>
      </c>
      <c r="C10855" s="9"/>
      <c r="H10855" s="17"/>
      <c r="K10855" s="17"/>
      <c r="N10855" s="17"/>
    </row>
    <row r="10856">
      <c r="B10856" s="11">
        <f>IFERROR(__xludf.DUMMYFUNCTION("""COMPUTED_VALUE"""),30827.0)</f>
        <v>30827</v>
      </c>
      <c r="C10856" s="9">
        <f>IFERROR(__xludf.DUMMYFUNCTION("""COMPUTED_VALUE"""),13.75)</f>
        <v>13.75</v>
      </c>
      <c r="H10856" s="17"/>
      <c r="K10856" s="17"/>
      <c r="N10856" s="17"/>
    </row>
    <row r="10857">
      <c r="B10857" s="11">
        <f>IFERROR(__xludf.DUMMYFUNCTION("""COMPUTED_VALUE"""),30826.0)</f>
        <v>30826</v>
      </c>
      <c r="C10857" s="9">
        <f>IFERROR(__xludf.DUMMYFUNCTION("""COMPUTED_VALUE"""),13.72)</f>
        <v>13.72</v>
      </c>
      <c r="H10857" s="17"/>
      <c r="K10857" s="17"/>
      <c r="N10857" s="17"/>
    </row>
    <row r="10858">
      <c r="B10858" s="11">
        <f>IFERROR(__xludf.DUMMYFUNCTION("""COMPUTED_VALUE"""),30825.0)</f>
        <v>30825</v>
      </c>
      <c r="C10858" s="9">
        <f>IFERROR(__xludf.DUMMYFUNCTION("""COMPUTED_VALUE"""),13.54)</f>
        <v>13.54</v>
      </c>
      <c r="H10858" s="17"/>
      <c r="K10858" s="17"/>
      <c r="N10858" s="17"/>
    </row>
    <row r="10859">
      <c r="B10859" s="11">
        <f>IFERROR(__xludf.DUMMYFUNCTION("""COMPUTED_VALUE"""),30824.0)</f>
        <v>30824</v>
      </c>
      <c r="C10859" s="9">
        <f>IFERROR(__xludf.DUMMYFUNCTION("""COMPUTED_VALUE"""),13.52)</f>
        <v>13.52</v>
      </c>
      <c r="H10859" s="17"/>
      <c r="K10859" s="17"/>
      <c r="N10859" s="17"/>
    </row>
    <row r="10860">
      <c r="B10860" s="11">
        <f>IFERROR(__xludf.DUMMYFUNCTION("""COMPUTED_VALUE"""),30823.0)</f>
        <v>30823</v>
      </c>
      <c r="C10860" s="9">
        <f>IFERROR(__xludf.DUMMYFUNCTION("""COMPUTED_VALUE"""),13.43)</f>
        <v>13.43</v>
      </c>
      <c r="H10860" s="17"/>
      <c r="K10860" s="17"/>
      <c r="N10860" s="17"/>
    </row>
    <row r="10861">
      <c r="B10861" s="11">
        <f>IFERROR(__xludf.DUMMYFUNCTION("""COMPUTED_VALUE"""),30820.0)</f>
        <v>30820</v>
      </c>
      <c r="C10861" s="9">
        <f>IFERROR(__xludf.DUMMYFUNCTION("""COMPUTED_VALUE"""),13.45)</f>
        <v>13.45</v>
      </c>
      <c r="H10861" s="17"/>
      <c r="K10861" s="17"/>
      <c r="N10861" s="17"/>
    </row>
    <row r="10862">
      <c r="B10862" s="11">
        <f>IFERROR(__xludf.DUMMYFUNCTION("""COMPUTED_VALUE"""),30819.0)</f>
        <v>30819</v>
      </c>
      <c r="C10862" s="9">
        <f>IFERROR(__xludf.DUMMYFUNCTION("""COMPUTED_VALUE"""),13.54)</f>
        <v>13.54</v>
      </c>
      <c r="H10862" s="17"/>
      <c r="K10862" s="17"/>
      <c r="N10862" s="17"/>
    </row>
    <row r="10863">
      <c r="B10863" s="11">
        <f>IFERROR(__xludf.DUMMYFUNCTION("""COMPUTED_VALUE"""),30818.0)</f>
        <v>30818</v>
      </c>
      <c r="C10863" s="9">
        <f>IFERROR(__xludf.DUMMYFUNCTION("""COMPUTED_VALUE"""),13.41)</f>
        <v>13.41</v>
      </c>
      <c r="H10863" s="17"/>
      <c r="K10863" s="17"/>
      <c r="N10863" s="17"/>
    </row>
    <row r="10864">
      <c r="B10864" s="11">
        <f>IFERROR(__xludf.DUMMYFUNCTION("""COMPUTED_VALUE"""),30817.0)</f>
        <v>30817</v>
      </c>
      <c r="C10864" s="9">
        <f>IFERROR(__xludf.DUMMYFUNCTION("""COMPUTED_VALUE"""),13.48)</f>
        <v>13.48</v>
      </c>
      <c r="H10864" s="17"/>
      <c r="K10864" s="17"/>
      <c r="N10864" s="17"/>
    </row>
    <row r="10865">
      <c r="B10865" s="11">
        <f>IFERROR(__xludf.DUMMYFUNCTION("""COMPUTED_VALUE"""),30816.0)</f>
        <v>30816</v>
      </c>
      <c r="C10865" s="9">
        <f>IFERROR(__xludf.DUMMYFUNCTION("""COMPUTED_VALUE"""),13.58)</f>
        <v>13.58</v>
      </c>
      <c r="H10865" s="17"/>
      <c r="K10865" s="17"/>
      <c r="N10865" s="17"/>
    </row>
    <row r="10866">
      <c r="B10866" s="11">
        <f>IFERROR(__xludf.DUMMYFUNCTION("""COMPUTED_VALUE"""),30813.0)</f>
        <v>30813</v>
      </c>
      <c r="C10866" s="9">
        <f>IFERROR(__xludf.DUMMYFUNCTION("""COMPUTED_VALUE"""),13.46)</f>
        <v>13.46</v>
      </c>
      <c r="H10866" s="17"/>
      <c r="K10866" s="17"/>
      <c r="N10866" s="17"/>
    </row>
    <row r="10867">
      <c r="B10867" s="11">
        <f>IFERROR(__xludf.DUMMYFUNCTION("""COMPUTED_VALUE"""),30812.0)</f>
        <v>30812</v>
      </c>
      <c r="C10867" s="9">
        <f>IFERROR(__xludf.DUMMYFUNCTION("""COMPUTED_VALUE"""),13.25)</f>
        <v>13.25</v>
      </c>
      <c r="H10867" s="17"/>
      <c r="K10867" s="17"/>
      <c r="N10867" s="17"/>
    </row>
    <row r="10868">
      <c r="B10868" s="11">
        <f>IFERROR(__xludf.DUMMYFUNCTION("""COMPUTED_VALUE"""),30811.0)</f>
        <v>30811</v>
      </c>
      <c r="C10868" s="9">
        <f>IFERROR(__xludf.DUMMYFUNCTION("""COMPUTED_VALUE"""),13.21)</f>
        <v>13.21</v>
      </c>
      <c r="H10868" s="17"/>
      <c r="K10868" s="17"/>
      <c r="N10868" s="17"/>
    </row>
    <row r="10869">
      <c r="B10869" s="11">
        <f>IFERROR(__xludf.DUMMYFUNCTION("""COMPUTED_VALUE"""),30810.0)</f>
        <v>30810</v>
      </c>
      <c r="C10869" s="9">
        <f>IFERROR(__xludf.DUMMYFUNCTION("""COMPUTED_VALUE"""),13.09)</f>
        <v>13.09</v>
      </c>
      <c r="H10869" s="17"/>
      <c r="K10869" s="17"/>
      <c r="N10869" s="17"/>
    </row>
    <row r="10870">
      <c r="B10870" s="11">
        <f>IFERROR(__xludf.DUMMYFUNCTION("""COMPUTED_VALUE"""),30809.0)</f>
        <v>30809</v>
      </c>
      <c r="C10870" s="9">
        <f>IFERROR(__xludf.DUMMYFUNCTION("""COMPUTED_VALUE"""),13.13)</f>
        <v>13.13</v>
      </c>
      <c r="H10870" s="17"/>
      <c r="K10870" s="17"/>
      <c r="N10870" s="17"/>
    </row>
    <row r="10871">
      <c r="B10871" s="11">
        <f>IFERROR(__xludf.DUMMYFUNCTION("""COMPUTED_VALUE"""),30806.0)</f>
        <v>30806</v>
      </c>
      <c r="C10871" s="9">
        <f>IFERROR(__xludf.DUMMYFUNCTION("""COMPUTED_VALUE"""),13.07)</f>
        <v>13.07</v>
      </c>
      <c r="H10871" s="17"/>
      <c r="K10871" s="17"/>
      <c r="N10871" s="17"/>
    </row>
    <row r="10872">
      <c r="B10872" s="11">
        <f>IFERROR(__xludf.DUMMYFUNCTION("""COMPUTED_VALUE"""),30805.0)</f>
        <v>30805</v>
      </c>
      <c r="C10872" s="9">
        <f>IFERROR(__xludf.DUMMYFUNCTION("""COMPUTED_VALUE"""),12.89)</f>
        <v>12.89</v>
      </c>
      <c r="H10872" s="17"/>
      <c r="K10872" s="17"/>
      <c r="N10872" s="17"/>
    </row>
    <row r="10873">
      <c r="B10873" s="11">
        <f>IFERROR(__xludf.DUMMYFUNCTION("""COMPUTED_VALUE"""),30804.0)</f>
        <v>30804</v>
      </c>
      <c r="C10873" s="9">
        <f>IFERROR(__xludf.DUMMYFUNCTION("""COMPUTED_VALUE"""),12.86)</f>
        <v>12.86</v>
      </c>
      <c r="H10873" s="17"/>
      <c r="K10873" s="17"/>
      <c r="N10873" s="17"/>
    </row>
    <row r="10874">
      <c r="B10874" s="11">
        <f>IFERROR(__xludf.DUMMYFUNCTION("""COMPUTED_VALUE"""),30803.0)</f>
        <v>30803</v>
      </c>
      <c r="C10874" s="9">
        <f>IFERROR(__xludf.DUMMYFUNCTION("""COMPUTED_VALUE"""),12.82)</f>
        <v>12.82</v>
      </c>
      <c r="H10874" s="17"/>
      <c r="K10874" s="17"/>
      <c r="N10874" s="17"/>
    </row>
    <row r="10875">
      <c r="B10875" s="11">
        <f>IFERROR(__xludf.DUMMYFUNCTION("""COMPUTED_VALUE"""),30802.0)</f>
        <v>30802</v>
      </c>
      <c r="C10875" s="9">
        <f>IFERROR(__xludf.DUMMYFUNCTION("""COMPUTED_VALUE"""),12.82)</f>
        <v>12.82</v>
      </c>
      <c r="H10875" s="17"/>
      <c r="K10875" s="17"/>
      <c r="N10875" s="17"/>
    </row>
    <row r="10876">
      <c r="B10876" s="11">
        <f>IFERROR(__xludf.DUMMYFUNCTION("""COMPUTED_VALUE"""),30799.0)</f>
        <v>30799</v>
      </c>
      <c r="C10876" s="9">
        <f>IFERROR(__xludf.DUMMYFUNCTION("""COMPUTED_VALUE"""),12.79)</f>
        <v>12.79</v>
      </c>
      <c r="H10876" s="17"/>
      <c r="K10876" s="17"/>
      <c r="N10876" s="17"/>
    </row>
    <row r="10877">
      <c r="B10877" s="11">
        <f>IFERROR(__xludf.DUMMYFUNCTION("""COMPUTED_VALUE"""),30798.0)</f>
        <v>30798</v>
      </c>
      <c r="C10877" s="9">
        <f>IFERROR(__xludf.DUMMYFUNCTION("""COMPUTED_VALUE"""),12.67)</f>
        <v>12.67</v>
      </c>
      <c r="H10877" s="17"/>
      <c r="K10877" s="17"/>
      <c r="N10877" s="17"/>
    </row>
    <row r="10878">
      <c r="B10878" s="11">
        <f>IFERROR(__xludf.DUMMYFUNCTION("""COMPUTED_VALUE"""),30797.0)</f>
        <v>30797</v>
      </c>
      <c r="C10878" s="9">
        <f>IFERROR(__xludf.DUMMYFUNCTION("""COMPUTED_VALUE"""),12.69)</f>
        <v>12.69</v>
      </c>
      <c r="H10878" s="17"/>
      <c r="K10878" s="17"/>
      <c r="N10878" s="17"/>
    </row>
    <row r="10879">
      <c r="B10879" s="11">
        <f>IFERROR(__xludf.DUMMYFUNCTION("""COMPUTED_VALUE"""),30796.0)</f>
        <v>30796</v>
      </c>
      <c r="C10879" s="9">
        <f>IFERROR(__xludf.DUMMYFUNCTION("""COMPUTED_VALUE"""),12.75)</f>
        <v>12.75</v>
      </c>
      <c r="H10879" s="17"/>
      <c r="K10879" s="17"/>
      <c r="N10879" s="17"/>
    </row>
    <row r="10880">
      <c r="B10880" s="11">
        <f>IFERROR(__xludf.DUMMYFUNCTION("""COMPUTED_VALUE"""),30795.0)</f>
        <v>30795</v>
      </c>
      <c r="C10880" s="9">
        <f>IFERROR(__xludf.DUMMYFUNCTION("""COMPUTED_VALUE"""),12.8)</f>
        <v>12.8</v>
      </c>
      <c r="H10880" s="17"/>
      <c r="K10880" s="17"/>
      <c r="N10880" s="17"/>
    </row>
    <row r="10881">
      <c r="B10881" s="11">
        <f>IFERROR(__xludf.DUMMYFUNCTION("""COMPUTED_VALUE"""),30792.0)</f>
        <v>30792</v>
      </c>
      <c r="C10881" s="9"/>
      <c r="H10881" s="17"/>
      <c r="K10881" s="17"/>
      <c r="N10881" s="17"/>
    </row>
    <row r="10882">
      <c r="B10882" s="11">
        <f>IFERROR(__xludf.DUMMYFUNCTION("""COMPUTED_VALUE"""),30791.0)</f>
        <v>30791</v>
      </c>
      <c r="C10882" s="9">
        <f>IFERROR(__xludf.DUMMYFUNCTION("""COMPUTED_VALUE"""),12.77)</f>
        <v>12.77</v>
      </c>
      <c r="H10882" s="17"/>
      <c r="K10882" s="17"/>
      <c r="N10882" s="17"/>
    </row>
    <row r="10883">
      <c r="B10883" s="11">
        <f>IFERROR(__xludf.DUMMYFUNCTION("""COMPUTED_VALUE"""),30790.0)</f>
        <v>30790</v>
      </c>
      <c r="C10883" s="9">
        <f>IFERROR(__xludf.DUMMYFUNCTION("""COMPUTED_VALUE"""),12.7)</f>
        <v>12.7</v>
      </c>
      <c r="H10883" s="17"/>
      <c r="K10883" s="17"/>
      <c r="N10883" s="17"/>
    </row>
    <row r="10884">
      <c r="B10884" s="11">
        <f>IFERROR(__xludf.DUMMYFUNCTION("""COMPUTED_VALUE"""),30789.0)</f>
        <v>30789</v>
      </c>
      <c r="C10884" s="9">
        <f>IFERROR(__xludf.DUMMYFUNCTION("""COMPUTED_VALUE"""),12.57)</f>
        <v>12.57</v>
      </c>
      <c r="H10884" s="17"/>
      <c r="K10884" s="17"/>
      <c r="N10884" s="17"/>
    </row>
    <row r="10885">
      <c r="B10885" s="11">
        <f>IFERROR(__xludf.DUMMYFUNCTION("""COMPUTED_VALUE"""),30788.0)</f>
        <v>30788</v>
      </c>
      <c r="C10885" s="9">
        <f>IFERROR(__xludf.DUMMYFUNCTION("""COMPUTED_VALUE"""),12.61)</f>
        <v>12.61</v>
      </c>
      <c r="H10885" s="17"/>
      <c r="K10885" s="17"/>
      <c r="N10885" s="17"/>
    </row>
    <row r="10886">
      <c r="B10886" s="11">
        <f>IFERROR(__xludf.DUMMYFUNCTION("""COMPUTED_VALUE"""),30785.0)</f>
        <v>30785</v>
      </c>
      <c r="C10886" s="9">
        <f>IFERROR(__xludf.DUMMYFUNCTION("""COMPUTED_VALUE"""),12.57)</f>
        <v>12.57</v>
      </c>
      <c r="H10886" s="17"/>
      <c r="K10886" s="17"/>
      <c r="N10886" s="17"/>
    </row>
    <row r="10887">
      <c r="B10887" s="11">
        <f>IFERROR(__xludf.DUMMYFUNCTION("""COMPUTED_VALUE"""),30784.0)</f>
        <v>30784</v>
      </c>
      <c r="C10887" s="9">
        <f>IFERROR(__xludf.DUMMYFUNCTION("""COMPUTED_VALUE"""),12.4)</f>
        <v>12.4</v>
      </c>
      <c r="H10887" s="17"/>
      <c r="K10887" s="17"/>
      <c r="N10887" s="17"/>
    </row>
    <row r="10888">
      <c r="B10888" s="11">
        <f>IFERROR(__xludf.DUMMYFUNCTION("""COMPUTED_VALUE"""),30783.0)</f>
        <v>30783</v>
      </c>
      <c r="C10888" s="9">
        <f>IFERROR(__xludf.DUMMYFUNCTION("""COMPUTED_VALUE"""),12.5)</f>
        <v>12.5</v>
      </c>
      <c r="H10888" s="17"/>
      <c r="K10888" s="17"/>
      <c r="N10888" s="17"/>
    </row>
    <row r="10889">
      <c r="B10889" s="11">
        <f>IFERROR(__xludf.DUMMYFUNCTION("""COMPUTED_VALUE"""),30782.0)</f>
        <v>30782</v>
      </c>
      <c r="C10889" s="9">
        <f>IFERROR(__xludf.DUMMYFUNCTION("""COMPUTED_VALUE"""),12.52)</f>
        <v>12.52</v>
      </c>
      <c r="H10889" s="17"/>
      <c r="K10889" s="17"/>
      <c r="N10889" s="17"/>
    </row>
    <row r="10890">
      <c r="B10890" s="11">
        <f>IFERROR(__xludf.DUMMYFUNCTION("""COMPUTED_VALUE"""),30781.0)</f>
        <v>30781</v>
      </c>
      <c r="C10890" s="9">
        <f>IFERROR(__xludf.DUMMYFUNCTION("""COMPUTED_VALUE"""),12.47)</f>
        <v>12.47</v>
      </c>
      <c r="H10890" s="17"/>
      <c r="K10890" s="17"/>
      <c r="N10890" s="17"/>
    </row>
    <row r="10891">
      <c r="B10891" s="11">
        <f>IFERROR(__xludf.DUMMYFUNCTION("""COMPUTED_VALUE"""),30778.0)</f>
        <v>30778</v>
      </c>
      <c r="C10891" s="9">
        <f>IFERROR(__xludf.DUMMYFUNCTION("""COMPUTED_VALUE"""),12.51)</f>
        <v>12.51</v>
      </c>
      <c r="H10891" s="17"/>
      <c r="K10891" s="17"/>
      <c r="N10891" s="17"/>
    </row>
    <row r="10892">
      <c r="B10892" s="11">
        <f>IFERROR(__xludf.DUMMYFUNCTION("""COMPUTED_VALUE"""),30777.0)</f>
        <v>30777</v>
      </c>
      <c r="C10892" s="9">
        <f>IFERROR(__xludf.DUMMYFUNCTION("""COMPUTED_VALUE"""),12.65)</f>
        <v>12.65</v>
      </c>
      <c r="H10892" s="17"/>
      <c r="K10892" s="17"/>
      <c r="N10892" s="17"/>
    </row>
    <row r="10893">
      <c r="B10893" s="11">
        <f>IFERROR(__xludf.DUMMYFUNCTION("""COMPUTED_VALUE"""),30776.0)</f>
        <v>30776</v>
      </c>
      <c r="C10893" s="9">
        <f>IFERROR(__xludf.DUMMYFUNCTION("""COMPUTED_VALUE"""),12.67)</f>
        <v>12.67</v>
      </c>
      <c r="H10893" s="17"/>
      <c r="K10893" s="17"/>
      <c r="N10893" s="17"/>
    </row>
    <row r="10894">
      <c r="B10894" s="11">
        <f>IFERROR(__xludf.DUMMYFUNCTION("""COMPUTED_VALUE"""),30775.0)</f>
        <v>30775</v>
      </c>
      <c r="C10894" s="9">
        <f>IFERROR(__xludf.DUMMYFUNCTION("""COMPUTED_VALUE"""),12.65)</f>
        <v>12.65</v>
      </c>
      <c r="H10894" s="17"/>
      <c r="K10894" s="17"/>
      <c r="N10894" s="17"/>
    </row>
    <row r="10895">
      <c r="B10895" s="11">
        <f>IFERROR(__xludf.DUMMYFUNCTION("""COMPUTED_VALUE"""),30774.0)</f>
        <v>30774</v>
      </c>
      <c r="C10895" s="9">
        <f>IFERROR(__xludf.DUMMYFUNCTION("""COMPUTED_VALUE"""),12.56)</f>
        <v>12.56</v>
      </c>
      <c r="H10895" s="17"/>
      <c r="K10895" s="17"/>
      <c r="N10895" s="17"/>
    </row>
    <row r="10896">
      <c r="B10896" s="11">
        <f>IFERROR(__xludf.DUMMYFUNCTION("""COMPUTED_VALUE"""),30771.0)</f>
        <v>30771</v>
      </c>
      <c r="C10896" s="9">
        <f>IFERROR(__xludf.DUMMYFUNCTION("""COMPUTED_VALUE"""),12.53)</f>
        <v>12.53</v>
      </c>
      <c r="H10896" s="17"/>
      <c r="K10896" s="17"/>
      <c r="N10896" s="17"/>
    </row>
    <row r="10897">
      <c r="B10897" s="11">
        <f>IFERROR(__xludf.DUMMYFUNCTION("""COMPUTED_VALUE"""),30770.0)</f>
        <v>30770</v>
      </c>
      <c r="C10897" s="9">
        <f>IFERROR(__xludf.DUMMYFUNCTION("""COMPUTED_VALUE"""),12.41)</f>
        <v>12.41</v>
      </c>
      <c r="H10897" s="17"/>
      <c r="K10897" s="17"/>
      <c r="N10897" s="17"/>
    </row>
    <row r="10898">
      <c r="B10898" s="11">
        <f>IFERROR(__xludf.DUMMYFUNCTION("""COMPUTED_VALUE"""),30769.0)</f>
        <v>30769</v>
      </c>
      <c r="C10898" s="9">
        <f>IFERROR(__xludf.DUMMYFUNCTION("""COMPUTED_VALUE"""),12.42)</f>
        <v>12.42</v>
      </c>
      <c r="H10898" s="17"/>
      <c r="K10898" s="17"/>
      <c r="N10898" s="17"/>
    </row>
    <row r="10899">
      <c r="B10899" s="11">
        <f>IFERROR(__xludf.DUMMYFUNCTION("""COMPUTED_VALUE"""),30768.0)</f>
        <v>30768</v>
      </c>
      <c r="C10899" s="9">
        <f>IFERROR(__xludf.DUMMYFUNCTION("""COMPUTED_VALUE"""),12.46)</f>
        <v>12.46</v>
      </c>
      <c r="H10899" s="17"/>
      <c r="K10899" s="17"/>
      <c r="N10899" s="17"/>
    </row>
    <row r="10900">
      <c r="B10900" s="11">
        <f>IFERROR(__xludf.DUMMYFUNCTION("""COMPUTED_VALUE"""),30767.0)</f>
        <v>30767</v>
      </c>
      <c r="C10900" s="9">
        <f>IFERROR(__xludf.DUMMYFUNCTION("""COMPUTED_VALUE"""),12.46)</f>
        <v>12.46</v>
      </c>
      <c r="H10900" s="17"/>
      <c r="K10900" s="17"/>
      <c r="N10900" s="17"/>
    </row>
    <row r="10901">
      <c r="B10901" s="11">
        <f>IFERROR(__xludf.DUMMYFUNCTION("""COMPUTED_VALUE"""),30764.0)</f>
        <v>30764</v>
      </c>
      <c r="C10901" s="9">
        <f>IFERROR(__xludf.DUMMYFUNCTION("""COMPUTED_VALUE"""),12.48)</f>
        <v>12.48</v>
      </c>
      <c r="H10901" s="17"/>
      <c r="K10901" s="17"/>
      <c r="N10901" s="17"/>
    </row>
    <row r="10902">
      <c r="B10902" s="11">
        <f>IFERROR(__xludf.DUMMYFUNCTION("""COMPUTED_VALUE"""),30763.0)</f>
        <v>30763</v>
      </c>
      <c r="C10902" s="9">
        <f>IFERROR(__xludf.DUMMYFUNCTION("""COMPUTED_VALUE"""),12.49)</f>
        <v>12.49</v>
      </c>
      <c r="H10902" s="17"/>
      <c r="K10902" s="17"/>
      <c r="N10902" s="17"/>
    </row>
    <row r="10903">
      <c r="B10903" s="11">
        <f>IFERROR(__xludf.DUMMYFUNCTION("""COMPUTED_VALUE"""),30762.0)</f>
        <v>30762</v>
      </c>
      <c r="C10903" s="9">
        <f>IFERROR(__xludf.DUMMYFUNCTION("""COMPUTED_VALUE"""),12.45)</f>
        <v>12.45</v>
      </c>
      <c r="H10903" s="17"/>
      <c r="K10903" s="17"/>
      <c r="N10903" s="17"/>
    </row>
    <row r="10904">
      <c r="B10904" s="11">
        <f>IFERROR(__xludf.DUMMYFUNCTION("""COMPUTED_VALUE"""),30761.0)</f>
        <v>30761</v>
      </c>
      <c r="C10904" s="9">
        <f>IFERROR(__xludf.DUMMYFUNCTION("""COMPUTED_VALUE"""),12.44)</f>
        <v>12.44</v>
      </c>
      <c r="H10904" s="17"/>
      <c r="K10904" s="17"/>
      <c r="N10904" s="17"/>
    </row>
    <row r="10905">
      <c r="B10905" s="11">
        <f>IFERROR(__xludf.DUMMYFUNCTION("""COMPUTED_VALUE"""),30760.0)</f>
        <v>30760</v>
      </c>
      <c r="C10905" s="9">
        <f>IFERROR(__xludf.DUMMYFUNCTION("""COMPUTED_VALUE"""),12.45)</f>
        <v>12.45</v>
      </c>
      <c r="H10905" s="17"/>
      <c r="K10905" s="17"/>
      <c r="N10905" s="17"/>
    </row>
    <row r="10906">
      <c r="B10906" s="11">
        <f>IFERROR(__xludf.DUMMYFUNCTION("""COMPUTED_VALUE"""),30757.0)</f>
        <v>30757</v>
      </c>
      <c r="C10906" s="9">
        <f>IFERROR(__xludf.DUMMYFUNCTION("""COMPUTED_VALUE"""),12.34)</f>
        <v>12.34</v>
      </c>
      <c r="H10906" s="17"/>
      <c r="K10906" s="17"/>
      <c r="N10906" s="17"/>
    </row>
    <row r="10907">
      <c r="B10907" s="11">
        <f>IFERROR(__xludf.DUMMYFUNCTION("""COMPUTED_VALUE"""),30756.0)</f>
        <v>30756</v>
      </c>
      <c r="C10907" s="9">
        <f>IFERROR(__xludf.DUMMYFUNCTION("""COMPUTED_VALUE"""),12.31)</f>
        <v>12.31</v>
      </c>
      <c r="H10907" s="17"/>
      <c r="K10907" s="17"/>
      <c r="N10907" s="17"/>
    </row>
    <row r="10908">
      <c r="B10908" s="11">
        <f>IFERROR(__xludf.DUMMYFUNCTION("""COMPUTED_VALUE"""),30755.0)</f>
        <v>30755</v>
      </c>
      <c r="C10908" s="9">
        <f>IFERROR(__xludf.DUMMYFUNCTION("""COMPUTED_VALUE"""),12.31)</f>
        <v>12.31</v>
      </c>
      <c r="H10908" s="17"/>
      <c r="K10908" s="17"/>
      <c r="N10908" s="17"/>
    </row>
    <row r="10909">
      <c r="B10909" s="11">
        <f>IFERROR(__xludf.DUMMYFUNCTION("""COMPUTED_VALUE"""),30754.0)</f>
        <v>30754</v>
      </c>
      <c r="C10909" s="9">
        <f>IFERROR(__xludf.DUMMYFUNCTION("""COMPUTED_VALUE"""),12.27)</f>
        <v>12.27</v>
      </c>
      <c r="H10909" s="17"/>
      <c r="K10909" s="17"/>
      <c r="N10909" s="17"/>
    </row>
    <row r="10910">
      <c r="B10910" s="11">
        <f>IFERROR(__xludf.DUMMYFUNCTION("""COMPUTED_VALUE"""),30753.0)</f>
        <v>30753</v>
      </c>
      <c r="C10910" s="9">
        <f>IFERROR(__xludf.DUMMYFUNCTION("""COMPUTED_VALUE"""),12.24)</f>
        <v>12.24</v>
      </c>
      <c r="H10910" s="17"/>
      <c r="K10910" s="17"/>
      <c r="N10910" s="17"/>
    </row>
    <row r="10911">
      <c r="B10911" s="11">
        <f>IFERROR(__xludf.DUMMYFUNCTION("""COMPUTED_VALUE"""),30750.0)</f>
        <v>30750</v>
      </c>
      <c r="C10911" s="9">
        <f>IFERROR(__xludf.DUMMYFUNCTION("""COMPUTED_VALUE"""),12.28)</f>
        <v>12.28</v>
      </c>
      <c r="H10911" s="17"/>
      <c r="K10911" s="17"/>
      <c r="N10911" s="17"/>
    </row>
    <row r="10912">
      <c r="B10912" s="11">
        <f>IFERROR(__xludf.DUMMYFUNCTION("""COMPUTED_VALUE"""),30749.0)</f>
        <v>30749</v>
      </c>
      <c r="C10912" s="9">
        <f>IFERROR(__xludf.DUMMYFUNCTION("""COMPUTED_VALUE"""),12.24)</f>
        <v>12.24</v>
      </c>
      <c r="H10912" s="17"/>
      <c r="K10912" s="17"/>
      <c r="N10912" s="17"/>
    </row>
    <row r="10913">
      <c r="B10913" s="11">
        <f>IFERROR(__xludf.DUMMYFUNCTION("""COMPUTED_VALUE"""),30748.0)</f>
        <v>30748</v>
      </c>
      <c r="C10913" s="9">
        <f>IFERROR(__xludf.DUMMYFUNCTION("""COMPUTED_VALUE"""),12.22)</f>
        <v>12.22</v>
      </c>
      <c r="H10913" s="17"/>
      <c r="K10913" s="17"/>
      <c r="N10913" s="17"/>
    </row>
    <row r="10914">
      <c r="B10914" s="11">
        <f>IFERROR(__xludf.DUMMYFUNCTION("""COMPUTED_VALUE"""),30747.0)</f>
        <v>30747</v>
      </c>
      <c r="C10914" s="9">
        <f>IFERROR(__xludf.DUMMYFUNCTION("""COMPUTED_VALUE"""),12.09)</f>
        <v>12.09</v>
      </c>
      <c r="H10914" s="17"/>
      <c r="K10914" s="17"/>
      <c r="N10914" s="17"/>
    </row>
    <row r="10915">
      <c r="B10915" s="11">
        <f>IFERROR(__xludf.DUMMYFUNCTION("""COMPUTED_VALUE"""),30746.0)</f>
        <v>30746</v>
      </c>
      <c r="C10915" s="9">
        <f>IFERROR(__xludf.DUMMYFUNCTION("""COMPUTED_VALUE"""),12.07)</f>
        <v>12.07</v>
      </c>
      <c r="H10915" s="17"/>
      <c r="K10915" s="17"/>
      <c r="N10915" s="17"/>
    </row>
    <row r="10916">
      <c r="B10916" s="11">
        <f>IFERROR(__xludf.DUMMYFUNCTION("""COMPUTED_VALUE"""),30743.0)</f>
        <v>30743</v>
      </c>
      <c r="C10916" s="9">
        <f>IFERROR(__xludf.DUMMYFUNCTION("""COMPUTED_VALUE"""),11.99)</f>
        <v>11.99</v>
      </c>
      <c r="H10916" s="17"/>
      <c r="K10916" s="17"/>
      <c r="N10916" s="17"/>
    </row>
    <row r="10917">
      <c r="B10917" s="11">
        <f>IFERROR(__xludf.DUMMYFUNCTION("""COMPUTED_VALUE"""),30742.0)</f>
        <v>30742</v>
      </c>
      <c r="C10917" s="9">
        <f>IFERROR(__xludf.DUMMYFUNCTION("""COMPUTED_VALUE"""),12.07)</f>
        <v>12.07</v>
      </c>
      <c r="H10917" s="17"/>
      <c r="K10917" s="17"/>
      <c r="N10917" s="17"/>
    </row>
    <row r="10918">
      <c r="B10918" s="11">
        <f>IFERROR(__xludf.DUMMYFUNCTION("""COMPUTED_VALUE"""),30741.0)</f>
        <v>30741</v>
      </c>
      <c r="C10918" s="9">
        <f>IFERROR(__xludf.DUMMYFUNCTION("""COMPUTED_VALUE"""),12.04)</f>
        <v>12.04</v>
      </c>
      <c r="H10918" s="17"/>
      <c r="K10918" s="17"/>
      <c r="N10918" s="17"/>
    </row>
    <row r="10919">
      <c r="B10919" s="11">
        <f>IFERROR(__xludf.DUMMYFUNCTION("""COMPUTED_VALUE"""),30740.0)</f>
        <v>30740</v>
      </c>
      <c r="C10919" s="9">
        <f>IFERROR(__xludf.DUMMYFUNCTION("""COMPUTED_VALUE"""),12.09)</f>
        <v>12.09</v>
      </c>
      <c r="H10919" s="17"/>
      <c r="K10919" s="17"/>
      <c r="N10919" s="17"/>
    </row>
    <row r="10920">
      <c r="B10920" s="11">
        <f>IFERROR(__xludf.DUMMYFUNCTION("""COMPUTED_VALUE"""),30739.0)</f>
        <v>30739</v>
      </c>
      <c r="C10920" s="9">
        <f>IFERROR(__xludf.DUMMYFUNCTION("""COMPUTED_VALUE"""),12.05)</f>
        <v>12.05</v>
      </c>
      <c r="H10920" s="17"/>
      <c r="K10920" s="17"/>
      <c r="N10920" s="17"/>
    </row>
    <row r="10921">
      <c r="B10921" s="11">
        <f>IFERROR(__xludf.DUMMYFUNCTION("""COMPUTED_VALUE"""),30736.0)</f>
        <v>30736</v>
      </c>
      <c r="C10921" s="9">
        <f>IFERROR(__xludf.DUMMYFUNCTION("""COMPUTED_VALUE"""),11.99)</f>
        <v>11.99</v>
      </c>
      <c r="H10921" s="17"/>
      <c r="K10921" s="17"/>
      <c r="N10921" s="17"/>
    </row>
    <row r="10922">
      <c r="B10922" s="11">
        <f>IFERROR(__xludf.DUMMYFUNCTION("""COMPUTED_VALUE"""),30735.0)</f>
        <v>30735</v>
      </c>
      <c r="C10922" s="9">
        <f>IFERROR(__xludf.DUMMYFUNCTION("""COMPUTED_VALUE"""),12.05)</f>
        <v>12.05</v>
      </c>
      <c r="H10922" s="17"/>
      <c r="K10922" s="17"/>
      <c r="N10922" s="17"/>
    </row>
    <row r="10923">
      <c r="B10923" s="11">
        <f>IFERROR(__xludf.DUMMYFUNCTION("""COMPUTED_VALUE"""),30734.0)</f>
        <v>30734</v>
      </c>
      <c r="C10923" s="9">
        <f>IFERROR(__xludf.DUMMYFUNCTION("""COMPUTED_VALUE"""),11.93)</f>
        <v>11.93</v>
      </c>
      <c r="H10923" s="17"/>
      <c r="K10923" s="17"/>
      <c r="N10923" s="17"/>
    </row>
    <row r="10924">
      <c r="B10924" s="11">
        <f>IFERROR(__xludf.DUMMYFUNCTION("""COMPUTED_VALUE"""),30733.0)</f>
        <v>30733</v>
      </c>
      <c r="C10924" s="9">
        <f>IFERROR(__xludf.DUMMYFUNCTION("""COMPUTED_VALUE"""),11.91)</f>
        <v>11.91</v>
      </c>
      <c r="H10924" s="17"/>
      <c r="K10924" s="17"/>
      <c r="N10924" s="17"/>
    </row>
    <row r="10925">
      <c r="B10925" s="11">
        <f>IFERROR(__xludf.DUMMYFUNCTION("""COMPUTED_VALUE"""),30732.0)</f>
        <v>30732</v>
      </c>
      <c r="C10925" s="9"/>
      <c r="H10925" s="17"/>
      <c r="K10925" s="17"/>
      <c r="N10925" s="17"/>
    </row>
    <row r="10926">
      <c r="B10926" s="11">
        <f>IFERROR(__xludf.DUMMYFUNCTION("""COMPUTED_VALUE"""),30729.0)</f>
        <v>30729</v>
      </c>
      <c r="C10926" s="9">
        <f>IFERROR(__xludf.DUMMYFUNCTION("""COMPUTED_VALUE"""),11.92)</f>
        <v>11.92</v>
      </c>
      <c r="H10926" s="17"/>
      <c r="K10926" s="17"/>
      <c r="N10926" s="17"/>
    </row>
    <row r="10927">
      <c r="B10927" s="11">
        <f>IFERROR(__xludf.DUMMYFUNCTION("""COMPUTED_VALUE"""),30728.0)</f>
        <v>30728</v>
      </c>
      <c r="C10927" s="9">
        <f>IFERROR(__xludf.DUMMYFUNCTION("""COMPUTED_VALUE"""),11.83)</f>
        <v>11.83</v>
      </c>
      <c r="H10927" s="17"/>
      <c r="K10927" s="17"/>
      <c r="N10927" s="17"/>
    </row>
    <row r="10928">
      <c r="B10928" s="11">
        <f>IFERROR(__xludf.DUMMYFUNCTION("""COMPUTED_VALUE"""),30727.0)</f>
        <v>30727</v>
      </c>
      <c r="C10928" s="9">
        <f>IFERROR(__xludf.DUMMYFUNCTION("""COMPUTED_VALUE"""),11.81)</f>
        <v>11.81</v>
      </c>
      <c r="H10928" s="17"/>
      <c r="K10928" s="17"/>
      <c r="N10928" s="17"/>
    </row>
    <row r="10929">
      <c r="B10929" s="11">
        <f>IFERROR(__xludf.DUMMYFUNCTION("""COMPUTED_VALUE"""),30726.0)</f>
        <v>30726</v>
      </c>
      <c r="C10929" s="9">
        <f>IFERROR(__xludf.DUMMYFUNCTION("""COMPUTED_VALUE"""),11.85)</f>
        <v>11.85</v>
      </c>
      <c r="H10929" s="17"/>
      <c r="K10929" s="17"/>
      <c r="N10929" s="17"/>
    </row>
    <row r="10930">
      <c r="B10930" s="11">
        <f>IFERROR(__xludf.DUMMYFUNCTION("""COMPUTED_VALUE"""),30725.0)</f>
        <v>30725</v>
      </c>
      <c r="C10930" s="9"/>
      <c r="H10930" s="17"/>
      <c r="K10930" s="17"/>
      <c r="N10930" s="17"/>
    </row>
    <row r="10931">
      <c r="B10931" s="11">
        <f>IFERROR(__xludf.DUMMYFUNCTION("""COMPUTED_VALUE"""),30722.0)</f>
        <v>30722</v>
      </c>
      <c r="C10931" s="9">
        <f>IFERROR(__xludf.DUMMYFUNCTION("""COMPUTED_VALUE"""),11.83)</f>
        <v>11.83</v>
      </c>
      <c r="H10931" s="17"/>
      <c r="K10931" s="17"/>
      <c r="N10931" s="17"/>
    </row>
    <row r="10932">
      <c r="B10932" s="11">
        <f>IFERROR(__xludf.DUMMYFUNCTION("""COMPUTED_VALUE"""),30721.0)</f>
        <v>30721</v>
      </c>
      <c r="C10932" s="9">
        <f>IFERROR(__xludf.DUMMYFUNCTION("""COMPUTED_VALUE"""),11.73)</f>
        <v>11.73</v>
      </c>
      <c r="H10932" s="17"/>
      <c r="K10932" s="17"/>
      <c r="N10932" s="17"/>
    </row>
    <row r="10933">
      <c r="B10933" s="11">
        <f>IFERROR(__xludf.DUMMYFUNCTION("""COMPUTED_VALUE"""),30720.0)</f>
        <v>30720</v>
      </c>
      <c r="C10933" s="9">
        <f>IFERROR(__xludf.DUMMYFUNCTION("""COMPUTED_VALUE"""),11.72)</f>
        <v>11.72</v>
      </c>
      <c r="H10933" s="17"/>
      <c r="K10933" s="17"/>
      <c r="N10933" s="17"/>
    </row>
    <row r="10934">
      <c r="B10934" s="11">
        <f>IFERROR(__xludf.DUMMYFUNCTION("""COMPUTED_VALUE"""),30719.0)</f>
        <v>30719</v>
      </c>
      <c r="C10934" s="9">
        <f>IFERROR(__xludf.DUMMYFUNCTION("""COMPUTED_VALUE"""),11.71)</f>
        <v>11.71</v>
      </c>
      <c r="H10934" s="17"/>
      <c r="K10934" s="17"/>
      <c r="N10934" s="17"/>
    </row>
    <row r="10935">
      <c r="B10935" s="11">
        <f>IFERROR(__xludf.DUMMYFUNCTION("""COMPUTED_VALUE"""),30718.0)</f>
        <v>30718</v>
      </c>
      <c r="C10935" s="9">
        <f>IFERROR(__xludf.DUMMYFUNCTION("""COMPUTED_VALUE"""),11.7)</f>
        <v>11.7</v>
      </c>
      <c r="H10935" s="17"/>
      <c r="K10935" s="17"/>
      <c r="N10935" s="17"/>
    </row>
    <row r="10936">
      <c r="B10936" s="11">
        <f>IFERROR(__xludf.DUMMYFUNCTION("""COMPUTED_VALUE"""),30715.0)</f>
        <v>30715</v>
      </c>
      <c r="C10936" s="9">
        <f>IFERROR(__xludf.DUMMYFUNCTION("""COMPUTED_VALUE"""),11.6)</f>
        <v>11.6</v>
      </c>
      <c r="H10936" s="17"/>
      <c r="K10936" s="17"/>
      <c r="N10936" s="17"/>
    </row>
    <row r="10937">
      <c r="B10937" s="11">
        <f>IFERROR(__xludf.DUMMYFUNCTION("""COMPUTED_VALUE"""),30714.0)</f>
        <v>30714</v>
      </c>
      <c r="C10937" s="9">
        <f>IFERROR(__xludf.DUMMYFUNCTION("""COMPUTED_VALUE"""),11.6)</f>
        <v>11.6</v>
      </c>
      <c r="H10937" s="17"/>
      <c r="K10937" s="17"/>
      <c r="N10937" s="17"/>
    </row>
    <row r="10938">
      <c r="B10938" s="11">
        <f>IFERROR(__xludf.DUMMYFUNCTION("""COMPUTED_VALUE"""),30713.0)</f>
        <v>30713</v>
      </c>
      <c r="C10938" s="9">
        <f>IFERROR(__xludf.DUMMYFUNCTION("""COMPUTED_VALUE"""),11.64)</f>
        <v>11.64</v>
      </c>
      <c r="H10938" s="17"/>
      <c r="K10938" s="17"/>
      <c r="N10938" s="17"/>
    </row>
    <row r="10939">
      <c r="B10939" s="11">
        <f>IFERROR(__xludf.DUMMYFUNCTION("""COMPUTED_VALUE"""),30712.0)</f>
        <v>30712</v>
      </c>
      <c r="C10939" s="9">
        <f>IFERROR(__xludf.DUMMYFUNCTION("""COMPUTED_VALUE"""),11.67)</f>
        <v>11.67</v>
      </c>
      <c r="H10939" s="17"/>
      <c r="K10939" s="17"/>
      <c r="N10939" s="17"/>
    </row>
    <row r="10940">
      <c r="B10940" s="11">
        <f>IFERROR(__xludf.DUMMYFUNCTION("""COMPUTED_VALUE"""),30711.0)</f>
        <v>30711</v>
      </c>
      <c r="C10940" s="9">
        <f>IFERROR(__xludf.DUMMYFUNCTION("""COMPUTED_VALUE"""),11.66)</f>
        <v>11.66</v>
      </c>
      <c r="H10940" s="17"/>
      <c r="K10940" s="17"/>
      <c r="N10940" s="17"/>
    </row>
    <row r="10941">
      <c r="B10941" s="11">
        <f>IFERROR(__xludf.DUMMYFUNCTION("""COMPUTED_VALUE"""),30708.0)</f>
        <v>30708</v>
      </c>
      <c r="C10941" s="9">
        <f>IFERROR(__xludf.DUMMYFUNCTION("""COMPUTED_VALUE"""),11.63)</f>
        <v>11.63</v>
      </c>
      <c r="H10941" s="17"/>
      <c r="K10941" s="17"/>
      <c r="N10941" s="17"/>
    </row>
    <row r="10942">
      <c r="B10942" s="11">
        <f>IFERROR(__xludf.DUMMYFUNCTION("""COMPUTED_VALUE"""),30707.0)</f>
        <v>30707</v>
      </c>
      <c r="C10942" s="9">
        <f>IFERROR(__xludf.DUMMYFUNCTION("""COMPUTED_VALUE"""),11.63)</f>
        <v>11.63</v>
      </c>
      <c r="H10942" s="17"/>
      <c r="K10942" s="17"/>
      <c r="N10942" s="17"/>
    </row>
    <row r="10943">
      <c r="B10943" s="11">
        <f>IFERROR(__xludf.DUMMYFUNCTION("""COMPUTED_VALUE"""),30706.0)</f>
        <v>30706</v>
      </c>
      <c r="C10943" s="9">
        <f>IFERROR(__xludf.DUMMYFUNCTION("""COMPUTED_VALUE"""),11.64)</f>
        <v>11.64</v>
      </c>
      <c r="H10943" s="17"/>
      <c r="K10943" s="17"/>
      <c r="N10943" s="17"/>
    </row>
    <row r="10944">
      <c r="B10944" s="11">
        <f>IFERROR(__xludf.DUMMYFUNCTION("""COMPUTED_VALUE"""),30705.0)</f>
        <v>30705</v>
      </c>
      <c r="C10944" s="9">
        <f>IFERROR(__xludf.DUMMYFUNCTION("""COMPUTED_VALUE"""),11.63)</f>
        <v>11.63</v>
      </c>
      <c r="H10944" s="17"/>
      <c r="K10944" s="17"/>
      <c r="N10944" s="17"/>
    </row>
    <row r="10945">
      <c r="B10945" s="11">
        <f>IFERROR(__xludf.DUMMYFUNCTION("""COMPUTED_VALUE"""),30704.0)</f>
        <v>30704</v>
      </c>
      <c r="C10945" s="9">
        <f>IFERROR(__xludf.DUMMYFUNCTION("""COMPUTED_VALUE"""),11.63)</f>
        <v>11.63</v>
      </c>
      <c r="H10945" s="17"/>
      <c r="K10945" s="17"/>
      <c r="N10945" s="17"/>
    </row>
    <row r="10946">
      <c r="B10946" s="11">
        <f>IFERROR(__xludf.DUMMYFUNCTION("""COMPUTED_VALUE"""),30701.0)</f>
        <v>30701</v>
      </c>
      <c r="C10946" s="9">
        <f>IFERROR(__xludf.DUMMYFUNCTION("""COMPUTED_VALUE"""),11.64)</f>
        <v>11.64</v>
      </c>
      <c r="H10946" s="17"/>
      <c r="K10946" s="17"/>
      <c r="N10946" s="17"/>
    </row>
    <row r="10947">
      <c r="B10947" s="11">
        <f>IFERROR(__xludf.DUMMYFUNCTION("""COMPUTED_VALUE"""),30700.0)</f>
        <v>30700</v>
      </c>
      <c r="C10947" s="9">
        <f>IFERROR(__xludf.DUMMYFUNCTION("""COMPUTED_VALUE"""),11.6)</f>
        <v>11.6</v>
      </c>
      <c r="H10947" s="17"/>
      <c r="K10947" s="17"/>
      <c r="N10947" s="17"/>
    </row>
    <row r="10948">
      <c r="B10948" s="11">
        <f>IFERROR(__xludf.DUMMYFUNCTION("""COMPUTED_VALUE"""),30699.0)</f>
        <v>30699</v>
      </c>
      <c r="C10948" s="9">
        <f>IFERROR(__xludf.DUMMYFUNCTION("""COMPUTED_VALUE"""),11.61)</f>
        <v>11.61</v>
      </c>
      <c r="H10948" s="17"/>
      <c r="K10948" s="17"/>
      <c r="N10948" s="17"/>
    </row>
    <row r="10949">
      <c r="B10949" s="11">
        <f>IFERROR(__xludf.DUMMYFUNCTION("""COMPUTED_VALUE"""),30698.0)</f>
        <v>30698</v>
      </c>
      <c r="C10949" s="9">
        <f>IFERROR(__xludf.DUMMYFUNCTION("""COMPUTED_VALUE"""),11.57)</f>
        <v>11.57</v>
      </c>
      <c r="H10949" s="17"/>
      <c r="K10949" s="17"/>
      <c r="N10949" s="17"/>
    </row>
    <row r="10950">
      <c r="B10950" s="11">
        <f>IFERROR(__xludf.DUMMYFUNCTION("""COMPUTED_VALUE"""),30697.0)</f>
        <v>30697</v>
      </c>
      <c r="C10950" s="9">
        <f>IFERROR(__xludf.DUMMYFUNCTION("""COMPUTED_VALUE"""),11.54)</f>
        <v>11.54</v>
      </c>
      <c r="H10950" s="17"/>
      <c r="K10950" s="17"/>
      <c r="N10950" s="17"/>
    </row>
    <row r="10951">
      <c r="B10951" s="11">
        <f>IFERROR(__xludf.DUMMYFUNCTION("""COMPUTED_VALUE"""),30694.0)</f>
        <v>30694</v>
      </c>
      <c r="C10951" s="9">
        <f>IFERROR(__xludf.DUMMYFUNCTION("""COMPUTED_VALUE"""),11.59)</f>
        <v>11.59</v>
      </c>
      <c r="H10951" s="17"/>
      <c r="K10951" s="17"/>
      <c r="N10951" s="17"/>
    </row>
    <row r="10952">
      <c r="B10952" s="11">
        <f>IFERROR(__xludf.DUMMYFUNCTION("""COMPUTED_VALUE"""),30693.0)</f>
        <v>30693</v>
      </c>
      <c r="C10952" s="9">
        <f>IFERROR(__xludf.DUMMYFUNCTION("""COMPUTED_VALUE"""),11.76)</f>
        <v>11.76</v>
      </c>
      <c r="H10952" s="17"/>
      <c r="K10952" s="17"/>
      <c r="N10952" s="17"/>
    </row>
    <row r="10953">
      <c r="B10953" s="11">
        <f>IFERROR(__xludf.DUMMYFUNCTION("""COMPUTED_VALUE"""),30692.0)</f>
        <v>30692</v>
      </c>
      <c r="C10953" s="9">
        <f>IFERROR(__xludf.DUMMYFUNCTION("""COMPUTED_VALUE"""),11.76)</f>
        <v>11.76</v>
      </c>
      <c r="H10953" s="17"/>
      <c r="K10953" s="17"/>
      <c r="N10953" s="17"/>
    </row>
    <row r="10954">
      <c r="B10954" s="11">
        <f>IFERROR(__xludf.DUMMYFUNCTION("""COMPUTED_VALUE"""),30691.0)</f>
        <v>30691</v>
      </c>
      <c r="C10954" s="9">
        <f>IFERROR(__xludf.DUMMYFUNCTION("""COMPUTED_VALUE"""),11.71)</f>
        <v>11.71</v>
      </c>
      <c r="H10954" s="17"/>
      <c r="K10954" s="17"/>
      <c r="N10954" s="17"/>
    </row>
    <row r="10955">
      <c r="B10955" s="11">
        <f>IFERROR(__xludf.DUMMYFUNCTION("""COMPUTED_VALUE"""),30690.0)</f>
        <v>30690</v>
      </c>
      <c r="C10955" s="9">
        <f>IFERROR(__xludf.DUMMYFUNCTION("""COMPUTED_VALUE"""),11.75)</f>
        <v>11.75</v>
      </c>
      <c r="H10955" s="17"/>
      <c r="K10955" s="17"/>
      <c r="N10955" s="17"/>
    </row>
    <row r="10956">
      <c r="B10956" s="11">
        <f>IFERROR(__xludf.DUMMYFUNCTION("""COMPUTED_VALUE"""),30687.0)</f>
        <v>30687</v>
      </c>
      <c r="C10956" s="9">
        <f>IFERROR(__xludf.DUMMYFUNCTION("""COMPUTED_VALUE"""),11.73)</f>
        <v>11.73</v>
      </c>
      <c r="H10956" s="17"/>
      <c r="K10956" s="17"/>
      <c r="N10956" s="17"/>
    </row>
    <row r="10957">
      <c r="B10957" s="11">
        <f>IFERROR(__xludf.DUMMYFUNCTION("""COMPUTED_VALUE"""),30686.0)</f>
        <v>30686</v>
      </c>
      <c r="C10957" s="9">
        <f>IFERROR(__xludf.DUMMYFUNCTION("""COMPUTED_VALUE"""),11.77)</f>
        <v>11.77</v>
      </c>
      <c r="H10957" s="17"/>
      <c r="K10957" s="17"/>
      <c r="N10957" s="17"/>
    </row>
    <row r="10958">
      <c r="B10958" s="11">
        <f>IFERROR(__xludf.DUMMYFUNCTION("""COMPUTED_VALUE"""),30685.0)</f>
        <v>30685</v>
      </c>
      <c r="C10958" s="9">
        <f>IFERROR(__xludf.DUMMYFUNCTION("""COMPUTED_VALUE"""),11.78)</f>
        <v>11.78</v>
      </c>
      <c r="H10958" s="17"/>
      <c r="K10958" s="17"/>
      <c r="N10958" s="17"/>
    </row>
    <row r="10959">
      <c r="B10959" s="11">
        <f>IFERROR(__xludf.DUMMYFUNCTION("""COMPUTED_VALUE"""),30684.0)</f>
        <v>30684</v>
      </c>
      <c r="C10959" s="9">
        <f>IFERROR(__xludf.DUMMYFUNCTION("""COMPUTED_VALUE"""),11.86)</f>
        <v>11.86</v>
      </c>
      <c r="H10959" s="17"/>
      <c r="K10959" s="17"/>
      <c r="N10959" s="17"/>
    </row>
    <row r="10960">
      <c r="B10960" s="11">
        <f>IFERROR(__xludf.DUMMYFUNCTION("""COMPUTED_VALUE"""),30683.0)</f>
        <v>30683</v>
      </c>
      <c r="C10960" s="9"/>
      <c r="H10960" s="17"/>
      <c r="K10960" s="17"/>
      <c r="N10960" s="17"/>
    </row>
    <row r="10961">
      <c r="B10961" s="11">
        <f>IFERROR(__xludf.DUMMYFUNCTION("""COMPUTED_VALUE"""),30680.0)</f>
        <v>30680</v>
      </c>
      <c r="C10961" s="9">
        <f>IFERROR(__xludf.DUMMYFUNCTION("""COMPUTED_VALUE"""),11.82)</f>
        <v>11.82</v>
      </c>
      <c r="H10961" s="17"/>
      <c r="K10961" s="17"/>
      <c r="N10961" s="17"/>
    </row>
    <row r="10962">
      <c r="B10962" s="11">
        <f>IFERROR(__xludf.DUMMYFUNCTION("""COMPUTED_VALUE"""),30679.0)</f>
        <v>30679</v>
      </c>
      <c r="C10962" s="9">
        <f>IFERROR(__xludf.DUMMYFUNCTION("""COMPUTED_VALUE"""),11.79)</f>
        <v>11.79</v>
      </c>
      <c r="H10962" s="17"/>
      <c r="K10962" s="17"/>
      <c r="N10962" s="17"/>
    </row>
    <row r="10963">
      <c r="B10963" s="11">
        <f>IFERROR(__xludf.DUMMYFUNCTION("""COMPUTED_VALUE"""),30678.0)</f>
        <v>30678</v>
      </c>
      <c r="C10963" s="9">
        <f>IFERROR(__xludf.DUMMYFUNCTION("""COMPUTED_VALUE"""),11.81)</f>
        <v>11.81</v>
      </c>
      <c r="H10963" s="17"/>
      <c r="K10963" s="17"/>
      <c r="N10963" s="17"/>
    </row>
    <row r="10964">
      <c r="B10964" s="11">
        <f>IFERROR(__xludf.DUMMYFUNCTION("""COMPUTED_VALUE"""),30677.0)</f>
        <v>30677</v>
      </c>
      <c r="C10964" s="9">
        <f>IFERROR(__xludf.DUMMYFUNCTION("""COMPUTED_VALUE"""),11.75)</f>
        <v>11.75</v>
      </c>
      <c r="H10964" s="17"/>
      <c r="K10964" s="17"/>
      <c r="N10964" s="17"/>
    </row>
    <row r="10965">
      <c r="B10965" s="11">
        <f>IFERROR(__xludf.DUMMYFUNCTION("""COMPUTED_VALUE"""),30676.0)</f>
        <v>30676</v>
      </c>
      <c r="C10965" s="9"/>
      <c r="H10965" s="17"/>
      <c r="K10965" s="17"/>
      <c r="N10965" s="17"/>
    </row>
    <row r="10966">
      <c r="B10966" s="11">
        <f>IFERROR(__xludf.DUMMYFUNCTION("""COMPUTED_VALUE"""),30673.0)</f>
        <v>30673</v>
      </c>
      <c r="C10966" s="9">
        <f>IFERROR(__xludf.DUMMYFUNCTION("""COMPUTED_VALUE"""),11.79)</f>
        <v>11.79</v>
      </c>
      <c r="H10966" s="17"/>
      <c r="K10966" s="17"/>
      <c r="N10966" s="17"/>
    </row>
    <row r="10967">
      <c r="B10967" s="11">
        <f>IFERROR(__xludf.DUMMYFUNCTION("""COMPUTED_VALUE"""),30672.0)</f>
        <v>30672</v>
      </c>
      <c r="C10967" s="9">
        <f>IFERROR(__xludf.DUMMYFUNCTION("""COMPUTED_VALUE"""),11.77)</f>
        <v>11.77</v>
      </c>
      <c r="H10967" s="17"/>
      <c r="K10967" s="17"/>
      <c r="N10967" s="17"/>
    </row>
    <row r="10968">
      <c r="B10968" s="11">
        <f>IFERROR(__xludf.DUMMYFUNCTION("""COMPUTED_VALUE"""),30671.0)</f>
        <v>30671</v>
      </c>
      <c r="C10968" s="9">
        <f>IFERROR(__xludf.DUMMYFUNCTION("""COMPUTED_VALUE"""),11.83)</f>
        <v>11.83</v>
      </c>
      <c r="H10968" s="17"/>
      <c r="K10968" s="17"/>
      <c r="N10968" s="17"/>
    </row>
    <row r="10969">
      <c r="B10969" s="11">
        <f>IFERROR(__xludf.DUMMYFUNCTION("""COMPUTED_VALUE"""),30670.0)</f>
        <v>30670</v>
      </c>
      <c r="C10969" s="9">
        <f>IFERROR(__xludf.DUMMYFUNCTION("""COMPUTED_VALUE"""),11.86)</f>
        <v>11.86</v>
      </c>
      <c r="H10969" s="17"/>
      <c r="K10969" s="17"/>
      <c r="N10969" s="17"/>
    </row>
    <row r="10970">
      <c r="B10970" s="11">
        <f>IFERROR(__xludf.DUMMYFUNCTION("""COMPUTED_VALUE"""),30669.0)</f>
        <v>30669</v>
      </c>
      <c r="C10970" s="9">
        <f>IFERROR(__xludf.DUMMYFUNCTION("""COMPUTED_VALUE"""),11.87)</f>
        <v>11.87</v>
      </c>
      <c r="H10970" s="17"/>
      <c r="K10970" s="17"/>
      <c r="N10970" s="17"/>
    </row>
    <row r="10971">
      <c r="B10971" s="11">
        <f>IFERROR(__xludf.DUMMYFUNCTION("""COMPUTED_VALUE"""),30666.0)</f>
        <v>30666</v>
      </c>
      <c r="C10971" s="9">
        <f>IFERROR(__xludf.DUMMYFUNCTION("""COMPUTED_VALUE"""),11.88)</f>
        <v>11.88</v>
      </c>
      <c r="H10971" s="17"/>
      <c r="K10971" s="17"/>
      <c r="N10971" s="17"/>
    </row>
    <row r="10972">
      <c r="B10972" s="11">
        <f>IFERROR(__xludf.DUMMYFUNCTION("""COMPUTED_VALUE"""),30665.0)</f>
        <v>30665</v>
      </c>
      <c r="C10972" s="9">
        <f>IFERROR(__xludf.DUMMYFUNCTION("""COMPUTED_VALUE"""),11.96)</f>
        <v>11.96</v>
      </c>
      <c r="H10972" s="17"/>
      <c r="K10972" s="17"/>
      <c r="N10972" s="17"/>
    </row>
    <row r="10973">
      <c r="B10973" s="11">
        <f>IFERROR(__xludf.DUMMYFUNCTION("""COMPUTED_VALUE"""),30664.0)</f>
        <v>30664</v>
      </c>
      <c r="C10973" s="9">
        <f>IFERROR(__xludf.DUMMYFUNCTION("""COMPUTED_VALUE"""),11.97)</f>
        <v>11.97</v>
      </c>
      <c r="H10973" s="17"/>
      <c r="K10973" s="17"/>
      <c r="N10973" s="17"/>
    </row>
    <row r="10974">
      <c r="B10974" s="11">
        <f>IFERROR(__xludf.DUMMYFUNCTION("""COMPUTED_VALUE"""),30663.0)</f>
        <v>30663</v>
      </c>
      <c r="C10974" s="9">
        <f>IFERROR(__xludf.DUMMYFUNCTION("""COMPUTED_VALUE"""),11.95)</f>
        <v>11.95</v>
      </c>
      <c r="H10974" s="17"/>
      <c r="K10974" s="17"/>
      <c r="N10974" s="17"/>
    </row>
    <row r="10975">
      <c r="B10975" s="11">
        <f>IFERROR(__xludf.DUMMYFUNCTION("""COMPUTED_VALUE"""),30662.0)</f>
        <v>30662</v>
      </c>
      <c r="C10975" s="9">
        <f>IFERROR(__xludf.DUMMYFUNCTION("""COMPUTED_VALUE"""),11.87)</f>
        <v>11.87</v>
      </c>
      <c r="H10975" s="17"/>
      <c r="K10975" s="17"/>
      <c r="N10975" s="17"/>
    </row>
    <row r="10976">
      <c r="B10976" s="11">
        <f>IFERROR(__xludf.DUMMYFUNCTION("""COMPUTED_VALUE"""),30659.0)</f>
        <v>30659</v>
      </c>
      <c r="C10976" s="9">
        <f>IFERROR(__xludf.DUMMYFUNCTION("""COMPUTED_VALUE"""),11.9)</f>
        <v>11.9</v>
      </c>
      <c r="H10976" s="17"/>
      <c r="K10976" s="17"/>
      <c r="N10976" s="17"/>
    </row>
    <row r="10977">
      <c r="B10977" s="11">
        <f>IFERROR(__xludf.DUMMYFUNCTION("""COMPUTED_VALUE"""),30658.0)</f>
        <v>30658</v>
      </c>
      <c r="C10977" s="9">
        <f>IFERROR(__xludf.DUMMYFUNCTION("""COMPUTED_VALUE"""),11.89)</f>
        <v>11.89</v>
      </c>
      <c r="H10977" s="17"/>
      <c r="K10977" s="17"/>
      <c r="N10977" s="17"/>
    </row>
    <row r="10978">
      <c r="B10978" s="11">
        <f>IFERROR(__xludf.DUMMYFUNCTION("""COMPUTED_VALUE"""),30657.0)</f>
        <v>30657</v>
      </c>
      <c r="C10978" s="9">
        <f>IFERROR(__xludf.DUMMYFUNCTION("""COMPUTED_VALUE"""),11.79)</f>
        <v>11.79</v>
      </c>
      <c r="H10978" s="17"/>
      <c r="K10978" s="17"/>
      <c r="N10978" s="17"/>
    </row>
    <row r="10979">
      <c r="B10979" s="11">
        <f>IFERROR(__xludf.DUMMYFUNCTION("""COMPUTED_VALUE"""),30656.0)</f>
        <v>30656</v>
      </c>
      <c r="C10979" s="9">
        <f>IFERROR(__xludf.DUMMYFUNCTION("""COMPUTED_VALUE"""),11.76)</f>
        <v>11.76</v>
      </c>
      <c r="H10979" s="17"/>
      <c r="K10979" s="17"/>
      <c r="N10979" s="17"/>
    </row>
    <row r="10980">
      <c r="B10980" s="11">
        <f>IFERROR(__xludf.DUMMYFUNCTION("""COMPUTED_VALUE"""),30655.0)</f>
        <v>30655</v>
      </c>
      <c r="C10980" s="9">
        <f>IFERROR(__xludf.DUMMYFUNCTION("""COMPUTED_VALUE"""),11.78)</f>
        <v>11.78</v>
      </c>
      <c r="H10980" s="17"/>
      <c r="K10980" s="17"/>
      <c r="N10980" s="17"/>
    </row>
    <row r="10981">
      <c r="B10981" s="11">
        <f>IFERROR(__xludf.DUMMYFUNCTION("""COMPUTED_VALUE"""),30652.0)</f>
        <v>30652</v>
      </c>
      <c r="C10981" s="9">
        <f>IFERROR(__xludf.DUMMYFUNCTION("""COMPUTED_VALUE"""),11.75)</f>
        <v>11.75</v>
      </c>
      <c r="H10981" s="17"/>
      <c r="K10981" s="17"/>
      <c r="N10981" s="17"/>
    </row>
    <row r="10982">
      <c r="B10982" s="11">
        <f>IFERROR(__xludf.DUMMYFUNCTION("""COMPUTED_VALUE"""),30651.0)</f>
        <v>30651</v>
      </c>
      <c r="C10982" s="9">
        <f>IFERROR(__xludf.DUMMYFUNCTION("""COMPUTED_VALUE"""),11.63)</f>
        <v>11.63</v>
      </c>
      <c r="H10982" s="17"/>
      <c r="K10982" s="17"/>
      <c r="N10982" s="17"/>
    </row>
    <row r="10983">
      <c r="B10983" s="11">
        <f>IFERROR(__xludf.DUMMYFUNCTION("""COMPUTED_VALUE"""),30650.0)</f>
        <v>30650</v>
      </c>
      <c r="C10983" s="9">
        <f>IFERROR(__xludf.DUMMYFUNCTION("""COMPUTED_VALUE"""),11.63)</f>
        <v>11.63</v>
      </c>
      <c r="H10983" s="17"/>
      <c r="K10983" s="17"/>
      <c r="N10983" s="17"/>
    </row>
    <row r="10984">
      <c r="B10984" s="11">
        <f>IFERROR(__xludf.DUMMYFUNCTION("""COMPUTED_VALUE"""),30649.0)</f>
        <v>30649</v>
      </c>
      <c r="C10984" s="9">
        <f>IFERROR(__xludf.DUMMYFUNCTION("""COMPUTED_VALUE"""),11.58)</f>
        <v>11.58</v>
      </c>
      <c r="H10984" s="17"/>
      <c r="K10984" s="17"/>
      <c r="N10984" s="17"/>
    </row>
    <row r="10985">
      <c r="B10985" s="11">
        <f>IFERROR(__xludf.DUMMYFUNCTION("""COMPUTED_VALUE"""),30648.0)</f>
        <v>30648</v>
      </c>
      <c r="C10985" s="9">
        <f>IFERROR(__xludf.DUMMYFUNCTION("""COMPUTED_VALUE"""),11.63)</f>
        <v>11.63</v>
      </c>
      <c r="H10985" s="17"/>
      <c r="K10985" s="17"/>
      <c r="N10985" s="17"/>
    </row>
    <row r="10986">
      <c r="B10986" s="11">
        <f>IFERROR(__xludf.DUMMYFUNCTION("""COMPUTED_VALUE"""),30645.0)</f>
        <v>30645</v>
      </c>
      <c r="C10986" s="9">
        <f>IFERROR(__xludf.DUMMYFUNCTION("""COMPUTED_VALUE"""),11.55)</f>
        <v>11.55</v>
      </c>
      <c r="H10986" s="17"/>
      <c r="K10986" s="17"/>
      <c r="N10986" s="17"/>
    </row>
    <row r="10987">
      <c r="B10987" s="11">
        <f>IFERROR(__xludf.DUMMYFUNCTION("""COMPUTED_VALUE"""),30644.0)</f>
        <v>30644</v>
      </c>
      <c r="C10987" s="9"/>
      <c r="H10987" s="17"/>
      <c r="K10987" s="17"/>
      <c r="N10987" s="17"/>
    </row>
    <row r="10988">
      <c r="B10988" s="11">
        <f>IFERROR(__xludf.DUMMYFUNCTION("""COMPUTED_VALUE"""),30643.0)</f>
        <v>30643</v>
      </c>
      <c r="C10988" s="9">
        <f>IFERROR(__xludf.DUMMYFUNCTION("""COMPUTED_VALUE"""),11.59)</f>
        <v>11.59</v>
      </c>
      <c r="H10988" s="17"/>
      <c r="K10988" s="17"/>
      <c r="N10988" s="17"/>
    </row>
    <row r="10989">
      <c r="B10989" s="11">
        <f>IFERROR(__xludf.DUMMYFUNCTION("""COMPUTED_VALUE"""),30642.0)</f>
        <v>30642</v>
      </c>
      <c r="C10989" s="9">
        <f>IFERROR(__xludf.DUMMYFUNCTION("""COMPUTED_VALUE"""),11.57)</f>
        <v>11.57</v>
      </c>
      <c r="H10989" s="17"/>
      <c r="K10989" s="17"/>
      <c r="N10989" s="17"/>
    </row>
    <row r="10990">
      <c r="B10990" s="11">
        <f>IFERROR(__xludf.DUMMYFUNCTION("""COMPUTED_VALUE"""),30641.0)</f>
        <v>30641</v>
      </c>
      <c r="C10990" s="9">
        <f>IFERROR(__xludf.DUMMYFUNCTION("""COMPUTED_VALUE"""),11.65)</f>
        <v>11.65</v>
      </c>
      <c r="H10990" s="17"/>
      <c r="K10990" s="17"/>
      <c r="N10990" s="17"/>
    </row>
    <row r="10991">
      <c r="B10991" s="11">
        <f>IFERROR(__xludf.DUMMYFUNCTION("""COMPUTED_VALUE"""),30638.0)</f>
        <v>30638</v>
      </c>
      <c r="C10991" s="9">
        <f>IFERROR(__xludf.DUMMYFUNCTION("""COMPUTED_VALUE"""),11.72)</f>
        <v>11.72</v>
      </c>
      <c r="H10991" s="17"/>
      <c r="K10991" s="17"/>
      <c r="N10991" s="17"/>
    </row>
    <row r="10992">
      <c r="B10992" s="11">
        <f>IFERROR(__xludf.DUMMYFUNCTION("""COMPUTED_VALUE"""),30637.0)</f>
        <v>30637</v>
      </c>
      <c r="C10992" s="9">
        <f>IFERROR(__xludf.DUMMYFUNCTION("""COMPUTED_VALUE"""),11.72)</f>
        <v>11.72</v>
      </c>
      <c r="H10992" s="17"/>
      <c r="K10992" s="17"/>
      <c r="N10992" s="17"/>
    </row>
    <row r="10993">
      <c r="B10993" s="11">
        <f>IFERROR(__xludf.DUMMYFUNCTION("""COMPUTED_VALUE"""),30636.0)</f>
        <v>30636</v>
      </c>
      <c r="C10993" s="9">
        <f>IFERROR(__xludf.DUMMYFUNCTION("""COMPUTED_VALUE"""),11.7)</f>
        <v>11.7</v>
      </c>
      <c r="H10993" s="17"/>
      <c r="K10993" s="17"/>
      <c r="N10993" s="17"/>
    </row>
    <row r="10994">
      <c r="B10994" s="11">
        <f>IFERROR(__xludf.DUMMYFUNCTION("""COMPUTED_VALUE"""),30635.0)</f>
        <v>30635</v>
      </c>
      <c r="C10994" s="9">
        <f>IFERROR(__xludf.DUMMYFUNCTION("""COMPUTED_VALUE"""),11.7)</f>
        <v>11.7</v>
      </c>
      <c r="H10994" s="17"/>
      <c r="K10994" s="17"/>
      <c r="N10994" s="17"/>
    </row>
    <row r="10995">
      <c r="B10995" s="11">
        <f>IFERROR(__xludf.DUMMYFUNCTION("""COMPUTED_VALUE"""),30634.0)</f>
        <v>30634</v>
      </c>
      <c r="C10995" s="9">
        <f>IFERROR(__xludf.DUMMYFUNCTION("""COMPUTED_VALUE"""),11.68)</f>
        <v>11.68</v>
      </c>
      <c r="H10995" s="17"/>
      <c r="K10995" s="17"/>
      <c r="N10995" s="17"/>
    </row>
    <row r="10996">
      <c r="B10996" s="11">
        <f>IFERROR(__xludf.DUMMYFUNCTION("""COMPUTED_VALUE"""),30631.0)</f>
        <v>30631</v>
      </c>
      <c r="C10996" s="9"/>
      <c r="H10996" s="17"/>
      <c r="K10996" s="17"/>
      <c r="N10996" s="17"/>
    </row>
    <row r="10997">
      <c r="B10997" s="11">
        <f>IFERROR(__xludf.DUMMYFUNCTION("""COMPUTED_VALUE"""),30630.0)</f>
        <v>30630</v>
      </c>
      <c r="C10997" s="9">
        <f>IFERROR(__xludf.DUMMYFUNCTION("""COMPUTED_VALUE"""),11.71)</f>
        <v>11.71</v>
      </c>
      <c r="H10997" s="17"/>
      <c r="K10997" s="17"/>
      <c r="N10997" s="17"/>
    </row>
    <row r="10998">
      <c r="B10998" s="11">
        <f>IFERROR(__xludf.DUMMYFUNCTION("""COMPUTED_VALUE"""),30629.0)</f>
        <v>30629</v>
      </c>
      <c r="C10998" s="9">
        <f>IFERROR(__xludf.DUMMYFUNCTION("""COMPUTED_VALUE"""),11.84)</f>
        <v>11.84</v>
      </c>
      <c r="H10998" s="17"/>
      <c r="K10998" s="17"/>
      <c r="N10998" s="17"/>
    </row>
    <row r="10999">
      <c r="B10999" s="11">
        <f>IFERROR(__xludf.DUMMYFUNCTION("""COMPUTED_VALUE"""),30628.0)</f>
        <v>30628</v>
      </c>
      <c r="C10999" s="9"/>
      <c r="H10999" s="17"/>
      <c r="K10999" s="17"/>
      <c r="N10999" s="17"/>
    </row>
    <row r="11000">
      <c r="B11000" s="11">
        <f>IFERROR(__xludf.DUMMYFUNCTION("""COMPUTED_VALUE"""),30627.0)</f>
        <v>30627</v>
      </c>
      <c r="C11000" s="9">
        <f>IFERROR(__xludf.DUMMYFUNCTION("""COMPUTED_VALUE"""),11.85)</f>
        <v>11.85</v>
      </c>
      <c r="H11000" s="17"/>
      <c r="K11000" s="17"/>
      <c r="N11000" s="17"/>
    </row>
    <row r="11001">
      <c r="B11001" s="11">
        <f>IFERROR(__xludf.DUMMYFUNCTION("""COMPUTED_VALUE"""),30624.0)</f>
        <v>30624</v>
      </c>
      <c r="C11001" s="9">
        <f>IFERROR(__xludf.DUMMYFUNCTION("""COMPUTED_VALUE"""),11.85)</f>
        <v>11.85</v>
      </c>
      <c r="H11001" s="17"/>
      <c r="K11001" s="17"/>
      <c r="N11001" s="17"/>
    </row>
    <row r="11002">
      <c r="B11002" s="11">
        <f>IFERROR(__xludf.DUMMYFUNCTION("""COMPUTED_VALUE"""),30623.0)</f>
        <v>30623</v>
      </c>
      <c r="C11002" s="9">
        <f>IFERROR(__xludf.DUMMYFUNCTION("""COMPUTED_VALUE"""),11.75)</f>
        <v>11.75</v>
      </c>
      <c r="H11002" s="17"/>
      <c r="K11002" s="17"/>
      <c r="N11002" s="17"/>
    </row>
    <row r="11003">
      <c r="B11003" s="11">
        <f>IFERROR(__xludf.DUMMYFUNCTION("""COMPUTED_VALUE"""),30622.0)</f>
        <v>30622</v>
      </c>
      <c r="C11003" s="9">
        <f>IFERROR(__xludf.DUMMYFUNCTION("""COMPUTED_VALUE"""),11.7)</f>
        <v>11.7</v>
      </c>
      <c r="H11003" s="17"/>
      <c r="K11003" s="17"/>
      <c r="N11003" s="17"/>
    </row>
    <row r="11004">
      <c r="B11004" s="11">
        <f>IFERROR(__xludf.DUMMYFUNCTION("""COMPUTED_VALUE"""),30621.0)</f>
        <v>30621</v>
      </c>
      <c r="C11004" s="9">
        <f>IFERROR(__xludf.DUMMYFUNCTION("""COMPUTED_VALUE"""),11.69)</f>
        <v>11.69</v>
      </c>
      <c r="H11004" s="17"/>
      <c r="K11004" s="17"/>
      <c r="N11004" s="17"/>
    </row>
    <row r="11005">
      <c r="B11005" s="11">
        <f>IFERROR(__xludf.DUMMYFUNCTION("""COMPUTED_VALUE"""),30620.0)</f>
        <v>30620</v>
      </c>
      <c r="C11005" s="9">
        <f>IFERROR(__xludf.DUMMYFUNCTION("""COMPUTED_VALUE"""),11.74)</f>
        <v>11.74</v>
      </c>
      <c r="H11005" s="17"/>
      <c r="K11005" s="17"/>
      <c r="N11005" s="17"/>
    </row>
    <row r="11006">
      <c r="B11006" s="11">
        <f>IFERROR(__xludf.DUMMYFUNCTION("""COMPUTED_VALUE"""),30617.0)</f>
        <v>30617</v>
      </c>
      <c r="C11006" s="9">
        <f>IFERROR(__xludf.DUMMYFUNCTION("""COMPUTED_VALUE"""),11.68)</f>
        <v>11.68</v>
      </c>
      <c r="H11006" s="17"/>
      <c r="K11006" s="17"/>
      <c r="N11006" s="17"/>
    </row>
    <row r="11007">
      <c r="B11007" s="11">
        <f>IFERROR(__xludf.DUMMYFUNCTION("""COMPUTED_VALUE"""),30616.0)</f>
        <v>30616</v>
      </c>
      <c r="C11007" s="9">
        <f>IFERROR(__xludf.DUMMYFUNCTION("""COMPUTED_VALUE"""),11.66)</f>
        <v>11.66</v>
      </c>
      <c r="H11007" s="17"/>
      <c r="K11007" s="17"/>
      <c r="N11007" s="17"/>
    </row>
    <row r="11008">
      <c r="B11008" s="11">
        <f>IFERROR(__xludf.DUMMYFUNCTION("""COMPUTED_VALUE"""),30615.0)</f>
        <v>30615</v>
      </c>
      <c r="C11008" s="9">
        <f>IFERROR(__xludf.DUMMYFUNCTION("""COMPUTED_VALUE"""),11.72)</f>
        <v>11.72</v>
      </c>
      <c r="H11008" s="17"/>
      <c r="K11008" s="17"/>
      <c r="N11008" s="17"/>
    </row>
    <row r="11009">
      <c r="B11009" s="11">
        <f>IFERROR(__xludf.DUMMYFUNCTION("""COMPUTED_VALUE"""),30614.0)</f>
        <v>30614</v>
      </c>
      <c r="C11009" s="9">
        <f>IFERROR(__xludf.DUMMYFUNCTION("""COMPUTED_VALUE"""),11.7)</f>
        <v>11.7</v>
      </c>
      <c r="H11009" s="17"/>
      <c r="K11009" s="17"/>
      <c r="N11009" s="17"/>
    </row>
    <row r="11010">
      <c r="B11010" s="11">
        <f>IFERROR(__xludf.DUMMYFUNCTION("""COMPUTED_VALUE"""),30613.0)</f>
        <v>30613</v>
      </c>
      <c r="C11010" s="9">
        <f>IFERROR(__xludf.DUMMYFUNCTION("""COMPUTED_VALUE"""),11.66)</f>
        <v>11.66</v>
      </c>
      <c r="H11010" s="17"/>
      <c r="K11010" s="17"/>
      <c r="N11010" s="17"/>
    </row>
    <row r="11011">
      <c r="B11011" s="11">
        <f>IFERROR(__xludf.DUMMYFUNCTION("""COMPUTED_VALUE"""),30610.0)</f>
        <v>30610</v>
      </c>
      <c r="C11011" s="9">
        <f>IFERROR(__xludf.DUMMYFUNCTION("""COMPUTED_VALUE"""),11.43)</f>
        <v>11.43</v>
      </c>
      <c r="H11011" s="17"/>
      <c r="K11011" s="17"/>
      <c r="N11011" s="17"/>
    </row>
    <row r="11012">
      <c r="B11012" s="11">
        <f>IFERROR(__xludf.DUMMYFUNCTION("""COMPUTED_VALUE"""),30609.0)</f>
        <v>30609</v>
      </c>
      <c r="C11012" s="9">
        <f>IFERROR(__xludf.DUMMYFUNCTION("""COMPUTED_VALUE"""),11.47)</f>
        <v>11.47</v>
      </c>
      <c r="H11012" s="17"/>
      <c r="K11012" s="17"/>
      <c r="N11012" s="17"/>
    </row>
    <row r="11013">
      <c r="B11013" s="11">
        <f>IFERROR(__xludf.DUMMYFUNCTION("""COMPUTED_VALUE"""),30608.0)</f>
        <v>30608</v>
      </c>
      <c r="C11013" s="9">
        <f>IFERROR(__xludf.DUMMYFUNCTION("""COMPUTED_VALUE"""),11.49)</f>
        <v>11.49</v>
      </c>
      <c r="H11013" s="17"/>
      <c r="K11013" s="17"/>
      <c r="N11013" s="17"/>
    </row>
    <row r="11014">
      <c r="B11014" s="11">
        <f>IFERROR(__xludf.DUMMYFUNCTION("""COMPUTED_VALUE"""),30607.0)</f>
        <v>30607</v>
      </c>
      <c r="C11014" s="9">
        <f>IFERROR(__xludf.DUMMYFUNCTION("""COMPUTED_VALUE"""),11.49)</f>
        <v>11.49</v>
      </c>
      <c r="H11014" s="17"/>
      <c r="K11014" s="17"/>
      <c r="N11014" s="17"/>
    </row>
    <row r="11015">
      <c r="B11015" s="11">
        <f>IFERROR(__xludf.DUMMYFUNCTION("""COMPUTED_VALUE"""),30606.0)</f>
        <v>30606</v>
      </c>
      <c r="C11015" s="9">
        <f>IFERROR(__xludf.DUMMYFUNCTION("""COMPUTED_VALUE"""),11.47)</f>
        <v>11.47</v>
      </c>
      <c r="H11015" s="17"/>
      <c r="K11015" s="17"/>
      <c r="N11015" s="17"/>
    </row>
    <row r="11016">
      <c r="B11016" s="11">
        <f>IFERROR(__xludf.DUMMYFUNCTION("""COMPUTED_VALUE"""),30603.0)</f>
        <v>30603</v>
      </c>
      <c r="C11016" s="9">
        <f>IFERROR(__xludf.DUMMYFUNCTION("""COMPUTED_VALUE"""),11.58)</f>
        <v>11.58</v>
      </c>
      <c r="H11016" s="17"/>
      <c r="K11016" s="17"/>
      <c r="N11016" s="17"/>
    </row>
    <row r="11017">
      <c r="B11017" s="11">
        <f>IFERROR(__xludf.DUMMYFUNCTION("""COMPUTED_VALUE"""),30602.0)</f>
        <v>30602</v>
      </c>
      <c r="C11017" s="9">
        <f>IFERROR(__xludf.DUMMYFUNCTION("""COMPUTED_VALUE"""),11.65)</f>
        <v>11.65</v>
      </c>
      <c r="H11017" s="17"/>
      <c r="K11017" s="17"/>
      <c r="N11017" s="17"/>
    </row>
    <row r="11018">
      <c r="B11018" s="11">
        <f>IFERROR(__xludf.DUMMYFUNCTION("""COMPUTED_VALUE"""),30601.0)</f>
        <v>30601</v>
      </c>
      <c r="C11018" s="9">
        <f>IFERROR(__xludf.DUMMYFUNCTION("""COMPUTED_VALUE"""),11.59)</f>
        <v>11.59</v>
      </c>
      <c r="H11018" s="17"/>
      <c r="K11018" s="17"/>
      <c r="N11018" s="17"/>
    </row>
    <row r="11019">
      <c r="B11019" s="11">
        <f>IFERROR(__xludf.DUMMYFUNCTION("""COMPUTED_VALUE"""),30600.0)</f>
        <v>30600</v>
      </c>
      <c r="C11019" s="9">
        <f>IFERROR(__xludf.DUMMYFUNCTION("""COMPUTED_VALUE"""),11.57)</f>
        <v>11.57</v>
      </c>
      <c r="H11019" s="17"/>
      <c r="K11019" s="17"/>
      <c r="N11019" s="17"/>
    </row>
    <row r="11020">
      <c r="B11020" s="11">
        <f>IFERROR(__xludf.DUMMYFUNCTION("""COMPUTED_VALUE"""),30599.0)</f>
        <v>30599</v>
      </c>
      <c r="C11020" s="9"/>
      <c r="H11020" s="17"/>
      <c r="K11020" s="17"/>
      <c r="N11020" s="17"/>
    </row>
    <row r="11021">
      <c r="B11021" s="11">
        <f>IFERROR(__xludf.DUMMYFUNCTION("""COMPUTED_VALUE"""),30596.0)</f>
        <v>30596</v>
      </c>
      <c r="C11021" s="9">
        <f>IFERROR(__xludf.DUMMYFUNCTION("""COMPUTED_VALUE"""),11.33)</f>
        <v>11.33</v>
      </c>
      <c r="H11021" s="17"/>
      <c r="K11021" s="17"/>
      <c r="N11021" s="17"/>
    </row>
    <row r="11022">
      <c r="B11022" s="11">
        <f>IFERROR(__xludf.DUMMYFUNCTION("""COMPUTED_VALUE"""),30595.0)</f>
        <v>30595</v>
      </c>
      <c r="C11022" s="9">
        <f>IFERROR(__xludf.DUMMYFUNCTION("""COMPUTED_VALUE"""),11.31)</f>
        <v>11.31</v>
      </c>
      <c r="H11022" s="17"/>
      <c r="K11022" s="17"/>
      <c r="N11022" s="17"/>
    </row>
    <row r="11023">
      <c r="B11023" s="11">
        <f>IFERROR(__xludf.DUMMYFUNCTION("""COMPUTED_VALUE"""),30594.0)</f>
        <v>30594</v>
      </c>
      <c r="C11023" s="9">
        <f>IFERROR(__xludf.DUMMYFUNCTION("""COMPUTED_VALUE"""),11.35)</f>
        <v>11.35</v>
      </c>
      <c r="H11023" s="17"/>
      <c r="K11023" s="17"/>
      <c r="N11023" s="17"/>
    </row>
    <row r="11024">
      <c r="B11024" s="11">
        <f>IFERROR(__xludf.DUMMYFUNCTION("""COMPUTED_VALUE"""),30593.0)</f>
        <v>30593</v>
      </c>
      <c r="C11024" s="9">
        <f>IFERROR(__xludf.DUMMYFUNCTION("""COMPUTED_VALUE"""),11.46)</f>
        <v>11.46</v>
      </c>
      <c r="H11024" s="17"/>
      <c r="K11024" s="17"/>
      <c r="N11024" s="17"/>
    </row>
    <row r="11025">
      <c r="B11025" s="11">
        <f>IFERROR(__xludf.DUMMYFUNCTION("""COMPUTED_VALUE"""),30592.0)</f>
        <v>30592</v>
      </c>
      <c r="C11025" s="9">
        <f>IFERROR(__xludf.DUMMYFUNCTION("""COMPUTED_VALUE"""),11.47)</f>
        <v>11.47</v>
      </c>
      <c r="H11025" s="17"/>
      <c r="K11025" s="17"/>
      <c r="N11025" s="17"/>
    </row>
    <row r="11026">
      <c r="B11026" s="11">
        <f>IFERROR(__xludf.DUMMYFUNCTION("""COMPUTED_VALUE"""),30589.0)</f>
        <v>30589</v>
      </c>
      <c r="C11026" s="9">
        <f>IFERROR(__xludf.DUMMYFUNCTION("""COMPUTED_VALUE"""),11.44)</f>
        <v>11.44</v>
      </c>
      <c r="H11026" s="17"/>
      <c r="K11026" s="17"/>
      <c r="N11026" s="17"/>
    </row>
    <row r="11027">
      <c r="B11027" s="11">
        <f>IFERROR(__xludf.DUMMYFUNCTION("""COMPUTED_VALUE"""),30588.0)</f>
        <v>30588</v>
      </c>
      <c r="C11027" s="9">
        <f>IFERROR(__xludf.DUMMYFUNCTION("""COMPUTED_VALUE"""),11.5)</f>
        <v>11.5</v>
      </c>
      <c r="H11027" s="17"/>
      <c r="K11027" s="17"/>
      <c r="N11027" s="17"/>
    </row>
    <row r="11028">
      <c r="B11028" s="11">
        <f>IFERROR(__xludf.DUMMYFUNCTION("""COMPUTED_VALUE"""),30587.0)</f>
        <v>30587</v>
      </c>
      <c r="C11028" s="9">
        <f>IFERROR(__xludf.DUMMYFUNCTION("""COMPUTED_VALUE"""),11.49)</f>
        <v>11.49</v>
      </c>
      <c r="H11028" s="17"/>
      <c r="K11028" s="17"/>
      <c r="N11028" s="17"/>
    </row>
    <row r="11029">
      <c r="B11029" s="11">
        <f>IFERROR(__xludf.DUMMYFUNCTION("""COMPUTED_VALUE"""),30586.0)</f>
        <v>30586</v>
      </c>
      <c r="C11029" s="9">
        <f>IFERROR(__xludf.DUMMYFUNCTION("""COMPUTED_VALUE"""),11.45)</f>
        <v>11.45</v>
      </c>
      <c r="H11029" s="17"/>
      <c r="K11029" s="17"/>
      <c r="N11029" s="17"/>
    </row>
    <row r="11030">
      <c r="B11030" s="11">
        <f>IFERROR(__xludf.DUMMYFUNCTION("""COMPUTED_VALUE"""),30585.0)</f>
        <v>30585</v>
      </c>
      <c r="C11030" s="9">
        <f>IFERROR(__xludf.DUMMYFUNCTION("""COMPUTED_VALUE"""),11.41)</f>
        <v>11.41</v>
      </c>
      <c r="H11030" s="17"/>
      <c r="K11030" s="17"/>
      <c r="N11030" s="17"/>
    </row>
    <row r="11031">
      <c r="B11031" s="11">
        <f>IFERROR(__xludf.DUMMYFUNCTION("""COMPUTED_VALUE"""),30582.0)</f>
        <v>30582</v>
      </c>
      <c r="C11031" s="9">
        <f>IFERROR(__xludf.DUMMYFUNCTION("""COMPUTED_VALUE"""),11.49)</f>
        <v>11.49</v>
      </c>
      <c r="H11031" s="17"/>
      <c r="K11031" s="17"/>
      <c r="N11031" s="17"/>
    </row>
    <row r="11032">
      <c r="B11032" s="11">
        <f>IFERROR(__xludf.DUMMYFUNCTION("""COMPUTED_VALUE"""),30581.0)</f>
        <v>30581</v>
      </c>
      <c r="C11032" s="9">
        <f>IFERROR(__xludf.DUMMYFUNCTION("""COMPUTED_VALUE"""),11.6)</f>
        <v>11.6</v>
      </c>
      <c r="H11032" s="17"/>
      <c r="K11032" s="17"/>
      <c r="N11032" s="17"/>
    </row>
    <row r="11033">
      <c r="B11033" s="11">
        <f>IFERROR(__xludf.DUMMYFUNCTION("""COMPUTED_VALUE"""),30580.0)</f>
        <v>30580</v>
      </c>
      <c r="C11033" s="9">
        <f>IFERROR(__xludf.DUMMYFUNCTION("""COMPUTED_VALUE"""),11.64)</f>
        <v>11.64</v>
      </c>
      <c r="H11033" s="17"/>
      <c r="K11033" s="17"/>
      <c r="N11033" s="17"/>
    </row>
    <row r="11034">
      <c r="B11034" s="11">
        <f>IFERROR(__xludf.DUMMYFUNCTION("""COMPUTED_VALUE"""),30579.0)</f>
        <v>30579</v>
      </c>
      <c r="C11034" s="9">
        <f>IFERROR(__xludf.DUMMYFUNCTION("""COMPUTED_VALUE"""),11.57)</f>
        <v>11.57</v>
      </c>
      <c r="H11034" s="17"/>
      <c r="K11034" s="17"/>
      <c r="N11034" s="17"/>
    </row>
    <row r="11035">
      <c r="B11035" s="11">
        <f>IFERROR(__xludf.DUMMYFUNCTION("""COMPUTED_VALUE"""),30578.0)</f>
        <v>30578</v>
      </c>
      <c r="C11035" s="9">
        <f>IFERROR(__xludf.DUMMYFUNCTION("""COMPUTED_VALUE"""),11.66)</f>
        <v>11.66</v>
      </c>
      <c r="H11035" s="17"/>
      <c r="K11035" s="17"/>
      <c r="N11035" s="17"/>
    </row>
    <row r="11036">
      <c r="B11036" s="11">
        <f>IFERROR(__xludf.DUMMYFUNCTION("""COMPUTED_VALUE"""),30575.0)</f>
        <v>30575</v>
      </c>
      <c r="C11036" s="9">
        <f>IFERROR(__xludf.DUMMYFUNCTION("""COMPUTED_VALUE"""),11.68)</f>
        <v>11.68</v>
      </c>
      <c r="H11036" s="17"/>
      <c r="K11036" s="17"/>
      <c r="N11036" s="17"/>
    </row>
    <row r="11037">
      <c r="B11037" s="11">
        <f>IFERROR(__xludf.DUMMYFUNCTION("""COMPUTED_VALUE"""),30574.0)</f>
        <v>30574</v>
      </c>
      <c r="C11037" s="9">
        <f>IFERROR(__xludf.DUMMYFUNCTION("""COMPUTED_VALUE"""),11.82)</f>
        <v>11.82</v>
      </c>
      <c r="H11037" s="17"/>
      <c r="K11037" s="17"/>
      <c r="N11037" s="17"/>
    </row>
    <row r="11038">
      <c r="B11038" s="11">
        <f>IFERROR(__xludf.DUMMYFUNCTION("""COMPUTED_VALUE"""),30573.0)</f>
        <v>30573</v>
      </c>
      <c r="C11038" s="9">
        <f>IFERROR(__xludf.DUMMYFUNCTION("""COMPUTED_VALUE"""),11.76)</f>
        <v>11.76</v>
      </c>
      <c r="H11038" s="17"/>
      <c r="K11038" s="17"/>
      <c r="N11038" s="17"/>
    </row>
    <row r="11039">
      <c r="B11039" s="11">
        <f>IFERROR(__xludf.DUMMYFUNCTION("""COMPUTED_VALUE"""),30572.0)</f>
        <v>30572</v>
      </c>
      <c r="C11039" s="9">
        <f>IFERROR(__xludf.DUMMYFUNCTION("""COMPUTED_VALUE"""),11.63)</f>
        <v>11.63</v>
      </c>
      <c r="H11039" s="17"/>
      <c r="K11039" s="17"/>
      <c r="N11039" s="17"/>
    </row>
    <row r="11040">
      <c r="B11040" s="11">
        <f>IFERROR(__xludf.DUMMYFUNCTION("""COMPUTED_VALUE"""),30571.0)</f>
        <v>30571</v>
      </c>
      <c r="C11040" s="9">
        <f>IFERROR(__xludf.DUMMYFUNCTION("""COMPUTED_VALUE"""),11.56)</f>
        <v>11.56</v>
      </c>
      <c r="H11040" s="17"/>
      <c r="K11040" s="17"/>
      <c r="N11040" s="17"/>
    </row>
    <row r="11041">
      <c r="B11041" s="11">
        <f>IFERROR(__xludf.DUMMYFUNCTION("""COMPUTED_VALUE"""),30568.0)</f>
        <v>30568</v>
      </c>
      <c r="C11041" s="9">
        <f>IFERROR(__xludf.DUMMYFUNCTION("""COMPUTED_VALUE"""),11.73)</f>
        <v>11.73</v>
      </c>
      <c r="H11041" s="17"/>
      <c r="K11041" s="17"/>
      <c r="N11041" s="17"/>
    </row>
    <row r="11042">
      <c r="B11042" s="11">
        <f>IFERROR(__xludf.DUMMYFUNCTION("""COMPUTED_VALUE"""),30567.0)</f>
        <v>30567</v>
      </c>
      <c r="C11042" s="9">
        <f>IFERROR(__xludf.DUMMYFUNCTION("""COMPUTED_VALUE"""),11.77)</f>
        <v>11.77</v>
      </c>
      <c r="H11042" s="17"/>
      <c r="K11042" s="17"/>
      <c r="N11042" s="17"/>
    </row>
    <row r="11043">
      <c r="B11043" s="11">
        <f>IFERROR(__xludf.DUMMYFUNCTION("""COMPUTED_VALUE"""),30566.0)</f>
        <v>30566</v>
      </c>
      <c r="C11043" s="9">
        <f>IFERROR(__xludf.DUMMYFUNCTION("""COMPUTED_VALUE"""),11.7)</f>
        <v>11.7</v>
      </c>
      <c r="H11043" s="17"/>
      <c r="K11043" s="17"/>
      <c r="N11043" s="17"/>
    </row>
    <row r="11044">
      <c r="B11044" s="11">
        <f>IFERROR(__xludf.DUMMYFUNCTION("""COMPUTED_VALUE"""),30565.0)</f>
        <v>30565</v>
      </c>
      <c r="C11044" s="9">
        <f>IFERROR(__xludf.DUMMYFUNCTION("""COMPUTED_VALUE"""),11.85)</f>
        <v>11.85</v>
      </c>
      <c r="H11044" s="17"/>
      <c r="K11044" s="17"/>
      <c r="N11044" s="17"/>
    </row>
    <row r="11045">
      <c r="B11045" s="11">
        <f>IFERROR(__xludf.DUMMYFUNCTION("""COMPUTED_VALUE"""),30564.0)</f>
        <v>30564</v>
      </c>
      <c r="C11045" s="9"/>
      <c r="H11045" s="17"/>
      <c r="K11045" s="17"/>
      <c r="N11045" s="17"/>
    </row>
    <row r="11046">
      <c r="B11046" s="11">
        <f>IFERROR(__xludf.DUMMYFUNCTION("""COMPUTED_VALUE"""),30561.0)</f>
        <v>30561</v>
      </c>
      <c r="C11046" s="9">
        <f>IFERROR(__xludf.DUMMYFUNCTION("""COMPUTED_VALUE"""),12.01)</f>
        <v>12.01</v>
      </c>
      <c r="H11046" s="17"/>
      <c r="K11046" s="17"/>
      <c r="N11046" s="17"/>
    </row>
    <row r="11047">
      <c r="B11047" s="11">
        <f>IFERROR(__xludf.DUMMYFUNCTION("""COMPUTED_VALUE"""),30560.0)</f>
        <v>30560</v>
      </c>
      <c r="C11047" s="9">
        <f>IFERROR(__xludf.DUMMYFUNCTION("""COMPUTED_VALUE"""),11.97)</f>
        <v>11.97</v>
      </c>
      <c r="H11047" s="17"/>
      <c r="K11047" s="17"/>
      <c r="N11047" s="17"/>
    </row>
    <row r="11048">
      <c r="B11048" s="11">
        <f>IFERROR(__xludf.DUMMYFUNCTION("""COMPUTED_VALUE"""),30559.0)</f>
        <v>30559</v>
      </c>
      <c r="C11048" s="9">
        <f>IFERROR(__xludf.DUMMYFUNCTION("""COMPUTED_VALUE"""),11.98)</f>
        <v>11.98</v>
      </c>
      <c r="H11048" s="17"/>
      <c r="K11048" s="17"/>
      <c r="N11048" s="17"/>
    </row>
    <row r="11049">
      <c r="B11049" s="11">
        <f>IFERROR(__xludf.DUMMYFUNCTION("""COMPUTED_VALUE"""),30558.0)</f>
        <v>30558</v>
      </c>
      <c r="C11049" s="9">
        <f>IFERROR(__xludf.DUMMYFUNCTION("""COMPUTED_VALUE"""),11.9)</f>
        <v>11.9</v>
      </c>
      <c r="H11049" s="17"/>
      <c r="K11049" s="17"/>
      <c r="N11049" s="17"/>
    </row>
    <row r="11050">
      <c r="B11050" s="11">
        <f>IFERROR(__xludf.DUMMYFUNCTION("""COMPUTED_VALUE"""),30557.0)</f>
        <v>30557</v>
      </c>
      <c r="C11050" s="9">
        <f>IFERROR(__xludf.DUMMYFUNCTION("""COMPUTED_VALUE"""),11.86)</f>
        <v>11.86</v>
      </c>
      <c r="H11050" s="17"/>
      <c r="K11050" s="17"/>
      <c r="N11050" s="17"/>
    </row>
    <row r="11051">
      <c r="B11051" s="11">
        <f>IFERROR(__xludf.DUMMYFUNCTION("""COMPUTED_VALUE"""),30554.0)</f>
        <v>30554</v>
      </c>
      <c r="C11051" s="9">
        <f>IFERROR(__xludf.DUMMYFUNCTION("""COMPUTED_VALUE"""),11.65)</f>
        <v>11.65</v>
      </c>
      <c r="H11051" s="17"/>
      <c r="K11051" s="17"/>
      <c r="N11051" s="17"/>
    </row>
    <row r="11052">
      <c r="B11052" s="11">
        <f>IFERROR(__xludf.DUMMYFUNCTION("""COMPUTED_VALUE"""),30553.0)</f>
        <v>30553</v>
      </c>
      <c r="C11052" s="9">
        <f>IFERROR(__xludf.DUMMYFUNCTION("""COMPUTED_VALUE"""),11.62)</f>
        <v>11.62</v>
      </c>
      <c r="H11052" s="17"/>
      <c r="K11052" s="17"/>
      <c r="N11052" s="17"/>
    </row>
    <row r="11053">
      <c r="B11053" s="11">
        <f>IFERROR(__xludf.DUMMYFUNCTION("""COMPUTED_VALUE"""),30552.0)</f>
        <v>30552</v>
      </c>
      <c r="C11053" s="9">
        <f>IFERROR(__xludf.DUMMYFUNCTION("""COMPUTED_VALUE"""),11.54)</f>
        <v>11.54</v>
      </c>
      <c r="H11053" s="17"/>
      <c r="K11053" s="17"/>
      <c r="N11053" s="17"/>
    </row>
    <row r="11054">
      <c r="B11054" s="11">
        <f>IFERROR(__xludf.DUMMYFUNCTION("""COMPUTED_VALUE"""),30551.0)</f>
        <v>30551</v>
      </c>
      <c r="C11054" s="9">
        <f>IFERROR(__xludf.DUMMYFUNCTION("""COMPUTED_VALUE"""),11.57)</f>
        <v>11.57</v>
      </c>
      <c r="H11054" s="17"/>
      <c r="K11054" s="17"/>
      <c r="N11054" s="17"/>
    </row>
    <row r="11055">
      <c r="B11055" s="11">
        <f>IFERROR(__xludf.DUMMYFUNCTION("""COMPUTED_VALUE"""),30550.0)</f>
        <v>30550</v>
      </c>
      <c r="C11055" s="9">
        <f>IFERROR(__xludf.DUMMYFUNCTION("""COMPUTED_VALUE"""),11.54)</f>
        <v>11.54</v>
      </c>
      <c r="H11055" s="17"/>
      <c r="K11055" s="17"/>
      <c r="N11055" s="17"/>
    </row>
    <row r="11056">
      <c r="B11056" s="11">
        <f>IFERROR(__xludf.DUMMYFUNCTION("""COMPUTED_VALUE"""),30547.0)</f>
        <v>30547</v>
      </c>
      <c r="C11056" s="9">
        <f>IFERROR(__xludf.DUMMYFUNCTION("""COMPUTED_VALUE"""),11.72)</f>
        <v>11.72</v>
      </c>
      <c r="H11056" s="17"/>
      <c r="K11056" s="17"/>
      <c r="N11056" s="17"/>
    </row>
    <row r="11057">
      <c r="B11057" s="11">
        <f>IFERROR(__xludf.DUMMYFUNCTION("""COMPUTED_VALUE"""),30546.0)</f>
        <v>30546</v>
      </c>
      <c r="C11057" s="9">
        <f>IFERROR(__xludf.DUMMYFUNCTION("""COMPUTED_VALUE"""),11.7)</f>
        <v>11.7</v>
      </c>
      <c r="H11057" s="17"/>
      <c r="K11057" s="17"/>
      <c r="N11057" s="17"/>
    </row>
    <row r="11058">
      <c r="B11058" s="11">
        <f>IFERROR(__xludf.DUMMYFUNCTION("""COMPUTED_VALUE"""),30545.0)</f>
        <v>30545</v>
      </c>
      <c r="C11058" s="9">
        <f>IFERROR(__xludf.DUMMYFUNCTION("""COMPUTED_VALUE"""),11.65)</f>
        <v>11.65</v>
      </c>
      <c r="H11058" s="17"/>
      <c r="K11058" s="17"/>
      <c r="N11058" s="17"/>
    </row>
    <row r="11059">
      <c r="B11059" s="11">
        <f>IFERROR(__xludf.DUMMYFUNCTION("""COMPUTED_VALUE"""),30544.0)</f>
        <v>30544</v>
      </c>
      <c r="C11059" s="9">
        <f>IFERROR(__xludf.DUMMYFUNCTION("""COMPUTED_VALUE"""),11.71)</f>
        <v>11.71</v>
      </c>
      <c r="H11059" s="17"/>
      <c r="K11059" s="17"/>
      <c r="N11059" s="17"/>
    </row>
    <row r="11060">
      <c r="B11060" s="11">
        <f>IFERROR(__xludf.DUMMYFUNCTION("""COMPUTED_VALUE"""),30543.0)</f>
        <v>30543</v>
      </c>
      <c r="C11060" s="9">
        <f>IFERROR(__xludf.DUMMYFUNCTION("""COMPUTED_VALUE"""),11.76)</f>
        <v>11.76</v>
      </c>
      <c r="H11060" s="17"/>
      <c r="K11060" s="17"/>
      <c r="N11060" s="17"/>
    </row>
    <row r="11061">
      <c r="B11061" s="11">
        <f>IFERROR(__xludf.DUMMYFUNCTION("""COMPUTED_VALUE"""),30540.0)</f>
        <v>30540</v>
      </c>
      <c r="C11061" s="9">
        <f>IFERROR(__xludf.DUMMYFUNCTION("""COMPUTED_VALUE"""),11.96)</f>
        <v>11.96</v>
      </c>
      <c r="H11061" s="17"/>
      <c r="K11061" s="17"/>
      <c r="N11061" s="17"/>
    </row>
    <row r="11062">
      <c r="B11062" s="11">
        <f>IFERROR(__xludf.DUMMYFUNCTION("""COMPUTED_VALUE"""),30539.0)</f>
        <v>30539</v>
      </c>
      <c r="C11062" s="9">
        <f>IFERROR(__xludf.DUMMYFUNCTION("""COMPUTED_VALUE"""),12.04)</f>
        <v>12.04</v>
      </c>
      <c r="H11062" s="17"/>
      <c r="K11062" s="17"/>
      <c r="N11062" s="17"/>
    </row>
    <row r="11063">
      <c r="B11063" s="11">
        <f>IFERROR(__xludf.DUMMYFUNCTION("""COMPUTED_VALUE"""),30538.0)</f>
        <v>30538</v>
      </c>
      <c r="C11063" s="9">
        <f>IFERROR(__xludf.DUMMYFUNCTION("""COMPUTED_VALUE"""),12.17)</f>
        <v>12.17</v>
      </c>
      <c r="H11063" s="17"/>
      <c r="K11063" s="17"/>
      <c r="N11063" s="17"/>
    </row>
    <row r="11064">
      <c r="B11064" s="11">
        <f>IFERROR(__xludf.DUMMYFUNCTION("""COMPUTED_VALUE"""),30537.0)</f>
        <v>30537</v>
      </c>
      <c r="C11064" s="9">
        <f>IFERROR(__xludf.DUMMYFUNCTION("""COMPUTED_VALUE"""),12.13)</f>
        <v>12.13</v>
      </c>
      <c r="H11064" s="17"/>
      <c r="K11064" s="17"/>
      <c r="N11064" s="17"/>
    </row>
    <row r="11065">
      <c r="B11065" s="11">
        <f>IFERROR(__xludf.DUMMYFUNCTION("""COMPUTED_VALUE"""),30536.0)</f>
        <v>30536</v>
      </c>
      <c r="C11065" s="9">
        <f>IFERROR(__xludf.DUMMYFUNCTION("""COMPUTED_VALUE"""),12.2)</f>
        <v>12.2</v>
      </c>
      <c r="H11065" s="17"/>
      <c r="K11065" s="17"/>
      <c r="N11065" s="17"/>
    </row>
    <row r="11066">
      <c r="B11066" s="11">
        <f>IFERROR(__xludf.DUMMYFUNCTION("""COMPUTED_VALUE"""),30533.0)</f>
        <v>30533</v>
      </c>
      <c r="C11066" s="9">
        <f>IFERROR(__xludf.DUMMYFUNCTION("""COMPUTED_VALUE"""),12.1)</f>
        <v>12.1</v>
      </c>
      <c r="H11066" s="17"/>
      <c r="K11066" s="17"/>
      <c r="N11066" s="17"/>
    </row>
    <row r="11067">
      <c r="B11067" s="11">
        <f>IFERROR(__xludf.DUMMYFUNCTION("""COMPUTED_VALUE"""),30532.0)</f>
        <v>30532</v>
      </c>
      <c r="C11067" s="9">
        <f>IFERROR(__xludf.DUMMYFUNCTION("""COMPUTED_VALUE"""),12.12)</f>
        <v>12.12</v>
      </c>
      <c r="H11067" s="17"/>
      <c r="K11067" s="17"/>
      <c r="N11067" s="17"/>
    </row>
    <row r="11068">
      <c r="B11068" s="11">
        <f>IFERROR(__xludf.DUMMYFUNCTION("""COMPUTED_VALUE"""),30531.0)</f>
        <v>30531</v>
      </c>
      <c r="C11068" s="9">
        <f>IFERROR(__xludf.DUMMYFUNCTION("""COMPUTED_VALUE"""),11.92)</f>
        <v>11.92</v>
      </c>
      <c r="H11068" s="17"/>
      <c r="K11068" s="17"/>
      <c r="N11068" s="17"/>
    </row>
    <row r="11069">
      <c r="B11069" s="11">
        <f>IFERROR(__xludf.DUMMYFUNCTION("""COMPUTED_VALUE"""),30530.0)</f>
        <v>30530</v>
      </c>
      <c r="C11069" s="9">
        <f>IFERROR(__xludf.DUMMYFUNCTION("""COMPUTED_VALUE"""),11.82)</f>
        <v>11.82</v>
      </c>
      <c r="H11069" s="17"/>
      <c r="K11069" s="17"/>
      <c r="N11069" s="17"/>
    </row>
    <row r="11070">
      <c r="B11070" s="11">
        <f>IFERROR(__xludf.DUMMYFUNCTION("""COMPUTED_VALUE"""),30529.0)</f>
        <v>30529</v>
      </c>
      <c r="C11070" s="9">
        <f>IFERROR(__xludf.DUMMYFUNCTION("""COMPUTED_VALUE"""),11.8)</f>
        <v>11.8</v>
      </c>
      <c r="H11070" s="17"/>
      <c r="K11070" s="17"/>
      <c r="N11070" s="17"/>
    </row>
    <row r="11071">
      <c r="B11071" s="11">
        <f>IFERROR(__xludf.DUMMYFUNCTION("""COMPUTED_VALUE"""),30526.0)</f>
        <v>30526</v>
      </c>
      <c r="C11071" s="9">
        <f>IFERROR(__xludf.DUMMYFUNCTION("""COMPUTED_VALUE"""),11.76)</f>
        <v>11.76</v>
      </c>
      <c r="H11071" s="17"/>
      <c r="K11071" s="17"/>
      <c r="N11071" s="17"/>
    </row>
    <row r="11072">
      <c r="B11072" s="11">
        <f>IFERROR(__xludf.DUMMYFUNCTION("""COMPUTED_VALUE"""),30525.0)</f>
        <v>30525</v>
      </c>
      <c r="C11072" s="9">
        <f>IFERROR(__xludf.DUMMYFUNCTION("""COMPUTED_VALUE"""),11.66)</f>
        <v>11.66</v>
      </c>
      <c r="H11072" s="17"/>
      <c r="K11072" s="17"/>
      <c r="N11072" s="17"/>
    </row>
    <row r="11073">
      <c r="B11073" s="11">
        <f>IFERROR(__xludf.DUMMYFUNCTION("""COMPUTED_VALUE"""),30524.0)</f>
        <v>30524</v>
      </c>
      <c r="C11073" s="9">
        <f>IFERROR(__xludf.DUMMYFUNCTION("""COMPUTED_VALUE"""),11.51)</f>
        <v>11.51</v>
      </c>
      <c r="H11073" s="17"/>
      <c r="K11073" s="17"/>
      <c r="N11073" s="17"/>
    </row>
    <row r="11074">
      <c r="B11074" s="11">
        <f>IFERROR(__xludf.DUMMYFUNCTION("""COMPUTED_VALUE"""),30523.0)</f>
        <v>30523</v>
      </c>
      <c r="C11074" s="9">
        <f>IFERROR(__xludf.DUMMYFUNCTION("""COMPUTED_VALUE"""),11.49)</f>
        <v>11.49</v>
      </c>
      <c r="H11074" s="17"/>
      <c r="K11074" s="17"/>
      <c r="N11074" s="17"/>
    </row>
    <row r="11075">
      <c r="B11075" s="11">
        <f>IFERROR(__xludf.DUMMYFUNCTION("""COMPUTED_VALUE"""),30522.0)</f>
        <v>30522</v>
      </c>
      <c r="C11075" s="9">
        <f>IFERROR(__xludf.DUMMYFUNCTION("""COMPUTED_VALUE"""),11.41)</f>
        <v>11.41</v>
      </c>
      <c r="H11075" s="17"/>
      <c r="K11075" s="17"/>
      <c r="N11075" s="17"/>
    </row>
    <row r="11076">
      <c r="B11076" s="11">
        <f>IFERROR(__xludf.DUMMYFUNCTION("""COMPUTED_VALUE"""),30519.0)</f>
        <v>30519</v>
      </c>
      <c r="C11076" s="9">
        <f>IFERROR(__xludf.DUMMYFUNCTION("""COMPUTED_VALUE"""),11.43)</f>
        <v>11.43</v>
      </c>
      <c r="H11076" s="17"/>
      <c r="K11076" s="17"/>
      <c r="N11076" s="17"/>
    </row>
    <row r="11077">
      <c r="B11077" s="11">
        <f>IFERROR(__xludf.DUMMYFUNCTION("""COMPUTED_VALUE"""),30518.0)</f>
        <v>30518</v>
      </c>
      <c r="C11077" s="9">
        <f>IFERROR(__xludf.DUMMYFUNCTION("""COMPUTED_VALUE"""),11.32)</f>
        <v>11.32</v>
      </c>
      <c r="H11077" s="17"/>
      <c r="K11077" s="17"/>
      <c r="N11077" s="17"/>
    </row>
    <row r="11078">
      <c r="B11078" s="11">
        <f>IFERROR(__xludf.DUMMYFUNCTION("""COMPUTED_VALUE"""),30517.0)</f>
        <v>30517</v>
      </c>
      <c r="C11078" s="9">
        <f>IFERROR(__xludf.DUMMYFUNCTION("""COMPUTED_VALUE"""),11.28)</f>
        <v>11.28</v>
      </c>
      <c r="H11078" s="17"/>
      <c r="K11078" s="17"/>
      <c r="N11078" s="17"/>
    </row>
    <row r="11079">
      <c r="B11079" s="11">
        <f>IFERROR(__xludf.DUMMYFUNCTION("""COMPUTED_VALUE"""),30516.0)</f>
        <v>30516</v>
      </c>
      <c r="C11079" s="9">
        <f>IFERROR(__xludf.DUMMYFUNCTION("""COMPUTED_VALUE"""),11.36)</f>
        <v>11.36</v>
      </c>
      <c r="H11079" s="17"/>
      <c r="K11079" s="17"/>
      <c r="N11079" s="17"/>
    </row>
    <row r="11080">
      <c r="B11080" s="11">
        <f>IFERROR(__xludf.DUMMYFUNCTION("""COMPUTED_VALUE"""),30515.0)</f>
        <v>30515</v>
      </c>
      <c r="C11080" s="9">
        <f>IFERROR(__xludf.DUMMYFUNCTION("""COMPUTED_VALUE"""),11.41)</f>
        <v>11.41</v>
      </c>
      <c r="H11080" s="17"/>
      <c r="K11080" s="17"/>
      <c r="N11080" s="17"/>
    </row>
    <row r="11081">
      <c r="B11081" s="11">
        <f>IFERROR(__xludf.DUMMYFUNCTION("""COMPUTED_VALUE"""),30512.0)</f>
        <v>30512</v>
      </c>
      <c r="C11081" s="9">
        <f>IFERROR(__xludf.DUMMYFUNCTION("""COMPUTED_VALUE"""),11.51)</f>
        <v>11.51</v>
      </c>
      <c r="H11081" s="17"/>
      <c r="K11081" s="17"/>
      <c r="N11081" s="17"/>
    </row>
    <row r="11082">
      <c r="B11082" s="11">
        <f>IFERROR(__xludf.DUMMYFUNCTION("""COMPUTED_VALUE"""),30511.0)</f>
        <v>30511</v>
      </c>
      <c r="C11082" s="9">
        <f>IFERROR(__xludf.DUMMYFUNCTION("""COMPUTED_VALUE"""),11.38)</f>
        <v>11.38</v>
      </c>
      <c r="H11082" s="17"/>
      <c r="K11082" s="17"/>
      <c r="N11082" s="17"/>
    </row>
    <row r="11083">
      <c r="B11083" s="11">
        <f>IFERROR(__xludf.DUMMYFUNCTION("""COMPUTED_VALUE"""),30510.0)</f>
        <v>30510</v>
      </c>
      <c r="C11083" s="9">
        <f>IFERROR(__xludf.DUMMYFUNCTION("""COMPUTED_VALUE"""),11.4)</f>
        <v>11.4</v>
      </c>
      <c r="H11083" s="17"/>
      <c r="K11083" s="17"/>
      <c r="N11083" s="17"/>
    </row>
    <row r="11084">
      <c r="B11084" s="11">
        <f>IFERROR(__xludf.DUMMYFUNCTION("""COMPUTED_VALUE"""),30509.0)</f>
        <v>30509</v>
      </c>
      <c r="C11084" s="9">
        <f>IFERROR(__xludf.DUMMYFUNCTION("""COMPUTED_VALUE"""),11.42)</f>
        <v>11.42</v>
      </c>
      <c r="H11084" s="17"/>
      <c r="K11084" s="17"/>
      <c r="N11084" s="17"/>
    </row>
    <row r="11085">
      <c r="B11085" s="11">
        <f>IFERROR(__xludf.DUMMYFUNCTION("""COMPUTED_VALUE"""),30508.0)</f>
        <v>30508</v>
      </c>
      <c r="C11085" s="9">
        <f>IFERROR(__xludf.DUMMYFUNCTION("""COMPUTED_VALUE"""),11.28)</f>
        <v>11.28</v>
      </c>
      <c r="H11085" s="17"/>
      <c r="K11085" s="17"/>
      <c r="N11085" s="17"/>
    </row>
    <row r="11086">
      <c r="B11086" s="11">
        <f>IFERROR(__xludf.DUMMYFUNCTION("""COMPUTED_VALUE"""),30505.0)</f>
        <v>30505</v>
      </c>
      <c r="C11086" s="9">
        <f>IFERROR(__xludf.DUMMYFUNCTION("""COMPUTED_VALUE"""),11.33)</f>
        <v>11.33</v>
      </c>
      <c r="H11086" s="17"/>
      <c r="K11086" s="17"/>
      <c r="N11086" s="17"/>
    </row>
    <row r="11087">
      <c r="B11087" s="11">
        <f>IFERROR(__xludf.DUMMYFUNCTION("""COMPUTED_VALUE"""),30504.0)</f>
        <v>30504</v>
      </c>
      <c r="C11087" s="9">
        <f>IFERROR(__xludf.DUMMYFUNCTION("""COMPUTED_VALUE"""),11.29)</f>
        <v>11.29</v>
      </c>
      <c r="H11087" s="17"/>
      <c r="K11087" s="17"/>
      <c r="N11087" s="17"/>
    </row>
    <row r="11088">
      <c r="B11088" s="11">
        <f>IFERROR(__xludf.DUMMYFUNCTION("""COMPUTED_VALUE"""),30503.0)</f>
        <v>30503</v>
      </c>
      <c r="C11088" s="9">
        <f>IFERROR(__xludf.DUMMYFUNCTION("""COMPUTED_VALUE"""),11.16)</f>
        <v>11.16</v>
      </c>
      <c r="H11088" s="17"/>
      <c r="K11088" s="17"/>
      <c r="N11088" s="17"/>
    </row>
    <row r="11089">
      <c r="B11089" s="11">
        <f>IFERROR(__xludf.DUMMYFUNCTION("""COMPUTED_VALUE"""),30502.0)</f>
        <v>30502</v>
      </c>
      <c r="C11089" s="9">
        <f>IFERROR(__xludf.DUMMYFUNCTION("""COMPUTED_VALUE"""),11.21)</f>
        <v>11.21</v>
      </c>
      <c r="H11089" s="17"/>
      <c r="K11089" s="17"/>
      <c r="N11089" s="17"/>
    </row>
    <row r="11090">
      <c r="B11090" s="11">
        <f>IFERROR(__xludf.DUMMYFUNCTION("""COMPUTED_VALUE"""),30501.0)</f>
        <v>30501</v>
      </c>
      <c r="C11090" s="9"/>
      <c r="H11090" s="17"/>
      <c r="K11090" s="17"/>
      <c r="N11090" s="17"/>
    </row>
    <row r="11091">
      <c r="B11091" s="11">
        <f>IFERROR(__xludf.DUMMYFUNCTION("""COMPUTED_VALUE"""),30498.0)</f>
        <v>30498</v>
      </c>
      <c r="C11091" s="9">
        <f>IFERROR(__xludf.DUMMYFUNCTION("""COMPUTED_VALUE"""),10.93)</f>
        <v>10.93</v>
      </c>
      <c r="H11091" s="17"/>
      <c r="K11091" s="17"/>
      <c r="N11091" s="17"/>
    </row>
    <row r="11092">
      <c r="B11092" s="11">
        <f>IFERROR(__xludf.DUMMYFUNCTION("""COMPUTED_VALUE"""),30497.0)</f>
        <v>30497</v>
      </c>
      <c r="C11092" s="9">
        <f>IFERROR(__xludf.DUMMYFUNCTION("""COMPUTED_VALUE"""),10.96)</f>
        <v>10.96</v>
      </c>
      <c r="H11092" s="17"/>
      <c r="K11092" s="17"/>
      <c r="N11092" s="17"/>
    </row>
    <row r="11093">
      <c r="B11093" s="11">
        <f>IFERROR(__xludf.DUMMYFUNCTION("""COMPUTED_VALUE"""),30496.0)</f>
        <v>30496</v>
      </c>
      <c r="C11093" s="9">
        <f>IFERROR(__xludf.DUMMYFUNCTION("""COMPUTED_VALUE"""),10.99)</f>
        <v>10.99</v>
      </c>
      <c r="H11093" s="17"/>
      <c r="K11093" s="17"/>
      <c r="N11093" s="17"/>
    </row>
    <row r="11094">
      <c r="B11094" s="11">
        <f>IFERROR(__xludf.DUMMYFUNCTION("""COMPUTED_VALUE"""),30495.0)</f>
        <v>30495</v>
      </c>
      <c r="C11094" s="9">
        <f>IFERROR(__xludf.DUMMYFUNCTION("""COMPUTED_VALUE"""),11.04)</f>
        <v>11.04</v>
      </c>
      <c r="H11094" s="17"/>
      <c r="K11094" s="17"/>
      <c r="N11094" s="17"/>
    </row>
    <row r="11095">
      <c r="B11095" s="11">
        <f>IFERROR(__xludf.DUMMYFUNCTION("""COMPUTED_VALUE"""),30494.0)</f>
        <v>30494</v>
      </c>
      <c r="C11095" s="9">
        <f>IFERROR(__xludf.DUMMYFUNCTION("""COMPUTED_VALUE"""),11.11)</f>
        <v>11.11</v>
      </c>
      <c r="H11095" s="17"/>
      <c r="K11095" s="17"/>
      <c r="N11095" s="17"/>
    </row>
    <row r="11096">
      <c r="B11096" s="11">
        <f>IFERROR(__xludf.DUMMYFUNCTION("""COMPUTED_VALUE"""),30491.0)</f>
        <v>30491</v>
      </c>
      <c r="C11096" s="9">
        <f>IFERROR(__xludf.DUMMYFUNCTION("""COMPUTED_VALUE"""),11.02)</f>
        <v>11.02</v>
      </c>
      <c r="H11096" s="17"/>
      <c r="K11096" s="17"/>
      <c r="N11096" s="17"/>
    </row>
    <row r="11097">
      <c r="B11097" s="11">
        <f>IFERROR(__xludf.DUMMYFUNCTION("""COMPUTED_VALUE"""),30490.0)</f>
        <v>30490</v>
      </c>
      <c r="C11097" s="9">
        <f>IFERROR(__xludf.DUMMYFUNCTION("""COMPUTED_VALUE"""),10.9)</f>
        <v>10.9</v>
      </c>
      <c r="H11097" s="17"/>
      <c r="K11097" s="17"/>
      <c r="N11097" s="17"/>
    </row>
    <row r="11098">
      <c r="B11098" s="11">
        <f>IFERROR(__xludf.DUMMYFUNCTION("""COMPUTED_VALUE"""),30489.0)</f>
        <v>30489</v>
      </c>
      <c r="C11098" s="9">
        <f>IFERROR(__xludf.DUMMYFUNCTION("""COMPUTED_VALUE"""),10.83)</f>
        <v>10.83</v>
      </c>
      <c r="H11098" s="17"/>
      <c r="K11098" s="17"/>
      <c r="N11098" s="17"/>
    </row>
    <row r="11099">
      <c r="B11099" s="11">
        <f>IFERROR(__xludf.DUMMYFUNCTION("""COMPUTED_VALUE"""),30488.0)</f>
        <v>30488</v>
      </c>
      <c r="C11099" s="9">
        <f>IFERROR(__xludf.DUMMYFUNCTION("""COMPUTED_VALUE"""),10.79)</f>
        <v>10.79</v>
      </c>
      <c r="H11099" s="17"/>
      <c r="K11099" s="17"/>
      <c r="N11099" s="17"/>
    </row>
    <row r="11100">
      <c r="B11100" s="11">
        <f>IFERROR(__xludf.DUMMYFUNCTION("""COMPUTED_VALUE"""),30487.0)</f>
        <v>30487</v>
      </c>
      <c r="C11100" s="9">
        <f>IFERROR(__xludf.DUMMYFUNCTION("""COMPUTED_VALUE"""),10.8)</f>
        <v>10.8</v>
      </c>
      <c r="H11100" s="17"/>
      <c r="K11100" s="17"/>
      <c r="N11100" s="17"/>
    </row>
    <row r="11101">
      <c r="B11101" s="11">
        <f>IFERROR(__xludf.DUMMYFUNCTION("""COMPUTED_VALUE"""),30484.0)</f>
        <v>30484</v>
      </c>
      <c r="C11101" s="9">
        <f>IFERROR(__xludf.DUMMYFUNCTION("""COMPUTED_VALUE"""),10.68)</f>
        <v>10.68</v>
      </c>
      <c r="H11101" s="17"/>
      <c r="K11101" s="17"/>
      <c r="N11101" s="17"/>
    </row>
    <row r="11102">
      <c r="B11102" s="11">
        <f>IFERROR(__xludf.DUMMYFUNCTION("""COMPUTED_VALUE"""),30483.0)</f>
        <v>30483</v>
      </c>
      <c r="C11102" s="9">
        <f>IFERROR(__xludf.DUMMYFUNCTION("""COMPUTED_VALUE"""),10.64)</f>
        <v>10.64</v>
      </c>
      <c r="H11102" s="17"/>
      <c r="K11102" s="17"/>
      <c r="N11102" s="17"/>
    </row>
    <row r="11103">
      <c r="B11103" s="11">
        <f>IFERROR(__xludf.DUMMYFUNCTION("""COMPUTED_VALUE"""),30482.0)</f>
        <v>30482</v>
      </c>
      <c r="C11103" s="9">
        <f>IFERROR(__xludf.DUMMYFUNCTION("""COMPUTED_VALUE"""),10.72)</f>
        <v>10.72</v>
      </c>
      <c r="H11103" s="17"/>
      <c r="K11103" s="17"/>
      <c r="N11103" s="17"/>
    </row>
    <row r="11104">
      <c r="B11104" s="11">
        <f>IFERROR(__xludf.DUMMYFUNCTION("""COMPUTED_VALUE"""),30481.0)</f>
        <v>30481</v>
      </c>
      <c r="C11104" s="9">
        <f>IFERROR(__xludf.DUMMYFUNCTION("""COMPUTED_VALUE"""),10.77)</f>
        <v>10.77</v>
      </c>
      <c r="H11104" s="17"/>
      <c r="K11104" s="17"/>
      <c r="N11104" s="17"/>
    </row>
    <row r="11105">
      <c r="B11105" s="11">
        <f>IFERROR(__xludf.DUMMYFUNCTION("""COMPUTED_VALUE"""),30480.0)</f>
        <v>30480</v>
      </c>
      <c r="C11105" s="9">
        <f>IFERROR(__xludf.DUMMYFUNCTION("""COMPUTED_VALUE"""),10.75)</f>
        <v>10.75</v>
      </c>
      <c r="H11105" s="17"/>
      <c r="K11105" s="17"/>
      <c r="N11105" s="17"/>
    </row>
    <row r="11106">
      <c r="B11106" s="11">
        <f>IFERROR(__xludf.DUMMYFUNCTION("""COMPUTED_VALUE"""),30477.0)</f>
        <v>30477</v>
      </c>
      <c r="C11106" s="9">
        <f>IFERROR(__xludf.DUMMYFUNCTION("""COMPUTED_VALUE"""),10.89)</f>
        <v>10.89</v>
      </c>
      <c r="H11106" s="17"/>
      <c r="K11106" s="17"/>
      <c r="N11106" s="17"/>
    </row>
    <row r="11107">
      <c r="B11107" s="11">
        <f>IFERROR(__xludf.DUMMYFUNCTION("""COMPUTED_VALUE"""),30476.0)</f>
        <v>30476</v>
      </c>
      <c r="C11107" s="9">
        <f>IFERROR(__xludf.DUMMYFUNCTION("""COMPUTED_VALUE"""),10.88)</f>
        <v>10.88</v>
      </c>
      <c r="H11107" s="17"/>
      <c r="K11107" s="17"/>
      <c r="N11107" s="17"/>
    </row>
    <row r="11108">
      <c r="B11108" s="11">
        <f>IFERROR(__xludf.DUMMYFUNCTION("""COMPUTED_VALUE"""),30475.0)</f>
        <v>30475</v>
      </c>
      <c r="C11108" s="9">
        <f>IFERROR(__xludf.DUMMYFUNCTION("""COMPUTED_VALUE"""),10.92)</f>
        <v>10.92</v>
      </c>
      <c r="H11108" s="17"/>
      <c r="K11108" s="17"/>
      <c r="N11108" s="17"/>
    </row>
    <row r="11109">
      <c r="B11109" s="11">
        <f>IFERROR(__xludf.DUMMYFUNCTION("""COMPUTED_VALUE"""),30474.0)</f>
        <v>30474</v>
      </c>
      <c r="C11109" s="9">
        <f>IFERROR(__xludf.DUMMYFUNCTION("""COMPUTED_VALUE"""),10.85)</f>
        <v>10.85</v>
      </c>
      <c r="H11109" s="17"/>
      <c r="K11109" s="17"/>
      <c r="N11109" s="17"/>
    </row>
    <row r="11110">
      <c r="B11110" s="11">
        <f>IFERROR(__xludf.DUMMYFUNCTION("""COMPUTED_VALUE"""),30473.0)</f>
        <v>30473</v>
      </c>
      <c r="C11110" s="9">
        <f>IFERROR(__xludf.DUMMYFUNCTION("""COMPUTED_VALUE"""),10.79)</f>
        <v>10.79</v>
      </c>
      <c r="H11110" s="17"/>
      <c r="K11110" s="17"/>
      <c r="N11110" s="17"/>
    </row>
    <row r="11111">
      <c r="B11111" s="11">
        <f>IFERROR(__xludf.DUMMYFUNCTION("""COMPUTED_VALUE"""),30470.0)</f>
        <v>30470</v>
      </c>
      <c r="C11111" s="9">
        <f>IFERROR(__xludf.DUMMYFUNCTION("""COMPUTED_VALUE"""),10.79)</f>
        <v>10.79</v>
      </c>
      <c r="H11111" s="17"/>
      <c r="K11111" s="17"/>
      <c r="N11111" s="17"/>
    </row>
    <row r="11112">
      <c r="B11112" s="11">
        <f>IFERROR(__xludf.DUMMYFUNCTION("""COMPUTED_VALUE"""),30469.0)</f>
        <v>30469</v>
      </c>
      <c r="C11112" s="9">
        <f>IFERROR(__xludf.DUMMYFUNCTION("""COMPUTED_VALUE"""),10.78)</f>
        <v>10.78</v>
      </c>
      <c r="H11112" s="17"/>
      <c r="K11112" s="17"/>
      <c r="N11112" s="17"/>
    </row>
    <row r="11113">
      <c r="B11113" s="11">
        <f>IFERROR(__xludf.DUMMYFUNCTION("""COMPUTED_VALUE"""),30468.0)</f>
        <v>30468</v>
      </c>
      <c r="C11113" s="9">
        <f>IFERROR(__xludf.DUMMYFUNCTION("""COMPUTED_VALUE"""),10.77)</f>
        <v>10.77</v>
      </c>
      <c r="H11113" s="17"/>
      <c r="K11113" s="17"/>
      <c r="N11113" s="17"/>
    </row>
    <row r="11114">
      <c r="B11114" s="11">
        <f>IFERROR(__xludf.DUMMYFUNCTION("""COMPUTED_VALUE"""),30467.0)</f>
        <v>30467</v>
      </c>
      <c r="C11114" s="9">
        <f>IFERROR(__xludf.DUMMYFUNCTION("""COMPUTED_VALUE"""),10.81)</f>
        <v>10.81</v>
      </c>
      <c r="H11114" s="17"/>
      <c r="K11114" s="17"/>
      <c r="N11114" s="17"/>
    </row>
    <row r="11115">
      <c r="B11115" s="11">
        <f>IFERROR(__xludf.DUMMYFUNCTION("""COMPUTED_VALUE"""),30466.0)</f>
        <v>30466</v>
      </c>
      <c r="C11115" s="9"/>
      <c r="H11115" s="17"/>
      <c r="K11115" s="17"/>
      <c r="N11115" s="17"/>
    </row>
    <row r="11116">
      <c r="B11116" s="11">
        <f>IFERROR(__xludf.DUMMYFUNCTION("""COMPUTED_VALUE"""),30463.0)</f>
        <v>30463</v>
      </c>
      <c r="C11116" s="9">
        <f>IFERROR(__xludf.DUMMYFUNCTION("""COMPUTED_VALUE"""),10.62)</f>
        <v>10.62</v>
      </c>
      <c r="H11116" s="17"/>
      <c r="K11116" s="17"/>
      <c r="N11116" s="17"/>
    </row>
    <row r="11117">
      <c r="B11117" s="11">
        <f>IFERROR(__xludf.DUMMYFUNCTION("""COMPUTED_VALUE"""),30462.0)</f>
        <v>30462</v>
      </c>
      <c r="C11117" s="9">
        <f>IFERROR(__xludf.DUMMYFUNCTION("""COMPUTED_VALUE"""),10.63)</f>
        <v>10.63</v>
      </c>
      <c r="H11117" s="17"/>
      <c r="K11117" s="17"/>
      <c r="N11117" s="17"/>
    </row>
    <row r="11118">
      <c r="B11118" s="11">
        <f>IFERROR(__xludf.DUMMYFUNCTION("""COMPUTED_VALUE"""),30461.0)</f>
        <v>30461</v>
      </c>
      <c r="C11118" s="9">
        <f>IFERROR(__xludf.DUMMYFUNCTION("""COMPUTED_VALUE"""),10.58)</f>
        <v>10.58</v>
      </c>
      <c r="H11118" s="17"/>
      <c r="K11118" s="17"/>
      <c r="N11118" s="17"/>
    </row>
    <row r="11119">
      <c r="B11119" s="11">
        <f>IFERROR(__xludf.DUMMYFUNCTION("""COMPUTED_VALUE"""),30460.0)</f>
        <v>30460</v>
      </c>
      <c r="C11119" s="9">
        <f>IFERROR(__xludf.DUMMYFUNCTION("""COMPUTED_VALUE"""),10.56)</f>
        <v>10.56</v>
      </c>
      <c r="H11119" s="17"/>
      <c r="K11119" s="17"/>
      <c r="N11119" s="17"/>
    </row>
    <row r="11120">
      <c r="B11120" s="11">
        <f>IFERROR(__xludf.DUMMYFUNCTION("""COMPUTED_VALUE"""),30459.0)</f>
        <v>30459</v>
      </c>
      <c r="C11120" s="9">
        <f>IFERROR(__xludf.DUMMYFUNCTION("""COMPUTED_VALUE"""),10.57)</f>
        <v>10.57</v>
      </c>
      <c r="H11120" s="17"/>
      <c r="K11120" s="17"/>
      <c r="N11120" s="17"/>
    </row>
    <row r="11121">
      <c r="B11121" s="11">
        <f>IFERROR(__xludf.DUMMYFUNCTION("""COMPUTED_VALUE"""),30456.0)</f>
        <v>30456</v>
      </c>
      <c r="C11121" s="9">
        <f>IFERROR(__xludf.DUMMYFUNCTION("""COMPUTED_VALUE"""),10.54)</f>
        <v>10.54</v>
      </c>
      <c r="H11121" s="17"/>
      <c r="K11121" s="17"/>
      <c r="N11121" s="17"/>
    </row>
    <row r="11122">
      <c r="B11122" s="11">
        <f>IFERROR(__xludf.DUMMYFUNCTION("""COMPUTED_VALUE"""),30455.0)</f>
        <v>30455</v>
      </c>
      <c r="C11122" s="9">
        <f>IFERROR(__xludf.DUMMYFUNCTION("""COMPUTED_VALUE"""),10.49)</f>
        <v>10.49</v>
      </c>
      <c r="H11122" s="17"/>
      <c r="K11122" s="17"/>
      <c r="N11122" s="17"/>
    </row>
    <row r="11123">
      <c r="B11123" s="11">
        <f>IFERROR(__xludf.DUMMYFUNCTION("""COMPUTED_VALUE"""),30454.0)</f>
        <v>30454</v>
      </c>
      <c r="C11123" s="9">
        <f>IFERROR(__xludf.DUMMYFUNCTION("""COMPUTED_VALUE"""),10.43)</f>
        <v>10.43</v>
      </c>
      <c r="H11123" s="17"/>
      <c r="K11123" s="17"/>
      <c r="N11123" s="17"/>
    </row>
    <row r="11124">
      <c r="B11124" s="11">
        <f>IFERROR(__xludf.DUMMYFUNCTION("""COMPUTED_VALUE"""),30453.0)</f>
        <v>30453</v>
      </c>
      <c r="C11124" s="9">
        <f>IFERROR(__xludf.DUMMYFUNCTION("""COMPUTED_VALUE"""),10.41)</f>
        <v>10.41</v>
      </c>
      <c r="H11124" s="17"/>
      <c r="K11124" s="17"/>
      <c r="N11124" s="17"/>
    </row>
    <row r="11125">
      <c r="B11125" s="11">
        <f>IFERROR(__xludf.DUMMYFUNCTION("""COMPUTED_VALUE"""),30452.0)</f>
        <v>30452</v>
      </c>
      <c r="C11125" s="9">
        <f>IFERROR(__xludf.DUMMYFUNCTION("""COMPUTED_VALUE"""),10.37)</f>
        <v>10.37</v>
      </c>
      <c r="H11125" s="17"/>
      <c r="K11125" s="17"/>
      <c r="N11125" s="17"/>
    </row>
    <row r="11126">
      <c r="B11126" s="11">
        <f>IFERROR(__xludf.DUMMYFUNCTION("""COMPUTED_VALUE"""),30449.0)</f>
        <v>30449</v>
      </c>
      <c r="C11126" s="9">
        <f>IFERROR(__xludf.DUMMYFUNCTION("""COMPUTED_VALUE"""),10.22)</f>
        <v>10.22</v>
      </c>
      <c r="H11126" s="17"/>
      <c r="K11126" s="17"/>
      <c r="N11126" s="17"/>
    </row>
    <row r="11127">
      <c r="B11127" s="11">
        <f>IFERROR(__xludf.DUMMYFUNCTION("""COMPUTED_VALUE"""),30448.0)</f>
        <v>30448</v>
      </c>
      <c r="C11127" s="9">
        <f>IFERROR(__xludf.DUMMYFUNCTION("""COMPUTED_VALUE"""),10.23)</f>
        <v>10.23</v>
      </c>
      <c r="H11127" s="17"/>
      <c r="K11127" s="17"/>
      <c r="N11127" s="17"/>
    </row>
    <row r="11128">
      <c r="B11128" s="11">
        <f>IFERROR(__xludf.DUMMYFUNCTION("""COMPUTED_VALUE"""),30447.0)</f>
        <v>30447</v>
      </c>
      <c r="C11128" s="9">
        <f>IFERROR(__xludf.DUMMYFUNCTION("""COMPUTED_VALUE"""),10.18)</f>
        <v>10.18</v>
      </c>
      <c r="H11128" s="17"/>
      <c r="K11128" s="17"/>
      <c r="N11128" s="17"/>
    </row>
    <row r="11129">
      <c r="B11129" s="11">
        <f>IFERROR(__xludf.DUMMYFUNCTION("""COMPUTED_VALUE"""),30446.0)</f>
        <v>30446</v>
      </c>
      <c r="C11129" s="9">
        <f>IFERROR(__xludf.DUMMYFUNCTION("""COMPUTED_VALUE"""),10.16)</f>
        <v>10.16</v>
      </c>
      <c r="H11129" s="17"/>
      <c r="K11129" s="17"/>
      <c r="N11129" s="17"/>
    </row>
    <row r="11130">
      <c r="B11130" s="11">
        <f>IFERROR(__xludf.DUMMYFUNCTION("""COMPUTED_VALUE"""),30445.0)</f>
        <v>30445</v>
      </c>
      <c r="C11130" s="9">
        <f>IFERROR(__xludf.DUMMYFUNCTION("""COMPUTED_VALUE"""),10.25)</f>
        <v>10.25</v>
      </c>
      <c r="H11130" s="17"/>
      <c r="K11130" s="17"/>
      <c r="N11130" s="17"/>
    </row>
    <row r="11131">
      <c r="B11131" s="11">
        <f>IFERROR(__xludf.DUMMYFUNCTION("""COMPUTED_VALUE"""),30442.0)</f>
        <v>30442</v>
      </c>
      <c r="C11131" s="9">
        <f>IFERROR(__xludf.DUMMYFUNCTION("""COMPUTED_VALUE"""),10.13)</f>
        <v>10.13</v>
      </c>
      <c r="H11131" s="17"/>
      <c r="K11131" s="17"/>
      <c r="N11131" s="17"/>
    </row>
    <row r="11132">
      <c r="B11132" s="11">
        <f>IFERROR(__xludf.DUMMYFUNCTION("""COMPUTED_VALUE"""),30441.0)</f>
        <v>30441</v>
      </c>
      <c r="C11132" s="9">
        <f>IFERROR(__xludf.DUMMYFUNCTION("""COMPUTED_VALUE"""),10.16)</f>
        <v>10.16</v>
      </c>
      <c r="H11132" s="17"/>
      <c r="K11132" s="17"/>
      <c r="N11132" s="17"/>
    </row>
    <row r="11133">
      <c r="B11133" s="11">
        <f>IFERROR(__xludf.DUMMYFUNCTION("""COMPUTED_VALUE"""),30440.0)</f>
        <v>30440</v>
      </c>
      <c r="C11133" s="9">
        <f>IFERROR(__xludf.DUMMYFUNCTION("""COMPUTED_VALUE"""),10.12)</f>
        <v>10.12</v>
      </c>
      <c r="H11133" s="17"/>
      <c r="K11133" s="17"/>
      <c r="N11133" s="17"/>
    </row>
    <row r="11134">
      <c r="B11134" s="11">
        <f>IFERROR(__xludf.DUMMYFUNCTION("""COMPUTED_VALUE"""),30439.0)</f>
        <v>30439</v>
      </c>
      <c r="C11134" s="9">
        <f>IFERROR(__xludf.DUMMYFUNCTION("""COMPUTED_VALUE"""),10.26)</f>
        <v>10.26</v>
      </c>
      <c r="H11134" s="17"/>
      <c r="K11134" s="17"/>
      <c r="N11134" s="17"/>
    </row>
    <row r="11135">
      <c r="B11135" s="11">
        <f>IFERROR(__xludf.DUMMYFUNCTION("""COMPUTED_VALUE"""),30438.0)</f>
        <v>30438</v>
      </c>
      <c r="C11135" s="9">
        <f>IFERROR(__xludf.DUMMYFUNCTION("""COMPUTED_VALUE"""),10.26)</f>
        <v>10.26</v>
      </c>
      <c r="H11135" s="17"/>
      <c r="K11135" s="17"/>
      <c r="N11135" s="17"/>
    </row>
    <row r="11136">
      <c r="B11136" s="11">
        <f>IFERROR(__xludf.DUMMYFUNCTION("""COMPUTED_VALUE"""),30435.0)</f>
        <v>30435</v>
      </c>
      <c r="C11136" s="9">
        <f>IFERROR(__xludf.DUMMYFUNCTION("""COMPUTED_VALUE"""),10.27)</f>
        <v>10.27</v>
      </c>
      <c r="H11136" s="17"/>
      <c r="K11136" s="17"/>
      <c r="N11136" s="17"/>
    </row>
    <row r="11137">
      <c r="B11137" s="11">
        <f>IFERROR(__xludf.DUMMYFUNCTION("""COMPUTED_VALUE"""),30434.0)</f>
        <v>30434</v>
      </c>
      <c r="C11137" s="9">
        <f>IFERROR(__xludf.DUMMYFUNCTION("""COMPUTED_VALUE"""),10.31)</f>
        <v>10.31</v>
      </c>
      <c r="H11137" s="17"/>
      <c r="K11137" s="17"/>
      <c r="N11137" s="17"/>
    </row>
    <row r="11138">
      <c r="B11138" s="11">
        <f>IFERROR(__xludf.DUMMYFUNCTION("""COMPUTED_VALUE"""),30433.0)</f>
        <v>30433</v>
      </c>
      <c r="C11138" s="9">
        <f>IFERROR(__xludf.DUMMYFUNCTION("""COMPUTED_VALUE"""),10.29)</f>
        <v>10.29</v>
      </c>
      <c r="H11138" s="17"/>
      <c r="K11138" s="17"/>
      <c r="N11138" s="17"/>
    </row>
    <row r="11139">
      <c r="B11139" s="11">
        <f>IFERROR(__xludf.DUMMYFUNCTION("""COMPUTED_VALUE"""),30432.0)</f>
        <v>30432</v>
      </c>
      <c r="C11139" s="9">
        <f>IFERROR(__xludf.DUMMYFUNCTION("""COMPUTED_VALUE"""),10.37)</f>
        <v>10.37</v>
      </c>
      <c r="H11139" s="17"/>
      <c r="K11139" s="17"/>
      <c r="N11139" s="17"/>
    </row>
    <row r="11140">
      <c r="B11140" s="11">
        <f>IFERROR(__xludf.DUMMYFUNCTION("""COMPUTED_VALUE"""),30431.0)</f>
        <v>30431</v>
      </c>
      <c r="C11140" s="9">
        <f>IFERROR(__xludf.DUMMYFUNCTION("""COMPUTED_VALUE"""),10.4)</f>
        <v>10.4</v>
      </c>
      <c r="H11140" s="17"/>
      <c r="K11140" s="17"/>
      <c r="N11140" s="17"/>
    </row>
    <row r="11141">
      <c r="B11141" s="11">
        <f>IFERROR(__xludf.DUMMYFUNCTION("""COMPUTED_VALUE"""),30428.0)</f>
        <v>30428</v>
      </c>
      <c r="C11141" s="9">
        <f>IFERROR(__xludf.DUMMYFUNCTION("""COMPUTED_VALUE"""),10.42)</f>
        <v>10.42</v>
      </c>
      <c r="H11141" s="17"/>
      <c r="K11141" s="17"/>
      <c r="N11141" s="17"/>
    </row>
    <row r="11142">
      <c r="B11142" s="11">
        <f>IFERROR(__xludf.DUMMYFUNCTION("""COMPUTED_VALUE"""),30427.0)</f>
        <v>30427</v>
      </c>
      <c r="C11142" s="9">
        <f>IFERROR(__xludf.DUMMYFUNCTION("""COMPUTED_VALUE"""),10.43)</f>
        <v>10.43</v>
      </c>
      <c r="H11142" s="17"/>
      <c r="K11142" s="17"/>
      <c r="N11142" s="17"/>
    </row>
    <row r="11143">
      <c r="B11143" s="11">
        <f>IFERROR(__xludf.DUMMYFUNCTION("""COMPUTED_VALUE"""),30426.0)</f>
        <v>30426</v>
      </c>
      <c r="C11143" s="9">
        <f>IFERROR(__xludf.DUMMYFUNCTION("""COMPUTED_VALUE"""),10.39)</f>
        <v>10.39</v>
      </c>
      <c r="H11143" s="17"/>
      <c r="K11143" s="17"/>
      <c r="N11143" s="17"/>
    </row>
    <row r="11144">
      <c r="B11144" s="11">
        <f>IFERROR(__xludf.DUMMYFUNCTION("""COMPUTED_VALUE"""),30425.0)</f>
        <v>30425</v>
      </c>
      <c r="C11144" s="9">
        <f>IFERROR(__xludf.DUMMYFUNCTION("""COMPUTED_VALUE"""),10.39)</f>
        <v>10.39</v>
      </c>
      <c r="H11144" s="17"/>
      <c r="K11144" s="17"/>
      <c r="N11144" s="17"/>
    </row>
    <row r="11145">
      <c r="B11145" s="11">
        <f>IFERROR(__xludf.DUMMYFUNCTION("""COMPUTED_VALUE"""),30424.0)</f>
        <v>30424</v>
      </c>
      <c r="C11145" s="9">
        <f>IFERROR(__xludf.DUMMYFUNCTION("""COMPUTED_VALUE"""),10.29)</f>
        <v>10.29</v>
      </c>
      <c r="H11145" s="17"/>
      <c r="K11145" s="17"/>
      <c r="N11145" s="17"/>
    </row>
    <row r="11146">
      <c r="B11146" s="11">
        <f>IFERROR(__xludf.DUMMYFUNCTION("""COMPUTED_VALUE"""),30421.0)</f>
        <v>30421</v>
      </c>
      <c r="C11146" s="9">
        <f>IFERROR(__xludf.DUMMYFUNCTION("""COMPUTED_VALUE"""),10.33)</f>
        <v>10.33</v>
      </c>
      <c r="H11146" s="17"/>
      <c r="K11146" s="17"/>
      <c r="N11146" s="17"/>
    </row>
    <row r="11147">
      <c r="B11147" s="11">
        <f>IFERROR(__xludf.DUMMYFUNCTION("""COMPUTED_VALUE"""),30420.0)</f>
        <v>30420</v>
      </c>
      <c r="C11147" s="9">
        <f>IFERROR(__xludf.DUMMYFUNCTION("""COMPUTED_VALUE"""),10.29)</f>
        <v>10.29</v>
      </c>
      <c r="H11147" s="17"/>
      <c r="K11147" s="17"/>
      <c r="N11147" s="17"/>
    </row>
    <row r="11148">
      <c r="B11148" s="11">
        <f>IFERROR(__xludf.DUMMYFUNCTION("""COMPUTED_VALUE"""),30419.0)</f>
        <v>30419</v>
      </c>
      <c r="C11148" s="9">
        <f>IFERROR(__xludf.DUMMYFUNCTION("""COMPUTED_VALUE"""),10.39)</f>
        <v>10.39</v>
      </c>
      <c r="H11148" s="17"/>
      <c r="K11148" s="17"/>
      <c r="N11148" s="17"/>
    </row>
    <row r="11149">
      <c r="B11149" s="11">
        <f>IFERROR(__xludf.DUMMYFUNCTION("""COMPUTED_VALUE"""),30418.0)</f>
        <v>30418</v>
      </c>
      <c r="C11149" s="9">
        <f>IFERROR(__xludf.DUMMYFUNCTION("""COMPUTED_VALUE"""),10.42)</f>
        <v>10.42</v>
      </c>
      <c r="H11149" s="17"/>
      <c r="K11149" s="17"/>
      <c r="N11149" s="17"/>
    </row>
    <row r="11150">
      <c r="B11150" s="11">
        <f>IFERROR(__xludf.DUMMYFUNCTION("""COMPUTED_VALUE"""),30417.0)</f>
        <v>30417</v>
      </c>
      <c r="C11150" s="9">
        <f>IFERROR(__xludf.DUMMYFUNCTION("""COMPUTED_VALUE"""),10.41)</f>
        <v>10.41</v>
      </c>
      <c r="H11150" s="17"/>
      <c r="K11150" s="17"/>
      <c r="N11150" s="17"/>
    </row>
    <row r="11151">
      <c r="B11151" s="11">
        <f>IFERROR(__xludf.DUMMYFUNCTION("""COMPUTED_VALUE"""),30414.0)</f>
        <v>30414</v>
      </c>
      <c r="C11151" s="9">
        <f>IFERROR(__xludf.DUMMYFUNCTION("""COMPUTED_VALUE"""),10.51)</f>
        <v>10.51</v>
      </c>
      <c r="H11151" s="17"/>
      <c r="K11151" s="17"/>
      <c r="N11151" s="17"/>
    </row>
    <row r="11152">
      <c r="B11152" s="11">
        <f>IFERROR(__xludf.DUMMYFUNCTION("""COMPUTED_VALUE"""),30413.0)</f>
        <v>30413</v>
      </c>
      <c r="C11152" s="9">
        <f>IFERROR(__xludf.DUMMYFUNCTION("""COMPUTED_VALUE"""),10.51)</f>
        <v>10.51</v>
      </c>
      <c r="H11152" s="17"/>
      <c r="K11152" s="17"/>
      <c r="N11152" s="17"/>
    </row>
    <row r="11153">
      <c r="B11153" s="11">
        <f>IFERROR(__xludf.DUMMYFUNCTION("""COMPUTED_VALUE"""),30412.0)</f>
        <v>30412</v>
      </c>
      <c r="C11153" s="9">
        <f>IFERROR(__xludf.DUMMYFUNCTION("""COMPUTED_VALUE"""),10.49)</f>
        <v>10.49</v>
      </c>
      <c r="H11153" s="17"/>
      <c r="K11153" s="17"/>
      <c r="N11153" s="17"/>
    </row>
    <row r="11154">
      <c r="B11154" s="11">
        <f>IFERROR(__xludf.DUMMYFUNCTION("""COMPUTED_VALUE"""),30411.0)</f>
        <v>30411</v>
      </c>
      <c r="C11154" s="9">
        <f>IFERROR(__xludf.DUMMYFUNCTION("""COMPUTED_VALUE"""),10.49)</f>
        <v>10.49</v>
      </c>
      <c r="H11154" s="17"/>
      <c r="K11154" s="17"/>
      <c r="N11154" s="17"/>
    </row>
    <row r="11155">
      <c r="B11155" s="11">
        <f>IFERROR(__xludf.DUMMYFUNCTION("""COMPUTED_VALUE"""),30410.0)</f>
        <v>30410</v>
      </c>
      <c r="C11155" s="9">
        <f>IFERROR(__xludf.DUMMYFUNCTION("""COMPUTED_VALUE"""),10.6)</f>
        <v>10.6</v>
      </c>
      <c r="H11155" s="17"/>
      <c r="K11155" s="17"/>
      <c r="N11155" s="17"/>
    </row>
    <row r="11156">
      <c r="B11156" s="11">
        <f>IFERROR(__xludf.DUMMYFUNCTION("""COMPUTED_VALUE"""),30407.0)</f>
        <v>30407</v>
      </c>
      <c r="C11156" s="9"/>
      <c r="H11156" s="17"/>
      <c r="K11156" s="17"/>
      <c r="N11156" s="17"/>
    </row>
    <row r="11157">
      <c r="B11157" s="11">
        <f>IFERROR(__xludf.DUMMYFUNCTION("""COMPUTED_VALUE"""),30406.0)</f>
        <v>30406</v>
      </c>
      <c r="C11157" s="9">
        <f>IFERROR(__xludf.DUMMYFUNCTION("""COMPUTED_VALUE"""),10.62)</f>
        <v>10.62</v>
      </c>
      <c r="H11157" s="17"/>
      <c r="K11157" s="17"/>
      <c r="N11157" s="17"/>
    </row>
    <row r="11158">
      <c r="B11158" s="11">
        <f>IFERROR(__xludf.DUMMYFUNCTION("""COMPUTED_VALUE"""),30405.0)</f>
        <v>30405</v>
      </c>
      <c r="C11158" s="9">
        <f>IFERROR(__xludf.DUMMYFUNCTION("""COMPUTED_VALUE"""),10.59)</f>
        <v>10.59</v>
      </c>
      <c r="H11158" s="17"/>
      <c r="K11158" s="17"/>
      <c r="N11158" s="17"/>
    </row>
    <row r="11159">
      <c r="B11159" s="11">
        <f>IFERROR(__xludf.DUMMYFUNCTION("""COMPUTED_VALUE"""),30404.0)</f>
        <v>30404</v>
      </c>
      <c r="C11159" s="9">
        <f>IFERROR(__xludf.DUMMYFUNCTION("""COMPUTED_VALUE"""),10.6)</f>
        <v>10.6</v>
      </c>
      <c r="H11159" s="17"/>
      <c r="K11159" s="17"/>
      <c r="N11159" s="17"/>
    </row>
    <row r="11160">
      <c r="B11160" s="11">
        <f>IFERROR(__xludf.DUMMYFUNCTION("""COMPUTED_VALUE"""),30403.0)</f>
        <v>30403</v>
      </c>
      <c r="C11160" s="9">
        <f>IFERROR(__xludf.DUMMYFUNCTION("""COMPUTED_VALUE"""),10.66)</f>
        <v>10.66</v>
      </c>
      <c r="H11160" s="17"/>
      <c r="K11160" s="17"/>
      <c r="N11160" s="17"/>
    </row>
    <row r="11161">
      <c r="B11161" s="11">
        <f>IFERROR(__xludf.DUMMYFUNCTION("""COMPUTED_VALUE"""),30400.0)</f>
        <v>30400</v>
      </c>
      <c r="C11161" s="9">
        <f>IFERROR(__xludf.DUMMYFUNCTION("""COMPUTED_VALUE"""),10.64)</f>
        <v>10.64</v>
      </c>
      <c r="H11161" s="17"/>
      <c r="K11161" s="17"/>
      <c r="N11161" s="17"/>
    </row>
    <row r="11162">
      <c r="B11162" s="11">
        <f>IFERROR(__xludf.DUMMYFUNCTION("""COMPUTED_VALUE"""),30399.0)</f>
        <v>30399</v>
      </c>
      <c r="C11162" s="9">
        <f>IFERROR(__xludf.DUMMYFUNCTION("""COMPUTED_VALUE"""),10.58)</f>
        <v>10.58</v>
      </c>
      <c r="H11162" s="17"/>
      <c r="K11162" s="17"/>
      <c r="N11162" s="17"/>
    </row>
    <row r="11163">
      <c r="B11163" s="11">
        <f>IFERROR(__xludf.DUMMYFUNCTION("""COMPUTED_VALUE"""),30398.0)</f>
        <v>30398</v>
      </c>
      <c r="C11163" s="9">
        <f>IFERROR(__xludf.DUMMYFUNCTION("""COMPUTED_VALUE"""),10.58)</f>
        <v>10.58</v>
      </c>
      <c r="H11163" s="17"/>
      <c r="K11163" s="17"/>
      <c r="N11163" s="17"/>
    </row>
    <row r="11164">
      <c r="B11164" s="11">
        <f>IFERROR(__xludf.DUMMYFUNCTION("""COMPUTED_VALUE"""),30397.0)</f>
        <v>30397</v>
      </c>
      <c r="C11164" s="9">
        <f>IFERROR(__xludf.DUMMYFUNCTION("""COMPUTED_VALUE"""),10.62)</f>
        <v>10.62</v>
      </c>
      <c r="H11164" s="17"/>
      <c r="K11164" s="17"/>
      <c r="N11164" s="17"/>
    </row>
    <row r="11165">
      <c r="B11165" s="11">
        <f>IFERROR(__xludf.DUMMYFUNCTION("""COMPUTED_VALUE"""),30396.0)</f>
        <v>30396</v>
      </c>
      <c r="C11165" s="9">
        <f>IFERROR(__xludf.DUMMYFUNCTION("""COMPUTED_VALUE"""),10.6)</f>
        <v>10.6</v>
      </c>
      <c r="H11165" s="17"/>
      <c r="K11165" s="17"/>
      <c r="N11165" s="17"/>
    </row>
    <row r="11166">
      <c r="B11166" s="11">
        <f>IFERROR(__xludf.DUMMYFUNCTION("""COMPUTED_VALUE"""),30393.0)</f>
        <v>30393</v>
      </c>
      <c r="C11166" s="9">
        <f>IFERROR(__xludf.DUMMYFUNCTION("""COMPUTED_VALUE"""),10.58)</f>
        <v>10.58</v>
      </c>
      <c r="H11166" s="17"/>
      <c r="K11166" s="17"/>
      <c r="N11166" s="17"/>
    </row>
    <row r="11167">
      <c r="B11167" s="11">
        <f>IFERROR(__xludf.DUMMYFUNCTION("""COMPUTED_VALUE"""),30392.0)</f>
        <v>30392</v>
      </c>
      <c r="C11167" s="9">
        <f>IFERROR(__xludf.DUMMYFUNCTION("""COMPUTED_VALUE"""),10.56)</f>
        <v>10.56</v>
      </c>
      <c r="H11167" s="17"/>
      <c r="K11167" s="17"/>
      <c r="N11167" s="17"/>
    </row>
    <row r="11168">
      <c r="B11168" s="11">
        <f>IFERROR(__xludf.DUMMYFUNCTION("""COMPUTED_VALUE"""),30391.0)</f>
        <v>30391</v>
      </c>
      <c r="C11168" s="9">
        <f>IFERROR(__xludf.DUMMYFUNCTION("""COMPUTED_VALUE"""),10.53)</f>
        <v>10.53</v>
      </c>
      <c r="H11168" s="17"/>
      <c r="K11168" s="17"/>
      <c r="N11168" s="17"/>
    </row>
    <row r="11169">
      <c r="B11169" s="11">
        <f>IFERROR(__xludf.DUMMYFUNCTION("""COMPUTED_VALUE"""),30390.0)</f>
        <v>30390</v>
      </c>
      <c r="C11169" s="9">
        <f>IFERROR(__xludf.DUMMYFUNCTION("""COMPUTED_VALUE"""),10.46)</f>
        <v>10.46</v>
      </c>
      <c r="H11169" s="17"/>
      <c r="K11169" s="17"/>
      <c r="N11169" s="17"/>
    </row>
    <row r="11170">
      <c r="B11170" s="11">
        <f>IFERROR(__xludf.DUMMYFUNCTION("""COMPUTED_VALUE"""),30389.0)</f>
        <v>30389</v>
      </c>
      <c r="C11170" s="9">
        <f>IFERROR(__xludf.DUMMYFUNCTION("""COMPUTED_VALUE"""),10.48)</f>
        <v>10.48</v>
      </c>
      <c r="H11170" s="17"/>
      <c r="K11170" s="17"/>
      <c r="N11170" s="17"/>
    </row>
    <row r="11171">
      <c r="B11171" s="11">
        <f>IFERROR(__xludf.DUMMYFUNCTION("""COMPUTED_VALUE"""),30386.0)</f>
        <v>30386</v>
      </c>
      <c r="C11171" s="9">
        <f>IFERROR(__xludf.DUMMYFUNCTION("""COMPUTED_VALUE"""),10.59)</f>
        <v>10.59</v>
      </c>
      <c r="H11171" s="17"/>
      <c r="K11171" s="17"/>
      <c r="N11171" s="17"/>
    </row>
    <row r="11172">
      <c r="B11172" s="11">
        <f>IFERROR(__xludf.DUMMYFUNCTION("""COMPUTED_VALUE"""),30385.0)</f>
        <v>30385</v>
      </c>
      <c r="C11172" s="9">
        <f>IFERROR(__xludf.DUMMYFUNCTION("""COMPUTED_VALUE"""),10.55)</f>
        <v>10.55</v>
      </c>
      <c r="H11172" s="17"/>
      <c r="K11172" s="17"/>
      <c r="N11172" s="17"/>
    </row>
    <row r="11173">
      <c r="B11173" s="11">
        <f>IFERROR(__xludf.DUMMYFUNCTION("""COMPUTED_VALUE"""),30384.0)</f>
        <v>30384</v>
      </c>
      <c r="C11173" s="9">
        <f>IFERROR(__xludf.DUMMYFUNCTION("""COMPUTED_VALUE"""),10.48)</f>
        <v>10.48</v>
      </c>
      <c r="H11173" s="17"/>
      <c r="K11173" s="17"/>
      <c r="N11173" s="17"/>
    </row>
    <row r="11174">
      <c r="B11174" s="11">
        <f>IFERROR(__xludf.DUMMYFUNCTION("""COMPUTED_VALUE"""),30383.0)</f>
        <v>30383</v>
      </c>
      <c r="C11174" s="9">
        <f>IFERROR(__xludf.DUMMYFUNCTION("""COMPUTED_VALUE"""),10.52)</f>
        <v>10.52</v>
      </c>
      <c r="H11174" s="17"/>
      <c r="K11174" s="17"/>
      <c r="N11174" s="17"/>
    </row>
    <row r="11175">
      <c r="B11175" s="11">
        <f>IFERROR(__xludf.DUMMYFUNCTION("""COMPUTED_VALUE"""),30382.0)</f>
        <v>30382</v>
      </c>
      <c r="C11175" s="9">
        <f>IFERROR(__xludf.DUMMYFUNCTION("""COMPUTED_VALUE"""),10.43)</f>
        <v>10.43</v>
      </c>
      <c r="H11175" s="17"/>
      <c r="K11175" s="17"/>
      <c r="N11175" s="17"/>
    </row>
    <row r="11176">
      <c r="B11176" s="11">
        <f>IFERROR(__xludf.DUMMYFUNCTION("""COMPUTED_VALUE"""),30379.0)</f>
        <v>30379</v>
      </c>
      <c r="C11176" s="9">
        <f>IFERROR(__xludf.DUMMYFUNCTION("""COMPUTED_VALUE"""),10.27)</f>
        <v>10.27</v>
      </c>
      <c r="H11176" s="17"/>
      <c r="K11176" s="17"/>
      <c r="N11176" s="17"/>
    </row>
    <row r="11177">
      <c r="B11177" s="11">
        <f>IFERROR(__xludf.DUMMYFUNCTION("""COMPUTED_VALUE"""),30378.0)</f>
        <v>30378</v>
      </c>
      <c r="C11177" s="9">
        <f>IFERROR(__xludf.DUMMYFUNCTION("""COMPUTED_VALUE"""),10.23)</f>
        <v>10.23</v>
      </c>
      <c r="H11177" s="17"/>
      <c r="K11177" s="17"/>
      <c r="N11177" s="17"/>
    </row>
    <row r="11178">
      <c r="B11178" s="11">
        <f>IFERROR(__xludf.DUMMYFUNCTION("""COMPUTED_VALUE"""),30377.0)</f>
        <v>30377</v>
      </c>
      <c r="C11178" s="9">
        <f>IFERROR(__xludf.DUMMYFUNCTION("""COMPUTED_VALUE"""),10.26)</f>
        <v>10.26</v>
      </c>
      <c r="H11178" s="17"/>
      <c r="K11178" s="17"/>
      <c r="N11178" s="17"/>
    </row>
    <row r="11179">
      <c r="B11179" s="11">
        <f>IFERROR(__xludf.DUMMYFUNCTION("""COMPUTED_VALUE"""),30376.0)</f>
        <v>30376</v>
      </c>
      <c r="C11179" s="9">
        <f>IFERROR(__xludf.DUMMYFUNCTION("""COMPUTED_VALUE"""),10.22)</f>
        <v>10.22</v>
      </c>
      <c r="H11179" s="17"/>
      <c r="K11179" s="17"/>
      <c r="N11179" s="17"/>
    </row>
    <row r="11180">
      <c r="B11180" s="11">
        <f>IFERROR(__xludf.DUMMYFUNCTION("""COMPUTED_VALUE"""),30375.0)</f>
        <v>30375</v>
      </c>
      <c r="C11180" s="9">
        <f>IFERROR(__xludf.DUMMYFUNCTION("""COMPUTED_VALUE"""),10.27)</f>
        <v>10.27</v>
      </c>
      <c r="H11180" s="17"/>
      <c r="K11180" s="17"/>
      <c r="N11180" s="17"/>
    </row>
    <row r="11181">
      <c r="B11181" s="11">
        <f>IFERROR(__xludf.DUMMYFUNCTION("""COMPUTED_VALUE"""),30372.0)</f>
        <v>30372</v>
      </c>
      <c r="C11181" s="9">
        <f>IFERROR(__xludf.DUMMYFUNCTION("""COMPUTED_VALUE"""),10.26)</f>
        <v>10.26</v>
      </c>
      <c r="H11181" s="17"/>
      <c r="K11181" s="17"/>
      <c r="N11181" s="17"/>
    </row>
    <row r="11182">
      <c r="B11182" s="11">
        <f>IFERROR(__xludf.DUMMYFUNCTION("""COMPUTED_VALUE"""),30371.0)</f>
        <v>30371</v>
      </c>
      <c r="C11182" s="9">
        <f>IFERROR(__xludf.DUMMYFUNCTION("""COMPUTED_VALUE"""),10.42)</f>
        <v>10.42</v>
      </c>
      <c r="H11182" s="17"/>
      <c r="K11182" s="17"/>
      <c r="N11182" s="17"/>
    </row>
    <row r="11183">
      <c r="B11183" s="11">
        <f>IFERROR(__xludf.DUMMYFUNCTION("""COMPUTED_VALUE"""),30370.0)</f>
        <v>30370</v>
      </c>
      <c r="C11183" s="9">
        <f>IFERROR(__xludf.DUMMYFUNCTION("""COMPUTED_VALUE"""),10.44)</f>
        <v>10.44</v>
      </c>
      <c r="H11183" s="17"/>
      <c r="K11183" s="17"/>
      <c r="N11183" s="17"/>
    </row>
    <row r="11184">
      <c r="B11184" s="11">
        <f>IFERROR(__xludf.DUMMYFUNCTION("""COMPUTED_VALUE"""),30369.0)</f>
        <v>30369</v>
      </c>
      <c r="C11184" s="9">
        <f>IFERROR(__xludf.DUMMYFUNCTION("""COMPUTED_VALUE"""),10.46)</f>
        <v>10.46</v>
      </c>
      <c r="H11184" s="17"/>
      <c r="K11184" s="17"/>
      <c r="N11184" s="17"/>
    </row>
    <row r="11185">
      <c r="B11185" s="11">
        <f>IFERROR(__xludf.DUMMYFUNCTION("""COMPUTED_VALUE"""),30368.0)</f>
        <v>30368</v>
      </c>
      <c r="C11185" s="9"/>
      <c r="H11185" s="17"/>
      <c r="K11185" s="17"/>
      <c r="N11185" s="17"/>
    </row>
    <row r="11186">
      <c r="B11186" s="11">
        <f>IFERROR(__xludf.DUMMYFUNCTION("""COMPUTED_VALUE"""),30365.0)</f>
        <v>30365</v>
      </c>
      <c r="C11186" s="9">
        <f>IFERROR(__xludf.DUMMYFUNCTION("""COMPUTED_VALUE"""),10.6)</f>
        <v>10.6</v>
      </c>
      <c r="H11186" s="17"/>
      <c r="K11186" s="17"/>
      <c r="N11186" s="17"/>
    </row>
    <row r="11187">
      <c r="B11187" s="11">
        <f>IFERROR(__xludf.DUMMYFUNCTION("""COMPUTED_VALUE"""),30364.0)</f>
        <v>30364</v>
      </c>
      <c r="C11187" s="9">
        <f>IFERROR(__xludf.DUMMYFUNCTION("""COMPUTED_VALUE"""),10.71)</f>
        <v>10.71</v>
      </c>
      <c r="H11187" s="17"/>
      <c r="K11187" s="17"/>
      <c r="N11187" s="17"/>
    </row>
    <row r="11188">
      <c r="B11188" s="11">
        <f>IFERROR(__xludf.DUMMYFUNCTION("""COMPUTED_VALUE"""),30363.0)</f>
        <v>30363</v>
      </c>
      <c r="C11188" s="9">
        <f>IFERROR(__xludf.DUMMYFUNCTION("""COMPUTED_VALUE"""),10.81)</f>
        <v>10.81</v>
      </c>
      <c r="H11188" s="17"/>
      <c r="K11188" s="17"/>
      <c r="N11188" s="17"/>
    </row>
    <row r="11189">
      <c r="B11189" s="11">
        <f>IFERROR(__xludf.DUMMYFUNCTION("""COMPUTED_VALUE"""),30362.0)</f>
        <v>30362</v>
      </c>
      <c r="C11189" s="9">
        <f>IFERROR(__xludf.DUMMYFUNCTION("""COMPUTED_VALUE"""),10.84)</f>
        <v>10.84</v>
      </c>
      <c r="H11189" s="17"/>
      <c r="K11189" s="17"/>
      <c r="N11189" s="17"/>
    </row>
    <row r="11190">
      <c r="B11190" s="11">
        <f>IFERROR(__xludf.DUMMYFUNCTION("""COMPUTED_VALUE"""),30361.0)</f>
        <v>30361</v>
      </c>
      <c r="C11190" s="9">
        <f>IFERROR(__xludf.DUMMYFUNCTION("""COMPUTED_VALUE"""),10.8)</f>
        <v>10.8</v>
      </c>
      <c r="H11190" s="17"/>
      <c r="K11190" s="17"/>
      <c r="N11190" s="17"/>
    </row>
    <row r="11191">
      <c r="B11191" s="11">
        <f>IFERROR(__xludf.DUMMYFUNCTION("""COMPUTED_VALUE"""),30358.0)</f>
        <v>30358</v>
      </c>
      <c r="C11191" s="9">
        <f>IFERROR(__xludf.DUMMYFUNCTION("""COMPUTED_VALUE"""),10.8)</f>
        <v>10.8</v>
      </c>
      <c r="H11191" s="17"/>
      <c r="K11191" s="17"/>
      <c r="N11191" s="17"/>
    </row>
    <row r="11192">
      <c r="B11192" s="11">
        <f>IFERROR(__xludf.DUMMYFUNCTION("""COMPUTED_VALUE"""),30357.0)</f>
        <v>30357</v>
      </c>
      <c r="C11192" s="9">
        <f>IFERROR(__xludf.DUMMYFUNCTION("""COMPUTED_VALUE"""),10.83)</f>
        <v>10.83</v>
      </c>
      <c r="H11192" s="17"/>
      <c r="K11192" s="17"/>
      <c r="N11192" s="17"/>
    </row>
    <row r="11193">
      <c r="B11193" s="11">
        <f>IFERROR(__xludf.DUMMYFUNCTION("""COMPUTED_VALUE"""),30356.0)</f>
        <v>30356</v>
      </c>
      <c r="C11193" s="9">
        <f>IFERROR(__xludf.DUMMYFUNCTION("""COMPUTED_VALUE"""),11.0)</f>
        <v>11</v>
      </c>
      <c r="H11193" s="17"/>
      <c r="K11193" s="17"/>
      <c r="N11193" s="17"/>
    </row>
    <row r="11194">
      <c r="B11194" s="11">
        <f>IFERROR(__xludf.DUMMYFUNCTION("""COMPUTED_VALUE"""),30355.0)</f>
        <v>30355</v>
      </c>
      <c r="C11194" s="9">
        <f>IFERROR(__xludf.DUMMYFUNCTION("""COMPUTED_VALUE"""),10.99)</f>
        <v>10.99</v>
      </c>
      <c r="H11194" s="17"/>
      <c r="K11194" s="17"/>
      <c r="N11194" s="17"/>
    </row>
    <row r="11195">
      <c r="B11195" s="11">
        <f>IFERROR(__xludf.DUMMYFUNCTION("""COMPUTED_VALUE"""),30354.0)</f>
        <v>30354</v>
      </c>
      <c r="C11195" s="9">
        <f>IFERROR(__xludf.DUMMYFUNCTION("""COMPUTED_VALUE"""),10.96)</f>
        <v>10.96</v>
      </c>
      <c r="H11195" s="17"/>
      <c r="K11195" s="17"/>
      <c r="N11195" s="17"/>
    </row>
    <row r="11196">
      <c r="B11196" s="11">
        <f>IFERROR(__xludf.DUMMYFUNCTION("""COMPUTED_VALUE"""),30351.0)</f>
        <v>30351</v>
      </c>
      <c r="C11196" s="9">
        <f>IFERROR(__xludf.DUMMYFUNCTION("""COMPUTED_VALUE"""),10.99)</f>
        <v>10.99</v>
      </c>
      <c r="H11196" s="17"/>
      <c r="K11196" s="17"/>
      <c r="N11196" s="17"/>
    </row>
    <row r="11197">
      <c r="B11197" s="11">
        <f>IFERROR(__xludf.DUMMYFUNCTION("""COMPUTED_VALUE"""),30350.0)</f>
        <v>30350</v>
      </c>
      <c r="C11197" s="9">
        <f>IFERROR(__xludf.DUMMYFUNCTION("""COMPUTED_VALUE"""),10.93)</f>
        <v>10.93</v>
      </c>
      <c r="H11197" s="17"/>
      <c r="K11197" s="17"/>
      <c r="N11197" s="17"/>
    </row>
    <row r="11198">
      <c r="B11198" s="11">
        <f>IFERROR(__xludf.DUMMYFUNCTION("""COMPUTED_VALUE"""),30349.0)</f>
        <v>30349</v>
      </c>
      <c r="C11198" s="9">
        <f>IFERROR(__xludf.DUMMYFUNCTION("""COMPUTED_VALUE"""),10.88)</f>
        <v>10.88</v>
      </c>
      <c r="H11198" s="17"/>
      <c r="K11198" s="17"/>
      <c r="N11198" s="17"/>
    </row>
    <row r="11199">
      <c r="B11199" s="11">
        <f>IFERROR(__xludf.DUMMYFUNCTION("""COMPUTED_VALUE"""),30348.0)</f>
        <v>30348</v>
      </c>
      <c r="C11199" s="9">
        <f>IFERROR(__xludf.DUMMYFUNCTION("""COMPUTED_VALUE"""),10.78)</f>
        <v>10.78</v>
      </c>
      <c r="H11199" s="17"/>
      <c r="K11199" s="17"/>
      <c r="N11199" s="17"/>
    </row>
    <row r="11200">
      <c r="B11200" s="11">
        <f>IFERROR(__xludf.DUMMYFUNCTION("""COMPUTED_VALUE"""),30347.0)</f>
        <v>30347</v>
      </c>
      <c r="C11200" s="9">
        <f>IFERROR(__xludf.DUMMYFUNCTION("""COMPUTED_VALUE"""),10.8)</f>
        <v>10.8</v>
      </c>
      <c r="H11200" s="17"/>
      <c r="K11200" s="17"/>
      <c r="N11200" s="17"/>
    </row>
    <row r="11201">
      <c r="B11201" s="11">
        <f>IFERROR(__xludf.DUMMYFUNCTION("""COMPUTED_VALUE"""),30344.0)</f>
        <v>30344</v>
      </c>
      <c r="C11201" s="9">
        <f>IFERROR(__xludf.DUMMYFUNCTION("""COMPUTED_VALUE"""),10.71)</f>
        <v>10.71</v>
      </c>
      <c r="H11201" s="17"/>
      <c r="K11201" s="17"/>
      <c r="N11201" s="17"/>
    </row>
    <row r="11202">
      <c r="B11202" s="11">
        <f>IFERROR(__xludf.DUMMYFUNCTION("""COMPUTED_VALUE"""),30343.0)</f>
        <v>30343</v>
      </c>
      <c r="C11202" s="9">
        <f>IFERROR(__xludf.DUMMYFUNCTION("""COMPUTED_VALUE"""),10.67)</f>
        <v>10.67</v>
      </c>
      <c r="H11202" s="17"/>
      <c r="K11202" s="17"/>
      <c r="N11202" s="17"/>
    </row>
    <row r="11203">
      <c r="B11203" s="11">
        <f>IFERROR(__xludf.DUMMYFUNCTION("""COMPUTED_VALUE"""),30342.0)</f>
        <v>30342</v>
      </c>
      <c r="C11203" s="9">
        <f>IFERROR(__xludf.DUMMYFUNCTION("""COMPUTED_VALUE"""),10.69)</f>
        <v>10.69</v>
      </c>
      <c r="H11203" s="17"/>
      <c r="K11203" s="17"/>
      <c r="N11203" s="17"/>
    </row>
    <row r="11204">
      <c r="B11204" s="11">
        <f>IFERROR(__xludf.DUMMYFUNCTION("""COMPUTED_VALUE"""),30341.0)</f>
        <v>30341</v>
      </c>
      <c r="C11204" s="9">
        <f>IFERROR(__xludf.DUMMYFUNCTION("""COMPUTED_VALUE"""),10.62)</f>
        <v>10.62</v>
      </c>
      <c r="H11204" s="17"/>
      <c r="K11204" s="17"/>
      <c r="N11204" s="17"/>
    </row>
    <row r="11205">
      <c r="B11205" s="11">
        <f>IFERROR(__xludf.DUMMYFUNCTION("""COMPUTED_VALUE"""),30340.0)</f>
        <v>30340</v>
      </c>
      <c r="C11205" s="9">
        <f>IFERROR(__xludf.DUMMYFUNCTION("""COMPUTED_VALUE"""),10.7)</f>
        <v>10.7</v>
      </c>
      <c r="H11205" s="17"/>
      <c r="K11205" s="17"/>
      <c r="N11205" s="17"/>
    </row>
    <row r="11206">
      <c r="B11206" s="11">
        <f>IFERROR(__xludf.DUMMYFUNCTION("""COMPUTED_VALUE"""),30337.0)</f>
        <v>30337</v>
      </c>
      <c r="C11206" s="9">
        <f>IFERROR(__xludf.DUMMYFUNCTION("""COMPUTED_VALUE"""),10.61)</f>
        <v>10.61</v>
      </c>
      <c r="H11206" s="17"/>
      <c r="K11206" s="17"/>
      <c r="N11206" s="17"/>
    </row>
    <row r="11207">
      <c r="B11207" s="11">
        <f>IFERROR(__xludf.DUMMYFUNCTION("""COMPUTED_VALUE"""),30336.0)</f>
        <v>30336</v>
      </c>
      <c r="C11207" s="9">
        <f>IFERROR(__xludf.DUMMYFUNCTION("""COMPUTED_VALUE"""),10.43)</f>
        <v>10.43</v>
      </c>
      <c r="H11207" s="17"/>
      <c r="K11207" s="17"/>
      <c r="N11207" s="17"/>
    </row>
    <row r="11208">
      <c r="B11208" s="11">
        <f>IFERROR(__xludf.DUMMYFUNCTION("""COMPUTED_VALUE"""),30335.0)</f>
        <v>30335</v>
      </c>
      <c r="C11208" s="9">
        <f>IFERROR(__xludf.DUMMYFUNCTION("""COMPUTED_VALUE"""),10.41)</f>
        <v>10.41</v>
      </c>
      <c r="H11208" s="17"/>
      <c r="K11208" s="17"/>
      <c r="N11208" s="17"/>
    </row>
    <row r="11209">
      <c r="B11209" s="11">
        <f>IFERROR(__xludf.DUMMYFUNCTION("""COMPUTED_VALUE"""),30334.0)</f>
        <v>30334</v>
      </c>
      <c r="C11209" s="9">
        <f>IFERROR(__xludf.DUMMYFUNCTION("""COMPUTED_VALUE"""),10.3)</f>
        <v>10.3</v>
      </c>
      <c r="H11209" s="17"/>
      <c r="K11209" s="17"/>
      <c r="N11209" s="17"/>
    </row>
    <row r="11210">
      <c r="B11210" s="11">
        <f>IFERROR(__xludf.DUMMYFUNCTION("""COMPUTED_VALUE"""),30333.0)</f>
        <v>30333</v>
      </c>
      <c r="C11210" s="9">
        <f>IFERROR(__xludf.DUMMYFUNCTION("""COMPUTED_VALUE"""),10.28)</f>
        <v>10.28</v>
      </c>
      <c r="H11210" s="17"/>
      <c r="K11210" s="17"/>
      <c r="N11210" s="17"/>
    </row>
    <row r="11211">
      <c r="B11211" s="11">
        <f>IFERROR(__xludf.DUMMYFUNCTION("""COMPUTED_VALUE"""),30330.0)</f>
        <v>30330</v>
      </c>
      <c r="C11211" s="9">
        <f>IFERROR(__xludf.DUMMYFUNCTION("""COMPUTED_VALUE"""),10.28)</f>
        <v>10.28</v>
      </c>
      <c r="H11211" s="17"/>
      <c r="K11211" s="17"/>
      <c r="N11211" s="17"/>
    </row>
    <row r="11212">
      <c r="B11212" s="11">
        <f>IFERROR(__xludf.DUMMYFUNCTION("""COMPUTED_VALUE"""),30329.0)</f>
        <v>30329</v>
      </c>
      <c r="C11212" s="9">
        <f>IFERROR(__xludf.DUMMYFUNCTION("""COMPUTED_VALUE"""),10.27)</f>
        <v>10.27</v>
      </c>
      <c r="H11212" s="17"/>
      <c r="K11212" s="17"/>
      <c r="N11212" s="17"/>
    </row>
    <row r="11213">
      <c r="B11213" s="11">
        <f>IFERROR(__xludf.DUMMYFUNCTION("""COMPUTED_VALUE"""),30328.0)</f>
        <v>30328</v>
      </c>
      <c r="C11213" s="9">
        <f>IFERROR(__xludf.DUMMYFUNCTION("""COMPUTED_VALUE"""),10.32)</f>
        <v>10.32</v>
      </c>
      <c r="H11213" s="17"/>
      <c r="K11213" s="17"/>
      <c r="N11213" s="17"/>
    </row>
    <row r="11214">
      <c r="B11214" s="11">
        <f>IFERROR(__xludf.DUMMYFUNCTION("""COMPUTED_VALUE"""),30327.0)</f>
        <v>30327</v>
      </c>
      <c r="C11214" s="9">
        <f>IFERROR(__xludf.DUMMYFUNCTION("""COMPUTED_VALUE"""),10.34)</f>
        <v>10.34</v>
      </c>
      <c r="H11214" s="17"/>
      <c r="K11214" s="17"/>
      <c r="N11214" s="17"/>
    </row>
    <row r="11215">
      <c r="B11215" s="11">
        <f>IFERROR(__xludf.DUMMYFUNCTION("""COMPUTED_VALUE"""),30326.0)</f>
        <v>30326</v>
      </c>
      <c r="C11215" s="9">
        <f>IFERROR(__xludf.DUMMYFUNCTION("""COMPUTED_VALUE"""),10.38)</f>
        <v>10.38</v>
      </c>
      <c r="H11215" s="17"/>
      <c r="K11215" s="17"/>
      <c r="N11215" s="17"/>
    </row>
    <row r="11216">
      <c r="B11216" s="11">
        <f>IFERROR(__xludf.DUMMYFUNCTION("""COMPUTED_VALUE"""),30323.0)</f>
        <v>30323</v>
      </c>
      <c r="C11216" s="9">
        <f>IFERROR(__xludf.DUMMYFUNCTION("""COMPUTED_VALUE"""),10.36)</f>
        <v>10.36</v>
      </c>
      <c r="H11216" s="17"/>
      <c r="K11216" s="17"/>
      <c r="N11216" s="17"/>
    </row>
    <row r="11217">
      <c r="B11217" s="11">
        <f>IFERROR(__xludf.DUMMYFUNCTION("""COMPUTED_VALUE"""),30322.0)</f>
        <v>30322</v>
      </c>
      <c r="C11217" s="9">
        <f>IFERROR(__xludf.DUMMYFUNCTION("""COMPUTED_VALUE"""),10.39)</f>
        <v>10.39</v>
      </c>
      <c r="H11217" s="17"/>
      <c r="K11217" s="17"/>
      <c r="N11217" s="17"/>
    </row>
    <row r="11218">
      <c r="B11218" s="11">
        <f>IFERROR(__xludf.DUMMYFUNCTION("""COMPUTED_VALUE"""),30321.0)</f>
        <v>30321</v>
      </c>
      <c r="C11218" s="9">
        <f>IFERROR(__xludf.DUMMYFUNCTION("""COMPUTED_VALUE"""),10.35)</f>
        <v>10.35</v>
      </c>
      <c r="H11218" s="17"/>
      <c r="K11218" s="17"/>
      <c r="N11218" s="17"/>
    </row>
    <row r="11219">
      <c r="B11219" s="11">
        <f>IFERROR(__xludf.DUMMYFUNCTION("""COMPUTED_VALUE"""),30320.0)</f>
        <v>30320</v>
      </c>
      <c r="C11219" s="9">
        <f>IFERROR(__xludf.DUMMYFUNCTION("""COMPUTED_VALUE"""),10.37)</f>
        <v>10.37</v>
      </c>
      <c r="H11219" s="17"/>
      <c r="K11219" s="17"/>
      <c r="N11219" s="17"/>
    </row>
    <row r="11220">
      <c r="B11220" s="11">
        <f>IFERROR(__xludf.DUMMYFUNCTION("""COMPUTED_VALUE"""),30319.0)</f>
        <v>30319</v>
      </c>
      <c r="C11220" s="9">
        <f>IFERROR(__xludf.DUMMYFUNCTION("""COMPUTED_VALUE"""),10.32)</f>
        <v>10.32</v>
      </c>
      <c r="H11220" s="17"/>
      <c r="K11220" s="17"/>
      <c r="N11220" s="17"/>
    </row>
    <row r="11221">
      <c r="B11221" s="11">
        <f>IFERROR(__xludf.DUMMYFUNCTION("""COMPUTED_VALUE"""),30316.0)</f>
        <v>30316</v>
      </c>
      <c r="C11221" s="9">
        <f>IFERROR(__xludf.DUMMYFUNCTION("""COMPUTED_VALUE"""),10.36)</f>
        <v>10.36</v>
      </c>
      <c r="H11221" s="17"/>
      <c r="K11221" s="17"/>
      <c r="N11221" s="17"/>
    </row>
    <row r="11222">
      <c r="B11222" s="11">
        <f>IFERROR(__xludf.DUMMYFUNCTION("""COMPUTED_VALUE"""),30315.0)</f>
        <v>30315</v>
      </c>
      <c r="C11222" s="9">
        <f>IFERROR(__xludf.DUMMYFUNCTION("""COMPUTED_VALUE"""),10.44)</f>
        <v>10.44</v>
      </c>
      <c r="H11222" s="17"/>
      <c r="K11222" s="17"/>
      <c r="N11222" s="17"/>
    </row>
    <row r="11223">
      <c r="B11223" s="11">
        <f>IFERROR(__xludf.DUMMYFUNCTION("""COMPUTED_VALUE"""),30314.0)</f>
        <v>30314</v>
      </c>
      <c r="C11223" s="9">
        <f>IFERROR(__xludf.DUMMYFUNCTION("""COMPUTED_VALUE"""),10.47)</f>
        <v>10.47</v>
      </c>
      <c r="H11223" s="17"/>
      <c r="K11223" s="17"/>
      <c r="N11223" s="17"/>
    </row>
    <row r="11224">
      <c r="B11224" s="11">
        <f>IFERROR(__xludf.DUMMYFUNCTION("""COMPUTED_VALUE"""),30313.0)</f>
        <v>30313</v>
      </c>
      <c r="C11224" s="9">
        <f>IFERROR(__xludf.DUMMYFUNCTION("""COMPUTED_VALUE"""),10.44)</f>
        <v>10.44</v>
      </c>
      <c r="H11224" s="17"/>
      <c r="K11224" s="17"/>
      <c r="N11224" s="17"/>
    </row>
    <row r="11225">
      <c r="B11225" s="11">
        <f>IFERROR(__xludf.DUMMYFUNCTION("""COMPUTED_VALUE"""),30312.0)</f>
        <v>30312</v>
      </c>
      <c r="C11225" s="9">
        <f>IFERROR(__xludf.DUMMYFUNCTION("""COMPUTED_VALUE"""),10.44)</f>
        <v>10.44</v>
      </c>
      <c r="H11225" s="17"/>
      <c r="K11225" s="17"/>
      <c r="N11225" s="17"/>
    </row>
    <row r="11226">
      <c r="B11226" s="11">
        <f>IFERROR(__xludf.DUMMYFUNCTION("""COMPUTED_VALUE"""),30309.0)</f>
        <v>30309</v>
      </c>
      <c r="C11226" s="9"/>
      <c r="H11226" s="17"/>
      <c r="K11226" s="17"/>
      <c r="N11226" s="17"/>
    </row>
    <row r="11227">
      <c r="B11227" s="11">
        <f>IFERROR(__xludf.DUMMYFUNCTION("""COMPUTED_VALUE"""),30308.0)</f>
        <v>30308</v>
      </c>
      <c r="C11227" s="9">
        <f>IFERROR(__xludf.DUMMYFUNCTION("""COMPUTED_VALUE"""),10.47)</f>
        <v>10.47</v>
      </c>
      <c r="H11227" s="17"/>
      <c r="K11227" s="17"/>
      <c r="N11227" s="17"/>
    </row>
    <row r="11228">
      <c r="B11228" s="11">
        <f>IFERROR(__xludf.DUMMYFUNCTION("""COMPUTED_VALUE"""),30307.0)</f>
        <v>30307</v>
      </c>
      <c r="C11228" s="9">
        <f>IFERROR(__xludf.DUMMYFUNCTION("""COMPUTED_VALUE"""),10.53)</f>
        <v>10.53</v>
      </c>
      <c r="H11228" s="17"/>
      <c r="K11228" s="17"/>
      <c r="N11228" s="17"/>
    </row>
    <row r="11229">
      <c r="B11229" s="11">
        <f>IFERROR(__xludf.DUMMYFUNCTION("""COMPUTED_VALUE"""),30306.0)</f>
        <v>30306</v>
      </c>
      <c r="C11229" s="9">
        <f>IFERROR(__xludf.DUMMYFUNCTION("""COMPUTED_VALUE"""),10.54)</f>
        <v>10.54</v>
      </c>
      <c r="H11229" s="17"/>
      <c r="K11229" s="17"/>
      <c r="N11229" s="17"/>
    </row>
    <row r="11230">
      <c r="B11230" s="11">
        <f>IFERROR(__xludf.DUMMYFUNCTION("""COMPUTED_VALUE"""),30305.0)</f>
        <v>30305</v>
      </c>
      <c r="C11230" s="9">
        <f>IFERROR(__xludf.DUMMYFUNCTION("""COMPUTED_VALUE"""),10.7)</f>
        <v>10.7</v>
      </c>
      <c r="H11230" s="17"/>
      <c r="K11230" s="17"/>
      <c r="N11230" s="17"/>
    </row>
    <row r="11231">
      <c r="B11231" s="11">
        <f>IFERROR(__xludf.DUMMYFUNCTION("""COMPUTED_VALUE"""),30302.0)</f>
        <v>30302</v>
      </c>
      <c r="C11231" s="9">
        <f>IFERROR(__xludf.DUMMYFUNCTION("""COMPUTED_VALUE"""),10.64)</f>
        <v>10.64</v>
      </c>
      <c r="H11231" s="17"/>
      <c r="K11231" s="17"/>
      <c r="N11231" s="17"/>
    </row>
    <row r="11232">
      <c r="B11232" s="11">
        <f>IFERROR(__xludf.DUMMYFUNCTION("""COMPUTED_VALUE"""),30301.0)</f>
        <v>30301</v>
      </c>
      <c r="C11232" s="9">
        <f>IFERROR(__xludf.DUMMYFUNCTION("""COMPUTED_VALUE"""),10.59)</f>
        <v>10.59</v>
      </c>
      <c r="H11232" s="17"/>
      <c r="K11232" s="17"/>
      <c r="N11232" s="17"/>
    </row>
    <row r="11233">
      <c r="B11233" s="11">
        <f>IFERROR(__xludf.DUMMYFUNCTION("""COMPUTED_VALUE"""),30300.0)</f>
        <v>30300</v>
      </c>
      <c r="C11233" s="9">
        <f>IFERROR(__xludf.DUMMYFUNCTION("""COMPUTED_VALUE"""),10.5)</f>
        <v>10.5</v>
      </c>
      <c r="H11233" s="17"/>
      <c r="K11233" s="17"/>
      <c r="N11233" s="17"/>
    </row>
    <row r="11234">
      <c r="B11234" s="11">
        <f>IFERROR(__xludf.DUMMYFUNCTION("""COMPUTED_VALUE"""),30299.0)</f>
        <v>30299</v>
      </c>
      <c r="C11234" s="9">
        <f>IFERROR(__xludf.DUMMYFUNCTION("""COMPUTED_VALUE"""),10.46)</f>
        <v>10.46</v>
      </c>
      <c r="H11234" s="17"/>
      <c r="K11234" s="17"/>
      <c r="N11234" s="17"/>
    </row>
    <row r="11235">
      <c r="B11235" s="11">
        <f>IFERROR(__xludf.DUMMYFUNCTION("""COMPUTED_VALUE"""),30298.0)</f>
        <v>30298</v>
      </c>
      <c r="C11235" s="9">
        <f>IFERROR(__xludf.DUMMYFUNCTION("""COMPUTED_VALUE"""),10.61)</f>
        <v>10.61</v>
      </c>
      <c r="H11235" s="17"/>
      <c r="K11235" s="17"/>
      <c r="N11235" s="17"/>
    </row>
    <row r="11236">
      <c r="B11236" s="11">
        <f>IFERROR(__xludf.DUMMYFUNCTION("""COMPUTED_VALUE"""),30295.0)</f>
        <v>30295</v>
      </c>
      <c r="C11236" s="9">
        <f>IFERROR(__xludf.DUMMYFUNCTION("""COMPUTED_VALUE"""),10.66)</f>
        <v>10.66</v>
      </c>
      <c r="H11236" s="17"/>
      <c r="K11236" s="17"/>
      <c r="N11236" s="17"/>
    </row>
    <row r="11237">
      <c r="B11237" s="11">
        <f>IFERROR(__xludf.DUMMYFUNCTION("""COMPUTED_VALUE"""),30294.0)</f>
        <v>30294</v>
      </c>
      <c r="C11237" s="9">
        <f>IFERROR(__xludf.DUMMYFUNCTION("""COMPUTED_VALUE"""),10.58)</f>
        <v>10.58</v>
      </c>
      <c r="H11237" s="17"/>
      <c r="K11237" s="17"/>
      <c r="N11237" s="17"/>
    </row>
    <row r="11238">
      <c r="B11238" s="11">
        <f>IFERROR(__xludf.DUMMYFUNCTION("""COMPUTED_VALUE"""),30293.0)</f>
        <v>30293</v>
      </c>
      <c r="C11238" s="9">
        <f>IFERROR(__xludf.DUMMYFUNCTION("""COMPUTED_VALUE"""),10.62)</f>
        <v>10.62</v>
      </c>
      <c r="H11238" s="17"/>
      <c r="K11238" s="17"/>
      <c r="N11238" s="17"/>
    </row>
    <row r="11239">
      <c r="B11239" s="11">
        <f>IFERROR(__xludf.DUMMYFUNCTION("""COMPUTED_VALUE"""),30292.0)</f>
        <v>30292</v>
      </c>
      <c r="C11239" s="9">
        <f>IFERROR(__xludf.DUMMYFUNCTION("""COMPUTED_VALUE"""),10.48)</f>
        <v>10.48</v>
      </c>
      <c r="H11239" s="17"/>
      <c r="K11239" s="17"/>
      <c r="N11239" s="17"/>
    </row>
    <row r="11240">
      <c r="B11240" s="11">
        <f>IFERROR(__xludf.DUMMYFUNCTION("""COMPUTED_VALUE"""),30291.0)</f>
        <v>30291</v>
      </c>
      <c r="C11240" s="9">
        <f>IFERROR(__xludf.DUMMYFUNCTION("""COMPUTED_VALUE"""),10.46)</f>
        <v>10.46</v>
      </c>
      <c r="H11240" s="17"/>
      <c r="K11240" s="17"/>
      <c r="N11240" s="17"/>
    </row>
    <row r="11241">
      <c r="B11241" s="11">
        <f>IFERROR(__xludf.DUMMYFUNCTION("""COMPUTED_VALUE"""),30288.0)</f>
        <v>30288</v>
      </c>
      <c r="C11241" s="9">
        <f>IFERROR(__xludf.DUMMYFUNCTION("""COMPUTED_VALUE"""),10.47)</f>
        <v>10.47</v>
      </c>
      <c r="H11241" s="17"/>
      <c r="K11241" s="17"/>
      <c r="N11241" s="17"/>
    </row>
    <row r="11242">
      <c r="B11242" s="11">
        <f>IFERROR(__xludf.DUMMYFUNCTION("""COMPUTED_VALUE"""),30287.0)</f>
        <v>30287</v>
      </c>
      <c r="C11242" s="9">
        <f>IFERROR(__xludf.DUMMYFUNCTION("""COMPUTED_VALUE"""),10.68)</f>
        <v>10.68</v>
      </c>
      <c r="H11242" s="17"/>
      <c r="K11242" s="17"/>
      <c r="N11242" s="17"/>
    </row>
    <row r="11243">
      <c r="B11243" s="11">
        <f>IFERROR(__xludf.DUMMYFUNCTION("""COMPUTED_VALUE"""),30286.0)</f>
        <v>30286</v>
      </c>
      <c r="C11243" s="9">
        <f>IFERROR(__xludf.DUMMYFUNCTION("""COMPUTED_VALUE"""),10.74)</f>
        <v>10.74</v>
      </c>
      <c r="H11243" s="17"/>
      <c r="K11243" s="17"/>
      <c r="N11243" s="17"/>
    </row>
    <row r="11244">
      <c r="B11244" s="11">
        <f>IFERROR(__xludf.DUMMYFUNCTION("""COMPUTED_VALUE"""),30285.0)</f>
        <v>30285</v>
      </c>
      <c r="C11244" s="9">
        <f>IFERROR(__xludf.DUMMYFUNCTION("""COMPUTED_VALUE"""),10.79)</f>
        <v>10.79</v>
      </c>
      <c r="H11244" s="17"/>
      <c r="K11244" s="17"/>
      <c r="N11244" s="17"/>
    </row>
    <row r="11245">
      <c r="B11245" s="11">
        <f>IFERROR(__xludf.DUMMYFUNCTION("""COMPUTED_VALUE"""),30284.0)</f>
        <v>30284</v>
      </c>
      <c r="C11245" s="9">
        <f>IFERROR(__xludf.DUMMYFUNCTION("""COMPUTED_VALUE"""),10.78)</f>
        <v>10.78</v>
      </c>
      <c r="H11245" s="17"/>
      <c r="K11245" s="17"/>
      <c r="N11245" s="17"/>
    </row>
    <row r="11246">
      <c r="B11246" s="11">
        <f>IFERROR(__xludf.DUMMYFUNCTION("""COMPUTED_VALUE"""),30281.0)</f>
        <v>30281</v>
      </c>
      <c r="C11246" s="9">
        <f>IFERROR(__xludf.DUMMYFUNCTION("""COMPUTED_VALUE"""),10.51)</f>
        <v>10.51</v>
      </c>
      <c r="H11246" s="17"/>
      <c r="K11246" s="17"/>
      <c r="N11246" s="17"/>
    </row>
    <row r="11247">
      <c r="B11247" s="11">
        <f>IFERROR(__xludf.DUMMYFUNCTION("""COMPUTED_VALUE"""),30280.0)</f>
        <v>30280</v>
      </c>
      <c r="C11247" s="9"/>
      <c r="H11247" s="17"/>
      <c r="K11247" s="17"/>
      <c r="N11247" s="17"/>
    </row>
    <row r="11248">
      <c r="B11248" s="11">
        <f>IFERROR(__xludf.DUMMYFUNCTION("""COMPUTED_VALUE"""),30279.0)</f>
        <v>30279</v>
      </c>
      <c r="C11248" s="9">
        <f>IFERROR(__xludf.DUMMYFUNCTION("""COMPUTED_VALUE"""),10.59)</f>
        <v>10.59</v>
      </c>
      <c r="H11248" s="17"/>
      <c r="K11248" s="17"/>
      <c r="N11248" s="17"/>
    </row>
    <row r="11249">
      <c r="B11249" s="11">
        <f>IFERROR(__xludf.DUMMYFUNCTION("""COMPUTED_VALUE"""),30278.0)</f>
        <v>30278</v>
      </c>
      <c r="C11249" s="9">
        <f>IFERROR(__xludf.DUMMYFUNCTION("""COMPUTED_VALUE"""),10.53)</f>
        <v>10.53</v>
      </c>
      <c r="H11249" s="17"/>
      <c r="K11249" s="17"/>
      <c r="N11249" s="17"/>
    </row>
    <row r="11250">
      <c r="B11250" s="11">
        <f>IFERROR(__xludf.DUMMYFUNCTION("""COMPUTED_VALUE"""),30277.0)</f>
        <v>30277</v>
      </c>
      <c r="C11250" s="9">
        <f>IFERROR(__xludf.DUMMYFUNCTION("""COMPUTED_VALUE"""),10.43)</f>
        <v>10.43</v>
      </c>
      <c r="H11250" s="17"/>
      <c r="K11250" s="17"/>
      <c r="N11250" s="17"/>
    </row>
    <row r="11251">
      <c r="B11251" s="11">
        <f>IFERROR(__xludf.DUMMYFUNCTION("""COMPUTED_VALUE"""),30274.0)</f>
        <v>30274</v>
      </c>
      <c r="C11251" s="9">
        <f>IFERROR(__xludf.DUMMYFUNCTION("""COMPUTED_VALUE"""),10.42)</f>
        <v>10.42</v>
      </c>
      <c r="H11251" s="17"/>
      <c r="K11251" s="17"/>
      <c r="N11251" s="17"/>
    </row>
    <row r="11252">
      <c r="B11252" s="11">
        <f>IFERROR(__xludf.DUMMYFUNCTION("""COMPUTED_VALUE"""),30273.0)</f>
        <v>30273</v>
      </c>
      <c r="C11252" s="9">
        <f>IFERROR(__xludf.DUMMYFUNCTION("""COMPUTED_VALUE"""),10.46)</f>
        <v>10.46</v>
      </c>
      <c r="H11252" s="17"/>
      <c r="K11252" s="17"/>
      <c r="N11252" s="17"/>
    </row>
    <row r="11253">
      <c r="B11253" s="11">
        <f>IFERROR(__xludf.DUMMYFUNCTION("""COMPUTED_VALUE"""),30272.0)</f>
        <v>30272</v>
      </c>
      <c r="C11253" s="9">
        <f>IFERROR(__xludf.DUMMYFUNCTION("""COMPUTED_VALUE"""),10.59)</f>
        <v>10.59</v>
      </c>
      <c r="H11253" s="17"/>
      <c r="K11253" s="17"/>
      <c r="N11253" s="17"/>
    </row>
    <row r="11254">
      <c r="B11254" s="11">
        <f>IFERROR(__xludf.DUMMYFUNCTION("""COMPUTED_VALUE"""),30271.0)</f>
        <v>30271</v>
      </c>
      <c r="C11254" s="9">
        <f>IFERROR(__xludf.DUMMYFUNCTION("""COMPUTED_VALUE"""),10.67)</f>
        <v>10.67</v>
      </c>
      <c r="H11254" s="17"/>
      <c r="K11254" s="17"/>
      <c r="N11254" s="17"/>
    </row>
    <row r="11255">
      <c r="B11255" s="11">
        <f>IFERROR(__xludf.DUMMYFUNCTION("""COMPUTED_VALUE"""),30270.0)</f>
        <v>30270</v>
      </c>
      <c r="C11255" s="9">
        <f>IFERROR(__xludf.DUMMYFUNCTION("""COMPUTED_VALUE"""),10.65)</f>
        <v>10.65</v>
      </c>
      <c r="H11255" s="17"/>
      <c r="K11255" s="17"/>
      <c r="N11255" s="17"/>
    </row>
    <row r="11256">
      <c r="B11256" s="11">
        <f>IFERROR(__xludf.DUMMYFUNCTION("""COMPUTED_VALUE"""),30267.0)</f>
        <v>30267</v>
      </c>
      <c r="C11256" s="9">
        <f>IFERROR(__xludf.DUMMYFUNCTION("""COMPUTED_VALUE"""),10.58)</f>
        <v>10.58</v>
      </c>
      <c r="H11256" s="17"/>
      <c r="K11256" s="17"/>
      <c r="N11256" s="17"/>
    </row>
    <row r="11257">
      <c r="B11257" s="11">
        <f>IFERROR(__xludf.DUMMYFUNCTION("""COMPUTED_VALUE"""),30266.0)</f>
        <v>30266</v>
      </c>
      <c r="C11257" s="9"/>
      <c r="H11257" s="17"/>
      <c r="K11257" s="17"/>
      <c r="N11257" s="17"/>
    </row>
    <row r="11258">
      <c r="B11258" s="11">
        <f>IFERROR(__xludf.DUMMYFUNCTION("""COMPUTED_VALUE"""),30265.0)</f>
        <v>30265</v>
      </c>
      <c r="C11258" s="9">
        <f>IFERROR(__xludf.DUMMYFUNCTION("""COMPUTED_VALUE"""),10.48)</f>
        <v>10.48</v>
      </c>
      <c r="H11258" s="17"/>
      <c r="K11258" s="17"/>
      <c r="N11258" s="17"/>
    </row>
    <row r="11259">
      <c r="B11259" s="11">
        <f>IFERROR(__xludf.DUMMYFUNCTION("""COMPUTED_VALUE"""),30264.0)</f>
        <v>30264</v>
      </c>
      <c r="C11259" s="9">
        <f>IFERROR(__xludf.DUMMYFUNCTION("""COMPUTED_VALUE"""),10.51)</f>
        <v>10.51</v>
      </c>
      <c r="H11259" s="17"/>
      <c r="K11259" s="17"/>
      <c r="N11259" s="17"/>
    </row>
    <row r="11260">
      <c r="B11260" s="11">
        <f>IFERROR(__xludf.DUMMYFUNCTION("""COMPUTED_VALUE"""),30263.0)</f>
        <v>30263</v>
      </c>
      <c r="C11260" s="9">
        <f>IFERROR(__xludf.DUMMYFUNCTION("""COMPUTED_VALUE"""),10.55)</f>
        <v>10.55</v>
      </c>
      <c r="H11260" s="17"/>
      <c r="K11260" s="17"/>
      <c r="N11260" s="17"/>
    </row>
    <row r="11261">
      <c r="B11261" s="11">
        <f>IFERROR(__xludf.DUMMYFUNCTION("""COMPUTED_VALUE"""),30260.0)</f>
        <v>30260</v>
      </c>
      <c r="C11261" s="9">
        <f>IFERROR(__xludf.DUMMYFUNCTION("""COMPUTED_VALUE"""),10.48)</f>
        <v>10.48</v>
      </c>
      <c r="H11261" s="17"/>
      <c r="K11261" s="17"/>
      <c r="N11261" s="17"/>
    </row>
    <row r="11262">
      <c r="B11262" s="11">
        <f>IFERROR(__xludf.DUMMYFUNCTION("""COMPUTED_VALUE"""),30259.0)</f>
        <v>30259</v>
      </c>
      <c r="C11262" s="9">
        <f>IFERROR(__xludf.DUMMYFUNCTION("""COMPUTED_VALUE"""),10.42)</f>
        <v>10.42</v>
      </c>
      <c r="H11262" s="17"/>
      <c r="K11262" s="17"/>
      <c r="N11262" s="17"/>
    </row>
    <row r="11263">
      <c r="B11263" s="11">
        <f>IFERROR(__xludf.DUMMYFUNCTION("""COMPUTED_VALUE"""),30258.0)</f>
        <v>30258</v>
      </c>
      <c r="C11263" s="9">
        <f>IFERROR(__xludf.DUMMYFUNCTION("""COMPUTED_VALUE"""),10.46)</f>
        <v>10.46</v>
      </c>
      <c r="H11263" s="17"/>
      <c r="K11263" s="17"/>
      <c r="N11263" s="17"/>
    </row>
    <row r="11264">
      <c r="B11264" s="11">
        <f>IFERROR(__xludf.DUMMYFUNCTION("""COMPUTED_VALUE"""),30257.0)</f>
        <v>30257</v>
      </c>
      <c r="C11264" s="9"/>
      <c r="H11264" s="17"/>
      <c r="K11264" s="17"/>
      <c r="N11264" s="17"/>
    </row>
    <row r="11265">
      <c r="B11265" s="11">
        <f>IFERROR(__xludf.DUMMYFUNCTION("""COMPUTED_VALUE"""),30256.0)</f>
        <v>30256</v>
      </c>
      <c r="C11265" s="9">
        <f>IFERROR(__xludf.DUMMYFUNCTION("""COMPUTED_VALUE"""),10.56)</f>
        <v>10.56</v>
      </c>
      <c r="H11265" s="17"/>
      <c r="K11265" s="17"/>
      <c r="N11265" s="17"/>
    </row>
    <row r="11266">
      <c r="B11266" s="11">
        <f>IFERROR(__xludf.DUMMYFUNCTION("""COMPUTED_VALUE"""),30253.0)</f>
        <v>30253</v>
      </c>
      <c r="C11266" s="9">
        <f>IFERROR(__xludf.DUMMYFUNCTION("""COMPUTED_VALUE"""),10.71)</f>
        <v>10.71</v>
      </c>
      <c r="H11266" s="17"/>
      <c r="K11266" s="17"/>
      <c r="N11266" s="17"/>
    </row>
    <row r="11267">
      <c r="B11267" s="11">
        <f>IFERROR(__xludf.DUMMYFUNCTION("""COMPUTED_VALUE"""),30252.0)</f>
        <v>30252</v>
      </c>
      <c r="C11267" s="9">
        <f>IFERROR(__xludf.DUMMYFUNCTION("""COMPUTED_VALUE"""),10.77)</f>
        <v>10.77</v>
      </c>
      <c r="H11267" s="17"/>
      <c r="K11267" s="17"/>
      <c r="N11267" s="17"/>
    </row>
    <row r="11268">
      <c r="B11268" s="11">
        <f>IFERROR(__xludf.DUMMYFUNCTION("""COMPUTED_VALUE"""),30251.0)</f>
        <v>30251</v>
      </c>
      <c r="C11268" s="9">
        <f>IFERROR(__xludf.DUMMYFUNCTION("""COMPUTED_VALUE"""),10.9)</f>
        <v>10.9</v>
      </c>
      <c r="H11268" s="17"/>
      <c r="K11268" s="17"/>
      <c r="N11268" s="17"/>
    </row>
    <row r="11269">
      <c r="B11269" s="11">
        <f>IFERROR(__xludf.DUMMYFUNCTION("""COMPUTED_VALUE"""),30250.0)</f>
        <v>30250</v>
      </c>
      <c r="C11269" s="9">
        <f>IFERROR(__xludf.DUMMYFUNCTION("""COMPUTED_VALUE"""),10.87)</f>
        <v>10.87</v>
      </c>
      <c r="H11269" s="17"/>
      <c r="K11269" s="17"/>
      <c r="N11269" s="17"/>
    </row>
    <row r="11270">
      <c r="B11270" s="11">
        <f>IFERROR(__xludf.DUMMYFUNCTION("""COMPUTED_VALUE"""),30249.0)</f>
        <v>30249</v>
      </c>
      <c r="C11270" s="9">
        <f>IFERROR(__xludf.DUMMYFUNCTION("""COMPUTED_VALUE"""),11.11)</f>
        <v>11.11</v>
      </c>
      <c r="H11270" s="17"/>
      <c r="K11270" s="17"/>
      <c r="N11270" s="17"/>
    </row>
    <row r="11271">
      <c r="B11271" s="11">
        <f>IFERROR(__xludf.DUMMYFUNCTION("""COMPUTED_VALUE"""),30246.0)</f>
        <v>30246</v>
      </c>
      <c r="C11271" s="9">
        <f>IFERROR(__xludf.DUMMYFUNCTION("""COMPUTED_VALUE"""),10.81)</f>
        <v>10.81</v>
      </c>
      <c r="H11271" s="17"/>
      <c r="K11271" s="17"/>
      <c r="N11271" s="17"/>
    </row>
    <row r="11272">
      <c r="B11272" s="11">
        <f>IFERROR(__xludf.DUMMYFUNCTION("""COMPUTED_VALUE"""),30245.0)</f>
        <v>30245</v>
      </c>
      <c r="C11272" s="9">
        <f>IFERROR(__xludf.DUMMYFUNCTION("""COMPUTED_VALUE"""),10.69)</f>
        <v>10.69</v>
      </c>
      <c r="H11272" s="17"/>
      <c r="K11272" s="17"/>
      <c r="N11272" s="17"/>
    </row>
    <row r="11273">
      <c r="B11273" s="11">
        <f>IFERROR(__xludf.DUMMYFUNCTION("""COMPUTED_VALUE"""),30244.0)</f>
        <v>30244</v>
      </c>
      <c r="C11273" s="9">
        <f>IFERROR(__xludf.DUMMYFUNCTION("""COMPUTED_VALUE"""),10.69)</f>
        <v>10.69</v>
      </c>
      <c r="H11273" s="17"/>
      <c r="K11273" s="17"/>
      <c r="N11273" s="17"/>
    </row>
    <row r="11274">
      <c r="B11274" s="11">
        <f>IFERROR(__xludf.DUMMYFUNCTION("""COMPUTED_VALUE"""),30243.0)</f>
        <v>30243</v>
      </c>
      <c r="C11274" s="9">
        <f>IFERROR(__xludf.DUMMYFUNCTION("""COMPUTED_VALUE"""),10.56)</f>
        <v>10.56</v>
      </c>
      <c r="H11274" s="17"/>
      <c r="K11274" s="17"/>
      <c r="N11274" s="17"/>
    </row>
    <row r="11275">
      <c r="B11275" s="11">
        <f>IFERROR(__xludf.DUMMYFUNCTION("""COMPUTED_VALUE"""),30242.0)</f>
        <v>30242</v>
      </c>
      <c r="C11275" s="9">
        <f>IFERROR(__xludf.DUMMYFUNCTION("""COMPUTED_VALUE"""),10.58)</f>
        <v>10.58</v>
      </c>
      <c r="H11275" s="17"/>
      <c r="K11275" s="17"/>
      <c r="N11275" s="17"/>
    </row>
    <row r="11276">
      <c r="B11276" s="11">
        <f>IFERROR(__xludf.DUMMYFUNCTION("""COMPUTED_VALUE"""),30239.0)</f>
        <v>30239</v>
      </c>
      <c r="C11276" s="9">
        <f>IFERROR(__xludf.DUMMYFUNCTION("""COMPUTED_VALUE"""),10.75)</f>
        <v>10.75</v>
      </c>
      <c r="H11276" s="17"/>
      <c r="K11276" s="17"/>
      <c r="N11276" s="17"/>
    </row>
    <row r="11277">
      <c r="B11277" s="11">
        <f>IFERROR(__xludf.DUMMYFUNCTION("""COMPUTED_VALUE"""),30238.0)</f>
        <v>30238</v>
      </c>
      <c r="C11277" s="9">
        <f>IFERROR(__xludf.DUMMYFUNCTION("""COMPUTED_VALUE"""),10.61)</f>
        <v>10.61</v>
      </c>
      <c r="H11277" s="17"/>
      <c r="K11277" s="17"/>
      <c r="N11277" s="17"/>
    </row>
    <row r="11278">
      <c r="B11278" s="11">
        <f>IFERROR(__xludf.DUMMYFUNCTION("""COMPUTED_VALUE"""),30237.0)</f>
        <v>30237</v>
      </c>
      <c r="C11278" s="9">
        <f>IFERROR(__xludf.DUMMYFUNCTION("""COMPUTED_VALUE"""),10.39)</f>
        <v>10.39</v>
      </c>
      <c r="H11278" s="17"/>
      <c r="K11278" s="17"/>
      <c r="N11278" s="17"/>
    </row>
    <row r="11279">
      <c r="B11279" s="11">
        <f>IFERROR(__xludf.DUMMYFUNCTION("""COMPUTED_VALUE"""),30236.0)</f>
        <v>30236</v>
      </c>
      <c r="C11279" s="9">
        <f>IFERROR(__xludf.DUMMYFUNCTION("""COMPUTED_VALUE"""),10.53)</f>
        <v>10.53</v>
      </c>
      <c r="H11279" s="17"/>
      <c r="K11279" s="17"/>
      <c r="N11279" s="17"/>
    </row>
    <row r="11280">
      <c r="B11280" s="11">
        <f>IFERROR(__xludf.DUMMYFUNCTION("""COMPUTED_VALUE"""),30235.0)</f>
        <v>30235</v>
      </c>
      <c r="C11280" s="9"/>
      <c r="H11280" s="17"/>
      <c r="K11280" s="17"/>
      <c r="N11280" s="17"/>
    </row>
    <row r="11281">
      <c r="B11281" s="11">
        <f>IFERROR(__xludf.DUMMYFUNCTION("""COMPUTED_VALUE"""),30232.0)</f>
        <v>30232</v>
      </c>
      <c r="C11281" s="9">
        <f>IFERROR(__xludf.DUMMYFUNCTION("""COMPUTED_VALUE"""),10.83)</f>
        <v>10.83</v>
      </c>
      <c r="H11281" s="17"/>
      <c r="K11281" s="17"/>
      <c r="N11281" s="17"/>
    </row>
    <row r="11282">
      <c r="B11282" s="11">
        <f>IFERROR(__xludf.DUMMYFUNCTION("""COMPUTED_VALUE"""),30231.0)</f>
        <v>30231</v>
      </c>
      <c r="C11282" s="9">
        <f>IFERROR(__xludf.DUMMYFUNCTION("""COMPUTED_VALUE"""),10.91)</f>
        <v>10.91</v>
      </c>
      <c r="H11282" s="17"/>
      <c r="K11282" s="17"/>
      <c r="N11282" s="17"/>
    </row>
    <row r="11283">
      <c r="B11283" s="11">
        <f>IFERROR(__xludf.DUMMYFUNCTION("""COMPUTED_VALUE"""),30230.0)</f>
        <v>30230</v>
      </c>
      <c r="C11283" s="9">
        <f>IFERROR(__xludf.DUMMYFUNCTION("""COMPUTED_VALUE"""),11.5)</f>
        <v>11.5</v>
      </c>
      <c r="H11283" s="17"/>
      <c r="K11283" s="17"/>
      <c r="N11283" s="17"/>
    </row>
    <row r="11284">
      <c r="B11284" s="11">
        <f>IFERROR(__xludf.DUMMYFUNCTION("""COMPUTED_VALUE"""),30229.0)</f>
        <v>30229</v>
      </c>
      <c r="C11284" s="9">
        <f>IFERROR(__xludf.DUMMYFUNCTION("""COMPUTED_VALUE"""),11.69)</f>
        <v>11.69</v>
      </c>
      <c r="H11284" s="17"/>
      <c r="K11284" s="17"/>
      <c r="N11284" s="17"/>
    </row>
    <row r="11285">
      <c r="B11285" s="11">
        <f>IFERROR(__xludf.DUMMYFUNCTION("""COMPUTED_VALUE"""),30228.0)</f>
        <v>30228</v>
      </c>
      <c r="C11285" s="9">
        <f>IFERROR(__xludf.DUMMYFUNCTION("""COMPUTED_VALUE"""),11.72)</f>
        <v>11.72</v>
      </c>
      <c r="H11285" s="17"/>
      <c r="K11285" s="17"/>
      <c r="N11285" s="17"/>
    </row>
    <row r="11286">
      <c r="B11286" s="11">
        <f>IFERROR(__xludf.DUMMYFUNCTION("""COMPUTED_VALUE"""),30225.0)</f>
        <v>30225</v>
      </c>
      <c r="C11286" s="9">
        <f>IFERROR(__xludf.DUMMYFUNCTION("""COMPUTED_VALUE"""),11.51)</f>
        <v>11.51</v>
      </c>
      <c r="H11286" s="17"/>
      <c r="K11286" s="17"/>
      <c r="N11286" s="17"/>
    </row>
    <row r="11287">
      <c r="B11287" s="11">
        <f>IFERROR(__xludf.DUMMYFUNCTION("""COMPUTED_VALUE"""),30224.0)</f>
        <v>30224</v>
      </c>
      <c r="C11287" s="9">
        <f>IFERROR(__xludf.DUMMYFUNCTION("""COMPUTED_VALUE"""),11.73)</f>
        <v>11.73</v>
      </c>
      <c r="H11287" s="17"/>
      <c r="K11287" s="17"/>
      <c r="N11287" s="17"/>
    </row>
    <row r="11288">
      <c r="B11288" s="11">
        <f>IFERROR(__xludf.DUMMYFUNCTION("""COMPUTED_VALUE"""),30223.0)</f>
        <v>30223</v>
      </c>
      <c r="C11288" s="9">
        <f>IFERROR(__xludf.DUMMYFUNCTION("""COMPUTED_VALUE"""),11.8)</f>
        <v>11.8</v>
      </c>
      <c r="H11288" s="17"/>
      <c r="K11288" s="17"/>
      <c r="N11288" s="17"/>
    </row>
    <row r="11289">
      <c r="B11289" s="11">
        <f>IFERROR(__xludf.DUMMYFUNCTION("""COMPUTED_VALUE"""),30222.0)</f>
        <v>30222</v>
      </c>
      <c r="C11289" s="9">
        <f>IFERROR(__xludf.DUMMYFUNCTION("""COMPUTED_VALUE"""),11.85)</f>
        <v>11.85</v>
      </c>
      <c r="H11289" s="17"/>
      <c r="K11289" s="17"/>
      <c r="N11289" s="17"/>
    </row>
    <row r="11290">
      <c r="B11290" s="11">
        <f>IFERROR(__xludf.DUMMYFUNCTION("""COMPUTED_VALUE"""),30221.0)</f>
        <v>30221</v>
      </c>
      <c r="C11290" s="9">
        <f>IFERROR(__xludf.DUMMYFUNCTION("""COMPUTED_VALUE"""),11.99)</f>
        <v>11.99</v>
      </c>
      <c r="H11290" s="17"/>
      <c r="K11290" s="17"/>
      <c r="N11290" s="17"/>
    </row>
    <row r="11291">
      <c r="B11291" s="11">
        <f>IFERROR(__xludf.DUMMYFUNCTION("""COMPUTED_VALUE"""),30218.0)</f>
        <v>30218</v>
      </c>
      <c r="C11291" s="9">
        <f>IFERROR(__xludf.DUMMYFUNCTION("""COMPUTED_VALUE"""),12.09)</f>
        <v>12.09</v>
      </c>
      <c r="H11291" s="17"/>
      <c r="K11291" s="17"/>
      <c r="N11291" s="17"/>
    </row>
    <row r="11292">
      <c r="B11292" s="11">
        <f>IFERROR(__xludf.DUMMYFUNCTION("""COMPUTED_VALUE"""),30217.0)</f>
        <v>30217</v>
      </c>
      <c r="C11292" s="9">
        <f>IFERROR(__xludf.DUMMYFUNCTION("""COMPUTED_VALUE"""),11.94)</f>
        <v>11.94</v>
      </c>
      <c r="H11292" s="17"/>
      <c r="K11292" s="17"/>
      <c r="N11292" s="17"/>
    </row>
    <row r="11293">
      <c r="B11293" s="11">
        <f>IFERROR(__xludf.DUMMYFUNCTION("""COMPUTED_VALUE"""),30216.0)</f>
        <v>30216</v>
      </c>
      <c r="C11293" s="9">
        <f>IFERROR(__xludf.DUMMYFUNCTION("""COMPUTED_VALUE"""),12.04)</f>
        <v>12.04</v>
      </c>
      <c r="H11293" s="17"/>
      <c r="K11293" s="17"/>
      <c r="N11293" s="17"/>
    </row>
    <row r="11294">
      <c r="B11294" s="11">
        <f>IFERROR(__xludf.DUMMYFUNCTION("""COMPUTED_VALUE"""),30215.0)</f>
        <v>30215</v>
      </c>
      <c r="C11294" s="9">
        <f>IFERROR(__xludf.DUMMYFUNCTION("""COMPUTED_VALUE"""),12.18)</f>
        <v>12.18</v>
      </c>
      <c r="H11294" s="17"/>
      <c r="K11294" s="17"/>
      <c r="N11294" s="17"/>
    </row>
    <row r="11295">
      <c r="B11295" s="11">
        <f>IFERROR(__xludf.DUMMYFUNCTION("""COMPUTED_VALUE"""),30214.0)</f>
        <v>30214</v>
      </c>
      <c r="C11295" s="9">
        <f>IFERROR(__xludf.DUMMYFUNCTION("""COMPUTED_VALUE"""),12.47)</f>
        <v>12.47</v>
      </c>
      <c r="H11295" s="17"/>
      <c r="K11295" s="17"/>
      <c r="N11295" s="17"/>
    </row>
    <row r="11296">
      <c r="B11296" s="11">
        <f>IFERROR(__xludf.DUMMYFUNCTION("""COMPUTED_VALUE"""),30211.0)</f>
        <v>30211</v>
      </c>
      <c r="C11296" s="9">
        <f>IFERROR(__xludf.DUMMYFUNCTION("""COMPUTED_VALUE"""),12.51)</f>
        <v>12.51</v>
      </c>
      <c r="H11296" s="17"/>
      <c r="K11296" s="17"/>
      <c r="N11296" s="17"/>
    </row>
    <row r="11297">
      <c r="B11297" s="11">
        <f>IFERROR(__xludf.DUMMYFUNCTION("""COMPUTED_VALUE"""),30210.0)</f>
        <v>30210</v>
      </c>
      <c r="C11297" s="9">
        <f>IFERROR(__xludf.DUMMYFUNCTION("""COMPUTED_VALUE"""),12.6)</f>
        <v>12.6</v>
      </c>
      <c r="H11297" s="17"/>
      <c r="K11297" s="17"/>
      <c r="N11297" s="17"/>
    </row>
    <row r="11298">
      <c r="B11298" s="11">
        <f>IFERROR(__xludf.DUMMYFUNCTION("""COMPUTED_VALUE"""),30209.0)</f>
        <v>30209</v>
      </c>
      <c r="C11298" s="9">
        <f>IFERROR(__xludf.DUMMYFUNCTION("""COMPUTED_VALUE"""),12.6)</f>
        <v>12.6</v>
      </c>
      <c r="H11298" s="17"/>
      <c r="K11298" s="17"/>
      <c r="N11298" s="17"/>
    </row>
    <row r="11299">
      <c r="B11299" s="11">
        <f>IFERROR(__xludf.DUMMYFUNCTION("""COMPUTED_VALUE"""),30208.0)</f>
        <v>30208</v>
      </c>
      <c r="C11299" s="9">
        <f>IFERROR(__xludf.DUMMYFUNCTION("""COMPUTED_VALUE"""),12.56)</f>
        <v>12.56</v>
      </c>
      <c r="H11299" s="17"/>
      <c r="K11299" s="17"/>
      <c r="N11299" s="17"/>
    </row>
    <row r="11300">
      <c r="B11300" s="11">
        <f>IFERROR(__xludf.DUMMYFUNCTION("""COMPUTED_VALUE"""),30207.0)</f>
        <v>30207</v>
      </c>
      <c r="C11300" s="9">
        <f>IFERROR(__xludf.DUMMYFUNCTION("""COMPUTED_VALUE"""),12.63)</f>
        <v>12.63</v>
      </c>
      <c r="H11300" s="17"/>
      <c r="K11300" s="17"/>
      <c r="N11300" s="17"/>
    </row>
    <row r="11301">
      <c r="B11301" s="11">
        <f>IFERROR(__xludf.DUMMYFUNCTION("""COMPUTED_VALUE"""),30204.0)</f>
        <v>30204</v>
      </c>
      <c r="C11301" s="9">
        <f>IFERROR(__xludf.DUMMYFUNCTION("""COMPUTED_VALUE"""),12.73)</f>
        <v>12.73</v>
      </c>
      <c r="H11301" s="17"/>
      <c r="K11301" s="17"/>
      <c r="N11301" s="17"/>
    </row>
    <row r="11302">
      <c r="B11302" s="11">
        <f>IFERROR(__xludf.DUMMYFUNCTION("""COMPUTED_VALUE"""),30203.0)</f>
        <v>30203</v>
      </c>
      <c r="C11302" s="9">
        <f>IFERROR(__xludf.DUMMYFUNCTION("""COMPUTED_VALUE"""),12.53)</f>
        <v>12.53</v>
      </c>
      <c r="H11302" s="17"/>
      <c r="K11302" s="17"/>
      <c r="N11302" s="17"/>
    </row>
    <row r="11303">
      <c r="B11303" s="11">
        <f>IFERROR(__xludf.DUMMYFUNCTION("""COMPUTED_VALUE"""),30202.0)</f>
        <v>30202</v>
      </c>
      <c r="C11303" s="9">
        <f>IFERROR(__xludf.DUMMYFUNCTION("""COMPUTED_VALUE"""),12.51)</f>
        <v>12.51</v>
      </c>
      <c r="H11303" s="17"/>
      <c r="K11303" s="17"/>
      <c r="N11303" s="17"/>
    </row>
    <row r="11304">
      <c r="B11304" s="11">
        <f>IFERROR(__xludf.DUMMYFUNCTION("""COMPUTED_VALUE"""),30201.0)</f>
        <v>30201</v>
      </c>
      <c r="C11304" s="9">
        <f>IFERROR(__xludf.DUMMYFUNCTION("""COMPUTED_VALUE"""),12.53)</f>
        <v>12.53</v>
      </c>
      <c r="H11304" s="17"/>
      <c r="K11304" s="17"/>
      <c r="N11304" s="17"/>
    </row>
    <row r="11305">
      <c r="B11305" s="11">
        <f>IFERROR(__xludf.DUMMYFUNCTION("""COMPUTED_VALUE"""),30200.0)</f>
        <v>30200</v>
      </c>
      <c r="C11305" s="9"/>
      <c r="H11305" s="17"/>
      <c r="K11305" s="17"/>
      <c r="N11305" s="17"/>
    </row>
    <row r="11306">
      <c r="B11306" s="11">
        <f>IFERROR(__xludf.DUMMYFUNCTION("""COMPUTED_VALUE"""),30197.0)</f>
        <v>30197</v>
      </c>
      <c r="C11306" s="9">
        <f>IFERROR(__xludf.DUMMYFUNCTION("""COMPUTED_VALUE"""),12.47)</f>
        <v>12.47</v>
      </c>
      <c r="H11306" s="17"/>
      <c r="K11306" s="17"/>
      <c r="N11306" s="17"/>
    </row>
    <row r="11307">
      <c r="B11307" s="11">
        <f>IFERROR(__xludf.DUMMYFUNCTION("""COMPUTED_VALUE"""),30196.0)</f>
        <v>30196</v>
      </c>
      <c r="C11307" s="9">
        <f>IFERROR(__xludf.DUMMYFUNCTION("""COMPUTED_VALUE"""),12.6)</f>
        <v>12.6</v>
      </c>
      <c r="H11307" s="17"/>
      <c r="K11307" s="17"/>
      <c r="N11307" s="17"/>
    </row>
    <row r="11308">
      <c r="B11308" s="11">
        <f>IFERROR(__xludf.DUMMYFUNCTION("""COMPUTED_VALUE"""),30195.0)</f>
        <v>30195</v>
      </c>
      <c r="C11308" s="9">
        <f>IFERROR(__xludf.DUMMYFUNCTION("""COMPUTED_VALUE"""),12.76)</f>
        <v>12.76</v>
      </c>
      <c r="H11308" s="17"/>
      <c r="K11308" s="17"/>
      <c r="N11308" s="17"/>
    </row>
    <row r="11309">
      <c r="B11309" s="11">
        <f>IFERROR(__xludf.DUMMYFUNCTION("""COMPUTED_VALUE"""),30194.0)</f>
        <v>30194</v>
      </c>
      <c r="C11309" s="9">
        <f>IFERROR(__xludf.DUMMYFUNCTION("""COMPUTED_VALUE"""),12.81)</f>
        <v>12.81</v>
      </c>
      <c r="H11309" s="17"/>
      <c r="K11309" s="17"/>
      <c r="N11309" s="17"/>
    </row>
    <row r="11310">
      <c r="B11310" s="11">
        <f>IFERROR(__xludf.DUMMYFUNCTION("""COMPUTED_VALUE"""),30193.0)</f>
        <v>30193</v>
      </c>
      <c r="C11310" s="9">
        <f>IFERROR(__xludf.DUMMYFUNCTION("""COMPUTED_VALUE"""),12.81)</f>
        <v>12.81</v>
      </c>
      <c r="H11310" s="17"/>
      <c r="K11310" s="17"/>
      <c r="N11310" s="17"/>
    </row>
    <row r="11311">
      <c r="B11311" s="11">
        <f>IFERROR(__xludf.DUMMYFUNCTION("""COMPUTED_VALUE"""),30190.0)</f>
        <v>30190</v>
      </c>
      <c r="C11311" s="9">
        <f>IFERROR(__xludf.DUMMYFUNCTION("""COMPUTED_VALUE"""),12.77)</f>
        <v>12.77</v>
      </c>
      <c r="H11311" s="17"/>
      <c r="K11311" s="17"/>
      <c r="N11311" s="17"/>
    </row>
    <row r="11312">
      <c r="B11312" s="11">
        <f>IFERROR(__xludf.DUMMYFUNCTION("""COMPUTED_VALUE"""),30189.0)</f>
        <v>30189</v>
      </c>
      <c r="C11312" s="9">
        <f>IFERROR(__xludf.DUMMYFUNCTION("""COMPUTED_VALUE"""),12.55)</f>
        <v>12.55</v>
      </c>
      <c r="H11312" s="17"/>
      <c r="K11312" s="17"/>
      <c r="N11312" s="17"/>
    </row>
    <row r="11313">
      <c r="B11313" s="11">
        <f>IFERROR(__xludf.DUMMYFUNCTION("""COMPUTED_VALUE"""),30188.0)</f>
        <v>30188</v>
      </c>
      <c r="C11313" s="9">
        <f>IFERROR(__xludf.DUMMYFUNCTION("""COMPUTED_VALUE"""),12.43)</f>
        <v>12.43</v>
      </c>
      <c r="H11313" s="17"/>
      <c r="K11313" s="17"/>
      <c r="N11313" s="17"/>
    </row>
    <row r="11314">
      <c r="B11314" s="11">
        <f>IFERROR(__xludf.DUMMYFUNCTION("""COMPUTED_VALUE"""),30187.0)</f>
        <v>30187</v>
      </c>
      <c r="C11314" s="9">
        <f>IFERROR(__xludf.DUMMYFUNCTION("""COMPUTED_VALUE"""),12.35)</f>
        <v>12.35</v>
      </c>
      <c r="H11314" s="17"/>
      <c r="K11314" s="17"/>
      <c r="N11314" s="17"/>
    </row>
    <row r="11315">
      <c r="B11315" s="11">
        <f>IFERROR(__xludf.DUMMYFUNCTION("""COMPUTED_VALUE"""),30186.0)</f>
        <v>30186</v>
      </c>
      <c r="C11315" s="9">
        <f>IFERROR(__xludf.DUMMYFUNCTION("""COMPUTED_VALUE"""),12.47)</f>
        <v>12.47</v>
      </c>
      <c r="H11315" s="17"/>
      <c r="K11315" s="17"/>
      <c r="N11315" s="17"/>
    </row>
    <row r="11316">
      <c r="B11316" s="11">
        <f>IFERROR(__xludf.DUMMYFUNCTION("""COMPUTED_VALUE"""),30183.0)</f>
        <v>30183</v>
      </c>
      <c r="C11316" s="9">
        <f>IFERROR(__xludf.DUMMYFUNCTION("""COMPUTED_VALUE"""),12.24)</f>
        <v>12.24</v>
      </c>
      <c r="H11316" s="17"/>
      <c r="K11316" s="17"/>
      <c r="N11316" s="17"/>
    </row>
    <row r="11317">
      <c r="B11317" s="11">
        <f>IFERROR(__xludf.DUMMYFUNCTION("""COMPUTED_VALUE"""),30182.0)</f>
        <v>30182</v>
      </c>
      <c r="C11317" s="9">
        <f>IFERROR(__xludf.DUMMYFUNCTION("""COMPUTED_VALUE"""),12.47)</f>
        <v>12.47</v>
      </c>
      <c r="H11317" s="17"/>
      <c r="K11317" s="17"/>
      <c r="N11317" s="17"/>
    </row>
    <row r="11318">
      <c r="B11318" s="11">
        <f>IFERROR(__xludf.DUMMYFUNCTION("""COMPUTED_VALUE"""),30181.0)</f>
        <v>30181</v>
      </c>
      <c r="C11318" s="9">
        <f>IFERROR(__xludf.DUMMYFUNCTION("""COMPUTED_VALUE"""),12.57)</f>
        <v>12.57</v>
      </c>
      <c r="H11318" s="17"/>
      <c r="K11318" s="17"/>
      <c r="N11318" s="17"/>
    </row>
    <row r="11319">
      <c r="B11319" s="11">
        <f>IFERROR(__xludf.DUMMYFUNCTION("""COMPUTED_VALUE"""),30180.0)</f>
        <v>30180</v>
      </c>
      <c r="C11319" s="9">
        <f>IFERROR(__xludf.DUMMYFUNCTION("""COMPUTED_VALUE"""),12.65)</f>
        <v>12.65</v>
      </c>
      <c r="H11319" s="17"/>
      <c r="K11319" s="17"/>
      <c r="N11319" s="17"/>
    </row>
    <row r="11320">
      <c r="B11320" s="11">
        <f>IFERROR(__xludf.DUMMYFUNCTION("""COMPUTED_VALUE"""),30179.0)</f>
        <v>30179</v>
      </c>
      <c r="C11320" s="9">
        <f>IFERROR(__xludf.DUMMYFUNCTION("""COMPUTED_VALUE"""),13.09)</f>
        <v>13.09</v>
      </c>
      <c r="H11320" s="17"/>
      <c r="K11320" s="17"/>
      <c r="N11320" s="17"/>
    </row>
    <row r="11321">
      <c r="B11321" s="11">
        <f>IFERROR(__xludf.DUMMYFUNCTION("""COMPUTED_VALUE"""),30176.0)</f>
        <v>30176</v>
      </c>
      <c r="C11321" s="9">
        <f>IFERROR(__xludf.DUMMYFUNCTION("""COMPUTED_VALUE"""),13.2)</f>
        <v>13.2</v>
      </c>
      <c r="H11321" s="17"/>
      <c r="K11321" s="17"/>
      <c r="N11321" s="17"/>
    </row>
    <row r="11322">
      <c r="B11322" s="11">
        <f>IFERROR(__xludf.DUMMYFUNCTION("""COMPUTED_VALUE"""),30175.0)</f>
        <v>30175</v>
      </c>
      <c r="C11322" s="9">
        <f>IFERROR(__xludf.DUMMYFUNCTION("""COMPUTED_VALUE"""),13.55)</f>
        <v>13.55</v>
      </c>
      <c r="H11322" s="17"/>
      <c r="K11322" s="17"/>
      <c r="N11322" s="17"/>
    </row>
    <row r="11323">
      <c r="B11323" s="11">
        <f>IFERROR(__xludf.DUMMYFUNCTION("""COMPUTED_VALUE"""),30174.0)</f>
        <v>30174</v>
      </c>
      <c r="C11323" s="9">
        <f>IFERROR(__xludf.DUMMYFUNCTION("""COMPUTED_VALUE"""),13.71)</f>
        <v>13.71</v>
      </c>
      <c r="H11323" s="17"/>
      <c r="K11323" s="17"/>
      <c r="N11323" s="17"/>
    </row>
    <row r="11324">
      <c r="B11324" s="11">
        <f>IFERROR(__xludf.DUMMYFUNCTION("""COMPUTED_VALUE"""),30173.0)</f>
        <v>30173</v>
      </c>
      <c r="C11324" s="9">
        <f>IFERROR(__xludf.DUMMYFUNCTION("""COMPUTED_VALUE"""),13.69)</f>
        <v>13.69</v>
      </c>
      <c r="H11324" s="17"/>
      <c r="K11324" s="17"/>
      <c r="N11324" s="17"/>
    </row>
    <row r="11325">
      <c r="B11325" s="11">
        <f>IFERROR(__xludf.DUMMYFUNCTION("""COMPUTED_VALUE"""),30172.0)</f>
        <v>30172</v>
      </c>
      <c r="C11325" s="9">
        <f>IFERROR(__xludf.DUMMYFUNCTION("""COMPUTED_VALUE"""),13.7)</f>
        <v>13.7</v>
      </c>
      <c r="H11325" s="17"/>
      <c r="K11325" s="17"/>
      <c r="N11325" s="17"/>
    </row>
    <row r="11326">
      <c r="B11326" s="11">
        <f>IFERROR(__xludf.DUMMYFUNCTION("""COMPUTED_VALUE"""),30169.0)</f>
        <v>30169</v>
      </c>
      <c r="C11326" s="9">
        <f>IFERROR(__xludf.DUMMYFUNCTION("""COMPUTED_VALUE"""),13.85)</f>
        <v>13.85</v>
      </c>
      <c r="H11326" s="17"/>
      <c r="K11326" s="17"/>
      <c r="N11326" s="17"/>
    </row>
    <row r="11327">
      <c r="B11327" s="11">
        <f>IFERROR(__xludf.DUMMYFUNCTION("""COMPUTED_VALUE"""),30168.0)</f>
        <v>30168</v>
      </c>
      <c r="C11327" s="9">
        <f>IFERROR(__xludf.DUMMYFUNCTION("""COMPUTED_VALUE"""),13.7)</f>
        <v>13.7</v>
      </c>
      <c r="H11327" s="17"/>
      <c r="K11327" s="17"/>
      <c r="N11327" s="17"/>
    </row>
    <row r="11328">
      <c r="B11328" s="11">
        <f>IFERROR(__xludf.DUMMYFUNCTION("""COMPUTED_VALUE"""),30167.0)</f>
        <v>30167</v>
      </c>
      <c r="C11328" s="9">
        <f>IFERROR(__xludf.DUMMYFUNCTION("""COMPUTED_VALUE"""),13.68)</f>
        <v>13.68</v>
      </c>
      <c r="H11328" s="17"/>
      <c r="K11328" s="17"/>
      <c r="N11328" s="17"/>
    </row>
    <row r="11329">
      <c r="B11329" s="11">
        <f>IFERROR(__xludf.DUMMYFUNCTION("""COMPUTED_VALUE"""),30166.0)</f>
        <v>30166</v>
      </c>
      <c r="C11329" s="9">
        <f>IFERROR(__xludf.DUMMYFUNCTION("""COMPUTED_VALUE"""),13.51)</f>
        <v>13.51</v>
      </c>
      <c r="H11329" s="17"/>
      <c r="K11329" s="17"/>
      <c r="N11329" s="17"/>
    </row>
    <row r="11330">
      <c r="B11330" s="11">
        <f>IFERROR(__xludf.DUMMYFUNCTION("""COMPUTED_VALUE"""),30165.0)</f>
        <v>30165</v>
      </c>
      <c r="C11330" s="9">
        <f>IFERROR(__xludf.DUMMYFUNCTION("""COMPUTED_VALUE"""),13.41)</f>
        <v>13.41</v>
      </c>
      <c r="H11330" s="17"/>
      <c r="K11330" s="17"/>
      <c r="N11330" s="17"/>
    </row>
    <row r="11331">
      <c r="B11331" s="11">
        <f>IFERROR(__xludf.DUMMYFUNCTION("""COMPUTED_VALUE"""),30162.0)</f>
        <v>30162</v>
      </c>
      <c r="C11331" s="9">
        <f>IFERROR(__xludf.DUMMYFUNCTION("""COMPUTED_VALUE"""),13.68)</f>
        <v>13.68</v>
      </c>
      <c r="H11331" s="17"/>
      <c r="K11331" s="17"/>
      <c r="N11331" s="17"/>
    </row>
    <row r="11332">
      <c r="B11332" s="11">
        <f>IFERROR(__xludf.DUMMYFUNCTION("""COMPUTED_VALUE"""),30161.0)</f>
        <v>30161</v>
      </c>
      <c r="C11332" s="9">
        <f>IFERROR(__xludf.DUMMYFUNCTION("""COMPUTED_VALUE"""),13.83)</f>
        <v>13.83</v>
      </c>
      <c r="H11332" s="17"/>
      <c r="K11332" s="17"/>
      <c r="N11332" s="17"/>
    </row>
    <row r="11333">
      <c r="B11333" s="11">
        <f>IFERROR(__xludf.DUMMYFUNCTION("""COMPUTED_VALUE"""),30160.0)</f>
        <v>30160</v>
      </c>
      <c r="C11333" s="9">
        <f>IFERROR(__xludf.DUMMYFUNCTION("""COMPUTED_VALUE"""),13.97)</f>
        <v>13.97</v>
      </c>
      <c r="H11333" s="17"/>
      <c r="K11333" s="17"/>
      <c r="N11333" s="17"/>
    </row>
    <row r="11334">
      <c r="B11334" s="11">
        <f>IFERROR(__xludf.DUMMYFUNCTION("""COMPUTED_VALUE"""),30159.0)</f>
        <v>30159</v>
      </c>
      <c r="C11334" s="9">
        <f>IFERROR(__xludf.DUMMYFUNCTION("""COMPUTED_VALUE"""),13.86)</f>
        <v>13.86</v>
      </c>
      <c r="H11334" s="17"/>
      <c r="K11334" s="17"/>
      <c r="N11334" s="17"/>
    </row>
    <row r="11335">
      <c r="B11335" s="11">
        <f>IFERROR(__xludf.DUMMYFUNCTION("""COMPUTED_VALUE"""),30158.0)</f>
        <v>30158</v>
      </c>
      <c r="C11335" s="9">
        <f>IFERROR(__xludf.DUMMYFUNCTION("""COMPUTED_VALUE"""),13.91)</f>
        <v>13.91</v>
      </c>
      <c r="H11335" s="17"/>
      <c r="K11335" s="17"/>
      <c r="N11335" s="17"/>
    </row>
    <row r="11336">
      <c r="B11336" s="11">
        <f>IFERROR(__xludf.DUMMYFUNCTION("""COMPUTED_VALUE"""),30155.0)</f>
        <v>30155</v>
      </c>
      <c r="C11336" s="9">
        <f>IFERROR(__xludf.DUMMYFUNCTION("""COMPUTED_VALUE"""),13.56)</f>
        <v>13.56</v>
      </c>
      <c r="H11336" s="17"/>
      <c r="K11336" s="17"/>
      <c r="N11336" s="17"/>
    </row>
    <row r="11337">
      <c r="B11337" s="11">
        <f>IFERROR(__xludf.DUMMYFUNCTION("""COMPUTED_VALUE"""),30154.0)</f>
        <v>30154</v>
      </c>
      <c r="C11337" s="9">
        <f>IFERROR(__xludf.DUMMYFUNCTION("""COMPUTED_VALUE"""),13.51)</f>
        <v>13.51</v>
      </c>
      <c r="H11337" s="17"/>
      <c r="K11337" s="17"/>
      <c r="N11337" s="17"/>
    </row>
    <row r="11338">
      <c r="B11338" s="11">
        <f>IFERROR(__xludf.DUMMYFUNCTION("""COMPUTED_VALUE"""),30153.0)</f>
        <v>30153</v>
      </c>
      <c r="C11338" s="9">
        <f>IFERROR(__xludf.DUMMYFUNCTION("""COMPUTED_VALUE"""),13.6)</f>
        <v>13.6</v>
      </c>
      <c r="H11338" s="17"/>
      <c r="K11338" s="17"/>
      <c r="N11338" s="17"/>
    </row>
    <row r="11339">
      <c r="B11339" s="11">
        <f>IFERROR(__xludf.DUMMYFUNCTION("""COMPUTED_VALUE"""),30152.0)</f>
        <v>30152</v>
      </c>
      <c r="C11339" s="9">
        <f>IFERROR(__xludf.DUMMYFUNCTION("""COMPUTED_VALUE"""),13.53)</f>
        <v>13.53</v>
      </c>
      <c r="H11339" s="17"/>
      <c r="K11339" s="17"/>
      <c r="N11339" s="17"/>
    </row>
    <row r="11340">
      <c r="B11340" s="11">
        <f>IFERROR(__xludf.DUMMYFUNCTION("""COMPUTED_VALUE"""),30151.0)</f>
        <v>30151</v>
      </c>
      <c r="C11340" s="9">
        <f>IFERROR(__xludf.DUMMYFUNCTION("""COMPUTED_VALUE"""),13.68)</f>
        <v>13.68</v>
      </c>
      <c r="H11340" s="17"/>
      <c r="K11340" s="17"/>
      <c r="N11340" s="17"/>
    </row>
    <row r="11341">
      <c r="B11341" s="11">
        <f>IFERROR(__xludf.DUMMYFUNCTION("""COMPUTED_VALUE"""),30148.0)</f>
        <v>30148</v>
      </c>
      <c r="C11341" s="9">
        <f>IFERROR(__xludf.DUMMYFUNCTION("""COMPUTED_VALUE"""),13.7)</f>
        <v>13.7</v>
      </c>
      <c r="H11341" s="17"/>
      <c r="K11341" s="17"/>
      <c r="N11341" s="17"/>
    </row>
    <row r="11342">
      <c r="B11342" s="11">
        <f>IFERROR(__xludf.DUMMYFUNCTION("""COMPUTED_VALUE"""),30147.0)</f>
        <v>30147</v>
      </c>
      <c r="C11342" s="9">
        <f>IFERROR(__xludf.DUMMYFUNCTION("""COMPUTED_VALUE"""),13.96)</f>
        <v>13.96</v>
      </c>
      <c r="H11342" s="17"/>
      <c r="K11342" s="17"/>
      <c r="N11342" s="17"/>
    </row>
    <row r="11343">
      <c r="B11343" s="11">
        <f>IFERROR(__xludf.DUMMYFUNCTION("""COMPUTED_VALUE"""),30146.0)</f>
        <v>30146</v>
      </c>
      <c r="C11343" s="9">
        <f>IFERROR(__xludf.DUMMYFUNCTION("""COMPUTED_VALUE"""),14.1)</f>
        <v>14.1</v>
      </c>
      <c r="H11343" s="17"/>
      <c r="K11343" s="17"/>
      <c r="N11343" s="17"/>
    </row>
    <row r="11344">
      <c r="B11344" s="11">
        <f>IFERROR(__xludf.DUMMYFUNCTION("""COMPUTED_VALUE"""),30145.0)</f>
        <v>30145</v>
      </c>
      <c r="C11344" s="9">
        <f>IFERROR(__xludf.DUMMYFUNCTION("""COMPUTED_VALUE"""),14.02)</f>
        <v>14.02</v>
      </c>
      <c r="H11344" s="17"/>
      <c r="K11344" s="17"/>
      <c r="N11344" s="17"/>
    </row>
    <row r="11345">
      <c r="B11345" s="11">
        <f>IFERROR(__xludf.DUMMYFUNCTION("""COMPUTED_VALUE"""),30144.0)</f>
        <v>30144</v>
      </c>
      <c r="C11345" s="9">
        <f>IFERROR(__xludf.DUMMYFUNCTION("""COMPUTED_VALUE"""),13.87)</f>
        <v>13.87</v>
      </c>
      <c r="H11345" s="17"/>
      <c r="K11345" s="17"/>
      <c r="N11345" s="17"/>
    </row>
    <row r="11346">
      <c r="B11346" s="11">
        <f>IFERROR(__xludf.DUMMYFUNCTION("""COMPUTED_VALUE"""),30141.0)</f>
        <v>30141</v>
      </c>
      <c r="C11346" s="9">
        <f>IFERROR(__xludf.DUMMYFUNCTION("""COMPUTED_VALUE"""),14.03)</f>
        <v>14.03</v>
      </c>
      <c r="H11346" s="17"/>
      <c r="K11346" s="17"/>
      <c r="N11346" s="17"/>
    </row>
    <row r="11347">
      <c r="B11347" s="11">
        <f>IFERROR(__xludf.DUMMYFUNCTION("""COMPUTED_VALUE"""),30140.0)</f>
        <v>30140</v>
      </c>
      <c r="C11347" s="9">
        <f>IFERROR(__xludf.DUMMYFUNCTION("""COMPUTED_VALUE"""),14.19)</f>
        <v>14.19</v>
      </c>
      <c r="H11347" s="17"/>
      <c r="K11347" s="17"/>
      <c r="N11347" s="17"/>
    </row>
    <row r="11348">
      <c r="B11348" s="11">
        <f>IFERROR(__xludf.DUMMYFUNCTION("""COMPUTED_VALUE"""),30139.0)</f>
        <v>30139</v>
      </c>
      <c r="C11348" s="9">
        <f>IFERROR(__xludf.DUMMYFUNCTION("""COMPUTED_VALUE"""),14.49)</f>
        <v>14.49</v>
      </c>
      <c r="H11348" s="17"/>
      <c r="K11348" s="17"/>
      <c r="N11348" s="17"/>
    </row>
    <row r="11349">
      <c r="B11349" s="11">
        <f>IFERROR(__xludf.DUMMYFUNCTION("""COMPUTED_VALUE"""),30138.0)</f>
        <v>30138</v>
      </c>
      <c r="C11349" s="9">
        <f>IFERROR(__xludf.DUMMYFUNCTION("""COMPUTED_VALUE"""),14.48)</f>
        <v>14.48</v>
      </c>
      <c r="H11349" s="17"/>
      <c r="K11349" s="17"/>
      <c r="N11349" s="17"/>
    </row>
    <row r="11350">
      <c r="B11350" s="11">
        <f>IFERROR(__xludf.DUMMYFUNCTION("""COMPUTED_VALUE"""),30137.0)</f>
        <v>30137</v>
      </c>
      <c r="C11350" s="9"/>
      <c r="H11350" s="17"/>
      <c r="K11350" s="17"/>
      <c r="N11350" s="17"/>
    </row>
    <row r="11351">
      <c r="B11351" s="11">
        <f>IFERROR(__xludf.DUMMYFUNCTION("""COMPUTED_VALUE"""),30134.0)</f>
        <v>30134</v>
      </c>
      <c r="C11351" s="9">
        <f>IFERROR(__xludf.DUMMYFUNCTION("""COMPUTED_VALUE"""),14.5)</f>
        <v>14.5</v>
      </c>
      <c r="H11351" s="17"/>
      <c r="K11351" s="17"/>
      <c r="N11351" s="17"/>
    </row>
    <row r="11352">
      <c r="B11352" s="11">
        <f>IFERROR(__xludf.DUMMYFUNCTION("""COMPUTED_VALUE"""),30133.0)</f>
        <v>30133</v>
      </c>
      <c r="C11352" s="9">
        <f>IFERROR(__xludf.DUMMYFUNCTION("""COMPUTED_VALUE"""),14.4)</f>
        <v>14.4</v>
      </c>
      <c r="H11352" s="17"/>
      <c r="K11352" s="17"/>
      <c r="N11352" s="17"/>
    </row>
    <row r="11353">
      <c r="B11353" s="11">
        <f>IFERROR(__xludf.DUMMYFUNCTION("""COMPUTED_VALUE"""),30132.0)</f>
        <v>30132</v>
      </c>
      <c r="C11353" s="9">
        <f>IFERROR(__xludf.DUMMYFUNCTION("""COMPUTED_VALUE"""),14.44)</f>
        <v>14.44</v>
      </c>
      <c r="H11353" s="17"/>
      <c r="K11353" s="17"/>
      <c r="N11353" s="17"/>
    </row>
    <row r="11354">
      <c r="B11354" s="11">
        <f>IFERROR(__xludf.DUMMYFUNCTION("""COMPUTED_VALUE"""),30131.0)</f>
        <v>30131</v>
      </c>
      <c r="C11354" s="9">
        <f>IFERROR(__xludf.DUMMYFUNCTION("""COMPUTED_VALUE"""),14.61)</f>
        <v>14.61</v>
      </c>
      <c r="H11354" s="17"/>
      <c r="K11354" s="17"/>
      <c r="N11354" s="17"/>
    </row>
    <row r="11355">
      <c r="B11355" s="11">
        <f>IFERROR(__xludf.DUMMYFUNCTION("""COMPUTED_VALUE"""),30130.0)</f>
        <v>30130</v>
      </c>
      <c r="C11355" s="9">
        <f>IFERROR(__xludf.DUMMYFUNCTION("""COMPUTED_VALUE"""),14.73)</f>
        <v>14.73</v>
      </c>
      <c r="H11355" s="17"/>
      <c r="K11355" s="17"/>
      <c r="N11355" s="17"/>
    </row>
    <row r="11356">
      <c r="B11356" s="11">
        <f>IFERROR(__xludf.DUMMYFUNCTION("""COMPUTED_VALUE"""),30127.0)</f>
        <v>30127</v>
      </c>
      <c r="C11356" s="9">
        <f>IFERROR(__xludf.DUMMYFUNCTION("""COMPUTED_VALUE"""),14.76)</f>
        <v>14.76</v>
      </c>
      <c r="H11356" s="17"/>
      <c r="K11356" s="17"/>
      <c r="N11356" s="17"/>
    </row>
    <row r="11357">
      <c r="B11357" s="11">
        <f>IFERROR(__xludf.DUMMYFUNCTION("""COMPUTED_VALUE"""),30126.0)</f>
        <v>30126</v>
      </c>
      <c r="C11357" s="9">
        <f>IFERROR(__xludf.DUMMYFUNCTION("""COMPUTED_VALUE"""),14.71)</f>
        <v>14.71</v>
      </c>
      <c r="H11357" s="17"/>
      <c r="K11357" s="17"/>
      <c r="N11357" s="17"/>
    </row>
    <row r="11358">
      <c r="B11358" s="11">
        <f>IFERROR(__xludf.DUMMYFUNCTION("""COMPUTED_VALUE"""),30125.0)</f>
        <v>30125</v>
      </c>
      <c r="C11358" s="9">
        <f>IFERROR(__xludf.DUMMYFUNCTION("""COMPUTED_VALUE"""),14.74)</f>
        <v>14.74</v>
      </c>
      <c r="H11358" s="17"/>
      <c r="K11358" s="17"/>
      <c r="N11358" s="17"/>
    </row>
    <row r="11359">
      <c r="B11359" s="11">
        <f>IFERROR(__xludf.DUMMYFUNCTION("""COMPUTED_VALUE"""),30124.0)</f>
        <v>30124</v>
      </c>
      <c r="C11359" s="9">
        <f>IFERROR(__xludf.DUMMYFUNCTION("""COMPUTED_VALUE"""),14.66)</f>
        <v>14.66</v>
      </c>
      <c r="H11359" s="17"/>
      <c r="K11359" s="17"/>
      <c r="N11359" s="17"/>
    </row>
    <row r="11360">
      <c r="B11360" s="11">
        <f>IFERROR(__xludf.DUMMYFUNCTION("""COMPUTED_VALUE"""),30123.0)</f>
        <v>30123</v>
      </c>
      <c r="C11360" s="9">
        <f>IFERROR(__xludf.DUMMYFUNCTION("""COMPUTED_VALUE"""),14.63)</f>
        <v>14.63</v>
      </c>
      <c r="H11360" s="17"/>
      <c r="K11360" s="17"/>
      <c r="N11360" s="17"/>
    </row>
    <row r="11361">
      <c r="B11361" s="11">
        <f>IFERROR(__xludf.DUMMYFUNCTION("""COMPUTED_VALUE"""),30120.0)</f>
        <v>30120</v>
      </c>
      <c r="C11361" s="9">
        <f>IFERROR(__xludf.DUMMYFUNCTION("""COMPUTED_VALUE"""),14.62)</f>
        <v>14.62</v>
      </c>
      <c r="H11361" s="17"/>
      <c r="K11361" s="17"/>
      <c r="N11361" s="17"/>
    </row>
    <row r="11362">
      <c r="B11362" s="11">
        <f>IFERROR(__xludf.DUMMYFUNCTION("""COMPUTED_VALUE"""),30119.0)</f>
        <v>30119</v>
      </c>
      <c r="C11362" s="9">
        <f>IFERROR(__xludf.DUMMYFUNCTION("""COMPUTED_VALUE"""),14.48)</f>
        <v>14.48</v>
      </c>
      <c r="H11362" s="17"/>
      <c r="K11362" s="17"/>
      <c r="N11362" s="17"/>
    </row>
    <row r="11363">
      <c r="B11363" s="11">
        <f>IFERROR(__xludf.DUMMYFUNCTION("""COMPUTED_VALUE"""),30118.0)</f>
        <v>30118</v>
      </c>
      <c r="C11363" s="9">
        <f>IFERROR(__xludf.DUMMYFUNCTION("""COMPUTED_VALUE"""),14.26)</f>
        <v>14.26</v>
      </c>
      <c r="H11363" s="17"/>
      <c r="K11363" s="17"/>
      <c r="N11363" s="17"/>
    </row>
    <row r="11364">
      <c r="B11364" s="11">
        <f>IFERROR(__xludf.DUMMYFUNCTION("""COMPUTED_VALUE"""),30117.0)</f>
        <v>30117</v>
      </c>
      <c r="C11364" s="9">
        <f>IFERROR(__xludf.DUMMYFUNCTION("""COMPUTED_VALUE"""),14.21)</f>
        <v>14.21</v>
      </c>
      <c r="H11364" s="17"/>
      <c r="K11364" s="17"/>
      <c r="N11364" s="17"/>
    </row>
    <row r="11365">
      <c r="B11365" s="11">
        <f>IFERROR(__xludf.DUMMYFUNCTION("""COMPUTED_VALUE"""),30116.0)</f>
        <v>30116</v>
      </c>
      <c r="C11365" s="9">
        <f>IFERROR(__xludf.DUMMYFUNCTION("""COMPUTED_VALUE"""),14.21)</f>
        <v>14.21</v>
      </c>
      <c r="H11365" s="17"/>
      <c r="K11365" s="17"/>
      <c r="N11365" s="17"/>
    </row>
    <row r="11366">
      <c r="B11366" s="11">
        <f>IFERROR(__xludf.DUMMYFUNCTION("""COMPUTED_VALUE"""),30113.0)</f>
        <v>30113</v>
      </c>
      <c r="C11366" s="9">
        <f>IFERROR(__xludf.DUMMYFUNCTION("""COMPUTED_VALUE"""),13.93)</f>
        <v>13.93</v>
      </c>
      <c r="H11366" s="17"/>
      <c r="K11366" s="17"/>
      <c r="N11366" s="17"/>
    </row>
    <row r="11367">
      <c r="B11367" s="11">
        <f>IFERROR(__xludf.DUMMYFUNCTION("""COMPUTED_VALUE"""),30112.0)</f>
        <v>30112</v>
      </c>
      <c r="C11367" s="9">
        <f>IFERROR(__xludf.DUMMYFUNCTION("""COMPUTED_VALUE"""),14.02)</f>
        <v>14.02</v>
      </c>
      <c r="H11367" s="17"/>
      <c r="K11367" s="17"/>
      <c r="N11367" s="17"/>
    </row>
    <row r="11368">
      <c r="B11368" s="11">
        <f>IFERROR(__xludf.DUMMYFUNCTION("""COMPUTED_VALUE"""),30111.0)</f>
        <v>30111</v>
      </c>
      <c r="C11368" s="9">
        <f>IFERROR(__xludf.DUMMYFUNCTION("""COMPUTED_VALUE"""),13.99)</f>
        <v>13.99</v>
      </c>
      <c r="H11368" s="17"/>
      <c r="K11368" s="17"/>
      <c r="N11368" s="17"/>
    </row>
    <row r="11369">
      <c r="B11369" s="11">
        <f>IFERROR(__xludf.DUMMYFUNCTION("""COMPUTED_VALUE"""),30110.0)</f>
        <v>30110</v>
      </c>
      <c r="C11369" s="9">
        <f>IFERROR(__xludf.DUMMYFUNCTION("""COMPUTED_VALUE"""),13.98)</f>
        <v>13.98</v>
      </c>
      <c r="H11369" s="17"/>
      <c r="K11369" s="17"/>
      <c r="N11369" s="17"/>
    </row>
    <row r="11370">
      <c r="B11370" s="11">
        <f>IFERROR(__xludf.DUMMYFUNCTION("""COMPUTED_VALUE"""),30109.0)</f>
        <v>30109</v>
      </c>
      <c r="C11370" s="9">
        <f>IFERROR(__xludf.DUMMYFUNCTION("""COMPUTED_VALUE"""),13.94)</f>
        <v>13.94</v>
      </c>
      <c r="H11370" s="17"/>
      <c r="K11370" s="17"/>
      <c r="N11370" s="17"/>
    </row>
    <row r="11371">
      <c r="B11371" s="11">
        <f>IFERROR(__xludf.DUMMYFUNCTION("""COMPUTED_VALUE"""),30106.0)</f>
        <v>30106</v>
      </c>
      <c r="C11371" s="9">
        <f>IFERROR(__xludf.DUMMYFUNCTION("""COMPUTED_VALUE"""),13.98)</f>
        <v>13.98</v>
      </c>
      <c r="H11371" s="17"/>
      <c r="K11371" s="17"/>
      <c r="N11371" s="17"/>
    </row>
    <row r="11372">
      <c r="B11372" s="11">
        <f>IFERROR(__xludf.DUMMYFUNCTION("""COMPUTED_VALUE"""),30105.0)</f>
        <v>30105</v>
      </c>
      <c r="C11372" s="9">
        <f>IFERROR(__xludf.DUMMYFUNCTION("""COMPUTED_VALUE"""),13.9)</f>
        <v>13.9</v>
      </c>
      <c r="H11372" s="17"/>
      <c r="K11372" s="17"/>
      <c r="N11372" s="17"/>
    </row>
    <row r="11373">
      <c r="B11373" s="11">
        <f>IFERROR(__xludf.DUMMYFUNCTION("""COMPUTED_VALUE"""),30104.0)</f>
        <v>30104</v>
      </c>
      <c r="C11373" s="9">
        <f>IFERROR(__xludf.DUMMYFUNCTION("""COMPUTED_VALUE"""),13.86)</f>
        <v>13.86</v>
      </c>
      <c r="H11373" s="17"/>
      <c r="K11373" s="17"/>
      <c r="N11373" s="17"/>
    </row>
    <row r="11374">
      <c r="B11374" s="11">
        <f>IFERROR(__xludf.DUMMYFUNCTION("""COMPUTED_VALUE"""),30103.0)</f>
        <v>30103</v>
      </c>
      <c r="C11374" s="9">
        <f>IFERROR(__xludf.DUMMYFUNCTION("""COMPUTED_VALUE"""),13.93)</f>
        <v>13.93</v>
      </c>
      <c r="H11374" s="17"/>
      <c r="K11374" s="17"/>
      <c r="N11374" s="17"/>
    </row>
    <row r="11375">
      <c r="B11375" s="11">
        <f>IFERROR(__xludf.DUMMYFUNCTION("""COMPUTED_VALUE"""),30102.0)</f>
        <v>30102</v>
      </c>
      <c r="C11375" s="9"/>
      <c r="H11375" s="17"/>
      <c r="K11375" s="17"/>
      <c r="N11375" s="17"/>
    </row>
    <row r="11376">
      <c r="B11376" s="11">
        <f>IFERROR(__xludf.DUMMYFUNCTION("""COMPUTED_VALUE"""),30099.0)</f>
        <v>30099</v>
      </c>
      <c r="C11376" s="9">
        <f>IFERROR(__xludf.DUMMYFUNCTION("""COMPUTED_VALUE"""),13.71)</f>
        <v>13.71</v>
      </c>
      <c r="H11376" s="17"/>
      <c r="K11376" s="17"/>
      <c r="N11376" s="17"/>
    </row>
    <row r="11377">
      <c r="B11377" s="11">
        <f>IFERROR(__xludf.DUMMYFUNCTION("""COMPUTED_VALUE"""),30098.0)</f>
        <v>30098</v>
      </c>
      <c r="C11377" s="9">
        <f>IFERROR(__xludf.DUMMYFUNCTION("""COMPUTED_VALUE"""),13.72)</f>
        <v>13.72</v>
      </c>
      <c r="H11377" s="17"/>
      <c r="K11377" s="17"/>
      <c r="N11377" s="17"/>
    </row>
    <row r="11378">
      <c r="B11378" s="11">
        <f>IFERROR(__xludf.DUMMYFUNCTION("""COMPUTED_VALUE"""),30097.0)</f>
        <v>30097</v>
      </c>
      <c r="C11378" s="9">
        <f>IFERROR(__xludf.DUMMYFUNCTION("""COMPUTED_VALUE"""),13.68)</f>
        <v>13.68</v>
      </c>
      <c r="H11378" s="17"/>
      <c r="K11378" s="17"/>
      <c r="N11378" s="17"/>
    </row>
    <row r="11379">
      <c r="B11379" s="11">
        <f>IFERROR(__xludf.DUMMYFUNCTION("""COMPUTED_VALUE"""),30096.0)</f>
        <v>30096</v>
      </c>
      <c r="C11379" s="9">
        <f>IFERROR(__xludf.DUMMYFUNCTION("""COMPUTED_VALUE"""),13.62)</f>
        <v>13.62</v>
      </c>
      <c r="H11379" s="17"/>
      <c r="K11379" s="17"/>
      <c r="N11379" s="17"/>
    </row>
    <row r="11380">
      <c r="B11380" s="11">
        <f>IFERROR(__xludf.DUMMYFUNCTION("""COMPUTED_VALUE"""),30095.0)</f>
        <v>30095</v>
      </c>
      <c r="C11380" s="9">
        <f>IFERROR(__xludf.DUMMYFUNCTION("""COMPUTED_VALUE"""),13.58)</f>
        <v>13.58</v>
      </c>
      <c r="H11380" s="17"/>
      <c r="K11380" s="17"/>
      <c r="N11380" s="17"/>
    </row>
    <row r="11381">
      <c r="B11381" s="11">
        <f>IFERROR(__xludf.DUMMYFUNCTION("""COMPUTED_VALUE"""),30092.0)</f>
        <v>30092</v>
      </c>
      <c r="C11381" s="9">
        <f>IFERROR(__xludf.DUMMYFUNCTION("""COMPUTED_VALUE"""),13.52)</f>
        <v>13.52</v>
      </c>
      <c r="H11381" s="17"/>
      <c r="K11381" s="17"/>
      <c r="N11381" s="17"/>
    </row>
    <row r="11382">
      <c r="B11382" s="11">
        <f>IFERROR(__xludf.DUMMYFUNCTION("""COMPUTED_VALUE"""),30091.0)</f>
        <v>30091</v>
      </c>
      <c r="C11382" s="9">
        <f>IFERROR(__xludf.DUMMYFUNCTION("""COMPUTED_VALUE"""),13.53)</f>
        <v>13.53</v>
      </c>
      <c r="H11382" s="17"/>
      <c r="K11382" s="17"/>
      <c r="N11382" s="17"/>
    </row>
    <row r="11383">
      <c r="B11383" s="11">
        <f>IFERROR(__xludf.DUMMYFUNCTION("""COMPUTED_VALUE"""),30090.0)</f>
        <v>30090</v>
      </c>
      <c r="C11383" s="9">
        <f>IFERROR(__xludf.DUMMYFUNCTION("""COMPUTED_VALUE"""),13.64)</f>
        <v>13.64</v>
      </c>
      <c r="H11383" s="17"/>
      <c r="K11383" s="17"/>
      <c r="N11383" s="17"/>
    </row>
    <row r="11384">
      <c r="B11384" s="11">
        <f>IFERROR(__xludf.DUMMYFUNCTION("""COMPUTED_VALUE"""),30089.0)</f>
        <v>30089</v>
      </c>
      <c r="C11384" s="9">
        <f>IFERROR(__xludf.DUMMYFUNCTION("""COMPUTED_VALUE"""),13.6)</f>
        <v>13.6</v>
      </c>
      <c r="H11384" s="17"/>
      <c r="K11384" s="17"/>
      <c r="N11384" s="17"/>
    </row>
    <row r="11385">
      <c r="B11385" s="11">
        <f>IFERROR(__xludf.DUMMYFUNCTION("""COMPUTED_VALUE"""),30088.0)</f>
        <v>30088</v>
      </c>
      <c r="C11385" s="9">
        <f>IFERROR(__xludf.DUMMYFUNCTION("""COMPUTED_VALUE"""),13.57)</f>
        <v>13.57</v>
      </c>
      <c r="H11385" s="17"/>
      <c r="K11385" s="17"/>
      <c r="N11385" s="17"/>
    </row>
    <row r="11386">
      <c r="B11386" s="11">
        <f>IFERROR(__xludf.DUMMYFUNCTION("""COMPUTED_VALUE"""),30085.0)</f>
        <v>30085</v>
      </c>
      <c r="C11386" s="9">
        <f>IFERROR(__xludf.DUMMYFUNCTION("""COMPUTED_VALUE"""),13.48)</f>
        <v>13.48</v>
      </c>
      <c r="H11386" s="17"/>
      <c r="K11386" s="17"/>
      <c r="N11386" s="17"/>
    </row>
    <row r="11387">
      <c r="B11387" s="11">
        <f>IFERROR(__xludf.DUMMYFUNCTION("""COMPUTED_VALUE"""),30084.0)</f>
        <v>30084</v>
      </c>
      <c r="C11387" s="9">
        <f>IFERROR(__xludf.DUMMYFUNCTION("""COMPUTED_VALUE"""),13.62)</f>
        <v>13.62</v>
      </c>
      <c r="H11387" s="17"/>
      <c r="K11387" s="17"/>
      <c r="N11387" s="17"/>
    </row>
    <row r="11388">
      <c r="B11388" s="11">
        <f>IFERROR(__xludf.DUMMYFUNCTION("""COMPUTED_VALUE"""),30083.0)</f>
        <v>30083</v>
      </c>
      <c r="C11388" s="9">
        <f>IFERROR(__xludf.DUMMYFUNCTION("""COMPUTED_VALUE"""),13.59)</f>
        <v>13.59</v>
      </c>
      <c r="H11388" s="17"/>
      <c r="K11388" s="17"/>
      <c r="N11388" s="17"/>
    </row>
    <row r="11389">
      <c r="B11389" s="11">
        <f>IFERROR(__xludf.DUMMYFUNCTION("""COMPUTED_VALUE"""),30082.0)</f>
        <v>30082</v>
      </c>
      <c r="C11389" s="9">
        <f>IFERROR(__xludf.DUMMYFUNCTION("""COMPUTED_VALUE"""),13.46)</f>
        <v>13.46</v>
      </c>
      <c r="H11389" s="17"/>
      <c r="K11389" s="17"/>
      <c r="N11389" s="17"/>
    </row>
    <row r="11390">
      <c r="B11390" s="11">
        <f>IFERROR(__xludf.DUMMYFUNCTION("""COMPUTED_VALUE"""),30081.0)</f>
        <v>30081</v>
      </c>
      <c r="C11390" s="9">
        <f>IFERROR(__xludf.DUMMYFUNCTION("""COMPUTED_VALUE"""),13.49)</f>
        <v>13.49</v>
      </c>
      <c r="H11390" s="17"/>
      <c r="K11390" s="17"/>
      <c r="N11390" s="17"/>
    </row>
    <row r="11391">
      <c r="B11391" s="11">
        <f>IFERROR(__xludf.DUMMYFUNCTION("""COMPUTED_VALUE"""),30078.0)</f>
        <v>30078</v>
      </c>
      <c r="C11391" s="9">
        <f>IFERROR(__xludf.DUMMYFUNCTION("""COMPUTED_VALUE"""),13.48)</f>
        <v>13.48</v>
      </c>
      <c r="H11391" s="17"/>
      <c r="K11391" s="17"/>
      <c r="N11391" s="17"/>
    </row>
    <row r="11392">
      <c r="B11392" s="11">
        <f>IFERROR(__xludf.DUMMYFUNCTION("""COMPUTED_VALUE"""),30077.0)</f>
        <v>30077</v>
      </c>
      <c r="C11392" s="9">
        <f>IFERROR(__xludf.DUMMYFUNCTION("""COMPUTED_VALUE"""),13.54)</f>
        <v>13.54</v>
      </c>
      <c r="H11392" s="17"/>
      <c r="K11392" s="17"/>
      <c r="N11392" s="17"/>
    </row>
    <row r="11393">
      <c r="B11393" s="11">
        <f>IFERROR(__xludf.DUMMYFUNCTION("""COMPUTED_VALUE"""),30076.0)</f>
        <v>30076</v>
      </c>
      <c r="C11393" s="9">
        <f>IFERROR(__xludf.DUMMYFUNCTION("""COMPUTED_VALUE"""),13.8)</f>
        <v>13.8</v>
      </c>
      <c r="H11393" s="17"/>
      <c r="K11393" s="17"/>
      <c r="N11393" s="17"/>
    </row>
    <row r="11394">
      <c r="B11394" s="11">
        <f>IFERROR(__xludf.DUMMYFUNCTION("""COMPUTED_VALUE"""),30075.0)</f>
        <v>30075</v>
      </c>
      <c r="C11394" s="9">
        <f>IFERROR(__xludf.DUMMYFUNCTION("""COMPUTED_VALUE"""),13.87)</f>
        <v>13.87</v>
      </c>
      <c r="H11394" s="17"/>
      <c r="K11394" s="17"/>
      <c r="N11394" s="17"/>
    </row>
    <row r="11395">
      <c r="B11395" s="11">
        <f>IFERROR(__xludf.DUMMYFUNCTION("""COMPUTED_VALUE"""),30074.0)</f>
        <v>30074</v>
      </c>
      <c r="C11395" s="9">
        <f>IFERROR(__xludf.DUMMYFUNCTION("""COMPUTED_VALUE"""),13.95)</f>
        <v>13.95</v>
      </c>
      <c r="H11395" s="17"/>
      <c r="K11395" s="17"/>
      <c r="N11395" s="17"/>
    </row>
    <row r="11396">
      <c r="B11396" s="11">
        <f>IFERROR(__xludf.DUMMYFUNCTION("""COMPUTED_VALUE"""),30071.0)</f>
        <v>30071</v>
      </c>
      <c r="C11396" s="9">
        <f>IFERROR(__xludf.DUMMYFUNCTION("""COMPUTED_VALUE"""),13.87)</f>
        <v>13.87</v>
      </c>
      <c r="H11396" s="17"/>
      <c r="K11396" s="17"/>
      <c r="N11396" s="17"/>
    </row>
    <row r="11397">
      <c r="B11397" s="11">
        <f>IFERROR(__xludf.DUMMYFUNCTION("""COMPUTED_VALUE"""),30070.0)</f>
        <v>30070</v>
      </c>
      <c r="C11397" s="9">
        <f>IFERROR(__xludf.DUMMYFUNCTION("""COMPUTED_VALUE"""),13.87)</f>
        <v>13.87</v>
      </c>
      <c r="H11397" s="17"/>
      <c r="K11397" s="17"/>
      <c r="N11397" s="17"/>
    </row>
    <row r="11398">
      <c r="B11398" s="11">
        <f>IFERROR(__xludf.DUMMYFUNCTION("""COMPUTED_VALUE"""),30069.0)</f>
        <v>30069</v>
      </c>
      <c r="C11398" s="9">
        <f>IFERROR(__xludf.DUMMYFUNCTION("""COMPUTED_VALUE"""),13.77)</f>
        <v>13.77</v>
      </c>
      <c r="H11398" s="17"/>
      <c r="K11398" s="17"/>
      <c r="N11398" s="17"/>
    </row>
    <row r="11399">
      <c r="B11399" s="11">
        <f>IFERROR(__xludf.DUMMYFUNCTION("""COMPUTED_VALUE"""),30068.0)</f>
        <v>30068</v>
      </c>
      <c r="C11399" s="9">
        <f>IFERROR(__xludf.DUMMYFUNCTION("""COMPUTED_VALUE"""),13.7)</f>
        <v>13.7</v>
      </c>
      <c r="H11399" s="17"/>
      <c r="K11399" s="17"/>
      <c r="N11399" s="17"/>
    </row>
    <row r="11400">
      <c r="B11400" s="11">
        <f>IFERROR(__xludf.DUMMYFUNCTION("""COMPUTED_VALUE"""),30067.0)</f>
        <v>30067</v>
      </c>
      <c r="C11400" s="9">
        <f>IFERROR(__xludf.DUMMYFUNCTION("""COMPUTED_VALUE"""),13.7)</f>
        <v>13.7</v>
      </c>
      <c r="H11400" s="17"/>
      <c r="K11400" s="17"/>
      <c r="N11400" s="17"/>
    </row>
    <row r="11401">
      <c r="B11401" s="11">
        <f>IFERROR(__xludf.DUMMYFUNCTION("""COMPUTED_VALUE"""),30064.0)</f>
        <v>30064</v>
      </c>
      <c r="C11401" s="9">
        <f>IFERROR(__xludf.DUMMYFUNCTION("""COMPUTED_VALUE"""),13.69)</f>
        <v>13.69</v>
      </c>
      <c r="H11401" s="17"/>
      <c r="K11401" s="17"/>
      <c r="N11401" s="17"/>
    </row>
    <row r="11402">
      <c r="B11402" s="11">
        <f>IFERROR(__xludf.DUMMYFUNCTION("""COMPUTED_VALUE"""),30063.0)</f>
        <v>30063</v>
      </c>
      <c r="C11402" s="9">
        <f>IFERROR(__xludf.DUMMYFUNCTION("""COMPUTED_VALUE"""),13.71)</f>
        <v>13.71</v>
      </c>
      <c r="H11402" s="17"/>
      <c r="K11402" s="17"/>
      <c r="N11402" s="17"/>
    </row>
    <row r="11403">
      <c r="B11403" s="11">
        <f>IFERROR(__xludf.DUMMYFUNCTION("""COMPUTED_VALUE"""),30062.0)</f>
        <v>30062</v>
      </c>
      <c r="C11403" s="9">
        <f>IFERROR(__xludf.DUMMYFUNCTION("""COMPUTED_VALUE"""),13.69)</f>
        <v>13.69</v>
      </c>
      <c r="H11403" s="17"/>
      <c r="K11403" s="17"/>
      <c r="N11403" s="17"/>
    </row>
    <row r="11404">
      <c r="B11404" s="11">
        <f>IFERROR(__xludf.DUMMYFUNCTION("""COMPUTED_VALUE"""),30061.0)</f>
        <v>30061</v>
      </c>
      <c r="C11404" s="9">
        <f>IFERROR(__xludf.DUMMYFUNCTION("""COMPUTED_VALUE"""),13.72)</f>
        <v>13.72</v>
      </c>
      <c r="H11404" s="17"/>
      <c r="K11404" s="17"/>
      <c r="N11404" s="17"/>
    </row>
    <row r="11405">
      <c r="B11405" s="11">
        <f>IFERROR(__xludf.DUMMYFUNCTION("""COMPUTED_VALUE"""),30060.0)</f>
        <v>30060</v>
      </c>
      <c r="C11405" s="9">
        <f>IFERROR(__xludf.DUMMYFUNCTION("""COMPUTED_VALUE"""),13.66)</f>
        <v>13.66</v>
      </c>
      <c r="H11405" s="17"/>
      <c r="K11405" s="17"/>
      <c r="N11405" s="17"/>
    </row>
    <row r="11406">
      <c r="B11406" s="11">
        <f>IFERROR(__xludf.DUMMYFUNCTION("""COMPUTED_VALUE"""),30057.0)</f>
        <v>30057</v>
      </c>
      <c r="C11406" s="9">
        <f>IFERROR(__xludf.DUMMYFUNCTION("""COMPUTED_VALUE"""),13.71)</f>
        <v>13.71</v>
      </c>
      <c r="H11406" s="17"/>
      <c r="K11406" s="17"/>
      <c r="N11406" s="17"/>
    </row>
    <row r="11407">
      <c r="B11407" s="11">
        <f>IFERROR(__xludf.DUMMYFUNCTION("""COMPUTED_VALUE"""),30056.0)</f>
        <v>30056</v>
      </c>
      <c r="C11407" s="9">
        <f>IFERROR(__xludf.DUMMYFUNCTION("""COMPUTED_VALUE"""),13.91)</f>
        <v>13.91</v>
      </c>
      <c r="H11407" s="17"/>
      <c r="K11407" s="17"/>
      <c r="N11407" s="17"/>
    </row>
    <row r="11408">
      <c r="B11408" s="11">
        <f>IFERROR(__xludf.DUMMYFUNCTION("""COMPUTED_VALUE"""),30055.0)</f>
        <v>30055</v>
      </c>
      <c r="C11408" s="9">
        <f>IFERROR(__xludf.DUMMYFUNCTION("""COMPUTED_VALUE"""),13.95)</f>
        <v>13.95</v>
      </c>
      <c r="H11408" s="17"/>
      <c r="K11408" s="17"/>
      <c r="N11408" s="17"/>
    </row>
    <row r="11409">
      <c r="B11409" s="11">
        <f>IFERROR(__xludf.DUMMYFUNCTION("""COMPUTED_VALUE"""),30054.0)</f>
        <v>30054</v>
      </c>
      <c r="C11409" s="9">
        <f>IFERROR(__xludf.DUMMYFUNCTION("""COMPUTED_VALUE"""),13.83)</f>
        <v>13.83</v>
      </c>
      <c r="H11409" s="17"/>
      <c r="K11409" s="17"/>
      <c r="N11409" s="17"/>
    </row>
    <row r="11410">
      <c r="B11410" s="11">
        <f>IFERROR(__xludf.DUMMYFUNCTION("""COMPUTED_VALUE"""),30053.0)</f>
        <v>30053</v>
      </c>
      <c r="C11410" s="9">
        <f>IFERROR(__xludf.DUMMYFUNCTION("""COMPUTED_VALUE"""),13.83)</f>
        <v>13.83</v>
      </c>
      <c r="H11410" s="17"/>
      <c r="K11410" s="17"/>
      <c r="N11410" s="17"/>
    </row>
    <row r="11411">
      <c r="B11411" s="11">
        <f>IFERROR(__xludf.DUMMYFUNCTION("""COMPUTED_VALUE"""),30050.0)</f>
        <v>30050</v>
      </c>
      <c r="C11411" s="9"/>
      <c r="H11411" s="17"/>
      <c r="K11411" s="17"/>
      <c r="N11411" s="17"/>
    </row>
    <row r="11412">
      <c r="B11412" s="11">
        <f>IFERROR(__xludf.DUMMYFUNCTION("""COMPUTED_VALUE"""),30049.0)</f>
        <v>30049</v>
      </c>
      <c r="C11412" s="9">
        <f>IFERROR(__xludf.DUMMYFUNCTION("""COMPUTED_VALUE"""),13.98)</f>
        <v>13.98</v>
      </c>
      <c r="H11412" s="17"/>
      <c r="K11412" s="17"/>
      <c r="N11412" s="17"/>
    </row>
    <row r="11413">
      <c r="B11413" s="11">
        <f>IFERROR(__xludf.DUMMYFUNCTION("""COMPUTED_VALUE"""),30048.0)</f>
        <v>30048</v>
      </c>
      <c r="C11413" s="9">
        <f>IFERROR(__xludf.DUMMYFUNCTION("""COMPUTED_VALUE"""),14.18)</f>
        <v>14.18</v>
      </c>
      <c r="H11413" s="17"/>
      <c r="K11413" s="17"/>
      <c r="N11413" s="17"/>
    </row>
    <row r="11414">
      <c r="B11414" s="11">
        <f>IFERROR(__xludf.DUMMYFUNCTION("""COMPUTED_VALUE"""),30047.0)</f>
        <v>30047</v>
      </c>
      <c r="C11414" s="9">
        <f>IFERROR(__xludf.DUMMYFUNCTION("""COMPUTED_VALUE"""),14.18)</f>
        <v>14.18</v>
      </c>
      <c r="H11414" s="17"/>
      <c r="K11414" s="17"/>
      <c r="N11414" s="17"/>
    </row>
    <row r="11415">
      <c r="B11415" s="11">
        <f>IFERROR(__xludf.DUMMYFUNCTION("""COMPUTED_VALUE"""),30046.0)</f>
        <v>30046</v>
      </c>
      <c r="C11415" s="9">
        <f>IFERROR(__xludf.DUMMYFUNCTION("""COMPUTED_VALUE"""),14.16)</f>
        <v>14.16</v>
      </c>
      <c r="H11415" s="17"/>
      <c r="K11415" s="17"/>
      <c r="N11415" s="17"/>
    </row>
    <row r="11416">
      <c r="B11416" s="11">
        <f>IFERROR(__xludf.DUMMYFUNCTION("""COMPUTED_VALUE"""),30043.0)</f>
        <v>30043</v>
      </c>
      <c r="C11416" s="9">
        <f>IFERROR(__xludf.DUMMYFUNCTION("""COMPUTED_VALUE"""),14.1)</f>
        <v>14.1</v>
      </c>
      <c r="H11416" s="17"/>
      <c r="K11416" s="17"/>
      <c r="N11416" s="17"/>
    </row>
    <row r="11417">
      <c r="B11417" s="11">
        <f>IFERROR(__xludf.DUMMYFUNCTION("""COMPUTED_VALUE"""),30042.0)</f>
        <v>30042</v>
      </c>
      <c r="C11417" s="9">
        <f>IFERROR(__xludf.DUMMYFUNCTION("""COMPUTED_VALUE"""),14.1)</f>
        <v>14.1</v>
      </c>
      <c r="H11417" s="17"/>
      <c r="K11417" s="17"/>
      <c r="N11417" s="17"/>
    </row>
    <row r="11418">
      <c r="B11418" s="11">
        <f>IFERROR(__xludf.DUMMYFUNCTION("""COMPUTED_VALUE"""),30041.0)</f>
        <v>30041</v>
      </c>
      <c r="C11418" s="9">
        <f>IFERROR(__xludf.DUMMYFUNCTION("""COMPUTED_VALUE"""),14.18)</f>
        <v>14.18</v>
      </c>
      <c r="H11418" s="17"/>
      <c r="K11418" s="17"/>
      <c r="N11418" s="17"/>
    </row>
    <row r="11419">
      <c r="B11419" s="11">
        <f>IFERROR(__xludf.DUMMYFUNCTION("""COMPUTED_VALUE"""),30040.0)</f>
        <v>30040</v>
      </c>
      <c r="C11419" s="9">
        <f>IFERROR(__xludf.DUMMYFUNCTION("""COMPUTED_VALUE"""),14.19)</f>
        <v>14.19</v>
      </c>
      <c r="H11419" s="17"/>
      <c r="K11419" s="17"/>
      <c r="N11419" s="17"/>
    </row>
    <row r="11420">
      <c r="B11420" s="11">
        <f>IFERROR(__xludf.DUMMYFUNCTION("""COMPUTED_VALUE"""),30039.0)</f>
        <v>30039</v>
      </c>
      <c r="C11420" s="9">
        <f>IFERROR(__xludf.DUMMYFUNCTION("""COMPUTED_VALUE"""),14.16)</f>
        <v>14.16</v>
      </c>
      <c r="H11420" s="17"/>
      <c r="K11420" s="17"/>
      <c r="N11420" s="17"/>
    </row>
    <row r="11421">
      <c r="B11421" s="11">
        <f>IFERROR(__xludf.DUMMYFUNCTION("""COMPUTED_VALUE"""),30036.0)</f>
        <v>30036</v>
      </c>
      <c r="C11421" s="9">
        <f>IFERROR(__xludf.DUMMYFUNCTION("""COMPUTED_VALUE"""),14.01)</f>
        <v>14.01</v>
      </c>
      <c r="H11421" s="17"/>
      <c r="K11421" s="17"/>
      <c r="N11421" s="17"/>
    </row>
    <row r="11422">
      <c r="B11422" s="11">
        <f>IFERROR(__xludf.DUMMYFUNCTION("""COMPUTED_VALUE"""),30035.0)</f>
        <v>30035</v>
      </c>
      <c r="C11422" s="9">
        <f>IFERROR(__xludf.DUMMYFUNCTION("""COMPUTED_VALUE"""),13.9)</f>
        <v>13.9</v>
      </c>
      <c r="H11422" s="17"/>
      <c r="K11422" s="17"/>
      <c r="N11422" s="17"/>
    </row>
    <row r="11423">
      <c r="B11423" s="11">
        <f>IFERROR(__xludf.DUMMYFUNCTION("""COMPUTED_VALUE"""),30034.0)</f>
        <v>30034</v>
      </c>
      <c r="C11423" s="9">
        <f>IFERROR(__xludf.DUMMYFUNCTION("""COMPUTED_VALUE"""),13.91)</f>
        <v>13.91</v>
      </c>
      <c r="H11423" s="17"/>
      <c r="K11423" s="17"/>
      <c r="N11423" s="17"/>
    </row>
    <row r="11424">
      <c r="B11424" s="11">
        <f>IFERROR(__xludf.DUMMYFUNCTION("""COMPUTED_VALUE"""),30033.0)</f>
        <v>30033</v>
      </c>
      <c r="C11424" s="9">
        <f>IFERROR(__xludf.DUMMYFUNCTION("""COMPUTED_VALUE"""),13.72)</f>
        <v>13.72</v>
      </c>
      <c r="H11424" s="17"/>
      <c r="K11424" s="17"/>
      <c r="N11424" s="17"/>
    </row>
    <row r="11425">
      <c r="B11425" s="11">
        <f>IFERROR(__xludf.DUMMYFUNCTION("""COMPUTED_VALUE"""),30032.0)</f>
        <v>30032</v>
      </c>
      <c r="C11425" s="9">
        <f>IFERROR(__xludf.DUMMYFUNCTION("""COMPUTED_VALUE"""),13.74)</f>
        <v>13.74</v>
      </c>
      <c r="H11425" s="17"/>
      <c r="K11425" s="17"/>
      <c r="N11425" s="17"/>
    </row>
    <row r="11426">
      <c r="B11426" s="11">
        <f>IFERROR(__xludf.DUMMYFUNCTION("""COMPUTED_VALUE"""),30029.0)</f>
        <v>30029</v>
      </c>
      <c r="C11426" s="9">
        <f>IFERROR(__xludf.DUMMYFUNCTION("""COMPUTED_VALUE"""),13.89)</f>
        <v>13.89</v>
      </c>
      <c r="H11426" s="17"/>
      <c r="K11426" s="17"/>
      <c r="N11426" s="17"/>
    </row>
    <row r="11427">
      <c r="B11427" s="11">
        <f>IFERROR(__xludf.DUMMYFUNCTION("""COMPUTED_VALUE"""),30028.0)</f>
        <v>30028</v>
      </c>
      <c r="C11427" s="9">
        <f>IFERROR(__xludf.DUMMYFUNCTION("""COMPUTED_VALUE"""),13.87)</f>
        <v>13.87</v>
      </c>
      <c r="H11427" s="17"/>
      <c r="K11427" s="17"/>
      <c r="N11427" s="17"/>
    </row>
    <row r="11428">
      <c r="B11428" s="11">
        <f>IFERROR(__xludf.DUMMYFUNCTION("""COMPUTED_VALUE"""),30027.0)</f>
        <v>30027</v>
      </c>
      <c r="C11428" s="9">
        <f>IFERROR(__xludf.DUMMYFUNCTION("""COMPUTED_VALUE"""),13.88)</f>
        <v>13.88</v>
      </c>
      <c r="H11428" s="17"/>
      <c r="K11428" s="17"/>
      <c r="N11428" s="17"/>
    </row>
    <row r="11429">
      <c r="B11429" s="11">
        <f>IFERROR(__xludf.DUMMYFUNCTION("""COMPUTED_VALUE"""),30026.0)</f>
        <v>30026</v>
      </c>
      <c r="C11429" s="9">
        <f>IFERROR(__xludf.DUMMYFUNCTION("""COMPUTED_VALUE"""),13.91)</f>
        <v>13.91</v>
      </c>
      <c r="H11429" s="17"/>
      <c r="K11429" s="17"/>
      <c r="N11429" s="17"/>
    </row>
    <row r="11430">
      <c r="B11430" s="11">
        <f>IFERROR(__xludf.DUMMYFUNCTION("""COMPUTED_VALUE"""),30025.0)</f>
        <v>30025</v>
      </c>
      <c r="C11430" s="9">
        <f>IFERROR(__xludf.DUMMYFUNCTION("""COMPUTED_VALUE"""),13.96)</f>
        <v>13.96</v>
      </c>
      <c r="H11430" s="17"/>
      <c r="K11430" s="17"/>
      <c r="N11430" s="17"/>
    </row>
    <row r="11431">
      <c r="B11431" s="11">
        <f>IFERROR(__xludf.DUMMYFUNCTION("""COMPUTED_VALUE"""),30022.0)</f>
        <v>30022</v>
      </c>
      <c r="C11431" s="9">
        <f>IFERROR(__xludf.DUMMYFUNCTION("""COMPUTED_VALUE"""),13.97)</f>
        <v>13.97</v>
      </c>
      <c r="H11431" s="17"/>
      <c r="K11431" s="17"/>
      <c r="N11431" s="17"/>
    </row>
    <row r="11432">
      <c r="B11432" s="11">
        <f>IFERROR(__xludf.DUMMYFUNCTION("""COMPUTED_VALUE"""),30021.0)</f>
        <v>30021</v>
      </c>
      <c r="C11432" s="9">
        <f>IFERROR(__xludf.DUMMYFUNCTION("""COMPUTED_VALUE"""),13.95)</f>
        <v>13.95</v>
      </c>
      <c r="H11432" s="17"/>
      <c r="K11432" s="17"/>
      <c r="N11432" s="17"/>
    </row>
    <row r="11433">
      <c r="B11433" s="11">
        <f>IFERROR(__xludf.DUMMYFUNCTION("""COMPUTED_VALUE"""),30020.0)</f>
        <v>30020</v>
      </c>
      <c r="C11433" s="9">
        <f>IFERROR(__xludf.DUMMYFUNCTION("""COMPUTED_VALUE"""),13.73)</f>
        <v>13.73</v>
      </c>
      <c r="H11433" s="17"/>
      <c r="K11433" s="17"/>
      <c r="N11433" s="17"/>
    </row>
    <row r="11434">
      <c r="B11434" s="11">
        <f>IFERROR(__xludf.DUMMYFUNCTION("""COMPUTED_VALUE"""),30019.0)</f>
        <v>30019</v>
      </c>
      <c r="C11434" s="9">
        <f>IFERROR(__xludf.DUMMYFUNCTION("""COMPUTED_VALUE"""),13.69)</f>
        <v>13.69</v>
      </c>
      <c r="H11434" s="17"/>
      <c r="K11434" s="17"/>
      <c r="N11434" s="17"/>
    </row>
    <row r="11435">
      <c r="B11435" s="11">
        <f>IFERROR(__xludf.DUMMYFUNCTION("""COMPUTED_VALUE"""),30018.0)</f>
        <v>30018</v>
      </c>
      <c r="C11435" s="9">
        <f>IFERROR(__xludf.DUMMYFUNCTION("""COMPUTED_VALUE"""),13.67)</f>
        <v>13.67</v>
      </c>
      <c r="H11435" s="17"/>
      <c r="K11435" s="17"/>
      <c r="N11435" s="17"/>
    </row>
    <row r="11436">
      <c r="B11436" s="11">
        <f>IFERROR(__xludf.DUMMYFUNCTION("""COMPUTED_VALUE"""),30015.0)</f>
        <v>30015</v>
      </c>
      <c r="C11436" s="9">
        <f>IFERROR(__xludf.DUMMYFUNCTION("""COMPUTED_VALUE"""),13.59)</f>
        <v>13.59</v>
      </c>
      <c r="H11436" s="17"/>
      <c r="K11436" s="17"/>
      <c r="N11436" s="17"/>
    </row>
    <row r="11437">
      <c r="B11437" s="11">
        <f>IFERROR(__xludf.DUMMYFUNCTION("""COMPUTED_VALUE"""),30014.0)</f>
        <v>30014</v>
      </c>
      <c r="C11437" s="9">
        <f>IFERROR(__xludf.DUMMYFUNCTION("""COMPUTED_VALUE"""),13.61)</f>
        <v>13.61</v>
      </c>
      <c r="H11437" s="17"/>
      <c r="K11437" s="17"/>
      <c r="N11437" s="17"/>
    </row>
    <row r="11438">
      <c r="B11438" s="11">
        <f>IFERROR(__xludf.DUMMYFUNCTION("""COMPUTED_VALUE"""),30013.0)</f>
        <v>30013</v>
      </c>
      <c r="C11438" s="9">
        <f>IFERROR(__xludf.DUMMYFUNCTION("""COMPUTED_VALUE"""),13.69)</f>
        <v>13.69</v>
      </c>
      <c r="H11438" s="17"/>
      <c r="K11438" s="17"/>
      <c r="N11438" s="17"/>
    </row>
    <row r="11439">
      <c r="B11439" s="11">
        <f>IFERROR(__xludf.DUMMYFUNCTION("""COMPUTED_VALUE"""),30012.0)</f>
        <v>30012</v>
      </c>
      <c r="C11439" s="9">
        <f>IFERROR(__xludf.DUMMYFUNCTION("""COMPUTED_VALUE"""),13.74)</f>
        <v>13.74</v>
      </c>
      <c r="H11439" s="17"/>
      <c r="K11439" s="17"/>
      <c r="N11439" s="17"/>
    </row>
    <row r="11440">
      <c r="B11440" s="11">
        <f>IFERROR(__xludf.DUMMYFUNCTION("""COMPUTED_VALUE"""),30011.0)</f>
        <v>30011</v>
      </c>
      <c r="C11440" s="9">
        <f>IFERROR(__xludf.DUMMYFUNCTION("""COMPUTED_VALUE"""),13.85)</f>
        <v>13.85</v>
      </c>
      <c r="H11440" s="17"/>
      <c r="K11440" s="17"/>
      <c r="N11440" s="17"/>
    </row>
    <row r="11441">
      <c r="B11441" s="11">
        <f>IFERROR(__xludf.DUMMYFUNCTION("""COMPUTED_VALUE"""),30008.0)</f>
        <v>30008</v>
      </c>
      <c r="C11441" s="9">
        <f>IFERROR(__xludf.DUMMYFUNCTION("""COMPUTED_VALUE"""),14.03)</f>
        <v>14.03</v>
      </c>
      <c r="H11441" s="17"/>
      <c r="K11441" s="17"/>
      <c r="N11441" s="17"/>
    </row>
    <row r="11442">
      <c r="B11442" s="11">
        <f>IFERROR(__xludf.DUMMYFUNCTION("""COMPUTED_VALUE"""),30007.0)</f>
        <v>30007</v>
      </c>
      <c r="C11442" s="9">
        <f>IFERROR(__xludf.DUMMYFUNCTION("""COMPUTED_VALUE"""),13.91)</f>
        <v>13.91</v>
      </c>
      <c r="H11442" s="17"/>
      <c r="K11442" s="17"/>
      <c r="N11442" s="17"/>
    </row>
    <row r="11443">
      <c r="B11443" s="11">
        <f>IFERROR(__xludf.DUMMYFUNCTION("""COMPUTED_VALUE"""),30006.0)</f>
        <v>30006</v>
      </c>
      <c r="C11443" s="9">
        <f>IFERROR(__xludf.DUMMYFUNCTION("""COMPUTED_VALUE"""),13.87)</f>
        <v>13.87</v>
      </c>
      <c r="H11443" s="17"/>
      <c r="K11443" s="17"/>
      <c r="N11443" s="17"/>
    </row>
    <row r="11444">
      <c r="B11444" s="11">
        <f>IFERROR(__xludf.DUMMYFUNCTION("""COMPUTED_VALUE"""),30005.0)</f>
        <v>30005</v>
      </c>
      <c r="C11444" s="9">
        <f>IFERROR(__xludf.DUMMYFUNCTION("""COMPUTED_VALUE"""),13.93)</f>
        <v>13.93</v>
      </c>
      <c r="H11444" s="17"/>
      <c r="K11444" s="17"/>
      <c r="N11444" s="17"/>
    </row>
    <row r="11445">
      <c r="B11445" s="11">
        <f>IFERROR(__xludf.DUMMYFUNCTION("""COMPUTED_VALUE"""),30004.0)</f>
        <v>30004</v>
      </c>
      <c r="C11445" s="9">
        <f>IFERROR(__xludf.DUMMYFUNCTION("""COMPUTED_VALUE"""),13.87)</f>
        <v>13.87</v>
      </c>
      <c r="H11445" s="17"/>
      <c r="K11445" s="17"/>
      <c r="N11445" s="17"/>
    </row>
    <row r="11446">
      <c r="B11446" s="11">
        <f>IFERROR(__xludf.DUMMYFUNCTION("""COMPUTED_VALUE"""),30001.0)</f>
        <v>30001</v>
      </c>
      <c r="C11446" s="9">
        <f>IFERROR(__xludf.DUMMYFUNCTION("""COMPUTED_VALUE"""),14.24)</f>
        <v>14.24</v>
      </c>
      <c r="H11446" s="17"/>
      <c r="K11446" s="17"/>
      <c r="N11446" s="17"/>
    </row>
    <row r="11447">
      <c r="B11447" s="11">
        <f>IFERROR(__xludf.DUMMYFUNCTION("""COMPUTED_VALUE"""),30000.0)</f>
        <v>30000</v>
      </c>
      <c r="C11447" s="9">
        <f>IFERROR(__xludf.DUMMYFUNCTION("""COMPUTED_VALUE"""),14.28)</f>
        <v>14.28</v>
      </c>
      <c r="H11447" s="17"/>
      <c r="K11447" s="17"/>
      <c r="N11447" s="17"/>
    </row>
    <row r="11448">
      <c r="B11448" s="11">
        <f>IFERROR(__xludf.DUMMYFUNCTION("""COMPUTED_VALUE"""),29999.0)</f>
        <v>29999</v>
      </c>
      <c r="C11448" s="9">
        <f>IFERROR(__xludf.DUMMYFUNCTION("""COMPUTED_VALUE"""),14.5)</f>
        <v>14.5</v>
      </c>
      <c r="H11448" s="17"/>
      <c r="K11448" s="17"/>
      <c r="N11448" s="17"/>
    </row>
    <row r="11449">
      <c r="B11449" s="11">
        <f>IFERROR(__xludf.DUMMYFUNCTION("""COMPUTED_VALUE"""),29998.0)</f>
        <v>29998</v>
      </c>
      <c r="C11449" s="9">
        <f>IFERROR(__xludf.DUMMYFUNCTION("""COMPUTED_VALUE"""),14.53)</f>
        <v>14.53</v>
      </c>
      <c r="H11449" s="17"/>
      <c r="K11449" s="17"/>
      <c r="N11449" s="17"/>
    </row>
    <row r="11450">
      <c r="B11450" s="11">
        <f>IFERROR(__xludf.DUMMYFUNCTION("""COMPUTED_VALUE"""),29997.0)</f>
        <v>29997</v>
      </c>
      <c r="C11450" s="9"/>
      <c r="H11450" s="17"/>
      <c r="K11450" s="17"/>
      <c r="N11450" s="17"/>
    </row>
    <row r="11451">
      <c r="B11451" s="11">
        <f>IFERROR(__xludf.DUMMYFUNCTION("""COMPUTED_VALUE"""),29994.0)</f>
        <v>29994</v>
      </c>
      <c r="C11451" s="9"/>
      <c r="H11451" s="17"/>
      <c r="K11451" s="17"/>
      <c r="N11451" s="17"/>
    </row>
    <row r="11452">
      <c r="B11452" s="11">
        <f>IFERROR(__xludf.DUMMYFUNCTION("""COMPUTED_VALUE"""),29993.0)</f>
        <v>29993</v>
      </c>
      <c r="C11452" s="9">
        <f>IFERROR(__xludf.DUMMYFUNCTION("""COMPUTED_VALUE"""),14.71)</f>
        <v>14.71</v>
      </c>
      <c r="H11452" s="17"/>
      <c r="K11452" s="17"/>
      <c r="N11452" s="17"/>
    </row>
    <row r="11453">
      <c r="B11453" s="11">
        <f>IFERROR(__xludf.DUMMYFUNCTION("""COMPUTED_VALUE"""),29992.0)</f>
        <v>29992</v>
      </c>
      <c r="C11453" s="9">
        <f>IFERROR(__xludf.DUMMYFUNCTION("""COMPUTED_VALUE"""),14.81)</f>
        <v>14.81</v>
      </c>
      <c r="H11453" s="17"/>
      <c r="K11453" s="17"/>
      <c r="N11453" s="17"/>
    </row>
    <row r="11454">
      <c r="B11454" s="11">
        <f>IFERROR(__xludf.DUMMYFUNCTION("""COMPUTED_VALUE"""),29991.0)</f>
        <v>29991</v>
      </c>
      <c r="C11454" s="9">
        <f>IFERROR(__xludf.DUMMYFUNCTION("""COMPUTED_VALUE"""),14.95)</f>
        <v>14.95</v>
      </c>
      <c r="H11454" s="17"/>
      <c r="K11454" s="17"/>
      <c r="N11454" s="17"/>
    </row>
    <row r="11455">
      <c r="B11455" s="11">
        <f>IFERROR(__xludf.DUMMYFUNCTION("""COMPUTED_VALUE"""),29990.0)</f>
        <v>29990</v>
      </c>
      <c r="C11455" s="9">
        <f>IFERROR(__xludf.DUMMYFUNCTION("""COMPUTED_VALUE"""),14.88)</f>
        <v>14.88</v>
      </c>
      <c r="H11455" s="17"/>
      <c r="K11455" s="17"/>
      <c r="N11455" s="17"/>
    </row>
    <row r="11456">
      <c r="B11456" s="11">
        <f>IFERROR(__xludf.DUMMYFUNCTION("""COMPUTED_VALUE"""),29987.0)</f>
        <v>29987</v>
      </c>
      <c r="C11456" s="9">
        <f>IFERROR(__xludf.DUMMYFUNCTION("""COMPUTED_VALUE"""),14.65)</f>
        <v>14.65</v>
      </c>
      <c r="H11456" s="17"/>
      <c r="K11456" s="17"/>
      <c r="N11456" s="17"/>
    </row>
    <row r="11457">
      <c r="B11457" s="11">
        <f>IFERROR(__xludf.DUMMYFUNCTION("""COMPUTED_VALUE"""),29986.0)</f>
        <v>29986</v>
      </c>
      <c r="C11457" s="9">
        <f>IFERROR(__xludf.DUMMYFUNCTION("""COMPUTED_VALUE"""),14.76)</f>
        <v>14.76</v>
      </c>
      <c r="H11457" s="17"/>
      <c r="K11457" s="17"/>
      <c r="N11457" s="17"/>
    </row>
    <row r="11458">
      <c r="B11458" s="11">
        <f>IFERROR(__xludf.DUMMYFUNCTION("""COMPUTED_VALUE"""),29985.0)</f>
        <v>29985</v>
      </c>
      <c r="C11458" s="9">
        <f>IFERROR(__xludf.DUMMYFUNCTION("""COMPUTED_VALUE"""),14.69)</f>
        <v>14.69</v>
      </c>
      <c r="H11458" s="17"/>
      <c r="K11458" s="17"/>
      <c r="N11458" s="17"/>
    </row>
    <row r="11459">
      <c r="B11459" s="11">
        <f>IFERROR(__xludf.DUMMYFUNCTION("""COMPUTED_VALUE"""),29984.0)</f>
        <v>29984</v>
      </c>
      <c r="C11459" s="9">
        <f>IFERROR(__xludf.DUMMYFUNCTION("""COMPUTED_VALUE"""),14.47)</f>
        <v>14.47</v>
      </c>
      <c r="H11459" s="17"/>
      <c r="K11459" s="17"/>
      <c r="N11459" s="17"/>
    </row>
    <row r="11460">
      <c r="B11460" s="11">
        <f>IFERROR(__xludf.DUMMYFUNCTION("""COMPUTED_VALUE"""),29983.0)</f>
        <v>29983</v>
      </c>
      <c r="C11460" s="9">
        <f>IFERROR(__xludf.DUMMYFUNCTION("""COMPUTED_VALUE"""),14.58)</f>
        <v>14.58</v>
      </c>
      <c r="H11460" s="17"/>
      <c r="K11460" s="17"/>
      <c r="N11460" s="17"/>
    </row>
    <row r="11461">
      <c r="B11461" s="11">
        <f>IFERROR(__xludf.DUMMYFUNCTION("""COMPUTED_VALUE"""),29980.0)</f>
        <v>29980</v>
      </c>
      <c r="C11461" s="9">
        <f>IFERROR(__xludf.DUMMYFUNCTION("""COMPUTED_VALUE"""),14.14)</f>
        <v>14.14</v>
      </c>
      <c r="H11461" s="17"/>
      <c r="K11461" s="17"/>
      <c r="N11461" s="17"/>
    </row>
    <row r="11462">
      <c r="B11462" s="11">
        <f>IFERROR(__xludf.DUMMYFUNCTION("""COMPUTED_VALUE"""),29979.0)</f>
        <v>29979</v>
      </c>
      <c r="C11462" s="9">
        <f>IFERROR(__xludf.DUMMYFUNCTION("""COMPUTED_VALUE"""),14.29)</f>
        <v>14.29</v>
      </c>
      <c r="H11462" s="17"/>
      <c r="K11462" s="17"/>
      <c r="N11462" s="17"/>
    </row>
    <row r="11463">
      <c r="B11463" s="11">
        <f>IFERROR(__xludf.DUMMYFUNCTION("""COMPUTED_VALUE"""),29978.0)</f>
        <v>29978</v>
      </c>
      <c r="C11463" s="9">
        <f>IFERROR(__xludf.DUMMYFUNCTION("""COMPUTED_VALUE"""),14.51)</f>
        <v>14.51</v>
      </c>
      <c r="H11463" s="17"/>
      <c r="K11463" s="17"/>
      <c r="N11463" s="17"/>
    </row>
    <row r="11464">
      <c r="B11464" s="11">
        <f>IFERROR(__xludf.DUMMYFUNCTION("""COMPUTED_VALUE"""),29977.0)</f>
        <v>29977</v>
      </c>
      <c r="C11464" s="9">
        <f>IFERROR(__xludf.DUMMYFUNCTION("""COMPUTED_VALUE"""),14.54)</f>
        <v>14.54</v>
      </c>
      <c r="H11464" s="17"/>
      <c r="K11464" s="17"/>
      <c r="N11464" s="17"/>
    </row>
    <row r="11465">
      <c r="B11465" s="11">
        <f>IFERROR(__xludf.DUMMYFUNCTION("""COMPUTED_VALUE"""),29976.0)</f>
        <v>29976</v>
      </c>
      <c r="C11465" s="9">
        <f>IFERROR(__xludf.DUMMYFUNCTION("""COMPUTED_VALUE"""),14.62)</f>
        <v>14.62</v>
      </c>
      <c r="H11465" s="17"/>
      <c r="K11465" s="17"/>
      <c r="N11465" s="17"/>
    </row>
    <row r="11466">
      <c r="B11466" s="11">
        <f>IFERROR(__xludf.DUMMYFUNCTION("""COMPUTED_VALUE"""),29973.0)</f>
        <v>29973</v>
      </c>
      <c r="C11466" s="9">
        <f>IFERROR(__xludf.DUMMYFUNCTION("""COMPUTED_VALUE"""),14.69)</f>
        <v>14.69</v>
      </c>
      <c r="H11466" s="17"/>
      <c r="K11466" s="17"/>
      <c r="N11466" s="17"/>
    </row>
    <row r="11467">
      <c r="B11467" s="11">
        <f>IFERROR(__xludf.DUMMYFUNCTION("""COMPUTED_VALUE"""),29972.0)</f>
        <v>29972</v>
      </c>
      <c r="C11467" s="9">
        <f>IFERROR(__xludf.DUMMYFUNCTION("""COMPUTED_VALUE"""),14.62)</f>
        <v>14.62</v>
      </c>
      <c r="H11467" s="17"/>
      <c r="K11467" s="17"/>
      <c r="N11467" s="17"/>
    </row>
    <row r="11468">
      <c r="B11468" s="11">
        <f>IFERROR(__xludf.DUMMYFUNCTION("""COMPUTED_VALUE"""),29971.0)</f>
        <v>29971</v>
      </c>
      <c r="C11468" s="9">
        <f>IFERROR(__xludf.DUMMYFUNCTION("""COMPUTED_VALUE"""),14.81)</f>
        <v>14.81</v>
      </c>
      <c r="H11468" s="17"/>
      <c r="K11468" s="17"/>
      <c r="N11468" s="17"/>
    </row>
    <row r="11469">
      <c r="B11469" s="11">
        <f>IFERROR(__xludf.DUMMYFUNCTION("""COMPUTED_VALUE"""),29970.0)</f>
        <v>29970</v>
      </c>
      <c r="C11469" s="9">
        <f>IFERROR(__xludf.DUMMYFUNCTION("""COMPUTED_VALUE"""),14.8)</f>
        <v>14.8</v>
      </c>
      <c r="H11469" s="17"/>
      <c r="K11469" s="17"/>
      <c r="N11469" s="17"/>
    </row>
    <row r="11470">
      <c r="B11470" s="11">
        <f>IFERROR(__xludf.DUMMYFUNCTION("""COMPUTED_VALUE"""),29969.0)</f>
        <v>29969</v>
      </c>
      <c r="C11470" s="9">
        <f>IFERROR(__xludf.DUMMYFUNCTION("""COMPUTED_VALUE"""),14.75)</f>
        <v>14.75</v>
      </c>
      <c r="H11470" s="17"/>
      <c r="K11470" s="17"/>
      <c r="N11470" s="17"/>
    </row>
    <row r="11471">
      <c r="B11471" s="11">
        <f>IFERROR(__xludf.DUMMYFUNCTION("""COMPUTED_VALUE"""),29966.0)</f>
        <v>29966</v>
      </c>
      <c r="C11471" s="9">
        <f>IFERROR(__xludf.DUMMYFUNCTION("""COMPUTED_VALUE"""),14.82)</f>
        <v>14.82</v>
      </c>
      <c r="H11471" s="17"/>
      <c r="K11471" s="17"/>
      <c r="N11471" s="17"/>
    </row>
    <row r="11472">
      <c r="B11472" s="11">
        <f>IFERROR(__xludf.DUMMYFUNCTION("""COMPUTED_VALUE"""),29965.0)</f>
        <v>29965</v>
      </c>
      <c r="C11472" s="9">
        <f>IFERROR(__xludf.DUMMYFUNCTION("""COMPUTED_VALUE"""),14.7)</f>
        <v>14.7</v>
      </c>
      <c r="H11472" s="17"/>
      <c r="K11472" s="17"/>
      <c r="N11472" s="17"/>
    </row>
    <row r="11473">
      <c r="B11473" s="11">
        <f>IFERROR(__xludf.DUMMYFUNCTION("""COMPUTED_VALUE"""),29964.0)</f>
        <v>29964</v>
      </c>
      <c r="C11473" s="9">
        <f>IFERROR(__xludf.DUMMYFUNCTION("""COMPUTED_VALUE"""),14.83)</f>
        <v>14.83</v>
      </c>
      <c r="H11473" s="17"/>
      <c r="K11473" s="17"/>
      <c r="N11473" s="17"/>
    </row>
    <row r="11474">
      <c r="B11474" s="11">
        <f>IFERROR(__xludf.DUMMYFUNCTION("""COMPUTED_VALUE"""),29963.0)</f>
        <v>29963</v>
      </c>
      <c r="C11474" s="9">
        <f>IFERROR(__xludf.DUMMYFUNCTION("""COMPUTED_VALUE"""),14.62)</f>
        <v>14.62</v>
      </c>
      <c r="H11474" s="17"/>
      <c r="K11474" s="17"/>
      <c r="N11474" s="17"/>
    </row>
    <row r="11475">
      <c r="B11475" s="11">
        <f>IFERROR(__xludf.DUMMYFUNCTION("""COMPUTED_VALUE"""),29962.0)</f>
        <v>29962</v>
      </c>
      <c r="C11475" s="9">
        <f>IFERROR(__xludf.DUMMYFUNCTION("""COMPUTED_VALUE"""),14.81)</f>
        <v>14.81</v>
      </c>
      <c r="H11475" s="17"/>
      <c r="K11475" s="17"/>
      <c r="N11475" s="17"/>
    </row>
    <row r="11476">
      <c r="B11476" s="11">
        <f>IFERROR(__xludf.DUMMYFUNCTION("""COMPUTED_VALUE"""),29959.0)</f>
        <v>29959</v>
      </c>
      <c r="C11476" s="9">
        <f>IFERROR(__xludf.DUMMYFUNCTION("""COMPUTED_VALUE"""),14.48)</f>
        <v>14.48</v>
      </c>
      <c r="H11476" s="17"/>
      <c r="K11476" s="17"/>
      <c r="N11476" s="17"/>
    </row>
    <row r="11477">
      <c r="B11477" s="11">
        <f>IFERROR(__xludf.DUMMYFUNCTION("""COMPUTED_VALUE"""),29958.0)</f>
        <v>29958</v>
      </c>
      <c r="C11477" s="9">
        <f>IFERROR(__xludf.DUMMYFUNCTION("""COMPUTED_VALUE"""),14.63)</f>
        <v>14.63</v>
      </c>
      <c r="H11477" s="17"/>
      <c r="K11477" s="17"/>
      <c r="N11477" s="17"/>
    </row>
    <row r="11478">
      <c r="B11478" s="11">
        <f>IFERROR(__xludf.DUMMYFUNCTION("""COMPUTED_VALUE"""),29957.0)</f>
        <v>29957</v>
      </c>
      <c r="C11478" s="9">
        <f>IFERROR(__xludf.DUMMYFUNCTION("""COMPUTED_VALUE"""),14.59)</f>
        <v>14.59</v>
      </c>
      <c r="H11478" s="17"/>
      <c r="K11478" s="17"/>
      <c r="N11478" s="17"/>
    </row>
    <row r="11479">
      <c r="B11479" s="11">
        <f>IFERROR(__xludf.DUMMYFUNCTION("""COMPUTED_VALUE"""),29956.0)</f>
        <v>29956</v>
      </c>
      <c r="C11479" s="9">
        <f>IFERROR(__xludf.DUMMYFUNCTION("""COMPUTED_VALUE"""),14.44)</f>
        <v>14.44</v>
      </c>
      <c r="H11479" s="17"/>
      <c r="K11479" s="17"/>
      <c r="N11479" s="17"/>
    </row>
    <row r="11480">
      <c r="B11480" s="11">
        <f>IFERROR(__xludf.DUMMYFUNCTION("""COMPUTED_VALUE"""),29955.0)</f>
        <v>29955</v>
      </c>
      <c r="C11480" s="9">
        <f>IFERROR(__xludf.DUMMYFUNCTION("""COMPUTED_VALUE"""),14.19)</f>
        <v>14.19</v>
      </c>
      <c r="H11480" s="17"/>
      <c r="K11480" s="17"/>
      <c r="N11480" s="17"/>
    </row>
    <row r="11481">
      <c r="B11481" s="11">
        <f>IFERROR(__xludf.DUMMYFUNCTION("""COMPUTED_VALUE"""),29952.0)</f>
        <v>29952</v>
      </c>
      <c r="C11481" s="9"/>
      <c r="H11481" s="17"/>
      <c r="K11481" s="17"/>
      <c r="N11481" s="17"/>
    </row>
    <row r="11482">
      <c r="B11482" s="11">
        <f>IFERROR(__xludf.DUMMYFUNCTION("""COMPUTED_VALUE"""),29951.0)</f>
        <v>29951</v>
      </c>
      <c r="C11482" s="9">
        <f>IFERROR(__xludf.DUMMYFUNCTION("""COMPUTED_VALUE"""),13.98)</f>
        <v>13.98</v>
      </c>
      <c r="H11482" s="17"/>
      <c r="K11482" s="17"/>
      <c r="N11482" s="17"/>
    </row>
    <row r="11483">
      <c r="B11483" s="11">
        <f>IFERROR(__xludf.DUMMYFUNCTION("""COMPUTED_VALUE"""),29950.0)</f>
        <v>29950</v>
      </c>
      <c r="C11483" s="9">
        <f>IFERROR(__xludf.DUMMYFUNCTION("""COMPUTED_VALUE"""),14.17)</f>
        <v>14.17</v>
      </c>
      <c r="H11483" s="17"/>
      <c r="K11483" s="17"/>
      <c r="N11483" s="17"/>
    </row>
    <row r="11484">
      <c r="B11484" s="11">
        <f>IFERROR(__xludf.DUMMYFUNCTION("""COMPUTED_VALUE"""),29949.0)</f>
        <v>29949</v>
      </c>
      <c r="C11484" s="9">
        <f>IFERROR(__xludf.DUMMYFUNCTION("""COMPUTED_VALUE"""),14.12)</f>
        <v>14.12</v>
      </c>
      <c r="H11484" s="17"/>
      <c r="K11484" s="17"/>
      <c r="N11484" s="17"/>
    </row>
    <row r="11485">
      <c r="B11485" s="11">
        <f>IFERROR(__xludf.DUMMYFUNCTION("""COMPUTED_VALUE"""),29948.0)</f>
        <v>29948</v>
      </c>
      <c r="C11485" s="9">
        <f>IFERROR(__xludf.DUMMYFUNCTION("""COMPUTED_VALUE"""),14.01)</f>
        <v>14.01</v>
      </c>
      <c r="H11485" s="17"/>
      <c r="K11485" s="17"/>
      <c r="N11485" s="17"/>
    </row>
    <row r="11486">
      <c r="B11486" s="11">
        <f>IFERROR(__xludf.DUMMYFUNCTION("""COMPUTED_VALUE"""),29945.0)</f>
        <v>29945</v>
      </c>
      <c r="C11486" s="9"/>
      <c r="H11486" s="17"/>
      <c r="K11486" s="17"/>
      <c r="N11486" s="17"/>
    </row>
    <row r="11487">
      <c r="B11487" s="11">
        <f>IFERROR(__xludf.DUMMYFUNCTION("""COMPUTED_VALUE"""),29944.0)</f>
        <v>29944</v>
      </c>
      <c r="C11487" s="9">
        <f>IFERROR(__xludf.DUMMYFUNCTION("""COMPUTED_VALUE"""),14.01)</f>
        <v>14.01</v>
      </c>
      <c r="H11487" s="17"/>
      <c r="K11487" s="17"/>
      <c r="N11487" s="17"/>
    </row>
    <row r="11488">
      <c r="B11488" s="11">
        <f>IFERROR(__xludf.DUMMYFUNCTION("""COMPUTED_VALUE"""),29943.0)</f>
        <v>29943</v>
      </c>
      <c r="C11488" s="9">
        <f>IFERROR(__xludf.DUMMYFUNCTION("""COMPUTED_VALUE"""),14.14)</f>
        <v>14.14</v>
      </c>
      <c r="H11488" s="17"/>
      <c r="K11488" s="17"/>
      <c r="N11488" s="17"/>
    </row>
    <row r="11489">
      <c r="B11489" s="11">
        <f>IFERROR(__xludf.DUMMYFUNCTION("""COMPUTED_VALUE"""),29942.0)</f>
        <v>29942</v>
      </c>
      <c r="C11489" s="9">
        <f>IFERROR(__xludf.DUMMYFUNCTION("""COMPUTED_VALUE"""),14.02)</f>
        <v>14.02</v>
      </c>
      <c r="H11489" s="17"/>
      <c r="K11489" s="17"/>
      <c r="N11489" s="17"/>
    </row>
    <row r="11490">
      <c r="B11490" s="11">
        <f>IFERROR(__xludf.DUMMYFUNCTION("""COMPUTED_VALUE"""),29941.0)</f>
        <v>29941</v>
      </c>
      <c r="C11490" s="9">
        <f>IFERROR(__xludf.DUMMYFUNCTION("""COMPUTED_VALUE"""),13.83)</f>
        <v>13.83</v>
      </c>
      <c r="H11490" s="17"/>
      <c r="K11490" s="17"/>
      <c r="N11490" s="17"/>
    </row>
    <row r="11491">
      <c r="B11491" s="11">
        <f>IFERROR(__xludf.DUMMYFUNCTION("""COMPUTED_VALUE"""),29938.0)</f>
        <v>29938</v>
      </c>
      <c r="C11491" s="9">
        <f>IFERROR(__xludf.DUMMYFUNCTION("""COMPUTED_VALUE"""),13.51)</f>
        <v>13.51</v>
      </c>
      <c r="H11491" s="17"/>
      <c r="K11491" s="17"/>
      <c r="N11491" s="17"/>
    </row>
    <row r="11492">
      <c r="B11492" s="11">
        <f>IFERROR(__xludf.DUMMYFUNCTION("""COMPUTED_VALUE"""),29937.0)</f>
        <v>29937</v>
      </c>
      <c r="C11492" s="9">
        <f>IFERROR(__xludf.DUMMYFUNCTION("""COMPUTED_VALUE"""),13.71)</f>
        <v>13.71</v>
      </c>
      <c r="H11492" s="17"/>
      <c r="K11492" s="17"/>
      <c r="N11492" s="17"/>
    </row>
    <row r="11493">
      <c r="B11493" s="11">
        <f>IFERROR(__xludf.DUMMYFUNCTION("""COMPUTED_VALUE"""),29936.0)</f>
        <v>29936</v>
      </c>
      <c r="C11493" s="9">
        <f>IFERROR(__xludf.DUMMYFUNCTION("""COMPUTED_VALUE"""),13.53)</f>
        <v>13.53</v>
      </c>
      <c r="H11493" s="17"/>
      <c r="K11493" s="17"/>
      <c r="N11493" s="17"/>
    </row>
    <row r="11494">
      <c r="B11494" s="11">
        <f>IFERROR(__xludf.DUMMYFUNCTION("""COMPUTED_VALUE"""),29935.0)</f>
        <v>29935</v>
      </c>
      <c r="C11494" s="9">
        <f>IFERROR(__xludf.DUMMYFUNCTION("""COMPUTED_VALUE"""),13.55)</f>
        <v>13.55</v>
      </c>
      <c r="H11494" s="17"/>
      <c r="K11494" s="17"/>
      <c r="N11494" s="17"/>
    </row>
    <row r="11495">
      <c r="B11495" s="11">
        <f>IFERROR(__xludf.DUMMYFUNCTION("""COMPUTED_VALUE"""),29934.0)</f>
        <v>29934</v>
      </c>
      <c r="C11495" s="9">
        <f>IFERROR(__xludf.DUMMYFUNCTION("""COMPUTED_VALUE"""),13.62)</f>
        <v>13.62</v>
      </c>
      <c r="H11495" s="17"/>
      <c r="K11495" s="17"/>
      <c r="N11495" s="17"/>
    </row>
    <row r="11496">
      <c r="B11496" s="11">
        <f>IFERROR(__xludf.DUMMYFUNCTION("""COMPUTED_VALUE"""),29931.0)</f>
        <v>29931</v>
      </c>
      <c r="C11496" s="9">
        <f>IFERROR(__xludf.DUMMYFUNCTION("""COMPUTED_VALUE"""),13.84)</f>
        <v>13.84</v>
      </c>
      <c r="H11496" s="17"/>
      <c r="K11496" s="17"/>
      <c r="N11496" s="17"/>
    </row>
    <row r="11497">
      <c r="B11497" s="11">
        <f>IFERROR(__xludf.DUMMYFUNCTION("""COMPUTED_VALUE"""),29930.0)</f>
        <v>29930</v>
      </c>
      <c r="C11497" s="9">
        <f>IFERROR(__xludf.DUMMYFUNCTION("""COMPUTED_VALUE"""),13.8)</f>
        <v>13.8</v>
      </c>
      <c r="H11497" s="17"/>
      <c r="K11497" s="17"/>
      <c r="N11497" s="17"/>
    </row>
    <row r="11498">
      <c r="B11498" s="11">
        <f>IFERROR(__xludf.DUMMYFUNCTION("""COMPUTED_VALUE"""),29929.0)</f>
        <v>29929</v>
      </c>
      <c r="C11498" s="9">
        <f>IFERROR(__xludf.DUMMYFUNCTION("""COMPUTED_VALUE"""),13.64)</f>
        <v>13.64</v>
      </c>
      <c r="H11498" s="17"/>
      <c r="K11498" s="17"/>
      <c r="N11498" s="17"/>
    </row>
    <row r="11499">
      <c r="B11499" s="11">
        <f>IFERROR(__xludf.DUMMYFUNCTION("""COMPUTED_VALUE"""),29928.0)</f>
        <v>29928</v>
      </c>
      <c r="C11499" s="9">
        <f>IFERROR(__xludf.DUMMYFUNCTION("""COMPUTED_VALUE"""),13.5)</f>
        <v>13.5</v>
      </c>
      <c r="H11499" s="17"/>
      <c r="K11499" s="17"/>
      <c r="N11499" s="17"/>
    </row>
    <row r="11500">
      <c r="B11500" s="11">
        <f>IFERROR(__xludf.DUMMYFUNCTION("""COMPUTED_VALUE"""),29927.0)</f>
        <v>29927</v>
      </c>
      <c r="C11500" s="9">
        <f>IFERROR(__xludf.DUMMYFUNCTION("""COMPUTED_VALUE"""),13.5)</f>
        <v>13.5</v>
      </c>
      <c r="H11500" s="17"/>
      <c r="K11500" s="17"/>
      <c r="N11500" s="17"/>
    </row>
    <row r="11501">
      <c r="B11501" s="11">
        <f>IFERROR(__xludf.DUMMYFUNCTION("""COMPUTED_VALUE"""),29924.0)</f>
        <v>29924</v>
      </c>
      <c r="C11501" s="9">
        <f>IFERROR(__xludf.DUMMYFUNCTION("""COMPUTED_VALUE"""),13.15)</f>
        <v>13.15</v>
      </c>
      <c r="H11501" s="17"/>
      <c r="K11501" s="17"/>
      <c r="N11501" s="17"/>
    </row>
    <row r="11502">
      <c r="B11502" s="11">
        <f>IFERROR(__xludf.DUMMYFUNCTION("""COMPUTED_VALUE"""),29923.0)</f>
        <v>29923</v>
      </c>
      <c r="C11502" s="9">
        <f>IFERROR(__xludf.DUMMYFUNCTION("""COMPUTED_VALUE"""),13.45)</f>
        <v>13.45</v>
      </c>
      <c r="H11502" s="17"/>
      <c r="K11502" s="17"/>
      <c r="N11502" s="17"/>
    </row>
    <row r="11503">
      <c r="B11503" s="11">
        <f>IFERROR(__xludf.DUMMYFUNCTION("""COMPUTED_VALUE"""),29922.0)</f>
        <v>29922</v>
      </c>
      <c r="C11503" s="9">
        <f>IFERROR(__xludf.DUMMYFUNCTION("""COMPUTED_VALUE"""),13.49)</f>
        <v>13.49</v>
      </c>
      <c r="H11503" s="17"/>
      <c r="K11503" s="17"/>
      <c r="N11503" s="17"/>
    </row>
    <row r="11504">
      <c r="B11504" s="11">
        <f>IFERROR(__xludf.DUMMYFUNCTION("""COMPUTED_VALUE"""),29921.0)</f>
        <v>29921</v>
      </c>
      <c r="C11504" s="9">
        <f>IFERROR(__xludf.DUMMYFUNCTION("""COMPUTED_VALUE"""),13.37)</f>
        <v>13.37</v>
      </c>
      <c r="H11504" s="17"/>
      <c r="K11504" s="17"/>
      <c r="N11504" s="17"/>
    </row>
    <row r="11505">
      <c r="B11505" s="11">
        <f>IFERROR(__xludf.DUMMYFUNCTION("""COMPUTED_VALUE"""),29920.0)</f>
        <v>29920</v>
      </c>
      <c r="C11505" s="9">
        <f>IFERROR(__xludf.DUMMYFUNCTION("""COMPUTED_VALUE"""),13.13)</f>
        <v>13.13</v>
      </c>
      <c r="H11505" s="17"/>
      <c r="K11505" s="17"/>
      <c r="N11505" s="17"/>
    </row>
    <row r="11506">
      <c r="B11506" s="11">
        <f>IFERROR(__xludf.DUMMYFUNCTION("""COMPUTED_VALUE"""),29917.0)</f>
        <v>29917</v>
      </c>
      <c r="C11506" s="9">
        <f>IFERROR(__xludf.DUMMYFUNCTION("""COMPUTED_VALUE"""),12.92)</f>
        <v>12.92</v>
      </c>
      <c r="H11506" s="17"/>
      <c r="K11506" s="17"/>
      <c r="N11506" s="17"/>
    </row>
    <row r="11507">
      <c r="B11507" s="11">
        <f>IFERROR(__xludf.DUMMYFUNCTION("""COMPUTED_VALUE"""),29916.0)</f>
        <v>29916</v>
      </c>
      <c r="C11507" s="9"/>
      <c r="H11507" s="17"/>
      <c r="K11507" s="17"/>
      <c r="N11507" s="17"/>
    </row>
    <row r="11508">
      <c r="B11508" s="11">
        <f>IFERROR(__xludf.DUMMYFUNCTION("""COMPUTED_VALUE"""),29915.0)</f>
        <v>29915</v>
      </c>
      <c r="C11508" s="9">
        <f>IFERROR(__xludf.DUMMYFUNCTION("""COMPUTED_VALUE"""),12.98)</f>
        <v>12.98</v>
      </c>
      <c r="H11508" s="17"/>
      <c r="K11508" s="17"/>
      <c r="N11508" s="17"/>
    </row>
    <row r="11509">
      <c r="B11509" s="11">
        <f>IFERROR(__xludf.DUMMYFUNCTION("""COMPUTED_VALUE"""),29914.0)</f>
        <v>29914</v>
      </c>
      <c r="C11509" s="9">
        <f>IFERROR(__xludf.DUMMYFUNCTION("""COMPUTED_VALUE"""),13.13)</f>
        <v>13.13</v>
      </c>
      <c r="H11509" s="17"/>
      <c r="K11509" s="17"/>
      <c r="N11509" s="17"/>
    </row>
    <row r="11510">
      <c r="B11510" s="11">
        <f>IFERROR(__xludf.DUMMYFUNCTION("""COMPUTED_VALUE"""),29913.0)</f>
        <v>29913</v>
      </c>
      <c r="C11510" s="9">
        <f>IFERROR(__xludf.DUMMYFUNCTION("""COMPUTED_VALUE"""),13.44)</f>
        <v>13.44</v>
      </c>
      <c r="H11510" s="17"/>
      <c r="K11510" s="17"/>
      <c r="N11510" s="17"/>
    </row>
    <row r="11511">
      <c r="B11511" s="11">
        <f>IFERROR(__xludf.DUMMYFUNCTION("""COMPUTED_VALUE"""),29910.0)</f>
        <v>29910</v>
      </c>
      <c r="C11511" s="9">
        <f>IFERROR(__xludf.DUMMYFUNCTION("""COMPUTED_VALUE"""),13.14)</f>
        <v>13.14</v>
      </c>
      <c r="H11511" s="17"/>
      <c r="K11511" s="17"/>
      <c r="N11511" s="17"/>
    </row>
    <row r="11512">
      <c r="B11512" s="11">
        <f>IFERROR(__xludf.DUMMYFUNCTION("""COMPUTED_VALUE"""),29909.0)</f>
        <v>29909</v>
      </c>
      <c r="C11512" s="9">
        <f>IFERROR(__xludf.DUMMYFUNCTION("""COMPUTED_VALUE"""),13.04)</f>
        <v>13.04</v>
      </c>
      <c r="H11512" s="17"/>
      <c r="K11512" s="17"/>
      <c r="N11512" s="17"/>
    </row>
    <row r="11513">
      <c r="B11513" s="11">
        <f>IFERROR(__xludf.DUMMYFUNCTION("""COMPUTED_VALUE"""),29908.0)</f>
        <v>29908</v>
      </c>
      <c r="C11513" s="9">
        <f>IFERROR(__xludf.DUMMYFUNCTION("""COMPUTED_VALUE"""),13.0)</f>
        <v>13</v>
      </c>
      <c r="H11513" s="17"/>
      <c r="K11513" s="17"/>
      <c r="N11513" s="17"/>
    </row>
    <row r="11514">
      <c r="B11514" s="11">
        <f>IFERROR(__xludf.DUMMYFUNCTION("""COMPUTED_VALUE"""),29907.0)</f>
        <v>29907</v>
      </c>
      <c r="C11514" s="9">
        <f>IFERROR(__xludf.DUMMYFUNCTION("""COMPUTED_VALUE"""),13.18)</f>
        <v>13.18</v>
      </c>
      <c r="H11514" s="17"/>
      <c r="K11514" s="17"/>
      <c r="N11514" s="17"/>
    </row>
    <row r="11515">
      <c r="B11515" s="11">
        <f>IFERROR(__xludf.DUMMYFUNCTION("""COMPUTED_VALUE"""),29906.0)</f>
        <v>29906</v>
      </c>
      <c r="C11515" s="9">
        <f>IFERROR(__xludf.DUMMYFUNCTION("""COMPUTED_VALUE"""),13.07)</f>
        <v>13.07</v>
      </c>
      <c r="H11515" s="17"/>
      <c r="K11515" s="17"/>
      <c r="N11515" s="17"/>
    </row>
    <row r="11516">
      <c r="B11516" s="11">
        <f>IFERROR(__xludf.DUMMYFUNCTION("""COMPUTED_VALUE"""),29903.0)</f>
        <v>29903</v>
      </c>
      <c r="C11516" s="9">
        <f>IFERROR(__xludf.DUMMYFUNCTION("""COMPUTED_VALUE"""),13.18)</f>
        <v>13.18</v>
      </c>
      <c r="H11516" s="17"/>
      <c r="K11516" s="17"/>
      <c r="N11516" s="17"/>
    </row>
    <row r="11517">
      <c r="B11517" s="11">
        <f>IFERROR(__xludf.DUMMYFUNCTION("""COMPUTED_VALUE"""),29902.0)</f>
        <v>29902</v>
      </c>
      <c r="C11517" s="9">
        <f>IFERROR(__xludf.DUMMYFUNCTION("""COMPUTED_VALUE"""),13.19)</f>
        <v>13.19</v>
      </c>
      <c r="H11517" s="17"/>
      <c r="K11517" s="17"/>
      <c r="N11517" s="17"/>
    </row>
    <row r="11518">
      <c r="B11518" s="11">
        <f>IFERROR(__xludf.DUMMYFUNCTION("""COMPUTED_VALUE"""),29901.0)</f>
        <v>29901</v>
      </c>
      <c r="C11518" s="9"/>
      <c r="H11518" s="17"/>
      <c r="K11518" s="17"/>
      <c r="N11518" s="17"/>
    </row>
    <row r="11519">
      <c r="B11519" s="11">
        <f>IFERROR(__xludf.DUMMYFUNCTION("""COMPUTED_VALUE"""),29900.0)</f>
        <v>29900</v>
      </c>
      <c r="C11519" s="9">
        <f>IFERROR(__xludf.DUMMYFUNCTION("""COMPUTED_VALUE"""),13.4)</f>
        <v>13.4</v>
      </c>
      <c r="H11519" s="17"/>
      <c r="K11519" s="17"/>
      <c r="N11519" s="17"/>
    </row>
    <row r="11520">
      <c r="B11520" s="11">
        <f>IFERROR(__xludf.DUMMYFUNCTION("""COMPUTED_VALUE"""),29899.0)</f>
        <v>29899</v>
      </c>
      <c r="C11520" s="9">
        <f>IFERROR(__xludf.DUMMYFUNCTION("""COMPUTED_VALUE"""),13.39)</f>
        <v>13.39</v>
      </c>
      <c r="H11520" s="17"/>
      <c r="K11520" s="17"/>
      <c r="N11520" s="17"/>
    </row>
    <row r="11521">
      <c r="B11521" s="11">
        <f>IFERROR(__xludf.DUMMYFUNCTION("""COMPUTED_VALUE"""),29896.0)</f>
        <v>29896</v>
      </c>
      <c r="C11521" s="9">
        <f>IFERROR(__xludf.DUMMYFUNCTION("""COMPUTED_VALUE"""),13.94)</f>
        <v>13.94</v>
      </c>
      <c r="H11521" s="17"/>
      <c r="K11521" s="17"/>
      <c r="N11521" s="17"/>
    </row>
    <row r="11522">
      <c r="B11522" s="11">
        <f>IFERROR(__xludf.DUMMYFUNCTION("""COMPUTED_VALUE"""),29895.0)</f>
        <v>29895</v>
      </c>
      <c r="C11522" s="9">
        <f>IFERROR(__xludf.DUMMYFUNCTION("""COMPUTED_VALUE"""),14.19)</f>
        <v>14.19</v>
      </c>
      <c r="H11522" s="17"/>
      <c r="K11522" s="17"/>
      <c r="N11522" s="17"/>
    </row>
    <row r="11523">
      <c r="B11523" s="11">
        <f>IFERROR(__xludf.DUMMYFUNCTION("""COMPUTED_VALUE"""),29894.0)</f>
        <v>29894</v>
      </c>
      <c r="C11523" s="9">
        <f>IFERROR(__xludf.DUMMYFUNCTION("""COMPUTED_VALUE"""),14.18)</f>
        <v>14.18</v>
      </c>
      <c r="H11523" s="17"/>
      <c r="K11523" s="17"/>
      <c r="N11523" s="17"/>
    </row>
    <row r="11524">
      <c r="B11524" s="11">
        <f>IFERROR(__xludf.DUMMYFUNCTION("""COMPUTED_VALUE"""),29893.0)</f>
        <v>29893</v>
      </c>
      <c r="C11524" s="9"/>
      <c r="H11524" s="17"/>
      <c r="K11524" s="17"/>
      <c r="N11524" s="17"/>
    </row>
    <row r="11525">
      <c r="B11525" s="11">
        <f>IFERROR(__xludf.DUMMYFUNCTION("""COMPUTED_VALUE"""),29892.0)</f>
        <v>29892</v>
      </c>
      <c r="C11525" s="9">
        <f>IFERROR(__xludf.DUMMYFUNCTION("""COMPUTED_VALUE"""),14.57)</f>
        <v>14.57</v>
      </c>
      <c r="H11525" s="17"/>
      <c r="K11525" s="17"/>
      <c r="N11525" s="17"/>
    </row>
    <row r="11526">
      <c r="B11526" s="11">
        <f>IFERROR(__xludf.DUMMYFUNCTION("""COMPUTED_VALUE"""),29889.0)</f>
        <v>29889</v>
      </c>
      <c r="C11526" s="9">
        <f>IFERROR(__xludf.DUMMYFUNCTION("""COMPUTED_VALUE"""),14.63)</f>
        <v>14.63</v>
      </c>
      <c r="H11526" s="17"/>
      <c r="K11526" s="17"/>
      <c r="N11526" s="17"/>
    </row>
    <row r="11527">
      <c r="B11527" s="11">
        <f>IFERROR(__xludf.DUMMYFUNCTION("""COMPUTED_VALUE"""),29888.0)</f>
        <v>29888</v>
      </c>
      <c r="C11527" s="9">
        <f>IFERROR(__xludf.DUMMYFUNCTION("""COMPUTED_VALUE"""),15.06)</f>
        <v>15.06</v>
      </c>
      <c r="H11527" s="17"/>
      <c r="K11527" s="17"/>
      <c r="N11527" s="17"/>
    </row>
    <row r="11528">
      <c r="B11528" s="11">
        <f>IFERROR(__xludf.DUMMYFUNCTION("""COMPUTED_VALUE"""),29887.0)</f>
        <v>29887</v>
      </c>
      <c r="C11528" s="9">
        <f>IFERROR(__xludf.DUMMYFUNCTION("""COMPUTED_VALUE"""),15.44)</f>
        <v>15.44</v>
      </c>
      <c r="H11528" s="17"/>
      <c r="K11528" s="17"/>
      <c r="N11528" s="17"/>
    </row>
    <row r="11529">
      <c r="B11529" s="11">
        <f>IFERROR(__xludf.DUMMYFUNCTION("""COMPUTED_VALUE"""),29886.0)</f>
        <v>29886</v>
      </c>
      <c r="C11529" s="9">
        <f>IFERROR(__xludf.DUMMYFUNCTION("""COMPUTED_VALUE"""),15.54)</f>
        <v>15.54</v>
      </c>
      <c r="H11529" s="17"/>
      <c r="K11529" s="17"/>
      <c r="N11529" s="17"/>
    </row>
    <row r="11530">
      <c r="B11530" s="11">
        <f>IFERROR(__xludf.DUMMYFUNCTION("""COMPUTED_VALUE"""),29885.0)</f>
        <v>29885</v>
      </c>
      <c r="C11530" s="9">
        <f>IFERROR(__xludf.DUMMYFUNCTION("""COMPUTED_VALUE"""),15.6)</f>
        <v>15.6</v>
      </c>
      <c r="H11530" s="17"/>
      <c r="K11530" s="17"/>
      <c r="N11530" s="17"/>
    </row>
    <row r="11531">
      <c r="B11531" s="11">
        <f>IFERROR(__xludf.DUMMYFUNCTION("""COMPUTED_VALUE"""),29882.0)</f>
        <v>29882</v>
      </c>
      <c r="C11531" s="9">
        <f>IFERROR(__xludf.DUMMYFUNCTION("""COMPUTED_VALUE"""),15.3)</f>
        <v>15.3</v>
      </c>
      <c r="H11531" s="17"/>
      <c r="K11531" s="17"/>
      <c r="N11531" s="17"/>
    </row>
    <row r="11532">
      <c r="B11532" s="11">
        <f>IFERROR(__xludf.DUMMYFUNCTION("""COMPUTED_VALUE"""),29881.0)</f>
        <v>29881</v>
      </c>
      <c r="C11532" s="9">
        <f>IFERROR(__xludf.DUMMYFUNCTION("""COMPUTED_VALUE"""),15.38)</f>
        <v>15.38</v>
      </c>
      <c r="H11532" s="17"/>
      <c r="K11532" s="17"/>
      <c r="N11532" s="17"/>
    </row>
    <row r="11533">
      <c r="B11533" s="11">
        <f>IFERROR(__xludf.DUMMYFUNCTION("""COMPUTED_VALUE"""),29880.0)</f>
        <v>29880</v>
      </c>
      <c r="C11533" s="9">
        <f>IFERROR(__xludf.DUMMYFUNCTION("""COMPUTED_VALUE"""),15.34)</f>
        <v>15.34</v>
      </c>
      <c r="H11533" s="17"/>
      <c r="K11533" s="17"/>
      <c r="N11533" s="17"/>
    </row>
    <row r="11534">
      <c r="B11534" s="11">
        <f>IFERROR(__xludf.DUMMYFUNCTION("""COMPUTED_VALUE"""),29879.0)</f>
        <v>29879</v>
      </c>
      <c r="C11534" s="9">
        <f>IFERROR(__xludf.DUMMYFUNCTION("""COMPUTED_VALUE"""),15.09)</f>
        <v>15.09</v>
      </c>
      <c r="H11534" s="17"/>
      <c r="K11534" s="17"/>
      <c r="N11534" s="17"/>
    </row>
    <row r="11535">
      <c r="B11535" s="11">
        <f>IFERROR(__xludf.DUMMYFUNCTION("""COMPUTED_VALUE"""),29878.0)</f>
        <v>29878</v>
      </c>
      <c r="C11535" s="9">
        <f>IFERROR(__xludf.DUMMYFUNCTION("""COMPUTED_VALUE"""),14.95)</f>
        <v>14.95</v>
      </c>
      <c r="H11535" s="17"/>
      <c r="K11535" s="17"/>
      <c r="N11535" s="17"/>
    </row>
    <row r="11536">
      <c r="B11536" s="11">
        <f>IFERROR(__xludf.DUMMYFUNCTION("""COMPUTED_VALUE"""),29875.0)</f>
        <v>29875</v>
      </c>
      <c r="C11536" s="9">
        <f>IFERROR(__xludf.DUMMYFUNCTION("""COMPUTED_VALUE"""),14.94)</f>
        <v>14.94</v>
      </c>
      <c r="H11536" s="17"/>
      <c r="K11536" s="17"/>
      <c r="N11536" s="17"/>
    </row>
    <row r="11537">
      <c r="B11537" s="11">
        <f>IFERROR(__xludf.DUMMYFUNCTION("""COMPUTED_VALUE"""),29874.0)</f>
        <v>29874</v>
      </c>
      <c r="C11537" s="9">
        <f>IFERROR(__xludf.DUMMYFUNCTION("""COMPUTED_VALUE"""),14.88)</f>
        <v>14.88</v>
      </c>
      <c r="H11537" s="17"/>
      <c r="K11537" s="17"/>
      <c r="N11537" s="17"/>
    </row>
    <row r="11538">
      <c r="B11538" s="11">
        <f>IFERROR(__xludf.DUMMYFUNCTION("""COMPUTED_VALUE"""),29873.0)</f>
        <v>29873</v>
      </c>
      <c r="C11538" s="9">
        <f>IFERROR(__xludf.DUMMYFUNCTION("""COMPUTED_VALUE"""),14.87)</f>
        <v>14.87</v>
      </c>
      <c r="H11538" s="17"/>
      <c r="K11538" s="17"/>
      <c r="N11538" s="17"/>
    </row>
    <row r="11539">
      <c r="B11539" s="11">
        <f>IFERROR(__xludf.DUMMYFUNCTION("""COMPUTED_VALUE"""),29872.0)</f>
        <v>29872</v>
      </c>
      <c r="C11539" s="9">
        <f>IFERROR(__xludf.DUMMYFUNCTION("""COMPUTED_VALUE"""),14.83)</f>
        <v>14.83</v>
      </c>
      <c r="H11539" s="17"/>
      <c r="K11539" s="17"/>
      <c r="N11539" s="17"/>
    </row>
    <row r="11540">
      <c r="B11540" s="11">
        <f>IFERROR(__xludf.DUMMYFUNCTION("""COMPUTED_VALUE"""),29871.0)</f>
        <v>29871</v>
      </c>
      <c r="C11540" s="9"/>
      <c r="H11540" s="17"/>
      <c r="K11540" s="17"/>
      <c r="N11540" s="17"/>
    </row>
    <row r="11541">
      <c r="B11541" s="11">
        <f>IFERROR(__xludf.DUMMYFUNCTION("""COMPUTED_VALUE"""),29868.0)</f>
        <v>29868</v>
      </c>
      <c r="C11541" s="9">
        <f>IFERROR(__xludf.DUMMYFUNCTION("""COMPUTED_VALUE"""),14.73)</f>
        <v>14.73</v>
      </c>
      <c r="H11541" s="17"/>
      <c r="K11541" s="17"/>
      <c r="N11541" s="17"/>
    </row>
    <row r="11542">
      <c r="B11542" s="11">
        <f>IFERROR(__xludf.DUMMYFUNCTION("""COMPUTED_VALUE"""),29867.0)</f>
        <v>29867</v>
      </c>
      <c r="C11542" s="9">
        <f>IFERROR(__xludf.DUMMYFUNCTION("""COMPUTED_VALUE"""),15.0)</f>
        <v>15</v>
      </c>
      <c r="H11542" s="17"/>
      <c r="K11542" s="17"/>
      <c r="N11542" s="17"/>
    </row>
    <row r="11543">
      <c r="B11543" s="11">
        <f>IFERROR(__xludf.DUMMYFUNCTION("""COMPUTED_VALUE"""),29866.0)</f>
        <v>29866</v>
      </c>
      <c r="C11543" s="9">
        <f>IFERROR(__xludf.DUMMYFUNCTION("""COMPUTED_VALUE"""),15.04)</f>
        <v>15.04</v>
      </c>
      <c r="H11543" s="17"/>
      <c r="K11543" s="17"/>
      <c r="N11543" s="17"/>
    </row>
    <row r="11544">
      <c r="B11544" s="11">
        <f>IFERROR(__xludf.DUMMYFUNCTION("""COMPUTED_VALUE"""),29865.0)</f>
        <v>29865</v>
      </c>
      <c r="C11544" s="9">
        <f>IFERROR(__xludf.DUMMYFUNCTION("""COMPUTED_VALUE"""),15.14)</f>
        <v>15.14</v>
      </c>
      <c r="H11544" s="17"/>
      <c r="K11544" s="17"/>
      <c r="N11544" s="17"/>
    </row>
    <row r="11545">
      <c r="B11545" s="11">
        <f>IFERROR(__xludf.DUMMYFUNCTION("""COMPUTED_VALUE"""),29864.0)</f>
        <v>29864</v>
      </c>
      <c r="C11545" s="9">
        <f>IFERROR(__xludf.DUMMYFUNCTION("""COMPUTED_VALUE"""),15.19)</f>
        <v>15.19</v>
      </c>
      <c r="H11545" s="17"/>
      <c r="K11545" s="17"/>
      <c r="N11545" s="17"/>
    </row>
    <row r="11546">
      <c r="B11546" s="11">
        <f>IFERROR(__xludf.DUMMYFUNCTION("""COMPUTED_VALUE"""),29861.0)</f>
        <v>29861</v>
      </c>
      <c r="C11546" s="9">
        <f>IFERROR(__xludf.DUMMYFUNCTION("""COMPUTED_VALUE"""),15.41)</f>
        <v>15.41</v>
      </c>
      <c r="H11546" s="17"/>
      <c r="K11546" s="17"/>
      <c r="N11546" s="17"/>
    </row>
    <row r="11547">
      <c r="B11547" s="11">
        <f>IFERROR(__xludf.DUMMYFUNCTION("""COMPUTED_VALUE"""),29860.0)</f>
        <v>29860</v>
      </c>
      <c r="C11547" s="9">
        <f>IFERROR(__xludf.DUMMYFUNCTION("""COMPUTED_VALUE"""),15.75)</f>
        <v>15.75</v>
      </c>
      <c r="H11547" s="17"/>
      <c r="K11547" s="17"/>
      <c r="N11547" s="17"/>
    </row>
    <row r="11548">
      <c r="B11548" s="11">
        <f>IFERROR(__xludf.DUMMYFUNCTION("""COMPUTED_VALUE"""),29859.0)</f>
        <v>29859</v>
      </c>
      <c r="C11548" s="9">
        <f>IFERROR(__xludf.DUMMYFUNCTION("""COMPUTED_VALUE"""),15.84)</f>
        <v>15.84</v>
      </c>
      <c r="H11548" s="17"/>
      <c r="K11548" s="17"/>
      <c r="N11548" s="17"/>
    </row>
    <row r="11549">
      <c r="B11549" s="11">
        <f>IFERROR(__xludf.DUMMYFUNCTION("""COMPUTED_VALUE"""),29858.0)</f>
        <v>29858</v>
      </c>
      <c r="C11549" s="9">
        <f>IFERROR(__xludf.DUMMYFUNCTION("""COMPUTED_VALUE"""),15.76)</f>
        <v>15.76</v>
      </c>
      <c r="H11549" s="17"/>
      <c r="K11549" s="17"/>
      <c r="N11549" s="17"/>
    </row>
    <row r="11550">
      <c r="B11550" s="11">
        <f>IFERROR(__xludf.DUMMYFUNCTION("""COMPUTED_VALUE"""),29857.0)</f>
        <v>29857</v>
      </c>
      <c r="C11550" s="9">
        <f>IFERROR(__xludf.DUMMYFUNCTION("""COMPUTED_VALUE"""),15.65)</f>
        <v>15.65</v>
      </c>
      <c r="H11550" s="17"/>
      <c r="K11550" s="17"/>
      <c r="N11550" s="17"/>
    </row>
    <row r="11551">
      <c r="B11551" s="11">
        <f>IFERROR(__xludf.DUMMYFUNCTION("""COMPUTED_VALUE"""),29854.0)</f>
        <v>29854</v>
      </c>
      <c r="C11551" s="9">
        <f>IFERROR(__xludf.DUMMYFUNCTION("""COMPUTED_VALUE"""),15.68)</f>
        <v>15.68</v>
      </c>
      <c r="H11551" s="17"/>
      <c r="K11551" s="17"/>
      <c r="N11551" s="17"/>
    </row>
    <row r="11552">
      <c r="B11552" s="11">
        <f>IFERROR(__xludf.DUMMYFUNCTION("""COMPUTED_VALUE"""),29853.0)</f>
        <v>29853</v>
      </c>
      <c r="C11552" s="9">
        <f>IFERROR(__xludf.DUMMYFUNCTION("""COMPUTED_VALUE"""),15.31)</f>
        <v>15.31</v>
      </c>
      <c r="H11552" s="17"/>
      <c r="K11552" s="17"/>
      <c r="N11552" s="17"/>
    </row>
    <row r="11553">
      <c r="B11553" s="11">
        <f>IFERROR(__xludf.DUMMYFUNCTION("""COMPUTED_VALUE"""),29852.0)</f>
        <v>29852</v>
      </c>
      <c r="C11553" s="9">
        <f>IFERROR(__xludf.DUMMYFUNCTION("""COMPUTED_VALUE"""),15.23)</f>
        <v>15.23</v>
      </c>
      <c r="H11553" s="17"/>
      <c r="K11553" s="17"/>
      <c r="N11553" s="17"/>
    </row>
    <row r="11554">
      <c r="B11554" s="11">
        <f>IFERROR(__xludf.DUMMYFUNCTION("""COMPUTED_VALUE"""),29851.0)</f>
        <v>29851</v>
      </c>
      <c r="C11554" s="9">
        <f>IFERROR(__xludf.DUMMYFUNCTION("""COMPUTED_VALUE"""),15.03)</f>
        <v>15.03</v>
      </c>
      <c r="H11554" s="17"/>
      <c r="K11554" s="17"/>
      <c r="N11554" s="17"/>
    </row>
    <row r="11555">
      <c r="B11555" s="11">
        <f>IFERROR(__xludf.DUMMYFUNCTION("""COMPUTED_VALUE"""),29850.0)</f>
        <v>29850</v>
      </c>
      <c r="C11555" s="9">
        <f>IFERROR(__xludf.DUMMYFUNCTION("""COMPUTED_VALUE"""),14.78)</f>
        <v>14.78</v>
      </c>
      <c r="H11555" s="17"/>
      <c r="K11555" s="17"/>
      <c r="N11555" s="17"/>
    </row>
    <row r="11556">
      <c r="B11556" s="11">
        <f>IFERROR(__xludf.DUMMYFUNCTION("""COMPUTED_VALUE"""),29847.0)</f>
        <v>29847</v>
      </c>
      <c r="C11556" s="9">
        <f>IFERROR(__xludf.DUMMYFUNCTION("""COMPUTED_VALUE"""),14.91)</f>
        <v>14.91</v>
      </c>
      <c r="H11556" s="17"/>
      <c r="K11556" s="17"/>
      <c r="N11556" s="17"/>
    </row>
    <row r="11557">
      <c r="B11557" s="11">
        <f>IFERROR(__xludf.DUMMYFUNCTION("""COMPUTED_VALUE"""),29846.0)</f>
        <v>29846</v>
      </c>
      <c r="C11557" s="9">
        <f>IFERROR(__xludf.DUMMYFUNCTION("""COMPUTED_VALUE"""),14.95)</f>
        <v>14.95</v>
      </c>
      <c r="H11557" s="17"/>
      <c r="K11557" s="17"/>
      <c r="N11557" s="17"/>
    </row>
    <row r="11558">
      <c r="B11558" s="11">
        <f>IFERROR(__xludf.DUMMYFUNCTION("""COMPUTED_VALUE"""),29845.0)</f>
        <v>29845</v>
      </c>
      <c r="C11558" s="9">
        <f>IFERROR(__xludf.DUMMYFUNCTION("""COMPUTED_VALUE"""),15.11)</f>
        <v>15.11</v>
      </c>
      <c r="H11558" s="17"/>
      <c r="K11558" s="17"/>
      <c r="N11558" s="17"/>
    </row>
    <row r="11559">
      <c r="B11559" s="11">
        <f>IFERROR(__xludf.DUMMYFUNCTION("""COMPUTED_VALUE"""),29844.0)</f>
        <v>29844</v>
      </c>
      <c r="C11559" s="9">
        <f>IFERROR(__xludf.DUMMYFUNCTION("""COMPUTED_VALUE"""),15.08)</f>
        <v>15.08</v>
      </c>
      <c r="H11559" s="17"/>
      <c r="K11559" s="17"/>
      <c r="N11559" s="17"/>
    </row>
    <row r="11560">
      <c r="B11560" s="11">
        <f>IFERROR(__xludf.DUMMYFUNCTION("""COMPUTED_VALUE"""),29843.0)</f>
        <v>29843</v>
      </c>
      <c r="C11560" s="9">
        <f>IFERROR(__xludf.DUMMYFUNCTION("""COMPUTED_VALUE"""),15.2)</f>
        <v>15.2</v>
      </c>
      <c r="H11560" s="17"/>
      <c r="K11560" s="17"/>
      <c r="N11560" s="17"/>
    </row>
    <row r="11561">
      <c r="B11561" s="11">
        <f>IFERROR(__xludf.DUMMYFUNCTION("""COMPUTED_VALUE"""),29840.0)</f>
        <v>29840</v>
      </c>
      <c r="C11561" s="9">
        <f>IFERROR(__xludf.DUMMYFUNCTION("""COMPUTED_VALUE"""),15.05)</f>
        <v>15.05</v>
      </c>
      <c r="H11561" s="17"/>
      <c r="K11561" s="17"/>
      <c r="N11561" s="17"/>
    </row>
    <row r="11562">
      <c r="B11562" s="11">
        <f>IFERROR(__xludf.DUMMYFUNCTION("""COMPUTED_VALUE"""),29839.0)</f>
        <v>29839</v>
      </c>
      <c r="C11562" s="9">
        <f>IFERROR(__xludf.DUMMYFUNCTION("""COMPUTED_VALUE"""),15.3)</f>
        <v>15.3</v>
      </c>
      <c r="H11562" s="17"/>
      <c r="K11562" s="17"/>
      <c r="N11562" s="17"/>
    </row>
    <row r="11563">
      <c r="B11563" s="11">
        <f>IFERROR(__xludf.DUMMYFUNCTION("""COMPUTED_VALUE"""),29838.0)</f>
        <v>29838</v>
      </c>
      <c r="C11563" s="9">
        <f>IFERROR(__xludf.DUMMYFUNCTION("""COMPUTED_VALUE"""),15.53)</f>
        <v>15.53</v>
      </c>
      <c r="H11563" s="17"/>
      <c r="K11563" s="17"/>
      <c r="N11563" s="17"/>
    </row>
    <row r="11564">
      <c r="B11564" s="11">
        <f>IFERROR(__xludf.DUMMYFUNCTION("""COMPUTED_VALUE"""),29837.0)</f>
        <v>29837</v>
      </c>
      <c r="C11564" s="9">
        <f>IFERROR(__xludf.DUMMYFUNCTION("""COMPUTED_VALUE"""),15.59)</f>
        <v>15.59</v>
      </c>
      <c r="H11564" s="17"/>
      <c r="K11564" s="17"/>
      <c r="N11564" s="17"/>
    </row>
    <row r="11565">
      <c r="B11565" s="11">
        <f>IFERROR(__xludf.DUMMYFUNCTION("""COMPUTED_VALUE"""),29836.0)</f>
        <v>29836</v>
      </c>
      <c r="C11565" s="9"/>
      <c r="H11565" s="17"/>
      <c r="K11565" s="17"/>
      <c r="N11565" s="17"/>
    </row>
    <row r="11566">
      <c r="B11566" s="11">
        <f>IFERROR(__xludf.DUMMYFUNCTION("""COMPUTED_VALUE"""),29833.0)</f>
        <v>29833</v>
      </c>
      <c r="C11566" s="9">
        <f>IFERROR(__xludf.DUMMYFUNCTION("""COMPUTED_VALUE"""),15.51)</f>
        <v>15.51</v>
      </c>
      <c r="H11566" s="17"/>
      <c r="K11566" s="17"/>
      <c r="N11566" s="17"/>
    </row>
    <row r="11567">
      <c r="B11567" s="11">
        <f>IFERROR(__xludf.DUMMYFUNCTION("""COMPUTED_VALUE"""),29832.0)</f>
        <v>29832</v>
      </c>
      <c r="C11567" s="9">
        <f>IFERROR(__xludf.DUMMYFUNCTION("""COMPUTED_VALUE"""),15.48)</f>
        <v>15.48</v>
      </c>
      <c r="H11567" s="17"/>
      <c r="K11567" s="17"/>
      <c r="N11567" s="17"/>
    </row>
    <row r="11568">
      <c r="B11568" s="11">
        <f>IFERROR(__xludf.DUMMYFUNCTION("""COMPUTED_VALUE"""),29831.0)</f>
        <v>29831</v>
      </c>
      <c r="C11568" s="9">
        <f>IFERROR(__xludf.DUMMYFUNCTION("""COMPUTED_VALUE"""),15.4)</f>
        <v>15.4</v>
      </c>
      <c r="H11568" s="17"/>
      <c r="K11568" s="17"/>
      <c r="N11568" s="17"/>
    </row>
    <row r="11569">
      <c r="B11569" s="11">
        <f>IFERROR(__xludf.DUMMYFUNCTION("""COMPUTED_VALUE"""),29830.0)</f>
        <v>29830</v>
      </c>
      <c r="C11569" s="9">
        <f>IFERROR(__xludf.DUMMYFUNCTION("""COMPUTED_VALUE"""),15.41)</f>
        <v>15.41</v>
      </c>
      <c r="H11569" s="17"/>
      <c r="K11569" s="17"/>
      <c r="N11569" s="17"/>
    </row>
    <row r="11570">
      <c r="B11570" s="11">
        <f>IFERROR(__xludf.DUMMYFUNCTION("""COMPUTED_VALUE"""),29829.0)</f>
        <v>29829</v>
      </c>
      <c r="C11570" s="9">
        <f>IFERROR(__xludf.DUMMYFUNCTION("""COMPUTED_VALUE"""),15.41)</f>
        <v>15.41</v>
      </c>
      <c r="H11570" s="17"/>
      <c r="K11570" s="17"/>
      <c r="N11570" s="17"/>
    </row>
    <row r="11571">
      <c r="B11571" s="11">
        <f>IFERROR(__xludf.DUMMYFUNCTION("""COMPUTED_VALUE"""),29826.0)</f>
        <v>29826</v>
      </c>
      <c r="C11571" s="9">
        <f>IFERROR(__xludf.DUMMYFUNCTION("""COMPUTED_VALUE"""),15.25)</f>
        <v>15.25</v>
      </c>
      <c r="H11571" s="17"/>
      <c r="K11571" s="17"/>
      <c r="N11571" s="17"/>
    </row>
    <row r="11572">
      <c r="B11572" s="11">
        <f>IFERROR(__xludf.DUMMYFUNCTION("""COMPUTED_VALUE"""),29825.0)</f>
        <v>29825</v>
      </c>
      <c r="C11572" s="9">
        <f>IFERROR(__xludf.DUMMYFUNCTION("""COMPUTED_VALUE"""),15.36)</f>
        <v>15.36</v>
      </c>
      <c r="H11572" s="17"/>
      <c r="K11572" s="17"/>
      <c r="N11572" s="17"/>
    </row>
    <row r="11573">
      <c r="B11573" s="11">
        <f>IFERROR(__xludf.DUMMYFUNCTION("""COMPUTED_VALUE"""),29824.0)</f>
        <v>29824</v>
      </c>
      <c r="C11573" s="9">
        <f>IFERROR(__xludf.DUMMYFUNCTION("""COMPUTED_VALUE"""),15.31)</f>
        <v>15.31</v>
      </c>
      <c r="H11573" s="17"/>
      <c r="K11573" s="17"/>
      <c r="N11573" s="17"/>
    </row>
    <row r="11574">
      <c r="B11574" s="11">
        <f>IFERROR(__xludf.DUMMYFUNCTION("""COMPUTED_VALUE"""),29823.0)</f>
        <v>29823</v>
      </c>
      <c r="C11574" s="9">
        <f>IFERROR(__xludf.DUMMYFUNCTION("""COMPUTED_VALUE"""),15.35)</f>
        <v>15.35</v>
      </c>
      <c r="H11574" s="17"/>
      <c r="K11574" s="17"/>
      <c r="N11574" s="17"/>
    </row>
    <row r="11575">
      <c r="B11575" s="11">
        <f>IFERROR(__xludf.DUMMYFUNCTION("""COMPUTED_VALUE"""),29822.0)</f>
        <v>29822</v>
      </c>
      <c r="C11575" s="9">
        <f>IFERROR(__xludf.DUMMYFUNCTION("""COMPUTED_VALUE"""),15.32)</f>
        <v>15.32</v>
      </c>
      <c r="H11575" s="17"/>
      <c r="K11575" s="17"/>
      <c r="N11575" s="17"/>
    </row>
    <row r="11576">
      <c r="B11576" s="11">
        <f>IFERROR(__xludf.DUMMYFUNCTION("""COMPUTED_VALUE"""),29819.0)</f>
        <v>29819</v>
      </c>
      <c r="C11576" s="9">
        <f>IFERROR(__xludf.DUMMYFUNCTION("""COMPUTED_VALUE"""),14.97)</f>
        <v>14.97</v>
      </c>
      <c r="H11576" s="17"/>
      <c r="K11576" s="17"/>
      <c r="N11576" s="17"/>
    </row>
    <row r="11577">
      <c r="B11577" s="11">
        <f>IFERROR(__xludf.DUMMYFUNCTION("""COMPUTED_VALUE"""),29818.0)</f>
        <v>29818</v>
      </c>
      <c r="C11577" s="9">
        <f>IFERROR(__xludf.DUMMYFUNCTION("""COMPUTED_VALUE"""),14.89)</f>
        <v>14.89</v>
      </c>
      <c r="H11577" s="17"/>
      <c r="K11577" s="17"/>
      <c r="N11577" s="17"/>
    </row>
    <row r="11578">
      <c r="B11578" s="11">
        <f>IFERROR(__xludf.DUMMYFUNCTION("""COMPUTED_VALUE"""),29817.0)</f>
        <v>29817</v>
      </c>
      <c r="C11578" s="9">
        <f>IFERROR(__xludf.DUMMYFUNCTION("""COMPUTED_VALUE"""),14.77)</f>
        <v>14.77</v>
      </c>
      <c r="H11578" s="17"/>
      <c r="K11578" s="17"/>
      <c r="N11578" s="17"/>
    </row>
    <row r="11579">
      <c r="B11579" s="11">
        <f>IFERROR(__xludf.DUMMYFUNCTION("""COMPUTED_VALUE"""),29816.0)</f>
        <v>29816</v>
      </c>
      <c r="C11579" s="9">
        <f>IFERROR(__xludf.DUMMYFUNCTION("""COMPUTED_VALUE"""),14.79)</f>
        <v>14.79</v>
      </c>
      <c r="H11579" s="17"/>
      <c r="K11579" s="17"/>
      <c r="N11579" s="17"/>
    </row>
    <row r="11580">
      <c r="B11580" s="11">
        <f>IFERROR(__xludf.DUMMYFUNCTION("""COMPUTED_VALUE"""),29815.0)</f>
        <v>29815</v>
      </c>
      <c r="C11580" s="9">
        <f>IFERROR(__xludf.DUMMYFUNCTION("""COMPUTED_VALUE"""),14.71)</f>
        <v>14.71</v>
      </c>
      <c r="H11580" s="17"/>
      <c r="K11580" s="17"/>
      <c r="N11580" s="17"/>
    </row>
    <row r="11581">
      <c r="B11581" s="11">
        <f>IFERROR(__xludf.DUMMYFUNCTION("""COMPUTED_VALUE"""),29812.0)</f>
        <v>29812</v>
      </c>
      <c r="C11581" s="9">
        <f>IFERROR(__xludf.DUMMYFUNCTION("""COMPUTED_VALUE"""),14.74)</f>
        <v>14.74</v>
      </c>
      <c r="H11581" s="17"/>
      <c r="K11581" s="17"/>
      <c r="N11581" s="17"/>
    </row>
    <row r="11582">
      <c r="B11582" s="11">
        <f>IFERROR(__xludf.DUMMYFUNCTION("""COMPUTED_VALUE"""),29811.0)</f>
        <v>29811</v>
      </c>
      <c r="C11582" s="9">
        <f>IFERROR(__xludf.DUMMYFUNCTION("""COMPUTED_VALUE"""),14.65)</f>
        <v>14.65</v>
      </c>
      <c r="H11582" s="17"/>
      <c r="K11582" s="17"/>
      <c r="N11582" s="17"/>
    </row>
    <row r="11583">
      <c r="B11583" s="11">
        <f>IFERROR(__xludf.DUMMYFUNCTION("""COMPUTED_VALUE"""),29810.0)</f>
        <v>29810</v>
      </c>
      <c r="C11583" s="9">
        <f>IFERROR(__xludf.DUMMYFUNCTION("""COMPUTED_VALUE"""),14.61)</f>
        <v>14.61</v>
      </c>
      <c r="H11583" s="17"/>
      <c r="K11583" s="17"/>
      <c r="N11583" s="17"/>
    </row>
    <row r="11584">
      <c r="B11584" s="11">
        <f>IFERROR(__xludf.DUMMYFUNCTION("""COMPUTED_VALUE"""),29809.0)</f>
        <v>29809</v>
      </c>
      <c r="C11584" s="9">
        <f>IFERROR(__xludf.DUMMYFUNCTION("""COMPUTED_VALUE"""),14.4)</f>
        <v>14.4</v>
      </c>
      <c r="H11584" s="17"/>
      <c r="K11584" s="17"/>
      <c r="N11584" s="17"/>
    </row>
    <row r="11585">
      <c r="B11585" s="11">
        <f>IFERROR(__xludf.DUMMYFUNCTION("""COMPUTED_VALUE"""),29808.0)</f>
        <v>29808</v>
      </c>
      <c r="C11585" s="9">
        <f>IFERROR(__xludf.DUMMYFUNCTION("""COMPUTED_VALUE"""),14.65)</f>
        <v>14.65</v>
      </c>
      <c r="H11585" s="17"/>
      <c r="K11585" s="17"/>
      <c r="N11585" s="17"/>
    </row>
    <row r="11586">
      <c r="B11586" s="11">
        <f>IFERROR(__xludf.DUMMYFUNCTION("""COMPUTED_VALUE"""),29805.0)</f>
        <v>29805</v>
      </c>
      <c r="C11586" s="9">
        <f>IFERROR(__xludf.DUMMYFUNCTION("""COMPUTED_VALUE"""),14.83)</f>
        <v>14.83</v>
      </c>
      <c r="H11586" s="17"/>
      <c r="K11586" s="17"/>
      <c r="N11586" s="17"/>
    </row>
    <row r="11587">
      <c r="B11587" s="11">
        <f>IFERROR(__xludf.DUMMYFUNCTION("""COMPUTED_VALUE"""),29804.0)</f>
        <v>29804</v>
      </c>
      <c r="C11587" s="9">
        <f>IFERROR(__xludf.DUMMYFUNCTION("""COMPUTED_VALUE"""),14.86)</f>
        <v>14.86</v>
      </c>
      <c r="H11587" s="17"/>
      <c r="K11587" s="17"/>
      <c r="N11587" s="17"/>
    </row>
    <row r="11588">
      <c r="B11588" s="11">
        <f>IFERROR(__xludf.DUMMYFUNCTION("""COMPUTED_VALUE"""),29803.0)</f>
        <v>29803</v>
      </c>
      <c r="C11588" s="9">
        <f>IFERROR(__xludf.DUMMYFUNCTION("""COMPUTED_VALUE"""),14.91)</f>
        <v>14.91</v>
      </c>
      <c r="H11588" s="17"/>
      <c r="K11588" s="17"/>
      <c r="N11588" s="17"/>
    </row>
    <row r="11589">
      <c r="B11589" s="11">
        <f>IFERROR(__xludf.DUMMYFUNCTION("""COMPUTED_VALUE"""),29802.0)</f>
        <v>29802</v>
      </c>
      <c r="C11589" s="9">
        <f>IFERROR(__xludf.DUMMYFUNCTION("""COMPUTED_VALUE"""),14.95)</f>
        <v>14.95</v>
      </c>
      <c r="H11589" s="17"/>
      <c r="K11589" s="17"/>
      <c r="N11589" s="17"/>
    </row>
    <row r="11590">
      <c r="B11590" s="11">
        <f>IFERROR(__xludf.DUMMYFUNCTION("""COMPUTED_VALUE"""),29801.0)</f>
        <v>29801</v>
      </c>
      <c r="C11590" s="9">
        <f>IFERROR(__xludf.DUMMYFUNCTION("""COMPUTED_VALUE"""),14.95)</f>
        <v>14.95</v>
      </c>
      <c r="H11590" s="17"/>
      <c r="K11590" s="17"/>
      <c r="N11590" s="17"/>
    </row>
    <row r="11591">
      <c r="B11591" s="11">
        <f>IFERROR(__xludf.DUMMYFUNCTION("""COMPUTED_VALUE"""),29798.0)</f>
        <v>29798</v>
      </c>
      <c r="C11591" s="9">
        <f>IFERROR(__xludf.DUMMYFUNCTION("""COMPUTED_VALUE"""),14.67)</f>
        <v>14.67</v>
      </c>
      <c r="H11591" s="17"/>
      <c r="K11591" s="17"/>
      <c r="N11591" s="17"/>
    </row>
    <row r="11592">
      <c r="B11592" s="11">
        <f>IFERROR(__xludf.DUMMYFUNCTION("""COMPUTED_VALUE"""),29797.0)</f>
        <v>29797</v>
      </c>
      <c r="C11592" s="9">
        <f>IFERROR(__xludf.DUMMYFUNCTION("""COMPUTED_VALUE"""),14.71)</f>
        <v>14.71</v>
      </c>
      <c r="H11592" s="17"/>
      <c r="K11592" s="17"/>
      <c r="N11592" s="17"/>
    </row>
    <row r="11593">
      <c r="B11593" s="11">
        <f>IFERROR(__xludf.DUMMYFUNCTION("""COMPUTED_VALUE"""),29796.0)</f>
        <v>29796</v>
      </c>
      <c r="C11593" s="9">
        <f>IFERROR(__xludf.DUMMYFUNCTION("""COMPUTED_VALUE"""),14.61)</f>
        <v>14.61</v>
      </c>
      <c r="H11593" s="17"/>
      <c r="K11593" s="17"/>
      <c r="N11593" s="17"/>
    </row>
    <row r="11594">
      <c r="B11594" s="11">
        <f>IFERROR(__xludf.DUMMYFUNCTION("""COMPUTED_VALUE"""),29795.0)</f>
        <v>29795</v>
      </c>
      <c r="C11594" s="9">
        <f>IFERROR(__xludf.DUMMYFUNCTION("""COMPUTED_VALUE"""),14.53)</f>
        <v>14.53</v>
      </c>
      <c r="H11594" s="17"/>
      <c r="K11594" s="17"/>
      <c r="N11594" s="17"/>
    </row>
    <row r="11595">
      <c r="B11595" s="11">
        <f>IFERROR(__xludf.DUMMYFUNCTION("""COMPUTED_VALUE"""),29794.0)</f>
        <v>29794</v>
      </c>
      <c r="C11595" s="9">
        <f>IFERROR(__xludf.DUMMYFUNCTION("""COMPUTED_VALUE"""),14.43)</f>
        <v>14.43</v>
      </c>
      <c r="H11595" s="17"/>
      <c r="K11595" s="17"/>
      <c r="N11595" s="17"/>
    </row>
    <row r="11596">
      <c r="B11596" s="11">
        <f>IFERROR(__xludf.DUMMYFUNCTION("""COMPUTED_VALUE"""),29791.0)</f>
        <v>29791</v>
      </c>
      <c r="C11596" s="9">
        <f>IFERROR(__xludf.DUMMYFUNCTION("""COMPUTED_VALUE"""),14.41)</f>
        <v>14.41</v>
      </c>
      <c r="H11596" s="17"/>
      <c r="K11596" s="17"/>
      <c r="N11596" s="17"/>
    </row>
    <row r="11597">
      <c r="B11597" s="11">
        <f>IFERROR(__xludf.DUMMYFUNCTION("""COMPUTED_VALUE"""),29790.0)</f>
        <v>29790</v>
      </c>
      <c r="C11597" s="9">
        <f>IFERROR(__xludf.DUMMYFUNCTION("""COMPUTED_VALUE"""),14.57)</f>
        <v>14.57</v>
      </c>
      <c r="H11597" s="17"/>
      <c r="K11597" s="17"/>
      <c r="N11597" s="17"/>
    </row>
    <row r="11598">
      <c r="B11598" s="11">
        <f>IFERROR(__xludf.DUMMYFUNCTION("""COMPUTED_VALUE"""),29789.0)</f>
        <v>29789</v>
      </c>
      <c r="C11598" s="9">
        <f>IFERROR(__xludf.DUMMYFUNCTION("""COMPUTED_VALUE"""),14.63)</f>
        <v>14.63</v>
      </c>
      <c r="H11598" s="17"/>
      <c r="K11598" s="17"/>
      <c r="N11598" s="17"/>
    </row>
    <row r="11599">
      <c r="B11599" s="11">
        <f>IFERROR(__xludf.DUMMYFUNCTION("""COMPUTED_VALUE"""),29788.0)</f>
        <v>29788</v>
      </c>
      <c r="C11599" s="9">
        <f>IFERROR(__xludf.DUMMYFUNCTION("""COMPUTED_VALUE"""),14.61)</f>
        <v>14.61</v>
      </c>
      <c r="H11599" s="17"/>
      <c r="K11599" s="17"/>
      <c r="N11599" s="17"/>
    </row>
    <row r="11600">
      <c r="B11600" s="11">
        <f>IFERROR(__xludf.DUMMYFUNCTION("""COMPUTED_VALUE"""),29787.0)</f>
        <v>29787</v>
      </c>
      <c r="C11600" s="9">
        <f>IFERROR(__xludf.DUMMYFUNCTION("""COMPUTED_VALUE"""),14.59)</f>
        <v>14.59</v>
      </c>
      <c r="H11600" s="17"/>
      <c r="K11600" s="17"/>
      <c r="N11600" s="17"/>
    </row>
    <row r="11601">
      <c r="B11601" s="11">
        <f>IFERROR(__xludf.DUMMYFUNCTION("""COMPUTED_VALUE"""),29784.0)</f>
        <v>29784</v>
      </c>
      <c r="C11601" s="9">
        <f>IFERROR(__xludf.DUMMYFUNCTION("""COMPUTED_VALUE"""),14.09)</f>
        <v>14.09</v>
      </c>
      <c r="H11601" s="17"/>
      <c r="K11601" s="17"/>
      <c r="N11601" s="17"/>
    </row>
    <row r="11602">
      <c r="B11602" s="11">
        <f>IFERROR(__xludf.DUMMYFUNCTION("""COMPUTED_VALUE"""),29783.0)</f>
        <v>29783</v>
      </c>
      <c r="C11602" s="9">
        <f>IFERROR(__xludf.DUMMYFUNCTION("""COMPUTED_VALUE"""),14.11)</f>
        <v>14.11</v>
      </c>
      <c r="H11602" s="17"/>
      <c r="K11602" s="17"/>
      <c r="N11602" s="17"/>
    </row>
    <row r="11603">
      <c r="B11603" s="11">
        <f>IFERROR(__xludf.DUMMYFUNCTION("""COMPUTED_VALUE"""),29782.0)</f>
        <v>29782</v>
      </c>
      <c r="C11603" s="9">
        <f>IFERROR(__xludf.DUMMYFUNCTION("""COMPUTED_VALUE"""),14.07)</f>
        <v>14.07</v>
      </c>
      <c r="H11603" s="17"/>
      <c r="K11603" s="17"/>
      <c r="N11603" s="17"/>
    </row>
    <row r="11604">
      <c r="B11604" s="11">
        <f>IFERROR(__xludf.DUMMYFUNCTION("""COMPUTED_VALUE"""),29781.0)</f>
        <v>29781</v>
      </c>
      <c r="C11604" s="9">
        <f>IFERROR(__xludf.DUMMYFUNCTION("""COMPUTED_VALUE"""),14.15)</f>
        <v>14.15</v>
      </c>
      <c r="H11604" s="17"/>
      <c r="K11604" s="17"/>
      <c r="N11604" s="17"/>
    </row>
    <row r="11605">
      <c r="B11605" s="11">
        <f>IFERROR(__xludf.DUMMYFUNCTION("""COMPUTED_VALUE"""),29780.0)</f>
        <v>29780</v>
      </c>
      <c r="C11605" s="9">
        <f>IFERROR(__xludf.DUMMYFUNCTION("""COMPUTED_VALUE"""),13.99)</f>
        <v>13.99</v>
      </c>
      <c r="H11605" s="17"/>
      <c r="K11605" s="17"/>
      <c r="N11605" s="17"/>
    </row>
    <row r="11606">
      <c r="B11606" s="11">
        <f>IFERROR(__xludf.DUMMYFUNCTION("""COMPUTED_VALUE"""),29777.0)</f>
        <v>29777</v>
      </c>
      <c r="C11606" s="9">
        <f>IFERROR(__xludf.DUMMYFUNCTION("""COMPUTED_VALUE"""),13.94)</f>
        <v>13.94</v>
      </c>
      <c r="H11606" s="17"/>
      <c r="K11606" s="17"/>
      <c r="N11606" s="17"/>
    </row>
    <row r="11607">
      <c r="B11607" s="11">
        <f>IFERROR(__xludf.DUMMYFUNCTION("""COMPUTED_VALUE"""),29776.0)</f>
        <v>29776</v>
      </c>
      <c r="C11607" s="9">
        <f>IFERROR(__xludf.DUMMYFUNCTION("""COMPUTED_VALUE"""),14.12)</f>
        <v>14.12</v>
      </c>
      <c r="H11607" s="17"/>
      <c r="K11607" s="17"/>
      <c r="N11607" s="17"/>
    </row>
    <row r="11608">
      <c r="B11608" s="11">
        <f>IFERROR(__xludf.DUMMYFUNCTION("""COMPUTED_VALUE"""),29775.0)</f>
        <v>29775</v>
      </c>
      <c r="C11608" s="9">
        <f>IFERROR(__xludf.DUMMYFUNCTION("""COMPUTED_VALUE"""),14.11)</f>
        <v>14.11</v>
      </c>
      <c r="H11608" s="17"/>
      <c r="K11608" s="17"/>
      <c r="N11608" s="17"/>
    </row>
    <row r="11609">
      <c r="B11609" s="11">
        <f>IFERROR(__xludf.DUMMYFUNCTION("""COMPUTED_VALUE"""),29774.0)</f>
        <v>29774</v>
      </c>
      <c r="C11609" s="9">
        <f>IFERROR(__xludf.DUMMYFUNCTION("""COMPUTED_VALUE"""),14.04)</f>
        <v>14.04</v>
      </c>
      <c r="H11609" s="17"/>
      <c r="K11609" s="17"/>
      <c r="N11609" s="17"/>
    </row>
    <row r="11610">
      <c r="B11610" s="11">
        <f>IFERROR(__xludf.DUMMYFUNCTION("""COMPUTED_VALUE"""),29773.0)</f>
        <v>29773</v>
      </c>
      <c r="C11610" s="9">
        <f>IFERROR(__xludf.DUMMYFUNCTION("""COMPUTED_VALUE"""),13.81)</f>
        <v>13.81</v>
      </c>
      <c r="H11610" s="17"/>
      <c r="K11610" s="17"/>
      <c r="N11610" s="17"/>
    </row>
    <row r="11611">
      <c r="B11611" s="11">
        <f>IFERROR(__xludf.DUMMYFUNCTION("""COMPUTED_VALUE"""),29770.0)</f>
        <v>29770</v>
      </c>
      <c r="C11611" s="9"/>
      <c r="H11611" s="17"/>
      <c r="K11611" s="17"/>
      <c r="N11611" s="17"/>
    </row>
    <row r="11612">
      <c r="B11612" s="11">
        <f>IFERROR(__xludf.DUMMYFUNCTION("""COMPUTED_VALUE"""),29769.0)</f>
        <v>29769</v>
      </c>
      <c r="C11612" s="9">
        <f>IFERROR(__xludf.DUMMYFUNCTION("""COMPUTED_VALUE"""),13.95)</f>
        <v>13.95</v>
      </c>
      <c r="H11612" s="17"/>
      <c r="K11612" s="17"/>
      <c r="N11612" s="17"/>
    </row>
    <row r="11613">
      <c r="B11613" s="11">
        <f>IFERROR(__xludf.DUMMYFUNCTION("""COMPUTED_VALUE"""),29768.0)</f>
        <v>29768</v>
      </c>
      <c r="C11613" s="9">
        <f>IFERROR(__xludf.DUMMYFUNCTION("""COMPUTED_VALUE"""),14.04)</f>
        <v>14.04</v>
      </c>
      <c r="H11613" s="17"/>
      <c r="K11613" s="17"/>
      <c r="N11613" s="17"/>
    </row>
    <row r="11614">
      <c r="B11614" s="11">
        <f>IFERROR(__xludf.DUMMYFUNCTION("""COMPUTED_VALUE"""),29767.0)</f>
        <v>29767</v>
      </c>
      <c r="C11614" s="9">
        <f>IFERROR(__xludf.DUMMYFUNCTION("""COMPUTED_VALUE"""),13.86)</f>
        <v>13.86</v>
      </c>
      <c r="H11614" s="17"/>
      <c r="K11614" s="17"/>
      <c r="N11614" s="17"/>
    </row>
    <row r="11615">
      <c r="B11615" s="11">
        <f>IFERROR(__xludf.DUMMYFUNCTION("""COMPUTED_VALUE"""),29766.0)</f>
        <v>29766</v>
      </c>
      <c r="C11615" s="9">
        <f>IFERROR(__xludf.DUMMYFUNCTION("""COMPUTED_VALUE"""),13.68)</f>
        <v>13.68</v>
      </c>
      <c r="H11615" s="17"/>
      <c r="K11615" s="17"/>
      <c r="N11615" s="17"/>
    </row>
    <row r="11616">
      <c r="B11616" s="11">
        <f>IFERROR(__xludf.DUMMYFUNCTION("""COMPUTED_VALUE"""),29763.0)</f>
        <v>29763</v>
      </c>
      <c r="C11616" s="9">
        <f>IFERROR(__xludf.DUMMYFUNCTION("""COMPUTED_VALUE"""),13.69)</f>
        <v>13.69</v>
      </c>
      <c r="H11616" s="17"/>
      <c r="K11616" s="17"/>
      <c r="N11616" s="17"/>
    </row>
    <row r="11617">
      <c r="B11617" s="11">
        <f>IFERROR(__xludf.DUMMYFUNCTION("""COMPUTED_VALUE"""),29762.0)</f>
        <v>29762</v>
      </c>
      <c r="C11617" s="9">
        <f>IFERROR(__xludf.DUMMYFUNCTION("""COMPUTED_VALUE"""),13.7)</f>
        <v>13.7</v>
      </c>
      <c r="H11617" s="17"/>
      <c r="K11617" s="17"/>
      <c r="N11617" s="17"/>
    </row>
    <row r="11618">
      <c r="B11618" s="11">
        <f>IFERROR(__xludf.DUMMYFUNCTION("""COMPUTED_VALUE"""),29761.0)</f>
        <v>29761</v>
      </c>
      <c r="C11618" s="9">
        <f>IFERROR(__xludf.DUMMYFUNCTION("""COMPUTED_VALUE"""),13.66)</f>
        <v>13.66</v>
      </c>
      <c r="H11618" s="17"/>
      <c r="K11618" s="17"/>
      <c r="N11618" s="17"/>
    </row>
    <row r="11619">
      <c r="B11619" s="11">
        <f>IFERROR(__xludf.DUMMYFUNCTION("""COMPUTED_VALUE"""),29760.0)</f>
        <v>29760</v>
      </c>
      <c r="C11619" s="9">
        <f>IFERROR(__xludf.DUMMYFUNCTION("""COMPUTED_VALUE"""),13.56)</f>
        <v>13.56</v>
      </c>
      <c r="H11619" s="17"/>
      <c r="K11619" s="17"/>
      <c r="N11619" s="17"/>
    </row>
    <row r="11620">
      <c r="B11620" s="11">
        <f>IFERROR(__xludf.DUMMYFUNCTION("""COMPUTED_VALUE"""),29759.0)</f>
        <v>29759</v>
      </c>
      <c r="C11620" s="9">
        <f>IFERROR(__xludf.DUMMYFUNCTION("""COMPUTED_VALUE"""),13.44)</f>
        <v>13.44</v>
      </c>
      <c r="H11620" s="17"/>
      <c r="K11620" s="17"/>
      <c r="N11620" s="17"/>
    </row>
    <row r="11621">
      <c r="B11621" s="11">
        <f>IFERROR(__xludf.DUMMYFUNCTION("""COMPUTED_VALUE"""),29756.0)</f>
        <v>29756</v>
      </c>
      <c r="C11621" s="9">
        <f>IFERROR(__xludf.DUMMYFUNCTION("""COMPUTED_VALUE"""),13.46)</f>
        <v>13.46</v>
      </c>
      <c r="H11621" s="17"/>
      <c r="K11621" s="17"/>
      <c r="N11621" s="17"/>
    </row>
    <row r="11622">
      <c r="B11622" s="11">
        <f>IFERROR(__xludf.DUMMYFUNCTION("""COMPUTED_VALUE"""),29755.0)</f>
        <v>29755</v>
      </c>
      <c r="C11622" s="9">
        <f>IFERROR(__xludf.DUMMYFUNCTION("""COMPUTED_VALUE"""),13.57)</f>
        <v>13.57</v>
      </c>
      <c r="H11622" s="17"/>
      <c r="K11622" s="17"/>
      <c r="N11622" s="17"/>
    </row>
    <row r="11623">
      <c r="B11623" s="11">
        <f>IFERROR(__xludf.DUMMYFUNCTION("""COMPUTED_VALUE"""),29754.0)</f>
        <v>29754</v>
      </c>
      <c r="C11623" s="9">
        <f>IFERROR(__xludf.DUMMYFUNCTION("""COMPUTED_VALUE"""),13.23)</f>
        <v>13.23</v>
      </c>
      <c r="H11623" s="17"/>
      <c r="K11623" s="17"/>
      <c r="N11623" s="17"/>
    </row>
    <row r="11624">
      <c r="B11624" s="11">
        <f>IFERROR(__xludf.DUMMYFUNCTION("""COMPUTED_VALUE"""),29753.0)</f>
        <v>29753</v>
      </c>
      <c r="C11624" s="9">
        <f>IFERROR(__xludf.DUMMYFUNCTION("""COMPUTED_VALUE"""),13.08)</f>
        <v>13.08</v>
      </c>
      <c r="H11624" s="17"/>
      <c r="K11624" s="17"/>
      <c r="N11624" s="17"/>
    </row>
    <row r="11625">
      <c r="B11625" s="11">
        <f>IFERROR(__xludf.DUMMYFUNCTION("""COMPUTED_VALUE"""),29752.0)</f>
        <v>29752</v>
      </c>
      <c r="C11625" s="9">
        <f>IFERROR(__xludf.DUMMYFUNCTION("""COMPUTED_VALUE"""),13.09)</f>
        <v>13.09</v>
      </c>
      <c r="H11625" s="17"/>
      <c r="K11625" s="17"/>
      <c r="N11625" s="17"/>
    </row>
    <row r="11626">
      <c r="B11626" s="11">
        <f>IFERROR(__xludf.DUMMYFUNCTION("""COMPUTED_VALUE"""),29749.0)</f>
        <v>29749</v>
      </c>
      <c r="C11626" s="9">
        <f>IFERROR(__xludf.DUMMYFUNCTION("""COMPUTED_VALUE"""),13.35)</f>
        <v>13.35</v>
      </c>
      <c r="H11626" s="17"/>
      <c r="K11626" s="17"/>
      <c r="N11626" s="17"/>
    </row>
    <row r="11627">
      <c r="B11627" s="11">
        <f>IFERROR(__xludf.DUMMYFUNCTION("""COMPUTED_VALUE"""),29748.0)</f>
        <v>29748</v>
      </c>
      <c r="C11627" s="9">
        <f>IFERROR(__xludf.DUMMYFUNCTION("""COMPUTED_VALUE"""),13.32)</f>
        <v>13.32</v>
      </c>
      <c r="H11627" s="17"/>
      <c r="K11627" s="17"/>
      <c r="N11627" s="17"/>
    </row>
    <row r="11628">
      <c r="B11628" s="11">
        <f>IFERROR(__xludf.DUMMYFUNCTION("""COMPUTED_VALUE"""),29747.0)</f>
        <v>29747</v>
      </c>
      <c r="C11628" s="9">
        <f>IFERROR(__xludf.DUMMYFUNCTION("""COMPUTED_VALUE"""),13.31)</f>
        <v>13.31</v>
      </c>
      <c r="H11628" s="17"/>
      <c r="K11628" s="17"/>
      <c r="N11628" s="17"/>
    </row>
    <row r="11629">
      <c r="B11629" s="11">
        <f>IFERROR(__xludf.DUMMYFUNCTION("""COMPUTED_VALUE"""),29746.0)</f>
        <v>29746</v>
      </c>
      <c r="C11629" s="9">
        <f>IFERROR(__xludf.DUMMYFUNCTION("""COMPUTED_VALUE"""),13.37)</f>
        <v>13.37</v>
      </c>
      <c r="H11629" s="17"/>
      <c r="K11629" s="17"/>
      <c r="N11629" s="17"/>
    </row>
    <row r="11630">
      <c r="B11630" s="11">
        <f>IFERROR(__xludf.DUMMYFUNCTION("""COMPUTED_VALUE"""),29745.0)</f>
        <v>29745</v>
      </c>
      <c r="C11630" s="9">
        <f>IFERROR(__xludf.DUMMYFUNCTION("""COMPUTED_VALUE"""),13.36)</f>
        <v>13.36</v>
      </c>
      <c r="H11630" s="17"/>
      <c r="K11630" s="17"/>
      <c r="N11630" s="17"/>
    </row>
    <row r="11631">
      <c r="B11631" s="11">
        <f>IFERROR(__xludf.DUMMYFUNCTION("""COMPUTED_VALUE"""),29742.0)</f>
        <v>29742</v>
      </c>
      <c r="C11631" s="9">
        <f>IFERROR(__xludf.DUMMYFUNCTION("""COMPUTED_VALUE"""),13.56)</f>
        <v>13.56</v>
      </c>
      <c r="H11631" s="17"/>
      <c r="K11631" s="17"/>
      <c r="N11631" s="17"/>
    </row>
    <row r="11632">
      <c r="B11632" s="11">
        <f>IFERROR(__xludf.DUMMYFUNCTION("""COMPUTED_VALUE"""),29741.0)</f>
        <v>29741</v>
      </c>
      <c r="C11632" s="9">
        <f>IFERROR(__xludf.DUMMYFUNCTION("""COMPUTED_VALUE"""),13.51)</f>
        <v>13.51</v>
      </c>
      <c r="H11632" s="17"/>
      <c r="K11632" s="17"/>
      <c r="N11632" s="17"/>
    </row>
    <row r="11633">
      <c r="B11633" s="11">
        <f>IFERROR(__xludf.DUMMYFUNCTION("""COMPUTED_VALUE"""),29740.0)</f>
        <v>29740</v>
      </c>
      <c r="C11633" s="9">
        <f>IFERROR(__xludf.DUMMYFUNCTION("""COMPUTED_VALUE"""),13.55)</f>
        <v>13.55</v>
      </c>
      <c r="H11633" s="17"/>
      <c r="K11633" s="17"/>
      <c r="N11633" s="17"/>
    </row>
    <row r="11634">
      <c r="B11634" s="11">
        <f>IFERROR(__xludf.DUMMYFUNCTION("""COMPUTED_VALUE"""),29739.0)</f>
        <v>29739</v>
      </c>
      <c r="C11634" s="9">
        <f>IFERROR(__xludf.DUMMYFUNCTION("""COMPUTED_VALUE"""),13.58)</f>
        <v>13.58</v>
      </c>
      <c r="H11634" s="17"/>
      <c r="K11634" s="17"/>
      <c r="N11634" s="17"/>
    </row>
    <row r="11635">
      <c r="B11635" s="11">
        <f>IFERROR(__xludf.DUMMYFUNCTION("""COMPUTED_VALUE"""),29738.0)</f>
        <v>29738</v>
      </c>
      <c r="C11635" s="9">
        <f>IFERROR(__xludf.DUMMYFUNCTION("""COMPUTED_VALUE"""),13.46)</f>
        <v>13.46</v>
      </c>
      <c r="H11635" s="17"/>
      <c r="K11635" s="17"/>
      <c r="N11635" s="17"/>
    </row>
    <row r="11636">
      <c r="B11636" s="11">
        <f>IFERROR(__xludf.DUMMYFUNCTION("""COMPUTED_VALUE"""),29735.0)</f>
        <v>29735</v>
      </c>
      <c r="C11636" s="9">
        <f>IFERROR(__xludf.DUMMYFUNCTION("""COMPUTED_VALUE"""),13.5)</f>
        <v>13.5</v>
      </c>
      <c r="H11636" s="17"/>
      <c r="K11636" s="17"/>
      <c r="N11636" s="17"/>
    </row>
    <row r="11637">
      <c r="B11637" s="11">
        <f>IFERROR(__xludf.DUMMYFUNCTION("""COMPUTED_VALUE"""),29734.0)</f>
        <v>29734</v>
      </c>
      <c r="C11637" s="9">
        <f>IFERROR(__xludf.DUMMYFUNCTION("""COMPUTED_VALUE"""),13.56)</f>
        <v>13.56</v>
      </c>
      <c r="H11637" s="17"/>
      <c r="K11637" s="17"/>
      <c r="N11637" s="17"/>
    </row>
    <row r="11638">
      <c r="B11638" s="11">
        <f>IFERROR(__xludf.DUMMYFUNCTION("""COMPUTED_VALUE"""),29733.0)</f>
        <v>29733</v>
      </c>
      <c r="C11638" s="9">
        <f>IFERROR(__xludf.DUMMYFUNCTION("""COMPUTED_VALUE"""),13.71)</f>
        <v>13.71</v>
      </c>
      <c r="H11638" s="17"/>
      <c r="K11638" s="17"/>
      <c r="N11638" s="17"/>
    </row>
    <row r="11639">
      <c r="B11639" s="11">
        <f>IFERROR(__xludf.DUMMYFUNCTION("""COMPUTED_VALUE"""),29732.0)</f>
        <v>29732</v>
      </c>
      <c r="C11639" s="9">
        <f>IFERROR(__xludf.DUMMYFUNCTION("""COMPUTED_VALUE"""),13.67)</f>
        <v>13.67</v>
      </c>
      <c r="H11639" s="17"/>
      <c r="K11639" s="17"/>
      <c r="N11639" s="17"/>
    </row>
    <row r="11640">
      <c r="B11640" s="11">
        <f>IFERROR(__xludf.DUMMYFUNCTION("""COMPUTED_VALUE"""),29731.0)</f>
        <v>29731</v>
      </c>
      <c r="C11640" s="9"/>
      <c r="H11640" s="17"/>
      <c r="K11640" s="17"/>
      <c r="N11640" s="17"/>
    </row>
    <row r="11641">
      <c r="B11641" s="11">
        <f>IFERROR(__xludf.DUMMYFUNCTION("""COMPUTED_VALUE"""),29728.0)</f>
        <v>29728</v>
      </c>
      <c r="C11641" s="9">
        <f>IFERROR(__xludf.DUMMYFUNCTION("""COMPUTED_VALUE"""),13.82)</f>
        <v>13.82</v>
      </c>
      <c r="H11641" s="17"/>
      <c r="K11641" s="17"/>
      <c r="N11641" s="17"/>
    </row>
    <row r="11642">
      <c r="B11642" s="11">
        <f>IFERROR(__xludf.DUMMYFUNCTION("""COMPUTED_VALUE"""),29727.0)</f>
        <v>29727</v>
      </c>
      <c r="C11642" s="9">
        <f>IFERROR(__xludf.DUMMYFUNCTION("""COMPUTED_VALUE"""),14.05)</f>
        <v>14.05</v>
      </c>
      <c r="H11642" s="17"/>
      <c r="K11642" s="17"/>
      <c r="N11642" s="17"/>
    </row>
    <row r="11643">
      <c r="B11643" s="11">
        <f>IFERROR(__xludf.DUMMYFUNCTION("""COMPUTED_VALUE"""),29726.0)</f>
        <v>29726</v>
      </c>
      <c r="C11643" s="9">
        <f>IFERROR(__xludf.DUMMYFUNCTION("""COMPUTED_VALUE"""),14.0)</f>
        <v>14</v>
      </c>
      <c r="H11643" s="17"/>
      <c r="K11643" s="17"/>
      <c r="N11643" s="17"/>
    </row>
    <row r="11644">
      <c r="B11644" s="11">
        <f>IFERROR(__xludf.DUMMYFUNCTION("""COMPUTED_VALUE"""),29725.0)</f>
        <v>29725</v>
      </c>
      <c r="C11644" s="9">
        <f>IFERROR(__xludf.DUMMYFUNCTION("""COMPUTED_VALUE"""),13.95)</f>
        <v>13.95</v>
      </c>
      <c r="H11644" s="17"/>
      <c r="K11644" s="17"/>
      <c r="N11644" s="17"/>
    </row>
    <row r="11645">
      <c r="B11645" s="11">
        <f>IFERROR(__xludf.DUMMYFUNCTION("""COMPUTED_VALUE"""),29724.0)</f>
        <v>29724</v>
      </c>
      <c r="C11645" s="9">
        <f>IFERROR(__xludf.DUMMYFUNCTION("""COMPUTED_VALUE"""),13.8)</f>
        <v>13.8</v>
      </c>
      <c r="H11645" s="17"/>
      <c r="K11645" s="17"/>
      <c r="N11645" s="17"/>
    </row>
    <row r="11646">
      <c r="B11646" s="11">
        <f>IFERROR(__xludf.DUMMYFUNCTION("""COMPUTED_VALUE"""),29721.0)</f>
        <v>29721</v>
      </c>
      <c r="C11646" s="9">
        <f>IFERROR(__xludf.DUMMYFUNCTION("""COMPUTED_VALUE"""),14.07)</f>
        <v>14.07</v>
      </c>
      <c r="H11646" s="17"/>
      <c r="K11646" s="17"/>
      <c r="N11646" s="17"/>
    </row>
    <row r="11647">
      <c r="B11647" s="11">
        <f>IFERROR(__xludf.DUMMYFUNCTION("""COMPUTED_VALUE"""),29720.0)</f>
        <v>29720</v>
      </c>
      <c r="C11647" s="9">
        <f>IFERROR(__xludf.DUMMYFUNCTION("""COMPUTED_VALUE"""),14.24)</f>
        <v>14.24</v>
      </c>
      <c r="H11647" s="17"/>
      <c r="K11647" s="17"/>
      <c r="N11647" s="17"/>
    </row>
    <row r="11648">
      <c r="B11648" s="11">
        <f>IFERROR(__xludf.DUMMYFUNCTION("""COMPUTED_VALUE"""),29719.0)</f>
        <v>29719</v>
      </c>
      <c r="C11648" s="9">
        <f>IFERROR(__xludf.DUMMYFUNCTION("""COMPUTED_VALUE"""),14.49)</f>
        <v>14.49</v>
      </c>
      <c r="H11648" s="17"/>
      <c r="K11648" s="17"/>
      <c r="N11648" s="17"/>
    </row>
    <row r="11649">
      <c r="B11649" s="11">
        <f>IFERROR(__xludf.DUMMYFUNCTION("""COMPUTED_VALUE"""),29718.0)</f>
        <v>29718</v>
      </c>
      <c r="C11649" s="9">
        <f>IFERROR(__xludf.DUMMYFUNCTION("""COMPUTED_VALUE"""),14.46)</f>
        <v>14.46</v>
      </c>
      <c r="H11649" s="17"/>
      <c r="K11649" s="17"/>
      <c r="N11649" s="17"/>
    </row>
    <row r="11650">
      <c r="B11650" s="11">
        <f>IFERROR(__xludf.DUMMYFUNCTION("""COMPUTED_VALUE"""),29717.0)</f>
        <v>29717</v>
      </c>
      <c r="C11650" s="9">
        <f>IFERROR(__xludf.DUMMYFUNCTION("""COMPUTED_VALUE"""),14.34)</f>
        <v>14.34</v>
      </c>
      <c r="H11650" s="17"/>
      <c r="K11650" s="17"/>
      <c r="N11650" s="17"/>
    </row>
    <row r="11651">
      <c r="B11651" s="11">
        <f>IFERROR(__xludf.DUMMYFUNCTION("""COMPUTED_VALUE"""),29714.0)</f>
        <v>29714</v>
      </c>
      <c r="C11651" s="9">
        <f>IFERROR(__xludf.DUMMYFUNCTION("""COMPUTED_VALUE"""),14.23)</f>
        <v>14.23</v>
      </c>
      <c r="H11651" s="17"/>
      <c r="K11651" s="17"/>
      <c r="N11651" s="17"/>
    </row>
    <row r="11652">
      <c r="B11652" s="11">
        <f>IFERROR(__xludf.DUMMYFUNCTION("""COMPUTED_VALUE"""),29713.0)</f>
        <v>29713</v>
      </c>
      <c r="C11652" s="9">
        <f>IFERROR(__xludf.DUMMYFUNCTION("""COMPUTED_VALUE"""),14.33)</f>
        <v>14.33</v>
      </c>
      <c r="H11652" s="17"/>
      <c r="K11652" s="17"/>
      <c r="N11652" s="17"/>
    </row>
    <row r="11653">
      <c r="B11653" s="11">
        <f>IFERROR(__xludf.DUMMYFUNCTION("""COMPUTED_VALUE"""),29712.0)</f>
        <v>29712</v>
      </c>
      <c r="C11653" s="9">
        <f>IFERROR(__xludf.DUMMYFUNCTION("""COMPUTED_VALUE"""),14.56)</f>
        <v>14.56</v>
      </c>
      <c r="H11653" s="17"/>
      <c r="K11653" s="17"/>
      <c r="N11653" s="17"/>
    </row>
    <row r="11654">
      <c r="B11654" s="11">
        <f>IFERROR(__xludf.DUMMYFUNCTION("""COMPUTED_VALUE"""),29711.0)</f>
        <v>29711</v>
      </c>
      <c r="C11654" s="9">
        <f>IFERROR(__xludf.DUMMYFUNCTION("""COMPUTED_VALUE"""),14.69)</f>
        <v>14.69</v>
      </c>
      <c r="H11654" s="17"/>
      <c r="K11654" s="17"/>
      <c r="N11654" s="17"/>
    </row>
    <row r="11655">
      <c r="B11655" s="11">
        <f>IFERROR(__xludf.DUMMYFUNCTION("""COMPUTED_VALUE"""),29710.0)</f>
        <v>29710</v>
      </c>
      <c r="C11655" s="9">
        <f>IFERROR(__xludf.DUMMYFUNCTION("""COMPUTED_VALUE"""),14.47)</f>
        <v>14.47</v>
      </c>
      <c r="H11655" s="17"/>
      <c r="K11655" s="17"/>
      <c r="N11655" s="17"/>
    </row>
    <row r="11656">
      <c r="B11656" s="11">
        <f>IFERROR(__xludf.DUMMYFUNCTION("""COMPUTED_VALUE"""),29707.0)</f>
        <v>29707</v>
      </c>
      <c r="C11656" s="9">
        <f>IFERROR(__xludf.DUMMYFUNCTION("""COMPUTED_VALUE"""),14.05)</f>
        <v>14.05</v>
      </c>
      <c r="H11656" s="17"/>
      <c r="K11656" s="17"/>
      <c r="N11656" s="17"/>
    </row>
    <row r="11657">
      <c r="B11657" s="11">
        <f>IFERROR(__xludf.DUMMYFUNCTION("""COMPUTED_VALUE"""),29706.0)</f>
        <v>29706</v>
      </c>
      <c r="C11657" s="9">
        <f>IFERROR(__xludf.DUMMYFUNCTION("""COMPUTED_VALUE"""),14.11)</f>
        <v>14.11</v>
      </c>
      <c r="H11657" s="17"/>
      <c r="K11657" s="17"/>
      <c r="N11657" s="17"/>
    </row>
    <row r="11658">
      <c r="B11658" s="11">
        <f>IFERROR(__xludf.DUMMYFUNCTION("""COMPUTED_VALUE"""),29705.0)</f>
        <v>29705</v>
      </c>
      <c r="C11658" s="9">
        <f>IFERROR(__xludf.DUMMYFUNCTION("""COMPUTED_VALUE"""),14.05)</f>
        <v>14.05</v>
      </c>
      <c r="H11658" s="17"/>
      <c r="K11658" s="17"/>
      <c r="N11658" s="17"/>
    </row>
    <row r="11659">
      <c r="B11659" s="11">
        <f>IFERROR(__xludf.DUMMYFUNCTION("""COMPUTED_VALUE"""),29704.0)</f>
        <v>29704</v>
      </c>
      <c r="C11659" s="9">
        <f>IFERROR(__xludf.DUMMYFUNCTION("""COMPUTED_VALUE"""),13.93)</f>
        <v>13.93</v>
      </c>
      <c r="H11659" s="17"/>
      <c r="K11659" s="17"/>
      <c r="N11659" s="17"/>
    </row>
    <row r="11660">
      <c r="B11660" s="11">
        <f>IFERROR(__xludf.DUMMYFUNCTION("""COMPUTED_VALUE"""),29703.0)</f>
        <v>29703</v>
      </c>
      <c r="C11660" s="9">
        <f>IFERROR(__xludf.DUMMYFUNCTION("""COMPUTED_VALUE"""),13.92)</f>
        <v>13.92</v>
      </c>
      <c r="H11660" s="17"/>
      <c r="K11660" s="17"/>
      <c r="N11660" s="17"/>
    </row>
    <row r="11661">
      <c r="B11661" s="11">
        <f>IFERROR(__xludf.DUMMYFUNCTION("""COMPUTED_VALUE"""),29700.0)</f>
        <v>29700</v>
      </c>
      <c r="C11661" s="9">
        <f>IFERROR(__xludf.DUMMYFUNCTION("""COMPUTED_VALUE"""),13.88)</f>
        <v>13.88</v>
      </c>
      <c r="H11661" s="17"/>
      <c r="K11661" s="17"/>
      <c r="N11661" s="17"/>
    </row>
    <row r="11662">
      <c r="B11662" s="11">
        <f>IFERROR(__xludf.DUMMYFUNCTION("""COMPUTED_VALUE"""),29699.0)</f>
        <v>29699</v>
      </c>
      <c r="C11662" s="9">
        <f>IFERROR(__xludf.DUMMYFUNCTION("""COMPUTED_VALUE"""),13.8)</f>
        <v>13.8</v>
      </c>
      <c r="H11662" s="17"/>
      <c r="K11662" s="17"/>
      <c r="N11662" s="17"/>
    </row>
    <row r="11663">
      <c r="B11663" s="11">
        <f>IFERROR(__xludf.DUMMYFUNCTION("""COMPUTED_VALUE"""),29698.0)</f>
        <v>29698</v>
      </c>
      <c r="C11663" s="9">
        <f>IFERROR(__xludf.DUMMYFUNCTION("""COMPUTED_VALUE"""),13.78)</f>
        <v>13.78</v>
      </c>
      <c r="H11663" s="17"/>
      <c r="K11663" s="17"/>
      <c r="N11663" s="17"/>
    </row>
    <row r="11664">
      <c r="B11664" s="11">
        <f>IFERROR(__xludf.DUMMYFUNCTION("""COMPUTED_VALUE"""),29697.0)</f>
        <v>29697</v>
      </c>
      <c r="C11664" s="9">
        <f>IFERROR(__xludf.DUMMYFUNCTION("""COMPUTED_VALUE"""),13.73)</f>
        <v>13.73</v>
      </c>
      <c r="H11664" s="17"/>
      <c r="K11664" s="17"/>
      <c r="N11664" s="17"/>
    </row>
    <row r="11665">
      <c r="B11665" s="11">
        <f>IFERROR(__xludf.DUMMYFUNCTION("""COMPUTED_VALUE"""),29696.0)</f>
        <v>29696</v>
      </c>
      <c r="C11665" s="9">
        <f>IFERROR(__xludf.DUMMYFUNCTION("""COMPUTED_VALUE"""),13.69)</f>
        <v>13.69</v>
      </c>
      <c r="H11665" s="17"/>
      <c r="K11665" s="17"/>
      <c r="N11665" s="17"/>
    </row>
    <row r="11666">
      <c r="B11666" s="11">
        <f>IFERROR(__xludf.DUMMYFUNCTION("""COMPUTED_VALUE"""),29693.0)</f>
        <v>29693</v>
      </c>
      <c r="C11666" s="9"/>
      <c r="H11666" s="17"/>
      <c r="K11666" s="17"/>
      <c r="N11666" s="17"/>
    </row>
    <row r="11667">
      <c r="B11667" s="11">
        <f>IFERROR(__xludf.DUMMYFUNCTION("""COMPUTED_VALUE"""),29692.0)</f>
        <v>29692</v>
      </c>
      <c r="C11667" s="9">
        <f>IFERROR(__xludf.DUMMYFUNCTION("""COMPUTED_VALUE"""),13.79)</f>
        <v>13.79</v>
      </c>
      <c r="H11667" s="17"/>
      <c r="K11667" s="17"/>
      <c r="N11667" s="17"/>
    </row>
    <row r="11668">
      <c r="B11668" s="11">
        <f>IFERROR(__xludf.DUMMYFUNCTION("""COMPUTED_VALUE"""),29691.0)</f>
        <v>29691</v>
      </c>
      <c r="C11668" s="9">
        <f>IFERROR(__xludf.DUMMYFUNCTION("""COMPUTED_VALUE"""),13.74)</f>
        <v>13.74</v>
      </c>
      <c r="H11668" s="17"/>
      <c r="K11668" s="17"/>
      <c r="N11668" s="17"/>
    </row>
    <row r="11669">
      <c r="B11669" s="11">
        <f>IFERROR(__xludf.DUMMYFUNCTION("""COMPUTED_VALUE"""),29690.0)</f>
        <v>29690</v>
      </c>
      <c r="C11669" s="9">
        <f>IFERROR(__xludf.DUMMYFUNCTION("""COMPUTED_VALUE"""),13.58)</f>
        <v>13.58</v>
      </c>
      <c r="H11669" s="17"/>
      <c r="K11669" s="17"/>
      <c r="N11669" s="17"/>
    </row>
    <row r="11670">
      <c r="B11670" s="11">
        <f>IFERROR(__xludf.DUMMYFUNCTION("""COMPUTED_VALUE"""),29689.0)</f>
        <v>29689</v>
      </c>
      <c r="C11670" s="9">
        <f>IFERROR(__xludf.DUMMYFUNCTION("""COMPUTED_VALUE"""),13.68)</f>
        <v>13.68</v>
      </c>
      <c r="H11670" s="17"/>
      <c r="K11670" s="17"/>
      <c r="N11670" s="17"/>
    </row>
    <row r="11671">
      <c r="B11671" s="11">
        <f>IFERROR(__xludf.DUMMYFUNCTION("""COMPUTED_VALUE"""),29686.0)</f>
        <v>29686</v>
      </c>
      <c r="C11671" s="9">
        <f>IFERROR(__xludf.DUMMYFUNCTION("""COMPUTED_VALUE"""),13.59)</f>
        <v>13.59</v>
      </c>
      <c r="H11671" s="17"/>
      <c r="K11671" s="17"/>
      <c r="N11671" s="17"/>
    </row>
    <row r="11672">
      <c r="B11672" s="11">
        <f>IFERROR(__xludf.DUMMYFUNCTION("""COMPUTED_VALUE"""),29685.0)</f>
        <v>29685</v>
      </c>
      <c r="C11672" s="9">
        <f>IFERROR(__xludf.DUMMYFUNCTION("""COMPUTED_VALUE"""),13.45)</f>
        <v>13.45</v>
      </c>
      <c r="H11672" s="17"/>
      <c r="K11672" s="17"/>
      <c r="N11672" s="17"/>
    </row>
    <row r="11673">
      <c r="B11673" s="11">
        <f>IFERROR(__xludf.DUMMYFUNCTION("""COMPUTED_VALUE"""),29684.0)</f>
        <v>29684</v>
      </c>
      <c r="C11673" s="9">
        <f>IFERROR(__xludf.DUMMYFUNCTION("""COMPUTED_VALUE"""),13.61)</f>
        <v>13.61</v>
      </c>
      <c r="H11673" s="17"/>
      <c r="K11673" s="17"/>
      <c r="N11673" s="17"/>
    </row>
    <row r="11674">
      <c r="B11674" s="11">
        <f>IFERROR(__xludf.DUMMYFUNCTION("""COMPUTED_VALUE"""),29683.0)</f>
        <v>29683</v>
      </c>
      <c r="C11674" s="9">
        <f>IFERROR(__xludf.DUMMYFUNCTION("""COMPUTED_VALUE"""),13.41)</f>
        <v>13.41</v>
      </c>
      <c r="H11674" s="17"/>
      <c r="K11674" s="17"/>
      <c r="N11674" s="17"/>
    </row>
    <row r="11675">
      <c r="B11675" s="11">
        <f>IFERROR(__xludf.DUMMYFUNCTION("""COMPUTED_VALUE"""),29682.0)</f>
        <v>29682</v>
      </c>
      <c r="C11675" s="9">
        <f>IFERROR(__xludf.DUMMYFUNCTION("""COMPUTED_VALUE"""),13.74)</f>
        <v>13.74</v>
      </c>
      <c r="H11675" s="17"/>
      <c r="K11675" s="17"/>
      <c r="N11675" s="17"/>
    </row>
    <row r="11676">
      <c r="B11676" s="11">
        <f>IFERROR(__xludf.DUMMYFUNCTION("""COMPUTED_VALUE"""),29679.0)</f>
        <v>29679</v>
      </c>
      <c r="C11676" s="9">
        <f>IFERROR(__xludf.DUMMYFUNCTION("""COMPUTED_VALUE"""),13.4)</f>
        <v>13.4</v>
      </c>
      <c r="H11676" s="17"/>
      <c r="K11676" s="17"/>
      <c r="N11676" s="17"/>
    </row>
    <row r="11677">
      <c r="B11677" s="11">
        <f>IFERROR(__xludf.DUMMYFUNCTION("""COMPUTED_VALUE"""),29678.0)</f>
        <v>29678</v>
      </c>
      <c r="C11677" s="9">
        <f>IFERROR(__xludf.DUMMYFUNCTION("""COMPUTED_VALUE"""),13.25)</f>
        <v>13.25</v>
      </c>
      <c r="H11677" s="17"/>
      <c r="K11677" s="17"/>
      <c r="N11677" s="17"/>
    </row>
    <row r="11678">
      <c r="B11678" s="11">
        <f>IFERROR(__xludf.DUMMYFUNCTION("""COMPUTED_VALUE"""),29677.0)</f>
        <v>29677</v>
      </c>
      <c r="C11678" s="9">
        <f>IFERROR(__xludf.DUMMYFUNCTION("""COMPUTED_VALUE"""),13.14)</f>
        <v>13.14</v>
      </c>
      <c r="H11678" s="17"/>
      <c r="K11678" s="17"/>
      <c r="N11678" s="17"/>
    </row>
    <row r="11679">
      <c r="B11679" s="11">
        <f>IFERROR(__xludf.DUMMYFUNCTION("""COMPUTED_VALUE"""),29676.0)</f>
        <v>29676</v>
      </c>
      <c r="C11679" s="9">
        <f>IFERROR(__xludf.DUMMYFUNCTION("""COMPUTED_VALUE"""),13.13)</f>
        <v>13.13</v>
      </c>
      <c r="H11679" s="17"/>
      <c r="K11679" s="17"/>
      <c r="N11679" s="17"/>
    </row>
    <row r="11680">
      <c r="B11680" s="11">
        <f>IFERROR(__xludf.DUMMYFUNCTION("""COMPUTED_VALUE"""),29675.0)</f>
        <v>29675</v>
      </c>
      <c r="C11680" s="9">
        <f>IFERROR(__xludf.DUMMYFUNCTION("""COMPUTED_VALUE"""),13.22)</f>
        <v>13.22</v>
      </c>
      <c r="H11680" s="17"/>
      <c r="K11680" s="17"/>
      <c r="N11680" s="17"/>
    </row>
    <row r="11681">
      <c r="B11681" s="11">
        <f>IFERROR(__xludf.DUMMYFUNCTION("""COMPUTED_VALUE"""),29672.0)</f>
        <v>29672</v>
      </c>
      <c r="C11681" s="9">
        <f>IFERROR(__xludf.DUMMYFUNCTION("""COMPUTED_VALUE"""),13.36)</f>
        <v>13.36</v>
      </c>
      <c r="H11681" s="17"/>
      <c r="K11681" s="17"/>
      <c r="N11681" s="17"/>
    </row>
    <row r="11682">
      <c r="B11682" s="11">
        <f>IFERROR(__xludf.DUMMYFUNCTION("""COMPUTED_VALUE"""),29671.0)</f>
        <v>29671</v>
      </c>
      <c r="C11682" s="9">
        <f>IFERROR(__xludf.DUMMYFUNCTION("""COMPUTED_VALUE"""),13.34)</f>
        <v>13.34</v>
      </c>
      <c r="H11682" s="17"/>
      <c r="K11682" s="17"/>
      <c r="N11682" s="17"/>
    </row>
    <row r="11683">
      <c r="B11683" s="11">
        <f>IFERROR(__xludf.DUMMYFUNCTION("""COMPUTED_VALUE"""),29670.0)</f>
        <v>29670</v>
      </c>
      <c r="C11683" s="9">
        <f>IFERROR(__xludf.DUMMYFUNCTION("""COMPUTED_VALUE"""),13.21)</f>
        <v>13.21</v>
      </c>
      <c r="H11683" s="17"/>
      <c r="K11683" s="17"/>
      <c r="N11683" s="17"/>
    </row>
    <row r="11684">
      <c r="B11684" s="11">
        <f>IFERROR(__xludf.DUMMYFUNCTION("""COMPUTED_VALUE"""),29669.0)</f>
        <v>29669</v>
      </c>
      <c r="C11684" s="9">
        <f>IFERROR(__xludf.DUMMYFUNCTION("""COMPUTED_VALUE"""),13.3)</f>
        <v>13.3</v>
      </c>
      <c r="H11684" s="17"/>
      <c r="K11684" s="17"/>
      <c r="N11684" s="17"/>
    </row>
    <row r="11685">
      <c r="B11685" s="11">
        <f>IFERROR(__xludf.DUMMYFUNCTION("""COMPUTED_VALUE"""),29668.0)</f>
        <v>29668</v>
      </c>
      <c r="C11685" s="9">
        <f>IFERROR(__xludf.DUMMYFUNCTION("""COMPUTED_VALUE"""),13.13)</f>
        <v>13.13</v>
      </c>
      <c r="H11685" s="17"/>
      <c r="K11685" s="17"/>
      <c r="N11685" s="17"/>
    </row>
    <row r="11686">
      <c r="B11686" s="11">
        <f>IFERROR(__xludf.DUMMYFUNCTION("""COMPUTED_VALUE"""),29665.0)</f>
        <v>29665</v>
      </c>
      <c r="C11686" s="9">
        <f>IFERROR(__xludf.DUMMYFUNCTION("""COMPUTED_VALUE"""),12.77)</f>
        <v>12.77</v>
      </c>
      <c r="H11686" s="17"/>
      <c r="K11686" s="17"/>
      <c r="N11686" s="17"/>
    </row>
    <row r="11687">
      <c r="B11687" s="11">
        <f>IFERROR(__xludf.DUMMYFUNCTION("""COMPUTED_VALUE"""),29664.0)</f>
        <v>29664</v>
      </c>
      <c r="C11687" s="9">
        <f>IFERROR(__xludf.DUMMYFUNCTION("""COMPUTED_VALUE"""),12.67)</f>
        <v>12.67</v>
      </c>
      <c r="H11687" s="17"/>
      <c r="K11687" s="17"/>
      <c r="N11687" s="17"/>
    </row>
    <row r="11688">
      <c r="B11688" s="11">
        <f>IFERROR(__xludf.DUMMYFUNCTION("""COMPUTED_VALUE"""),29663.0)</f>
        <v>29663</v>
      </c>
      <c r="C11688" s="9">
        <f>IFERROR(__xludf.DUMMYFUNCTION("""COMPUTED_VALUE"""),12.58)</f>
        <v>12.58</v>
      </c>
      <c r="H11688" s="17"/>
      <c r="K11688" s="17"/>
      <c r="N11688" s="17"/>
    </row>
    <row r="11689">
      <c r="B11689" s="11">
        <f>IFERROR(__xludf.DUMMYFUNCTION("""COMPUTED_VALUE"""),29662.0)</f>
        <v>29662</v>
      </c>
      <c r="C11689" s="9">
        <f>IFERROR(__xludf.DUMMYFUNCTION("""COMPUTED_VALUE"""),12.68)</f>
        <v>12.68</v>
      </c>
      <c r="H11689" s="17"/>
      <c r="K11689" s="17"/>
      <c r="N11689" s="17"/>
    </row>
    <row r="11690">
      <c r="B11690" s="11">
        <f>IFERROR(__xludf.DUMMYFUNCTION("""COMPUTED_VALUE"""),29661.0)</f>
        <v>29661</v>
      </c>
      <c r="C11690" s="9">
        <f>IFERROR(__xludf.DUMMYFUNCTION("""COMPUTED_VALUE"""),12.85)</f>
        <v>12.85</v>
      </c>
      <c r="H11690" s="17"/>
      <c r="K11690" s="17"/>
      <c r="N11690" s="17"/>
    </row>
    <row r="11691">
      <c r="B11691" s="11">
        <f>IFERROR(__xludf.DUMMYFUNCTION("""COMPUTED_VALUE"""),29658.0)</f>
        <v>29658</v>
      </c>
      <c r="C11691" s="9">
        <f>IFERROR(__xludf.DUMMYFUNCTION("""COMPUTED_VALUE"""),12.86)</f>
        <v>12.86</v>
      </c>
      <c r="H11691" s="17"/>
      <c r="K11691" s="17"/>
      <c r="N11691" s="17"/>
    </row>
    <row r="11692">
      <c r="B11692" s="11">
        <f>IFERROR(__xludf.DUMMYFUNCTION("""COMPUTED_VALUE"""),29657.0)</f>
        <v>29657</v>
      </c>
      <c r="C11692" s="9">
        <f>IFERROR(__xludf.DUMMYFUNCTION("""COMPUTED_VALUE"""),13.03)</f>
        <v>13.03</v>
      </c>
      <c r="H11692" s="17"/>
      <c r="K11692" s="17"/>
      <c r="N11692" s="17"/>
    </row>
    <row r="11693">
      <c r="B11693" s="11">
        <f>IFERROR(__xludf.DUMMYFUNCTION("""COMPUTED_VALUE"""),29656.0)</f>
        <v>29656</v>
      </c>
      <c r="C11693" s="9">
        <f>IFERROR(__xludf.DUMMYFUNCTION("""COMPUTED_VALUE"""),13.12)</f>
        <v>13.12</v>
      </c>
      <c r="H11693" s="17"/>
      <c r="K11693" s="17"/>
      <c r="N11693" s="17"/>
    </row>
    <row r="11694">
      <c r="B11694" s="11">
        <f>IFERROR(__xludf.DUMMYFUNCTION("""COMPUTED_VALUE"""),29655.0)</f>
        <v>29655</v>
      </c>
      <c r="C11694" s="9">
        <f>IFERROR(__xludf.DUMMYFUNCTION("""COMPUTED_VALUE"""),13.08)</f>
        <v>13.08</v>
      </c>
      <c r="H11694" s="17"/>
      <c r="K11694" s="17"/>
      <c r="N11694" s="17"/>
    </row>
    <row r="11695">
      <c r="B11695" s="11">
        <f>IFERROR(__xludf.DUMMYFUNCTION("""COMPUTED_VALUE"""),29654.0)</f>
        <v>29654</v>
      </c>
      <c r="C11695" s="9">
        <f>IFERROR(__xludf.DUMMYFUNCTION("""COMPUTED_VALUE"""),13.09)</f>
        <v>13.09</v>
      </c>
      <c r="H11695" s="17"/>
      <c r="K11695" s="17"/>
      <c r="N11695" s="17"/>
    </row>
    <row r="11696">
      <c r="B11696" s="11">
        <f>IFERROR(__xludf.DUMMYFUNCTION("""COMPUTED_VALUE"""),29651.0)</f>
        <v>29651</v>
      </c>
      <c r="C11696" s="9">
        <f>IFERROR(__xludf.DUMMYFUNCTION("""COMPUTED_VALUE"""),13.2)</f>
        <v>13.2</v>
      </c>
      <c r="H11696" s="17"/>
      <c r="K11696" s="17"/>
      <c r="N11696" s="17"/>
    </row>
    <row r="11697">
      <c r="B11697" s="11">
        <f>IFERROR(__xludf.DUMMYFUNCTION("""COMPUTED_VALUE"""),29650.0)</f>
        <v>29650</v>
      </c>
      <c r="C11697" s="9">
        <f>IFERROR(__xludf.DUMMYFUNCTION("""COMPUTED_VALUE"""),13.43)</f>
        <v>13.43</v>
      </c>
      <c r="H11697" s="17"/>
      <c r="K11697" s="17"/>
      <c r="N11697" s="17"/>
    </row>
    <row r="11698">
      <c r="B11698" s="11">
        <f>IFERROR(__xludf.DUMMYFUNCTION("""COMPUTED_VALUE"""),29649.0)</f>
        <v>29649</v>
      </c>
      <c r="C11698" s="9">
        <f>IFERROR(__xludf.DUMMYFUNCTION("""COMPUTED_VALUE"""),13.45)</f>
        <v>13.45</v>
      </c>
      <c r="H11698" s="17"/>
      <c r="K11698" s="17"/>
      <c r="N11698" s="17"/>
    </row>
    <row r="11699">
      <c r="B11699" s="11">
        <f>IFERROR(__xludf.DUMMYFUNCTION("""COMPUTED_VALUE"""),29648.0)</f>
        <v>29648</v>
      </c>
      <c r="C11699" s="9">
        <f>IFERROR(__xludf.DUMMYFUNCTION("""COMPUTED_VALUE"""),13.43)</f>
        <v>13.43</v>
      </c>
      <c r="H11699" s="17"/>
      <c r="K11699" s="17"/>
      <c r="N11699" s="17"/>
    </row>
    <row r="11700">
      <c r="B11700" s="11">
        <f>IFERROR(__xludf.DUMMYFUNCTION("""COMPUTED_VALUE"""),29647.0)</f>
        <v>29647</v>
      </c>
      <c r="C11700" s="9">
        <f>IFERROR(__xludf.DUMMYFUNCTION("""COMPUTED_VALUE"""),13.62)</f>
        <v>13.62</v>
      </c>
      <c r="H11700" s="17"/>
      <c r="K11700" s="17"/>
      <c r="N11700" s="17"/>
    </row>
    <row r="11701">
      <c r="B11701" s="11">
        <f>IFERROR(__xludf.DUMMYFUNCTION("""COMPUTED_VALUE"""),29644.0)</f>
        <v>29644</v>
      </c>
      <c r="C11701" s="9">
        <f>IFERROR(__xludf.DUMMYFUNCTION("""COMPUTED_VALUE"""),13.43)</f>
        <v>13.43</v>
      </c>
      <c r="H11701" s="17"/>
      <c r="K11701" s="17"/>
      <c r="N11701" s="17"/>
    </row>
    <row r="11702">
      <c r="B11702" s="11">
        <f>IFERROR(__xludf.DUMMYFUNCTION("""COMPUTED_VALUE"""),29643.0)</f>
        <v>29643</v>
      </c>
      <c r="C11702" s="9">
        <f>IFERROR(__xludf.DUMMYFUNCTION("""COMPUTED_VALUE"""),13.47)</f>
        <v>13.47</v>
      </c>
      <c r="H11702" s="17"/>
      <c r="K11702" s="17"/>
      <c r="N11702" s="17"/>
    </row>
    <row r="11703">
      <c r="B11703" s="11">
        <f>IFERROR(__xludf.DUMMYFUNCTION("""COMPUTED_VALUE"""),29642.0)</f>
        <v>29642</v>
      </c>
      <c r="C11703" s="9">
        <f>IFERROR(__xludf.DUMMYFUNCTION("""COMPUTED_VALUE"""),13.29)</f>
        <v>13.29</v>
      </c>
      <c r="H11703" s="17"/>
      <c r="K11703" s="17"/>
      <c r="N11703" s="17"/>
    </row>
    <row r="11704">
      <c r="B11704" s="11">
        <f>IFERROR(__xludf.DUMMYFUNCTION("""COMPUTED_VALUE"""),29641.0)</f>
        <v>29641</v>
      </c>
      <c r="C11704" s="9">
        <f>IFERROR(__xludf.DUMMYFUNCTION("""COMPUTED_VALUE"""),13.21)</f>
        <v>13.21</v>
      </c>
      <c r="H11704" s="17"/>
      <c r="K11704" s="17"/>
      <c r="N11704" s="17"/>
    </row>
    <row r="11705">
      <c r="B11705" s="11">
        <f>IFERROR(__xludf.DUMMYFUNCTION("""COMPUTED_VALUE"""),29640.0)</f>
        <v>29640</v>
      </c>
      <c r="C11705" s="9">
        <f>IFERROR(__xludf.DUMMYFUNCTION("""COMPUTED_VALUE"""),13.19)</f>
        <v>13.19</v>
      </c>
      <c r="H11705" s="17"/>
      <c r="K11705" s="17"/>
      <c r="N11705" s="17"/>
    </row>
    <row r="11706">
      <c r="B11706" s="11">
        <f>IFERROR(__xludf.DUMMYFUNCTION("""COMPUTED_VALUE"""),29637.0)</f>
        <v>29637</v>
      </c>
      <c r="C11706" s="9">
        <f>IFERROR(__xludf.DUMMYFUNCTION("""COMPUTED_VALUE"""),12.9)</f>
        <v>12.9</v>
      </c>
      <c r="H11706" s="17"/>
      <c r="K11706" s="17"/>
      <c r="N11706" s="17"/>
    </row>
    <row r="11707">
      <c r="B11707" s="11">
        <f>IFERROR(__xludf.DUMMYFUNCTION("""COMPUTED_VALUE"""),29636.0)</f>
        <v>29636</v>
      </c>
      <c r="C11707" s="9">
        <f>IFERROR(__xludf.DUMMYFUNCTION("""COMPUTED_VALUE"""),13.09)</f>
        <v>13.09</v>
      </c>
      <c r="H11707" s="17"/>
      <c r="K11707" s="17"/>
      <c r="N11707" s="17"/>
    </row>
    <row r="11708">
      <c r="B11708" s="11">
        <f>IFERROR(__xludf.DUMMYFUNCTION("""COMPUTED_VALUE"""),29635.0)</f>
        <v>29635</v>
      </c>
      <c r="C11708" s="9">
        <f>IFERROR(__xludf.DUMMYFUNCTION("""COMPUTED_VALUE"""),13.3)</f>
        <v>13.3</v>
      </c>
      <c r="H11708" s="17"/>
      <c r="K11708" s="17"/>
      <c r="N11708" s="17"/>
    </row>
    <row r="11709">
      <c r="B11709" s="11">
        <f>IFERROR(__xludf.DUMMYFUNCTION("""COMPUTED_VALUE"""),29634.0)</f>
        <v>29634</v>
      </c>
      <c r="C11709" s="9">
        <f>IFERROR(__xludf.DUMMYFUNCTION("""COMPUTED_VALUE"""),13.33)</f>
        <v>13.33</v>
      </c>
      <c r="H11709" s="17"/>
      <c r="K11709" s="17"/>
      <c r="N11709" s="17"/>
    </row>
    <row r="11710">
      <c r="B11710" s="11">
        <f>IFERROR(__xludf.DUMMYFUNCTION("""COMPUTED_VALUE"""),29633.0)</f>
        <v>29633</v>
      </c>
      <c r="C11710" s="9"/>
      <c r="H11710" s="17"/>
      <c r="K11710" s="17"/>
      <c r="N11710" s="17"/>
    </row>
    <row r="11711">
      <c r="B11711" s="11">
        <f>IFERROR(__xludf.DUMMYFUNCTION("""COMPUTED_VALUE"""),29630.0)</f>
        <v>29630</v>
      </c>
      <c r="C11711" s="9">
        <f>IFERROR(__xludf.DUMMYFUNCTION("""COMPUTED_VALUE"""),13.65)</f>
        <v>13.65</v>
      </c>
      <c r="H11711" s="17"/>
      <c r="K11711" s="17"/>
      <c r="N11711" s="17"/>
    </row>
    <row r="11712">
      <c r="B11712" s="11">
        <f>IFERROR(__xludf.DUMMYFUNCTION("""COMPUTED_VALUE"""),29629.0)</f>
        <v>29629</v>
      </c>
      <c r="C11712" s="9"/>
      <c r="H11712" s="17"/>
      <c r="K11712" s="17"/>
      <c r="N11712" s="17"/>
    </row>
    <row r="11713">
      <c r="B11713" s="11">
        <f>IFERROR(__xludf.DUMMYFUNCTION("""COMPUTED_VALUE"""),29628.0)</f>
        <v>29628</v>
      </c>
      <c r="C11713" s="9">
        <f>IFERROR(__xludf.DUMMYFUNCTION("""COMPUTED_VALUE"""),13.42)</f>
        <v>13.42</v>
      </c>
      <c r="H11713" s="17"/>
      <c r="K11713" s="17"/>
      <c r="N11713" s="17"/>
    </row>
    <row r="11714">
      <c r="B11714" s="11">
        <f>IFERROR(__xludf.DUMMYFUNCTION("""COMPUTED_VALUE"""),29627.0)</f>
        <v>29627</v>
      </c>
      <c r="C11714" s="9">
        <f>IFERROR(__xludf.DUMMYFUNCTION("""COMPUTED_VALUE"""),13.27)</f>
        <v>13.27</v>
      </c>
      <c r="H11714" s="17"/>
      <c r="K11714" s="17"/>
      <c r="N11714" s="17"/>
    </row>
    <row r="11715">
      <c r="B11715" s="11">
        <f>IFERROR(__xludf.DUMMYFUNCTION("""COMPUTED_VALUE"""),29626.0)</f>
        <v>29626</v>
      </c>
      <c r="C11715" s="9">
        <f>IFERROR(__xludf.DUMMYFUNCTION("""COMPUTED_VALUE"""),13.21)</f>
        <v>13.21</v>
      </c>
      <c r="H11715" s="17"/>
      <c r="K11715" s="17"/>
      <c r="N11715" s="17"/>
    </row>
    <row r="11716">
      <c r="B11716" s="11">
        <f>IFERROR(__xludf.DUMMYFUNCTION("""COMPUTED_VALUE"""),29623.0)</f>
        <v>29623</v>
      </c>
      <c r="C11716" s="9">
        <f>IFERROR(__xludf.DUMMYFUNCTION("""COMPUTED_VALUE"""),13.09)</f>
        <v>13.09</v>
      </c>
      <c r="H11716" s="17"/>
      <c r="K11716" s="17"/>
      <c r="N11716" s="17"/>
    </row>
    <row r="11717">
      <c r="B11717" s="11">
        <f>IFERROR(__xludf.DUMMYFUNCTION("""COMPUTED_VALUE"""),29622.0)</f>
        <v>29622</v>
      </c>
      <c r="C11717" s="9">
        <f>IFERROR(__xludf.DUMMYFUNCTION("""COMPUTED_VALUE"""),12.95)</f>
        <v>12.95</v>
      </c>
      <c r="H11717" s="17"/>
      <c r="K11717" s="17"/>
      <c r="N11717" s="17"/>
    </row>
    <row r="11718">
      <c r="B11718" s="11">
        <f>IFERROR(__xludf.DUMMYFUNCTION("""COMPUTED_VALUE"""),29621.0)</f>
        <v>29621</v>
      </c>
      <c r="C11718" s="9">
        <f>IFERROR(__xludf.DUMMYFUNCTION("""COMPUTED_VALUE"""),12.86)</f>
        <v>12.86</v>
      </c>
      <c r="H11718" s="17"/>
      <c r="K11718" s="17"/>
      <c r="N11718" s="17"/>
    </row>
    <row r="11719">
      <c r="B11719" s="11">
        <f>IFERROR(__xludf.DUMMYFUNCTION("""COMPUTED_VALUE"""),29620.0)</f>
        <v>29620</v>
      </c>
      <c r="C11719" s="9">
        <f>IFERROR(__xludf.DUMMYFUNCTION("""COMPUTED_VALUE"""),12.98)</f>
        <v>12.98</v>
      </c>
      <c r="H11719" s="17"/>
      <c r="K11719" s="17"/>
      <c r="N11719" s="17"/>
    </row>
    <row r="11720">
      <c r="B11720" s="11">
        <f>IFERROR(__xludf.DUMMYFUNCTION("""COMPUTED_VALUE"""),29619.0)</f>
        <v>29619</v>
      </c>
      <c r="C11720" s="9">
        <f>IFERROR(__xludf.DUMMYFUNCTION("""COMPUTED_VALUE"""),12.86)</f>
        <v>12.86</v>
      </c>
      <c r="H11720" s="17"/>
      <c r="K11720" s="17"/>
      <c r="N11720" s="17"/>
    </row>
    <row r="11721">
      <c r="B11721" s="11">
        <f>IFERROR(__xludf.DUMMYFUNCTION("""COMPUTED_VALUE"""),29616.0)</f>
        <v>29616</v>
      </c>
      <c r="C11721" s="9">
        <f>IFERROR(__xludf.DUMMYFUNCTION("""COMPUTED_VALUE"""),12.68)</f>
        <v>12.68</v>
      </c>
      <c r="H11721" s="17"/>
      <c r="K11721" s="17"/>
      <c r="N11721" s="17"/>
    </row>
    <row r="11722">
      <c r="B11722" s="11">
        <f>IFERROR(__xludf.DUMMYFUNCTION("""COMPUTED_VALUE"""),29615.0)</f>
        <v>29615</v>
      </c>
      <c r="C11722" s="9">
        <f>IFERROR(__xludf.DUMMYFUNCTION("""COMPUTED_VALUE"""),12.8)</f>
        <v>12.8</v>
      </c>
      <c r="H11722" s="17"/>
      <c r="K11722" s="17"/>
      <c r="N11722" s="17"/>
    </row>
    <row r="11723">
      <c r="B11723" s="11">
        <f>IFERROR(__xludf.DUMMYFUNCTION("""COMPUTED_VALUE"""),29614.0)</f>
        <v>29614</v>
      </c>
      <c r="C11723" s="9">
        <f>IFERROR(__xludf.DUMMYFUNCTION("""COMPUTED_VALUE"""),12.77)</f>
        <v>12.77</v>
      </c>
      <c r="H11723" s="17"/>
      <c r="K11723" s="17"/>
      <c r="N11723" s="17"/>
    </row>
    <row r="11724">
      <c r="B11724" s="11">
        <f>IFERROR(__xludf.DUMMYFUNCTION("""COMPUTED_VALUE"""),29613.0)</f>
        <v>29613</v>
      </c>
      <c r="C11724" s="9">
        <f>IFERROR(__xludf.DUMMYFUNCTION("""COMPUTED_VALUE"""),12.73)</f>
        <v>12.73</v>
      </c>
      <c r="H11724" s="17"/>
      <c r="K11724" s="17"/>
      <c r="N11724" s="17"/>
    </row>
    <row r="11725">
      <c r="B11725" s="11">
        <f>IFERROR(__xludf.DUMMYFUNCTION("""COMPUTED_VALUE"""),29612.0)</f>
        <v>29612</v>
      </c>
      <c r="C11725" s="9">
        <f>IFERROR(__xludf.DUMMYFUNCTION("""COMPUTED_VALUE"""),12.7)</f>
        <v>12.7</v>
      </c>
      <c r="H11725" s="17"/>
      <c r="K11725" s="17"/>
      <c r="N11725" s="17"/>
    </row>
    <row r="11726">
      <c r="B11726" s="11">
        <f>IFERROR(__xludf.DUMMYFUNCTION("""COMPUTED_VALUE"""),29609.0)</f>
        <v>29609</v>
      </c>
      <c r="C11726" s="9">
        <f>IFERROR(__xludf.DUMMYFUNCTION("""COMPUTED_VALUE"""),12.84)</f>
        <v>12.84</v>
      </c>
      <c r="H11726" s="17"/>
      <c r="K11726" s="17"/>
      <c r="N11726" s="17"/>
    </row>
    <row r="11727">
      <c r="B11727" s="11">
        <f>IFERROR(__xludf.DUMMYFUNCTION("""COMPUTED_VALUE"""),29608.0)</f>
        <v>29608</v>
      </c>
      <c r="C11727" s="9">
        <f>IFERROR(__xludf.DUMMYFUNCTION("""COMPUTED_VALUE"""),12.87)</f>
        <v>12.87</v>
      </c>
      <c r="H11727" s="17"/>
      <c r="K11727" s="17"/>
      <c r="N11727" s="17"/>
    </row>
    <row r="11728">
      <c r="B11728" s="11">
        <f>IFERROR(__xludf.DUMMYFUNCTION("""COMPUTED_VALUE"""),29607.0)</f>
        <v>29607</v>
      </c>
      <c r="C11728" s="9">
        <f>IFERROR(__xludf.DUMMYFUNCTION("""COMPUTED_VALUE"""),12.77)</f>
        <v>12.77</v>
      </c>
      <c r="H11728" s="17"/>
      <c r="K11728" s="17"/>
      <c r="N11728" s="17"/>
    </row>
    <row r="11729">
      <c r="B11729" s="11">
        <f>IFERROR(__xludf.DUMMYFUNCTION("""COMPUTED_VALUE"""),29606.0)</f>
        <v>29606</v>
      </c>
      <c r="C11729" s="9">
        <f>IFERROR(__xludf.DUMMYFUNCTION("""COMPUTED_VALUE"""),12.5)</f>
        <v>12.5</v>
      </c>
      <c r="H11729" s="17"/>
      <c r="K11729" s="17"/>
      <c r="N11729" s="17"/>
    </row>
    <row r="11730">
      <c r="B11730" s="11">
        <f>IFERROR(__xludf.DUMMYFUNCTION("""COMPUTED_VALUE"""),29605.0)</f>
        <v>29605</v>
      </c>
      <c r="C11730" s="9">
        <f>IFERROR(__xludf.DUMMYFUNCTION("""COMPUTED_VALUE"""),12.64)</f>
        <v>12.64</v>
      </c>
      <c r="H11730" s="17"/>
      <c r="K11730" s="17"/>
      <c r="N11730" s="17"/>
    </row>
    <row r="11731">
      <c r="B11731" s="11">
        <f>IFERROR(__xludf.DUMMYFUNCTION("""COMPUTED_VALUE"""),29602.0)</f>
        <v>29602</v>
      </c>
      <c r="C11731" s="9">
        <f>IFERROR(__xludf.DUMMYFUNCTION("""COMPUTED_VALUE"""),12.53)</f>
        <v>12.53</v>
      </c>
      <c r="H11731" s="17"/>
      <c r="K11731" s="17"/>
      <c r="N11731" s="17"/>
    </row>
    <row r="11732">
      <c r="B11732" s="11">
        <f>IFERROR(__xludf.DUMMYFUNCTION("""COMPUTED_VALUE"""),29601.0)</f>
        <v>29601</v>
      </c>
      <c r="C11732" s="9">
        <f>IFERROR(__xludf.DUMMYFUNCTION("""COMPUTED_VALUE"""),12.62)</f>
        <v>12.62</v>
      </c>
      <c r="H11732" s="17"/>
      <c r="K11732" s="17"/>
      <c r="N11732" s="17"/>
    </row>
    <row r="11733">
      <c r="B11733" s="11">
        <f>IFERROR(__xludf.DUMMYFUNCTION("""COMPUTED_VALUE"""),29600.0)</f>
        <v>29600</v>
      </c>
      <c r="C11733" s="9">
        <f>IFERROR(__xludf.DUMMYFUNCTION("""COMPUTED_VALUE"""),12.53)</f>
        <v>12.53</v>
      </c>
      <c r="H11733" s="17"/>
      <c r="K11733" s="17"/>
      <c r="N11733" s="17"/>
    </row>
    <row r="11734">
      <c r="B11734" s="11">
        <f>IFERROR(__xludf.DUMMYFUNCTION("""COMPUTED_VALUE"""),29599.0)</f>
        <v>29599</v>
      </c>
      <c r="C11734" s="9">
        <f>IFERROR(__xludf.DUMMYFUNCTION("""COMPUTED_VALUE"""),12.53)</f>
        <v>12.53</v>
      </c>
      <c r="H11734" s="17"/>
      <c r="K11734" s="17"/>
      <c r="N11734" s="17"/>
    </row>
    <row r="11735">
      <c r="B11735" s="11">
        <f>IFERROR(__xludf.DUMMYFUNCTION("""COMPUTED_VALUE"""),29598.0)</f>
        <v>29598</v>
      </c>
      <c r="C11735" s="9">
        <f>IFERROR(__xludf.DUMMYFUNCTION("""COMPUTED_VALUE"""),12.45)</f>
        <v>12.45</v>
      </c>
      <c r="H11735" s="17"/>
      <c r="K11735" s="17"/>
      <c r="N11735" s="17"/>
    </row>
    <row r="11736">
      <c r="B11736" s="11">
        <f>IFERROR(__xludf.DUMMYFUNCTION("""COMPUTED_VALUE"""),29595.0)</f>
        <v>29595</v>
      </c>
      <c r="C11736" s="9">
        <f>IFERROR(__xludf.DUMMYFUNCTION("""COMPUTED_VALUE"""),12.57)</f>
        <v>12.57</v>
      </c>
      <c r="H11736" s="17"/>
      <c r="K11736" s="17"/>
      <c r="N11736" s="17"/>
    </row>
    <row r="11737">
      <c r="B11737" s="11">
        <f>IFERROR(__xludf.DUMMYFUNCTION("""COMPUTED_VALUE"""),29594.0)</f>
        <v>29594</v>
      </c>
      <c r="C11737" s="9">
        <f>IFERROR(__xludf.DUMMYFUNCTION("""COMPUTED_VALUE"""),12.35)</f>
        <v>12.35</v>
      </c>
      <c r="H11737" s="17"/>
      <c r="K11737" s="17"/>
      <c r="N11737" s="17"/>
    </row>
    <row r="11738">
      <c r="B11738" s="11">
        <f>IFERROR(__xludf.DUMMYFUNCTION("""COMPUTED_VALUE"""),29593.0)</f>
        <v>29593</v>
      </c>
      <c r="C11738" s="9">
        <f>IFERROR(__xludf.DUMMYFUNCTION("""COMPUTED_VALUE"""),12.38)</f>
        <v>12.38</v>
      </c>
      <c r="H11738" s="17"/>
      <c r="K11738" s="17"/>
      <c r="N11738" s="17"/>
    </row>
    <row r="11739">
      <c r="B11739" s="11">
        <f>IFERROR(__xludf.DUMMYFUNCTION("""COMPUTED_VALUE"""),29592.0)</f>
        <v>29592</v>
      </c>
      <c r="C11739" s="9">
        <f>IFERROR(__xludf.DUMMYFUNCTION("""COMPUTED_VALUE"""),12.11)</f>
        <v>12.11</v>
      </c>
      <c r="H11739" s="17"/>
      <c r="K11739" s="17"/>
      <c r="N11739" s="17"/>
    </row>
    <row r="11740">
      <c r="B11740" s="11">
        <f>IFERROR(__xludf.DUMMYFUNCTION("""COMPUTED_VALUE"""),29591.0)</f>
        <v>29591</v>
      </c>
      <c r="C11740" s="9">
        <f>IFERROR(__xludf.DUMMYFUNCTION("""COMPUTED_VALUE"""),12.15)</f>
        <v>12.15</v>
      </c>
      <c r="H11740" s="17"/>
      <c r="K11740" s="17"/>
      <c r="N11740" s="17"/>
    </row>
    <row r="11741">
      <c r="B11741" s="11">
        <f>IFERROR(__xludf.DUMMYFUNCTION("""COMPUTED_VALUE"""),29588.0)</f>
        <v>29588</v>
      </c>
      <c r="C11741" s="9">
        <f>IFERROR(__xludf.DUMMYFUNCTION("""COMPUTED_VALUE"""),12.42)</f>
        <v>12.42</v>
      </c>
      <c r="H11741" s="17"/>
      <c r="K11741" s="17"/>
      <c r="N11741" s="17"/>
    </row>
    <row r="11742">
      <c r="B11742" s="11">
        <f>IFERROR(__xludf.DUMMYFUNCTION("""COMPUTED_VALUE"""),29587.0)</f>
        <v>29587</v>
      </c>
      <c r="C11742" s="9"/>
      <c r="H11742" s="17"/>
      <c r="K11742" s="17"/>
      <c r="N11742" s="17"/>
    </row>
    <row r="11743">
      <c r="B11743" s="11">
        <f>IFERROR(__xludf.DUMMYFUNCTION("""COMPUTED_VALUE"""),29586.0)</f>
        <v>29586</v>
      </c>
      <c r="C11743" s="9">
        <f>IFERROR(__xludf.DUMMYFUNCTION("""COMPUTED_VALUE"""),12.43)</f>
        <v>12.43</v>
      </c>
      <c r="H11743" s="17"/>
      <c r="K11743" s="17"/>
      <c r="N11743" s="17"/>
    </row>
    <row r="11744">
      <c r="B11744" s="11">
        <f>IFERROR(__xludf.DUMMYFUNCTION("""COMPUTED_VALUE"""),29585.0)</f>
        <v>29585</v>
      </c>
      <c r="C11744" s="9">
        <f>IFERROR(__xludf.DUMMYFUNCTION("""COMPUTED_VALUE"""),12.39)</f>
        <v>12.39</v>
      </c>
      <c r="H11744" s="17"/>
      <c r="K11744" s="17"/>
      <c r="N11744" s="17"/>
    </row>
    <row r="11745">
      <c r="B11745" s="11">
        <f>IFERROR(__xludf.DUMMYFUNCTION("""COMPUTED_VALUE"""),29584.0)</f>
        <v>29584</v>
      </c>
      <c r="C11745" s="9">
        <f>IFERROR(__xludf.DUMMYFUNCTION("""COMPUTED_VALUE"""),12.2)</f>
        <v>12.2</v>
      </c>
      <c r="H11745" s="17"/>
      <c r="K11745" s="17"/>
      <c r="N11745" s="17"/>
    </row>
    <row r="11746">
      <c r="B11746" s="11">
        <f>IFERROR(__xludf.DUMMYFUNCTION("""COMPUTED_VALUE"""),29581.0)</f>
        <v>29581</v>
      </c>
      <c r="C11746" s="9">
        <f>IFERROR(__xludf.DUMMYFUNCTION("""COMPUTED_VALUE"""),12.25)</f>
        <v>12.25</v>
      </c>
      <c r="H11746" s="17"/>
      <c r="K11746" s="17"/>
      <c r="N11746" s="17"/>
    </row>
    <row r="11747">
      <c r="B11747" s="11">
        <f>IFERROR(__xludf.DUMMYFUNCTION("""COMPUTED_VALUE"""),29580.0)</f>
        <v>29580</v>
      </c>
      <c r="C11747" s="9"/>
      <c r="H11747" s="17"/>
      <c r="K11747" s="17"/>
      <c r="N11747" s="17"/>
    </row>
    <row r="11748">
      <c r="B11748" s="11">
        <f>IFERROR(__xludf.DUMMYFUNCTION("""COMPUTED_VALUE"""),29579.0)</f>
        <v>29579</v>
      </c>
      <c r="C11748" s="9">
        <f>IFERROR(__xludf.DUMMYFUNCTION("""COMPUTED_VALUE"""),12.42)</f>
        <v>12.42</v>
      </c>
      <c r="H11748" s="17"/>
      <c r="K11748" s="17"/>
      <c r="N11748" s="17"/>
    </row>
    <row r="11749">
      <c r="B11749" s="11">
        <f>IFERROR(__xludf.DUMMYFUNCTION("""COMPUTED_VALUE"""),29578.0)</f>
        <v>29578</v>
      </c>
      <c r="C11749" s="9">
        <f>IFERROR(__xludf.DUMMYFUNCTION("""COMPUTED_VALUE"""),12.35)</f>
        <v>12.35</v>
      </c>
      <c r="H11749" s="17"/>
      <c r="K11749" s="17"/>
      <c r="N11749" s="17"/>
    </row>
    <row r="11750">
      <c r="B11750" s="11">
        <f>IFERROR(__xludf.DUMMYFUNCTION("""COMPUTED_VALUE"""),29577.0)</f>
        <v>29577</v>
      </c>
      <c r="C11750" s="9">
        <f>IFERROR(__xludf.DUMMYFUNCTION("""COMPUTED_VALUE"""),12.14)</f>
        <v>12.14</v>
      </c>
      <c r="H11750" s="17"/>
      <c r="K11750" s="17"/>
      <c r="N11750" s="17"/>
    </row>
    <row r="11751">
      <c r="B11751" s="11">
        <f>IFERROR(__xludf.DUMMYFUNCTION("""COMPUTED_VALUE"""),29574.0)</f>
        <v>29574</v>
      </c>
      <c r="C11751" s="9">
        <f>IFERROR(__xludf.DUMMYFUNCTION("""COMPUTED_VALUE"""),12.64)</f>
        <v>12.64</v>
      </c>
      <c r="H11751" s="17"/>
      <c r="K11751" s="17"/>
      <c r="N11751" s="17"/>
    </row>
    <row r="11752">
      <c r="B11752" s="11">
        <f>IFERROR(__xludf.DUMMYFUNCTION("""COMPUTED_VALUE"""),29573.0)</f>
        <v>29573</v>
      </c>
      <c r="C11752" s="9">
        <f>IFERROR(__xludf.DUMMYFUNCTION("""COMPUTED_VALUE"""),13.22)</f>
        <v>13.22</v>
      </c>
      <c r="H11752" s="17"/>
      <c r="K11752" s="17"/>
      <c r="N11752" s="17"/>
    </row>
    <row r="11753">
      <c r="B11753" s="11">
        <f>IFERROR(__xludf.DUMMYFUNCTION("""COMPUTED_VALUE"""),29572.0)</f>
        <v>29572</v>
      </c>
      <c r="C11753" s="9">
        <f>IFERROR(__xludf.DUMMYFUNCTION("""COMPUTED_VALUE"""),13.28)</f>
        <v>13.28</v>
      </c>
      <c r="H11753" s="17"/>
      <c r="K11753" s="17"/>
      <c r="N11753" s="17"/>
    </row>
    <row r="11754">
      <c r="B11754" s="11">
        <f>IFERROR(__xludf.DUMMYFUNCTION("""COMPUTED_VALUE"""),29571.0)</f>
        <v>29571</v>
      </c>
      <c r="C11754" s="9">
        <f>IFERROR(__xludf.DUMMYFUNCTION("""COMPUTED_VALUE"""),13.51)</f>
        <v>13.51</v>
      </c>
      <c r="H11754" s="17"/>
      <c r="K11754" s="17"/>
      <c r="N11754" s="17"/>
    </row>
    <row r="11755">
      <c r="B11755" s="11">
        <f>IFERROR(__xludf.DUMMYFUNCTION("""COMPUTED_VALUE"""),29570.0)</f>
        <v>29570</v>
      </c>
      <c r="C11755" s="9">
        <f>IFERROR(__xludf.DUMMYFUNCTION("""COMPUTED_VALUE"""),13.25)</f>
        <v>13.25</v>
      </c>
      <c r="H11755" s="17"/>
      <c r="K11755" s="17"/>
      <c r="N11755" s="17"/>
    </row>
    <row r="11756">
      <c r="B11756" s="11">
        <f>IFERROR(__xludf.DUMMYFUNCTION("""COMPUTED_VALUE"""),29567.0)</f>
        <v>29567</v>
      </c>
      <c r="C11756" s="9">
        <f>IFERROR(__xludf.DUMMYFUNCTION("""COMPUTED_VALUE"""),13.21)</f>
        <v>13.21</v>
      </c>
      <c r="H11756" s="17"/>
      <c r="K11756" s="17"/>
      <c r="N11756" s="17"/>
    </row>
    <row r="11757">
      <c r="B11757" s="11">
        <f>IFERROR(__xludf.DUMMYFUNCTION("""COMPUTED_VALUE"""),29566.0)</f>
        <v>29566</v>
      </c>
      <c r="C11757" s="9">
        <f>IFERROR(__xludf.DUMMYFUNCTION("""COMPUTED_VALUE"""),13.57)</f>
        <v>13.57</v>
      </c>
      <c r="H11757" s="17"/>
      <c r="K11757" s="17"/>
      <c r="N11757" s="17"/>
    </row>
    <row r="11758">
      <c r="B11758" s="11">
        <f>IFERROR(__xludf.DUMMYFUNCTION("""COMPUTED_VALUE"""),29565.0)</f>
        <v>29565</v>
      </c>
      <c r="C11758" s="9">
        <f>IFERROR(__xludf.DUMMYFUNCTION("""COMPUTED_VALUE"""),13.15)</f>
        <v>13.15</v>
      </c>
      <c r="H11758" s="17"/>
      <c r="K11758" s="17"/>
      <c r="N11758" s="17"/>
    </row>
    <row r="11759">
      <c r="B11759" s="11">
        <f>IFERROR(__xludf.DUMMYFUNCTION("""COMPUTED_VALUE"""),29564.0)</f>
        <v>29564</v>
      </c>
      <c r="C11759" s="9">
        <f>IFERROR(__xludf.DUMMYFUNCTION("""COMPUTED_VALUE"""),13.1)</f>
        <v>13.1</v>
      </c>
      <c r="H11759" s="17"/>
      <c r="K11759" s="17"/>
      <c r="N11759" s="17"/>
    </row>
    <row r="11760">
      <c r="B11760" s="11">
        <f>IFERROR(__xludf.DUMMYFUNCTION("""COMPUTED_VALUE"""),29563.0)</f>
        <v>29563</v>
      </c>
      <c r="C11760" s="9">
        <f>IFERROR(__xludf.DUMMYFUNCTION("""COMPUTED_VALUE"""),12.91)</f>
        <v>12.91</v>
      </c>
      <c r="H11760" s="17"/>
      <c r="K11760" s="17"/>
      <c r="N11760" s="17"/>
    </row>
    <row r="11761">
      <c r="B11761" s="11">
        <f>IFERROR(__xludf.DUMMYFUNCTION("""COMPUTED_VALUE"""),29560.0)</f>
        <v>29560</v>
      </c>
      <c r="C11761" s="9">
        <f>IFERROR(__xludf.DUMMYFUNCTION("""COMPUTED_VALUE"""),12.85)</f>
        <v>12.85</v>
      </c>
      <c r="H11761" s="17"/>
      <c r="K11761" s="17"/>
      <c r="N11761" s="17"/>
    </row>
    <row r="11762">
      <c r="B11762" s="11">
        <f>IFERROR(__xludf.DUMMYFUNCTION("""COMPUTED_VALUE"""),29559.0)</f>
        <v>29559</v>
      </c>
      <c r="C11762" s="9">
        <f>IFERROR(__xludf.DUMMYFUNCTION("""COMPUTED_VALUE"""),12.91)</f>
        <v>12.91</v>
      </c>
      <c r="H11762" s="17"/>
      <c r="K11762" s="17"/>
      <c r="N11762" s="17"/>
    </row>
    <row r="11763">
      <c r="B11763" s="11">
        <f>IFERROR(__xludf.DUMMYFUNCTION("""COMPUTED_VALUE"""),29558.0)</f>
        <v>29558</v>
      </c>
      <c r="C11763" s="9">
        <f>IFERROR(__xludf.DUMMYFUNCTION("""COMPUTED_VALUE"""),12.92)</f>
        <v>12.92</v>
      </c>
      <c r="H11763" s="17"/>
      <c r="K11763" s="17"/>
      <c r="N11763" s="17"/>
    </row>
    <row r="11764">
      <c r="B11764" s="11">
        <f>IFERROR(__xludf.DUMMYFUNCTION("""COMPUTED_VALUE"""),29557.0)</f>
        <v>29557</v>
      </c>
      <c r="C11764" s="9">
        <f>IFERROR(__xludf.DUMMYFUNCTION("""COMPUTED_VALUE"""),12.95)</f>
        <v>12.95</v>
      </c>
      <c r="H11764" s="17"/>
      <c r="K11764" s="17"/>
      <c r="N11764" s="17"/>
    </row>
    <row r="11765">
      <c r="B11765" s="11">
        <f>IFERROR(__xludf.DUMMYFUNCTION("""COMPUTED_VALUE"""),29556.0)</f>
        <v>29556</v>
      </c>
      <c r="C11765" s="9">
        <f>IFERROR(__xludf.DUMMYFUNCTION("""COMPUTED_VALUE"""),12.92)</f>
        <v>12.92</v>
      </c>
      <c r="H11765" s="17"/>
      <c r="K11765" s="17"/>
      <c r="N11765" s="17"/>
    </row>
    <row r="11766">
      <c r="B11766" s="11">
        <f>IFERROR(__xludf.DUMMYFUNCTION("""COMPUTED_VALUE"""),29553.0)</f>
        <v>29553</v>
      </c>
      <c r="C11766" s="9">
        <f>IFERROR(__xludf.DUMMYFUNCTION("""COMPUTED_VALUE"""),12.72)</f>
        <v>12.72</v>
      </c>
      <c r="H11766" s="17"/>
      <c r="K11766" s="17"/>
      <c r="N11766" s="17"/>
    </row>
    <row r="11767">
      <c r="B11767" s="11">
        <f>IFERROR(__xludf.DUMMYFUNCTION("""COMPUTED_VALUE"""),29552.0)</f>
        <v>29552</v>
      </c>
      <c r="C11767" s="9"/>
      <c r="H11767" s="17"/>
      <c r="K11767" s="17"/>
      <c r="N11767" s="17"/>
    </row>
    <row r="11768">
      <c r="B11768" s="11">
        <f>IFERROR(__xludf.DUMMYFUNCTION("""COMPUTED_VALUE"""),29551.0)</f>
        <v>29551</v>
      </c>
      <c r="C11768" s="9">
        <f>IFERROR(__xludf.DUMMYFUNCTION("""COMPUTED_VALUE"""),12.65)</f>
        <v>12.65</v>
      </c>
      <c r="H11768" s="17"/>
      <c r="K11768" s="17"/>
      <c r="N11768" s="17"/>
    </row>
    <row r="11769">
      <c r="B11769" s="11">
        <f>IFERROR(__xludf.DUMMYFUNCTION("""COMPUTED_VALUE"""),29550.0)</f>
        <v>29550</v>
      </c>
      <c r="C11769" s="9">
        <f>IFERROR(__xludf.DUMMYFUNCTION("""COMPUTED_VALUE"""),12.74)</f>
        <v>12.74</v>
      </c>
      <c r="H11769" s="17"/>
      <c r="K11769" s="17"/>
      <c r="N11769" s="17"/>
    </row>
    <row r="11770">
      <c r="B11770" s="11">
        <f>IFERROR(__xludf.DUMMYFUNCTION("""COMPUTED_VALUE"""),29549.0)</f>
        <v>29549</v>
      </c>
      <c r="C11770" s="9">
        <f>IFERROR(__xludf.DUMMYFUNCTION("""COMPUTED_VALUE"""),12.76)</f>
        <v>12.76</v>
      </c>
      <c r="H11770" s="17"/>
      <c r="K11770" s="17"/>
      <c r="N11770" s="17"/>
    </row>
    <row r="11771">
      <c r="B11771" s="11">
        <f>IFERROR(__xludf.DUMMYFUNCTION("""COMPUTED_VALUE"""),29546.0)</f>
        <v>29546</v>
      </c>
      <c r="C11771" s="9">
        <f>IFERROR(__xludf.DUMMYFUNCTION("""COMPUTED_VALUE"""),12.8)</f>
        <v>12.8</v>
      </c>
      <c r="H11771" s="17"/>
      <c r="K11771" s="17"/>
      <c r="N11771" s="17"/>
    </row>
    <row r="11772">
      <c r="B11772" s="11">
        <f>IFERROR(__xludf.DUMMYFUNCTION("""COMPUTED_VALUE"""),29545.0)</f>
        <v>29545</v>
      </c>
      <c r="C11772" s="9">
        <f>IFERROR(__xludf.DUMMYFUNCTION("""COMPUTED_VALUE"""),12.59)</f>
        <v>12.59</v>
      </c>
      <c r="H11772" s="17"/>
      <c r="K11772" s="17"/>
      <c r="N11772" s="17"/>
    </row>
    <row r="11773">
      <c r="B11773" s="11">
        <f>IFERROR(__xludf.DUMMYFUNCTION("""COMPUTED_VALUE"""),29544.0)</f>
        <v>29544</v>
      </c>
      <c r="C11773" s="9">
        <f>IFERROR(__xludf.DUMMYFUNCTION("""COMPUTED_VALUE"""),12.51)</f>
        <v>12.51</v>
      </c>
      <c r="H11773" s="17"/>
      <c r="K11773" s="17"/>
      <c r="N11773" s="17"/>
    </row>
    <row r="11774">
      <c r="B11774" s="11">
        <f>IFERROR(__xludf.DUMMYFUNCTION("""COMPUTED_VALUE"""),29543.0)</f>
        <v>29543</v>
      </c>
      <c r="C11774" s="9">
        <f>IFERROR(__xludf.DUMMYFUNCTION("""COMPUTED_VALUE"""),12.62)</f>
        <v>12.62</v>
      </c>
      <c r="H11774" s="17"/>
      <c r="K11774" s="17"/>
      <c r="N11774" s="17"/>
    </row>
    <row r="11775">
      <c r="B11775" s="11">
        <f>IFERROR(__xludf.DUMMYFUNCTION("""COMPUTED_VALUE"""),29542.0)</f>
        <v>29542</v>
      </c>
      <c r="C11775" s="9">
        <f>IFERROR(__xludf.DUMMYFUNCTION("""COMPUTED_VALUE"""),12.95)</f>
        <v>12.95</v>
      </c>
      <c r="H11775" s="17"/>
      <c r="K11775" s="17"/>
      <c r="N11775" s="17"/>
    </row>
    <row r="11776">
      <c r="B11776" s="11">
        <f>IFERROR(__xludf.DUMMYFUNCTION("""COMPUTED_VALUE"""),29539.0)</f>
        <v>29539</v>
      </c>
      <c r="C11776" s="9">
        <f>IFERROR(__xludf.DUMMYFUNCTION("""COMPUTED_VALUE"""),12.79)</f>
        <v>12.79</v>
      </c>
      <c r="H11776" s="17"/>
      <c r="K11776" s="17"/>
      <c r="N11776" s="17"/>
    </row>
    <row r="11777">
      <c r="B11777" s="11">
        <f>IFERROR(__xludf.DUMMYFUNCTION("""COMPUTED_VALUE"""),29538.0)</f>
        <v>29538</v>
      </c>
      <c r="C11777" s="9">
        <f>IFERROR(__xludf.DUMMYFUNCTION("""COMPUTED_VALUE"""),12.49)</f>
        <v>12.49</v>
      </c>
      <c r="H11777" s="17"/>
      <c r="K11777" s="17"/>
      <c r="N11777" s="17"/>
    </row>
    <row r="11778">
      <c r="B11778" s="11">
        <f>IFERROR(__xludf.DUMMYFUNCTION("""COMPUTED_VALUE"""),29537.0)</f>
        <v>29537</v>
      </c>
      <c r="C11778" s="9">
        <f>IFERROR(__xludf.DUMMYFUNCTION("""COMPUTED_VALUE"""),12.47)</f>
        <v>12.47</v>
      </c>
      <c r="H11778" s="17"/>
      <c r="K11778" s="17"/>
      <c r="N11778" s="17"/>
    </row>
    <row r="11779">
      <c r="B11779" s="11">
        <f>IFERROR(__xludf.DUMMYFUNCTION("""COMPUTED_VALUE"""),29536.0)</f>
        <v>29536</v>
      </c>
      <c r="C11779" s="9"/>
      <c r="H11779" s="17"/>
      <c r="K11779" s="17"/>
      <c r="N11779" s="17"/>
    </row>
    <row r="11780">
      <c r="B11780" s="11">
        <f>IFERROR(__xludf.DUMMYFUNCTION("""COMPUTED_VALUE"""),29535.0)</f>
        <v>29535</v>
      </c>
      <c r="C11780" s="9">
        <f>IFERROR(__xludf.DUMMYFUNCTION("""COMPUTED_VALUE"""),12.78)</f>
        <v>12.78</v>
      </c>
      <c r="H11780" s="17"/>
      <c r="K11780" s="17"/>
      <c r="N11780" s="17"/>
    </row>
    <row r="11781">
      <c r="B11781" s="11">
        <f>IFERROR(__xludf.DUMMYFUNCTION("""COMPUTED_VALUE"""),29532.0)</f>
        <v>29532</v>
      </c>
      <c r="C11781" s="9">
        <f>IFERROR(__xludf.DUMMYFUNCTION("""COMPUTED_VALUE"""),12.66)</f>
        <v>12.66</v>
      </c>
      <c r="H11781" s="17"/>
      <c r="K11781" s="17"/>
      <c r="N11781" s="17"/>
    </row>
    <row r="11782">
      <c r="B11782" s="11">
        <f>IFERROR(__xludf.DUMMYFUNCTION("""COMPUTED_VALUE"""),29531.0)</f>
        <v>29531</v>
      </c>
      <c r="C11782" s="9">
        <f>IFERROR(__xludf.DUMMYFUNCTION("""COMPUTED_VALUE"""),13.04)</f>
        <v>13.04</v>
      </c>
      <c r="H11782" s="17"/>
      <c r="K11782" s="17"/>
      <c r="N11782" s="17"/>
    </row>
    <row r="11783">
      <c r="B11783" s="11">
        <f>IFERROR(__xludf.DUMMYFUNCTION("""COMPUTED_VALUE"""),29530.0)</f>
        <v>29530</v>
      </c>
      <c r="C11783" s="9">
        <f>IFERROR(__xludf.DUMMYFUNCTION("""COMPUTED_VALUE"""),12.61)</f>
        <v>12.61</v>
      </c>
      <c r="H11783" s="17"/>
      <c r="K11783" s="17"/>
      <c r="N11783" s="17"/>
    </row>
    <row r="11784">
      <c r="B11784" s="11">
        <f>IFERROR(__xludf.DUMMYFUNCTION("""COMPUTED_VALUE"""),29529.0)</f>
        <v>29529</v>
      </c>
      <c r="C11784" s="9"/>
      <c r="H11784" s="17"/>
      <c r="K11784" s="17"/>
      <c r="N11784" s="17"/>
    </row>
    <row r="11785">
      <c r="B11785" s="11">
        <f>IFERROR(__xludf.DUMMYFUNCTION("""COMPUTED_VALUE"""),29528.0)</f>
        <v>29528</v>
      </c>
      <c r="C11785" s="9">
        <f>IFERROR(__xludf.DUMMYFUNCTION("""COMPUTED_VALUE"""),12.46)</f>
        <v>12.46</v>
      </c>
      <c r="H11785" s="17"/>
      <c r="K11785" s="17"/>
      <c r="N11785" s="17"/>
    </row>
    <row r="11786">
      <c r="B11786" s="11">
        <f>IFERROR(__xludf.DUMMYFUNCTION("""COMPUTED_VALUE"""),29525.0)</f>
        <v>29525</v>
      </c>
      <c r="C11786" s="9">
        <f>IFERROR(__xludf.DUMMYFUNCTION("""COMPUTED_VALUE"""),12.46)</f>
        <v>12.46</v>
      </c>
      <c r="H11786" s="17"/>
      <c r="K11786" s="17"/>
      <c r="N11786" s="17"/>
    </row>
    <row r="11787">
      <c r="B11787" s="11">
        <f>IFERROR(__xludf.DUMMYFUNCTION("""COMPUTED_VALUE"""),29524.0)</f>
        <v>29524</v>
      </c>
      <c r="C11787" s="9">
        <f>IFERROR(__xludf.DUMMYFUNCTION("""COMPUTED_VALUE"""),12.48)</f>
        <v>12.48</v>
      </c>
      <c r="H11787" s="17"/>
      <c r="K11787" s="17"/>
      <c r="N11787" s="17"/>
    </row>
    <row r="11788">
      <c r="B11788" s="11">
        <f>IFERROR(__xludf.DUMMYFUNCTION("""COMPUTED_VALUE"""),29523.0)</f>
        <v>29523</v>
      </c>
      <c r="C11788" s="9">
        <f>IFERROR(__xludf.DUMMYFUNCTION("""COMPUTED_VALUE"""),12.48)</f>
        <v>12.48</v>
      </c>
      <c r="H11788" s="17"/>
      <c r="K11788" s="17"/>
      <c r="N11788" s="17"/>
    </row>
    <row r="11789">
      <c r="B11789" s="11">
        <f>IFERROR(__xludf.DUMMYFUNCTION("""COMPUTED_VALUE"""),29522.0)</f>
        <v>29522</v>
      </c>
      <c r="C11789" s="9">
        <f>IFERROR(__xludf.DUMMYFUNCTION("""COMPUTED_VALUE"""),12.32)</f>
        <v>12.32</v>
      </c>
      <c r="H11789" s="17"/>
      <c r="K11789" s="17"/>
      <c r="N11789" s="17"/>
    </row>
    <row r="11790">
      <c r="B11790" s="11">
        <f>IFERROR(__xludf.DUMMYFUNCTION("""COMPUTED_VALUE"""),29521.0)</f>
        <v>29521</v>
      </c>
      <c r="C11790" s="9">
        <f>IFERROR(__xludf.DUMMYFUNCTION("""COMPUTED_VALUE"""),12.13)</f>
        <v>12.13</v>
      </c>
      <c r="H11790" s="17"/>
      <c r="K11790" s="17"/>
      <c r="N11790" s="17"/>
    </row>
    <row r="11791">
      <c r="B11791" s="11">
        <f>IFERROR(__xludf.DUMMYFUNCTION("""COMPUTED_VALUE"""),29518.0)</f>
        <v>29518</v>
      </c>
      <c r="C11791" s="9">
        <f>IFERROR(__xludf.DUMMYFUNCTION("""COMPUTED_VALUE"""),11.74)</f>
        <v>11.74</v>
      </c>
      <c r="H11791" s="17"/>
      <c r="K11791" s="17"/>
      <c r="N11791" s="17"/>
    </row>
    <row r="11792">
      <c r="B11792" s="11">
        <f>IFERROR(__xludf.DUMMYFUNCTION("""COMPUTED_VALUE"""),29517.0)</f>
        <v>29517</v>
      </c>
      <c r="C11792" s="9">
        <f>IFERROR(__xludf.DUMMYFUNCTION("""COMPUTED_VALUE"""),11.82)</f>
        <v>11.82</v>
      </c>
      <c r="H11792" s="17"/>
      <c r="K11792" s="17"/>
      <c r="N11792" s="17"/>
    </row>
    <row r="11793">
      <c r="B11793" s="11">
        <f>IFERROR(__xludf.DUMMYFUNCTION("""COMPUTED_VALUE"""),29516.0)</f>
        <v>29516</v>
      </c>
      <c r="C11793" s="9">
        <f>IFERROR(__xludf.DUMMYFUNCTION("""COMPUTED_VALUE"""),11.88)</f>
        <v>11.88</v>
      </c>
      <c r="H11793" s="17"/>
      <c r="K11793" s="17"/>
      <c r="N11793" s="17"/>
    </row>
    <row r="11794">
      <c r="B11794" s="11">
        <f>IFERROR(__xludf.DUMMYFUNCTION("""COMPUTED_VALUE"""),29515.0)</f>
        <v>29515</v>
      </c>
      <c r="C11794" s="9">
        <f>IFERROR(__xludf.DUMMYFUNCTION("""COMPUTED_VALUE"""),11.7)</f>
        <v>11.7</v>
      </c>
      <c r="H11794" s="17"/>
      <c r="K11794" s="17"/>
      <c r="N11794" s="17"/>
    </row>
    <row r="11795">
      <c r="B11795" s="11">
        <f>IFERROR(__xludf.DUMMYFUNCTION("""COMPUTED_VALUE"""),29514.0)</f>
        <v>29514</v>
      </c>
      <c r="C11795" s="9">
        <f>IFERROR(__xludf.DUMMYFUNCTION("""COMPUTED_VALUE"""),11.64)</f>
        <v>11.64</v>
      </c>
      <c r="H11795" s="17"/>
      <c r="K11795" s="17"/>
      <c r="N11795" s="17"/>
    </row>
    <row r="11796">
      <c r="B11796" s="11">
        <f>IFERROR(__xludf.DUMMYFUNCTION("""COMPUTED_VALUE"""),29511.0)</f>
        <v>29511</v>
      </c>
      <c r="C11796" s="9">
        <f>IFERROR(__xludf.DUMMYFUNCTION("""COMPUTED_VALUE"""),11.62)</f>
        <v>11.62</v>
      </c>
      <c r="H11796" s="17"/>
      <c r="K11796" s="17"/>
      <c r="N11796" s="17"/>
    </row>
    <row r="11797">
      <c r="B11797" s="11">
        <f>IFERROR(__xludf.DUMMYFUNCTION("""COMPUTED_VALUE"""),29510.0)</f>
        <v>29510</v>
      </c>
      <c r="C11797" s="9">
        <f>IFERROR(__xludf.DUMMYFUNCTION("""COMPUTED_VALUE"""),11.47)</f>
        <v>11.47</v>
      </c>
      <c r="H11797" s="17"/>
      <c r="K11797" s="17"/>
      <c r="N11797" s="17"/>
    </row>
    <row r="11798">
      <c r="B11798" s="11">
        <f>IFERROR(__xludf.DUMMYFUNCTION("""COMPUTED_VALUE"""),29509.0)</f>
        <v>29509</v>
      </c>
      <c r="C11798" s="9">
        <f>IFERROR(__xludf.DUMMYFUNCTION("""COMPUTED_VALUE"""),11.29)</f>
        <v>11.29</v>
      </c>
      <c r="H11798" s="17"/>
      <c r="K11798" s="17"/>
      <c r="N11798" s="17"/>
    </row>
    <row r="11799">
      <c r="B11799" s="11">
        <f>IFERROR(__xludf.DUMMYFUNCTION("""COMPUTED_VALUE"""),29508.0)</f>
        <v>29508</v>
      </c>
      <c r="C11799" s="9">
        <f>IFERROR(__xludf.DUMMYFUNCTION("""COMPUTED_VALUE"""),11.37)</f>
        <v>11.37</v>
      </c>
      <c r="H11799" s="17"/>
      <c r="K11799" s="17"/>
      <c r="N11799" s="17"/>
    </row>
    <row r="11800">
      <c r="B11800" s="11">
        <f>IFERROR(__xludf.DUMMYFUNCTION("""COMPUTED_VALUE"""),29507.0)</f>
        <v>29507</v>
      </c>
      <c r="C11800" s="9"/>
      <c r="H11800" s="17"/>
      <c r="K11800" s="17"/>
      <c r="N11800" s="17"/>
    </row>
    <row r="11801">
      <c r="B11801" s="11">
        <f>IFERROR(__xludf.DUMMYFUNCTION("""COMPUTED_VALUE"""),29504.0)</f>
        <v>29504</v>
      </c>
      <c r="C11801" s="9">
        <f>IFERROR(__xludf.DUMMYFUNCTION("""COMPUTED_VALUE"""),11.44)</f>
        <v>11.44</v>
      </c>
      <c r="H11801" s="17"/>
      <c r="K11801" s="17"/>
      <c r="N11801" s="17"/>
    </row>
    <row r="11802">
      <c r="B11802" s="11">
        <f>IFERROR(__xludf.DUMMYFUNCTION("""COMPUTED_VALUE"""),29503.0)</f>
        <v>29503</v>
      </c>
      <c r="C11802" s="9">
        <f>IFERROR(__xludf.DUMMYFUNCTION("""COMPUTED_VALUE"""),11.39)</f>
        <v>11.39</v>
      </c>
      <c r="H11802" s="17"/>
      <c r="K11802" s="17"/>
      <c r="N11802" s="17"/>
    </row>
    <row r="11803">
      <c r="B11803" s="11">
        <f>IFERROR(__xludf.DUMMYFUNCTION("""COMPUTED_VALUE"""),29502.0)</f>
        <v>29502</v>
      </c>
      <c r="C11803" s="9">
        <f>IFERROR(__xludf.DUMMYFUNCTION("""COMPUTED_VALUE"""),11.51)</f>
        <v>11.51</v>
      </c>
      <c r="H11803" s="17"/>
      <c r="K11803" s="17"/>
      <c r="N11803" s="17"/>
    </row>
    <row r="11804">
      <c r="B11804" s="11">
        <f>IFERROR(__xludf.DUMMYFUNCTION("""COMPUTED_VALUE"""),29501.0)</f>
        <v>29501</v>
      </c>
      <c r="C11804" s="9">
        <f>IFERROR(__xludf.DUMMYFUNCTION("""COMPUTED_VALUE"""),11.43)</f>
        <v>11.43</v>
      </c>
      <c r="H11804" s="17"/>
      <c r="K11804" s="17"/>
      <c r="N11804" s="17"/>
    </row>
    <row r="11805">
      <c r="B11805" s="11">
        <f>IFERROR(__xludf.DUMMYFUNCTION("""COMPUTED_VALUE"""),29500.0)</f>
        <v>29500</v>
      </c>
      <c r="C11805" s="9">
        <f>IFERROR(__xludf.DUMMYFUNCTION("""COMPUTED_VALUE"""),11.35)</f>
        <v>11.35</v>
      </c>
      <c r="H11805" s="17"/>
      <c r="K11805" s="17"/>
      <c r="N11805" s="17"/>
    </row>
    <row r="11806">
      <c r="B11806" s="11">
        <f>IFERROR(__xludf.DUMMYFUNCTION("""COMPUTED_VALUE"""),29497.0)</f>
        <v>29497</v>
      </c>
      <c r="C11806" s="9">
        <f>IFERROR(__xludf.DUMMYFUNCTION("""COMPUTED_VALUE"""),11.4)</f>
        <v>11.4</v>
      </c>
      <c r="H11806" s="17"/>
      <c r="K11806" s="17"/>
      <c r="N11806" s="17"/>
    </row>
    <row r="11807">
      <c r="B11807" s="11">
        <f>IFERROR(__xludf.DUMMYFUNCTION("""COMPUTED_VALUE"""),29496.0)</f>
        <v>29496</v>
      </c>
      <c r="C11807" s="9">
        <f>IFERROR(__xludf.DUMMYFUNCTION("""COMPUTED_VALUE"""),11.83)</f>
        <v>11.83</v>
      </c>
      <c r="H11807" s="17"/>
      <c r="K11807" s="17"/>
      <c r="N11807" s="17"/>
    </row>
    <row r="11808">
      <c r="B11808" s="11">
        <f>IFERROR(__xludf.DUMMYFUNCTION("""COMPUTED_VALUE"""),29495.0)</f>
        <v>29495</v>
      </c>
      <c r="C11808" s="9">
        <f>IFERROR(__xludf.DUMMYFUNCTION("""COMPUTED_VALUE"""),11.78)</f>
        <v>11.78</v>
      </c>
      <c r="H11808" s="17"/>
      <c r="K11808" s="17"/>
      <c r="N11808" s="17"/>
    </row>
    <row r="11809">
      <c r="B11809" s="11">
        <f>IFERROR(__xludf.DUMMYFUNCTION("""COMPUTED_VALUE"""),29494.0)</f>
        <v>29494</v>
      </c>
      <c r="C11809" s="9">
        <f>IFERROR(__xludf.DUMMYFUNCTION("""COMPUTED_VALUE"""),11.86)</f>
        <v>11.86</v>
      </c>
      <c r="H11809" s="17"/>
      <c r="K11809" s="17"/>
      <c r="N11809" s="17"/>
    </row>
    <row r="11810">
      <c r="B11810" s="11">
        <f>IFERROR(__xludf.DUMMYFUNCTION("""COMPUTED_VALUE"""),29493.0)</f>
        <v>29493</v>
      </c>
      <c r="C11810" s="9">
        <f>IFERROR(__xludf.DUMMYFUNCTION("""COMPUTED_VALUE"""),12.07)</f>
        <v>12.07</v>
      </c>
      <c r="H11810" s="17"/>
      <c r="K11810" s="17"/>
      <c r="N11810" s="17"/>
    </row>
    <row r="11811">
      <c r="B11811" s="11">
        <f>IFERROR(__xludf.DUMMYFUNCTION("""COMPUTED_VALUE"""),29490.0)</f>
        <v>29490</v>
      </c>
      <c r="C11811" s="9">
        <f>IFERROR(__xludf.DUMMYFUNCTION("""COMPUTED_VALUE"""),11.99)</f>
        <v>11.99</v>
      </c>
      <c r="H11811" s="17"/>
      <c r="K11811" s="17"/>
      <c r="N11811" s="17"/>
    </row>
    <row r="11812">
      <c r="B11812" s="11">
        <f>IFERROR(__xludf.DUMMYFUNCTION("""COMPUTED_VALUE"""),29489.0)</f>
        <v>29489</v>
      </c>
      <c r="C11812" s="9">
        <f>IFERROR(__xludf.DUMMYFUNCTION("""COMPUTED_VALUE"""),11.91)</f>
        <v>11.91</v>
      </c>
      <c r="H11812" s="17"/>
      <c r="K11812" s="17"/>
      <c r="N11812" s="17"/>
    </row>
    <row r="11813">
      <c r="B11813" s="11">
        <f>IFERROR(__xludf.DUMMYFUNCTION("""COMPUTED_VALUE"""),29488.0)</f>
        <v>29488</v>
      </c>
      <c r="C11813" s="9">
        <f>IFERROR(__xludf.DUMMYFUNCTION("""COMPUTED_VALUE"""),11.75)</f>
        <v>11.75</v>
      </c>
      <c r="H11813" s="17"/>
      <c r="K11813" s="17"/>
      <c r="N11813" s="17"/>
    </row>
    <row r="11814">
      <c r="B11814" s="11">
        <f>IFERROR(__xludf.DUMMYFUNCTION("""COMPUTED_VALUE"""),29487.0)</f>
        <v>29487</v>
      </c>
      <c r="C11814" s="9">
        <f>IFERROR(__xludf.DUMMYFUNCTION("""COMPUTED_VALUE"""),11.76)</f>
        <v>11.76</v>
      </c>
      <c r="H11814" s="17"/>
      <c r="K11814" s="17"/>
      <c r="N11814" s="17"/>
    </row>
    <row r="11815">
      <c r="B11815" s="11">
        <f>IFERROR(__xludf.DUMMYFUNCTION("""COMPUTED_VALUE"""),29486.0)</f>
        <v>29486</v>
      </c>
      <c r="C11815" s="9">
        <f>IFERROR(__xludf.DUMMYFUNCTION("""COMPUTED_VALUE"""),11.69)</f>
        <v>11.69</v>
      </c>
      <c r="H11815" s="17"/>
      <c r="K11815" s="17"/>
      <c r="N11815" s="17"/>
    </row>
    <row r="11816">
      <c r="B11816" s="11">
        <f>IFERROR(__xludf.DUMMYFUNCTION("""COMPUTED_VALUE"""),29483.0)</f>
        <v>29483</v>
      </c>
      <c r="C11816" s="9">
        <f>IFERROR(__xludf.DUMMYFUNCTION("""COMPUTED_VALUE"""),11.33)</f>
        <v>11.33</v>
      </c>
      <c r="H11816" s="17"/>
      <c r="K11816" s="17"/>
      <c r="N11816" s="17"/>
    </row>
    <row r="11817">
      <c r="B11817" s="11">
        <f>IFERROR(__xludf.DUMMYFUNCTION("""COMPUTED_VALUE"""),29482.0)</f>
        <v>29482</v>
      </c>
      <c r="C11817" s="9">
        <f>IFERROR(__xludf.DUMMYFUNCTION("""COMPUTED_VALUE"""),11.53)</f>
        <v>11.53</v>
      </c>
      <c r="H11817" s="17"/>
      <c r="K11817" s="17"/>
      <c r="N11817" s="17"/>
    </row>
    <row r="11818">
      <c r="B11818" s="11">
        <f>IFERROR(__xludf.DUMMYFUNCTION("""COMPUTED_VALUE"""),29481.0)</f>
        <v>29481</v>
      </c>
      <c r="C11818" s="9">
        <f>IFERROR(__xludf.DUMMYFUNCTION("""COMPUTED_VALUE"""),11.57)</f>
        <v>11.57</v>
      </c>
      <c r="H11818" s="17"/>
      <c r="K11818" s="17"/>
      <c r="N11818" s="17"/>
    </row>
    <row r="11819">
      <c r="B11819" s="11">
        <f>IFERROR(__xludf.DUMMYFUNCTION("""COMPUTED_VALUE"""),29480.0)</f>
        <v>29480</v>
      </c>
      <c r="C11819" s="9">
        <f>IFERROR(__xludf.DUMMYFUNCTION("""COMPUTED_VALUE"""),11.52)</f>
        <v>11.52</v>
      </c>
      <c r="H11819" s="17"/>
      <c r="K11819" s="17"/>
      <c r="N11819" s="17"/>
    </row>
    <row r="11820">
      <c r="B11820" s="11">
        <f>IFERROR(__xludf.DUMMYFUNCTION("""COMPUTED_VALUE"""),29479.0)</f>
        <v>29479</v>
      </c>
      <c r="C11820" s="9">
        <f>IFERROR(__xludf.DUMMYFUNCTION("""COMPUTED_VALUE"""),11.62)</f>
        <v>11.62</v>
      </c>
      <c r="H11820" s="17"/>
      <c r="K11820" s="17"/>
      <c r="N11820" s="17"/>
    </row>
    <row r="11821">
      <c r="B11821" s="11">
        <f>IFERROR(__xludf.DUMMYFUNCTION("""COMPUTED_VALUE"""),29476.0)</f>
        <v>29476</v>
      </c>
      <c r="C11821" s="9">
        <f>IFERROR(__xludf.DUMMYFUNCTION("""COMPUTED_VALUE"""),11.37)</f>
        <v>11.37</v>
      </c>
      <c r="H11821" s="17"/>
      <c r="K11821" s="17"/>
      <c r="N11821" s="17"/>
    </row>
    <row r="11822">
      <c r="B11822" s="11">
        <f>IFERROR(__xludf.DUMMYFUNCTION("""COMPUTED_VALUE"""),29475.0)</f>
        <v>29475</v>
      </c>
      <c r="C11822" s="9">
        <f>IFERROR(__xludf.DUMMYFUNCTION("""COMPUTED_VALUE"""),11.32)</f>
        <v>11.32</v>
      </c>
      <c r="H11822" s="17"/>
      <c r="K11822" s="17"/>
      <c r="N11822" s="17"/>
    </row>
    <row r="11823">
      <c r="B11823" s="11">
        <f>IFERROR(__xludf.DUMMYFUNCTION("""COMPUTED_VALUE"""),29474.0)</f>
        <v>29474</v>
      </c>
      <c r="C11823" s="9">
        <f>IFERROR(__xludf.DUMMYFUNCTION("""COMPUTED_VALUE"""),11.14)</f>
        <v>11.14</v>
      </c>
      <c r="H11823" s="17"/>
      <c r="K11823" s="17"/>
      <c r="N11823" s="17"/>
    </row>
    <row r="11824">
      <c r="B11824" s="11">
        <f>IFERROR(__xludf.DUMMYFUNCTION("""COMPUTED_VALUE"""),29473.0)</f>
        <v>29473</v>
      </c>
      <c r="C11824" s="9">
        <f>IFERROR(__xludf.DUMMYFUNCTION("""COMPUTED_VALUE"""),11.19)</f>
        <v>11.19</v>
      </c>
      <c r="H11824" s="17"/>
      <c r="K11824" s="17"/>
      <c r="N11824" s="17"/>
    </row>
    <row r="11825">
      <c r="B11825" s="11">
        <f>IFERROR(__xludf.DUMMYFUNCTION("""COMPUTED_VALUE"""),29472.0)</f>
        <v>29472</v>
      </c>
      <c r="C11825" s="9">
        <f>IFERROR(__xludf.DUMMYFUNCTION("""COMPUTED_VALUE"""),11.29)</f>
        <v>11.29</v>
      </c>
      <c r="H11825" s="17"/>
      <c r="K11825" s="17"/>
      <c r="N11825" s="17"/>
    </row>
    <row r="11826">
      <c r="B11826" s="11">
        <f>IFERROR(__xludf.DUMMYFUNCTION("""COMPUTED_VALUE"""),29469.0)</f>
        <v>29469</v>
      </c>
      <c r="C11826" s="9">
        <f>IFERROR(__xludf.DUMMYFUNCTION("""COMPUTED_VALUE"""),11.21)</f>
        <v>11.21</v>
      </c>
      <c r="H11826" s="17"/>
      <c r="K11826" s="17"/>
      <c r="N11826" s="17"/>
    </row>
    <row r="11827">
      <c r="B11827" s="11">
        <f>IFERROR(__xludf.DUMMYFUNCTION("""COMPUTED_VALUE"""),29468.0)</f>
        <v>29468</v>
      </c>
      <c r="C11827" s="9">
        <f>IFERROR(__xludf.DUMMYFUNCTION("""COMPUTED_VALUE"""),11.16)</f>
        <v>11.16</v>
      </c>
      <c r="H11827" s="17"/>
      <c r="K11827" s="17"/>
      <c r="N11827" s="17"/>
    </row>
    <row r="11828">
      <c r="B11828" s="11">
        <f>IFERROR(__xludf.DUMMYFUNCTION("""COMPUTED_VALUE"""),29467.0)</f>
        <v>29467</v>
      </c>
      <c r="C11828" s="9">
        <f>IFERROR(__xludf.DUMMYFUNCTION("""COMPUTED_VALUE"""),11.08)</f>
        <v>11.08</v>
      </c>
      <c r="H11828" s="17"/>
      <c r="K11828" s="17"/>
      <c r="N11828" s="17"/>
    </row>
    <row r="11829">
      <c r="B11829" s="11">
        <f>IFERROR(__xludf.DUMMYFUNCTION("""COMPUTED_VALUE"""),29466.0)</f>
        <v>29466</v>
      </c>
      <c r="C11829" s="9">
        <f>IFERROR(__xludf.DUMMYFUNCTION("""COMPUTED_VALUE"""),11.32)</f>
        <v>11.32</v>
      </c>
      <c r="H11829" s="17"/>
      <c r="K11829" s="17"/>
      <c r="N11829" s="17"/>
    </row>
    <row r="11830">
      <c r="B11830" s="11">
        <f>IFERROR(__xludf.DUMMYFUNCTION("""COMPUTED_VALUE"""),29465.0)</f>
        <v>29465</v>
      </c>
      <c r="C11830" s="9"/>
      <c r="H11830" s="17"/>
      <c r="K11830" s="17"/>
      <c r="N11830" s="17"/>
    </row>
    <row r="11831">
      <c r="B11831" s="11">
        <f>IFERROR(__xludf.DUMMYFUNCTION("""COMPUTED_VALUE"""),29462.0)</f>
        <v>29462</v>
      </c>
      <c r="C11831" s="9">
        <f>IFERROR(__xludf.DUMMYFUNCTION("""COMPUTED_VALUE"""),11.55)</f>
        <v>11.55</v>
      </c>
      <c r="H11831" s="17"/>
      <c r="K11831" s="17"/>
      <c r="N11831" s="17"/>
    </row>
    <row r="11832">
      <c r="B11832" s="11">
        <f>IFERROR(__xludf.DUMMYFUNCTION("""COMPUTED_VALUE"""),29461.0)</f>
        <v>29461</v>
      </c>
      <c r="C11832" s="9">
        <f>IFERROR(__xludf.DUMMYFUNCTION("""COMPUTED_VALUE"""),11.89)</f>
        <v>11.89</v>
      </c>
      <c r="H11832" s="17"/>
      <c r="K11832" s="17"/>
      <c r="N11832" s="17"/>
    </row>
    <row r="11833">
      <c r="B11833" s="11">
        <f>IFERROR(__xludf.DUMMYFUNCTION("""COMPUTED_VALUE"""),29460.0)</f>
        <v>29460</v>
      </c>
      <c r="C11833" s="9">
        <f>IFERROR(__xludf.DUMMYFUNCTION("""COMPUTED_VALUE"""),11.67)</f>
        <v>11.67</v>
      </c>
      <c r="H11833" s="17"/>
      <c r="K11833" s="17"/>
      <c r="N11833" s="17"/>
    </row>
    <row r="11834">
      <c r="B11834" s="11">
        <f>IFERROR(__xludf.DUMMYFUNCTION("""COMPUTED_VALUE"""),29459.0)</f>
        <v>29459</v>
      </c>
      <c r="C11834" s="9">
        <f>IFERROR(__xludf.DUMMYFUNCTION("""COMPUTED_VALUE"""),11.42)</f>
        <v>11.42</v>
      </c>
      <c r="H11834" s="17"/>
      <c r="K11834" s="17"/>
      <c r="N11834" s="17"/>
    </row>
    <row r="11835">
      <c r="B11835" s="11">
        <f>IFERROR(__xludf.DUMMYFUNCTION("""COMPUTED_VALUE"""),29458.0)</f>
        <v>29458</v>
      </c>
      <c r="C11835" s="9">
        <f>IFERROR(__xludf.DUMMYFUNCTION("""COMPUTED_VALUE"""),11.4)</f>
        <v>11.4</v>
      </c>
      <c r="H11835" s="17"/>
      <c r="K11835" s="17"/>
      <c r="N11835" s="17"/>
    </row>
    <row r="11836">
      <c r="B11836" s="11">
        <f>IFERROR(__xludf.DUMMYFUNCTION("""COMPUTED_VALUE"""),29455.0)</f>
        <v>29455</v>
      </c>
      <c r="C11836" s="9">
        <f>IFERROR(__xludf.DUMMYFUNCTION("""COMPUTED_VALUE"""),11.13)</f>
        <v>11.13</v>
      </c>
      <c r="H11836" s="17"/>
      <c r="K11836" s="17"/>
      <c r="N11836" s="17"/>
    </row>
    <row r="11837">
      <c r="B11837" s="11">
        <f>IFERROR(__xludf.DUMMYFUNCTION("""COMPUTED_VALUE"""),29454.0)</f>
        <v>29454</v>
      </c>
      <c r="C11837" s="9">
        <f>IFERROR(__xludf.DUMMYFUNCTION("""COMPUTED_VALUE"""),11.3)</f>
        <v>11.3</v>
      </c>
      <c r="H11837" s="17"/>
      <c r="K11837" s="17"/>
      <c r="N11837" s="17"/>
    </row>
    <row r="11838">
      <c r="B11838" s="11">
        <f>IFERROR(__xludf.DUMMYFUNCTION("""COMPUTED_VALUE"""),29453.0)</f>
        <v>29453</v>
      </c>
      <c r="C11838" s="9">
        <f>IFERROR(__xludf.DUMMYFUNCTION("""COMPUTED_VALUE"""),11.22)</f>
        <v>11.22</v>
      </c>
      <c r="H11838" s="17"/>
      <c r="K11838" s="17"/>
      <c r="N11838" s="17"/>
    </row>
    <row r="11839">
      <c r="B11839" s="11">
        <f>IFERROR(__xludf.DUMMYFUNCTION("""COMPUTED_VALUE"""),29452.0)</f>
        <v>29452</v>
      </c>
      <c r="C11839" s="9">
        <f>IFERROR(__xludf.DUMMYFUNCTION("""COMPUTED_VALUE"""),11.24)</f>
        <v>11.24</v>
      </c>
      <c r="H11839" s="17"/>
      <c r="K11839" s="17"/>
      <c r="N11839" s="17"/>
    </row>
    <row r="11840">
      <c r="B11840" s="11">
        <f>IFERROR(__xludf.DUMMYFUNCTION("""COMPUTED_VALUE"""),29451.0)</f>
        <v>29451</v>
      </c>
      <c r="C11840" s="9">
        <f>IFERROR(__xludf.DUMMYFUNCTION("""COMPUTED_VALUE"""),11.13)</f>
        <v>11.13</v>
      </c>
      <c r="H11840" s="17"/>
      <c r="K11840" s="17"/>
      <c r="N11840" s="17"/>
    </row>
    <row r="11841">
      <c r="B11841" s="11">
        <f>IFERROR(__xludf.DUMMYFUNCTION("""COMPUTED_VALUE"""),29448.0)</f>
        <v>29448</v>
      </c>
      <c r="C11841" s="9">
        <f>IFERROR(__xludf.DUMMYFUNCTION("""COMPUTED_VALUE"""),10.86)</f>
        <v>10.86</v>
      </c>
      <c r="H11841" s="17"/>
      <c r="K11841" s="17"/>
      <c r="N11841" s="17"/>
    </row>
    <row r="11842">
      <c r="B11842" s="11">
        <f>IFERROR(__xludf.DUMMYFUNCTION("""COMPUTED_VALUE"""),29447.0)</f>
        <v>29447</v>
      </c>
      <c r="C11842" s="9">
        <f>IFERROR(__xludf.DUMMYFUNCTION("""COMPUTED_VALUE"""),10.9)</f>
        <v>10.9</v>
      </c>
      <c r="H11842" s="17"/>
      <c r="K11842" s="17"/>
      <c r="N11842" s="17"/>
    </row>
    <row r="11843">
      <c r="B11843" s="11">
        <f>IFERROR(__xludf.DUMMYFUNCTION("""COMPUTED_VALUE"""),29446.0)</f>
        <v>29446</v>
      </c>
      <c r="C11843" s="9">
        <f>IFERROR(__xludf.DUMMYFUNCTION("""COMPUTED_VALUE"""),10.89)</f>
        <v>10.89</v>
      </c>
      <c r="H11843" s="17"/>
      <c r="K11843" s="17"/>
      <c r="N11843" s="17"/>
    </row>
    <row r="11844">
      <c r="B11844" s="11">
        <f>IFERROR(__xludf.DUMMYFUNCTION("""COMPUTED_VALUE"""),29445.0)</f>
        <v>29445</v>
      </c>
      <c r="C11844" s="9">
        <f>IFERROR(__xludf.DUMMYFUNCTION("""COMPUTED_VALUE"""),10.98)</f>
        <v>10.98</v>
      </c>
      <c r="H11844" s="17"/>
      <c r="K11844" s="17"/>
      <c r="N11844" s="17"/>
    </row>
    <row r="11845">
      <c r="B11845" s="11">
        <f>IFERROR(__xludf.DUMMYFUNCTION("""COMPUTED_VALUE"""),29444.0)</f>
        <v>29444</v>
      </c>
      <c r="C11845" s="9">
        <f>IFERROR(__xludf.DUMMYFUNCTION("""COMPUTED_VALUE"""),11.03)</f>
        <v>11.03</v>
      </c>
      <c r="H11845" s="17"/>
      <c r="K11845" s="17"/>
      <c r="N11845" s="17"/>
    </row>
    <row r="11846">
      <c r="B11846" s="11">
        <f>IFERROR(__xludf.DUMMYFUNCTION("""COMPUTED_VALUE"""),29441.0)</f>
        <v>29441</v>
      </c>
      <c r="C11846" s="9">
        <f>IFERROR(__xludf.DUMMYFUNCTION("""COMPUTED_VALUE"""),10.87)</f>
        <v>10.87</v>
      </c>
      <c r="H11846" s="17"/>
      <c r="K11846" s="17"/>
      <c r="N11846" s="17"/>
    </row>
    <row r="11847">
      <c r="B11847" s="11">
        <f>IFERROR(__xludf.DUMMYFUNCTION("""COMPUTED_VALUE"""),29440.0)</f>
        <v>29440</v>
      </c>
      <c r="C11847" s="9">
        <f>IFERROR(__xludf.DUMMYFUNCTION("""COMPUTED_VALUE"""),10.71)</f>
        <v>10.71</v>
      </c>
      <c r="H11847" s="17"/>
      <c r="K11847" s="17"/>
      <c r="N11847" s="17"/>
    </row>
    <row r="11848">
      <c r="B11848" s="11">
        <f>IFERROR(__xludf.DUMMYFUNCTION("""COMPUTED_VALUE"""),29439.0)</f>
        <v>29439</v>
      </c>
      <c r="C11848" s="9">
        <f>IFERROR(__xludf.DUMMYFUNCTION("""COMPUTED_VALUE"""),10.8)</f>
        <v>10.8</v>
      </c>
      <c r="H11848" s="17"/>
      <c r="K11848" s="17"/>
      <c r="N11848" s="17"/>
    </row>
    <row r="11849">
      <c r="B11849" s="11">
        <f>IFERROR(__xludf.DUMMYFUNCTION("""COMPUTED_VALUE"""),29438.0)</f>
        <v>29438</v>
      </c>
      <c r="C11849" s="9">
        <f>IFERROR(__xludf.DUMMYFUNCTION("""COMPUTED_VALUE"""),10.7)</f>
        <v>10.7</v>
      </c>
      <c r="H11849" s="17"/>
      <c r="K11849" s="17"/>
      <c r="N11849" s="17"/>
    </row>
    <row r="11850">
      <c r="B11850" s="11">
        <f>IFERROR(__xludf.DUMMYFUNCTION("""COMPUTED_VALUE"""),29437.0)</f>
        <v>29437</v>
      </c>
      <c r="C11850" s="9">
        <f>IFERROR(__xludf.DUMMYFUNCTION("""COMPUTED_VALUE"""),10.69)</f>
        <v>10.69</v>
      </c>
      <c r="H11850" s="17"/>
      <c r="K11850" s="17"/>
      <c r="N11850" s="17"/>
    </row>
    <row r="11851">
      <c r="B11851" s="11">
        <f>IFERROR(__xludf.DUMMYFUNCTION("""COMPUTED_VALUE"""),29434.0)</f>
        <v>29434</v>
      </c>
      <c r="C11851" s="9">
        <f>IFERROR(__xludf.DUMMYFUNCTION("""COMPUTED_VALUE"""),10.76)</f>
        <v>10.76</v>
      </c>
      <c r="H11851" s="17"/>
      <c r="K11851" s="17"/>
      <c r="N11851" s="17"/>
    </row>
    <row r="11852">
      <c r="B11852" s="11">
        <f>IFERROR(__xludf.DUMMYFUNCTION("""COMPUTED_VALUE"""),29433.0)</f>
        <v>29433</v>
      </c>
      <c r="C11852" s="9">
        <f>IFERROR(__xludf.DUMMYFUNCTION("""COMPUTED_VALUE"""),10.76)</f>
        <v>10.76</v>
      </c>
      <c r="H11852" s="17"/>
      <c r="K11852" s="17"/>
      <c r="N11852" s="17"/>
    </row>
    <row r="11853">
      <c r="B11853" s="11">
        <f>IFERROR(__xludf.DUMMYFUNCTION("""COMPUTED_VALUE"""),29432.0)</f>
        <v>29432</v>
      </c>
      <c r="C11853" s="9">
        <f>IFERROR(__xludf.DUMMYFUNCTION("""COMPUTED_VALUE"""),10.53)</f>
        <v>10.53</v>
      </c>
      <c r="H11853" s="17"/>
      <c r="K11853" s="17"/>
      <c r="N11853" s="17"/>
    </row>
    <row r="11854">
      <c r="B11854" s="11">
        <f>IFERROR(__xludf.DUMMYFUNCTION("""COMPUTED_VALUE"""),29431.0)</f>
        <v>29431</v>
      </c>
      <c r="C11854" s="9">
        <f>IFERROR(__xludf.DUMMYFUNCTION("""COMPUTED_VALUE"""),10.45)</f>
        <v>10.45</v>
      </c>
      <c r="H11854" s="17"/>
      <c r="K11854" s="17"/>
      <c r="N11854" s="17"/>
    </row>
    <row r="11855">
      <c r="B11855" s="11">
        <f>IFERROR(__xludf.DUMMYFUNCTION("""COMPUTED_VALUE"""),29430.0)</f>
        <v>29430</v>
      </c>
      <c r="C11855" s="9">
        <f>IFERROR(__xludf.DUMMYFUNCTION("""COMPUTED_VALUE"""),10.46)</f>
        <v>10.46</v>
      </c>
      <c r="H11855" s="17"/>
      <c r="K11855" s="17"/>
      <c r="N11855" s="17"/>
    </row>
    <row r="11856">
      <c r="B11856" s="11">
        <f>IFERROR(__xludf.DUMMYFUNCTION("""COMPUTED_VALUE"""),29427.0)</f>
        <v>29427</v>
      </c>
      <c r="C11856" s="9">
        <f>IFERROR(__xludf.DUMMYFUNCTION("""COMPUTED_VALUE"""),10.35)</f>
        <v>10.35</v>
      </c>
      <c r="H11856" s="17"/>
      <c r="K11856" s="17"/>
      <c r="N11856" s="17"/>
    </row>
    <row r="11857">
      <c r="B11857" s="11">
        <f>IFERROR(__xludf.DUMMYFUNCTION("""COMPUTED_VALUE"""),29426.0)</f>
        <v>29426</v>
      </c>
      <c r="C11857" s="9">
        <f>IFERROR(__xludf.DUMMYFUNCTION("""COMPUTED_VALUE"""),10.24)</f>
        <v>10.24</v>
      </c>
      <c r="H11857" s="17"/>
      <c r="K11857" s="17"/>
      <c r="N11857" s="17"/>
    </row>
    <row r="11858">
      <c r="B11858" s="11">
        <f>IFERROR(__xludf.DUMMYFUNCTION("""COMPUTED_VALUE"""),29425.0)</f>
        <v>29425</v>
      </c>
      <c r="C11858" s="9">
        <f>IFERROR(__xludf.DUMMYFUNCTION("""COMPUTED_VALUE"""),10.12)</f>
        <v>10.12</v>
      </c>
      <c r="H11858" s="17"/>
      <c r="K11858" s="17"/>
      <c r="N11858" s="17"/>
    </row>
    <row r="11859">
      <c r="B11859" s="11">
        <f>IFERROR(__xludf.DUMMYFUNCTION("""COMPUTED_VALUE"""),29424.0)</f>
        <v>29424</v>
      </c>
      <c r="C11859" s="9">
        <f>IFERROR(__xludf.DUMMYFUNCTION("""COMPUTED_VALUE"""),10.18)</f>
        <v>10.18</v>
      </c>
      <c r="H11859" s="17"/>
      <c r="K11859" s="17"/>
      <c r="N11859" s="17"/>
    </row>
    <row r="11860">
      <c r="B11860" s="11">
        <f>IFERROR(__xludf.DUMMYFUNCTION("""COMPUTED_VALUE"""),29423.0)</f>
        <v>29423</v>
      </c>
      <c r="C11860" s="9">
        <f>IFERROR(__xludf.DUMMYFUNCTION("""COMPUTED_VALUE"""),10.13)</f>
        <v>10.13</v>
      </c>
      <c r="H11860" s="17"/>
      <c r="K11860" s="17"/>
      <c r="N11860" s="17"/>
    </row>
    <row r="11861">
      <c r="B11861" s="11">
        <f>IFERROR(__xludf.DUMMYFUNCTION("""COMPUTED_VALUE"""),29420.0)</f>
        <v>29420</v>
      </c>
      <c r="C11861" s="9">
        <f>IFERROR(__xludf.DUMMYFUNCTION("""COMPUTED_VALUE"""),10.2)</f>
        <v>10.2</v>
      </c>
      <c r="H11861" s="17"/>
      <c r="K11861" s="17"/>
      <c r="N11861" s="17"/>
    </row>
    <row r="11862">
      <c r="B11862" s="11">
        <f>IFERROR(__xludf.DUMMYFUNCTION("""COMPUTED_VALUE"""),29419.0)</f>
        <v>29419</v>
      </c>
      <c r="C11862" s="9">
        <f>IFERROR(__xludf.DUMMYFUNCTION("""COMPUTED_VALUE"""),10.21)</f>
        <v>10.21</v>
      </c>
      <c r="H11862" s="17"/>
      <c r="K11862" s="17"/>
      <c r="N11862" s="17"/>
    </row>
    <row r="11863">
      <c r="B11863" s="11">
        <f>IFERROR(__xludf.DUMMYFUNCTION("""COMPUTED_VALUE"""),29418.0)</f>
        <v>29418</v>
      </c>
      <c r="C11863" s="9">
        <f>IFERROR(__xludf.DUMMYFUNCTION("""COMPUTED_VALUE"""),10.07)</f>
        <v>10.07</v>
      </c>
      <c r="H11863" s="17"/>
      <c r="K11863" s="17"/>
      <c r="N11863" s="17"/>
    </row>
    <row r="11864">
      <c r="B11864" s="11">
        <f>IFERROR(__xludf.DUMMYFUNCTION("""COMPUTED_VALUE"""),29417.0)</f>
        <v>29417</v>
      </c>
      <c r="C11864" s="9">
        <f>IFERROR(__xludf.DUMMYFUNCTION("""COMPUTED_VALUE"""),10.17)</f>
        <v>10.17</v>
      </c>
      <c r="H11864" s="17"/>
      <c r="K11864" s="17"/>
      <c r="N11864" s="17"/>
    </row>
    <row r="11865">
      <c r="B11865" s="11">
        <f>IFERROR(__xludf.DUMMYFUNCTION("""COMPUTED_VALUE"""),29416.0)</f>
        <v>29416</v>
      </c>
      <c r="C11865" s="9">
        <f>IFERROR(__xludf.DUMMYFUNCTION("""COMPUTED_VALUE"""),10.33)</f>
        <v>10.33</v>
      </c>
      <c r="H11865" s="17"/>
      <c r="K11865" s="17"/>
      <c r="N11865" s="17"/>
    </row>
    <row r="11866">
      <c r="B11866" s="11">
        <f>IFERROR(__xludf.DUMMYFUNCTION("""COMPUTED_VALUE"""),29413.0)</f>
        <v>29413</v>
      </c>
      <c r="C11866" s="9">
        <f>IFERROR(__xludf.DUMMYFUNCTION("""COMPUTED_VALUE"""),10.28)</f>
        <v>10.28</v>
      </c>
      <c r="H11866" s="17"/>
      <c r="K11866" s="17"/>
      <c r="N11866" s="17"/>
    </row>
    <row r="11867">
      <c r="B11867" s="11">
        <f>IFERROR(__xludf.DUMMYFUNCTION("""COMPUTED_VALUE"""),29412.0)</f>
        <v>29412</v>
      </c>
      <c r="C11867" s="9">
        <f>IFERROR(__xludf.DUMMYFUNCTION("""COMPUTED_VALUE"""),10.21)</f>
        <v>10.21</v>
      </c>
      <c r="H11867" s="17"/>
      <c r="K11867" s="17"/>
      <c r="N11867" s="17"/>
    </row>
    <row r="11868">
      <c r="B11868" s="11">
        <f>IFERROR(__xludf.DUMMYFUNCTION("""COMPUTED_VALUE"""),29411.0)</f>
        <v>29411</v>
      </c>
      <c r="C11868" s="9">
        <f>IFERROR(__xludf.DUMMYFUNCTION("""COMPUTED_VALUE"""),10.14)</f>
        <v>10.14</v>
      </c>
      <c r="H11868" s="17"/>
      <c r="K11868" s="17"/>
      <c r="N11868" s="17"/>
    </row>
    <row r="11869">
      <c r="B11869" s="11">
        <f>IFERROR(__xludf.DUMMYFUNCTION("""COMPUTED_VALUE"""),29410.0)</f>
        <v>29410</v>
      </c>
      <c r="C11869" s="9">
        <f>IFERROR(__xludf.DUMMYFUNCTION("""COMPUTED_VALUE"""),10.09)</f>
        <v>10.09</v>
      </c>
      <c r="H11869" s="17"/>
      <c r="K11869" s="17"/>
      <c r="N11869" s="17"/>
    </row>
    <row r="11870">
      <c r="B11870" s="11">
        <f>IFERROR(__xludf.DUMMYFUNCTION("""COMPUTED_VALUE"""),29409.0)</f>
        <v>29409</v>
      </c>
      <c r="C11870" s="9">
        <f>IFERROR(__xludf.DUMMYFUNCTION("""COMPUTED_VALUE"""),10.2)</f>
        <v>10.2</v>
      </c>
      <c r="H11870" s="17"/>
      <c r="K11870" s="17"/>
      <c r="N11870" s="17"/>
    </row>
    <row r="11871">
      <c r="B11871" s="11">
        <f>IFERROR(__xludf.DUMMYFUNCTION("""COMPUTED_VALUE"""),29406.0)</f>
        <v>29406</v>
      </c>
      <c r="C11871" s="9"/>
      <c r="H11871" s="17"/>
      <c r="K11871" s="17"/>
      <c r="N11871" s="17"/>
    </row>
    <row r="11872">
      <c r="B11872" s="11">
        <f>IFERROR(__xludf.DUMMYFUNCTION("""COMPUTED_VALUE"""),29405.0)</f>
        <v>29405</v>
      </c>
      <c r="C11872" s="9">
        <f>IFERROR(__xludf.DUMMYFUNCTION("""COMPUTED_VALUE"""),10.01)</f>
        <v>10.01</v>
      </c>
      <c r="H11872" s="17"/>
      <c r="K11872" s="17"/>
      <c r="N11872" s="17"/>
    </row>
    <row r="11873">
      <c r="B11873" s="11">
        <f>IFERROR(__xludf.DUMMYFUNCTION("""COMPUTED_VALUE"""),29404.0)</f>
        <v>29404</v>
      </c>
      <c r="C11873" s="9">
        <f>IFERROR(__xludf.DUMMYFUNCTION("""COMPUTED_VALUE"""),10.19)</f>
        <v>10.19</v>
      </c>
      <c r="H11873" s="17"/>
      <c r="K11873" s="17"/>
      <c r="N11873" s="17"/>
    </row>
    <row r="11874">
      <c r="B11874" s="11">
        <f>IFERROR(__xludf.DUMMYFUNCTION("""COMPUTED_VALUE"""),29403.0)</f>
        <v>29403</v>
      </c>
      <c r="C11874" s="9">
        <f>IFERROR(__xludf.DUMMYFUNCTION("""COMPUTED_VALUE"""),10.13)</f>
        <v>10.13</v>
      </c>
      <c r="H11874" s="17"/>
      <c r="K11874" s="17"/>
      <c r="N11874" s="17"/>
    </row>
    <row r="11875">
      <c r="B11875" s="11">
        <f>IFERROR(__xludf.DUMMYFUNCTION("""COMPUTED_VALUE"""),29402.0)</f>
        <v>29402</v>
      </c>
      <c r="C11875" s="9">
        <f>IFERROR(__xludf.DUMMYFUNCTION("""COMPUTED_VALUE"""),10.09)</f>
        <v>10.09</v>
      </c>
      <c r="H11875" s="17"/>
      <c r="K11875" s="17"/>
      <c r="N11875" s="17"/>
    </row>
    <row r="11876">
      <c r="B11876" s="11">
        <f>IFERROR(__xludf.DUMMYFUNCTION("""COMPUTED_VALUE"""),29399.0)</f>
        <v>29399</v>
      </c>
      <c r="C11876" s="9">
        <f>IFERROR(__xludf.DUMMYFUNCTION("""COMPUTED_VALUE"""),10.04)</f>
        <v>10.04</v>
      </c>
      <c r="H11876" s="17"/>
      <c r="K11876" s="17"/>
      <c r="N11876" s="17"/>
    </row>
    <row r="11877">
      <c r="B11877" s="11">
        <f>IFERROR(__xludf.DUMMYFUNCTION("""COMPUTED_VALUE"""),29398.0)</f>
        <v>29398</v>
      </c>
      <c r="C11877" s="9">
        <f>IFERROR(__xludf.DUMMYFUNCTION("""COMPUTED_VALUE"""),9.87)</f>
        <v>9.87</v>
      </c>
      <c r="H11877" s="17"/>
      <c r="K11877" s="17"/>
      <c r="N11877" s="17"/>
    </row>
    <row r="11878">
      <c r="B11878" s="11">
        <f>IFERROR(__xludf.DUMMYFUNCTION("""COMPUTED_VALUE"""),29397.0)</f>
        <v>29397</v>
      </c>
      <c r="C11878" s="9">
        <f>IFERROR(__xludf.DUMMYFUNCTION("""COMPUTED_VALUE"""),9.79)</f>
        <v>9.79</v>
      </c>
      <c r="H11878" s="17"/>
      <c r="K11878" s="17"/>
      <c r="N11878" s="17"/>
    </row>
    <row r="11879">
      <c r="B11879" s="11">
        <f>IFERROR(__xludf.DUMMYFUNCTION("""COMPUTED_VALUE"""),29396.0)</f>
        <v>29396</v>
      </c>
      <c r="C11879" s="9">
        <f>IFERROR(__xludf.DUMMYFUNCTION("""COMPUTED_VALUE"""),9.68)</f>
        <v>9.68</v>
      </c>
      <c r="H11879" s="17"/>
      <c r="K11879" s="17"/>
      <c r="N11879" s="17"/>
    </row>
    <row r="11880">
      <c r="B11880" s="11">
        <f>IFERROR(__xludf.DUMMYFUNCTION("""COMPUTED_VALUE"""),29395.0)</f>
        <v>29395</v>
      </c>
      <c r="C11880" s="9">
        <f>IFERROR(__xludf.DUMMYFUNCTION("""COMPUTED_VALUE"""),9.63)</f>
        <v>9.63</v>
      </c>
      <c r="H11880" s="17"/>
      <c r="K11880" s="17"/>
      <c r="N11880" s="17"/>
    </row>
    <row r="11881">
      <c r="B11881" s="11">
        <f>IFERROR(__xludf.DUMMYFUNCTION("""COMPUTED_VALUE"""),29392.0)</f>
        <v>29392</v>
      </c>
      <c r="C11881" s="9">
        <f>IFERROR(__xludf.DUMMYFUNCTION("""COMPUTED_VALUE"""),9.49)</f>
        <v>9.49</v>
      </c>
      <c r="H11881" s="17"/>
      <c r="K11881" s="17"/>
      <c r="N11881" s="17"/>
    </row>
    <row r="11882">
      <c r="B11882" s="11">
        <f>IFERROR(__xludf.DUMMYFUNCTION("""COMPUTED_VALUE"""),29391.0)</f>
        <v>29391</v>
      </c>
      <c r="C11882" s="9">
        <f>IFERROR(__xludf.DUMMYFUNCTION("""COMPUTED_VALUE"""),9.56)</f>
        <v>9.56</v>
      </c>
      <c r="H11882" s="17"/>
      <c r="K11882" s="17"/>
      <c r="N11882" s="17"/>
    </row>
    <row r="11883">
      <c r="B11883" s="11">
        <f>IFERROR(__xludf.DUMMYFUNCTION("""COMPUTED_VALUE"""),29390.0)</f>
        <v>29390</v>
      </c>
      <c r="C11883" s="9">
        <f>IFERROR(__xludf.DUMMYFUNCTION("""COMPUTED_VALUE"""),9.56)</f>
        <v>9.56</v>
      </c>
      <c r="H11883" s="17"/>
      <c r="K11883" s="17"/>
      <c r="N11883" s="17"/>
    </row>
    <row r="11884">
      <c r="B11884" s="11">
        <f>IFERROR(__xludf.DUMMYFUNCTION("""COMPUTED_VALUE"""),29389.0)</f>
        <v>29389</v>
      </c>
      <c r="C11884" s="9">
        <f>IFERROR(__xludf.DUMMYFUNCTION("""COMPUTED_VALUE"""),9.49)</f>
        <v>9.49</v>
      </c>
      <c r="H11884" s="17"/>
      <c r="K11884" s="17"/>
      <c r="N11884" s="17"/>
    </row>
    <row r="11885">
      <c r="B11885" s="11">
        <f>IFERROR(__xludf.DUMMYFUNCTION("""COMPUTED_VALUE"""),29388.0)</f>
        <v>29388</v>
      </c>
      <c r="C11885" s="9">
        <f>IFERROR(__xludf.DUMMYFUNCTION("""COMPUTED_VALUE"""),9.47)</f>
        <v>9.47</v>
      </c>
      <c r="H11885" s="17"/>
      <c r="K11885" s="17"/>
      <c r="N11885" s="17"/>
    </row>
    <row r="11886">
      <c r="B11886" s="11">
        <f>IFERROR(__xludf.DUMMYFUNCTION("""COMPUTED_VALUE"""),29385.0)</f>
        <v>29385</v>
      </c>
      <c r="C11886" s="9">
        <f>IFERROR(__xludf.DUMMYFUNCTION("""COMPUTED_VALUE"""),9.51)</f>
        <v>9.51</v>
      </c>
      <c r="H11886" s="17"/>
      <c r="K11886" s="17"/>
      <c r="N11886" s="17"/>
    </row>
    <row r="11887">
      <c r="B11887" s="11">
        <f>IFERROR(__xludf.DUMMYFUNCTION("""COMPUTED_VALUE"""),29384.0)</f>
        <v>29384</v>
      </c>
      <c r="C11887" s="9">
        <f>IFERROR(__xludf.DUMMYFUNCTION("""COMPUTED_VALUE"""),9.53)</f>
        <v>9.53</v>
      </c>
      <c r="H11887" s="17"/>
      <c r="K11887" s="17"/>
      <c r="N11887" s="17"/>
    </row>
    <row r="11888">
      <c r="B11888" s="11">
        <f>IFERROR(__xludf.DUMMYFUNCTION("""COMPUTED_VALUE"""),29383.0)</f>
        <v>29383</v>
      </c>
      <c r="C11888" s="9">
        <f>IFERROR(__xludf.DUMMYFUNCTION("""COMPUTED_VALUE"""),9.7)</f>
        <v>9.7</v>
      </c>
      <c r="H11888" s="17"/>
      <c r="K11888" s="17"/>
      <c r="N11888" s="17"/>
    </row>
    <row r="11889">
      <c r="B11889" s="11">
        <f>IFERROR(__xludf.DUMMYFUNCTION("""COMPUTED_VALUE"""),29382.0)</f>
        <v>29382</v>
      </c>
      <c r="C11889" s="9">
        <f>IFERROR(__xludf.DUMMYFUNCTION("""COMPUTED_VALUE"""),9.83)</f>
        <v>9.83</v>
      </c>
      <c r="H11889" s="17"/>
      <c r="K11889" s="17"/>
      <c r="N11889" s="17"/>
    </row>
    <row r="11890">
      <c r="B11890" s="11">
        <f>IFERROR(__xludf.DUMMYFUNCTION("""COMPUTED_VALUE"""),29381.0)</f>
        <v>29381</v>
      </c>
      <c r="C11890" s="9">
        <f>IFERROR(__xludf.DUMMYFUNCTION("""COMPUTED_VALUE"""),9.73)</f>
        <v>9.73</v>
      </c>
      <c r="H11890" s="17"/>
      <c r="K11890" s="17"/>
      <c r="N11890" s="17"/>
    </row>
    <row r="11891">
      <c r="B11891" s="11">
        <f>IFERROR(__xludf.DUMMYFUNCTION("""COMPUTED_VALUE"""),29378.0)</f>
        <v>29378</v>
      </c>
      <c r="C11891" s="9">
        <f>IFERROR(__xludf.DUMMYFUNCTION("""COMPUTED_VALUE"""),9.81)</f>
        <v>9.81</v>
      </c>
      <c r="H11891" s="17"/>
      <c r="K11891" s="17"/>
      <c r="N11891" s="17"/>
    </row>
    <row r="11892">
      <c r="B11892" s="11">
        <f>IFERROR(__xludf.DUMMYFUNCTION("""COMPUTED_VALUE"""),29377.0)</f>
        <v>29377</v>
      </c>
      <c r="C11892" s="9">
        <f>IFERROR(__xludf.DUMMYFUNCTION("""COMPUTED_VALUE"""),10.02)</f>
        <v>10.02</v>
      </c>
      <c r="H11892" s="17"/>
      <c r="K11892" s="17"/>
      <c r="N11892" s="17"/>
    </row>
    <row r="11893">
      <c r="B11893" s="11">
        <f>IFERROR(__xludf.DUMMYFUNCTION("""COMPUTED_VALUE"""),29376.0)</f>
        <v>29376</v>
      </c>
      <c r="C11893" s="9">
        <f>IFERROR(__xludf.DUMMYFUNCTION("""COMPUTED_VALUE"""),10.07)</f>
        <v>10.07</v>
      </c>
      <c r="H11893" s="17"/>
      <c r="K11893" s="17"/>
      <c r="N11893" s="17"/>
    </row>
    <row r="11894">
      <c r="B11894" s="11">
        <f>IFERROR(__xludf.DUMMYFUNCTION("""COMPUTED_VALUE"""),29375.0)</f>
        <v>29375</v>
      </c>
      <c r="C11894" s="9">
        <f>IFERROR(__xludf.DUMMYFUNCTION("""COMPUTED_VALUE"""),10.16)</f>
        <v>10.16</v>
      </c>
      <c r="H11894" s="17"/>
      <c r="K11894" s="17"/>
      <c r="N11894" s="17"/>
    </row>
    <row r="11895">
      <c r="B11895" s="11">
        <f>IFERROR(__xludf.DUMMYFUNCTION("""COMPUTED_VALUE"""),29374.0)</f>
        <v>29374</v>
      </c>
      <c r="C11895" s="9">
        <f>IFERROR(__xludf.DUMMYFUNCTION("""COMPUTED_VALUE"""),10.31)</f>
        <v>10.31</v>
      </c>
      <c r="H11895" s="17"/>
      <c r="K11895" s="17"/>
      <c r="N11895" s="17"/>
    </row>
    <row r="11896">
      <c r="B11896" s="11">
        <f>IFERROR(__xludf.DUMMYFUNCTION("""COMPUTED_VALUE"""),29371.0)</f>
        <v>29371</v>
      </c>
      <c r="C11896" s="9">
        <f>IFERROR(__xludf.DUMMYFUNCTION("""COMPUTED_VALUE"""),10.25)</f>
        <v>10.25</v>
      </c>
      <c r="H11896" s="17"/>
      <c r="K11896" s="17"/>
      <c r="N11896" s="17"/>
    </row>
    <row r="11897">
      <c r="B11897" s="11">
        <f>IFERROR(__xludf.DUMMYFUNCTION("""COMPUTED_VALUE"""),29370.0)</f>
        <v>29370</v>
      </c>
      <c r="C11897" s="9">
        <f>IFERROR(__xludf.DUMMYFUNCTION("""COMPUTED_VALUE"""),10.24)</f>
        <v>10.24</v>
      </c>
      <c r="H11897" s="17"/>
      <c r="K11897" s="17"/>
      <c r="N11897" s="17"/>
    </row>
    <row r="11898">
      <c r="B11898" s="11">
        <f>IFERROR(__xludf.DUMMYFUNCTION("""COMPUTED_VALUE"""),29369.0)</f>
        <v>29369</v>
      </c>
      <c r="C11898" s="9">
        <f>IFERROR(__xludf.DUMMYFUNCTION("""COMPUTED_VALUE"""),10.1)</f>
        <v>10.1</v>
      </c>
      <c r="H11898" s="17"/>
      <c r="K11898" s="17"/>
      <c r="N11898" s="17"/>
    </row>
    <row r="11899">
      <c r="B11899" s="11">
        <f>IFERROR(__xludf.DUMMYFUNCTION("""COMPUTED_VALUE"""),29368.0)</f>
        <v>29368</v>
      </c>
      <c r="C11899" s="9">
        <f>IFERROR(__xludf.DUMMYFUNCTION("""COMPUTED_VALUE"""),9.96)</f>
        <v>9.96</v>
      </c>
      <c r="H11899" s="17"/>
      <c r="K11899" s="17"/>
      <c r="N11899" s="17"/>
    </row>
    <row r="11900">
      <c r="B11900" s="11">
        <f>IFERROR(__xludf.DUMMYFUNCTION("""COMPUTED_VALUE"""),29367.0)</f>
        <v>29367</v>
      </c>
      <c r="C11900" s="9"/>
      <c r="H11900" s="17"/>
      <c r="K11900" s="17"/>
      <c r="N11900" s="17"/>
    </row>
    <row r="11901">
      <c r="B11901" s="11">
        <f>IFERROR(__xludf.DUMMYFUNCTION("""COMPUTED_VALUE"""),29364.0)</f>
        <v>29364</v>
      </c>
      <c r="C11901" s="9">
        <f>IFERROR(__xludf.DUMMYFUNCTION("""COMPUTED_VALUE"""),9.85)</f>
        <v>9.85</v>
      </c>
      <c r="H11901" s="17"/>
      <c r="K11901" s="17"/>
      <c r="N11901" s="17"/>
    </row>
    <row r="11902">
      <c r="B11902" s="11">
        <f>IFERROR(__xludf.DUMMYFUNCTION("""COMPUTED_VALUE"""),29363.0)</f>
        <v>29363</v>
      </c>
      <c r="C11902" s="9">
        <f>IFERROR(__xludf.DUMMYFUNCTION("""COMPUTED_VALUE"""),10.1)</f>
        <v>10.1</v>
      </c>
      <c r="H11902" s="17"/>
      <c r="K11902" s="17"/>
      <c r="N11902" s="17"/>
    </row>
    <row r="11903">
      <c r="B11903" s="11">
        <f>IFERROR(__xludf.DUMMYFUNCTION("""COMPUTED_VALUE"""),29362.0)</f>
        <v>29362</v>
      </c>
      <c r="C11903" s="9">
        <f>IFERROR(__xludf.DUMMYFUNCTION("""COMPUTED_VALUE"""),10.08)</f>
        <v>10.08</v>
      </c>
      <c r="H11903" s="17"/>
      <c r="K11903" s="17"/>
      <c r="N11903" s="17"/>
    </row>
    <row r="11904">
      <c r="B11904" s="11">
        <f>IFERROR(__xludf.DUMMYFUNCTION("""COMPUTED_VALUE"""),29361.0)</f>
        <v>29361</v>
      </c>
      <c r="C11904" s="9">
        <f>IFERROR(__xludf.DUMMYFUNCTION("""COMPUTED_VALUE"""),10.22)</f>
        <v>10.22</v>
      </c>
      <c r="H11904" s="17"/>
      <c r="K11904" s="17"/>
      <c r="N11904" s="17"/>
    </row>
    <row r="11905">
      <c r="B11905" s="11">
        <f>IFERROR(__xludf.DUMMYFUNCTION("""COMPUTED_VALUE"""),29360.0)</f>
        <v>29360</v>
      </c>
      <c r="C11905" s="9">
        <f>IFERROR(__xludf.DUMMYFUNCTION("""COMPUTED_VALUE"""),10.53)</f>
        <v>10.53</v>
      </c>
      <c r="H11905" s="17"/>
      <c r="K11905" s="17"/>
      <c r="N11905" s="17"/>
    </row>
    <row r="11906">
      <c r="B11906" s="11">
        <f>IFERROR(__xludf.DUMMYFUNCTION("""COMPUTED_VALUE"""),29357.0)</f>
        <v>29357</v>
      </c>
      <c r="C11906" s="9">
        <f>IFERROR(__xludf.DUMMYFUNCTION("""COMPUTED_VALUE"""),10.37)</f>
        <v>10.37</v>
      </c>
      <c r="H11906" s="17"/>
      <c r="K11906" s="17"/>
      <c r="N11906" s="17"/>
    </row>
    <row r="11907">
      <c r="B11907" s="11">
        <f>IFERROR(__xludf.DUMMYFUNCTION("""COMPUTED_VALUE"""),29356.0)</f>
        <v>29356</v>
      </c>
      <c r="C11907" s="9">
        <f>IFERROR(__xludf.DUMMYFUNCTION("""COMPUTED_VALUE"""),10.31)</f>
        <v>10.31</v>
      </c>
      <c r="H11907" s="17"/>
      <c r="K11907" s="17"/>
      <c r="N11907" s="17"/>
    </row>
    <row r="11908">
      <c r="B11908" s="11">
        <f>IFERROR(__xludf.DUMMYFUNCTION("""COMPUTED_VALUE"""),29355.0)</f>
        <v>29355</v>
      </c>
      <c r="C11908" s="9">
        <f>IFERROR(__xludf.DUMMYFUNCTION("""COMPUTED_VALUE"""),10.14)</f>
        <v>10.14</v>
      </c>
      <c r="H11908" s="17"/>
      <c r="K11908" s="17"/>
      <c r="N11908" s="17"/>
    </row>
    <row r="11909">
      <c r="B11909" s="11">
        <f>IFERROR(__xludf.DUMMYFUNCTION("""COMPUTED_VALUE"""),29354.0)</f>
        <v>29354</v>
      </c>
      <c r="C11909" s="9">
        <f>IFERROR(__xludf.DUMMYFUNCTION("""COMPUTED_VALUE"""),10.13)</f>
        <v>10.13</v>
      </c>
      <c r="H11909" s="17"/>
      <c r="K11909" s="17"/>
      <c r="N11909" s="17"/>
    </row>
    <row r="11910">
      <c r="B11910" s="11">
        <f>IFERROR(__xludf.DUMMYFUNCTION("""COMPUTED_VALUE"""),29353.0)</f>
        <v>29353</v>
      </c>
      <c r="C11910" s="9">
        <f>IFERROR(__xludf.DUMMYFUNCTION("""COMPUTED_VALUE"""),10.3)</f>
        <v>10.3</v>
      </c>
      <c r="H11910" s="17"/>
      <c r="K11910" s="17"/>
      <c r="N11910" s="17"/>
    </row>
    <row r="11911">
      <c r="B11911" s="11">
        <f>IFERROR(__xludf.DUMMYFUNCTION("""COMPUTED_VALUE"""),29350.0)</f>
        <v>29350</v>
      </c>
      <c r="C11911" s="9">
        <f>IFERROR(__xludf.DUMMYFUNCTION("""COMPUTED_VALUE"""),10.3)</f>
        <v>10.3</v>
      </c>
      <c r="H11911" s="17"/>
      <c r="K11911" s="17"/>
      <c r="N11911" s="17"/>
    </row>
    <row r="11912">
      <c r="B11912" s="11">
        <f>IFERROR(__xludf.DUMMYFUNCTION("""COMPUTED_VALUE"""),29349.0)</f>
        <v>29349</v>
      </c>
      <c r="C11912" s="9">
        <f>IFERROR(__xludf.DUMMYFUNCTION("""COMPUTED_VALUE"""),10.18)</f>
        <v>10.18</v>
      </c>
      <c r="H11912" s="17"/>
      <c r="K11912" s="17"/>
      <c r="N11912" s="17"/>
    </row>
    <row r="11913">
      <c r="B11913" s="11">
        <f>IFERROR(__xludf.DUMMYFUNCTION("""COMPUTED_VALUE"""),29348.0)</f>
        <v>29348</v>
      </c>
      <c r="C11913" s="9">
        <f>IFERROR(__xludf.DUMMYFUNCTION("""COMPUTED_VALUE"""),9.96)</f>
        <v>9.96</v>
      </c>
      <c r="H11913" s="17"/>
      <c r="K11913" s="17"/>
      <c r="N11913" s="17"/>
    </row>
    <row r="11914">
      <c r="B11914" s="11">
        <f>IFERROR(__xludf.DUMMYFUNCTION("""COMPUTED_VALUE"""),29347.0)</f>
        <v>29347</v>
      </c>
      <c r="C11914" s="9">
        <f>IFERROR(__xludf.DUMMYFUNCTION("""COMPUTED_VALUE"""),9.8)</f>
        <v>9.8</v>
      </c>
      <c r="H11914" s="17"/>
      <c r="K11914" s="17"/>
      <c r="N11914" s="17"/>
    </row>
    <row r="11915">
      <c r="B11915" s="11">
        <f>IFERROR(__xludf.DUMMYFUNCTION("""COMPUTED_VALUE"""),29346.0)</f>
        <v>29346</v>
      </c>
      <c r="C11915" s="9">
        <f>IFERROR(__xludf.DUMMYFUNCTION("""COMPUTED_VALUE"""),10.18)</f>
        <v>10.18</v>
      </c>
      <c r="H11915" s="17"/>
      <c r="K11915" s="17"/>
      <c r="N11915" s="17"/>
    </row>
    <row r="11916">
      <c r="B11916" s="11">
        <f>IFERROR(__xludf.DUMMYFUNCTION("""COMPUTED_VALUE"""),29343.0)</f>
        <v>29343</v>
      </c>
      <c r="C11916" s="9">
        <f>IFERROR(__xludf.DUMMYFUNCTION("""COMPUTED_VALUE"""),10.24)</f>
        <v>10.24</v>
      </c>
      <c r="H11916" s="17"/>
      <c r="K11916" s="17"/>
      <c r="N11916" s="17"/>
    </row>
    <row r="11917">
      <c r="B11917" s="11">
        <f>IFERROR(__xludf.DUMMYFUNCTION("""COMPUTED_VALUE"""),29342.0)</f>
        <v>29342</v>
      </c>
      <c r="C11917" s="9">
        <f>IFERROR(__xludf.DUMMYFUNCTION("""COMPUTED_VALUE"""),10.57)</f>
        <v>10.57</v>
      </c>
      <c r="H11917" s="17"/>
      <c r="K11917" s="17"/>
      <c r="N11917" s="17"/>
    </row>
    <row r="11918">
      <c r="B11918" s="11">
        <f>IFERROR(__xludf.DUMMYFUNCTION("""COMPUTED_VALUE"""),29341.0)</f>
        <v>29341</v>
      </c>
      <c r="C11918" s="9">
        <f>IFERROR(__xludf.DUMMYFUNCTION("""COMPUTED_VALUE"""),10.76)</f>
        <v>10.76</v>
      </c>
      <c r="H11918" s="17"/>
      <c r="K11918" s="17"/>
      <c r="N11918" s="17"/>
    </row>
    <row r="11919">
      <c r="B11919" s="11">
        <f>IFERROR(__xludf.DUMMYFUNCTION("""COMPUTED_VALUE"""),29340.0)</f>
        <v>29340</v>
      </c>
      <c r="C11919" s="9">
        <f>IFERROR(__xludf.DUMMYFUNCTION("""COMPUTED_VALUE"""),10.67)</f>
        <v>10.67</v>
      </c>
      <c r="H11919" s="17"/>
      <c r="K11919" s="17"/>
      <c r="N11919" s="17"/>
    </row>
    <row r="11920">
      <c r="B11920" s="11">
        <f>IFERROR(__xludf.DUMMYFUNCTION("""COMPUTED_VALUE"""),29339.0)</f>
        <v>29339</v>
      </c>
      <c r="C11920" s="9">
        <f>IFERROR(__xludf.DUMMYFUNCTION("""COMPUTED_VALUE"""),10.63)</f>
        <v>10.63</v>
      </c>
      <c r="H11920" s="17"/>
      <c r="K11920" s="17"/>
      <c r="N11920" s="17"/>
    </row>
    <row r="11921">
      <c r="B11921" s="11">
        <f>IFERROR(__xludf.DUMMYFUNCTION("""COMPUTED_VALUE"""),29336.0)</f>
        <v>29336</v>
      </c>
      <c r="C11921" s="9">
        <f>IFERROR(__xludf.DUMMYFUNCTION("""COMPUTED_VALUE"""),10.95)</f>
        <v>10.95</v>
      </c>
      <c r="H11921" s="17"/>
      <c r="K11921" s="17"/>
      <c r="N11921" s="17"/>
    </row>
    <row r="11922">
      <c r="B11922" s="11">
        <f>IFERROR(__xludf.DUMMYFUNCTION("""COMPUTED_VALUE"""),29335.0)</f>
        <v>29335</v>
      </c>
      <c r="C11922" s="9">
        <f>IFERROR(__xludf.DUMMYFUNCTION("""COMPUTED_VALUE"""),10.96)</f>
        <v>10.96</v>
      </c>
      <c r="H11922" s="17"/>
      <c r="K11922" s="17"/>
      <c r="N11922" s="17"/>
    </row>
    <row r="11923">
      <c r="B11923" s="11">
        <f>IFERROR(__xludf.DUMMYFUNCTION("""COMPUTED_VALUE"""),29334.0)</f>
        <v>29334</v>
      </c>
      <c r="C11923" s="9">
        <f>IFERROR(__xludf.DUMMYFUNCTION("""COMPUTED_VALUE"""),10.89)</f>
        <v>10.89</v>
      </c>
      <c r="H11923" s="17"/>
      <c r="K11923" s="17"/>
      <c r="N11923" s="17"/>
    </row>
    <row r="11924">
      <c r="B11924" s="11">
        <f>IFERROR(__xludf.DUMMYFUNCTION("""COMPUTED_VALUE"""),29333.0)</f>
        <v>29333</v>
      </c>
      <c r="C11924" s="9">
        <f>IFERROR(__xludf.DUMMYFUNCTION("""COMPUTED_VALUE"""),10.82)</f>
        <v>10.82</v>
      </c>
      <c r="H11924" s="17"/>
      <c r="K11924" s="17"/>
      <c r="N11924" s="17"/>
    </row>
    <row r="11925">
      <c r="B11925" s="11">
        <f>IFERROR(__xludf.DUMMYFUNCTION("""COMPUTED_VALUE"""),29332.0)</f>
        <v>29332</v>
      </c>
      <c r="C11925" s="9">
        <f>IFERROR(__xludf.DUMMYFUNCTION("""COMPUTED_VALUE"""),10.9)</f>
        <v>10.9</v>
      </c>
      <c r="H11925" s="17"/>
      <c r="K11925" s="17"/>
      <c r="N11925" s="17"/>
    </row>
    <row r="11926">
      <c r="B11926" s="11">
        <f>IFERROR(__xludf.DUMMYFUNCTION("""COMPUTED_VALUE"""),29329.0)</f>
        <v>29329</v>
      </c>
      <c r="C11926" s="9">
        <f>IFERROR(__xludf.DUMMYFUNCTION("""COMPUTED_VALUE"""),11.05)</f>
        <v>11.05</v>
      </c>
      <c r="H11926" s="17"/>
      <c r="K11926" s="17"/>
      <c r="N11926" s="17"/>
    </row>
    <row r="11927">
      <c r="B11927" s="11">
        <f>IFERROR(__xludf.DUMMYFUNCTION("""COMPUTED_VALUE"""),29328.0)</f>
        <v>29328</v>
      </c>
      <c r="C11927" s="9">
        <f>IFERROR(__xludf.DUMMYFUNCTION("""COMPUTED_VALUE"""),11.13)</f>
        <v>11.13</v>
      </c>
      <c r="H11927" s="17"/>
      <c r="K11927" s="17"/>
      <c r="N11927" s="17"/>
    </row>
    <row r="11928">
      <c r="B11928" s="11">
        <f>IFERROR(__xludf.DUMMYFUNCTION("""COMPUTED_VALUE"""),29327.0)</f>
        <v>29327</v>
      </c>
      <c r="C11928" s="9">
        <f>IFERROR(__xludf.DUMMYFUNCTION("""COMPUTED_VALUE"""),10.9)</f>
        <v>10.9</v>
      </c>
      <c r="H11928" s="17"/>
      <c r="K11928" s="17"/>
      <c r="N11928" s="17"/>
    </row>
    <row r="11929">
      <c r="B11929" s="11">
        <f>IFERROR(__xludf.DUMMYFUNCTION("""COMPUTED_VALUE"""),29326.0)</f>
        <v>29326</v>
      </c>
      <c r="C11929" s="9">
        <f>IFERROR(__xludf.DUMMYFUNCTION("""COMPUTED_VALUE"""),11.57)</f>
        <v>11.57</v>
      </c>
      <c r="H11929" s="17"/>
      <c r="K11929" s="17"/>
      <c r="N11929" s="17"/>
    </row>
    <row r="11930">
      <c r="B11930" s="11">
        <f>IFERROR(__xludf.DUMMYFUNCTION("""COMPUTED_VALUE"""),29325.0)</f>
        <v>29325</v>
      </c>
      <c r="C11930" s="9">
        <f>IFERROR(__xludf.DUMMYFUNCTION("""COMPUTED_VALUE"""),11.62)</f>
        <v>11.62</v>
      </c>
      <c r="H11930" s="17"/>
      <c r="K11930" s="17"/>
      <c r="N11930" s="17"/>
    </row>
    <row r="11931">
      <c r="B11931" s="11">
        <f>IFERROR(__xludf.DUMMYFUNCTION("""COMPUTED_VALUE"""),29322.0)</f>
        <v>29322</v>
      </c>
      <c r="C11931" s="9">
        <f>IFERROR(__xludf.DUMMYFUNCTION("""COMPUTED_VALUE"""),11.79)</f>
        <v>11.79</v>
      </c>
      <c r="H11931" s="17"/>
      <c r="K11931" s="17"/>
      <c r="N11931" s="17"/>
    </row>
    <row r="11932">
      <c r="B11932" s="11">
        <f>IFERROR(__xludf.DUMMYFUNCTION("""COMPUTED_VALUE"""),29321.0)</f>
        <v>29321</v>
      </c>
      <c r="C11932" s="9">
        <f>IFERROR(__xludf.DUMMYFUNCTION("""COMPUTED_VALUE"""),12.06)</f>
        <v>12.06</v>
      </c>
      <c r="H11932" s="17"/>
      <c r="K11932" s="17"/>
      <c r="N11932" s="17"/>
    </row>
    <row r="11933">
      <c r="B11933" s="11">
        <f>IFERROR(__xludf.DUMMYFUNCTION("""COMPUTED_VALUE"""),29320.0)</f>
        <v>29320</v>
      </c>
      <c r="C11933" s="9">
        <f>IFERROR(__xludf.DUMMYFUNCTION("""COMPUTED_VALUE"""),12.06)</f>
        <v>12.06</v>
      </c>
      <c r="H11933" s="17"/>
      <c r="K11933" s="17"/>
      <c r="N11933" s="17"/>
    </row>
    <row r="11934">
      <c r="B11934" s="11">
        <f>IFERROR(__xludf.DUMMYFUNCTION("""COMPUTED_VALUE"""),29319.0)</f>
        <v>29319</v>
      </c>
      <c r="C11934" s="9">
        <f>IFERROR(__xludf.DUMMYFUNCTION("""COMPUTED_VALUE"""),12.21)</f>
        <v>12.21</v>
      </c>
      <c r="H11934" s="17"/>
      <c r="K11934" s="17"/>
      <c r="N11934" s="17"/>
    </row>
    <row r="11935">
      <c r="B11935" s="11">
        <f>IFERROR(__xludf.DUMMYFUNCTION("""COMPUTED_VALUE"""),29318.0)</f>
        <v>29318</v>
      </c>
      <c r="C11935" s="9">
        <f>IFERROR(__xludf.DUMMYFUNCTION("""COMPUTED_VALUE"""),12.13)</f>
        <v>12.13</v>
      </c>
      <c r="H11935" s="17"/>
      <c r="K11935" s="17"/>
      <c r="N11935" s="17"/>
    </row>
    <row r="11936">
      <c r="B11936" s="11">
        <f>IFERROR(__xludf.DUMMYFUNCTION("""COMPUTED_VALUE"""),29315.0)</f>
        <v>29315</v>
      </c>
      <c r="C11936" s="9"/>
      <c r="H11936" s="17"/>
      <c r="K11936" s="17"/>
      <c r="N11936" s="17"/>
    </row>
    <row r="11937">
      <c r="B11937" s="11">
        <f>IFERROR(__xludf.DUMMYFUNCTION("""COMPUTED_VALUE"""),29314.0)</f>
        <v>29314</v>
      </c>
      <c r="C11937" s="9">
        <f>IFERROR(__xludf.DUMMYFUNCTION("""COMPUTED_VALUE"""),12.52)</f>
        <v>12.52</v>
      </c>
      <c r="H11937" s="17"/>
      <c r="K11937" s="17"/>
      <c r="N11937" s="17"/>
    </row>
    <row r="11938">
      <c r="B11938" s="11">
        <f>IFERROR(__xludf.DUMMYFUNCTION("""COMPUTED_VALUE"""),29313.0)</f>
        <v>29313</v>
      </c>
      <c r="C11938" s="9">
        <f>IFERROR(__xludf.DUMMYFUNCTION("""COMPUTED_VALUE"""),12.63)</f>
        <v>12.63</v>
      </c>
      <c r="H11938" s="17"/>
      <c r="K11938" s="17"/>
      <c r="N11938" s="17"/>
    </row>
    <row r="11939">
      <c r="B11939" s="11">
        <f>IFERROR(__xludf.DUMMYFUNCTION("""COMPUTED_VALUE"""),29312.0)</f>
        <v>29312</v>
      </c>
      <c r="C11939" s="9">
        <f>IFERROR(__xludf.DUMMYFUNCTION("""COMPUTED_VALUE"""),12.69)</f>
        <v>12.69</v>
      </c>
      <c r="H11939" s="17"/>
      <c r="K11939" s="17"/>
      <c r="N11939" s="17"/>
    </row>
    <row r="11940">
      <c r="B11940" s="11">
        <f>IFERROR(__xludf.DUMMYFUNCTION("""COMPUTED_VALUE"""),29311.0)</f>
        <v>29311</v>
      </c>
      <c r="C11940" s="9">
        <f>IFERROR(__xludf.DUMMYFUNCTION("""COMPUTED_VALUE"""),12.64)</f>
        <v>12.64</v>
      </c>
      <c r="H11940" s="17"/>
      <c r="K11940" s="17"/>
      <c r="N11940" s="17"/>
    </row>
    <row r="11941">
      <c r="B11941" s="11">
        <f>IFERROR(__xludf.DUMMYFUNCTION("""COMPUTED_VALUE"""),29308.0)</f>
        <v>29308</v>
      </c>
      <c r="C11941" s="9">
        <f>IFERROR(__xludf.DUMMYFUNCTION("""COMPUTED_VALUE"""),12.72)</f>
        <v>12.72</v>
      </c>
      <c r="H11941" s="17"/>
      <c r="K11941" s="17"/>
      <c r="N11941" s="17"/>
    </row>
    <row r="11942">
      <c r="B11942" s="11">
        <f>IFERROR(__xludf.DUMMYFUNCTION("""COMPUTED_VALUE"""),29307.0)</f>
        <v>29307</v>
      </c>
      <c r="C11942" s="9">
        <f>IFERROR(__xludf.DUMMYFUNCTION("""COMPUTED_VALUE"""),12.97)</f>
        <v>12.97</v>
      </c>
      <c r="H11942" s="17"/>
      <c r="K11942" s="17"/>
      <c r="N11942" s="17"/>
    </row>
    <row r="11943">
      <c r="B11943" s="11">
        <f>IFERROR(__xludf.DUMMYFUNCTION("""COMPUTED_VALUE"""),29306.0)</f>
        <v>29306</v>
      </c>
      <c r="C11943" s="9">
        <f>IFERROR(__xludf.DUMMYFUNCTION("""COMPUTED_VALUE"""),13.03)</f>
        <v>13.03</v>
      </c>
      <c r="H11943" s="17"/>
      <c r="K11943" s="17"/>
      <c r="N11943" s="17"/>
    </row>
    <row r="11944">
      <c r="B11944" s="11">
        <f>IFERROR(__xludf.DUMMYFUNCTION("""COMPUTED_VALUE"""),29305.0)</f>
        <v>29305</v>
      </c>
      <c r="C11944" s="9">
        <f>IFERROR(__xludf.DUMMYFUNCTION("""COMPUTED_VALUE"""),13.1)</f>
        <v>13.1</v>
      </c>
      <c r="H11944" s="17"/>
      <c r="K11944" s="17"/>
      <c r="N11944" s="17"/>
    </row>
    <row r="11945">
      <c r="B11945" s="11">
        <f>IFERROR(__xludf.DUMMYFUNCTION("""COMPUTED_VALUE"""),29304.0)</f>
        <v>29304</v>
      </c>
      <c r="C11945" s="9">
        <f>IFERROR(__xludf.DUMMYFUNCTION("""COMPUTED_VALUE"""),13.17)</f>
        <v>13.17</v>
      </c>
      <c r="H11945" s="17"/>
      <c r="K11945" s="17"/>
      <c r="N11945" s="17"/>
    </row>
    <row r="11946">
      <c r="B11946" s="11">
        <f>IFERROR(__xludf.DUMMYFUNCTION("""COMPUTED_VALUE"""),29301.0)</f>
        <v>29301</v>
      </c>
      <c r="C11946" s="9">
        <f>IFERROR(__xludf.DUMMYFUNCTION("""COMPUTED_VALUE"""),12.75)</f>
        <v>12.75</v>
      </c>
      <c r="H11946" s="17"/>
      <c r="K11946" s="17"/>
      <c r="N11946" s="17"/>
    </row>
    <row r="11947">
      <c r="B11947" s="11">
        <f>IFERROR(__xludf.DUMMYFUNCTION("""COMPUTED_VALUE"""),29300.0)</f>
        <v>29300</v>
      </c>
      <c r="C11947" s="9">
        <f>IFERROR(__xludf.DUMMYFUNCTION("""COMPUTED_VALUE"""),12.62)</f>
        <v>12.62</v>
      </c>
      <c r="H11947" s="17"/>
      <c r="K11947" s="17"/>
      <c r="N11947" s="17"/>
    </row>
    <row r="11948">
      <c r="B11948" s="11">
        <f>IFERROR(__xludf.DUMMYFUNCTION("""COMPUTED_VALUE"""),29299.0)</f>
        <v>29299</v>
      </c>
      <c r="C11948" s="9">
        <f>IFERROR(__xludf.DUMMYFUNCTION("""COMPUTED_VALUE"""),12.35)</f>
        <v>12.35</v>
      </c>
      <c r="H11948" s="17"/>
      <c r="K11948" s="17"/>
      <c r="N11948" s="17"/>
    </row>
    <row r="11949">
      <c r="B11949" s="11">
        <f>IFERROR(__xludf.DUMMYFUNCTION("""COMPUTED_VALUE"""),29298.0)</f>
        <v>29298</v>
      </c>
      <c r="C11949" s="9">
        <f>IFERROR(__xludf.DUMMYFUNCTION("""COMPUTED_VALUE"""),12.4)</f>
        <v>12.4</v>
      </c>
      <c r="H11949" s="17"/>
      <c r="K11949" s="17"/>
      <c r="N11949" s="17"/>
    </row>
    <row r="11950">
      <c r="B11950" s="11">
        <f>IFERROR(__xludf.DUMMYFUNCTION("""COMPUTED_VALUE"""),29297.0)</f>
        <v>29297</v>
      </c>
      <c r="C11950" s="9">
        <f>IFERROR(__xludf.DUMMYFUNCTION("""COMPUTED_VALUE"""),12.58)</f>
        <v>12.58</v>
      </c>
      <c r="H11950" s="17"/>
      <c r="K11950" s="17"/>
      <c r="N11950" s="17"/>
    </row>
    <row r="11951">
      <c r="B11951" s="11">
        <f>IFERROR(__xludf.DUMMYFUNCTION("""COMPUTED_VALUE"""),29294.0)</f>
        <v>29294</v>
      </c>
      <c r="C11951" s="9">
        <f>IFERROR(__xludf.DUMMYFUNCTION("""COMPUTED_VALUE"""),12.52)</f>
        <v>12.52</v>
      </c>
      <c r="H11951" s="17"/>
      <c r="K11951" s="17"/>
      <c r="N11951" s="17"/>
    </row>
    <row r="11952">
      <c r="B11952" s="11">
        <f>IFERROR(__xludf.DUMMYFUNCTION("""COMPUTED_VALUE"""),29293.0)</f>
        <v>29293</v>
      </c>
      <c r="C11952" s="9">
        <f>IFERROR(__xludf.DUMMYFUNCTION("""COMPUTED_VALUE"""),12.5)</f>
        <v>12.5</v>
      </c>
      <c r="H11952" s="17"/>
      <c r="K11952" s="17"/>
      <c r="N11952" s="17"/>
    </row>
    <row r="11953">
      <c r="B11953" s="11">
        <f>IFERROR(__xludf.DUMMYFUNCTION("""COMPUTED_VALUE"""),29292.0)</f>
        <v>29292</v>
      </c>
      <c r="C11953" s="9">
        <f>IFERROR(__xludf.DUMMYFUNCTION("""COMPUTED_VALUE"""),12.62)</f>
        <v>12.62</v>
      </c>
      <c r="H11953" s="17"/>
      <c r="K11953" s="17"/>
      <c r="N11953" s="17"/>
    </row>
    <row r="11954">
      <c r="B11954" s="11">
        <f>IFERROR(__xludf.DUMMYFUNCTION("""COMPUTED_VALUE"""),29291.0)</f>
        <v>29291</v>
      </c>
      <c r="C11954" s="9">
        <f>IFERROR(__xludf.DUMMYFUNCTION("""COMPUTED_VALUE"""),12.41)</f>
        <v>12.41</v>
      </c>
      <c r="H11954" s="17"/>
      <c r="K11954" s="17"/>
      <c r="N11954" s="17"/>
    </row>
    <row r="11955">
      <c r="B11955" s="11">
        <f>IFERROR(__xludf.DUMMYFUNCTION("""COMPUTED_VALUE"""),29290.0)</f>
        <v>29290</v>
      </c>
      <c r="C11955" s="9">
        <f>IFERROR(__xludf.DUMMYFUNCTION("""COMPUTED_VALUE"""),12.63)</f>
        <v>12.63</v>
      </c>
      <c r="H11955" s="17"/>
      <c r="K11955" s="17"/>
      <c r="N11955" s="17"/>
    </row>
    <row r="11956">
      <c r="B11956" s="11">
        <f>IFERROR(__xludf.DUMMYFUNCTION("""COMPUTED_VALUE"""),29287.0)</f>
        <v>29287</v>
      </c>
      <c r="C11956" s="9">
        <f>IFERROR(__xludf.DUMMYFUNCTION("""COMPUTED_VALUE"""),12.86)</f>
        <v>12.86</v>
      </c>
      <c r="H11956" s="17"/>
      <c r="K11956" s="17"/>
      <c r="N11956" s="17"/>
    </row>
    <row r="11957">
      <c r="B11957" s="11">
        <f>IFERROR(__xludf.DUMMYFUNCTION("""COMPUTED_VALUE"""),29286.0)</f>
        <v>29286</v>
      </c>
      <c r="C11957" s="9">
        <f>IFERROR(__xludf.DUMMYFUNCTION("""COMPUTED_VALUE"""),13.13)</f>
        <v>13.13</v>
      </c>
      <c r="H11957" s="17"/>
      <c r="K11957" s="17"/>
      <c r="N11957" s="17"/>
    </row>
    <row r="11958">
      <c r="B11958" s="11">
        <f>IFERROR(__xludf.DUMMYFUNCTION("""COMPUTED_VALUE"""),29285.0)</f>
        <v>29285</v>
      </c>
      <c r="C11958" s="9">
        <f>IFERROR(__xludf.DUMMYFUNCTION("""COMPUTED_VALUE"""),13.03)</f>
        <v>13.03</v>
      </c>
      <c r="H11958" s="17"/>
      <c r="K11958" s="17"/>
      <c r="N11958" s="17"/>
    </row>
    <row r="11959">
      <c r="B11959" s="11">
        <f>IFERROR(__xludf.DUMMYFUNCTION("""COMPUTED_VALUE"""),29284.0)</f>
        <v>29284</v>
      </c>
      <c r="C11959" s="9">
        <f>IFERROR(__xludf.DUMMYFUNCTION("""COMPUTED_VALUE"""),12.91)</f>
        <v>12.91</v>
      </c>
      <c r="H11959" s="17"/>
      <c r="K11959" s="17"/>
      <c r="N11959" s="17"/>
    </row>
    <row r="11960">
      <c r="B11960" s="11">
        <f>IFERROR(__xludf.DUMMYFUNCTION("""COMPUTED_VALUE"""),29283.0)</f>
        <v>29283</v>
      </c>
      <c r="C11960" s="9">
        <f>IFERROR(__xludf.DUMMYFUNCTION("""COMPUTED_VALUE"""),12.79)</f>
        <v>12.79</v>
      </c>
      <c r="H11960" s="17"/>
      <c r="K11960" s="17"/>
      <c r="N11960" s="17"/>
    </row>
    <row r="11961">
      <c r="B11961" s="11">
        <f>IFERROR(__xludf.DUMMYFUNCTION("""COMPUTED_VALUE"""),29280.0)</f>
        <v>29280</v>
      </c>
      <c r="C11961" s="9">
        <f>IFERROR(__xludf.DUMMYFUNCTION("""COMPUTED_VALUE"""),12.72)</f>
        <v>12.72</v>
      </c>
      <c r="H11961" s="17"/>
      <c r="K11961" s="17"/>
      <c r="N11961" s="17"/>
    </row>
    <row r="11962">
      <c r="B11962" s="11">
        <f>IFERROR(__xludf.DUMMYFUNCTION("""COMPUTED_VALUE"""),29279.0)</f>
        <v>29279</v>
      </c>
      <c r="C11962" s="9">
        <f>IFERROR(__xludf.DUMMYFUNCTION("""COMPUTED_VALUE"""),12.92)</f>
        <v>12.92</v>
      </c>
      <c r="H11962" s="17"/>
      <c r="K11962" s="17"/>
      <c r="N11962" s="17"/>
    </row>
    <row r="11963">
      <c r="B11963" s="11">
        <f>IFERROR(__xludf.DUMMYFUNCTION("""COMPUTED_VALUE"""),29278.0)</f>
        <v>29278</v>
      </c>
      <c r="C11963" s="9">
        <f>IFERROR(__xludf.DUMMYFUNCTION("""COMPUTED_VALUE"""),13.46)</f>
        <v>13.46</v>
      </c>
      <c r="H11963" s="17"/>
      <c r="K11963" s="17"/>
      <c r="N11963" s="17"/>
    </row>
    <row r="11964">
      <c r="B11964" s="11">
        <f>IFERROR(__xludf.DUMMYFUNCTION("""COMPUTED_VALUE"""),29277.0)</f>
        <v>29277</v>
      </c>
      <c r="C11964" s="9">
        <f>IFERROR(__xludf.DUMMYFUNCTION("""COMPUTED_VALUE"""),13.65)</f>
        <v>13.65</v>
      </c>
      <c r="H11964" s="17"/>
      <c r="K11964" s="17"/>
      <c r="N11964" s="17"/>
    </row>
    <row r="11965">
      <c r="B11965" s="11">
        <f>IFERROR(__xludf.DUMMYFUNCTION("""COMPUTED_VALUE"""),29276.0)</f>
        <v>29276</v>
      </c>
      <c r="C11965" s="9">
        <f>IFERROR(__xludf.DUMMYFUNCTION("""COMPUTED_VALUE"""),13.27)</f>
        <v>13.27</v>
      </c>
      <c r="H11965" s="17"/>
      <c r="K11965" s="17"/>
      <c r="N11965" s="17"/>
    </row>
    <row r="11966">
      <c r="B11966" s="11">
        <f>IFERROR(__xludf.DUMMYFUNCTION("""COMPUTED_VALUE"""),29273.0)</f>
        <v>29273</v>
      </c>
      <c r="C11966" s="9">
        <f>IFERROR(__xludf.DUMMYFUNCTION("""COMPUTED_VALUE"""),13.06)</f>
        <v>13.06</v>
      </c>
      <c r="H11966" s="17"/>
      <c r="K11966" s="17"/>
      <c r="N11966" s="17"/>
    </row>
    <row r="11967">
      <c r="B11967" s="11">
        <f>IFERROR(__xludf.DUMMYFUNCTION("""COMPUTED_VALUE"""),29272.0)</f>
        <v>29272</v>
      </c>
      <c r="C11967" s="9">
        <f>IFERROR(__xludf.DUMMYFUNCTION("""COMPUTED_VALUE"""),13.22)</f>
        <v>13.22</v>
      </c>
      <c r="H11967" s="17"/>
      <c r="K11967" s="17"/>
      <c r="N11967" s="17"/>
    </row>
    <row r="11968">
      <c r="B11968" s="11">
        <f>IFERROR(__xludf.DUMMYFUNCTION("""COMPUTED_VALUE"""),29271.0)</f>
        <v>29271</v>
      </c>
      <c r="C11968" s="9">
        <f>IFERROR(__xludf.DUMMYFUNCTION("""COMPUTED_VALUE"""),12.84)</f>
        <v>12.84</v>
      </c>
      <c r="H11968" s="17"/>
      <c r="K11968" s="17"/>
      <c r="N11968" s="17"/>
    </row>
    <row r="11969">
      <c r="B11969" s="11">
        <f>IFERROR(__xludf.DUMMYFUNCTION("""COMPUTED_VALUE"""),29270.0)</f>
        <v>29270</v>
      </c>
      <c r="C11969" s="9">
        <f>IFERROR(__xludf.DUMMYFUNCTION("""COMPUTED_VALUE"""),12.85)</f>
        <v>12.85</v>
      </c>
      <c r="H11969" s="17"/>
      <c r="K11969" s="17"/>
      <c r="N11969" s="17"/>
    </row>
    <row r="11970">
      <c r="B11970" s="11">
        <f>IFERROR(__xludf.DUMMYFUNCTION("""COMPUTED_VALUE"""),29269.0)</f>
        <v>29269</v>
      </c>
      <c r="C11970" s="9"/>
      <c r="H11970" s="17"/>
      <c r="K11970" s="17"/>
      <c r="N11970" s="17"/>
    </row>
    <row r="11971">
      <c r="B11971" s="11">
        <f>IFERROR(__xludf.DUMMYFUNCTION("""COMPUTED_VALUE"""),29266.0)</f>
        <v>29266</v>
      </c>
      <c r="C11971" s="9">
        <f>IFERROR(__xludf.DUMMYFUNCTION("""COMPUTED_VALUE"""),12.2)</f>
        <v>12.2</v>
      </c>
      <c r="H11971" s="17"/>
      <c r="K11971" s="17"/>
      <c r="N11971" s="17"/>
    </row>
    <row r="11972">
      <c r="B11972" s="11">
        <f>IFERROR(__xludf.DUMMYFUNCTION("""COMPUTED_VALUE"""),29265.0)</f>
        <v>29265</v>
      </c>
      <c r="C11972" s="9">
        <f>IFERROR(__xludf.DUMMYFUNCTION("""COMPUTED_VALUE"""),11.97)</f>
        <v>11.97</v>
      </c>
      <c r="H11972" s="17"/>
      <c r="K11972" s="17"/>
      <c r="N11972" s="17"/>
    </row>
    <row r="11973">
      <c r="B11973" s="11">
        <f>IFERROR(__xludf.DUMMYFUNCTION("""COMPUTED_VALUE"""),29264.0)</f>
        <v>29264</v>
      </c>
      <c r="C11973" s="9">
        <f>IFERROR(__xludf.DUMMYFUNCTION("""COMPUTED_VALUE"""),11.86)</f>
        <v>11.86</v>
      </c>
      <c r="H11973" s="17"/>
      <c r="K11973" s="17"/>
      <c r="N11973" s="17"/>
    </row>
    <row r="11974">
      <c r="B11974" s="11">
        <f>IFERROR(__xludf.DUMMYFUNCTION("""COMPUTED_VALUE"""),29263.0)</f>
        <v>29263</v>
      </c>
      <c r="C11974" s="9"/>
      <c r="H11974" s="17"/>
      <c r="K11974" s="17"/>
      <c r="N11974" s="17"/>
    </row>
    <row r="11975">
      <c r="B11975" s="11">
        <f>IFERROR(__xludf.DUMMYFUNCTION("""COMPUTED_VALUE"""),29262.0)</f>
        <v>29262</v>
      </c>
      <c r="C11975" s="9">
        <f>IFERROR(__xludf.DUMMYFUNCTION("""COMPUTED_VALUE"""),12.01)</f>
        <v>12.01</v>
      </c>
      <c r="H11975" s="17"/>
      <c r="K11975" s="17"/>
      <c r="N11975" s="17"/>
    </row>
    <row r="11976">
      <c r="B11976" s="11">
        <f>IFERROR(__xludf.DUMMYFUNCTION("""COMPUTED_VALUE"""),29259.0)</f>
        <v>29259</v>
      </c>
      <c r="C11976" s="9">
        <f>IFERROR(__xludf.DUMMYFUNCTION("""COMPUTED_VALUE"""),11.8)</f>
        <v>11.8</v>
      </c>
      <c r="H11976" s="17"/>
      <c r="K11976" s="17"/>
      <c r="N11976" s="17"/>
    </row>
    <row r="11977">
      <c r="B11977" s="11">
        <f>IFERROR(__xludf.DUMMYFUNCTION("""COMPUTED_VALUE"""),29258.0)</f>
        <v>29258</v>
      </c>
      <c r="C11977" s="9">
        <f>IFERROR(__xludf.DUMMYFUNCTION("""COMPUTED_VALUE"""),11.71)</f>
        <v>11.71</v>
      </c>
      <c r="H11977" s="17"/>
      <c r="K11977" s="17"/>
      <c r="N11977" s="17"/>
    </row>
    <row r="11978">
      <c r="B11978" s="11">
        <f>IFERROR(__xludf.DUMMYFUNCTION("""COMPUTED_VALUE"""),29257.0)</f>
        <v>29257</v>
      </c>
      <c r="C11978" s="9">
        <f>IFERROR(__xludf.DUMMYFUNCTION("""COMPUTED_VALUE"""),11.92)</f>
        <v>11.92</v>
      </c>
      <c r="H11978" s="17"/>
      <c r="K11978" s="17"/>
      <c r="N11978" s="17"/>
    </row>
    <row r="11979">
      <c r="B11979" s="11">
        <f>IFERROR(__xludf.DUMMYFUNCTION("""COMPUTED_VALUE"""),29256.0)</f>
        <v>29256</v>
      </c>
      <c r="C11979" s="9">
        <f>IFERROR(__xludf.DUMMYFUNCTION("""COMPUTED_VALUE"""),11.73)</f>
        <v>11.73</v>
      </c>
      <c r="H11979" s="17"/>
      <c r="K11979" s="17"/>
      <c r="N11979" s="17"/>
    </row>
    <row r="11980">
      <c r="B11980" s="11">
        <f>IFERROR(__xludf.DUMMYFUNCTION("""COMPUTED_VALUE"""),29255.0)</f>
        <v>29255</v>
      </c>
      <c r="C11980" s="9">
        <f>IFERROR(__xludf.DUMMYFUNCTION("""COMPUTED_VALUE"""),11.4)</f>
        <v>11.4</v>
      </c>
      <c r="H11980" s="17"/>
      <c r="K11980" s="17"/>
      <c r="N11980" s="17"/>
    </row>
    <row r="11981">
      <c r="B11981" s="11">
        <f>IFERROR(__xludf.DUMMYFUNCTION("""COMPUTED_VALUE"""),29252.0)</f>
        <v>29252</v>
      </c>
      <c r="C11981" s="9">
        <f>IFERROR(__xludf.DUMMYFUNCTION("""COMPUTED_VALUE"""),11.29)</f>
        <v>11.29</v>
      </c>
      <c r="H11981" s="17"/>
      <c r="K11981" s="17"/>
      <c r="N11981" s="17"/>
    </row>
    <row r="11982">
      <c r="B11982" s="11">
        <f>IFERROR(__xludf.DUMMYFUNCTION("""COMPUTED_VALUE"""),29251.0)</f>
        <v>29251</v>
      </c>
      <c r="C11982" s="9">
        <f>IFERROR(__xludf.DUMMYFUNCTION("""COMPUTED_VALUE"""),11.13)</f>
        <v>11.13</v>
      </c>
      <c r="H11982" s="17"/>
      <c r="K11982" s="17"/>
      <c r="N11982" s="17"/>
    </row>
    <row r="11983">
      <c r="B11983" s="11">
        <f>IFERROR(__xludf.DUMMYFUNCTION("""COMPUTED_VALUE"""),29250.0)</f>
        <v>29250</v>
      </c>
      <c r="C11983" s="9">
        <f>IFERROR(__xludf.DUMMYFUNCTION("""COMPUTED_VALUE"""),11.16)</f>
        <v>11.16</v>
      </c>
      <c r="H11983" s="17"/>
      <c r="K11983" s="17"/>
      <c r="N11983" s="17"/>
    </row>
    <row r="11984">
      <c r="B11984" s="11">
        <f>IFERROR(__xludf.DUMMYFUNCTION("""COMPUTED_VALUE"""),29249.0)</f>
        <v>29249</v>
      </c>
      <c r="C11984" s="9">
        <f>IFERROR(__xludf.DUMMYFUNCTION("""COMPUTED_VALUE"""),11.21)</f>
        <v>11.21</v>
      </c>
      <c r="H11984" s="17"/>
      <c r="K11984" s="17"/>
      <c r="N11984" s="17"/>
    </row>
    <row r="11985">
      <c r="B11985" s="11">
        <f>IFERROR(__xludf.DUMMYFUNCTION("""COMPUTED_VALUE"""),29248.0)</f>
        <v>29248</v>
      </c>
      <c r="C11985" s="9">
        <f>IFERROR(__xludf.DUMMYFUNCTION("""COMPUTED_VALUE"""),11.15)</f>
        <v>11.15</v>
      </c>
      <c r="H11985" s="17"/>
      <c r="K11985" s="17"/>
      <c r="N11985" s="17"/>
    </row>
    <row r="11986">
      <c r="B11986" s="11">
        <f>IFERROR(__xludf.DUMMYFUNCTION("""COMPUTED_VALUE"""),29245.0)</f>
        <v>29245</v>
      </c>
      <c r="C11986" s="9">
        <f>IFERROR(__xludf.DUMMYFUNCTION("""COMPUTED_VALUE"""),11.1)</f>
        <v>11.1</v>
      </c>
      <c r="H11986" s="17"/>
      <c r="K11986" s="17"/>
      <c r="N11986" s="17"/>
    </row>
    <row r="11987">
      <c r="B11987" s="11">
        <f>IFERROR(__xludf.DUMMYFUNCTION("""COMPUTED_VALUE"""),29244.0)</f>
        <v>29244</v>
      </c>
      <c r="C11987" s="9">
        <f>IFERROR(__xludf.DUMMYFUNCTION("""COMPUTED_VALUE"""),11.01)</f>
        <v>11.01</v>
      </c>
      <c r="H11987" s="17"/>
      <c r="K11987" s="17"/>
      <c r="N11987" s="17"/>
    </row>
    <row r="11988">
      <c r="B11988" s="11">
        <f>IFERROR(__xludf.DUMMYFUNCTION("""COMPUTED_VALUE"""),29243.0)</f>
        <v>29243</v>
      </c>
      <c r="C11988" s="9">
        <f>IFERROR(__xludf.DUMMYFUNCTION("""COMPUTED_VALUE"""),10.82)</f>
        <v>10.82</v>
      </c>
      <c r="H11988" s="17"/>
      <c r="K11988" s="17"/>
      <c r="N11988" s="17"/>
    </row>
    <row r="11989">
      <c r="B11989" s="11">
        <f>IFERROR(__xludf.DUMMYFUNCTION("""COMPUTED_VALUE"""),29242.0)</f>
        <v>29242</v>
      </c>
      <c r="C11989" s="9">
        <f>IFERROR(__xludf.DUMMYFUNCTION("""COMPUTED_VALUE"""),10.85)</f>
        <v>10.85</v>
      </c>
      <c r="H11989" s="17"/>
      <c r="K11989" s="17"/>
      <c r="N11989" s="17"/>
    </row>
    <row r="11990">
      <c r="B11990" s="11">
        <f>IFERROR(__xludf.DUMMYFUNCTION("""COMPUTED_VALUE"""),29241.0)</f>
        <v>29241</v>
      </c>
      <c r="C11990" s="9">
        <f>IFERROR(__xludf.DUMMYFUNCTION("""COMPUTED_VALUE"""),10.96)</f>
        <v>10.96</v>
      </c>
      <c r="H11990" s="17"/>
      <c r="K11990" s="17"/>
      <c r="N11990" s="17"/>
    </row>
    <row r="11991">
      <c r="B11991" s="11">
        <f>IFERROR(__xludf.DUMMYFUNCTION("""COMPUTED_VALUE"""),29238.0)</f>
        <v>29238</v>
      </c>
      <c r="C11991" s="9">
        <f>IFERROR(__xludf.DUMMYFUNCTION("""COMPUTED_VALUE"""),10.82)</f>
        <v>10.82</v>
      </c>
      <c r="H11991" s="17"/>
      <c r="K11991" s="17"/>
      <c r="N11991" s="17"/>
    </row>
    <row r="11992">
      <c r="B11992" s="11">
        <f>IFERROR(__xludf.DUMMYFUNCTION("""COMPUTED_VALUE"""),29237.0)</f>
        <v>29237</v>
      </c>
      <c r="C11992" s="9">
        <f>IFERROR(__xludf.DUMMYFUNCTION("""COMPUTED_VALUE"""),10.71)</f>
        <v>10.71</v>
      </c>
      <c r="H11992" s="17"/>
      <c r="K11992" s="17"/>
      <c r="N11992" s="17"/>
    </row>
    <row r="11993">
      <c r="B11993" s="11">
        <f>IFERROR(__xludf.DUMMYFUNCTION("""COMPUTED_VALUE"""),29236.0)</f>
        <v>29236</v>
      </c>
      <c r="C11993" s="9">
        <f>IFERROR(__xludf.DUMMYFUNCTION("""COMPUTED_VALUE"""),10.65)</f>
        <v>10.65</v>
      </c>
      <c r="H11993" s="17"/>
      <c r="K11993" s="17"/>
      <c r="N11993" s="17"/>
    </row>
    <row r="11994">
      <c r="B11994" s="11">
        <f>IFERROR(__xludf.DUMMYFUNCTION("""COMPUTED_VALUE"""),29235.0)</f>
        <v>29235</v>
      </c>
      <c r="C11994" s="9">
        <f>IFERROR(__xludf.DUMMYFUNCTION("""COMPUTED_VALUE"""),10.65)</f>
        <v>10.65</v>
      </c>
      <c r="H11994" s="17"/>
      <c r="K11994" s="17"/>
      <c r="N11994" s="17"/>
    </row>
    <row r="11995">
      <c r="B11995" s="11">
        <f>IFERROR(__xludf.DUMMYFUNCTION("""COMPUTED_VALUE"""),29234.0)</f>
        <v>29234</v>
      </c>
      <c r="C11995" s="9">
        <f>IFERROR(__xludf.DUMMYFUNCTION("""COMPUTED_VALUE"""),10.7)</f>
        <v>10.7</v>
      </c>
      <c r="H11995" s="17"/>
      <c r="K11995" s="17"/>
      <c r="N11995" s="17"/>
    </row>
    <row r="11996">
      <c r="B11996" s="11">
        <f>IFERROR(__xludf.DUMMYFUNCTION("""COMPUTED_VALUE"""),29231.0)</f>
        <v>29231</v>
      </c>
      <c r="C11996" s="9">
        <f>IFERROR(__xludf.DUMMYFUNCTION("""COMPUTED_VALUE"""),10.68)</f>
        <v>10.68</v>
      </c>
      <c r="H11996" s="17"/>
      <c r="K11996" s="17"/>
      <c r="N11996" s="17"/>
    </row>
    <row r="11997">
      <c r="B11997" s="11">
        <f>IFERROR(__xludf.DUMMYFUNCTION("""COMPUTED_VALUE"""),29230.0)</f>
        <v>29230</v>
      </c>
      <c r="C11997" s="9">
        <f>IFERROR(__xludf.DUMMYFUNCTION("""COMPUTED_VALUE"""),10.51)</f>
        <v>10.51</v>
      </c>
      <c r="H11997" s="17"/>
      <c r="K11997" s="17"/>
      <c r="N11997" s="17"/>
    </row>
    <row r="11998">
      <c r="B11998" s="11">
        <f>IFERROR(__xludf.DUMMYFUNCTION("""COMPUTED_VALUE"""),29229.0)</f>
        <v>29229</v>
      </c>
      <c r="C11998" s="9">
        <f>IFERROR(__xludf.DUMMYFUNCTION("""COMPUTED_VALUE"""),10.58)</f>
        <v>10.58</v>
      </c>
      <c r="H11998" s="17"/>
      <c r="K11998" s="17"/>
      <c r="N11998" s="17"/>
    </row>
    <row r="11999">
      <c r="B11999" s="11">
        <f>IFERROR(__xludf.DUMMYFUNCTION("""COMPUTED_VALUE"""),29228.0)</f>
        <v>29228</v>
      </c>
      <c r="C11999" s="9">
        <f>IFERROR(__xludf.DUMMYFUNCTION("""COMPUTED_VALUE"""),10.57)</f>
        <v>10.57</v>
      </c>
      <c r="H11999" s="17"/>
      <c r="K11999" s="17"/>
      <c r="N11999" s="17"/>
    </row>
    <row r="12000">
      <c r="B12000" s="11">
        <f>IFERROR(__xludf.DUMMYFUNCTION("""COMPUTED_VALUE"""),29227.0)</f>
        <v>29227</v>
      </c>
      <c r="C12000" s="9">
        <f>IFERROR(__xludf.DUMMYFUNCTION("""COMPUTED_VALUE"""),10.63)</f>
        <v>10.63</v>
      </c>
      <c r="H12000" s="17"/>
      <c r="K12000" s="17"/>
      <c r="N12000" s="17"/>
    </row>
    <row r="12001">
      <c r="B12001" s="11">
        <f>IFERROR(__xludf.DUMMYFUNCTION("""COMPUTED_VALUE"""),29224.0)</f>
        <v>29224</v>
      </c>
      <c r="C12001" s="9">
        <f>IFERROR(__xludf.DUMMYFUNCTION("""COMPUTED_VALUE"""),10.66)</f>
        <v>10.66</v>
      </c>
      <c r="H12001" s="17"/>
      <c r="K12001" s="17"/>
      <c r="N12001" s="17"/>
    </row>
    <row r="12002">
      <c r="B12002" s="11">
        <f>IFERROR(__xludf.DUMMYFUNCTION("""COMPUTED_VALUE"""),29223.0)</f>
        <v>29223</v>
      </c>
      <c r="C12002" s="9">
        <f>IFERROR(__xludf.DUMMYFUNCTION("""COMPUTED_VALUE"""),10.6)</f>
        <v>10.6</v>
      </c>
      <c r="H12002" s="17"/>
      <c r="K12002" s="17"/>
      <c r="N12002" s="17"/>
    </row>
    <row r="12003">
      <c r="B12003" s="11">
        <f>IFERROR(__xludf.DUMMYFUNCTION("""COMPUTED_VALUE"""),29222.0)</f>
        <v>29222</v>
      </c>
      <c r="C12003" s="9">
        <f>IFERROR(__xludf.DUMMYFUNCTION("""COMPUTED_VALUE"""),10.5)</f>
        <v>10.5</v>
      </c>
      <c r="H12003" s="17"/>
      <c r="K12003" s="17"/>
      <c r="N12003" s="17"/>
    </row>
    <row r="12004">
      <c r="B12004" s="11">
        <f>IFERROR(__xludf.DUMMYFUNCTION("""COMPUTED_VALUE"""),29221.0)</f>
        <v>29221</v>
      </c>
      <c r="C12004" s="9"/>
      <c r="H12004" s="17"/>
      <c r="K12004" s="17"/>
      <c r="N12004" s="17"/>
    </row>
    <row r="12005">
      <c r="B12005" s="11">
        <f>IFERROR(__xludf.DUMMYFUNCTION("""COMPUTED_VALUE"""),29220.0)</f>
        <v>29220</v>
      </c>
      <c r="C12005" s="9">
        <f>IFERROR(__xludf.DUMMYFUNCTION("""COMPUTED_VALUE"""),10.33)</f>
        <v>10.33</v>
      </c>
      <c r="H12005" s="17"/>
      <c r="K12005" s="17"/>
      <c r="N12005" s="17"/>
    </row>
    <row r="12006">
      <c r="B12006" s="11">
        <f>IFERROR(__xludf.DUMMYFUNCTION("""COMPUTED_VALUE"""),29217.0)</f>
        <v>29217</v>
      </c>
      <c r="C12006" s="9">
        <f>IFERROR(__xludf.DUMMYFUNCTION("""COMPUTED_VALUE"""),10.41)</f>
        <v>10.41</v>
      </c>
      <c r="H12006" s="17"/>
      <c r="K12006" s="17"/>
      <c r="N12006" s="17"/>
    </row>
    <row r="12007">
      <c r="B12007" s="11">
        <f>IFERROR(__xludf.DUMMYFUNCTION("""COMPUTED_VALUE"""),29216.0)</f>
        <v>29216</v>
      </c>
      <c r="C12007" s="9">
        <f>IFERROR(__xludf.DUMMYFUNCTION("""COMPUTED_VALUE"""),10.46)</f>
        <v>10.46</v>
      </c>
      <c r="H12007" s="17"/>
      <c r="K12007" s="17"/>
      <c r="N12007" s="17"/>
    </row>
    <row r="12008">
      <c r="B12008" s="11">
        <f>IFERROR(__xludf.DUMMYFUNCTION("""COMPUTED_VALUE"""),29215.0)</f>
        <v>29215</v>
      </c>
      <c r="C12008" s="9">
        <f>IFERROR(__xludf.DUMMYFUNCTION("""COMPUTED_VALUE"""),10.48)</f>
        <v>10.48</v>
      </c>
      <c r="H12008" s="17"/>
      <c r="K12008" s="17"/>
      <c r="N12008" s="17"/>
    </row>
    <row r="12009">
      <c r="B12009" s="11">
        <f>IFERROR(__xludf.DUMMYFUNCTION("""COMPUTED_VALUE"""),29214.0)</f>
        <v>29214</v>
      </c>
      <c r="C12009" s="9"/>
      <c r="H12009" s="17"/>
      <c r="K12009" s="17"/>
      <c r="N12009" s="17"/>
    </row>
    <row r="12010">
      <c r="B12010" s="11">
        <f>IFERROR(__xludf.DUMMYFUNCTION("""COMPUTED_VALUE"""),29213.0)</f>
        <v>29213</v>
      </c>
      <c r="C12010" s="9">
        <f>IFERROR(__xludf.DUMMYFUNCTION("""COMPUTED_VALUE"""),10.45)</f>
        <v>10.45</v>
      </c>
      <c r="H12010" s="17"/>
      <c r="K12010" s="17"/>
      <c r="N12010" s="17"/>
    </row>
    <row r="12011">
      <c r="B12011" s="11">
        <f>IFERROR(__xludf.DUMMYFUNCTION("""COMPUTED_VALUE"""),29210.0)</f>
        <v>29210</v>
      </c>
      <c r="C12011" s="9">
        <f>IFERROR(__xludf.DUMMYFUNCTION("""COMPUTED_VALUE"""),10.39)</f>
        <v>10.39</v>
      </c>
      <c r="H12011" s="17"/>
      <c r="K12011" s="17"/>
      <c r="N12011" s="17"/>
    </row>
    <row r="12012">
      <c r="B12012" s="11">
        <f>IFERROR(__xludf.DUMMYFUNCTION("""COMPUTED_VALUE"""),29209.0)</f>
        <v>29209</v>
      </c>
      <c r="C12012" s="9">
        <f>IFERROR(__xludf.DUMMYFUNCTION("""COMPUTED_VALUE"""),10.38)</f>
        <v>10.38</v>
      </c>
      <c r="H12012" s="17"/>
      <c r="K12012" s="17"/>
      <c r="N12012" s="17"/>
    </row>
    <row r="12013">
      <c r="B12013" s="11">
        <f>IFERROR(__xludf.DUMMYFUNCTION("""COMPUTED_VALUE"""),29208.0)</f>
        <v>29208</v>
      </c>
      <c r="C12013" s="9">
        <f>IFERROR(__xludf.DUMMYFUNCTION("""COMPUTED_VALUE"""),10.33)</f>
        <v>10.33</v>
      </c>
      <c r="H12013" s="17"/>
      <c r="K12013" s="17"/>
      <c r="N12013" s="17"/>
    </row>
    <row r="12014">
      <c r="B12014" s="11">
        <f>IFERROR(__xludf.DUMMYFUNCTION("""COMPUTED_VALUE"""),29207.0)</f>
        <v>29207</v>
      </c>
      <c r="C12014" s="9">
        <f>IFERROR(__xludf.DUMMYFUNCTION("""COMPUTED_VALUE"""),10.34)</f>
        <v>10.34</v>
      </c>
      <c r="H12014" s="17"/>
      <c r="K12014" s="17"/>
      <c r="N12014" s="17"/>
    </row>
    <row r="12015">
      <c r="B12015" s="11">
        <f>IFERROR(__xludf.DUMMYFUNCTION("""COMPUTED_VALUE"""),29206.0)</f>
        <v>29206</v>
      </c>
      <c r="C12015" s="9">
        <f>IFERROR(__xludf.DUMMYFUNCTION("""COMPUTED_VALUE"""),10.42)</f>
        <v>10.42</v>
      </c>
      <c r="H12015" s="17"/>
      <c r="K12015" s="17"/>
      <c r="N12015" s="17"/>
    </row>
    <row r="12016">
      <c r="B12016" s="11">
        <f>IFERROR(__xludf.DUMMYFUNCTION("""COMPUTED_VALUE"""),29203.0)</f>
        <v>29203</v>
      </c>
      <c r="C12016" s="9">
        <f>IFERROR(__xludf.DUMMYFUNCTION("""COMPUTED_VALUE"""),10.45)</f>
        <v>10.45</v>
      </c>
      <c r="H12016" s="17"/>
      <c r="K12016" s="17"/>
      <c r="N12016" s="17"/>
    </row>
    <row r="12017">
      <c r="B12017" s="11">
        <f>IFERROR(__xludf.DUMMYFUNCTION("""COMPUTED_VALUE"""),29202.0)</f>
        <v>29202</v>
      </c>
      <c r="C12017" s="9">
        <f>IFERROR(__xludf.DUMMYFUNCTION("""COMPUTED_VALUE"""),10.51)</f>
        <v>10.51</v>
      </c>
      <c r="H12017" s="17"/>
      <c r="K12017" s="17"/>
      <c r="N12017" s="17"/>
    </row>
    <row r="12018">
      <c r="B12018" s="11">
        <f>IFERROR(__xludf.DUMMYFUNCTION("""COMPUTED_VALUE"""),29201.0)</f>
        <v>29201</v>
      </c>
      <c r="C12018" s="9">
        <f>IFERROR(__xludf.DUMMYFUNCTION("""COMPUTED_VALUE"""),10.58)</f>
        <v>10.58</v>
      </c>
      <c r="H12018" s="17"/>
      <c r="K12018" s="17"/>
      <c r="N12018" s="17"/>
    </row>
    <row r="12019">
      <c r="B12019" s="11">
        <f>IFERROR(__xludf.DUMMYFUNCTION("""COMPUTED_VALUE"""),29200.0)</f>
        <v>29200</v>
      </c>
      <c r="C12019" s="9">
        <f>IFERROR(__xludf.DUMMYFUNCTION("""COMPUTED_VALUE"""),10.46)</f>
        <v>10.46</v>
      </c>
      <c r="H12019" s="17"/>
      <c r="K12019" s="17"/>
      <c r="N12019" s="17"/>
    </row>
    <row r="12020">
      <c r="B12020" s="11">
        <f>IFERROR(__xludf.DUMMYFUNCTION("""COMPUTED_VALUE"""),29199.0)</f>
        <v>29199</v>
      </c>
      <c r="C12020" s="9">
        <f>IFERROR(__xludf.DUMMYFUNCTION("""COMPUTED_VALUE"""),10.27)</f>
        <v>10.27</v>
      </c>
      <c r="H12020" s="17"/>
      <c r="K12020" s="17"/>
      <c r="N12020" s="17"/>
    </row>
    <row r="12021">
      <c r="B12021" s="11">
        <f>IFERROR(__xludf.DUMMYFUNCTION("""COMPUTED_VALUE"""),29196.0)</f>
        <v>29196</v>
      </c>
      <c r="C12021" s="9">
        <f>IFERROR(__xludf.DUMMYFUNCTION("""COMPUTED_VALUE"""),10.3)</f>
        <v>10.3</v>
      </c>
      <c r="H12021" s="17"/>
      <c r="K12021" s="17"/>
      <c r="N12021" s="17"/>
    </row>
    <row r="12022">
      <c r="B12022" s="11">
        <f>IFERROR(__xludf.DUMMYFUNCTION("""COMPUTED_VALUE"""),29195.0)</f>
        <v>29195</v>
      </c>
      <c r="C12022" s="9">
        <f>IFERROR(__xludf.DUMMYFUNCTION("""COMPUTED_VALUE"""),10.13)</f>
        <v>10.13</v>
      </c>
      <c r="H12022" s="17"/>
      <c r="K12022" s="17"/>
      <c r="N12022" s="17"/>
    </row>
    <row r="12023">
      <c r="B12023" s="11">
        <f>IFERROR(__xludf.DUMMYFUNCTION("""COMPUTED_VALUE"""),29194.0)</f>
        <v>29194</v>
      </c>
      <c r="C12023" s="9">
        <f>IFERROR(__xludf.DUMMYFUNCTION("""COMPUTED_VALUE"""),10.27)</f>
        <v>10.27</v>
      </c>
      <c r="H12023" s="17"/>
      <c r="K12023" s="17"/>
      <c r="N12023" s="17"/>
    </row>
    <row r="12024">
      <c r="B12024" s="11">
        <f>IFERROR(__xludf.DUMMYFUNCTION("""COMPUTED_VALUE"""),29193.0)</f>
        <v>29193</v>
      </c>
      <c r="C12024" s="9">
        <f>IFERROR(__xludf.DUMMYFUNCTION("""COMPUTED_VALUE"""),10.32)</f>
        <v>10.32</v>
      </c>
      <c r="H12024" s="17"/>
      <c r="K12024" s="17"/>
      <c r="N12024" s="17"/>
    </row>
    <row r="12025">
      <c r="B12025" s="11">
        <f>IFERROR(__xludf.DUMMYFUNCTION("""COMPUTED_VALUE"""),29192.0)</f>
        <v>29192</v>
      </c>
      <c r="C12025" s="9">
        <f>IFERROR(__xludf.DUMMYFUNCTION("""COMPUTED_VALUE"""),10.44)</f>
        <v>10.44</v>
      </c>
      <c r="H12025" s="17"/>
      <c r="K12025" s="17"/>
      <c r="N12025" s="17"/>
    </row>
    <row r="12026">
      <c r="B12026" s="11">
        <f>IFERROR(__xludf.DUMMYFUNCTION("""COMPUTED_VALUE"""),29189.0)</f>
        <v>29189</v>
      </c>
      <c r="C12026" s="9">
        <f>IFERROR(__xludf.DUMMYFUNCTION("""COMPUTED_VALUE"""),10.38)</f>
        <v>10.38</v>
      </c>
      <c r="H12026" s="17"/>
      <c r="K12026" s="17"/>
      <c r="N12026" s="17"/>
    </row>
    <row r="12027">
      <c r="B12027" s="11">
        <f>IFERROR(__xludf.DUMMYFUNCTION("""COMPUTED_VALUE"""),29188.0)</f>
        <v>29188</v>
      </c>
      <c r="C12027" s="9">
        <f>IFERROR(__xludf.DUMMYFUNCTION("""COMPUTED_VALUE"""),10.34)</f>
        <v>10.34</v>
      </c>
      <c r="H12027" s="17"/>
      <c r="K12027" s="17"/>
      <c r="N12027" s="17"/>
    </row>
    <row r="12028">
      <c r="B12028" s="11">
        <f>IFERROR(__xludf.DUMMYFUNCTION("""COMPUTED_VALUE"""),29187.0)</f>
        <v>29187</v>
      </c>
      <c r="C12028" s="9">
        <f>IFERROR(__xludf.DUMMYFUNCTION("""COMPUTED_VALUE"""),10.37)</f>
        <v>10.37</v>
      </c>
      <c r="H12028" s="17"/>
      <c r="K12028" s="17"/>
      <c r="N12028" s="17"/>
    </row>
    <row r="12029">
      <c r="B12029" s="11">
        <f>IFERROR(__xludf.DUMMYFUNCTION("""COMPUTED_VALUE"""),29186.0)</f>
        <v>29186</v>
      </c>
      <c r="C12029" s="9">
        <f>IFERROR(__xludf.DUMMYFUNCTION("""COMPUTED_VALUE"""),10.24)</f>
        <v>10.24</v>
      </c>
      <c r="H12029" s="17"/>
      <c r="K12029" s="17"/>
      <c r="N12029" s="17"/>
    </row>
    <row r="12030">
      <c r="B12030" s="11">
        <f>IFERROR(__xludf.DUMMYFUNCTION("""COMPUTED_VALUE"""),29185.0)</f>
        <v>29185</v>
      </c>
      <c r="C12030" s="9">
        <f>IFERROR(__xludf.DUMMYFUNCTION("""COMPUTED_VALUE"""),10.37)</f>
        <v>10.37</v>
      </c>
      <c r="H12030" s="17"/>
      <c r="K12030" s="17"/>
      <c r="N12030" s="17"/>
    </row>
    <row r="12031">
      <c r="B12031" s="11">
        <f>IFERROR(__xludf.DUMMYFUNCTION("""COMPUTED_VALUE"""),29182.0)</f>
        <v>29182</v>
      </c>
      <c r="C12031" s="9">
        <f>IFERROR(__xludf.DUMMYFUNCTION("""COMPUTED_VALUE"""),10.51)</f>
        <v>10.51</v>
      </c>
      <c r="H12031" s="17"/>
      <c r="K12031" s="17"/>
      <c r="N12031" s="17"/>
    </row>
    <row r="12032">
      <c r="B12032" s="11">
        <f>IFERROR(__xludf.DUMMYFUNCTION("""COMPUTED_VALUE"""),29181.0)</f>
        <v>29181</v>
      </c>
      <c r="C12032" s="9"/>
      <c r="H12032" s="17"/>
      <c r="K12032" s="17"/>
      <c r="N12032" s="17"/>
    </row>
    <row r="12033">
      <c r="B12033" s="11">
        <f>IFERROR(__xludf.DUMMYFUNCTION("""COMPUTED_VALUE"""),29180.0)</f>
        <v>29180</v>
      </c>
      <c r="C12033" s="9">
        <f>IFERROR(__xludf.DUMMYFUNCTION("""COMPUTED_VALUE"""),10.73)</f>
        <v>10.73</v>
      </c>
      <c r="H12033" s="17"/>
      <c r="K12033" s="17"/>
      <c r="N12033" s="17"/>
    </row>
    <row r="12034">
      <c r="B12034" s="11">
        <f>IFERROR(__xludf.DUMMYFUNCTION("""COMPUTED_VALUE"""),29179.0)</f>
        <v>29179</v>
      </c>
      <c r="C12034" s="9">
        <f>IFERROR(__xludf.DUMMYFUNCTION("""COMPUTED_VALUE"""),10.78)</f>
        <v>10.78</v>
      </c>
      <c r="H12034" s="17"/>
      <c r="K12034" s="17"/>
      <c r="N12034" s="17"/>
    </row>
    <row r="12035">
      <c r="B12035" s="11">
        <f>IFERROR(__xludf.DUMMYFUNCTION("""COMPUTED_VALUE"""),29178.0)</f>
        <v>29178</v>
      </c>
      <c r="C12035" s="9">
        <f>IFERROR(__xludf.DUMMYFUNCTION("""COMPUTED_VALUE"""),10.8)</f>
        <v>10.8</v>
      </c>
      <c r="H12035" s="17"/>
      <c r="K12035" s="17"/>
      <c r="N12035" s="17"/>
    </row>
    <row r="12036">
      <c r="B12036" s="11">
        <f>IFERROR(__xludf.DUMMYFUNCTION("""COMPUTED_VALUE"""),29175.0)</f>
        <v>29175</v>
      </c>
      <c r="C12036" s="9">
        <f>IFERROR(__xludf.DUMMYFUNCTION("""COMPUTED_VALUE"""),10.77)</f>
        <v>10.77</v>
      </c>
      <c r="H12036" s="17"/>
      <c r="K12036" s="17"/>
      <c r="N12036" s="17"/>
    </row>
    <row r="12037">
      <c r="B12037" s="11">
        <f>IFERROR(__xludf.DUMMYFUNCTION("""COMPUTED_VALUE"""),29174.0)</f>
        <v>29174</v>
      </c>
      <c r="C12037" s="9">
        <f>IFERROR(__xludf.DUMMYFUNCTION("""COMPUTED_VALUE"""),10.62)</f>
        <v>10.62</v>
      </c>
      <c r="H12037" s="17"/>
      <c r="K12037" s="17"/>
      <c r="N12037" s="17"/>
    </row>
    <row r="12038">
      <c r="B12038" s="11">
        <f>IFERROR(__xludf.DUMMYFUNCTION("""COMPUTED_VALUE"""),29173.0)</f>
        <v>29173</v>
      </c>
      <c r="C12038" s="9">
        <f>IFERROR(__xludf.DUMMYFUNCTION("""COMPUTED_VALUE"""),10.75)</f>
        <v>10.75</v>
      </c>
      <c r="H12038" s="17"/>
      <c r="K12038" s="17"/>
      <c r="N12038" s="17"/>
    </row>
    <row r="12039">
      <c r="B12039" s="11">
        <f>IFERROR(__xludf.DUMMYFUNCTION("""COMPUTED_VALUE"""),29172.0)</f>
        <v>29172</v>
      </c>
      <c r="C12039" s="9">
        <f>IFERROR(__xludf.DUMMYFUNCTION("""COMPUTED_VALUE"""),10.63)</f>
        <v>10.63</v>
      </c>
      <c r="H12039" s="17"/>
      <c r="K12039" s="17"/>
      <c r="N12039" s="17"/>
    </row>
    <row r="12040">
      <c r="B12040" s="11">
        <f>IFERROR(__xludf.DUMMYFUNCTION("""COMPUTED_VALUE"""),29171.0)</f>
        <v>29171</v>
      </c>
      <c r="C12040" s="9"/>
      <c r="H12040" s="17"/>
      <c r="K12040" s="17"/>
      <c r="N12040" s="17"/>
    </row>
    <row r="12041">
      <c r="B12041" s="11">
        <f>IFERROR(__xludf.DUMMYFUNCTION("""COMPUTED_VALUE"""),29168.0)</f>
        <v>29168</v>
      </c>
      <c r="C12041" s="9">
        <f>IFERROR(__xludf.DUMMYFUNCTION("""COMPUTED_VALUE"""),10.68)</f>
        <v>10.68</v>
      </c>
      <c r="H12041" s="17"/>
      <c r="K12041" s="17"/>
      <c r="N12041" s="17"/>
    </row>
    <row r="12042">
      <c r="B12042" s="11">
        <f>IFERROR(__xludf.DUMMYFUNCTION("""COMPUTED_VALUE"""),29167.0)</f>
        <v>29167</v>
      </c>
      <c r="C12042" s="9">
        <f>IFERROR(__xludf.DUMMYFUNCTION("""COMPUTED_VALUE"""),10.96)</f>
        <v>10.96</v>
      </c>
      <c r="H12042" s="17"/>
      <c r="K12042" s="17"/>
      <c r="N12042" s="17"/>
    </row>
    <row r="12043">
      <c r="B12043" s="11">
        <f>IFERROR(__xludf.DUMMYFUNCTION("""COMPUTED_VALUE"""),29166.0)</f>
        <v>29166</v>
      </c>
      <c r="C12043" s="9">
        <f>IFERROR(__xludf.DUMMYFUNCTION("""COMPUTED_VALUE"""),11.0)</f>
        <v>11</v>
      </c>
      <c r="H12043" s="17"/>
      <c r="K12043" s="17"/>
      <c r="N12043" s="17"/>
    </row>
    <row r="12044">
      <c r="B12044" s="11">
        <f>IFERROR(__xludf.DUMMYFUNCTION("""COMPUTED_VALUE"""),29165.0)</f>
        <v>29165</v>
      </c>
      <c r="C12044" s="9"/>
      <c r="H12044" s="17"/>
      <c r="K12044" s="17"/>
      <c r="N12044" s="17"/>
    </row>
    <row r="12045">
      <c r="B12045" s="11">
        <f>IFERROR(__xludf.DUMMYFUNCTION("""COMPUTED_VALUE"""),29164.0)</f>
        <v>29164</v>
      </c>
      <c r="C12045" s="9">
        <f>IFERROR(__xludf.DUMMYFUNCTION("""COMPUTED_VALUE"""),10.85)</f>
        <v>10.85</v>
      </c>
      <c r="H12045" s="17"/>
      <c r="K12045" s="17"/>
      <c r="N12045" s="17"/>
    </row>
    <row r="12046">
      <c r="B12046" s="11">
        <f>IFERROR(__xludf.DUMMYFUNCTION("""COMPUTED_VALUE"""),29161.0)</f>
        <v>29161</v>
      </c>
      <c r="C12046" s="9">
        <f>IFERROR(__xludf.DUMMYFUNCTION("""COMPUTED_VALUE"""),10.84)</f>
        <v>10.84</v>
      </c>
      <c r="H12046" s="17"/>
      <c r="K12046" s="17"/>
      <c r="N12046" s="17"/>
    </row>
    <row r="12047">
      <c r="B12047" s="11">
        <f>IFERROR(__xludf.DUMMYFUNCTION("""COMPUTED_VALUE"""),29160.0)</f>
        <v>29160</v>
      </c>
      <c r="C12047" s="9">
        <f>IFERROR(__xludf.DUMMYFUNCTION("""COMPUTED_VALUE"""),10.79)</f>
        <v>10.79</v>
      </c>
      <c r="H12047" s="17"/>
      <c r="K12047" s="17"/>
      <c r="N12047" s="17"/>
    </row>
    <row r="12048">
      <c r="B12048" s="11">
        <f>IFERROR(__xludf.DUMMYFUNCTION("""COMPUTED_VALUE"""),29159.0)</f>
        <v>29159</v>
      </c>
      <c r="C12048" s="9">
        <f>IFERROR(__xludf.DUMMYFUNCTION("""COMPUTED_VALUE"""),10.72)</f>
        <v>10.72</v>
      </c>
      <c r="H12048" s="17"/>
      <c r="K12048" s="17"/>
      <c r="N12048" s="17"/>
    </row>
    <row r="12049">
      <c r="B12049" s="11">
        <f>IFERROR(__xludf.DUMMYFUNCTION("""COMPUTED_VALUE"""),29158.0)</f>
        <v>29158</v>
      </c>
      <c r="C12049" s="9">
        <f>IFERROR(__xludf.DUMMYFUNCTION("""COMPUTED_VALUE"""),10.75)</f>
        <v>10.75</v>
      </c>
      <c r="H12049" s="17"/>
      <c r="K12049" s="17"/>
      <c r="N12049" s="17"/>
    </row>
    <row r="12050">
      <c r="B12050" s="11">
        <f>IFERROR(__xludf.DUMMYFUNCTION("""COMPUTED_VALUE"""),29157.0)</f>
        <v>29157</v>
      </c>
      <c r="C12050" s="9">
        <f>IFERROR(__xludf.DUMMYFUNCTION("""COMPUTED_VALUE"""),10.78)</f>
        <v>10.78</v>
      </c>
      <c r="H12050" s="17"/>
      <c r="K12050" s="17"/>
      <c r="N12050" s="17"/>
    </row>
    <row r="12051">
      <c r="B12051" s="11">
        <f>IFERROR(__xludf.DUMMYFUNCTION("""COMPUTED_VALUE"""),29154.0)</f>
        <v>29154</v>
      </c>
      <c r="C12051" s="9">
        <f>IFERROR(__xludf.DUMMYFUNCTION("""COMPUTED_VALUE"""),10.67)</f>
        <v>10.67</v>
      </c>
      <c r="H12051" s="17"/>
      <c r="K12051" s="17"/>
      <c r="N12051" s="17"/>
    </row>
    <row r="12052">
      <c r="B12052" s="11">
        <f>IFERROR(__xludf.DUMMYFUNCTION("""COMPUTED_VALUE"""),29153.0)</f>
        <v>29153</v>
      </c>
      <c r="C12052" s="9">
        <f>IFERROR(__xludf.DUMMYFUNCTION("""COMPUTED_VALUE"""),10.98)</f>
        <v>10.98</v>
      </c>
      <c r="H12052" s="17"/>
      <c r="K12052" s="17"/>
      <c r="N12052" s="17"/>
    </row>
    <row r="12053">
      <c r="B12053" s="11">
        <f>IFERROR(__xludf.DUMMYFUNCTION("""COMPUTED_VALUE"""),29152.0)</f>
        <v>29152</v>
      </c>
      <c r="C12053" s="9">
        <f>IFERROR(__xludf.DUMMYFUNCTION("""COMPUTED_VALUE"""),10.83)</f>
        <v>10.83</v>
      </c>
      <c r="H12053" s="17"/>
      <c r="K12053" s="17"/>
      <c r="N12053" s="17"/>
    </row>
    <row r="12054">
      <c r="B12054" s="11">
        <f>IFERROR(__xludf.DUMMYFUNCTION("""COMPUTED_VALUE"""),29151.0)</f>
        <v>29151</v>
      </c>
      <c r="C12054" s="9">
        <f>IFERROR(__xludf.DUMMYFUNCTION("""COMPUTED_VALUE"""),11.02)</f>
        <v>11.02</v>
      </c>
      <c r="H12054" s="17"/>
      <c r="K12054" s="17"/>
      <c r="N12054" s="17"/>
    </row>
    <row r="12055">
      <c r="B12055" s="11">
        <f>IFERROR(__xludf.DUMMYFUNCTION("""COMPUTED_VALUE"""),29150.0)</f>
        <v>29150</v>
      </c>
      <c r="C12055" s="9">
        <f>IFERROR(__xludf.DUMMYFUNCTION("""COMPUTED_VALUE"""),10.96)</f>
        <v>10.96</v>
      </c>
      <c r="H12055" s="17"/>
      <c r="K12055" s="17"/>
      <c r="N12055" s="17"/>
    </row>
    <row r="12056">
      <c r="B12056" s="11">
        <f>IFERROR(__xludf.DUMMYFUNCTION("""COMPUTED_VALUE"""),29147.0)</f>
        <v>29147</v>
      </c>
      <c r="C12056" s="9">
        <f>IFERROR(__xludf.DUMMYFUNCTION("""COMPUTED_VALUE"""),10.68)</f>
        <v>10.68</v>
      </c>
      <c r="H12056" s="17"/>
      <c r="K12056" s="17"/>
      <c r="N12056" s="17"/>
    </row>
    <row r="12057">
      <c r="B12057" s="11">
        <f>IFERROR(__xludf.DUMMYFUNCTION("""COMPUTED_VALUE"""),29146.0)</f>
        <v>29146</v>
      </c>
      <c r="C12057" s="9">
        <f>IFERROR(__xludf.DUMMYFUNCTION("""COMPUTED_VALUE"""),10.41)</f>
        <v>10.41</v>
      </c>
      <c r="H12057" s="17"/>
      <c r="K12057" s="17"/>
      <c r="N12057" s="17"/>
    </row>
    <row r="12058">
      <c r="B12058" s="11">
        <f>IFERROR(__xludf.DUMMYFUNCTION("""COMPUTED_VALUE"""),29145.0)</f>
        <v>29145</v>
      </c>
      <c r="C12058" s="9">
        <f>IFERROR(__xludf.DUMMYFUNCTION("""COMPUTED_VALUE"""),10.2)</f>
        <v>10.2</v>
      </c>
      <c r="H12058" s="17"/>
      <c r="K12058" s="17"/>
      <c r="N12058" s="17"/>
    </row>
    <row r="12059">
      <c r="B12059" s="11">
        <f>IFERROR(__xludf.DUMMYFUNCTION("""COMPUTED_VALUE"""),29144.0)</f>
        <v>29144</v>
      </c>
      <c r="C12059" s="9">
        <f>IFERROR(__xludf.DUMMYFUNCTION("""COMPUTED_VALUE"""),10.27)</f>
        <v>10.27</v>
      </c>
      <c r="H12059" s="17"/>
      <c r="K12059" s="17"/>
      <c r="N12059" s="17"/>
    </row>
    <row r="12060">
      <c r="B12060" s="11">
        <f>IFERROR(__xludf.DUMMYFUNCTION("""COMPUTED_VALUE"""),29143.0)</f>
        <v>29143</v>
      </c>
      <c r="C12060" s="9">
        <f>IFERROR(__xludf.DUMMYFUNCTION("""COMPUTED_VALUE"""),10.31)</f>
        <v>10.31</v>
      </c>
      <c r="H12060" s="17"/>
      <c r="K12060" s="17"/>
      <c r="N12060" s="17"/>
    </row>
    <row r="12061">
      <c r="B12061" s="11">
        <f>IFERROR(__xludf.DUMMYFUNCTION("""COMPUTED_VALUE"""),29140.0)</f>
        <v>29140</v>
      </c>
      <c r="C12061" s="9">
        <f>IFERROR(__xludf.DUMMYFUNCTION("""COMPUTED_VALUE"""),10.15)</f>
        <v>10.15</v>
      </c>
      <c r="H12061" s="17"/>
      <c r="K12061" s="17"/>
      <c r="N12061" s="17"/>
    </row>
    <row r="12062">
      <c r="B12062" s="11">
        <f>IFERROR(__xludf.DUMMYFUNCTION("""COMPUTED_VALUE"""),29139.0)</f>
        <v>29139</v>
      </c>
      <c r="C12062" s="9">
        <f>IFERROR(__xludf.DUMMYFUNCTION("""COMPUTED_VALUE"""),10.17)</f>
        <v>10.17</v>
      </c>
      <c r="H12062" s="17"/>
      <c r="K12062" s="17"/>
      <c r="N12062" s="17"/>
    </row>
    <row r="12063">
      <c r="B12063" s="11">
        <f>IFERROR(__xludf.DUMMYFUNCTION("""COMPUTED_VALUE"""),29138.0)</f>
        <v>29138</v>
      </c>
      <c r="C12063" s="9">
        <f>IFERROR(__xludf.DUMMYFUNCTION("""COMPUTED_VALUE"""),10.09)</f>
        <v>10.09</v>
      </c>
      <c r="H12063" s="17"/>
      <c r="K12063" s="17"/>
      <c r="N12063" s="17"/>
    </row>
    <row r="12064">
      <c r="B12064" s="11">
        <f>IFERROR(__xludf.DUMMYFUNCTION("""COMPUTED_VALUE"""),29137.0)</f>
        <v>29137</v>
      </c>
      <c r="C12064" s="9">
        <f>IFERROR(__xludf.DUMMYFUNCTION("""COMPUTED_VALUE"""),9.93)</f>
        <v>9.93</v>
      </c>
      <c r="H12064" s="17"/>
      <c r="K12064" s="17"/>
      <c r="N12064" s="17"/>
    </row>
    <row r="12065">
      <c r="B12065" s="11">
        <f>IFERROR(__xludf.DUMMYFUNCTION("""COMPUTED_VALUE"""),29136.0)</f>
        <v>29136</v>
      </c>
      <c r="C12065" s="9"/>
      <c r="H12065" s="17"/>
      <c r="K12065" s="17"/>
      <c r="N12065" s="17"/>
    </row>
    <row r="12066">
      <c r="B12066" s="11">
        <f>IFERROR(__xludf.DUMMYFUNCTION("""COMPUTED_VALUE"""),29133.0)</f>
        <v>29133</v>
      </c>
      <c r="C12066" s="9">
        <f>IFERROR(__xludf.DUMMYFUNCTION("""COMPUTED_VALUE"""),9.6)</f>
        <v>9.6</v>
      </c>
      <c r="H12066" s="17"/>
      <c r="K12066" s="17"/>
      <c r="N12066" s="17"/>
    </row>
    <row r="12067">
      <c r="B12067" s="11">
        <f>IFERROR(__xludf.DUMMYFUNCTION("""COMPUTED_VALUE"""),29132.0)</f>
        <v>29132</v>
      </c>
      <c r="C12067" s="9">
        <f>IFERROR(__xludf.DUMMYFUNCTION("""COMPUTED_VALUE"""),9.58)</f>
        <v>9.58</v>
      </c>
      <c r="H12067" s="17"/>
      <c r="K12067" s="17"/>
      <c r="N12067" s="17"/>
    </row>
    <row r="12068">
      <c r="B12068" s="11">
        <f>IFERROR(__xludf.DUMMYFUNCTION("""COMPUTED_VALUE"""),29131.0)</f>
        <v>29131</v>
      </c>
      <c r="C12068" s="9">
        <f>IFERROR(__xludf.DUMMYFUNCTION("""COMPUTED_VALUE"""),9.5)</f>
        <v>9.5</v>
      </c>
      <c r="H12068" s="17"/>
      <c r="K12068" s="17"/>
      <c r="N12068" s="17"/>
    </row>
    <row r="12069">
      <c r="B12069" s="11">
        <f>IFERROR(__xludf.DUMMYFUNCTION("""COMPUTED_VALUE"""),29130.0)</f>
        <v>29130</v>
      </c>
      <c r="C12069" s="9">
        <f>IFERROR(__xludf.DUMMYFUNCTION("""COMPUTED_VALUE"""),9.47)</f>
        <v>9.47</v>
      </c>
      <c r="H12069" s="17"/>
      <c r="K12069" s="17"/>
      <c r="N12069" s="17"/>
    </row>
    <row r="12070">
      <c r="B12070" s="11">
        <f>IFERROR(__xludf.DUMMYFUNCTION("""COMPUTED_VALUE"""),29129.0)</f>
        <v>29129</v>
      </c>
      <c r="C12070" s="9">
        <f>IFERROR(__xludf.DUMMYFUNCTION("""COMPUTED_VALUE"""),9.51)</f>
        <v>9.51</v>
      </c>
      <c r="H12070" s="17"/>
      <c r="K12070" s="17"/>
      <c r="N12070" s="17"/>
    </row>
    <row r="12071">
      <c r="B12071" s="11">
        <f>IFERROR(__xludf.DUMMYFUNCTION("""COMPUTED_VALUE"""),29126.0)</f>
        <v>29126</v>
      </c>
      <c r="C12071" s="9">
        <f>IFERROR(__xludf.DUMMYFUNCTION("""COMPUTED_VALUE"""),9.44)</f>
        <v>9.44</v>
      </c>
      <c r="H12071" s="17"/>
      <c r="K12071" s="17"/>
      <c r="N12071" s="17"/>
    </row>
    <row r="12072">
      <c r="B12072" s="11">
        <f>IFERROR(__xludf.DUMMYFUNCTION("""COMPUTED_VALUE"""),29125.0)</f>
        <v>29125</v>
      </c>
      <c r="C12072" s="9">
        <f>IFERROR(__xludf.DUMMYFUNCTION("""COMPUTED_VALUE"""),9.44)</f>
        <v>9.44</v>
      </c>
      <c r="H12072" s="17"/>
      <c r="K12072" s="17"/>
      <c r="N12072" s="17"/>
    </row>
    <row r="12073">
      <c r="B12073" s="11">
        <f>IFERROR(__xludf.DUMMYFUNCTION("""COMPUTED_VALUE"""),29124.0)</f>
        <v>29124</v>
      </c>
      <c r="C12073" s="9">
        <f>IFERROR(__xludf.DUMMYFUNCTION("""COMPUTED_VALUE"""),9.36)</f>
        <v>9.36</v>
      </c>
      <c r="H12073" s="17"/>
      <c r="K12073" s="17"/>
      <c r="N12073" s="17"/>
    </row>
    <row r="12074">
      <c r="B12074" s="11">
        <f>IFERROR(__xludf.DUMMYFUNCTION("""COMPUTED_VALUE"""),29123.0)</f>
        <v>29123</v>
      </c>
      <c r="C12074" s="9">
        <f>IFERROR(__xludf.DUMMYFUNCTION("""COMPUTED_VALUE"""),9.32)</f>
        <v>9.32</v>
      </c>
      <c r="H12074" s="17"/>
      <c r="K12074" s="17"/>
      <c r="N12074" s="17"/>
    </row>
    <row r="12075">
      <c r="B12075" s="11">
        <f>IFERROR(__xludf.DUMMYFUNCTION("""COMPUTED_VALUE"""),29122.0)</f>
        <v>29122</v>
      </c>
      <c r="C12075" s="9">
        <f>IFERROR(__xludf.DUMMYFUNCTION("""COMPUTED_VALUE"""),9.34)</f>
        <v>9.34</v>
      </c>
      <c r="H12075" s="17"/>
      <c r="K12075" s="17"/>
      <c r="N12075" s="17"/>
    </row>
    <row r="12076">
      <c r="B12076" s="11">
        <f>IFERROR(__xludf.DUMMYFUNCTION("""COMPUTED_VALUE"""),29119.0)</f>
        <v>29119</v>
      </c>
      <c r="C12076" s="9">
        <f>IFERROR(__xludf.DUMMYFUNCTION("""COMPUTED_VALUE"""),9.26)</f>
        <v>9.26</v>
      </c>
      <c r="H12076" s="17"/>
      <c r="K12076" s="17"/>
      <c r="N12076" s="17"/>
    </row>
    <row r="12077">
      <c r="B12077" s="11">
        <f>IFERROR(__xludf.DUMMYFUNCTION("""COMPUTED_VALUE"""),29118.0)</f>
        <v>29118</v>
      </c>
      <c r="C12077" s="9">
        <f>IFERROR(__xludf.DUMMYFUNCTION("""COMPUTED_VALUE"""),9.29)</f>
        <v>9.29</v>
      </c>
      <c r="H12077" s="17"/>
      <c r="K12077" s="17"/>
      <c r="N12077" s="17"/>
    </row>
    <row r="12078">
      <c r="B12078" s="11">
        <f>IFERROR(__xludf.DUMMYFUNCTION("""COMPUTED_VALUE"""),29117.0)</f>
        <v>29117</v>
      </c>
      <c r="C12078" s="9">
        <f>IFERROR(__xludf.DUMMYFUNCTION("""COMPUTED_VALUE"""),9.31)</f>
        <v>9.31</v>
      </c>
      <c r="H12078" s="17"/>
      <c r="K12078" s="17"/>
      <c r="N12078" s="17"/>
    </row>
    <row r="12079">
      <c r="B12079" s="11">
        <f>IFERROR(__xludf.DUMMYFUNCTION("""COMPUTED_VALUE"""),29116.0)</f>
        <v>29116</v>
      </c>
      <c r="C12079" s="9">
        <f>IFERROR(__xludf.DUMMYFUNCTION("""COMPUTED_VALUE"""),9.36)</f>
        <v>9.36</v>
      </c>
      <c r="H12079" s="17"/>
      <c r="K12079" s="17"/>
      <c r="N12079" s="17"/>
    </row>
    <row r="12080">
      <c r="B12080" s="11">
        <f>IFERROR(__xludf.DUMMYFUNCTION("""COMPUTED_VALUE"""),29115.0)</f>
        <v>29115</v>
      </c>
      <c r="C12080" s="9">
        <f>IFERROR(__xludf.DUMMYFUNCTION("""COMPUTED_VALUE"""),9.37)</f>
        <v>9.37</v>
      </c>
      <c r="H12080" s="17"/>
      <c r="K12080" s="17"/>
      <c r="N12080" s="17"/>
    </row>
    <row r="12081">
      <c r="B12081" s="11">
        <f>IFERROR(__xludf.DUMMYFUNCTION("""COMPUTED_VALUE"""),29112.0)</f>
        <v>29112</v>
      </c>
      <c r="C12081" s="9">
        <f>IFERROR(__xludf.DUMMYFUNCTION("""COMPUTED_VALUE"""),9.29)</f>
        <v>9.29</v>
      </c>
      <c r="H12081" s="17"/>
      <c r="K12081" s="17"/>
      <c r="N12081" s="17"/>
    </row>
    <row r="12082">
      <c r="B12082" s="11">
        <f>IFERROR(__xludf.DUMMYFUNCTION("""COMPUTED_VALUE"""),29111.0)</f>
        <v>29111</v>
      </c>
      <c r="C12082" s="9">
        <f>IFERROR(__xludf.DUMMYFUNCTION("""COMPUTED_VALUE"""),9.34)</f>
        <v>9.34</v>
      </c>
      <c r="H12082" s="17"/>
      <c r="K12082" s="17"/>
      <c r="N12082" s="17"/>
    </row>
    <row r="12083">
      <c r="B12083" s="11">
        <f>IFERROR(__xludf.DUMMYFUNCTION("""COMPUTED_VALUE"""),29110.0)</f>
        <v>29110</v>
      </c>
      <c r="C12083" s="9">
        <f>IFERROR(__xludf.DUMMYFUNCTION("""COMPUTED_VALUE"""),9.3)</f>
        <v>9.3</v>
      </c>
      <c r="H12083" s="17"/>
      <c r="K12083" s="17"/>
      <c r="N12083" s="17"/>
    </row>
    <row r="12084">
      <c r="B12084" s="11">
        <f>IFERROR(__xludf.DUMMYFUNCTION("""COMPUTED_VALUE"""),29109.0)</f>
        <v>29109</v>
      </c>
      <c r="C12084" s="9">
        <f>IFERROR(__xludf.DUMMYFUNCTION("""COMPUTED_VALUE"""),9.25)</f>
        <v>9.25</v>
      </c>
      <c r="H12084" s="17"/>
      <c r="K12084" s="17"/>
      <c r="N12084" s="17"/>
    </row>
    <row r="12085">
      <c r="B12085" s="11">
        <f>IFERROR(__xludf.DUMMYFUNCTION("""COMPUTED_VALUE"""),29108.0)</f>
        <v>29108</v>
      </c>
      <c r="C12085" s="9">
        <f>IFERROR(__xludf.DUMMYFUNCTION("""COMPUTED_VALUE"""),9.36)</f>
        <v>9.36</v>
      </c>
      <c r="H12085" s="17"/>
      <c r="K12085" s="17"/>
      <c r="N12085" s="17"/>
    </row>
    <row r="12086">
      <c r="B12086" s="11">
        <f>IFERROR(__xludf.DUMMYFUNCTION("""COMPUTED_VALUE"""),29105.0)</f>
        <v>29105</v>
      </c>
      <c r="C12086" s="9">
        <f>IFERROR(__xludf.DUMMYFUNCTION("""COMPUTED_VALUE"""),9.34)</f>
        <v>9.34</v>
      </c>
      <c r="H12086" s="17"/>
      <c r="K12086" s="17"/>
      <c r="N12086" s="17"/>
    </row>
    <row r="12087">
      <c r="B12087" s="11">
        <f>IFERROR(__xludf.DUMMYFUNCTION("""COMPUTED_VALUE"""),29104.0)</f>
        <v>29104</v>
      </c>
      <c r="C12087" s="9">
        <f>IFERROR(__xludf.DUMMYFUNCTION("""COMPUTED_VALUE"""),9.35)</f>
        <v>9.35</v>
      </c>
      <c r="H12087" s="17"/>
      <c r="K12087" s="17"/>
      <c r="N12087" s="17"/>
    </row>
    <row r="12088">
      <c r="B12088" s="11">
        <f>IFERROR(__xludf.DUMMYFUNCTION("""COMPUTED_VALUE"""),29103.0)</f>
        <v>29103</v>
      </c>
      <c r="C12088" s="9">
        <f>IFERROR(__xludf.DUMMYFUNCTION("""COMPUTED_VALUE"""),9.32)</f>
        <v>9.32</v>
      </c>
      <c r="H12088" s="17"/>
      <c r="K12088" s="17"/>
      <c r="N12088" s="17"/>
    </row>
    <row r="12089">
      <c r="B12089" s="11">
        <f>IFERROR(__xludf.DUMMYFUNCTION("""COMPUTED_VALUE"""),29102.0)</f>
        <v>29102</v>
      </c>
      <c r="C12089" s="9">
        <f>IFERROR(__xludf.DUMMYFUNCTION("""COMPUTED_VALUE"""),9.32)</f>
        <v>9.32</v>
      </c>
      <c r="H12089" s="17"/>
      <c r="K12089" s="17"/>
      <c r="N12089" s="17"/>
    </row>
    <row r="12090">
      <c r="B12090" s="11">
        <f>IFERROR(__xludf.DUMMYFUNCTION("""COMPUTED_VALUE"""),29101.0)</f>
        <v>29101</v>
      </c>
      <c r="C12090" s="9"/>
      <c r="H12090" s="17"/>
      <c r="K12090" s="17"/>
      <c r="N12090" s="17"/>
    </row>
    <row r="12091">
      <c r="B12091" s="11">
        <f>IFERROR(__xludf.DUMMYFUNCTION("""COMPUTED_VALUE"""),29098.0)</f>
        <v>29098</v>
      </c>
      <c r="C12091" s="9">
        <f>IFERROR(__xludf.DUMMYFUNCTION("""COMPUTED_VALUE"""),9.24)</f>
        <v>9.24</v>
      </c>
      <c r="H12091" s="17"/>
      <c r="K12091" s="17"/>
      <c r="N12091" s="17"/>
    </row>
    <row r="12092">
      <c r="B12092" s="11">
        <f>IFERROR(__xludf.DUMMYFUNCTION("""COMPUTED_VALUE"""),29097.0)</f>
        <v>29097</v>
      </c>
      <c r="C12092" s="9">
        <f>IFERROR(__xludf.DUMMYFUNCTION("""COMPUTED_VALUE"""),9.21)</f>
        <v>9.21</v>
      </c>
      <c r="H12092" s="17"/>
      <c r="K12092" s="17"/>
      <c r="N12092" s="17"/>
    </row>
    <row r="12093">
      <c r="B12093" s="11">
        <f>IFERROR(__xludf.DUMMYFUNCTION("""COMPUTED_VALUE"""),29096.0)</f>
        <v>29096</v>
      </c>
      <c r="C12093" s="9">
        <f>IFERROR(__xludf.DUMMYFUNCTION("""COMPUTED_VALUE"""),9.14)</f>
        <v>9.14</v>
      </c>
      <c r="H12093" s="17"/>
      <c r="K12093" s="17"/>
      <c r="N12093" s="17"/>
    </row>
    <row r="12094">
      <c r="B12094" s="11">
        <f>IFERROR(__xludf.DUMMYFUNCTION("""COMPUTED_VALUE"""),29095.0)</f>
        <v>29095</v>
      </c>
      <c r="C12094" s="9">
        <f>IFERROR(__xludf.DUMMYFUNCTION("""COMPUTED_VALUE"""),9.15)</f>
        <v>9.15</v>
      </c>
      <c r="H12094" s="17"/>
      <c r="K12094" s="17"/>
      <c r="N12094" s="17"/>
    </row>
    <row r="12095">
      <c r="B12095" s="11">
        <f>IFERROR(__xludf.DUMMYFUNCTION("""COMPUTED_VALUE"""),29094.0)</f>
        <v>29094</v>
      </c>
      <c r="C12095" s="9">
        <f>IFERROR(__xludf.DUMMYFUNCTION("""COMPUTED_VALUE"""),9.12)</f>
        <v>9.12</v>
      </c>
      <c r="H12095" s="17"/>
      <c r="K12095" s="17"/>
      <c r="N12095" s="17"/>
    </row>
    <row r="12096">
      <c r="B12096" s="11">
        <f>IFERROR(__xludf.DUMMYFUNCTION("""COMPUTED_VALUE"""),29091.0)</f>
        <v>29091</v>
      </c>
      <c r="C12096" s="9">
        <f>IFERROR(__xludf.DUMMYFUNCTION("""COMPUTED_VALUE"""),9.14)</f>
        <v>9.14</v>
      </c>
      <c r="H12096" s="17"/>
      <c r="K12096" s="17"/>
      <c r="N12096" s="17"/>
    </row>
    <row r="12097">
      <c r="B12097" s="11">
        <f>IFERROR(__xludf.DUMMYFUNCTION("""COMPUTED_VALUE"""),29090.0)</f>
        <v>29090</v>
      </c>
      <c r="C12097" s="9">
        <f>IFERROR(__xludf.DUMMYFUNCTION("""COMPUTED_VALUE"""),9.05)</f>
        <v>9.05</v>
      </c>
      <c r="H12097" s="17"/>
      <c r="K12097" s="17"/>
      <c r="N12097" s="17"/>
    </row>
    <row r="12098">
      <c r="B12098" s="11">
        <f>IFERROR(__xludf.DUMMYFUNCTION("""COMPUTED_VALUE"""),29089.0)</f>
        <v>29089</v>
      </c>
      <c r="C12098" s="9">
        <f>IFERROR(__xludf.DUMMYFUNCTION("""COMPUTED_VALUE"""),9.04)</f>
        <v>9.04</v>
      </c>
      <c r="H12098" s="17"/>
      <c r="K12098" s="17"/>
      <c r="N12098" s="17"/>
    </row>
    <row r="12099">
      <c r="B12099" s="11">
        <f>IFERROR(__xludf.DUMMYFUNCTION("""COMPUTED_VALUE"""),29088.0)</f>
        <v>29088</v>
      </c>
      <c r="C12099" s="9">
        <f>IFERROR(__xludf.DUMMYFUNCTION("""COMPUTED_VALUE"""),9.04)</f>
        <v>9.04</v>
      </c>
      <c r="H12099" s="17"/>
      <c r="K12099" s="17"/>
      <c r="N12099" s="17"/>
    </row>
    <row r="12100">
      <c r="B12100" s="11">
        <f>IFERROR(__xludf.DUMMYFUNCTION("""COMPUTED_VALUE"""),29087.0)</f>
        <v>29087</v>
      </c>
      <c r="C12100" s="9">
        <f>IFERROR(__xludf.DUMMYFUNCTION("""COMPUTED_VALUE"""),9.02)</f>
        <v>9.02</v>
      </c>
      <c r="H12100" s="17"/>
      <c r="K12100" s="17"/>
      <c r="N12100" s="17"/>
    </row>
    <row r="12101">
      <c r="B12101" s="11">
        <f>IFERROR(__xludf.DUMMYFUNCTION("""COMPUTED_VALUE"""),29084.0)</f>
        <v>29084</v>
      </c>
      <c r="C12101" s="9">
        <f>IFERROR(__xludf.DUMMYFUNCTION("""COMPUTED_VALUE"""),9.01)</f>
        <v>9.01</v>
      </c>
      <c r="H12101" s="17"/>
      <c r="K12101" s="17"/>
      <c r="N12101" s="17"/>
    </row>
    <row r="12102">
      <c r="B12102" s="11">
        <f>IFERROR(__xludf.DUMMYFUNCTION("""COMPUTED_VALUE"""),29083.0)</f>
        <v>29083</v>
      </c>
      <c r="C12102" s="9">
        <f>IFERROR(__xludf.DUMMYFUNCTION("""COMPUTED_VALUE"""),9.0)</f>
        <v>9</v>
      </c>
      <c r="H12102" s="17"/>
      <c r="K12102" s="17"/>
      <c r="N12102" s="17"/>
    </row>
    <row r="12103">
      <c r="B12103" s="11">
        <f>IFERROR(__xludf.DUMMYFUNCTION("""COMPUTED_VALUE"""),29082.0)</f>
        <v>29082</v>
      </c>
      <c r="C12103" s="9">
        <f>IFERROR(__xludf.DUMMYFUNCTION("""COMPUTED_VALUE"""),9.0)</f>
        <v>9</v>
      </c>
      <c r="H12103" s="17"/>
      <c r="K12103" s="17"/>
      <c r="N12103" s="17"/>
    </row>
    <row r="12104">
      <c r="B12104" s="11">
        <f>IFERROR(__xludf.DUMMYFUNCTION("""COMPUTED_VALUE"""),29081.0)</f>
        <v>29081</v>
      </c>
      <c r="C12104" s="9">
        <f>IFERROR(__xludf.DUMMYFUNCTION("""COMPUTED_VALUE"""),8.98)</f>
        <v>8.98</v>
      </c>
      <c r="H12104" s="17"/>
      <c r="K12104" s="17"/>
      <c r="N12104" s="17"/>
    </row>
    <row r="12105">
      <c r="B12105" s="11">
        <f>IFERROR(__xludf.DUMMYFUNCTION("""COMPUTED_VALUE"""),29080.0)</f>
        <v>29080</v>
      </c>
      <c r="C12105" s="9">
        <f>IFERROR(__xludf.DUMMYFUNCTION("""COMPUTED_VALUE"""),9.0)</f>
        <v>9</v>
      </c>
      <c r="H12105" s="17"/>
      <c r="K12105" s="17"/>
      <c r="N12105" s="17"/>
    </row>
    <row r="12106">
      <c r="B12106" s="11">
        <f>IFERROR(__xludf.DUMMYFUNCTION("""COMPUTED_VALUE"""),29077.0)</f>
        <v>29077</v>
      </c>
      <c r="C12106" s="9">
        <f>IFERROR(__xludf.DUMMYFUNCTION("""COMPUTED_VALUE"""),9.0)</f>
        <v>9</v>
      </c>
      <c r="H12106" s="17"/>
      <c r="K12106" s="17"/>
      <c r="N12106" s="17"/>
    </row>
    <row r="12107">
      <c r="B12107" s="11">
        <f>IFERROR(__xludf.DUMMYFUNCTION("""COMPUTED_VALUE"""),29076.0)</f>
        <v>29076</v>
      </c>
      <c r="C12107" s="9">
        <f>IFERROR(__xludf.DUMMYFUNCTION("""COMPUTED_VALUE"""),8.97)</f>
        <v>8.97</v>
      </c>
      <c r="H12107" s="17"/>
      <c r="K12107" s="17"/>
      <c r="N12107" s="17"/>
    </row>
    <row r="12108">
      <c r="B12108" s="11">
        <f>IFERROR(__xludf.DUMMYFUNCTION("""COMPUTED_VALUE"""),29075.0)</f>
        <v>29075</v>
      </c>
      <c r="C12108" s="9">
        <f>IFERROR(__xludf.DUMMYFUNCTION("""COMPUTED_VALUE"""),8.93)</f>
        <v>8.93</v>
      </c>
      <c r="H12108" s="17"/>
      <c r="K12108" s="17"/>
      <c r="N12108" s="17"/>
    </row>
    <row r="12109">
      <c r="B12109" s="11">
        <f>IFERROR(__xludf.DUMMYFUNCTION("""COMPUTED_VALUE"""),29074.0)</f>
        <v>29074</v>
      </c>
      <c r="C12109" s="9">
        <f>IFERROR(__xludf.DUMMYFUNCTION("""COMPUTED_VALUE"""),8.91)</f>
        <v>8.91</v>
      </c>
      <c r="H12109" s="17"/>
      <c r="K12109" s="17"/>
      <c r="N12109" s="17"/>
    </row>
    <row r="12110">
      <c r="B12110" s="11">
        <f>IFERROR(__xludf.DUMMYFUNCTION("""COMPUTED_VALUE"""),29073.0)</f>
        <v>29073</v>
      </c>
      <c r="C12110" s="9">
        <f>IFERROR(__xludf.DUMMYFUNCTION("""COMPUTED_VALUE"""),8.91)</f>
        <v>8.91</v>
      </c>
      <c r="H12110" s="17"/>
      <c r="K12110" s="17"/>
      <c r="N12110" s="17"/>
    </row>
    <row r="12111">
      <c r="B12111" s="11">
        <f>IFERROR(__xludf.DUMMYFUNCTION("""COMPUTED_VALUE"""),29070.0)</f>
        <v>29070</v>
      </c>
      <c r="C12111" s="9">
        <f>IFERROR(__xludf.DUMMYFUNCTION("""COMPUTED_VALUE"""),8.92)</f>
        <v>8.92</v>
      </c>
      <c r="H12111" s="17"/>
      <c r="K12111" s="17"/>
      <c r="N12111" s="17"/>
    </row>
    <row r="12112">
      <c r="B12112" s="11">
        <f>IFERROR(__xludf.DUMMYFUNCTION("""COMPUTED_VALUE"""),29069.0)</f>
        <v>29069</v>
      </c>
      <c r="C12112" s="9">
        <f>IFERROR(__xludf.DUMMYFUNCTION("""COMPUTED_VALUE"""),8.91)</f>
        <v>8.91</v>
      </c>
      <c r="H12112" s="17"/>
      <c r="K12112" s="17"/>
      <c r="N12112" s="17"/>
    </row>
    <row r="12113">
      <c r="B12113" s="11">
        <f>IFERROR(__xludf.DUMMYFUNCTION("""COMPUTED_VALUE"""),29068.0)</f>
        <v>29068</v>
      </c>
      <c r="C12113" s="9">
        <f>IFERROR(__xludf.DUMMYFUNCTION("""COMPUTED_VALUE"""),8.99)</f>
        <v>8.99</v>
      </c>
      <c r="H12113" s="17"/>
      <c r="K12113" s="17"/>
      <c r="N12113" s="17"/>
    </row>
    <row r="12114">
      <c r="B12114" s="11">
        <f>IFERROR(__xludf.DUMMYFUNCTION("""COMPUTED_VALUE"""),29067.0)</f>
        <v>29067</v>
      </c>
      <c r="C12114" s="9">
        <f>IFERROR(__xludf.DUMMYFUNCTION("""COMPUTED_VALUE"""),9.01)</f>
        <v>9.01</v>
      </c>
      <c r="H12114" s="17"/>
      <c r="K12114" s="17"/>
      <c r="N12114" s="17"/>
    </row>
    <row r="12115">
      <c r="B12115" s="11">
        <f>IFERROR(__xludf.DUMMYFUNCTION("""COMPUTED_VALUE"""),29066.0)</f>
        <v>29066</v>
      </c>
      <c r="C12115" s="9">
        <f>IFERROR(__xludf.DUMMYFUNCTION("""COMPUTED_VALUE"""),9.03)</f>
        <v>9.03</v>
      </c>
      <c r="H12115" s="17"/>
      <c r="K12115" s="17"/>
      <c r="N12115" s="17"/>
    </row>
    <row r="12116">
      <c r="B12116" s="11">
        <f>IFERROR(__xludf.DUMMYFUNCTION("""COMPUTED_VALUE"""),29063.0)</f>
        <v>29063</v>
      </c>
      <c r="C12116" s="9">
        <f>IFERROR(__xludf.DUMMYFUNCTION("""COMPUTED_VALUE"""),9.02)</f>
        <v>9.02</v>
      </c>
      <c r="H12116" s="17"/>
      <c r="K12116" s="17"/>
      <c r="N12116" s="17"/>
    </row>
    <row r="12117">
      <c r="B12117" s="11">
        <f>IFERROR(__xludf.DUMMYFUNCTION("""COMPUTED_VALUE"""),29062.0)</f>
        <v>29062</v>
      </c>
      <c r="C12117" s="9">
        <f>IFERROR(__xludf.DUMMYFUNCTION("""COMPUTED_VALUE"""),8.97)</f>
        <v>8.97</v>
      </c>
      <c r="H12117" s="17"/>
      <c r="K12117" s="17"/>
      <c r="N12117" s="17"/>
    </row>
    <row r="12118">
      <c r="B12118" s="11">
        <f>IFERROR(__xludf.DUMMYFUNCTION("""COMPUTED_VALUE"""),29061.0)</f>
        <v>29061</v>
      </c>
      <c r="C12118" s="9">
        <f>IFERROR(__xludf.DUMMYFUNCTION("""COMPUTED_VALUE"""),8.99)</f>
        <v>8.99</v>
      </c>
      <c r="H12118" s="17"/>
      <c r="K12118" s="17"/>
      <c r="N12118" s="17"/>
    </row>
    <row r="12119">
      <c r="B12119" s="11">
        <f>IFERROR(__xludf.DUMMYFUNCTION("""COMPUTED_VALUE"""),29060.0)</f>
        <v>29060</v>
      </c>
      <c r="C12119" s="9">
        <f>IFERROR(__xludf.DUMMYFUNCTION("""COMPUTED_VALUE"""),9.06)</f>
        <v>9.06</v>
      </c>
      <c r="H12119" s="17"/>
      <c r="K12119" s="17"/>
      <c r="N12119" s="17"/>
    </row>
    <row r="12120">
      <c r="B12120" s="11">
        <f>IFERROR(__xludf.DUMMYFUNCTION("""COMPUTED_VALUE"""),29059.0)</f>
        <v>29059</v>
      </c>
      <c r="C12120" s="9">
        <f>IFERROR(__xludf.DUMMYFUNCTION("""COMPUTED_VALUE"""),9.03)</f>
        <v>9.03</v>
      </c>
      <c r="H12120" s="17"/>
      <c r="K12120" s="17"/>
      <c r="N12120" s="17"/>
    </row>
    <row r="12121">
      <c r="B12121" s="11">
        <f>IFERROR(__xludf.DUMMYFUNCTION("""COMPUTED_VALUE"""),29056.0)</f>
        <v>29056</v>
      </c>
      <c r="C12121" s="9">
        <f>IFERROR(__xludf.DUMMYFUNCTION("""COMPUTED_VALUE"""),8.98)</f>
        <v>8.98</v>
      </c>
      <c r="H12121" s="17"/>
      <c r="K12121" s="17"/>
      <c r="N12121" s="17"/>
    </row>
    <row r="12122">
      <c r="B12122" s="11">
        <f>IFERROR(__xludf.DUMMYFUNCTION("""COMPUTED_VALUE"""),29055.0)</f>
        <v>29055</v>
      </c>
      <c r="C12122" s="9">
        <f>IFERROR(__xludf.DUMMYFUNCTION("""COMPUTED_VALUE"""),9.04)</f>
        <v>9.04</v>
      </c>
      <c r="H12122" s="17"/>
      <c r="K12122" s="17"/>
      <c r="N12122" s="17"/>
    </row>
    <row r="12123">
      <c r="B12123" s="11">
        <f>IFERROR(__xludf.DUMMYFUNCTION("""COMPUTED_VALUE"""),29054.0)</f>
        <v>29054</v>
      </c>
      <c r="C12123" s="9">
        <f>IFERROR(__xludf.DUMMYFUNCTION("""COMPUTED_VALUE"""),9.03)</f>
        <v>9.03</v>
      </c>
      <c r="H12123" s="17"/>
      <c r="K12123" s="17"/>
      <c r="N12123" s="17"/>
    </row>
    <row r="12124">
      <c r="B12124" s="11">
        <f>IFERROR(__xludf.DUMMYFUNCTION("""COMPUTED_VALUE"""),29053.0)</f>
        <v>29053</v>
      </c>
      <c r="C12124" s="9">
        <f>IFERROR(__xludf.DUMMYFUNCTION("""COMPUTED_VALUE"""),9.01)</f>
        <v>9.01</v>
      </c>
      <c r="H12124" s="17"/>
      <c r="K12124" s="17"/>
      <c r="N12124" s="17"/>
    </row>
    <row r="12125">
      <c r="B12125" s="11">
        <f>IFERROR(__xludf.DUMMYFUNCTION("""COMPUTED_VALUE"""),29052.0)</f>
        <v>29052</v>
      </c>
      <c r="C12125" s="9">
        <f>IFERROR(__xludf.DUMMYFUNCTION("""COMPUTED_VALUE"""),8.99)</f>
        <v>8.99</v>
      </c>
      <c r="H12125" s="17"/>
      <c r="K12125" s="17"/>
      <c r="N12125" s="17"/>
    </row>
    <row r="12126">
      <c r="B12126" s="11">
        <f>IFERROR(__xludf.DUMMYFUNCTION("""COMPUTED_VALUE"""),29049.0)</f>
        <v>29049</v>
      </c>
      <c r="C12126" s="9">
        <f>IFERROR(__xludf.DUMMYFUNCTION("""COMPUTED_VALUE"""),8.94)</f>
        <v>8.94</v>
      </c>
      <c r="H12126" s="17"/>
      <c r="K12126" s="17"/>
      <c r="N12126" s="17"/>
    </row>
    <row r="12127">
      <c r="B12127" s="11">
        <f>IFERROR(__xludf.DUMMYFUNCTION("""COMPUTED_VALUE"""),29048.0)</f>
        <v>29048</v>
      </c>
      <c r="C12127" s="9">
        <f>IFERROR(__xludf.DUMMYFUNCTION("""COMPUTED_VALUE"""),8.95)</f>
        <v>8.95</v>
      </c>
      <c r="H12127" s="17"/>
      <c r="K12127" s="17"/>
      <c r="N12127" s="17"/>
    </row>
    <row r="12128">
      <c r="B12128" s="11">
        <f>IFERROR(__xludf.DUMMYFUNCTION("""COMPUTED_VALUE"""),29047.0)</f>
        <v>29047</v>
      </c>
      <c r="C12128" s="9">
        <f>IFERROR(__xludf.DUMMYFUNCTION("""COMPUTED_VALUE"""),8.97)</f>
        <v>8.97</v>
      </c>
      <c r="H12128" s="17"/>
      <c r="K12128" s="17"/>
      <c r="N12128" s="17"/>
    </row>
    <row r="12129">
      <c r="B12129" s="11">
        <f>IFERROR(__xludf.DUMMYFUNCTION("""COMPUTED_VALUE"""),29046.0)</f>
        <v>29046</v>
      </c>
      <c r="C12129" s="9">
        <f>IFERROR(__xludf.DUMMYFUNCTION("""COMPUTED_VALUE"""),8.92)</f>
        <v>8.92</v>
      </c>
      <c r="H12129" s="17"/>
      <c r="K12129" s="17"/>
      <c r="N12129" s="17"/>
    </row>
    <row r="12130">
      <c r="B12130" s="11">
        <f>IFERROR(__xludf.DUMMYFUNCTION("""COMPUTED_VALUE"""),29045.0)</f>
        <v>29045</v>
      </c>
      <c r="C12130" s="9">
        <f>IFERROR(__xludf.DUMMYFUNCTION("""COMPUTED_VALUE"""),8.86)</f>
        <v>8.86</v>
      </c>
      <c r="H12130" s="17"/>
      <c r="K12130" s="17"/>
      <c r="N12130" s="17"/>
    </row>
    <row r="12131">
      <c r="B12131" s="11">
        <f>IFERROR(__xludf.DUMMYFUNCTION("""COMPUTED_VALUE"""),29042.0)</f>
        <v>29042</v>
      </c>
      <c r="C12131" s="9">
        <f>IFERROR(__xludf.DUMMYFUNCTION("""COMPUTED_VALUE"""),8.82)</f>
        <v>8.82</v>
      </c>
      <c r="H12131" s="17"/>
      <c r="K12131" s="17"/>
      <c r="N12131" s="17"/>
    </row>
    <row r="12132">
      <c r="B12132" s="11">
        <f>IFERROR(__xludf.DUMMYFUNCTION("""COMPUTED_VALUE"""),29041.0)</f>
        <v>29041</v>
      </c>
      <c r="C12132" s="9">
        <f>IFERROR(__xludf.DUMMYFUNCTION("""COMPUTED_VALUE"""),8.8)</f>
        <v>8.8</v>
      </c>
      <c r="H12132" s="17"/>
      <c r="K12132" s="17"/>
      <c r="N12132" s="17"/>
    </row>
    <row r="12133">
      <c r="B12133" s="11">
        <f>IFERROR(__xludf.DUMMYFUNCTION("""COMPUTED_VALUE"""),29040.0)</f>
        <v>29040</v>
      </c>
      <c r="C12133" s="9"/>
      <c r="H12133" s="17"/>
      <c r="K12133" s="17"/>
      <c r="N12133" s="17"/>
    </row>
    <row r="12134">
      <c r="B12134" s="11">
        <f>IFERROR(__xludf.DUMMYFUNCTION("""COMPUTED_VALUE"""),29039.0)</f>
        <v>29039</v>
      </c>
      <c r="C12134" s="9">
        <f>IFERROR(__xludf.DUMMYFUNCTION("""COMPUTED_VALUE"""),8.77)</f>
        <v>8.77</v>
      </c>
      <c r="H12134" s="17"/>
      <c r="K12134" s="17"/>
      <c r="N12134" s="17"/>
    </row>
    <row r="12135">
      <c r="B12135" s="11">
        <f>IFERROR(__xludf.DUMMYFUNCTION("""COMPUTED_VALUE"""),29038.0)</f>
        <v>29038</v>
      </c>
      <c r="C12135" s="9">
        <f>IFERROR(__xludf.DUMMYFUNCTION("""COMPUTED_VALUE"""),8.76)</f>
        <v>8.76</v>
      </c>
      <c r="H12135" s="17"/>
      <c r="K12135" s="17"/>
      <c r="N12135" s="17"/>
    </row>
    <row r="12136">
      <c r="B12136" s="11">
        <f>IFERROR(__xludf.DUMMYFUNCTION("""COMPUTED_VALUE"""),29035.0)</f>
        <v>29035</v>
      </c>
      <c r="C12136" s="9">
        <f>IFERROR(__xludf.DUMMYFUNCTION("""COMPUTED_VALUE"""),8.81)</f>
        <v>8.81</v>
      </c>
      <c r="H12136" s="17"/>
      <c r="K12136" s="17"/>
      <c r="N12136" s="17"/>
    </row>
    <row r="12137">
      <c r="B12137" s="11">
        <f>IFERROR(__xludf.DUMMYFUNCTION("""COMPUTED_VALUE"""),29034.0)</f>
        <v>29034</v>
      </c>
      <c r="C12137" s="9">
        <f>IFERROR(__xludf.DUMMYFUNCTION("""COMPUTED_VALUE"""),8.8)</f>
        <v>8.8</v>
      </c>
      <c r="H12137" s="17"/>
      <c r="K12137" s="17"/>
      <c r="N12137" s="17"/>
    </row>
    <row r="12138">
      <c r="B12138" s="11">
        <f>IFERROR(__xludf.DUMMYFUNCTION("""COMPUTED_VALUE"""),29033.0)</f>
        <v>29033</v>
      </c>
      <c r="C12138" s="9">
        <f>IFERROR(__xludf.DUMMYFUNCTION("""COMPUTED_VALUE"""),8.8)</f>
        <v>8.8</v>
      </c>
      <c r="H12138" s="17"/>
      <c r="K12138" s="17"/>
      <c r="N12138" s="17"/>
    </row>
    <row r="12139">
      <c r="B12139" s="11">
        <f>IFERROR(__xludf.DUMMYFUNCTION("""COMPUTED_VALUE"""),29032.0)</f>
        <v>29032</v>
      </c>
      <c r="C12139" s="9">
        <f>IFERROR(__xludf.DUMMYFUNCTION("""COMPUTED_VALUE"""),8.82)</f>
        <v>8.82</v>
      </c>
      <c r="H12139" s="17"/>
      <c r="K12139" s="17"/>
      <c r="N12139" s="17"/>
    </row>
    <row r="12140">
      <c r="B12140" s="11">
        <f>IFERROR(__xludf.DUMMYFUNCTION("""COMPUTED_VALUE"""),29031.0)</f>
        <v>29031</v>
      </c>
      <c r="C12140" s="9">
        <f>IFERROR(__xludf.DUMMYFUNCTION("""COMPUTED_VALUE"""),8.93)</f>
        <v>8.93</v>
      </c>
      <c r="H12140" s="17"/>
      <c r="K12140" s="17"/>
      <c r="N12140" s="17"/>
    </row>
    <row r="12141">
      <c r="B12141" s="11">
        <f>IFERROR(__xludf.DUMMYFUNCTION("""COMPUTED_VALUE"""),29028.0)</f>
        <v>29028</v>
      </c>
      <c r="C12141" s="9">
        <f>IFERROR(__xludf.DUMMYFUNCTION("""COMPUTED_VALUE"""),8.98)</f>
        <v>8.98</v>
      </c>
      <c r="H12141" s="17"/>
      <c r="K12141" s="17"/>
      <c r="N12141" s="17"/>
    </row>
    <row r="12142">
      <c r="B12142" s="11">
        <f>IFERROR(__xludf.DUMMYFUNCTION("""COMPUTED_VALUE"""),29027.0)</f>
        <v>29027</v>
      </c>
      <c r="C12142" s="9">
        <f>IFERROR(__xludf.DUMMYFUNCTION("""COMPUTED_VALUE"""),8.93)</f>
        <v>8.93</v>
      </c>
      <c r="H12142" s="17"/>
      <c r="K12142" s="17"/>
      <c r="N12142" s="17"/>
    </row>
    <row r="12143">
      <c r="B12143" s="11">
        <f>IFERROR(__xludf.DUMMYFUNCTION("""COMPUTED_VALUE"""),29026.0)</f>
        <v>29026</v>
      </c>
      <c r="C12143" s="9">
        <f>IFERROR(__xludf.DUMMYFUNCTION("""COMPUTED_VALUE"""),8.94)</f>
        <v>8.94</v>
      </c>
      <c r="H12143" s="17"/>
      <c r="K12143" s="17"/>
      <c r="N12143" s="17"/>
    </row>
    <row r="12144">
      <c r="B12144" s="11">
        <f>IFERROR(__xludf.DUMMYFUNCTION("""COMPUTED_VALUE"""),29025.0)</f>
        <v>29025</v>
      </c>
      <c r="C12144" s="9">
        <f>IFERROR(__xludf.DUMMYFUNCTION("""COMPUTED_VALUE"""),8.95)</f>
        <v>8.95</v>
      </c>
      <c r="H12144" s="17"/>
      <c r="K12144" s="17"/>
      <c r="N12144" s="17"/>
    </row>
    <row r="12145">
      <c r="B12145" s="11">
        <f>IFERROR(__xludf.DUMMYFUNCTION("""COMPUTED_VALUE"""),29024.0)</f>
        <v>29024</v>
      </c>
      <c r="C12145" s="9">
        <f>IFERROR(__xludf.DUMMYFUNCTION("""COMPUTED_VALUE"""),8.95)</f>
        <v>8.95</v>
      </c>
      <c r="H12145" s="17"/>
      <c r="K12145" s="17"/>
      <c r="N12145" s="17"/>
    </row>
    <row r="12146">
      <c r="B12146" s="11">
        <f>IFERROR(__xludf.DUMMYFUNCTION("""COMPUTED_VALUE"""),29021.0)</f>
        <v>29021</v>
      </c>
      <c r="C12146" s="9">
        <f>IFERROR(__xludf.DUMMYFUNCTION("""COMPUTED_VALUE"""),8.96)</f>
        <v>8.96</v>
      </c>
      <c r="H12146" s="17"/>
      <c r="K12146" s="17"/>
      <c r="N12146" s="17"/>
    </row>
    <row r="12147">
      <c r="B12147" s="11">
        <f>IFERROR(__xludf.DUMMYFUNCTION("""COMPUTED_VALUE"""),29020.0)</f>
        <v>29020</v>
      </c>
      <c r="C12147" s="9">
        <f>IFERROR(__xludf.DUMMYFUNCTION("""COMPUTED_VALUE"""),8.87)</f>
        <v>8.87</v>
      </c>
      <c r="H12147" s="17"/>
      <c r="K12147" s="17"/>
      <c r="N12147" s="17"/>
    </row>
    <row r="12148">
      <c r="B12148" s="11">
        <f>IFERROR(__xludf.DUMMYFUNCTION("""COMPUTED_VALUE"""),29019.0)</f>
        <v>29019</v>
      </c>
      <c r="C12148" s="9">
        <f>IFERROR(__xludf.DUMMYFUNCTION("""COMPUTED_VALUE"""),8.83)</f>
        <v>8.83</v>
      </c>
      <c r="H12148" s="17"/>
      <c r="K12148" s="17"/>
      <c r="N12148" s="17"/>
    </row>
    <row r="12149">
      <c r="B12149" s="11">
        <f>IFERROR(__xludf.DUMMYFUNCTION("""COMPUTED_VALUE"""),29018.0)</f>
        <v>29018</v>
      </c>
      <c r="C12149" s="9">
        <f>IFERROR(__xludf.DUMMYFUNCTION("""COMPUTED_VALUE"""),8.79)</f>
        <v>8.79</v>
      </c>
      <c r="H12149" s="17"/>
      <c r="K12149" s="17"/>
      <c r="N12149" s="17"/>
    </row>
    <row r="12150">
      <c r="B12150" s="11">
        <f>IFERROR(__xludf.DUMMYFUNCTION("""COMPUTED_VALUE"""),29017.0)</f>
        <v>29017</v>
      </c>
      <c r="C12150" s="9">
        <f>IFERROR(__xludf.DUMMYFUNCTION("""COMPUTED_VALUE"""),8.94)</f>
        <v>8.94</v>
      </c>
      <c r="H12150" s="17"/>
      <c r="K12150" s="17"/>
      <c r="N12150" s="17"/>
    </row>
    <row r="12151">
      <c r="B12151" s="11">
        <f>IFERROR(__xludf.DUMMYFUNCTION("""COMPUTED_VALUE"""),29014.0)</f>
        <v>29014</v>
      </c>
      <c r="C12151" s="9">
        <f>IFERROR(__xludf.DUMMYFUNCTION("""COMPUTED_VALUE"""),8.9)</f>
        <v>8.9</v>
      </c>
      <c r="H12151" s="17"/>
      <c r="K12151" s="17"/>
      <c r="N12151" s="17"/>
    </row>
    <row r="12152">
      <c r="B12152" s="11">
        <f>IFERROR(__xludf.DUMMYFUNCTION("""COMPUTED_VALUE"""),29013.0)</f>
        <v>29013</v>
      </c>
      <c r="C12152" s="9">
        <f>IFERROR(__xludf.DUMMYFUNCTION("""COMPUTED_VALUE"""),8.89)</f>
        <v>8.89</v>
      </c>
      <c r="H12152" s="17"/>
      <c r="K12152" s="17"/>
      <c r="N12152" s="17"/>
    </row>
    <row r="12153">
      <c r="B12153" s="11">
        <f>IFERROR(__xludf.DUMMYFUNCTION("""COMPUTED_VALUE"""),29012.0)</f>
        <v>29012</v>
      </c>
      <c r="C12153" s="9">
        <f>IFERROR(__xludf.DUMMYFUNCTION("""COMPUTED_VALUE"""),8.97)</f>
        <v>8.97</v>
      </c>
      <c r="H12153" s="17"/>
      <c r="K12153" s="17"/>
      <c r="N12153" s="17"/>
    </row>
    <row r="12154">
      <c r="B12154" s="11">
        <f>IFERROR(__xludf.DUMMYFUNCTION("""COMPUTED_VALUE"""),29011.0)</f>
        <v>29011</v>
      </c>
      <c r="C12154" s="9">
        <f>IFERROR(__xludf.DUMMYFUNCTION("""COMPUTED_VALUE"""),9.02)</f>
        <v>9.02</v>
      </c>
      <c r="H12154" s="17"/>
      <c r="K12154" s="17"/>
      <c r="N12154" s="17"/>
    </row>
    <row r="12155">
      <c r="B12155" s="11">
        <f>IFERROR(__xludf.DUMMYFUNCTION("""COMPUTED_VALUE"""),29010.0)</f>
        <v>29010</v>
      </c>
      <c r="C12155" s="9">
        <f>IFERROR(__xludf.DUMMYFUNCTION("""COMPUTED_VALUE"""),9.06)</f>
        <v>9.06</v>
      </c>
      <c r="H12155" s="17"/>
      <c r="K12155" s="17"/>
      <c r="N12155" s="17"/>
    </row>
    <row r="12156">
      <c r="B12156" s="11">
        <f>IFERROR(__xludf.DUMMYFUNCTION("""COMPUTED_VALUE"""),29007.0)</f>
        <v>29007</v>
      </c>
      <c r="C12156" s="9">
        <f>IFERROR(__xludf.DUMMYFUNCTION("""COMPUTED_VALUE"""),9.05)</f>
        <v>9.05</v>
      </c>
      <c r="H12156" s="17"/>
      <c r="K12156" s="17"/>
      <c r="N12156" s="17"/>
    </row>
    <row r="12157">
      <c r="B12157" s="11">
        <f>IFERROR(__xludf.DUMMYFUNCTION("""COMPUTED_VALUE"""),29006.0)</f>
        <v>29006</v>
      </c>
      <c r="C12157" s="9">
        <f>IFERROR(__xludf.DUMMYFUNCTION("""COMPUTED_VALUE"""),9.06)</f>
        <v>9.06</v>
      </c>
      <c r="H12157" s="17"/>
      <c r="K12157" s="17"/>
      <c r="N12157" s="17"/>
    </row>
    <row r="12158">
      <c r="B12158" s="11">
        <f>IFERROR(__xludf.DUMMYFUNCTION("""COMPUTED_VALUE"""),29005.0)</f>
        <v>29005</v>
      </c>
      <c r="C12158" s="9"/>
      <c r="H12158" s="17"/>
      <c r="K12158" s="17"/>
      <c r="N12158" s="17"/>
    </row>
    <row r="12159">
      <c r="B12159" s="11">
        <f>IFERROR(__xludf.DUMMYFUNCTION("""COMPUTED_VALUE"""),29004.0)</f>
        <v>29004</v>
      </c>
      <c r="C12159" s="9">
        <f>IFERROR(__xludf.DUMMYFUNCTION("""COMPUTED_VALUE"""),9.01)</f>
        <v>9.01</v>
      </c>
      <c r="H12159" s="17"/>
      <c r="K12159" s="17"/>
      <c r="N12159" s="17"/>
    </row>
    <row r="12160">
      <c r="B12160" s="11">
        <f>IFERROR(__xludf.DUMMYFUNCTION("""COMPUTED_VALUE"""),29003.0)</f>
        <v>29003</v>
      </c>
      <c r="C12160" s="9"/>
      <c r="H12160" s="17"/>
      <c r="K12160" s="17"/>
      <c r="N12160" s="17"/>
    </row>
    <row r="12161">
      <c r="B12161" s="11">
        <f>IFERROR(__xludf.DUMMYFUNCTION("""COMPUTED_VALUE"""),29000.0)</f>
        <v>29000</v>
      </c>
      <c r="C12161" s="9">
        <f>IFERROR(__xludf.DUMMYFUNCTION("""COMPUTED_VALUE"""),9.01)</f>
        <v>9.01</v>
      </c>
      <c r="H12161" s="17"/>
      <c r="K12161" s="17"/>
      <c r="N12161" s="17"/>
    </row>
    <row r="12162">
      <c r="B12162" s="11">
        <f>IFERROR(__xludf.DUMMYFUNCTION("""COMPUTED_VALUE"""),28999.0)</f>
        <v>28999</v>
      </c>
      <c r="C12162" s="9">
        <f>IFERROR(__xludf.DUMMYFUNCTION("""COMPUTED_VALUE"""),9.06)</f>
        <v>9.06</v>
      </c>
      <c r="H12162" s="17"/>
      <c r="K12162" s="17"/>
      <c r="N12162" s="17"/>
    </row>
    <row r="12163">
      <c r="B12163" s="11">
        <f>IFERROR(__xludf.DUMMYFUNCTION("""COMPUTED_VALUE"""),28998.0)</f>
        <v>28998</v>
      </c>
      <c r="C12163" s="9">
        <f>IFERROR(__xludf.DUMMYFUNCTION("""COMPUTED_VALUE"""),9.07)</f>
        <v>9.07</v>
      </c>
      <c r="H12163" s="17"/>
      <c r="K12163" s="17"/>
      <c r="N12163" s="17"/>
    </row>
    <row r="12164">
      <c r="B12164" s="11">
        <f>IFERROR(__xludf.DUMMYFUNCTION("""COMPUTED_VALUE"""),28997.0)</f>
        <v>28997</v>
      </c>
      <c r="C12164" s="9">
        <f>IFERROR(__xludf.DUMMYFUNCTION("""COMPUTED_VALUE"""),9.15)</f>
        <v>9.15</v>
      </c>
      <c r="H12164" s="17"/>
      <c r="K12164" s="17"/>
      <c r="N12164" s="17"/>
    </row>
    <row r="12165">
      <c r="B12165" s="11">
        <f>IFERROR(__xludf.DUMMYFUNCTION("""COMPUTED_VALUE"""),28996.0)</f>
        <v>28996</v>
      </c>
      <c r="C12165" s="9">
        <f>IFERROR(__xludf.DUMMYFUNCTION("""COMPUTED_VALUE"""),9.24)</f>
        <v>9.24</v>
      </c>
      <c r="H12165" s="17"/>
      <c r="K12165" s="17"/>
      <c r="N12165" s="17"/>
    </row>
    <row r="12166">
      <c r="B12166" s="11">
        <f>IFERROR(__xludf.DUMMYFUNCTION("""COMPUTED_VALUE"""),28993.0)</f>
        <v>28993</v>
      </c>
      <c r="C12166" s="9">
        <f>IFERROR(__xludf.DUMMYFUNCTION("""COMPUTED_VALUE"""),9.23)</f>
        <v>9.23</v>
      </c>
      <c r="H12166" s="17"/>
      <c r="K12166" s="17"/>
      <c r="N12166" s="17"/>
    </row>
    <row r="12167">
      <c r="B12167" s="11">
        <f>IFERROR(__xludf.DUMMYFUNCTION("""COMPUTED_VALUE"""),28992.0)</f>
        <v>28992</v>
      </c>
      <c r="C12167" s="9">
        <f>IFERROR(__xludf.DUMMYFUNCTION("""COMPUTED_VALUE"""),9.24)</f>
        <v>9.24</v>
      </c>
      <c r="H12167" s="17"/>
      <c r="K12167" s="17"/>
      <c r="N12167" s="17"/>
    </row>
    <row r="12168">
      <c r="B12168" s="11">
        <f>IFERROR(__xludf.DUMMYFUNCTION("""COMPUTED_VALUE"""),28991.0)</f>
        <v>28991</v>
      </c>
      <c r="C12168" s="9">
        <f>IFERROR(__xludf.DUMMYFUNCTION("""COMPUTED_VALUE"""),9.31)</f>
        <v>9.31</v>
      </c>
      <c r="H12168" s="17"/>
      <c r="K12168" s="17"/>
      <c r="N12168" s="17"/>
    </row>
    <row r="12169">
      <c r="B12169" s="11">
        <f>IFERROR(__xludf.DUMMYFUNCTION("""COMPUTED_VALUE"""),28990.0)</f>
        <v>28990</v>
      </c>
      <c r="C12169" s="9">
        <f>IFERROR(__xludf.DUMMYFUNCTION("""COMPUTED_VALUE"""),9.32)</f>
        <v>9.32</v>
      </c>
      <c r="H12169" s="17"/>
      <c r="K12169" s="17"/>
      <c r="N12169" s="17"/>
    </row>
    <row r="12170">
      <c r="B12170" s="11">
        <f>IFERROR(__xludf.DUMMYFUNCTION("""COMPUTED_VALUE"""),28989.0)</f>
        <v>28989</v>
      </c>
      <c r="C12170" s="9">
        <f>IFERROR(__xludf.DUMMYFUNCTION("""COMPUTED_VALUE"""),9.3)</f>
        <v>9.3</v>
      </c>
      <c r="H12170" s="17"/>
      <c r="K12170" s="17"/>
      <c r="N12170" s="17"/>
    </row>
    <row r="12171">
      <c r="B12171" s="11">
        <f>IFERROR(__xludf.DUMMYFUNCTION("""COMPUTED_VALUE"""),28986.0)</f>
        <v>28986</v>
      </c>
      <c r="C12171" s="9">
        <f>IFERROR(__xludf.DUMMYFUNCTION("""COMPUTED_VALUE"""),9.34)</f>
        <v>9.34</v>
      </c>
      <c r="H12171" s="17"/>
      <c r="K12171" s="17"/>
      <c r="N12171" s="17"/>
    </row>
    <row r="12172">
      <c r="B12172" s="11">
        <f>IFERROR(__xludf.DUMMYFUNCTION("""COMPUTED_VALUE"""),28985.0)</f>
        <v>28985</v>
      </c>
      <c r="C12172" s="9">
        <f>IFERROR(__xludf.DUMMYFUNCTION("""COMPUTED_VALUE"""),9.36)</f>
        <v>9.36</v>
      </c>
      <c r="H12172" s="17"/>
      <c r="K12172" s="17"/>
      <c r="N12172" s="17"/>
    </row>
    <row r="12173">
      <c r="B12173" s="11">
        <f>IFERROR(__xludf.DUMMYFUNCTION("""COMPUTED_VALUE"""),28984.0)</f>
        <v>28984</v>
      </c>
      <c r="C12173" s="9">
        <f>IFERROR(__xludf.DUMMYFUNCTION("""COMPUTED_VALUE"""),9.36)</f>
        <v>9.36</v>
      </c>
      <c r="H12173" s="17"/>
      <c r="K12173" s="17"/>
      <c r="N12173" s="17"/>
    </row>
    <row r="12174">
      <c r="B12174" s="11">
        <f>IFERROR(__xludf.DUMMYFUNCTION("""COMPUTED_VALUE"""),28983.0)</f>
        <v>28983</v>
      </c>
      <c r="C12174" s="9">
        <f>IFERROR(__xludf.DUMMYFUNCTION("""COMPUTED_VALUE"""),9.38)</f>
        <v>9.38</v>
      </c>
      <c r="H12174" s="17"/>
      <c r="K12174" s="17"/>
      <c r="N12174" s="17"/>
    </row>
    <row r="12175">
      <c r="B12175" s="11">
        <f>IFERROR(__xludf.DUMMYFUNCTION("""COMPUTED_VALUE"""),28982.0)</f>
        <v>28982</v>
      </c>
      <c r="C12175" s="9">
        <f>IFERROR(__xludf.DUMMYFUNCTION("""COMPUTED_VALUE"""),9.39)</f>
        <v>9.39</v>
      </c>
      <c r="H12175" s="17"/>
      <c r="K12175" s="17"/>
      <c r="N12175" s="17"/>
    </row>
    <row r="12176">
      <c r="B12176" s="11">
        <f>IFERROR(__xludf.DUMMYFUNCTION("""COMPUTED_VALUE"""),28979.0)</f>
        <v>28979</v>
      </c>
      <c r="C12176" s="9">
        <f>IFERROR(__xludf.DUMMYFUNCTION("""COMPUTED_VALUE"""),9.39)</f>
        <v>9.39</v>
      </c>
      <c r="H12176" s="17"/>
      <c r="K12176" s="17"/>
      <c r="N12176" s="17"/>
    </row>
    <row r="12177">
      <c r="B12177" s="11">
        <f>IFERROR(__xludf.DUMMYFUNCTION("""COMPUTED_VALUE"""),28978.0)</f>
        <v>28978</v>
      </c>
      <c r="C12177" s="9">
        <f>IFERROR(__xludf.DUMMYFUNCTION("""COMPUTED_VALUE"""),9.38)</f>
        <v>9.38</v>
      </c>
      <c r="H12177" s="17"/>
      <c r="K12177" s="17"/>
      <c r="N12177" s="17"/>
    </row>
    <row r="12178">
      <c r="B12178" s="11">
        <f>IFERROR(__xludf.DUMMYFUNCTION("""COMPUTED_VALUE"""),28977.0)</f>
        <v>28977</v>
      </c>
      <c r="C12178" s="9">
        <f>IFERROR(__xludf.DUMMYFUNCTION("""COMPUTED_VALUE"""),9.34)</f>
        <v>9.34</v>
      </c>
      <c r="H12178" s="17"/>
      <c r="K12178" s="17"/>
      <c r="N12178" s="17"/>
    </row>
    <row r="12179">
      <c r="B12179" s="11">
        <f>IFERROR(__xludf.DUMMYFUNCTION("""COMPUTED_VALUE"""),28976.0)</f>
        <v>28976</v>
      </c>
      <c r="C12179" s="9">
        <f>IFERROR(__xludf.DUMMYFUNCTION("""COMPUTED_VALUE"""),9.36)</f>
        <v>9.36</v>
      </c>
      <c r="H12179" s="17"/>
      <c r="K12179" s="17"/>
      <c r="N12179" s="17"/>
    </row>
    <row r="12180">
      <c r="B12180" s="11">
        <f>IFERROR(__xludf.DUMMYFUNCTION("""COMPUTED_VALUE"""),28975.0)</f>
        <v>28975</v>
      </c>
      <c r="C12180" s="9">
        <f>IFERROR(__xludf.DUMMYFUNCTION("""COMPUTED_VALUE"""),9.35)</f>
        <v>9.35</v>
      </c>
      <c r="H12180" s="17"/>
      <c r="K12180" s="17"/>
      <c r="N12180" s="17"/>
    </row>
    <row r="12181">
      <c r="B12181" s="11">
        <f>IFERROR(__xludf.DUMMYFUNCTION("""COMPUTED_VALUE"""),28972.0)</f>
        <v>28972</v>
      </c>
      <c r="C12181" s="9">
        <f>IFERROR(__xludf.DUMMYFUNCTION("""COMPUTED_VALUE"""),9.32)</f>
        <v>9.32</v>
      </c>
      <c r="H12181" s="17"/>
      <c r="K12181" s="17"/>
      <c r="N12181" s="17"/>
    </row>
    <row r="12182">
      <c r="B12182" s="11">
        <f>IFERROR(__xludf.DUMMYFUNCTION("""COMPUTED_VALUE"""),28971.0)</f>
        <v>28971</v>
      </c>
      <c r="C12182" s="9">
        <f>IFERROR(__xludf.DUMMYFUNCTION("""COMPUTED_VALUE"""),9.27)</f>
        <v>9.27</v>
      </c>
      <c r="H12182" s="17"/>
      <c r="K12182" s="17"/>
      <c r="N12182" s="17"/>
    </row>
    <row r="12183">
      <c r="B12183" s="11">
        <f>IFERROR(__xludf.DUMMYFUNCTION("""COMPUTED_VALUE"""),28970.0)</f>
        <v>28970</v>
      </c>
      <c r="C12183" s="9">
        <f>IFERROR(__xludf.DUMMYFUNCTION("""COMPUTED_VALUE"""),9.23)</f>
        <v>9.23</v>
      </c>
      <c r="H12183" s="17"/>
      <c r="K12183" s="17"/>
      <c r="N12183" s="17"/>
    </row>
    <row r="12184">
      <c r="B12184" s="11">
        <f>IFERROR(__xludf.DUMMYFUNCTION("""COMPUTED_VALUE"""),28969.0)</f>
        <v>28969</v>
      </c>
      <c r="C12184" s="9">
        <f>IFERROR(__xludf.DUMMYFUNCTION("""COMPUTED_VALUE"""),9.24)</f>
        <v>9.24</v>
      </c>
      <c r="H12184" s="17"/>
      <c r="K12184" s="17"/>
      <c r="N12184" s="17"/>
    </row>
    <row r="12185">
      <c r="B12185" s="11">
        <f>IFERROR(__xludf.DUMMYFUNCTION("""COMPUTED_VALUE"""),28968.0)</f>
        <v>28968</v>
      </c>
      <c r="C12185" s="9">
        <f>IFERROR(__xludf.DUMMYFUNCTION("""COMPUTED_VALUE"""),9.21)</f>
        <v>9.21</v>
      </c>
      <c r="H12185" s="17"/>
      <c r="K12185" s="17"/>
      <c r="N12185" s="17"/>
    </row>
    <row r="12186">
      <c r="B12186" s="11">
        <f>IFERROR(__xludf.DUMMYFUNCTION("""COMPUTED_VALUE"""),28965.0)</f>
        <v>28965</v>
      </c>
      <c r="C12186" s="9">
        <f>IFERROR(__xludf.DUMMYFUNCTION("""COMPUTED_VALUE"""),9.19)</f>
        <v>9.19</v>
      </c>
      <c r="H12186" s="17"/>
      <c r="K12186" s="17"/>
      <c r="N12186" s="17"/>
    </row>
    <row r="12187">
      <c r="B12187" s="11">
        <f>IFERROR(__xludf.DUMMYFUNCTION("""COMPUTED_VALUE"""),28964.0)</f>
        <v>28964</v>
      </c>
      <c r="C12187" s="9">
        <f>IFERROR(__xludf.DUMMYFUNCTION("""COMPUTED_VALUE"""),9.15)</f>
        <v>9.15</v>
      </c>
      <c r="H12187" s="17"/>
      <c r="K12187" s="17"/>
      <c r="N12187" s="17"/>
    </row>
    <row r="12188">
      <c r="B12188" s="11">
        <f>IFERROR(__xludf.DUMMYFUNCTION("""COMPUTED_VALUE"""),28963.0)</f>
        <v>28963</v>
      </c>
      <c r="C12188" s="9">
        <f>IFERROR(__xludf.DUMMYFUNCTION("""COMPUTED_VALUE"""),9.15)</f>
        <v>9.15</v>
      </c>
      <c r="H12188" s="17"/>
      <c r="K12188" s="17"/>
      <c r="N12188" s="17"/>
    </row>
    <row r="12189">
      <c r="B12189" s="11">
        <f>IFERROR(__xludf.DUMMYFUNCTION("""COMPUTED_VALUE"""),28962.0)</f>
        <v>28962</v>
      </c>
      <c r="C12189" s="9">
        <f>IFERROR(__xludf.DUMMYFUNCTION("""COMPUTED_VALUE"""),9.16)</f>
        <v>9.16</v>
      </c>
      <c r="H12189" s="17"/>
      <c r="K12189" s="17"/>
      <c r="N12189" s="17"/>
    </row>
    <row r="12190">
      <c r="B12190" s="11">
        <f>IFERROR(__xludf.DUMMYFUNCTION("""COMPUTED_VALUE"""),28961.0)</f>
        <v>28961</v>
      </c>
      <c r="C12190" s="9">
        <f>IFERROR(__xludf.DUMMYFUNCTION("""COMPUTED_VALUE"""),9.19)</f>
        <v>9.19</v>
      </c>
      <c r="H12190" s="17"/>
      <c r="K12190" s="17"/>
      <c r="N12190" s="17"/>
    </row>
    <row r="12191">
      <c r="B12191" s="11">
        <f>IFERROR(__xludf.DUMMYFUNCTION("""COMPUTED_VALUE"""),28958.0)</f>
        <v>28958</v>
      </c>
      <c r="C12191" s="9"/>
      <c r="H12191" s="17"/>
      <c r="K12191" s="17"/>
      <c r="N12191" s="17"/>
    </row>
    <row r="12192">
      <c r="B12192" s="11">
        <f>IFERROR(__xludf.DUMMYFUNCTION("""COMPUTED_VALUE"""),28957.0)</f>
        <v>28957</v>
      </c>
      <c r="C12192" s="9">
        <f>IFERROR(__xludf.DUMMYFUNCTION("""COMPUTED_VALUE"""),9.2)</f>
        <v>9.2</v>
      </c>
      <c r="H12192" s="17"/>
      <c r="K12192" s="17"/>
      <c r="N12192" s="17"/>
    </row>
    <row r="12193">
      <c r="B12193" s="11">
        <f>IFERROR(__xludf.DUMMYFUNCTION("""COMPUTED_VALUE"""),28956.0)</f>
        <v>28956</v>
      </c>
      <c r="C12193" s="9">
        <f>IFERROR(__xludf.DUMMYFUNCTION("""COMPUTED_VALUE"""),9.2)</f>
        <v>9.2</v>
      </c>
      <c r="H12193" s="17"/>
      <c r="K12193" s="17"/>
      <c r="N12193" s="17"/>
    </row>
    <row r="12194">
      <c r="B12194" s="11">
        <f>IFERROR(__xludf.DUMMYFUNCTION("""COMPUTED_VALUE"""),28955.0)</f>
        <v>28955</v>
      </c>
      <c r="C12194" s="9">
        <f>IFERROR(__xludf.DUMMYFUNCTION("""COMPUTED_VALUE"""),9.17)</f>
        <v>9.17</v>
      </c>
      <c r="H12194" s="17"/>
      <c r="K12194" s="17"/>
      <c r="N12194" s="17"/>
    </row>
    <row r="12195">
      <c r="B12195" s="11">
        <f>IFERROR(__xludf.DUMMYFUNCTION("""COMPUTED_VALUE"""),28954.0)</f>
        <v>28954</v>
      </c>
      <c r="C12195" s="9">
        <f>IFERROR(__xludf.DUMMYFUNCTION("""COMPUTED_VALUE"""),9.14)</f>
        <v>9.14</v>
      </c>
      <c r="H12195" s="17"/>
      <c r="K12195" s="17"/>
      <c r="N12195" s="17"/>
    </row>
    <row r="12196">
      <c r="B12196" s="11">
        <f>IFERROR(__xludf.DUMMYFUNCTION("""COMPUTED_VALUE"""),28951.0)</f>
        <v>28951</v>
      </c>
      <c r="C12196" s="9">
        <f>IFERROR(__xludf.DUMMYFUNCTION("""COMPUTED_VALUE"""),9.1)</f>
        <v>9.1</v>
      </c>
      <c r="H12196" s="17"/>
      <c r="K12196" s="17"/>
      <c r="N12196" s="17"/>
    </row>
    <row r="12197">
      <c r="B12197" s="11">
        <f>IFERROR(__xludf.DUMMYFUNCTION("""COMPUTED_VALUE"""),28950.0)</f>
        <v>28950</v>
      </c>
      <c r="C12197" s="9">
        <f>IFERROR(__xludf.DUMMYFUNCTION("""COMPUTED_VALUE"""),9.07)</f>
        <v>9.07</v>
      </c>
      <c r="H12197" s="17"/>
      <c r="K12197" s="17"/>
      <c r="N12197" s="17"/>
    </row>
    <row r="12198">
      <c r="B12198" s="11">
        <f>IFERROR(__xludf.DUMMYFUNCTION("""COMPUTED_VALUE"""),28949.0)</f>
        <v>28949</v>
      </c>
      <c r="C12198" s="9">
        <f>IFERROR(__xludf.DUMMYFUNCTION("""COMPUTED_VALUE"""),9.09)</f>
        <v>9.09</v>
      </c>
      <c r="H12198" s="17"/>
      <c r="K12198" s="17"/>
      <c r="N12198" s="17"/>
    </row>
    <row r="12199">
      <c r="B12199" s="11">
        <f>IFERROR(__xludf.DUMMYFUNCTION("""COMPUTED_VALUE"""),28948.0)</f>
        <v>28948</v>
      </c>
      <c r="C12199" s="9">
        <f>IFERROR(__xludf.DUMMYFUNCTION("""COMPUTED_VALUE"""),9.1)</f>
        <v>9.1</v>
      </c>
      <c r="H12199" s="17"/>
      <c r="K12199" s="17"/>
      <c r="N12199" s="17"/>
    </row>
    <row r="12200">
      <c r="B12200" s="11">
        <f>IFERROR(__xludf.DUMMYFUNCTION("""COMPUTED_VALUE"""),28947.0)</f>
        <v>28947</v>
      </c>
      <c r="C12200" s="9">
        <f>IFERROR(__xludf.DUMMYFUNCTION("""COMPUTED_VALUE"""),9.11)</f>
        <v>9.11</v>
      </c>
      <c r="H12200" s="17"/>
      <c r="K12200" s="17"/>
      <c r="N12200" s="17"/>
    </row>
    <row r="12201">
      <c r="B12201" s="11">
        <f>IFERROR(__xludf.DUMMYFUNCTION("""COMPUTED_VALUE"""),28944.0)</f>
        <v>28944</v>
      </c>
      <c r="C12201" s="9">
        <f>IFERROR(__xludf.DUMMYFUNCTION("""COMPUTED_VALUE"""),9.11)</f>
        <v>9.11</v>
      </c>
      <c r="H12201" s="17"/>
      <c r="K12201" s="17"/>
      <c r="N12201" s="17"/>
    </row>
    <row r="12202">
      <c r="B12202" s="11">
        <f>IFERROR(__xludf.DUMMYFUNCTION("""COMPUTED_VALUE"""),28943.0)</f>
        <v>28943</v>
      </c>
      <c r="C12202" s="9">
        <f>IFERROR(__xludf.DUMMYFUNCTION("""COMPUTED_VALUE"""),9.06)</f>
        <v>9.06</v>
      </c>
      <c r="H12202" s="17"/>
      <c r="K12202" s="17"/>
      <c r="N12202" s="17"/>
    </row>
    <row r="12203">
      <c r="B12203" s="11">
        <f>IFERROR(__xludf.DUMMYFUNCTION("""COMPUTED_VALUE"""),28942.0)</f>
        <v>28942</v>
      </c>
      <c r="C12203" s="9">
        <f>IFERROR(__xludf.DUMMYFUNCTION("""COMPUTED_VALUE"""),9.07)</f>
        <v>9.07</v>
      </c>
      <c r="H12203" s="17"/>
      <c r="K12203" s="17"/>
      <c r="N12203" s="17"/>
    </row>
    <row r="12204">
      <c r="B12204" s="11">
        <f>IFERROR(__xludf.DUMMYFUNCTION("""COMPUTED_VALUE"""),28941.0)</f>
        <v>28941</v>
      </c>
      <c r="C12204" s="9">
        <f>IFERROR(__xludf.DUMMYFUNCTION("""COMPUTED_VALUE"""),9.11)</f>
        <v>9.11</v>
      </c>
      <c r="H12204" s="17"/>
      <c r="K12204" s="17"/>
      <c r="N12204" s="17"/>
    </row>
    <row r="12205">
      <c r="B12205" s="11">
        <f>IFERROR(__xludf.DUMMYFUNCTION("""COMPUTED_VALUE"""),28940.0)</f>
        <v>28940</v>
      </c>
      <c r="C12205" s="9">
        <f>IFERROR(__xludf.DUMMYFUNCTION("""COMPUTED_VALUE"""),9.12)</f>
        <v>9.12</v>
      </c>
      <c r="H12205" s="17"/>
      <c r="K12205" s="17"/>
      <c r="N12205" s="17"/>
    </row>
    <row r="12206">
      <c r="B12206" s="11">
        <f>IFERROR(__xludf.DUMMYFUNCTION("""COMPUTED_VALUE"""),28937.0)</f>
        <v>28937</v>
      </c>
      <c r="C12206" s="9">
        <f>IFERROR(__xludf.DUMMYFUNCTION("""COMPUTED_VALUE"""),9.12)</f>
        <v>9.12</v>
      </c>
      <c r="H12206" s="17"/>
      <c r="K12206" s="17"/>
      <c r="N12206" s="17"/>
    </row>
    <row r="12207">
      <c r="B12207" s="11">
        <f>IFERROR(__xludf.DUMMYFUNCTION("""COMPUTED_VALUE"""),28936.0)</f>
        <v>28936</v>
      </c>
      <c r="C12207" s="9">
        <f>IFERROR(__xludf.DUMMYFUNCTION("""COMPUTED_VALUE"""),9.12)</f>
        <v>9.12</v>
      </c>
      <c r="H12207" s="17"/>
      <c r="K12207" s="17"/>
      <c r="N12207" s="17"/>
    </row>
    <row r="12208">
      <c r="B12208" s="11">
        <f>IFERROR(__xludf.DUMMYFUNCTION("""COMPUTED_VALUE"""),28935.0)</f>
        <v>28935</v>
      </c>
      <c r="C12208" s="9">
        <f>IFERROR(__xludf.DUMMYFUNCTION("""COMPUTED_VALUE"""),9.13)</f>
        <v>9.13</v>
      </c>
      <c r="H12208" s="17"/>
      <c r="K12208" s="17"/>
      <c r="N12208" s="17"/>
    </row>
    <row r="12209">
      <c r="B12209" s="11">
        <f>IFERROR(__xludf.DUMMYFUNCTION("""COMPUTED_VALUE"""),28934.0)</f>
        <v>28934</v>
      </c>
      <c r="C12209" s="9">
        <f>IFERROR(__xludf.DUMMYFUNCTION("""COMPUTED_VALUE"""),9.13)</f>
        <v>9.13</v>
      </c>
      <c r="H12209" s="17"/>
      <c r="K12209" s="17"/>
      <c r="N12209" s="17"/>
    </row>
    <row r="12210">
      <c r="B12210" s="11">
        <f>IFERROR(__xludf.DUMMYFUNCTION("""COMPUTED_VALUE"""),28933.0)</f>
        <v>28933</v>
      </c>
      <c r="C12210" s="9">
        <f>IFERROR(__xludf.DUMMYFUNCTION("""COMPUTED_VALUE"""),9.12)</f>
        <v>9.12</v>
      </c>
      <c r="H12210" s="17"/>
      <c r="K12210" s="17"/>
      <c r="N12210" s="17"/>
    </row>
    <row r="12211">
      <c r="B12211" s="11">
        <f>IFERROR(__xludf.DUMMYFUNCTION("""COMPUTED_VALUE"""),28930.0)</f>
        <v>28930</v>
      </c>
      <c r="C12211" s="9">
        <f>IFERROR(__xludf.DUMMYFUNCTION("""COMPUTED_VALUE"""),9.12)</f>
        <v>9.12</v>
      </c>
      <c r="H12211" s="17"/>
      <c r="K12211" s="17"/>
      <c r="N12211" s="17"/>
    </row>
    <row r="12212">
      <c r="B12212" s="11">
        <f>IFERROR(__xludf.DUMMYFUNCTION("""COMPUTED_VALUE"""),28929.0)</f>
        <v>28929</v>
      </c>
      <c r="C12212" s="9">
        <f>IFERROR(__xludf.DUMMYFUNCTION("""COMPUTED_VALUE"""),9.14)</f>
        <v>9.14</v>
      </c>
      <c r="H12212" s="17"/>
      <c r="K12212" s="17"/>
      <c r="N12212" s="17"/>
    </row>
    <row r="12213">
      <c r="B12213" s="11">
        <f>IFERROR(__xludf.DUMMYFUNCTION("""COMPUTED_VALUE"""),28928.0)</f>
        <v>28928</v>
      </c>
      <c r="C12213" s="9">
        <f>IFERROR(__xludf.DUMMYFUNCTION("""COMPUTED_VALUE"""),9.12)</f>
        <v>9.12</v>
      </c>
      <c r="H12213" s="17"/>
      <c r="K12213" s="17"/>
      <c r="N12213" s="17"/>
    </row>
    <row r="12214">
      <c r="B12214" s="11">
        <f>IFERROR(__xludf.DUMMYFUNCTION("""COMPUTED_VALUE"""),28927.0)</f>
        <v>28927</v>
      </c>
      <c r="C12214" s="9">
        <f>IFERROR(__xludf.DUMMYFUNCTION("""COMPUTED_VALUE"""),9.11)</f>
        <v>9.11</v>
      </c>
      <c r="H12214" s="17"/>
      <c r="K12214" s="17"/>
      <c r="N12214" s="17"/>
    </row>
    <row r="12215">
      <c r="B12215" s="11">
        <f>IFERROR(__xludf.DUMMYFUNCTION("""COMPUTED_VALUE"""),28926.0)</f>
        <v>28926</v>
      </c>
      <c r="C12215" s="9">
        <f>IFERROR(__xludf.DUMMYFUNCTION("""COMPUTED_VALUE"""),9.11)</f>
        <v>9.11</v>
      </c>
      <c r="H12215" s="17"/>
      <c r="K12215" s="17"/>
      <c r="N12215" s="17"/>
    </row>
    <row r="12216">
      <c r="B12216" s="11">
        <f>IFERROR(__xludf.DUMMYFUNCTION("""COMPUTED_VALUE"""),28923.0)</f>
        <v>28923</v>
      </c>
      <c r="C12216" s="9">
        <f>IFERROR(__xludf.DUMMYFUNCTION("""COMPUTED_VALUE"""),9.11)</f>
        <v>9.11</v>
      </c>
      <c r="H12216" s="17"/>
      <c r="K12216" s="17"/>
      <c r="N12216" s="17"/>
    </row>
    <row r="12217">
      <c r="B12217" s="11">
        <f>IFERROR(__xludf.DUMMYFUNCTION("""COMPUTED_VALUE"""),28922.0)</f>
        <v>28922</v>
      </c>
      <c r="C12217" s="9">
        <f>IFERROR(__xludf.DUMMYFUNCTION("""COMPUTED_VALUE"""),9.1)</f>
        <v>9.1</v>
      </c>
      <c r="H12217" s="17"/>
      <c r="K12217" s="17"/>
      <c r="N12217" s="17"/>
    </row>
    <row r="12218">
      <c r="B12218" s="11">
        <f>IFERROR(__xludf.DUMMYFUNCTION("""COMPUTED_VALUE"""),28921.0)</f>
        <v>28921</v>
      </c>
      <c r="C12218" s="9">
        <f>IFERROR(__xludf.DUMMYFUNCTION("""COMPUTED_VALUE"""),9.1)</f>
        <v>9.1</v>
      </c>
      <c r="H12218" s="17"/>
      <c r="K12218" s="17"/>
      <c r="N12218" s="17"/>
    </row>
    <row r="12219">
      <c r="B12219" s="11">
        <f>IFERROR(__xludf.DUMMYFUNCTION("""COMPUTED_VALUE"""),28920.0)</f>
        <v>28920</v>
      </c>
      <c r="C12219" s="9">
        <f>IFERROR(__xludf.DUMMYFUNCTION("""COMPUTED_VALUE"""),9.14)</f>
        <v>9.14</v>
      </c>
      <c r="H12219" s="17"/>
      <c r="K12219" s="17"/>
      <c r="N12219" s="17"/>
    </row>
    <row r="12220">
      <c r="B12220" s="11">
        <f>IFERROR(__xludf.DUMMYFUNCTION("""COMPUTED_VALUE"""),28919.0)</f>
        <v>28919</v>
      </c>
      <c r="C12220" s="9">
        <f>IFERROR(__xludf.DUMMYFUNCTION("""COMPUTED_VALUE"""),9.11)</f>
        <v>9.11</v>
      </c>
      <c r="H12220" s="17"/>
      <c r="K12220" s="17"/>
      <c r="N12220" s="17"/>
    </row>
    <row r="12221">
      <c r="B12221" s="11">
        <f>IFERROR(__xludf.DUMMYFUNCTION("""COMPUTED_VALUE"""),28916.0)</f>
        <v>28916</v>
      </c>
      <c r="C12221" s="9">
        <f>IFERROR(__xludf.DUMMYFUNCTION("""COMPUTED_VALUE"""),9.16)</f>
        <v>9.16</v>
      </c>
      <c r="H12221" s="17"/>
      <c r="K12221" s="17"/>
      <c r="N12221" s="17"/>
    </row>
    <row r="12222">
      <c r="B12222" s="11">
        <f>IFERROR(__xludf.DUMMYFUNCTION("""COMPUTED_VALUE"""),28915.0)</f>
        <v>28915</v>
      </c>
      <c r="C12222" s="9">
        <f>IFERROR(__xludf.DUMMYFUNCTION("""COMPUTED_VALUE"""),9.17)</f>
        <v>9.17</v>
      </c>
      <c r="H12222" s="17"/>
      <c r="K12222" s="17"/>
      <c r="N12222" s="17"/>
    </row>
    <row r="12223">
      <c r="B12223" s="11">
        <f>IFERROR(__xludf.DUMMYFUNCTION("""COMPUTED_VALUE"""),28914.0)</f>
        <v>28914</v>
      </c>
      <c r="C12223" s="9">
        <f>IFERROR(__xludf.DUMMYFUNCTION("""COMPUTED_VALUE"""),9.17)</f>
        <v>9.17</v>
      </c>
      <c r="H12223" s="17"/>
      <c r="K12223" s="17"/>
      <c r="N12223" s="17"/>
    </row>
    <row r="12224">
      <c r="B12224" s="11">
        <f>IFERROR(__xludf.DUMMYFUNCTION("""COMPUTED_VALUE"""),28913.0)</f>
        <v>28913</v>
      </c>
      <c r="C12224" s="9">
        <f>IFERROR(__xludf.DUMMYFUNCTION("""COMPUTED_VALUE"""),9.19)</f>
        <v>9.19</v>
      </c>
      <c r="H12224" s="17"/>
      <c r="K12224" s="17"/>
      <c r="N12224" s="17"/>
    </row>
    <row r="12225">
      <c r="B12225" s="11">
        <f>IFERROR(__xludf.DUMMYFUNCTION("""COMPUTED_VALUE"""),28912.0)</f>
        <v>28912</v>
      </c>
      <c r="C12225" s="9">
        <f>IFERROR(__xludf.DUMMYFUNCTION("""COMPUTED_VALUE"""),9.2)</f>
        <v>9.2</v>
      </c>
      <c r="H12225" s="17"/>
      <c r="K12225" s="17"/>
      <c r="N12225" s="17"/>
    </row>
    <row r="12226">
      <c r="B12226" s="11">
        <f>IFERROR(__xludf.DUMMYFUNCTION("""COMPUTED_VALUE"""),28909.0)</f>
        <v>28909</v>
      </c>
      <c r="C12226" s="9">
        <f>IFERROR(__xludf.DUMMYFUNCTION("""COMPUTED_VALUE"""),9.21)</f>
        <v>9.21</v>
      </c>
      <c r="H12226" s="17"/>
      <c r="K12226" s="17"/>
      <c r="N12226" s="17"/>
    </row>
    <row r="12227">
      <c r="B12227" s="11">
        <f>IFERROR(__xludf.DUMMYFUNCTION("""COMPUTED_VALUE"""),28908.0)</f>
        <v>28908</v>
      </c>
      <c r="C12227" s="9">
        <f>IFERROR(__xludf.DUMMYFUNCTION("""COMPUTED_VALUE"""),9.2)</f>
        <v>9.2</v>
      </c>
      <c r="H12227" s="17"/>
      <c r="K12227" s="17"/>
      <c r="N12227" s="17"/>
    </row>
    <row r="12228">
      <c r="B12228" s="11">
        <f>IFERROR(__xludf.DUMMYFUNCTION("""COMPUTED_VALUE"""),28907.0)</f>
        <v>28907</v>
      </c>
      <c r="C12228" s="9">
        <f>IFERROR(__xludf.DUMMYFUNCTION("""COMPUTED_VALUE"""),9.15)</f>
        <v>9.15</v>
      </c>
      <c r="H12228" s="17"/>
      <c r="K12228" s="17"/>
      <c r="N12228" s="17"/>
    </row>
    <row r="12229">
      <c r="B12229" s="11">
        <f>IFERROR(__xludf.DUMMYFUNCTION("""COMPUTED_VALUE"""),28906.0)</f>
        <v>28906</v>
      </c>
      <c r="C12229" s="9">
        <f>IFERROR(__xludf.DUMMYFUNCTION("""COMPUTED_VALUE"""),9.12)</f>
        <v>9.12</v>
      </c>
      <c r="H12229" s="17"/>
      <c r="K12229" s="17"/>
      <c r="N12229" s="17"/>
    </row>
    <row r="12230">
      <c r="B12230" s="11">
        <f>IFERROR(__xludf.DUMMYFUNCTION("""COMPUTED_VALUE"""),28905.0)</f>
        <v>28905</v>
      </c>
      <c r="C12230" s="9"/>
      <c r="H12230" s="17"/>
      <c r="K12230" s="17"/>
      <c r="N12230" s="17"/>
    </row>
    <row r="12231">
      <c r="B12231" s="11">
        <f>IFERROR(__xludf.DUMMYFUNCTION("""COMPUTED_VALUE"""),28902.0)</f>
        <v>28902</v>
      </c>
      <c r="C12231" s="9">
        <f>IFERROR(__xludf.DUMMYFUNCTION("""COMPUTED_VALUE"""),9.11)</f>
        <v>9.11</v>
      </c>
      <c r="H12231" s="17"/>
      <c r="K12231" s="17"/>
      <c r="N12231" s="17"/>
    </row>
    <row r="12232">
      <c r="B12232" s="11">
        <f>IFERROR(__xludf.DUMMYFUNCTION("""COMPUTED_VALUE"""),28901.0)</f>
        <v>28901</v>
      </c>
      <c r="C12232" s="9">
        <f>IFERROR(__xludf.DUMMYFUNCTION("""COMPUTED_VALUE"""),9.12)</f>
        <v>9.12</v>
      </c>
      <c r="H12232" s="17"/>
      <c r="K12232" s="17"/>
      <c r="N12232" s="17"/>
    </row>
    <row r="12233">
      <c r="B12233" s="11">
        <f>IFERROR(__xludf.DUMMYFUNCTION("""COMPUTED_VALUE"""),28900.0)</f>
        <v>28900</v>
      </c>
      <c r="C12233" s="9">
        <f>IFERROR(__xludf.DUMMYFUNCTION("""COMPUTED_VALUE"""),9.12)</f>
        <v>9.12</v>
      </c>
      <c r="H12233" s="17"/>
      <c r="K12233" s="17"/>
      <c r="N12233" s="17"/>
    </row>
    <row r="12234">
      <c r="B12234" s="11">
        <f>IFERROR(__xludf.DUMMYFUNCTION("""COMPUTED_VALUE"""),28899.0)</f>
        <v>28899</v>
      </c>
      <c r="C12234" s="9">
        <f>IFERROR(__xludf.DUMMYFUNCTION("""COMPUTED_VALUE"""),9.11)</f>
        <v>9.11</v>
      </c>
      <c r="H12234" s="17"/>
      <c r="K12234" s="17"/>
      <c r="N12234" s="17"/>
    </row>
    <row r="12235">
      <c r="B12235" s="11">
        <f>IFERROR(__xludf.DUMMYFUNCTION("""COMPUTED_VALUE"""),28898.0)</f>
        <v>28898</v>
      </c>
      <c r="C12235" s="9"/>
      <c r="H12235" s="17"/>
      <c r="K12235" s="17"/>
      <c r="N12235" s="17"/>
    </row>
    <row r="12236">
      <c r="B12236" s="11">
        <f>IFERROR(__xludf.DUMMYFUNCTION("""COMPUTED_VALUE"""),28895.0)</f>
        <v>28895</v>
      </c>
      <c r="C12236" s="9">
        <f>IFERROR(__xludf.DUMMYFUNCTION("""COMPUTED_VALUE"""),9.11)</f>
        <v>9.11</v>
      </c>
      <c r="H12236" s="17"/>
      <c r="K12236" s="17"/>
      <c r="N12236" s="17"/>
    </row>
    <row r="12237">
      <c r="B12237" s="11">
        <f>IFERROR(__xludf.DUMMYFUNCTION("""COMPUTED_VALUE"""),28894.0)</f>
        <v>28894</v>
      </c>
      <c r="C12237" s="9">
        <f>IFERROR(__xludf.DUMMYFUNCTION("""COMPUTED_VALUE"""),9.09)</f>
        <v>9.09</v>
      </c>
      <c r="H12237" s="17"/>
      <c r="K12237" s="17"/>
      <c r="N12237" s="17"/>
    </row>
    <row r="12238">
      <c r="B12238" s="11">
        <f>IFERROR(__xludf.DUMMYFUNCTION("""COMPUTED_VALUE"""),28893.0)</f>
        <v>28893</v>
      </c>
      <c r="C12238" s="9">
        <f>IFERROR(__xludf.DUMMYFUNCTION("""COMPUTED_VALUE"""),9.09)</f>
        <v>9.09</v>
      </c>
      <c r="H12238" s="17"/>
      <c r="K12238" s="17"/>
      <c r="N12238" s="17"/>
    </row>
    <row r="12239">
      <c r="B12239" s="11">
        <f>IFERROR(__xludf.DUMMYFUNCTION("""COMPUTED_VALUE"""),28892.0)</f>
        <v>28892</v>
      </c>
      <c r="C12239" s="9">
        <f>IFERROR(__xludf.DUMMYFUNCTION("""COMPUTED_VALUE"""),9.0)</f>
        <v>9</v>
      </c>
      <c r="H12239" s="17"/>
      <c r="K12239" s="17"/>
      <c r="N12239" s="17"/>
    </row>
    <row r="12240">
      <c r="B12240" s="11">
        <f>IFERROR(__xludf.DUMMYFUNCTION("""COMPUTED_VALUE"""),28891.0)</f>
        <v>28891</v>
      </c>
      <c r="C12240" s="9">
        <f>IFERROR(__xludf.DUMMYFUNCTION("""COMPUTED_VALUE"""),8.95)</f>
        <v>8.95</v>
      </c>
      <c r="H12240" s="17"/>
      <c r="K12240" s="17"/>
      <c r="N12240" s="17"/>
    </row>
    <row r="12241">
      <c r="B12241" s="11">
        <f>IFERROR(__xludf.DUMMYFUNCTION("""COMPUTED_VALUE"""),28888.0)</f>
        <v>28888</v>
      </c>
      <c r="C12241" s="9">
        <f>IFERROR(__xludf.DUMMYFUNCTION("""COMPUTED_VALUE"""),8.89)</f>
        <v>8.89</v>
      </c>
      <c r="H12241" s="17"/>
      <c r="K12241" s="17"/>
      <c r="N12241" s="17"/>
    </row>
    <row r="12242">
      <c r="B12242" s="11">
        <f>IFERROR(__xludf.DUMMYFUNCTION("""COMPUTED_VALUE"""),28887.0)</f>
        <v>28887</v>
      </c>
      <c r="C12242" s="9">
        <f>IFERROR(__xludf.DUMMYFUNCTION("""COMPUTED_VALUE"""),8.94)</f>
        <v>8.94</v>
      </c>
      <c r="H12242" s="17"/>
      <c r="K12242" s="17"/>
      <c r="N12242" s="17"/>
    </row>
    <row r="12243">
      <c r="B12243" s="11">
        <f>IFERROR(__xludf.DUMMYFUNCTION("""COMPUTED_VALUE"""),28886.0)</f>
        <v>28886</v>
      </c>
      <c r="C12243" s="9">
        <f>IFERROR(__xludf.DUMMYFUNCTION("""COMPUTED_VALUE"""),8.95)</f>
        <v>8.95</v>
      </c>
      <c r="H12243" s="17"/>
      <c r="K12243" s="17"/>
      <c r="N12243" s="17"/>
    </row>
    <row r="12244">
      <c r="B12244" s="11">
        <f>IFERROR(__xludf.DUMMYFUNCTION("""COMPUTED_VALUE"""),28885.0)</f>
        <v>28885</v>
      </c>
      <c r="C12244" s="9">
        <f>IFERROR(__xludf.DUMMYFUNCTION("""COMPUTED_VALUE"""),8.95)</f>
        <v>8.95</v>
      </c>
      <c r="H12244" s="17"/>
      <c r="K12244" s="17"/>
      <c r="N12244" s="17"/>
    </row>
    <row r="12245">
      <c r="B12245" s="11">
        <f>IFERROR(__xludf.DUMMYFUNCTION("""COMPUTED_VALUE"""),28884.0)</f>
        <v>28884</v>
      </c>
      <c r="C12245" s="9">
        <f>IFERROR(__xludf.DUMMYFUNCTION("""COMPUTED_VALUE"""),8.96)</f>
        <v>8.96</v>
      </c>
      <c r="H12245" s="17"/>
      <c r="K12245" s="17"/>
      <c r="N12245" s="17"/>
    </row>
    <row r="12246">
      <c r="B12246" s="11">
        <f>IFERROR(__xludf.DUMMYFUNCTION("""COMPUTED_VALUE"""),28881.0)</f>
        <v>28881</v>
      </c>
      <c r="C12246" s="9">
        <f>IFERROR(__xludf.DUMMYFUNCTION("""COMPUTED_VALUE"""),8.93)</f>
        <v>8.93</v>
      </c>
      <c r="H12246" s="17"/>
      <c r="K12246" s="17"/>
      <c r="N12246" s="17"/>
    </row>
    <row r="12247">
      <c r="B12247" s="11">
        <f>IFERROR(__xludf.DUMMYFUNCTION("""COMPUTED_VALUE"""),28880.0)</f>
        <v>28880</v>
      </c>
      <c r="C12247" s="9">
        <f>IFERROR(__xludf.DUMMYFUNCTION("""COMPUTED_VALUE"""),8.98)</f>
        <v>8.98</v>
      </c>
      <c r="H12247" s="17"/>
      <c r="K12247" s="17"/>
      <c r="N12247" s="17"/>
    </row>
    <row r="12248">
      <c r="B12248" s="11">
        <f>IFERROR(__xludf.DUMMYFUNCTION("""COMPUTED_VALUE"""),28879.0)</f>
        <v>28879</v>
      </c>
      <c r="C12248" s="9">
        <f>IFERROR(__xludf.DUMMYFUNCTION("""COMPUTED_VALUE"""),9.08)</f>
        <v>9.08</v>
      </c>
      <c r="H12248" s="17"/>
      <c r="K12248" s="17"/>
      <c r="N12248" s="17"/>
    </row>
    <row r="12249">
      <c r="B12249" s="11">
        <f>IFERROR(__xludf.DUMMYFUNCTION("""COMPUTED_VALUE"""),28878.0)</f>
        <v>28878</v>
      </c>
      <c r="C12249" s="9">
        <f>IFERROR(__xludf.DUMMYFUNCTION("""COMPUTED_VALUE"""),9.1)</f>
        <v>9.1</v>
      </c>
      <c r="H12249" s="17"/>
      <c r="K12249" s="17"/>
      <c r="N12249" s="17"/>
    </row>
    <row r="12250">
      <c r="B12250" s="11">
        <f>IFERROR(__xludf.DUMMYFUNCTION("""COMPUTED_VALUE"""),28877.0)</f>
        <v>28877</v>
      </c>
      <c r="C12250" s="9">
        <f>IFERROR(__xludf.DUMMYFUNCTION("""COMPUTED_VALUE"""),9.12)</f>
        <v>9.12</v>
      </c>
      <c r="H12250" s="17"/>
      <c r="K12250" s="17"/>
      <c r="N12250" s="17"/>
    </row>
    <row r="12251">
      <c r="B12251" s="11">
        <f>IFERROR(__xludf.DUMMYFUNCTION("""COMPUTED_VALUE"""),28874.0)</f>
        <v>28874</v>
      </c>
      <c r="C12251" s="9">
        <f>IFERROR(__xludf.DUMMYFUNCTION("""COMPUTED_VALUE"""),9.15)</f>
        <v>9.15</v>
      </c>
      <c r="H12251" s="17"/>
      <c r="K12251" s="17"/>
      <c r="N12251" s="17"/>
    </row>
    <row r="12252">
      <c r="B12252" s="11">
        <f>IFERROR(__xludf.DUMMYFUNCTION("""COMPUTED_VALUE"""),28873.0)</f>
        <v>28873</v>
      </c>
      <c r="C12252" s="9">
        <f>IFERROR(__xludf.DUMMYFUNCTION("""COMPUTED_VALUE"""),9.18)</f>
        <v>9.18</v>
      </c>
      <c r="H12252" s="17"/>
      <c r="K12252" s="17"/>
      <c r="N12252" s="17"/>
    </row>
    <row r="12253">
      <c r="B12253" s="11">
        <f>IFERROR(__xludf.DUMMYFUNCTION("""COMPUTED_VALUE"""),28872.0)</f>
        <v>28872</v>
      </c>
      <c r="C12253" s="9">
        <f>IFERROR(__xludf.DUMMYFUNCTION("""COMPUTED_VALUE"""),9.18)</f>
        <v>9.18</v>
      </c>
      <c r="H12253" s="17"/>
      <c r="K12253" s="17"/>
      <c r="N12253" s="17"/>
    </row>
    <row r="12254">
      <c r="B12254" s="11">
        <f>IFERROR(__xludf.DUMMYFUNCTION("""COMPUTED_VALUE"""),28871.0)</f>
        <v>28871</v>
      </c>
      <c r="C12254" s="9">
        <f>IFERROR(__xludf.DUMMYFUNCTION("""COMPUTED_VALUE"""),9.16)</f>
        <v>9.16</v>
      </c>
      <c r="H12254" s="17"/>
      <c r="K12254" s="17"/>
      <c r="N12254" s="17"/>
    </row>
    <row r="12255">
      <c r="B12255" s="11">
        <f>IFERROR(__xludf.DUMMYFUNCTION("""COMPUTED_VALUE"""),28870.0)</f>
        <v>28870</v>
      </c>
      <c r="C12255" s="9">
        <f>IFERROR(__xludf.DUMMYFUNCTION("""COMPUTED_VALUE"""),9.15)</f>
        <v>9.15</v>
      </c>
      <c r="H12255" s="17"/>
      <c r="K12255" s="17"/>
      <c r="N12255" s="17"/>
    </row>
    <row r="12256">
      <c r="B12256" s="11">
        <f>IFERROR(__xludf.DUMMYFUNCTION("""COMPUTED_VALUE"""),28867.0)</f>
        <v>28867</v>
      </c>
      <c r="C12256" s="9">
        <f>IFERROR(__xludf.DUMMYFUNCTION("""COMPUTED_VALUE"""),9.14)</f>
        <v>9.14</v>
      </c>
      <c r="H12256" s="17"/>
      <c r="K12256" s="17"/>
      <c r="N12256" s="17"/>
    </row>
    <row r="12257">
      <c r="B12257" s="11">
        <f>IFERROR(__xludf.DUMMYFUNCTION("""COMPUTED_VALUE"""),28866.0)</f>
        <v>28866</v>
      </c>
      <c r="C12257" s="9">
        <f>IFERROR(__xludf.DUMMYFUNCTION("""COMPUTED_VALUE"""),9.15)</f>
        <v>9.15</v>
      </c>
      <c r="H12257" s="17"/>
      <c r="K12257" s="17"/>
      <c r="N12257" s="17"/>
    </row>
    <row r="12258">
      <c r="B12258" s="11">
        <f>IFERROR(__xludf.DUMMYFUNCTION("""COMPUTED_VALUE"""),28865.0)</f>
        <v>28865</v>
      </c>
      <c r="C12258" s="9">
        <f>IFERROR(__xludf.DUMMYFUNCTION("""COMPUTED_VALUE"""),9.16)</f>
        <v>9.16</v>
      </c>
      <c r="H12258" s="17"/>
      <c r="K12258" s="17"/>
      <c r="N12258" s="17"/>
    </row>
    <row r="12259">
      <c r="B12259" s="11">
        <f>IFERROR(__xludf.DUMMYFUNCTION("""COMPUTED_VALUE"""),28864.0)</f>
        <v>28864</v>
      </c>
      <c r="C12259" s="9">
        <f>IFERROR(__xludf.DUMMYFUNCTION("""COMPUTED_VALUE"""),9.16)</f>
        <v>9.16</v>
      </c>
      <c r="H12259" s="17"/>
      <c r="K12259" s="17"/>
      <c r="N12259" s="17"/>
    </row>
    <row r="12260">
      <c r="B12260" s="11">
        <f>IFERROR(__xludf.DUMMYFUNCTION("""COMPUTED_VALUE"""),28863.0)</f>
        <v>28863</v>
      </c>
      <c r="C12260" s="9">
        <f>IFERROR(__xludf.DUMMYFUNCTION("""COMPUTED_VALUE"""),9.14)</f>
        <v>9.14</v>
      </c>
      <c r="H12260" s="17"/>
      <c r="K12260" s="17"/>
      <c r="N12260" s="17"/>
    </row>
    <row r="12261">
      <c r="B12261" s="11">
        <f>IFERROR(__xludf.DUMMYFUNCTION("""COMPUTED_VALUE"""),28860.0)</f>
        <v>28860</v>
      </c>
      <c r="C12261" s="9">
        <f>IFERROR(__xludf.DUMMYFUNCTION("""COMPUTED_VALUE"""),9.1)</f>
        <v>9.1</v>
      </c>
      <c r="H12261" s="17"/>
      <c r="K12261" s="17"/>
      <c r="N12261" s="17"/>
    </row>
    <row r="12262">
      <c r="B12262" s="11">
        <f>IFERROR(__xludf.DUMMYFUNCTION("""COMPUTED_VALUE"""),28859.0)</f>
        <v>28859</v>
      </c>
      <c r="C12262" s="9">
        <f>IFERROR(__xludf.DUMMYFUNCTION("""COMPUTED_VALUE"""),9.11)</f>
        <v>9.11</v>
      </c>
      <c r="H12262" s="17"/>
      <c r="K12262" s="17"/>
      <c r="N12262" s="17"/>
    </row>
    <row r="12263">
      <c r="B12263" s="11">
        <f>IFERROR(__xludf.DUMMYFUNCTION("""COMPUTED_VALUE"""),28858.0)</f>
        <v>28858</v>
      </c>
      <c r="C12263" s="9">
        <f>IFERROR(__xludf.DUMMYFUNCTION("""COMPUTED_VALUE"""),9.16)</f>
        <v>9.16</v>
      </c>
      <c r="H12263" s="17"/>
      <c r="K12263" s="17"/>
      <c r="N12263" s="17"/>
    </row>
    <row r="12264">
      <c r="B12264" s="11">
        <f>IFERROR(__xludf.DUMMYFUNCTION("""COMPUTED_VALUE"""),28857.0)</f>
        <v>28857</v>
      </c>
      <c r="C12264" s="9">
        <f>IFERROR(__xludf.DUMMYFUNCTION("""COMPUTED_VALUE"""),9.18)</f>
        <v>9.18</v>
      </c>
      <c r="H12264" s="17"/>
      <c r="K12264" s="17"/>
      <c r="N12264" s="17"/>
    </row>
    <row r="12265">
      <c r="B12265" s="11">
        <f>IFERROR(__xludf.DUMMYFUNCTION("""COMPUTED_VALUE"""),28856.0)</f>
        <v>28856</v>
      </c>
      <c r="C12265" s="9"/>
      <c r="H12265" s="17"/>
      <c r="K12265" s="17"/>
      <c r="N12265" s="17"/>
    </row>
    <row r="12266">
      <c r="B12266" s="11">
        <f>IFERROR(__xludf.DUMMYFUNCTION("""COMPUTED_VALUE"""),28853.0)</f>
        <v>28853</v>
      </c>
      <c r="C12266" s="9">
        <f>IFERROR(__xludf.DUMMYFUNCTION("""COMPUTED_VALUE"""),9.15)</f>
        <v>9.15</v>
      </c>
      <c r="H12266" s="17"/>
      <c r="K12266" s="17"/>
      <c r="N12266" s="17"/>
    </row>
    <row r="12267">
      <c r="B12267" s="11">
        <f>IFERROR(__xludf.DUMMYFUNCTION("""COMPUTED_VALUE"""),28852.0)</f>
        <v>28852</v>
      </c>
      <c r="C12267" s="9">
        <f>IFERROR(__xludf.DUMMYFUNCTION("""COMPUTED_VALUE"""),9.16)</f>
        <v>9.16</v>
      </c>
      <c r="H12267" s="17"/>
      <c r="K12267" s="17"/>
      <c r="N12267" s="17"/>
    </row>
    <row r="12268">
      <c r="B12268" s="11">
        <f>IFERROR(__xludf.DUMMYFUNCTION("""COMPUTED_VALUE"""),28851.0)</f>
        <v>28851</v>
      </c>
      <c r="C12268" s="9">
        <f>IFERROR(__xludf.DUMMYFUNCTION("""COMPUTED_VALUE"""),9.12)</f>
        <v>9.12</v>
      </c>
      <c r="H12268" s="17"/>
      <c r="K12268" s="17"/>
      <c r="N12268" s="17"/>
    </row>
    <row r="12269">
      <c r="B12269" s="11">
        <f>IFERROR(__xludf.DUMMYFUNCTION("""COMPUTED_VALUE"""),28850.0)</f>
        <v>28850</v>
      </c>
      <c r="C12269" s="9">
        <f>IFERROR(__xludf.DUMMYFUNCTION("""COMPUTED_VALUE"""),9.13)</f>
        <v>9.13</v>
      </c>
      <c r="H12269" s="17"/>
      <c r="K12269" s="17"/>
      <c r="N12269" s="17"/>
    </row>
    <row r="12270">
      <c r="B12270" s="11">
        <f>IFERROR(__xludf.DUMMYFUNCTION("""COMPUTED_VALUE"""),28849.0)</f>
        <v>28849</v>
      </c>
      <c r="C12270" s="9"/>
      <c r="H12270" s="17"/>
      <c r="K12270" s="17"/>
      <c r="N12270" s="17"/>
    </row>
    <row r="12271">
      <c r="B12271" s="11">
        <f>IFERROR(__xludf.DUMMYFUNCTION("""COMPUTED_VALUE"""),28846.0)</f>
        <v>28846</v>
      </c>
      <c r="C12271" s="9">
        <f>IFERROR(__xludf.DUMMYFUNCTION("""COMPUTED_VALUE"""),9.11)</f>
        <v>9.11</v>
      </c>
      <c r="H12271" s="17"/>
      <c r="K12271" s="17"/>
      <c r="N12271" s="17"/>
    </row>
    <row r="12272">
      <c r="B12272" s="11">
        <f>IFERROR(__xludf.DUMMYFUNCTION("""COMPUTED_VALUE"""),28845.0)</f>
        <v>28845</v>
      </c>
      <c r="C12272" s="9">
        <f>IFERROR(__xludf.DUMMYFUNCTION("""COMPUTED_VALUE"""),9.16)</f>
        <v>9.16</v>
      </c>
      <c r="H12272" s="17"/>
      <c r="K12272" s="17"/>
      <c r="N12272" s="17"/>
    </row>
    <row r="12273">
      <c r="B12273" s="11">
        <f>IFERROR(__xludf.DUMMYFUNCTION("""COMPUTED_VALUE"""),28844.0)</f>
        <v>28844</v>
      </c>
      <c r="C12273" s="9">
        <f>IFERROR(__xludf.DUMMYFUNCTION("""COMPUTED_VALUE"""),9.16)</f>
        <v>9.16</v>
      </c>
      <c r="H12273" s="17"/>
      <c r="K12273" s="17"/>
      <c r="N12273" s="17"/>
    </row>
    <row r="12274">
      <c r="B12274" s="11">
        <f>IFERROR(__xludf.DUMMYFUNCTION("""COMPUTED_VALUE"""),28843.0)</f>
        <v>28843</v>
      </c>
      <c r="C12274" s="9">
        <f>IFERROR(__xludf.DUMMYFUNCTION("""COMPUTED_VALUE"""),9.14)</f>
        <v>9.14</v>
      </c>
      <c r="H12274" s="17"/>
      <c r="K12274" s="17"/>
      <c r="N12274" s="17"/>
    </row>
    <row r="12275">
      <c r="B12275" s="11">
        <f>IFERROR(__xludf.DUMMYFUNCTION("""COMPUTED_VALUE"""),28842.0)</f>
        <v>28842</v>
      </c>
      <c r="C12275" s="9">
        <f>IFERROR(__xludf.DUMMYFUNCTION("""COMPUTED_VALUE"""),9.13)</f>
        <v>9.13</v>
      </c>
      <c r="H12275" s="17"/>
      <c r="K12275" s="17"/>
      <c r="N12275" s="17"/>
    </row>
    <row r="12276">
      <c r="B12276" s="11">
        <f>IFERROR(__xludf.DUMMYFUNCTION("""COMPUTED_VALUE"""),28839.0)</f>
        <v>28839</v>
      </c>
      <c r="C12276" s="9">
        <f>IFERROR(__xludf.DUMMYFUNCTION("""COMPUTED_VALUE"""),9.0)</f>
        <v>9</v>
      </c>
      <c r="H12276" s="17"/>
      <c r="K12276" s="17"/>
      <c r="N12276" s="17"/>
    </row>
    <row r="12277">
      <c r="B12277" s="11">
        <f>IFERROR(__xludf.DUMMYFUNCTION("""COMPUTED_VALUE"""),28838.0)</f>
        <v>28838</v>
      </c>
      <c r="C12277" s="9">
        <f>IFERROR(__xludf.DUMMYFUNCTION("""COMPUTED_VALUE"""),8.96)</f>
        <v>8.96</v>
      </c>
      <c r="H12277" s="17"/>
      <c r="K12277" s="17"/>
      <c r="N12277" s="17"/>
    </row>
    <row r="12278">
      <c r="B12278" s="11">
        <f>IFERROR(__xludf.DUMMYFUNCTION("""COMPUTED_VALUE"""),28837.0)</f>
        <v>28837</v>
      </c>
      <c r="C12278" s="9">
        <f>IFERROR(__xludf.DUMMYFUNCTION("""COMPUTED_VALUE"""),8.98)</f>
        <v>8.98</v>
      </c>
      <c r="H12278" s="17"/>
      <c r="K12278" s="17"/>
      <c r="N12278" s="17"/>
    </row>
    <row r="12279">
      <c r="B12279" s="11">
        <f>IFERROR(__xludf.DUMMYFUNCTION("""COMPUTED_VALUE"""),28836.0)</f>
        <v>28836</v>
      </c>
      <c r="C12279" s="9">
        <f>IFERROR(__xludf.DUMMYFUNCTION("""COMPUTED_VALUE"""),8.92)</f>
        <v>8.92</v>
      </c>
      <c r="H12279" s="17"/>
      <c r="K12279" s="17"/>
      <c r="N12279" s="17"/>
    </row>
    <row r="12280">
      <c r="B12280" s="11">
        <f>IFERROR(__xludf.DUMMYFUNCTION("""COMPUTED_VALUE"""),28835.0)</f>
        <v>28835</v>
      </c>
      <c r="C12280" s="9">
        <f>IFERROR(__xludf.DUMMYFUNCTION("""COMPUTED_VALUE"""),8.9)</f>
        <v>8.9</v>
      </c>
      <c r="H12280" s="17"/>
      <c r="K12280" s="17"/>
      <c r="N12280" s="17"/>
    </row>
    <row r="12281">
      <c r="B12281" s="11">
        <f>IFERROR(__xludf.DUMMYFUNCTION("""COMPUTED_VALUE"""),28832.0)</f>
        <v>28832</v>
      </c>
      <c r="C12281" s="9">
        <f>IFERROR(__xludf.DUMMYFUNCTION("""COMPUTED_VALUE"""),8.9)</f>
        <v>8.9</v>
      </c>
      <c r="H12281" s="17"/>
      <c r="K12281" s="17"/>
      <c r="N12281" s="17"/>
    </row>
    <row r="12282">
      <c r="B12282" s="11">
        <f>IFERROR(__xludf.DUMMYFUNCTION("""COMPUTED_VALUE"""),28831.0)</f>
        <v>28831</v>
      </c>
      <c r="C12282" s="9">
        <f>IFERROR(__xludf.DUMMYFUNCTION("""COMPUTED_VALUE"""),8.89)</f>
        <v>8.89</v>
      </c>
      <c r="H12282" s="17"/>
      <c r="K12282" s="17"/>
      <c r="N12282" s="17"/>
    </row>
    <row r="12283">
      <c r="B12283" s="11">
        <f>IFERROR(__xludf.DUMMYFUNCTION("""COMPUTED_VALUE"""),28830.0)</f>
        <v>28830</v>
      </c>
      <c r="C12283" s="9">
        <f>IFERROR(__xludf.DUMMYFUNCTION("""COMPUTED_VALUE"""),8.85)</f>
        <v>8.85</v>
      </c>
      <c r="H12283" s="17"/>
      <c r="K12283" s="17"/>
      <c r="N12283" s="17"/>
    </row>
    <row r="12284">
      <c r="B12284" s="11">
        <f>IFERROR(__xludf.DUMMYFUNCTION("""COMPUTED_VALUE"""),28829.0)</f>
        <v>28829</v>
      </c>
      <c r="C12284" s="9">
        <f>IFERROR(__xludf.DUMMYFUNCTION("""COMPUTED_VALUE"""),8.85)</f>
        <v>8.85</v>
      </c>
      <c r="H12284" s="17"/>
      <c r="K12284" s="17"/>
      <c r="N12284" s="17"/>
    </row>
    <row r="12285">
      <c r="B12285" s="11">
        <f>IFERROR(__xludf.DUMMYFUNCTION("""COMPUTED_VALUE"""),28828.0)</f>
        <v>28828</v>
      </c>
      <c r="C12285" s="9">
        <f>IFERROR(__xludf.DUMMYFUNCTION("""COMPUTED_VALUE"""),8.82)</f>
        <v>8.82</v>
      </c>
      <c r="H12285" s="17"/>
      <c r="K12285" s="17"/>
      <c r="N12285" s="17"/>
    </row>
    <row r="12286">
      <c r="B12286" s="11">
        <f>IFERROR(__xludf.DUMMYFUNCTION("""COMPUTED_VALUE"""),28825.0)</f>
        <v>28825</v>
      </c>
      <c r="C12286" s="9">
        <f>IFERROR(__xludf.DUMMYFUNCTION("""COMPUTED_VALUE"""),8.8)</f>
        <v>8.8</v>
      </c>
      <c r="H12286" s="17"/>
      <c r="K12286" s="17"/>
      <c r="N12286" s="17"/>
    </row>
    <row r="12287">
      <c r="B12287" s="11">
        <f>IFERROR(__xludf.DUMMYFUNCTION("""COMPUTED_VALUE"""),28824.0)</f>
        <v>28824</v>
      </c>
      <c r="C12287" s="9">
        <f>IFERROR(__xludf.DUMMYFUNCTION("""COMPUTED_VALUE"""),8.86)</f>
        <v>8.86</v>
      </c>
      <c r="H12287" s="17"/>
      <c r="K12287" s="17"/>
      <c r="N12287" s="17"/>
    </row>
    <row r="12288">
      <c r="B12288" s="11">
        <f>IFERROR(__xludf.DUMMYFUNCTION("""COMPUTED_VALUE"""),28823.0)</f>
        <v>28823</v>
      </c>
      <c r="C12288" s="9">
        <f>IFERROR(__xludf.DUMMYFUNCTION("""COMPUTED_VALUE"""),8.86)</f>
        <v>8.86</v>
      </c>
      <c r="H12288" s="17"/>
      <c r="K12288" s="17"/>
      <c r="N12288" s="17"/>
    </row>
    <row r="12289">
      <c r="B12289" s="11">
        <f>IFERROR(__xludf.DUMMYFUNCTION("""COMPUTED_VALUE"""),28822.0)</f>
        <v>28822</v>
      </c>
      <c r="C12289" s="9">
        <f>IFERROR(__xludf.DUMMYFUNCTION("""COMPUTED_VALUE"""),8.86)</f>
        <v>8.86</v>
      </c>
      <c r="H12289" s="17"/>
      <c r="K12289" s="17"/>
      <c r="N12289" s="17"/>
    </row>
    <row r="12290">
      <c r="B12290" s="11">
        <f>IFERROR(__xludf.DUMMYFUNCTION("""COMPUTED_VALUE"""),28821.0)</f>
        <v>28821</v>
      </c>
      <c r="C12290" s="9">
        <f>IFERROR(__xludf.DUMMYFUNCTION("""COMPUTED_VALUE"""),8.86)</f>
        <v>8.86</v>
      </c>
      <c r="H12290" s="17"/>
      <c r="K12290" s="17"/>
      <c r="N12290" s="17"/>
    </row>
    <row r="12291">
      <c r="B12291" s="11">
        <f>IFERROR(__xludf.DUMMYFUNCTION("""COMPUTED_VALUE"""),28818.0)</f>
        <v>28818</v>
      </c>
      <c r="C12291" s="9">
        <f>IFERROR(__xludf.DUMMYFUNCTION("""COMPUTED_VALUE"""),8.86)</f>
        <v>8.86</v>
      </c>
      <c r="H12291" s="17"/>
      <c r="K12291" s="17"/>
      <c r="N12291" s="17"/>
    </row>
    <row r="12292">
      <c r="B12292" s="11">
        <f>IFERROR(__xludf.DUMMYFUNCTION("""COMPUTED_VALUE"""),28817.0)</f>
        <v>28817</v>
      </c>
      <c r="C12292" s="9"/>
      <c r="H12292" s="17"/>
      <c r="K12292" s="17"/>
      <c r="N12292" s="17"/>
    </row>
    <row r="12293">
      <c r="B12293" s="11">
        <f>IFERROR(__xludf.DUMMYFUNCTION("""COMPUTED_VALUE"""),28816.0)</f>
        <v>28816</v>
      </c>
      <c r="C12293" s="9">
        <f>IFERROR(__xludf.DUMMYFUNCTION("""COMPUTED_VALUE"""),8.77)</f>
        <v>8.77</v>
      </c>
      <c r="H12293" s="17"/>
      <c r="K12293" s="17"/>
      <c r="N12293" s="17"/>
    </row>
    <row r="12294">
      <c r="B12294" s="11">
        <f>IFERROR(__xludf.DUMMYFUNCTION("""COMPUTED_VALUE"""),28815.0)</f>
        <v>28815</v>
      </c>
      <c r="C12294" s="9">
        <f>IFERROR(__xludf.DUMMYFUNCTION("""COMPUTED_VALUE"""),8.77)</f>
        <v>8.77</v>
      </c>
      <c r="H12294" s="17"/>
      <c r="K12294" s="17"/>
      <c r="N12294" s="17"/>
    </row>
    <row r="12295">
      <c r="B12295" s="11">
        <f>IFERROR(__xludf.DUMMYFUNCTION("""COMPUTED_VALUE"""),28814.0)</f>
        <v>28814</v>
      </c>
      <c r="C12295" s="9">
        <f>IFERROR(__xludf.DUMMYFUNCTION("""COMPUTED_VALUE"""),8.72)</f>
        <v>8.72</v>
      </c>
      <c r="H12295" s="17"/>
      <c r="K12295" s="17"/>
      <c r="N12295" s="17"/>
    </row>
    <row r="12296">
      <c r="B12296" s="11">
        <f>IFERROR(__xludf.DUMMYFUNCTION("""COMPUTED_VALUE"""),28811.0)</f>
        <v>28811</v>
      </c>
      <c r="C12296" s="9">
        <f>IFERROR(__xludf.DUMMYFUNCTION("""COMPUTED_VALUE"""),8.72)</f>
        <v>8.72</v>
      </c>
      <c r="H12296" s="17"/>
      <c r="K12296" s="17"/>
      <c r="N12296" s="17"/>
    </row>
    <row r="12297">
      <c r="B12297" s="11">
        <f>IFERROR(__xludf.DUMMYFUNCTION("""COMPUTED_VALUE"""),28810.0)</f>
        <v>28810</v>
      </c>
      <c r="C12297" s="9">
        <f>IFERROR(__xludf.DUMMYFUNCTION("""COMPUTED_VALUE"""),8.72)</f>
        <v>8.72</v>
      </c>
      <c r="H12297" s="17"/>
      <c r="K12297" s="17"/>
      <c r="N12297" s="17"/>
    </row>
    <row r="12298">
      <c r="B12298" s="11">
        <f>IFERROR(__xludf.DUMMYFUNCTION("""COMPUTED_VALUE"""),28809.0)</f>
        <v>28809</v>
      </c>
      <c r="C12298" s="9">
        <f>IFERROR(__xludf.DUMMYFUNCTION("""COMPUTED_VALUE"""),8.76)</f>
        <v>8.76</v>
      </c>
      <c r="H12298" s="17"/>
      <c r="K12298" s="17"/>
      <c r="N12298" s="17"/>
    </row>
    <row r="12299">
      <c r="B12299" s="11">
        <f>IFERROR(__xludf.DUMMYFUNCTION("""COMPUTED_VALUE"""),28808.0)</f>
        <v>28808</v>
      </c>
      <c r="C12299" s="9">
        <f>IFERROR(__xludf.DUMMYFUNCTION("""COMPUTED_VALUE"""),8.82)</f>
        <v>8.82</v>
      </c>
      <c r="H12299" s="17"/>
      <c r="K12299" s="17"/>
      <c r="N12299" s="17"/>
    </row>
    <row r="12300">
      <c r="B12300" s="11">
        <f>IFERROR(__xludf.DUMMYFUNCTION("""COMPUTED_VALUE"""),28807.0)</f>
        <v>28807</v>
      </c>
      <c r="C12300" s="9">
        <f>IFERROR(__xludf.DUMMYFUNCTION("""COMPUTED_VALUE"""),8.83)</f>
        <v>8.83</v>
      </c>
      <c r="H12300" s="17"/>
      <c r="K12300" s="17"/>
      <c r="N12300" s="17"/>
    </row>
    <row r="12301">
      <c r="B12301" s="11">
        <f>IFERROR(__xludf.DUMMYFUNCTION("""COMPUTED_VALUE"""),28804.0)</f>
        <v>28804</v>
      </c>
      <c r="C12301" s="9">
        <f>IFERROR(__xludf.DUMMYFUNCTION("""COMPUTED_VALUE"""),8.86)</f>
        <v>8.86</v>
      </c>
      <c r="H12301" s="17"/>
      <c r="K12301" s="17"/>
      <c r="N12301" s="17"/>
    </row>
    <row r="12302">
      <c r="B12302" s="11">
        <f>IFERROR(__xludf.DUMMYFUNCTION("""COMPUTED_VALUE"""),28803.0)</f>
        <v>28803</v>
      </c>
      <c r="C12302" s="9">
        <f>IFERROR(__xludf.DUMMYFUNCTION("""COMPUTED_VALUE"""),8.87)</f>
        <v>8.87</v>
      </c>
      <c r="H12302" s="17"/>
      <c r="K12302" s="17"/>
      <c r="N12302" s="17"/>
    </row>
    <row r="12303">
      <c r="B12303" s="11">
        <f>IFERROR(__xludf.DUMMYFUNCTION("""COMPUTED_VALUE"""),28802.0)</f>
        <v>28802</v>
      </c>
      <c r="C12303" s="9">
        <f>IFERROR(__xludf.DUMMYFUNCTION("""COMPUTED_VALUE"""),8.86)</f>
        <v>8.86</v>
      </c>
      <c r="H12303" s="17"/>
      <c r="K12303" s="17"/>
      <c r="N12303" s="17"/>
    </row>
    <row r="12304">
      <c r="B12304" s="11">
        <f>IFERROR(__xludf.DUMMYFUNCTION("""COMPUTED_VALUE"""),28801.0)</f>
        <v>28801</v>
      </c>
      <c r="C12304" s="9"/>
      <c r="H12304" s="17"/>
      <c r="K12304" s="17"/>
      <c r="N12304" s="17"/>
    </row>
    <row r="12305">
      <c r="B12305" s="11">
        <f>IFERROR(__xludf.DUMMYFUNCTION("""COMPUTED_VALUE"""),28800.0)</f>
        <v>28800</v>
      </c>
      <c r="C12305" s="9">
        <f>IFERROR(__xludf.DUMMYFUNCTION("""COMPUTED_VALUE"""),8.85)</f>
        <v>8.85</v>
      </c>
      <c r="H12305" s="17"/>
      <c r="K12305" s="17"/>
      <c r="N12305" s="17"/>
    </row>
    <row r="12306">
      <c r="B12306" s="11">
        <f>IFERROR(__xludf.DUMMYFUNCTION("""COMPUTED_VALUE"""),28797.0)</f>
        <v>28797</v>
      </c>
      <c r="C12306" s="9">
        <f>IFERROR(__xludf.DUMMYFUNCTION("""COMPUTED_VALUE"""),8.86)</f>
        <v>8.86</v>
      </c>
      <c r="H12306" s="17"/>
      <c r="K12306" s="17"/>
      <c r="N12306" s="17"/>
    </row>
    <row r="12307">
      <c r="B12307" s="11">
        <f>IFERROR(__xludf.DUMMYFUNCTION("""COMPUTED_VALUE"""),28796.0)</f>
        <v>28796</v>
      </c>
      <c r="C12307" s="9">
        <f>IFERROR(__xludf.DUMMYFUNCTION("""COMPUTED_VALUE"""),8.73)</f>
        <v>8.73</v>
      </c>
      <c r="H12307" s="17"/>
      <c r="K12307" s="17"/>
      <c r="N12307" s="17"/>
    </row>
    <row r="12308">
      <c r="B12308" s="11">
        <f>IFERROR(__xludf.DUMMYFUNCTION("""COMPUTED_VALUE"""),28795.0)</f>
        <v>28795</v>
      </c>
      <c r="C12308" s="9">
        <f>IFERROR(__xludf.DUMMYFUNCTION("""COMPUTED_VALUE"""),8.66)</f>
        <v>8.66</v>
      </c>
      <c r="H12308" s="17"/>
      <c r="K12308" s="17"/>
      <c r="N12308" s="17"/>
    </row>
    <row r="12309">
      <c r="B12309" s="11">
        <f>IFERROR(__xludf.DUMMYFUNCTION("""COMPUTED_VALUE"""),28794.0)</f>
        <v>28794</v>
      </c>
      <c r="C12309" s="9">
        <f>IFERROR(__xludf.DUMMYFUNCTION("""COMPUTED_VALUE"""),8.96)</f>
        <v>8.96</v>
      </c>
      <c r="H12309" s="17"/>
      <c r="K12309" s="17"/>
      <c r="N12309" s="17"/>
    </row>
    <row r="12310">
      <c r="B12310" s="11">
        <f>IFERROR(__xludf.DUMMYFUNCTION("""COMPUTED_VALUE"""),28793.0)</f>
        <v>28793</v>
      </c>
      <c r="C12310" s="9">
        <f>IFERROR(__xludf.DUMMYFUNCTION("""COMPUTED_VALUE"""),8.88)</f>
        <v>8.88</v>
      </c>
      <c r="H12310" s="17"/>
      <c r="K12310" s="17"/>
      <c r="N12310" s="17"/>
    </row>
    <row r="12311">
      <c r="B12311" s="11">
        <f>IFERROR(__xludf.DUMMYFUNCTION("""COMPUTED_VALUE"""),28790.0)</f>
        <v>28790</v>
      </c>
      <c r="C12311" s="9">
        <f>IFERROR(__xludf.DUMMYFUNCTION("""COMPUTED_VALUE"""),8.78)</f>
        <v>8.78</v>
      </c>
      <c r="H12311" s="17"/>
      <c r="K12311" s="17"/>
      <c r="N12311" s="17"/>
    </row>
    <row r="12312">
      <c r="B12312" s="11">
        <f>IFERROR(__xludf.DUMMYFUNCTION("""COMPUTED_VALUE"""),28789.0)</f>
        <v>28789</v>
      </c>
      <c r="C12312" s="9">
        <f>IFERROR(__xludf.DUMMYFUNCTION("""COMPUTED_VALUE"""),8.72)</f>
        <v>8.72</v>
      </c>
      <c r="H12312" s="17"/>
      <c r="K12312" s="17"/>
      <c r="N12312" s="17"/>
    </row>
    <row r="12313">
      <c r="B12313" s="11">
        <f>IFERROR(__xludf.DUMMYFUNCTION("""COMPUTED_VALUE"""),28788.0)</f>
        <v>28788</v>
      </c>
      <c r="C12313" s="9">
        <f>IFERROR(__xludf.DUMMYFUNCTION("""COMPUTED_VALUE"""),8.65)</f>
        <v>8.65</v>
      </c>
      <c r="H12313" s="17"/>
      <c r="K12313" s="17"/>
      <c r="N12313" s="17"/>
    </row>
    <row r="12314">
      <c r="B12314" s="11">
        <f>IFERROR(__xludf.DUMMYFUNCTION("""COMPUTED_VALUE"""),28787.0)</f>
        <v>28787</v>
      </c>
      <c r="C12314" s="9">
        <f>IFERROR(__xludf.DUMMYFUNCTION("""COMPUTED_VALUE"""),8.64)</f>
        <v>8.64</v>
      </c>
      <c r="H12314" s="17"/>
      <c r="K12314" s="17"/>
      <c r="N12314" s="17"/>
    </row>
    <row r="12315">
      <c r="B12315" s="11">
        <f>IFERROR(__xludf.DUMMYFUNCTION("""COMPUTED_VALUE"""),28786.0)</f>
        <v>28786</v>
      </c>
      <c r="C12315" s="9">
        <f>IFERROR(__xludf.DUMMYFUNCTION("""COMPUTED_VALUE"""),8.66)</f>
        <v>8.66</v>
      </c>
      <c r="H12315" s="17"/>
      <c r="K12315" s="17"/>
      <c r="N12315" s="17"/>
    </row>
    <row r="12316">
      <c r="B12316" s="11">
        <f>IFERROR(__xludf.DUMMYFUNCTION("""COMPUTED_VALUE"""),28783.0)</f>
        <v>28783</v>
      </c>
      <c r="C12316" s="9">
        <f>IFERROR(__xludf.DUMMYFUNCTION("""COMPUTED_VALUE"""),8.66)</f>
        <v>8.66</v>
      </c>
      <c r="H12316" s="17"/>
      <c r="K12316" s="17"/>
      <c r="N12316" s="17"/>
    </row>
    <row r="12317">
      <c r="B12317" s="11">
        <f>IFERROR(__xludf.DUMMYFUNCTION("""COMPUTED_VALUE"""),28782.0)</f>
        <v>28782</v>
      </c>
      <c r="C12317" s="9">
        <f>IFERROR(__xludf.DUMMYFUNCTION("""COMPUTED_VALUE"""),8.64)</f>
        <v>8.64</v>
      </c>
      <c r="H12317" s="17"/>
      <c r="K12317" s="17"/>
      <c r="N12317" s="17"/>
    </row>
    <row r="12318">
      <c r="B12318" s="11">
        <f>IFERROR(__xludf.DUMMYFUNCTION("""COMPUTED_VALUE"""),28781.0)</f>
        <v>28781</v>
      </c>
      <c r="C12318" s="9">
        <f>IFERROR(__xludf.DUMMYFUNCTION("""COMPUTED_VALUE"""),8.62)</f>
        <v>8.62</v>
      </c>
      <c r="H12318" s="17"/>
      <c r="K12318" s="17"/>
      <c r="N12318" s="17"/>
    </row>
    <row r="12319">
      <c r="B12319" s="11">
        <f>IFERROR(__xludf.DUMMYFUNCTION("""COMPUTED_VALUE"""),28780.0)</f>
        <v>28780</v>
      </c>
      <c r="C12319" s="9">
        <f>IFERROR(__xludf.DUMMYFUNCTION("""COMPUTED_VALUE"""),8.6)</f>
        <v>8.6</v>
      </c>
      <c r="H12319" s="17"/>
      <c r="K12319" s="17"/>
      <c r="N12319" s="17"/>
    </row>
    <row r="12320">
      <c r="B12320" s="11">
        <f>IFERROR(__xludf.DUMMYFUNCTION("""COMPUTED_VALUE"""),28779.0)</f>
        <v>28779</v>
      </c>
      <c r="C12320" s="9">
        <f>IFERROR(__xludf.DUMMYFUNCTION("""COMPUTED_VALUE"""),8.59)</f>
        <v>8.59</v>
      </c>
      <c r="H12320" s="17"/>
      <c r="K12320" s="17"/>
      <c r="N12320" s="17"/>
    </row>
    <row r="12321">
      <c r="B12321" s="11">
        <f>IFERROR(__xludf.DUMMYFUNCTION("""COMPUTED_VALUE"""),28776.0)</f>
        <v>28776</v>
      </c>
      <c r="C12321" s="9">
        <f>IFERROR(__xludf.DUMMYFUNCTION("""COMPUTED_VALUE"""),8.52)</f>
        <v>8.52</v>
      </c>
      <c r="H12321" s="17"/>
      <c r="K12321" s="17"/>
      <c r="N12321" s="17"/>
    </row>
    <row r="12322">
      <c r="B12322" s="11">
        <f>IFERROR(__xludf.DUMMYFUNCTION("""COMPUTED_VALUE"""),28775.0)</f>
        <v>28775</v>
      </c>
      <c r="C12322" s="9">
        <f>IFERROR(__xludf.DUMMYFUNCTION("""COMPUTED_VALUE"""),8.51)</f>
        <v>8.51</v>
      </c>
      <c r="H12322" s="17"/>
      <c r="K12322" s="17"/>
      <c r="N12322" s="17"/>
    </row>
    <row r="12323">
      <c r="B12323" s="11">
        <f>IFERROR(__xludf.DUMMYFUNCTION("""COMPUTED_VALUE"""),28774.0)</f>
        <v>28774</v>
      </c>
      <c r="C12323" s="9">
        <f>IFERROR(__xludf.DUMMYFUNCTION("""COMPUTED_VALUE"""),8.56)</f>
        <v>8.56</v>
      </c>
      <c r="H12323" s="17"/>
      <c r="K12323" s="17"/>
      <c r="N12323" s="17"/>
    </row>
    <row r="12324">
      <c r="B12324" s="11">
        <f>IFERROR(__xludf.DUMMYFUNCTION("""COMPUTED_VALUE"""),28773.0)</f>
        <v>28773</v>
      </c>
      <c r="C12324" s="9">
        <f>IFERROR(__xludf.DUMMYFUNCTION("""COMPUTED_VALUE"""),8.58)</f>
        <v>8.58</v>
      </c>
      <c r="H12324" s="17"/>
      <c r="K12324" s="17"/>
      <c r="N12324" s="17"/>
    </row>
    <row r="12325">
      <c r="B12325" s="11">
        <f>IFERROR(__xludf.DUMMYFUNCTION("""COMPUTED_VALUE"""),28772.0)</f>
        <v>28772</v>
      </c>
      <c r="C12325" s="9"/>
      <c r="H12325" s="17"/>
      <c r="K12325" s="17"/>
      <c r="N12325" s="17"/>
    </row>
    <row r="12326">
      <c r="B12326" s="11">
        <f>IFERROR(__xludf.DUMMYFUNCTION("""COMPUTED_VALUE"""),28769.0)</f>
        <v>28769</v>
      </c>
      <c r="C12326" s="9">
        <f>IFERROR(__xludf.DUMMYFUNCTION("""COMPUTED_VALUE"""),8.58)</f>
        <v>8.58</v>
      </c>
      <c r="H12326" s="17"/>
      <c r="K12326" s="17"/>
      <c r="N12326" s="17"/>
    </row>
    <row r="12327">
      <c r="B12327" s="11">
        <f>IFERROR(__xludf.DUMMYFUNCTION("""COMPUTED_VALUE"""),28768.0)</f>
        <v>28768</v>
      </c>
      <c r="C12327" s="9">
        <f>IFERROR(__xludf.DUMMYFUNCTION("""COMPUTED_VALUE"""),8.6)</f>
        <v>8.6</v>
      </c>
      <c r="H12327" s="17"/>
      <c r="K12327" s="17"/>
      <c r="N12327" s="17"/>
    </row>
    <row r="12328">
      <c r="B12328" s="11">
        <f>IFERROR(__xludf.DUMMYFUNCTION("""COMPUTED_VALUE"""),28767.0)</f>
        <v>28767</v>
      </c>
      <c r="C12328" s="9">
        <f>IFERROR(__xludf.DUMMYFUNCTION("""COMPUTED_VALUE"""),8.59)</f>
        <v>8.59</v>
      </c>
      <c r="H12328" s="17"/>
      <c r="K12328" s="17"/>
      <c r="N12328" s="17"/>
    </row>
    <row r="12329">
      <c r="B12329" s="11">
        <f>IFERROR(__xludf.DUMMYFUNCTION("""COMPUTED_VALUE"""),28766.0)</f>
        <v>28766</v>
      </c>
      <c r="C12329" s="9">
        <f>IFERROR(__xludf.DUMMYFUNCTION("""COMPUTED_VALUE"""),8.57)</f>
        <v>8.57</v>
      </c>
      <c r="H12329" s="17"/>
      <c r="K12329" s="17"/>
      <c r="N12329" s="17"/>
    </row>
    <row r="12330">
      <c r="B12330" s="11">
        <f>IFERROR(__xludf.DUMMYFUNCTION("""COMPUTED_VALUE"""),28765.0)</f>
        <v>28765</v>
      </c>
      <c r="C12330" s="9">
        <f>IFERROR(__xludf.DUMMYFUNCTION("""COMPUTED_VALUE"""),8.58)</f>
        <v>8.58</v>
      </c>
      <c r="H12330" s="17"/>
      <c r="K12330" s="17"/>
      <c r="N12330" s="17"/>
    </row>
    <row r="12331">
      <c r="B12331" s="11">
        <f>IFERROR(__xludf.DUMMYFUNCTION("""COMPUTED_VALUE"""),28762.0)</f>
        <v>28762</v>
      </c>
      <c r="C12331" s="9">
        <f>IFERROR(__xludf.DUMMYFUNCTION("""COMPUTED_VALUE"""),8.56)</f>
        <v>8.56</v>
      </c>
      <c r="H12331" s="17"/>
      <c r="K12331" s="17"/>
      <c r="N12331" s="17"/>
    </row>
    <row r="12332">
      <c r="B12332" s="11">
        <f>IFERROR(__xludf.DUMMYFUNCTION("""COMPUTED_VALUE"""),28761.0)</f>
        <v>28761</v>
      </c>
      <c r="C12332" s="9">
        <f>IFERROR(__xludf.DUMMYFUNCTION("""COMPUTED_VALUE"""),8.54)</f>
        <v>8.54</v>
      </c>
      <c r="H12332" s="17"/>
      <c r="K12332" s="17"/>
      <c r="N12332" s="17"/>
    </row>
    <row r="12333">
      <c r="B12333" s="11">
        <f>IFERROR(__xludf.DUMMYFUNCTION("""COMPUTED_VALUE"""),28760.0)</f>
        <v>28760</v>
      </c>
      <c r="C12333" s="9">
        <f>IFERROR(__xludf.DUMMYFUNCTION("""COMPUTED_VALUE"""),8.54)</f>
        <v>8.54</v>
      </c>
      <c r="H12333" s="17"/>
      <c r="K12333" s="17"/>
      <c r="N12333" s="17"/>
    </row>
    <row r="12334">
      <c r="B12334" s="11">
        <f>IFERROR(__xludf.DUMMYFUNCTION("""COMPUTED_VALUE"""),28759.0)</f>
        <v>28759</v>
      </c>
      <c r="C12334" s="9">
        <f>IFERROR(__xludf.DUMMYFUNCTION("""COMPUTED_VALUE"""),8.53)</f>
        <v>8.53</v>
      </c>
      <c r="H12334" s="17"/>
      <c r="K12334" s="17"/>
      <c r="N12334" s="17"/>
    </row>
    <row r="12335">
      <c r="B12335" s="11">
        <f>IFERROR(__xludf.DUMMYFUNCTION("""COMPUTED_VALUE"""),28758.0)</f>
        <v>28758</v>
      </c>
      <c r="C12335" s="9">
        <f>IFERROR(__xludf.DUMMYFUNCTION("""COMPUTED_VALUE"""),8.56)</f>
        <v>8.56</v>
      </c>
      <c r="H12335" s="17"/>
      <c r="K12335" s="17"/>
      <c r="N12335" s="17"/>
    </row>
    <row r="12336">
      <c r="B12336" s="11">
        <f>IFERROR(__xludf.DUMMYFUNCTION("""COMPUTED_VALUE"""),28755.0)</f>
        <v>28755</v>
      </c>
      <c r="C12336" s="9">
        <f>IFERROR(__xludf.DUMMYFUNCTION("""COMPUTED_VALUE"""),8.56)</f>
        <v>8.56</v>
      </c>
      <c r="H12336" s="17"/>
      <c r="K12336" s="17"/>
      <c r="N12336" s="17"/>
    </row>
    <row r="12337">
      <c r="B12337" s="11">
        <f>IFERROR(__xludf.DUMMYFUNCTION("""COMPUTED_VALUE"""),28754.0)</f>
        <v>28754</v>
      </c>
      <c r="C12337" s="9">
        <f>IFERROR(__xludf.DUMMYFUNCTION("""COMPUTED_VALUE"""),8.51)</f>
        <v>8.51</v>
      </c>
      <c r="H12337" s="17"/>
      <c r="K12337" s="17"/>
      <c r="N12337" s="17"/>
    </row>
    <row r="12338">
      <c r="B12338" s="11">
        <f>IFERROR(__xludf.DUMMYFUNCTION("""COMPUTED_VALUE"""),28753.0)</f>
        <v>28753</v>
      </c>
      <c r="C12338" s="9">
        <f>IFERROR(__xludf.DUMMYFUNCTION("""COMPUTED_VALUE"""),8.46)</f>
        <v>8.46</v>
      </c>
      <c r="H12338" s="17"/>
      <c r="K12338" s="17"/>
      <c r="N12338" s="17"/>
    </row>
    <row r="12339">
      <c r="B12339" s="11">
        <f>IFERROR(__xludf.DUMMYFUNCTION("""COMPUTED_VALUE"""),28752.0)</f>
        <v>28752</v>
      </c>
      <c r="C12339" s="9">
        <f>IFERROR(__xludf.DUMMYFUNCTION("""COMPUTED_VALUE"""),8.38)</f>
        <v>8.38</v>
      </c>
      <c r="H12339" s="17"/>
      <c r="K12339" s="17"/>
      <c r="N12339" s="17"/>
    </row>
    <row r="12340">
      <c r="B12340" s="11">
        <f>IFERROR(__xludf.DUMMYFUNCTION("""COMPUTED_VALUE"""),28751.0)</f>
        <v>28751</v>
      </c>
      <c r="C12340" s="9">
        <f>IFERROR(__xludf.DUMMYFUNCTION("""COMPUTED_VALUE"""),8.37)</f>
        <v>8.37</v>
      </c>
      <c r="H12340" s="17"/>
      <c r="K12340" s="17"/>
      <c r="N12340" s="17"/>
    </row>
    <row r="12341">
      <c r="B12341" s="11">
        <f>IFERROR(__xludf.DUMMYFUNCTION("""COMPUTED_VALUE"""),28748.0)</f>
        <v>28748</v>
      </c>
      <c r="C12341" s="9">
        <f>IFERROR(__xludf.DUMMYFUNCTION("""COMPUTED_VALUE"""),8.35)</f>
        <v>8.35</v>
      </c>
      <c r="H12341" s="17"/>
      <c r="K12341" s="17"/>
      <c r="N12341" s="17"/>
    </row>
    <row r="12342">
      <c r="B12342" s="11">
        <f>IFERROR(__xludf.DUMMYFUNCTION("""COMPUTED_VALUE"""),28747.0)</f>
        <v>28747</v>
      </c>
      <c r="C12342" s="9">
        <f>IFERROR(__xludf.DUMMYFUNCTION("""COMPUTED_VALUE"""),8.32)</f>
        <v>8.32</v>
      </c>
      <c r="H12342" s="17"/>
      <c r="K12342" s="17"/>
      <c r="N12342" s="17"/>
    </row>
    <row r="12343">
      <c r="B12343" s="11">
        <f>IFERROR(__xludf.DUMMYFUNCTION("""COMPUTED_VALUE"""),28746.0)</f>
        <v>28746</v>
      </c>
      <c r="C12343" s="9">
        <f>IFERROR(__xludf.DUMMYFUNCTION("""COMPUTED_VALUE"""),8.3)</f>
        <v>8.3</v>
      </c>
      <c r="H12343" s="17"/>
      <c r="K12343" s="17"/>
      <c r="N12343" s="17"/>
    </row>
    <row r="12344">
      <c r="B12344" s="11">
        <f>IFERROR(__xludf.DUMMYFUNCTION("""COMPUTED_VALUE"""),28745.0)</f>
        <v>28745</v>
      </c>
      <c r="C12344" s="9">
        <f>IFERROR(__xludf.DUMMYFUNCTION("""COMPUTED_VALUE"""),8.29)</f>
        <v>8.29</v>
      </c>
      <c r="H12344" s="17"/>
      <c r="K12344" s="17"/>
      <c r="N12344" s="17"/>
    </row>
    <row r="12345">
      <c r="B12345" s="11">
        <f>IFERROR(__xludf.DUMMYFUNCTION("""COMPUTED_VALUE"""),28744.0)</f>
        <v>28744</v>
      </c>
      <c r="C12345" s="9">
        <f>IFERROR(__xludf.DUMMYFUNCTION("""COMPUTED_VALUE"""),8.31)</f>
        <v>8.31</v>
      </c>
      <c r="H12345" s="17"/>
      <c r="K12345" s="17"/>
      <c r="N12345" s="17"/>
    </row>
    <row r="12346">
      <c r="B12346" s="11">
        <f>IFERROR(__xludf.DUMMYFUNCTION("""COMPUTED_VALUE"""),28741.0)</f>
        <v>28741</v>
      </c>
      <c r="C12346" s="9">
        <f>IFERROR(__xludf.DUMMYFUNCTION("""COMPUTED_VALUE"""),8.34)</f>
        <v>8.34</v>
      </c>
      <c r="H12346" s="17"/>
      <c r="K12346" s="17"/>
      <c r="N12346" s="17"/>
    </row>
    <row r="12347">
      <c r="B12347" s="11">
        <f>IFERROR(__xludf.DUMMYFUNCTION("""COMPUTED_VALUE"""),28740.0)</f>
        <v>28740</v>
      </c>
      <c r="C12347" s="9">
        <f>IFERROR(__xludf.DUMMYFUNCTION("""COMPUTED_VALUE"""),8.34)</f>
        <v>8.34</v>
      </c>
      <c r="H12347" s="17"/>
      <c r="K12347" s="17"/>
      <c r="N12347" s="17"/>
    </row>
    <row r="12348">
      <c r="B12348" s="11">
        <f>IFERROR(__xludf.DUMMYFUNCTION("""COMPUTED_VALUE"""),28739.0)</f>
        <v>28739</v>
      </c>
      <c r="C12348" s="9">
        <f>IFERROR(__xludf.DUMMYFUNCTION("""COMPUTED_VALUE"""),8.35)</f>
        <v>8.35</v>
      </c>
      <c r="H12348" s="17"/>
      <c r="K12348" s="17"/>
      <c r="N12348" s="17"/>
    </row>
    <row r="12349">
      <c r="B12349" s="11">
        <f>IFERROR(__xludf.DUMMYFUNCTION("""COMPUTED_VALUE"""),28738.0)</f>
        <v>28738</v>
      </c>
      <c r="C12349" s="9">
        <f>IFERROR(__xludf.DUMMYFUNCTION("""COMPUTED_VALUE"""),8.34)</f>
        <v>8.34</v>
      </c>
      <c r="H12349" s="17"/>
      <c r="K12349" s="17"/>
      <c r="N12349" s="17"/>
    </row>
    <row r="12350">
      <c r="B12350" s="11">
        <f>IFERROR(__xludf.DUMMYFUNCTION("""COMPUTED_VALUE"""),28737.0)</f>
        <v>28737</v>
      </c>
      <c r="C12350" s="9"/>
      <c r="H12350" s="17"/>
      <c r="K12350" s="17"/>
      <c r="N12350" s="17"/>
    </row>
    <row r="12351">
      <c r="B12351" s="11">
        <f>IFERROR(__xludf.DUMMYFUNCTION("""COMPUTED_VALUE"""),28734.0)</f>
        <v>28734</v>
      </c>
      <c r="C12351" s="9">
        <f>IFERROR(__xludf.DUMMYFUNCTION("""COMPUTED_VALUE"""),8.38)</f>
        <v>8.38</v>
      </c>
      <c r="H12351" s="17"/>
      <c r="K12351" s="17"/>
      <c r="N12351" s="17"/>
    </row>
    <row r="12352">
      <c r="B12352" s="11">
        <f>IFERROR(__xludf.DUMMYFUNCTION("""COMPUTED_VALUE"""),28733.0)</f>
        <v>28733</v>
      </c>
      <c r="C12352" s="9">
        <f>IFERROR(__xludf.DUMMYFUNCTION("""COMPUTED_VALUE"""),8.39)</f>
        <v>8.39</v>
      </c>
      <c r="H12352" s="17"/>
      <c r="K12352" s="17"/>
      <c r="N12352" s="17"/>
    </row>
    <row r="12353">
      <c r="B12353" s="11">
        <f>IFERROR(__xludf.DUMMYFUNCTION("""COMPUTED_VALUE"""),28732.0)</f>
        <v>28732</v>
      </c>
      <c r="C12353" s="9">
        <f>IFERROR(__xludf.DUMMYFUNCTION("""COMPUTED_VALUE"""),8.42)</f>
        <v>8.42</v>
      </c>
      <c r="H12353" s="17"/>
      <c r="K12353" s="17"/>
      <c r="N12353" s="17"/>
    </row>
    <row r="12354">
      <c r="B12354" s="11">
        <f>IFERROR(__xludf.DUMMYFUNCTION("""COMPUTED_VALUE"""),28731.0)</f>
        <v>28731</v>
      </c>
      <c r="C12354" s="9">
        <f>IFERROR(__xludf.DUMMYFUNCTION("""COMPUTED_VALUE"""),8.37)</f>
        <v>8.37</v>
      </c>
      <c r="H12354" s="17"/>
      <c r="K12354" s="17"/>
      <c r="N12354" s="17"/>
    </row>
    <row r="12355">
      <c r="B12355" s="11">
        <f>IFERROR(__xludf.DUMMYFUNCTION("""COMPUTED_VALUE"""),28730.0)</f>
        <v>28730</v>
      </c>
      <c r="C12355" s="9">
        <f>IFERROR(__xludf.DUMMYFUNCTION("""COMPUTED_VALUE"""),8.35)</f>
        <v>8.35</v>
      </c>
      <c r="H12355" s="17"/>
      <c r="K12355" s="17"/>
      <c r="N12355" s="17"/>
    </row>
    <row r="12356">
      <c r="B12356" s="11">
        <f>IFERROR(__xludf.DUMMYFUNCTION("""COMPUTED_VALUE"""),28727.0)</f>
        <v>28727</v>
      </c>
      <c r="C12356" s="9">
        <f>IFERROR(__xludf.DUMMYFUNCTION("""COMPUTED_VALUE"""),8.34)</f>
        <v>8.34</v>
      </c>
      <c r="H12356" s="17"/>
      <c r="K12356" s="17"/>
      <c r="N12356" s="17"/>
    </row>
    <row r="12357">
      <c r="B12357" s="11">
        <f>IFERROR(__xludf.DUMMYFUNCTION("""COMPUTED_VALUE"""),28726.0)</f>
        <v>28726</v>
      </c>
      <c r="C12357" s="9">
        <f>IFERROR(__xludf.DUMMYFUNCTION("""COMPUTED_VALUE"""),8.35)</f>
        <v>8.35</v>
      </c>
      <c r="H12357" s="17"/>
      <c r="K12357" s="17"/>
      <c r="N12357" s="17"/>
    </row>
    <row r="12358">
      <c r="B12358" s="11">
        <f>IFERROR(__xludf.DUMMYFUNCTION("""COMPUTED_VALUE"""),28725.0)</f>
        <v>28725</v>
      </c>
      <c r="C12358" s="9">
        <f>IFERROR(__xludf.DUMMYFUNCTION("""COMPUTED_VALUE"""),8.32)</f>
        <v>8.32</v>
      </c>
      <c r="H12358" s="17"/>
      <c r="K12358" s="17"/>
      <c r="N12358" s="17"/>
    </row>
    <row r="12359">
      <c r="B12359" s="11">
        <f>IFERROR(__xludf.DUMMYFUNCTION("""COMPUTED_VALUE"""),28724.0)</f>
        <v>28724</v>
      </c>
      <c r="C12359" s="9">
        <f>IFERROR(__xludf.DUMMYFUNCTION("""COMPUTED_VALUE"""),8.41)</f>
        <v>8.41</v>
      </c>
      <c r="H12359" s="17"/>
      <c r="K12359" s="17"/>
      <c r="N12359" s="17"/>
    </row>
    <row r="12360">
      <c r="B12360" s="11">
        <f>IFERROR(__xludf.DUMMYFUNCTION("""COMPUTED_VALUE"""),28723.0)</f>
        <v>28723</v>
      </c>
      <c r="C12360" s="9">
        <f>IFERROR(__xludf.DUMMYFUNCTION("""COMPUTED_VALUE"""),8.41)</f>
        <v>8.41</v>
      </c>
      <c r="H12360" s="17"/>
      <c r="K12360" s="17"/>
      <c r="N12360" s="17"/>
    </row>
    <row r="12361">
      <c r="B12361" s="11">
        <f>IFERROR(__xludf.DUMMYFUNCTION("""COMPUTED_VALUE"""),28720.0)</f>
        <v>28720</v>
      </c>
      <c r="C12361" s="9">
        <f>IFERROR(__xludf.DUMMYFUNCTION("""COMPUTED_VALUE"""),8.46)</f>
        <v>8.46</v>
      </c>
      <c r="H12361" s="17"/>
      <c r="K12361" s="17"/>
      <c r="N12361" s="17"/>
    </row>
    <row r="12362">
      <c r="B12362" s="11">
        <f>IFERROR(__xludf.DUMMYFUNCTION("""COMPUTED_VALUE"""),28719.0)</f>
        <v>28719</v>
      </c>
      <c r="C12362" s="9">
        <f>IFERROR(__xludf.DUMMYFUNCTION("""COMPUTED_VALUE"""),8.48)</f>
        <v>8.48</v>
      </c>
      <c r="H12362" s="17"/>
      <c r="K12362" s="17"/>
      <c r="N12362" s="17"/>
    </row>
    <row r="12363">
      <c r="B12363" s="11">
        <f>IFERROR(__xludf.DUMMYFUNCTION("""COMPUTED_VALUE"""),28718.0)</f>
        <v>28718</v>
      </c>
      <c r="C12363" s="9">
        <f>IFERROR(__xludf.DUMMYFUNCTION("""COMPUTED_VALUE"""),8.55)</f>
        <v>8.55</v>
      </c>
      <c r="H12363" s="17"/>
      <c r="K12363" s="17"/>
      <c r="N12363" s="17"/>
    </row>
    <row r="12364">
      <c r="B12364" s="11">
        <f>IFERROR(__xludf.DUMMYFUNCTION("""COMPUTED_VALUE"""),28717.0)</f>
        <v>28717</v>
      </c>
      <c r="C12364" s="9">
        <f>IFERROR(__xludf.DUMMYFUNCTION("""COMPUTED_VALUE"""),8.46)</f>
        <v>8.46</v>
      </c>
      <c r="H12364" s="17"/>
      <c r="K12364" s="17"/>
      <c r="N12364" s="17"/>
    </row>
    <row r="12365">
      <c r="B12365" s="11">
        <f>IFERROR(__xludf.DUMMYFUNCTION("""COMPUTED_VALUE"""),28716.0)</f>
        <v>28716</v>
      </c>
      <c r="C12365" s="9">
        <f>IFERROR(__xludf.DUMMYFUNCTION("""COMPUTED_VALUE"""),8.45)</f>
        <v>8.45</v>
      </c>
      <c r="H12365" s="17"/>
      <c r="K12365" s="17"/>
      <c r="N12365" s="17"/>
    </row>
    <row r="12366">
      <c r="B12366" s="11">
        <f>IFERROR(__xludf.DUMMYFUNCTION("""COMPUTED_VALUE"""),28713.0)</f>
        <v>28713</v>
      </c>
      <c r="C12366" s="9">
        <f>IFERROR(__xludf.DUMMYFUNCTION("""COMPUTED_VALUE"""),8.44)</f>
        <v>8.44</v>
      </c>
      <c r="H12366" s="17"/>
      <c r="K12366" s="17"/>
      <c r="N12366" s="17"/>
    </row>
    <row r="12367">
      <c r="B12367" s="11">
        <f>IFERROR(__xludf.DUMMYFUNCTION("""COMPUTED_VALUE"""),28712.0)</f>
        <v>28712</v>
      </c>
      <c r="C12367" s="9">
        <f>IFERROR(__xludf.DUMMYFUNCTION("""COMPUTED_VALUE"""),8.45)</f>
        <v>8.45</v>
      </c>
      <c r="H12367" s="17"/>
      <c r="K12367" s="17"/>
      <c r="N12367" s="17"/>
    </row>
    <row r="12368">
      <c r="B12368" s="11">
        <f>IFERROR(__xludf.DUMMYFUNCTION("""COMPUTED_VALUE"""),28711.0)</f>
        <v>28711</v>
      </c>
      <c r="C12368" s="9">
        <f>IFERROR(__xludf.DUMMYFUNCTION("""COMPUTED_VALUE"""),8.34)</f>
        <v>8.34</v>
      </c>
      <c r="H12368" s="17"/>
      <c r="K12368" s="17"/>
      <c r="N12368" s="17"/>
    </row>
    <row r="12369">
      <c r="B12369" s="11">
        <f>IFERROR(__xludf.DUMMYFUNCTION("""COMPUTED_VALUE"""),28710.0)</f>
        <v>28710</v>
      </c>
      <c r="C12369" s="9">
        <f>IFERROR(__xludf.DUMMYFUNCTION("""COMPUTED_VALUE"""),8.35)</f>
        <v>8.35</v>
      </c>
      <c r="H12369" s="17"/>
      <c r="K12369" s="17"/>
      <c r="N12369" s="17"/>
    </row>
    <row r="12370">
      <c r="B12370" s="11">
        <f>IFERROR(__xludf.DUMMYFUNCTION("""COMPUTED_VALUE"""),28709.0)</f>
        <v>28709</v>
      </c>
      <c r="C12370" s="9">
        <f>IFERROR(__xludf.DUMMYFUNCTION("""COMPUTED_VALUE"""),8.36)</f>
        <v>8.36</v>
      </c>
      <c r="H12370" s="17"/>
      <c r="K12370" s="17"/>
      <c r="N12370" s="17"/>
    </row>
    <row r="12371">
      <c r="B12371" s="11">
        <f>IFERROR(__xludf.DUMMYFUNCTION("""COMPUTED_VALUE"""),28706.0)</f>
        <v>28706</v>
      </c>
      <c r="C12371" s="9">
        <f>IFERROR(__xludf.DUMMYFUNCTION("""COMPUTED_VALUE"""),8.38)</f>
        <v>8.38</v>
      </c>
      <c r="H12371" s="17"/>
      <c r="K12371" s="17"/>
      <c r="N12371" s="17"/>
    </row>
    <row r="12372">
      <c r="B12372" s="11">
        <f>IFERROR(__xludf.DUMMYFUNCTION("""COMPUTED_VALUE"""),28705.0)</f>
        <v>28705</v>
      </c>
      <c r="C12372" s="9">
        <f>IFERROR(__xludf.DUMMYFUNCTION("""COMPUTED_VALUE"""),8.39)</f>
        <v>8.39</v>
      </c>
      <c r="H12372" s="17"/>
      <c r="K12372" s="17"/>
      <c r="N12372" s="17"/>
    </row>
    <row r="12373">
      <c r="B12373" s="11">
        <f>IFERROR(__xludf.DUMMYFUNCTION("""COMPUTED_VALUE"""),28704.0)</f>
        <v>28704</v>
      </c>
      <c r="C12373" s="9">
        <f>IFERROR(__xludf.DUMMYFUNCTION("""COMPUTED_VALUE"""),8.44)</f>
        <v>8.44</v>
      </c>
      <c r="H12373" s="17"/>
      <c r="K12373" s="17"/>
      <c r="N12373" s="17"/>
    </row>
    <row r="12374">
      <c r="B12374" s="11">
        <f>IFERROR(__xludf.DUMMYFUNCTION("""COMPUTED_VALUE"""),28703.0)</f>
        <v>28703</v>
      </c>
      <c r="C12374" s="9">
        <f>IFERROR(__xludf.DUMMYFUNCTION("""COMPUTED_VALUE"""),8.54)</f>
        <v>8.54</v>
      </c>
      <c r="H12374" s="17"/>
      <c r="K12374" s="17"/>
      <c r="N12374" s="17"/>
    </row>
    <row r="12375">
      <c r="B12375" s="11">
        <f>IFERROR(__xludf.DUMMYFUNCTION("""COMPUTED_VALUE"""),28702.0)</f>
        <v>28702</v>
      </c>
      <c r="C12375" s="9">
        <f>IFERROR(__xludf.DUMMYFUNCTION("""COMPUTED_VALUE"""),8.56)</f>
        <v>8.56</v>
      </c>
      <c r="H12375" s="17"/>
      <c r="K12375" s="17"/>
      <c r="N12375" s="17"/>
    </row>
    <row r="12376">
      <c r="B12376" s="11">
        <f>IFERROR(__xludf.DUMMYFUNCTION("""COMPUTED_VALUE"""),28699.0)</f>
        <v>28699</v>
      </c>
      <c r="C12376" s="9">
        <f>IFERROR(__xludf.DUMMYFUNCTION("""COMPUTED_VALUE"""),8.55)</f>
        <v>8.55</v>
      </c>
      <c r="H12376" s="17"/>
      <c r="K12376" s="17"/>
      <c r="N12376" s="17"/>
    </row>
    <row r="12377">
      <c r="B12377" s="11">
        <f>IFERROR(__xludf.DUMMYFUNCTION("""COMPUTED_VALUE"""),28698.0)</f>
        <v>28698</v>
      </c>
      <c r="C12377" s="9">
        <f>IFERROR(__xludf.DUMMYFUNCTION("""COMPUTED_VALUE"""),8.58)</f>
        <v>8.58</v>
      </c>
      <c r="H12377" s="17"/>
      <c r="K12377" s="17"/>
      <c r="N12377" s="17"/>
    </row>
    <row r="12378">
      <c r="B12378" s="11">
        <f>IFERROR(__xludf.DUMMYFUNCTION("""COMPUTED_VALUE"""),28697.0)</f>
        <v>28697</v>
      </c>
      <c r="C12378" s="9">
        <f>IFERROR(__xludf.DUMMYFUNCTION("""COMPUTED_VALUE"""),8.66)</f>
        <v>8.66</v>
      </c>
      <c r="H12378" s="17"/>
      <c r="K12378" s="17"/>
      <c r="N12378" s="17"/>
    </row>
    <row r="12379">
      <c r="B12379" s="11">
        <f>IFERROR(__xludf.DUMMYFUNCTION("""COMPUTED_VALUE"""),28696.0)</f>
        <v>28696</v>
      </c>
      <c r="C12379" s="9">
        <f>IFERROR(__xludf.DUMMYFUNCTION("""COMPUTED_VALUE"""),8.67)</f>
        <v>8.67</v>
      </c>
      <c r="H12379" s="17"/>
      <c r="K12379" s="17"/>
      <c r="N12379" s="17"/>
    </row>
    <row r="12380">
      <c r="B12380" s="11">
        <f>IFERROR(__xludf.DUMMYFUNCTION("""COMPUTED_VALUE"""),28695.0)</f>
        <v>28695</v>
      </c>
      <c r="C12380" s="9">
        <f>IFERROR(__xludf.DUMMYFUNCTION("""COMPUTED_VALUE"""),8.67)</f>
        <v>8.67</v>
      </c>
      <c r="H12380" s="17"/>
      <c r="K12380" s="17"/>
      <c r="N12380" s="17"/>
    </row>
    <row r="12381">
      <c r="B12381" s="11">
        <f>IFERROR(__xludf.DUMMYFUNCTION("""COMPUTED_VALUE"""),28692.0)</f>
        <v>28692</v>
      </c>
      <c r="C12381" s="9">
        <f>IFERROR(__xludf.DUMMYFUNCTION("""COMPUTED_VALUE"""),8.67)</f>
        <v>8.67</v>
      </c>
      <c r="H12381" s="17"/>
      <c r="K12381" s="17"/>
      <c r="N12381" s="17"/>
    </row>
    <row r="12382">
      <c r="B12382" s="11">
        <f>IFERROR(__xludf.DUMMYFUNCTION("""COMPUTED_VALUE"""),28691.0)</f>
        <v>28691</v>
      </c>
      <c r="C12382" s="9">
        <f>IFERROR(__xludf.DUMMYFUNCTION("""COMPUTED_VALUE"""),8.66)</f>
        <v>8.66</v>
      </c>
      <c r="H12382" s="17"/>
      <c r="K12382" s="17"/>
      <c r="N12382" s="17"/>
    </row>
    <row r="12383">
      <c r="B12383" s="11">
        <f>IFERROR(__xludf.DUMMYFUNCTION("""COMPUTED_VALUE"""),28690.0)</f>
        <v>28690</v>
      </c>
      <c r="C12383" s="9">
        <f>IFERROR(__xludf.DUMMYFUNCTION("""COMPUTED_VALUE"""),8.62)</f>
        <v>8.62</v>
      </c>
      <c r="H12383" s="17"/>
      <c r="K12383" s="17"/>
      <c r="N12383" s="17"/>
    </row>
    <row r="12384">
      <c r="B12384" s="11">
        <f>IFERROR(__xludf.DUMMYFUNCTION("""COMPUTED_VALUE"""),28689.0)</f>
        <v>28689</v>
      </c>
      <c r="C12384" s="9">
        <f>IFERROR(__xludf.DUMMYFUNCTION("""COMPUTED_VALUE"""),8.63)</f>
        <v>8.63</v>
      </c>
      <c r="H12384" s="17"/>
      <c r="K12384" s="17"/>
      <c r="N12384" s="17"/>
    </row>
    <row r="12385">
      <c r="B12385" s="11">
        <f>IFERROR(__xludf.DUMMYFUNCTION("""COMPUTED_VALUE"""),28688.0)</f>
        <v>28688</v>
      </c>
      <c r="C12385" s="9">
        <f>IFERROR(__xludf.DUMMYFUNCTION("""COMPUTED_VALUE"""),8.65)</f>
        <v>8.65</v>
      </c>
      <c r="H12385" s="17"/>
      <c r="K12385" s="17"/>
      <c r="N12385" s="17"/>
    </row>
    <row r="12386">
      <c r="B12386" s="11">
        <f>IFERROR(__xludf.DUMMYFUNCTION("""COMPUTED_VALUE"""),28685.0)</f>
        <v>28685</v>
      </c>
      <c r="C12386" s="9">
        <f>IFERROR(__xludf.DUMMYFUNCTION("""COMPUTED_VALUE"""),8.68)</f>
        <v>8.68</v>
      </c>
      <c r="H12386" s="17"/>
      <c r="K12386" s="17"/>
      <c r="N12386" s="17"/>
    </row>
    <row r="12387">
      <c r="B12387" s="11">
        <f>IFERROR(__xludf.DUMMYFUNCTION("""COMPUTED_VALUE"""),28684.0)</f>
        <v>28684</v>
      </c>
      <c r="C12387" s="9">
        <f>IFERROR(__xludf.DUMMYFUNCTION("""COMPUTED_VALUE"""),8.68)</f>
        <v>8.68</v>
      </c>
      <c r="H12387" s="17"/>
      <c r="K12387" s="17"/>
      <c r="N12387" s="17"/>
    </row>
    <row r="12388">
      <c r="B12388" s="11">
        <f>IFERROR(__xludf.DUMMYFUNCTION("""COMPUTED_VALUE"""),28683.0)</f>
        <v>28683</v>
      </c>
      <c r="C12388" s="9">
        <f>IFERROR(__xludf.DUMMYFUNCTION("""COMPUTED_VALUE"""),8.67)</f>
        <v>8.67</v>
      </c>
      <c r="H12388" s="17"/>
      <c r="K12388" s="17"/>
      <c r="N12388" s="17"/>
    </row>
    <row r="12389">
      <c r="B12389" s="11">
        <f>IFERROR(__xludf.DUMMYFUNCTION("""COMPUTED_VALUE"""),28682.0)</f>
        <v>28682</v>
      </c>
      <c r="C12389" s="9">
        <f>IFERROR(__xludf.DUMMYFUNCTION("""COMPUTED_VALUE"""),8.68)</f>
        <v>8.68</v>
      </c>
      <c r="H12389" s="17"/>
      <c r="K12389" s="17"/>
      <c r="N12389" s="17"/>
    </row>
    <row r="12390">
      <c r="B12390" s="11">
        <f>IFERROR(__xludf.DUMMYFUNCTION("""COMPUTED_VALUE"""),28681.0)</f>
        <v>28681</v>
      </c>
      <c r="C12390" s="9">
        <f>IFERROR(__xludf.DUMMYFUNCTION("""COMPUTED_VALUE"""),8.68)</f>
        <v>8.68</v>
      </c>
      <c r="H12390" s="17"/>
      <c r="K12390" s="17"/>
      <c r="N12390" s="17"/>
    </row>
    <row r="12391">
      <c r="B12391" s="11">
        <f>IFERROR(__xludf.DUMMYFUNCTION("""COMPUTED_VALUE"""),28678.0)</f>
        <v>28678</v>
      </c>
      <c r="C12391" s="9">
        <f>IFERROR(__xludf.DUMMYFUNCTION("""COMPUTED_VALUE"""),8.66)</f>
        <v>8.66</v>
      </c>
      <c r="H12391" s="17"/>
      <c r="K12391" s="17"/>
      <c r="N12391" s="17"/>
    </row>
    <row r="12392">
      <c r="B12392" s="11">
        <f>IFERROR(__xludf.DUMMYFUNCTION("""COMPUTED_VALUE"""),28677.0)</f>
        <v>28677</v>
      </c>
      <c r="C12392" s="9">
        <f>IFERROR(__xludf.DUMMYFUNCTION("""COMPUTED_VALUE"""),8.62)</f>
        <v>8.62</v>
      </c>
      <c r="H12392" s="17"/>
      <c r="K12392" s="17"/>
      <c r="N12392" s="17"/>
    </row>
    <row r="12393">
      <c r="B12393" s="11">
        <f>IFERROR(__xludf.DUMMYFUNCTION("""COMPUTED_VALUE"""),28676.0)</f>
        <v>28676</v>
      </c>
      <c r="C12393" s="9">
        <f>IFERROR(__xludf.DUMMYFUNCTION("""COMPUTED_VALUE"""),8.62)</f>
        <v>8.62</v>
      </c>
      <c r="H12393" s="17"/>
      <c r="K12393" s="17"/>
      <c r="N12393" s="17"/>
    </row>
    <row r="12394">
      <c r="B12394" s="11">
        <f>IFERROR(__xludf.DUMMYFUNCTION("""COMPUTED_VALUE"""),28675.0)</f>
        <v>28675</v>
      </c>
      <c r="C12394" s="9"/>
      <c r="H12394" s="17"/>
      <c r="K12394" s="17"/>
      <c r="N12394" s="17"/>
    </row>
    <row r="12395">
      <c r="B12395" s="11">
        <f>IFERROR(__xludf.DUMMYFUNCTION("""COMPUTED_VALUE"""),28674.0)</f>
        <v>28674</v>
      </c>
      <c r="C12395" s="9">
        <f>IFERROR(__xludf.DUMMYFUNCTION("""COMPUTED_VALUE"""),8.59)</f>
        <v>8.59</v>
      </c>
      <c r="H12395" s="17"/>
      <c r="K12395" s="17"/>
      <c r="N12395" s="17"/>
    </row>
    <row r="12396">
      <c r="B12396" s="11">
        <f>IFERROR(__xludf.DUMMYFUNCTION("""COMPUTED_VALUE"""),28671.0)</f>
        <v>28671</v>
      </c>
      <c r="C12396" s="9">
        <f>IFERROR(__xludf.DUMMYFUNCTION("""COMPUTED_VALUE"""),8.62)</f>
        <v>8.62</v>
      </c>
      <c r="H12396" s="17"/>
      <c r="K12396" s="17"/>
      <c r="N12396" s="17"/>
    </row>
    <row r="12397">
      <c r="B12397" s="11">
        <f>IFERROR(__xludf.DUMMYFUNCTION("""COMPUTED_VALUE"""),28670.0)</f>
        <v>28670</v>
      </c>
      <c r="C12397" s="9">
        <f>IFERROR(__xludf.DUMMYFUNCTION("""COMPUTED_VALUE"""),8.57)</f>
        <v>8.57</v>
      </c>
      <c r="H12397" s="17"/>
      <c r="K12397" s="17"/>
      <c r="N12397" s="17"/>
    </row>
    <row r="12398">
      <c r="B12398" s="11">
        <f>IFERROR(__xludf.DUMMYFUNCTION("""COMPUTED_VALUE"""),28669.0)</f>
        <v>28669</v>
      </c>
      <c r="C12398" s="9">
        <f>IFERROR(__xludf.DUMMYFUNCTION("""COMPUTED_VALUE"""),8.57)</f>
        <v>8.57</v>
      </c>
      <c r="H12398" s="17"/>
      <c r="K12398" s="17"/>
      <c r="N12398" s="17"/>
    </row>
    <row r="12399">
      <c r="B12399" s="11">
        <f>IFERROR(__xludf.DUMMYFUNCTION("""COMPUTED_VALUE"""),28668.0)</f>
        <v>28668</v>
      </c>
      <c r="C12399" s="9">
        <f>IFERROR(__xludf.DUMMYFUNCTION("""COMPUTED_VALUE"""),8.58)</f>
        <v>8.58</v>
      </c>
      <c r="H12399" s="17"/>
      <c r="K12399" s="17"/>
      <c r="N12399" s="17"/>
    </row>
    <row r="12400">
      <c r="B12400" s="11">
        <f>IFERROR(__xludf.DUMMYFUNCTION("""COMPUTED_VALUE"""),28667.0)</f>
        <v>28667</v>
      </c>
      <c r="C12400" s="9">
        <f>IFERROR(__xludf.DUMMYFUNCTION("""COMPUTED_VALUE"""),8.59)</f>
        <v>8.59</v>
      </c>
      <c r="H12400" s="17"/>
      <c r="K12400" s="17"/>
      <c r="N12400" s="17"/>
    </row>
    <row r="12401">
      <c r="B12401" s="11">
        <f>IFERROR(__xludf.DUMMYFUNCTION("""COMPUTED_VALUE"""),28664.0)</f>
        <v>28664</v>
      </c>
      <c r="C12401" s="9">
        <f>IFERROR(__xludf.DUMMYFUNCTION("""COMPUTED_VALUE"""),8.55)</f>
        <v>8.55</v>
      </c>
      <c r="H12401" s="17"/>
      <c r="K12401" s="17"/>
      <c r="N12401" s="17"/>
    </row>
    <row r="12402">
      <c r="B12402" s="11">
        <f>IFERROR(__xludf.DUMMYFUNCTION("""COMPUTED_VALUE"""),28663.0)</f>
        <v>28663</v>
      </c>
      <c r="C12402" s="9">
        <f>IFERROR(__xludf.DUMMYFUNCTION("""COMPUTED_VALUE"""),8.5)</f>
        <v>8.5</v>
      </c>
      <c r="H12402" s="17"/>
      <c r="K12402" s="17"/>
      <c r="N12402" s="17"/>
    </row>
    <row r="12403">
      <c r="B12403" s="11">
        <f>IFERROR(__xludf.DUMMYFUNCTION("""COMPUTED_VALUE"""),28662.0)</f>
        <v>28662</v>
      </c>
      <c r="C12403" s="9">
        <f>IFERROR(__xludf.DUMMYFUNCTION("""COMPUTED_VALUE"""),8.5)</f>
        <v>8.5</v>
      </c>
      <c r="H12403" s="17"/>
      <c r="K12403" s="17"/>
      <c r="N12403" s="17"/>
    </row>
    <row r="12404">
      <c r="B12404" s="11">
        <f>IFERROR(__xludf.DUMMYFUNCTION("""COMPUTED_VALUE"""),28661.0)</f>
        <v>28661</v>
      </c>
      <c r="C12404" s="9">
        <f>IFERROR(__xludf.DUMMYFUNCTION("""COMPUTED_VALUE"""),8.47)</f>
        <v>8.47</v>
      </c>
      <c r="H12404" s="17"/>
      <c r="K12404" s="17"/>
      <c r="N12404" s="17"/>
    </row>
    <row r="12405">
      <c r="B12405" s="11">
        <f>IFERROR(__xludf.DUMMYFUNCTION("""COMPUTED_VALUE"""),28660.0)</f>
        <v>28660</v>
      </c>
      <c r="C12405" s="9">
        <f>IFERROR(__xludf.DUMMYFUNCTION("""COMPUTED_VALUE"""),8.45)</f>
        <v>8.45</v>
      </c>
      <c r="H12405" s="17"/>
      <c r="K12405" s="17"/>
      <c r="N12405" s="17"/>
    </row>
    <row r="12406">
      <c r="B12406" s="11">
        <f>IFERROR(__xludf.DUMMYFUNCTION("""COMPUTED_VALUE"""),28657.0)</f>
        <v>28657</v>
      </c>
      <c r="C12406" s="9">
        <f>IFERROR(__xludf.DUMMYFUNCTION("""COMPUTED_VALUE"""),8.43)</f>
        <v>8.43</v>
      </c>
      <c r="H12406" s="17"/>
      <c r="K12406" s="17"/>
      <c r="N12406" s="17"/>
    </row>
    <row r="12407">
      <c r="B12407" s="11">
        <f>IFERROR(__xludf.DUMMYFUNCTION("""COMPUTED_VALUE"""),28656.0)</f>
        <v>28656</v>
      </c>
      <c r="C12407" s="9">
        <f>IFERROR(__xludf.DUMMYFUNCTION("""COMPUTED_VALUE"""),8.41)</f>
        <v>8.41</v>
      </c>
      <c r="H12407" s="17"/>
      <c r="K12407" s="17"/>
      <c r="N12407" s="17"/>
    </row>
    <row r="12408">
      <c r="B12408" s="11">
        <f>IFERROR(__xludf.DUMMYFUNCTION("""COMPUTED_VALUE"""),28655.0)</f>
        <v>28655</v>
      </c>
      <c r="C12408" s="9">
        <f>IFERROR(__xludf.DUMMYFUNCTION("""COMPUTED_VALUE"""),8.41)</f>
        <v>8.41</v>
      </c>
      <c r="H12408" s="17"/>
      <c r="K12408" s="17"/>
      <c r="N12408" s="17"/>
    </row>
    <row r="12409">
      <c r="B12409" s="11">
        <f>IFERROR(__xludf.DUMMYFUNCTION("""COMPUTED_VALUE"""),28654.0)</f>
        <v>28654</v>
      </c>
      <c r="C12409" s="9">
        <f>IFERROR(__xludf.DUMMYFUNCTION("""COMPUTED_VALUE"""),8.41)</f>
        <v>8.41</v>
      </c>
      <c r="H12409" s="17"/>
      <c r="K12409" s="17"/>
      <c r="N12409" s="17"/>
    </row>
    <row r="12410">
      <c r="B12410" s="11">
        <f>IFERROR(__xludf.DUMMYFUNCTION("""COMPUTED_VALUE"""),28653.0)</f>
        <v>28653</v>
      </c>
      <c r="C12410" s="9">
        <f>IFERROR(__xludf.DUMMYFUNCTION("""COMPUTED_VALUE"""),8.4)</f>
        <v>8.4</v>
      </c>
      <c r="H12410" s="17"/>
      <c r="K12410" s="17"/>
      <c r="N12410" s="17"/>
    </row>
    <row r="12411">
      <c r="B12411" s="11">
        <f>IFERROR(__xludf.DUMMYFUNCTION("""COMPUTED_VALUE"""),28650.0)</f>
        <v>28650</v>
      </c>
      <c r="C12411" s="9">
        <f>IFERROR(__xludf.DUMMYFUNCTION("""COMPUTED_VALUE"""),8.41)</f>
        <v>8.41</v>
      </c>
      <c r="H12411" s="17"/>
      <c r="K12411" s="17"/>
      <c r="N12411" s="17"/>
    </row>
    <row r="12412">
      <c r="B12412" s="11">
        <f>IFERROR(__xludf.DUMMYFUNCTION("""COMPUTED_VALUE"""),28649.0)</f>
        <v>28649</v>
      </c>
      <c r="C12412" s="9">
        <f>IFERROR(__xludf.DUMMYFUNCTION("""COMPUTED_VALUE"""),8.38)</f>
        <v>8.38</v>
      </c>
      <c r="H12412" s="17"/>
      <c r="K12412" s="17"/>
      <c r="N12412" s="17"/>
    </row>
    <row r="12413">
      <c r="B12413" s="11">
        <f>IFERROR(__xludf.DUMMYFUNCTION("""COMPUTED_VALUE"""),28648.0)</f>
        <v>28648</v>
      </c>
      <c r="C12413" s="9">
        <f>IFERROR(__xludf.DUMMYFUNCTION("""COMPUTED_VALUE"""),8.37)</f>
        <v>8.37</v>
      </c>
      <c r="H12413" s="17"/>
      <c r="K12413" s="17"/>
      <c r="N12413" s="17"/>
    </row>
    <row r="12414">
      <c r="B12414" s="11">
        <f>IFERROR(__xludf.DUMMYFUNCTION("""COMPUTED_VALUE"""),28647.0)</f>
        <v>28647</v>
      </c>
      <c r="C12414" s="9">
        <f>IFERROR(__xludf.DUMMYFUNCTION("""COMPUTED_VALUE"""),8.37)</f>
        <v>8.37</v>
      </c>
      <c r="H12414" s="17"/>
      <c r="K12414" s="17"/>
      <c r="N12414" s="17"/>
    </row>
    <row r="12415">
      <c r="B12415" s="11">
        <f>IFERROR(__xludf.DUMMYFUNCTION("""COMPUTED_VALUE"""),28646.0)</f>
        <v>28646</v>
      </c>
      <c r="C12415" s="9">
        <f>IFERROR(__xludf.DUMMYFUNCTION("""COMPUTED_VALUE"""),8.38)</f>
        <v>8.38</v>
      </c>
      <c r="H12415" s="17"/>
      <c r="K12415" s="17"/>
      <c r="N12415" s="17"/>
    </row>
    <row r="12416">
      <c r="B12416" s="11">
        <f>IFERROR(__xludf.DUMMYFUNCTION("""COMPUTED_VALUE"""),28643.0)</f>
        <v>28643</v>
      </c>
      <c r="C12416" s="9">
        <f>IFERROR(__xludf.DUMMYFUNCTION("""COMPUTED_VALUE"""),8.39)</f>
        <v>8.39</v>
      </c>
      <c r="H12416" s="17"/>
      <c r="K12416" s="17"/>
      <c r="N12416" s="17"/>
    </row>
    <row r="12417">
      <c r="B12417" s="11">
        <f>IFERROR(__xludf.DUMMYFUNCTION("""COMPUTED_VALUE"""),28642.0)</f>
        <v>28642</v>
      </c>
      <c r="C12417" s="9">
        <f>IFERROR(__xludf.DUMMYFUNCTION("""COMPUTED_VALUE"""),8.41)</f>
        <v>8.41</v>
      </c>
      <c r="H12417" s="17"/>
      <c r="K12417" s="17"/>
      <c r="N12417" s="17"/>
    </row>
    <row r="12418">
      <c r="B12418" s="11">
        <f>IFERROR(__xludf.DUMMYFUNCTION("""COMPUTED_VALUE"""),28641.0)</f>
        <v>28641</v>
      </c>
      <c r="C12418" s="9">
        <f>IFERROR(__xludf.DUMMYFUNCTION("""COMPUTED_VALUE"""),8.42)</f>
        <v>8.42</v>
      </c>
      <c r="H12418" s="17"/>
      <c r="K12418" s="17"/>
      <c r="N12418" s="17"/>
    </row>
    <row r="12419">
      <c r="B12419" s="11">
        <f>IFERROR(__xludf.DUMMYFUNCTION("""COMPUTED_VALUE"""),28640.0)</f>
        <v>28640</v>
      </c>
      <c r="C12419" s="9"/>
      <c r="H12419" s="17"/>
      <c r="K12419" s="17"/>
      <c r="N12419" s="17"/>
    </row>
    <row r="12420">
      <c r="B12420" s="11">
        <f>IFERROR(__xludf.DUMMYFUNCTION("""COMPUTED_VALUE"""),28639.0)</f>
        <v>28639</v>
      </c>
      <c r="C12420" s="9"/>
      <c r="H12420" s="17"/>
      <c r="K12420" s="17"/>
      <c r="N12420" s="17"/>
    </row>
    <row r="12421">
      <c r="B12421" s="11">
        <f>IFERROR(__xludf.DUMMYFUNCTION("""COMPUTED_VALUE"""),28636.0)</f>
        <v>28636</v>
      </c>
      <c r="C12421" s="9">
        <f>IFERROR(__xludf.DUMMYFUNCTION("""COMPUTED_VALUE"""),8.42)</f>
        <v>8.42</v>
      </c>
      <c r="H12421" s="17"/>
      <c r="K12421" s="17"/>
      <c r="N12421" s="17"/>
    </row>
    <row r="12422">
      <c r="B12422" s="11">
        <f>IFERROR(__xludf.DUMMYFUNCTION("""COMPUTED_VALUE"""),28635.0)</f>
        <v>28635</v>
      </c>
      <c r="C12422" s="9">
        <f>IFERROR(__xludf.DUMMYFUNCTION("""COMPUTED_VALUE"""),8.4)</f>
        <v>8.4</v>
      </c>
      <c r="H12422" s="17"/>
      <c r="K12422" s="17"/>
      <c r="N12422" s="17"/>
    </row>
    <row r="12423">
      <c r="B12423" s="11">
        <f>IFERROR(__xludf.DUMMYFUNCTION("""COMPUTED_VALUE"""),28634.0)</f>
        <v>28634</v>
      </c>
      <c r="C12423" s="9">
        <f>IFERROR(__xludf.DUMMYFUNCTION("""COMPUTED_VALUE"""),8.39)</f>
        <v>8.39</v>
      </c>
      <c r="H12423" s="17"/>
      <c r="K12423" s="17"/>
      <c r="N12423" s="17"/>
    </row>
    <row r="12424">
      <c r="B12424" s="11">
        <f>IFERROR(__xludf.DUMMYFUNCTION("""COMPUTED_VALUE"""),28633.0)</f>
        <v>28633</v>
      </c>
      <c r="C12424" s="9">
        <f>IFERROR(__xludf.DUMMYFUNCTION("""COMPUTED_VALUE"""),8.37)</f>
        <v>8.37</v>
      </c>
      <c r="H12424" s="17"/>
      <c r="K12424" s="17"/>
      <c r="N12424" s="17"/>
    </row>
    <row r="12425">
      <c r="B12425" s="11">
        <f>IFERROR(__xludf.DUMMYFUNCTION("""COMPUTED_VALUE"""),28632.0)</f>
        <v>28632</v>
      </c>
      <c r="C12425" s="9">
        <f>IFERROR(__xludf.DUMMYFUNCTION("""COMPUTED_VALUE"""),8.38)</f>
        <v>8.38</v>
      </c>
      <c r="H12425" s="17"/>
      <c r="K12425" s="17"/>
      <c r="N12425" s="17"/>
    </row>
    <row r="12426">
      <c r="B12426" s="11">
        <f>IFERROR(__xludf.DUMMYFUNCTION("""COMPUTED_VALUE"""),28629.0)</f>
        <v>28629</v>
      </c>
      <c r="C12426" s="9">
        <f>IFERROR(__xludf.DUMMYFUNCTION("""COMPUTED_VALUE"""),8.38)</f>
        <v>8.38</v>
      </c>
      <c r="H12426" s="17"/>
      <c r="K12426" s="17"/>
      <c r="N12426" s="17"/>
    </row>
    <row r="12427">
      <c r="B12427" s="11">
        <f>IFERROR(__xludf.DUMMYFUNCTION("""COMPUTED_VALUE"""),28628.0)</f>
        <v>28628</v>
      </c>
      <c r="C12427" s="9">
        <f>IFERROR(__xludf.DUMMYFUNCTION("""COMPUTED_VALUE"""),8.37)</f>
        <v>8.37</v>
      </c>
      <c r="H12427" s="17"/>
      <c r="K12427" s="17"/>
      <c r="N12427" s="17"/>
    </row>
    <row r="12428">
      <c r="B12428" s="11">
        <f>IFERROR(__xludf.DUMMYFUNCTION("""COMPUTED_VALUE"""),28627.0)</f>
        <v>28627</v>
      </c>
      <c r="C12428" s="9">
        <f>IFERROR(__xludf.DUMMYFUNCTION("""COMPUTED_VALUE"""),8.33)</f>
        <v>8.33</v>
      </c>
      <c r="H12428" s="17"/>
      <c r="K12428" s="17"/>
      <c r="N12428" s="17"/>
    </row>
    <row r="12429">
      <c r="B12429" s="11">
        <f>IFERROR(__xludf.DUMMYFUNCTION("""COMPUTED_VALUE"""),28626.0)</f>
        <v>28626</v>
      </c>
      <c r="C12429" s="9">
        <f>IFERROR(__xludf.DUMMYFUNCTION("""COMPUTED_VALUE"""),8.34)</f>
        <v>8.34</v>
      </c>
      <c r="H12429" s="17"/>
      <c r="K12429" s="17"/>
      <c r="N12429" s="17"/>
    </row>
    <row r="12430">
      <c r="B12430" s="11">
        <f>IFERROR(__xludf.DUMMYFUNCTION("""COMPUTED_VALUE"""),28625.0)</f>
        <v>28625</v>
      </c>
      <c r="C12430" s="9">
        <f>IFERROR(__xludf.DUMMYFUNCTION("""COMPUTED_VALUE"""),8.35)</f>
        <v>8.35</v>
      </c>
      <c r="H12430" s="17"/>
      <c r="K12430" s="17"/>
      <c r="N12430" s="17"/>
    </row>
    <row r="12431">
      <c r="B12431" s="11">
        <f>IFERROR(__xludf.DUMMYFUNCTION("""COMPUTED_VALUE"""),28622.0)</f>
        <v>28622</v>
      </c>
      <c r="C12431" s="9">
        <f>IFERROR(__xludf.DUMMYFUNCTION("""COMPUTED_VALUE"""),8.36)</f>
        <v>8.36</v>
      </c>
      <c r="H12431" s="17"/>
      <c r="K12431" s="17"/>
      <c r="N12431" s="17"/>
    </row>
    <row r="12432">
      <c r="B12432" s="11">
        <f>IFERROR(__xludf.DUMMYFUNCTION("""COMPUTED_VALUE"""),28621.0)</f>
        <v>28621</v>
      </c>
      <c r="C12432" s="9">
        <f>IFERROR(__xludf.DUMMYFUNCTION("""COMPUTED_VALUE"""),8.34)</f>
        <v>8.34</v>
      </c>
      <c r="H12432" s="17"/>
      <c r="K12432" s="17"/>
      <c r="N12432" s="17"/>
    </row>
    <row r="12433">
      <c r="B12433" s="11">
        <f>IFERROR(__xludf.DUMMYFUNCTION("""COMPUTED_VALUE"""),28620.0)</f>
        <v>28620</v>
      </c>
      <c r="C12433" s="9">
        <f>IFERROR(__xludf.DUMMYFUNCTION("""COMPUTED_VALUE"""),8.34)</f>
        <v>8.34</v>
      </c>
      <c r="H12433" s="17"/>
      <c r="K12433" s="17"/>
      <c r="N12433" s="17"/>
    </row>
    <row r="12434">
      <c r="B12434" s="11">
        <f>IFERROR(__xludf.DUMMYFUNCTION("""COMPUTED_VALUE"""),28619.0)</f>
        <v>28619</v>
      </c>
      <c r="C12434" s="9">
        <f>IFERROR(__xludf.DUMMYFUNCTION("""COMPUTED_VALUE"""),8.34)</f>
        <v>8.34</v>
      </c>
      <c r="H12434" s="17"/>
      <c r="K12434" s="17"/>
      <c r="N12434" s="17"/>
    </row>
    <row r="12435">
      <c r="B12435" s="11">
        <f>IFERROR(__xludf.DUMMYFUNCTION("""COMPUTED_VALUE"""),28618.0)</f>
        <v>28618</v>
      </c>
      <c r="C12435" s="9">
        <f>IFERROR(__xludf.DUMMYFUNCTION("""COMPUTED_VALUE"""),8.35)</f>
        <v>8.35</v>
      </c>
      <c r="H12435" s="17"/>
      <c r="K12435" s="17"/>
      <c r="N12435" s="17"/>
    </row>
    <row r="12436">
      <c r="B12436" s="11">
        <f>IFERROR(__xludf.DUMMYFUNCTION("""COMPUTED_VALUE"""),28615.0)</f>
        <v>28615</v>
      </c>
      <c r="C12436" s="9">
        <f>IFERROR(__xludf.DUMMYFUNCTION("""COMPUTED_VALUE"""),8.34)</f>
        <v>8.34</v>
      </c>
      <c r="H12436" s="17"/>
      <c r="K12436" s="17"/>
      <c r="N12436" s="17"/>
    </row>
    <row r="12437">
      <c r="B12437" s="11">
        <f>IFERROR(__xludf.DUMMYFUNCTION("""COMPUTED_VALUE"""),28614.0)</f>
        <v>28614</v>
      </c>
      <c r="C12437" s="9">
        <f>IFERROR(__xludf.DUMMYFUNCTION("""COMPUTED_VALUE"""),8.27)</f>
        <v>8.27</v>
      </c>
      <c r="H12437" s="17"/>
      <c r="K12437" s="17"/>
      <c r="N12437" s="17"/>
    </row>
    <row r="12438">
      <c r="B12438" s="11">
        <f>IFERROR(__xludf.DUMMYFUNCTION("""COMPUTED_VALUE"""),28613.0)</f>
        <v>28613</v>
      </c>
      <c r="C12438" s="9">
        <f>IFERROR(__xludf.DUMMYFUNCTION("""COMPUTED_VALUE"""),8.28)</f>
        <v>8.28</v>
      </c>
      <c r="H12438" s="17"/>
      <c r="K12438" s="17"/>
      <c r="N12438" s="17"/>
    </row>
    <row r="12439">
      <c r="B12439" s="11">
        <f>IFERROR(__xludf.DUMMYFUNCTION("""COMPUTED_VALUE"""),28612.0)</f>
        <v>28612</v>
      </c>
      <c r="C12439" s="9">
        <f>IFERROR(__xludf.DUMMYFUNCTION("""COMPUTED_VALUE"""),8.25)</f>
        <v>8.25</v>
      </c>
      <c r="H12439" s="17"/>
      <c r="K12439" s="17"/>
      <c r="N12439" s="17"/>
    </row>
    <row r="12440">
      <c r="B12440" s="11">
        <f>IFERROR(__xludf.DUMMYFUNCTION("""COMPUTED_VALUE"""),28611.0)</f>
        <v>28611</v>
      </c>
      <c r="C12440" s="9">
        <f>IFERROR(__xludf.DUMMYFUNCTION("""COMPUTED_VALUE"""),8.24)</f>
        <v>8.24</v>
      </c>
      <c r="H12440" s="17"/>
      <c r="K12440" s="17"/>
      <c r="N12440" s="17"/>
    </row>
    <row r="12441">
      <c r="B12441" s="11">
        <f>IFERROR(__xludf.DUMMYFUNCTION("""COMPUTED_VALUE"""),28608.0)</f>
        <v>28608</v>
      </c>
      <c r="C12441" s="9">
        <f>IFERROR(__xludf.DUMMYFUNCTION("""COMPUTED_VALUE"""),8.24)</f>
        <v>8.24</v>
      </c>
      <c r="H12441" s="17"/>
      <c r="K12441" s="17"/>
      <c r="N12441" s="17"/>
    </row>
    <row r="12442">
      <c r="B12442" s="11">
        <f>IFERROR(__xludf.DUMMYFUNCTION("""COMPUTED_VALUE"""),28607.0)</f>
        <v>28607</v>
      </c>
      <c r="C12442" s="9">
        <f>IFERROR(__xludf.DUMMYFUNCTION("""COMPUTED_VALUE"""),8.24)</f>
        <v>8.24</v>
      </c>
      <c r="H12442" s="17"/>
      <c r="K12442" s="17"/>
      <c r="N12442" s="17"/>
    </row>
    <row r="12443">
      <c r="B12443" s="11">
        <f>IFERROR(__xludf.DUMMYFUNCTION("""COMPUTED_VALUE"""),28606.0)</f>
        <v>28606</v>
      </c>
      <c r="C12443" s="9">
        <f>IFERROR(__xludf.DUMMYFUNCTION("""COMPUTED_VALUE"""),8.22)</f>
        <v>8.22</v>
      </c>
      <c r="H12443" s="17"/>
      <c r="K12443" s="17"/>
      <c r="N12443" s="17"/>
    </row>
    <row r="12444">
      <c r="B12444" s="11">
        <f>IFERROR(__xludf.DUMMYFUNCTION("""COMPUTED_VALUE"""),28605.0)</f>
        <v>28605</v>
      </c>
      <c r="C12444" s="9">
        <f>IFERROR(__xludf.DUMMYFUNCTION("""COMPUTED_VALUE"""),8.18)</f>
        <v>8.18</v>
      </c>
      <c r="H12444" s="17"/>
      <c r="K12444" s="17"/>
      <c r="N12444" s="17"/>
    </row>
    <row r="12445">
      <c r="B12445" s="11">
        <f>IFERROR(__xludf.DUMMYFUNCTION("""COMPUTED_VALUE"""),28604.0)</f>
        <v>28604</v>
      </c>
      <c r="C12445" s="9">
        <f>IFERROR(__xludf.DUMMYFUNCTION("""COMPUTED_VALUE"""),8.18)</f>
        <v>8.18</v>
      </c>
      <c r="H12445" s="17"/>
      <c r="K12445" s="17"/>
      <c r="N12445" s="17"/>
    </row>
    <row r="12446">
      <c r="B12446" s="11">
        <f>IFERROR(__xludf.DUMMYFUNCTION("""COMPUTED_VALUE"""),28601.0)</f>
        <v>28601</v>
      </c>
      <c r="C12446" s="9">
        <f>IFERROR(__xludf.DUMMYFUNCTION("""COMPUTED_VALUE"""),8.16)</f>
        <v>8.16</v>
      </c>
      <c r="H12446" s="17"/>
      <c r="K12446" s="17"/>
      <c r="N12446" s="17"/>
    </row>
    <row r="12447">
      <c r="B12447" s="11">
        <f>IFERROR(__xludf.DUMMYFUNCTION("""COMPUTED_VALUE"""),28600.0)</f>
        <v>28600</v>
      </c>
      <c r="C12447" s="9">
        <f>IFERROR(__xludf.DUMMYFUNCTION("""COMPUTED_VALUE"""),8.14)</f>
        <v>8.14</v>
      </c>
      <c r="H12447" s="17"/>
      <c r="K12447" s="17"/>
      <c r="N12447" s="17"/>
    </row>
    <row r="12448">
      <c r="B12448" s="11">
        <f>IFERROR(__xludf.DUMMYFUNCTION("""COMPUTED_VALUE"""),28599.0)</f>
        <v>28599</v>
      </c>
      <c r="C12448" s="9">
        <f>IFERROR(__xludf.DUMMYFUNCTION("""COMPUTED_VALUE"""),8.13)</f>
        <v>8.13</v>
      </c>
      <c r="H12448" s="17"/>
      <c r="K12448" s="17"/>
      <c r="N12448" s="17"/>
    </row>
    <row r="12449">
      <c r="B12449" s="11">
        <f>IFERROR(__xludf.DUMMYFUNCTION("""COMPUTED_VALUE"""),28598.0)</f>
        <v>28598</v>
      </c>
      <c r="C12449" s="9">
        <f>IFERROR(__xludf.DUMMYFUNCTION("""COMPUTED_VALUE"""),8.08)</f>
        <v>8.08</v>
      </c>
      <c r="H12449" s="17"/>
      <c r="K12449" s="17"/>
      <c r="N12449" s="17"/>
    </row>
    <row r="12450">
      <c r="B12450" s="11">
        <f>IFERROR(__xludf.DUMMYFUNCTION("""COMPUTED_VALUE"""),28597.0)</f>
        <v>28597</v>
      </c>
      <c r="C12450" s="9">
        <f>IFERROR(__xludf.DUMMYFUNCTION("""COMPUTED_VALUE"""),8.08)</f>
        <v>8.08</v>
      </c>
      <c r="H12450" s="17"/>
      <c r="K12450" s="17"/>
      <c r="N12450" s="17"/>
    </row>
    <row r="12451">
      <c r="B12451" s="11">
        <f>IFERROR(__xludf.DUMMYFUNCTION("""COMPUTED_VALUE"""),28594.0)</f>
        <v>28594</v>
      </c>
      <c r="C12451" s="9">
        <f>IFERROR(__xludf.DUMMYFUNCTION("""COMPUTED_VALUE"""),8.12)</f>
        <v>8.12</v>
      </c>
      <c r="H12451" s="17"/>
      <c r="K12451" s="17"/>
      <c r="N12451" s="17"/>
    </row>
    <row r="12452">
      <c r="B12452" s="11">
        <f>IFERROR(__xludf.DUMMYFUNCTION("""COMPUTED_VALUE"""),28593.0)</f>
        <v>28593</v>
      </c>
      <c r="C12452" s="9">
        <f>IFERROR(__xludf.DUMMYFUNCTION("""COMPUTED_VALUE"""),8.15)</f>
        <v>8.15</v>
      </c>
      <c r="H12452" s="17"/>
      <c r="K12452" s="17"/>
      <c r="N12452" s="17"/>
    </row>
    <row r="12453">
      <c r="B12453" s="11">
        <f>IFERROR(__xludf.DUMMYFUNCTION("""COMPUTED_VALUE"""),28592.0)</f>
        <v>28592</v>
      </c>
      <c r="C12453" s="9">
        <f>IFERROR(__xludf.DUMMYFUNCTION("""COMPUTED_VALUE"""),8.16)</f>
        <v>8.16</v>
      </c>
      <c r="H12453" s="17"/>
      <c r="K12453" s="17"/>
      <c r="N12453" s="17"/>
    </row>
    <row r="12454">
      <c r="B12454" s="11">
        <f>IFERROR(__xludf.DUMMYFUNCTION("""COMPUTED_VALUE"""),28591.0)</f>
        <v>28591</v>
      </c>
      <c r="C12454" s="9">
        <f>IFERROR(__xludf.DUMMYFUNCTION("""COMPUTED_VALUE"""),8.16)</f>
        <v>8.16</v>
      </c>
      <c r="H12454" s="17"/>
      <c r="K12454" s="17"/>
      <c r="N12454" s="17"/>
    </row>
    <row r="12455">
      <c r="B12455" s="11">
        <f>IFERROR(__xludf.DUMMYFUNCTION("""COMPUTED_VALUE"""),28590.0)</f>
        <v>28590</v>
      </c>
      <c r="C12455" s="9">
        <f>IFERROR(__xludf.DUMMYFUNCTION("""COMPUTED_VALUE"""),8.15)</f>
        <v>8.15</v>
      </c>
      <c r="H12455" s="17"/>
      <c r="K12455" s="17"/>
      <c r="N12455" s="17"/>
    </row>
    <row r="12456">
      <c r="B12456" s="11">
        <f>IFERROR(__xludf.DUMMYFUNCTION("""COMPUTED_VALUE"""),28587.0)</f>
        <v>28587</v>
      </c>
      <c r="C12456" s="9">
        <f>IFERROR(__xludf.DUMMYFUNCTION("""COMPUTED_VALUE"""),8.14)</f>
        <v>8.14</v>
      </c>
      <c r="H12456" s="17"/>
      <c r="K12456" s="17"/>
      <c r="N12456" s="17"/>
    </row>
    <row r="12457">
      <c r="B12457" s="11">
        <f>IFERROR(__xludf.DUMMYFUNCTION("""COMPUTED_VALUE"""),28586.0)</f>
        <v>28586</v>
      </c>
      <c r="C12457" s="9">
        <f>IFERROR(__xludf.DUMMYFUNCTION("""COMPUTED_VALUE"""),8.16)</f>
        <v>8.16</v>
      </c>
      <c r="H12457" s="17"/>
      <c r="K12457" s="17"/>
      <c r="N12457" s="17"/>
    </row>
    <row r="12458">
      <c r="B12458" s="11">
        <f>IFERROR(__xludf.DUMMYFUNCTION("""COMPUTED_VALUE"""),28585.0)</f>
        <v>28585</v>
      </c>
      <c r="C12458" s="9">
        <f>IFERROR(__xludf.DUMMYFUNCTION("""COMPUTED_VALUE"""),8.14)</f>
        <v>8.14</v>
      </c>
      <c r="H12458" s="17"/>
      <c r="K12458" s="17"/>
      <c r="N12458" s="17"/>
    </row>
    <row r="12459">
      <c r="B12459" s="11">
        <f>IFERROR(__xludf.DUMMYFUNCTION("""COMPUTED_VALUE"""),28584.0)</f>
        <v>28584</v>
      </c>
      <c r="C12459" s="9">
        <f>IFERROR(__xludf.DUMMYFUNCTION("""COMPUTED_VALUE"""),8.12)</f>
        <v>8.12</v>
      </c>
      <c r="H12459" s="17"/>
      <c r="K12459" s="17"/>
      <c r="N12459" s="17"/>
    </row>
    <row r="12460">
      <c r="B12460" s="11">
        <f>IFERROR(__xludf.DUMMYFUNCTION("""COMPUTED_VALUE"""),28583.0)</f>
        <v>28583</v>
      </c>
      <c r="C12460" s="9">
        <f>IFERROR(__xludf.DUMMYFUNCTION("""COMPUTED_VALUE"""),8.13)</f>
        <v>8.13</v>
      </c>
      <c r="H12460" s="17"/>
      <c r="K12460" s="17"/>
      <c r="N12460" s="17"/>
    </row>
    <row r="12461">
      <c r="B12461" s="11">
        <f>IFERROR(__xludf.DUMMYFUNCTION("""COMPUTED_VALUE"""),28580.0)</f>
        <v>28580</v>
      </c>
      <c r="C12461" s="9">
        <f>IFERROR(__xludf.DUMMYFUNCTION("""COMPUTED_VALUE"""),8.15)</f>
        <v>8.15</v>
      </c>
      <c r="H12461" s="17"/>
      <c r="K12461" s="17"/>
      <c r="N12461" s="17"/>
    </row>
    <row r="12462">
      <c r="B12462" s="11">
        <f>IFERROR(__xludf.DUMMYFUNCTION("""COMPUTED_VALUE"""),28579.0)</f>
        <v>28579</v>
      </c>
      <c r="C12462" s="9">
        <f>IFERROR(__xludf.DUMMYFUNCTION("""COMPUTED_VALUE"""),8.12)</f>
        <v>8.12</v>
      </c>
      <c r="H12462" s="17"/>
      <c r="K12462" s="17"/>
      <c r="N12462" s="17"/>
    </row>
    <row r="12463">
      <c r="B12463" s="11">
        <f>IFERROR(__xludf.DUMMYFUNCTION("""COMPUTED_VALUE"""),28578.0)</f>
        <v>28578</v>
      </c>
      <c r="C12463" s="9">
        <f>IFERROR(__xludf.DUMMYFUNCTION("""COMPUTED_VALUE"""),8.11)</f>
        <v>8.11</v>
      </c>
      <c r="H12463" s="17"/>
      <c r="K12463" s="17"/>
      <c r="N12463" s="17"/>
    </row>
    <row r="12464">
      <c r="B12464" s="11">
        <f>IFERROR(__xludf.DUMMYFUNCTION("""COMPUTED_VALUE"""),28577.0)</f>
        <v>28577</v>
      </c>
      <c r="C12464" s="9">
        <f>IFERROR(__xludf.DUMMYFUNCTION("""COMPUTED_VALUE"""),8.12)</f>
        <v>8.12</v>
      </c>
      <c r="H12464" s="17"/>
      <c r="K12464" s="17"/>
      <c r="N12464" s="17"/>
    </row>
    <row r="12465">
      <c r="B12465" s="11">
        <f>IFERROR(__xludf.DUMMYFUNCTION("""COMPUTED_VALUE"""),28576.0)</f>
        <v>28576</v>
      </c>
      <c r="C12465" s="9">
        <f>IFERROR(__xludf.DUMMYFUNCTION("""COMPUTED_VALUE"""),8.12)</f>
        <v>8.12</v>
      </c>
      <c r="H12465" s="17"/>
      <c r="K12465" s="17"/>
      <c r="N12465" s="17"/>
    </row>
    <row r="12466">
      <c r="B12466" s="11">
        <f>IFERROR(__xludf.DUMMYFUNCTION("""COMPUTED_VALUE"""),28573.0)</f>
        <v>28573</v>
      </c>
      <c r="C12466" s="9"/>
      <c r="H12466" s="17"/>
      <c r="K12466" s="17"/>
      <c r="N12466" s="17"/>
    </row>
    <row r="12467">
      <c r="B12467" s="11">
        <f>IFERROR(__xludf.DUMMYFUNCTION("""COMPUTED_VALUE"""),28572.0)</f>
        <v>28572</v>
      </c>
      <c r="C12467" s="9">
        <f>IFERROR(__xludf.DUMMYFUNCTION("""COMPUTED_VALUE"""),8.01)</f>
        <v>8.01</v>
      </c>
      <c r="H12467" s="17"/>
      <c r="K12467" s="17"/>
      <c r="N12467" s="17"/>
    </row>
    <row r="12468">
      <c r="B12468" s="11">
        <f>IFERROR(__xludf.DUMMYFUNCTION("""COMPUTED_VALUE"""),28571.0)</f>
        <v>28571</v>
      </c>
      <c r="C12468" s="9">
        <f>IFERROR(__xludf.DUMMYFUNCTION("""COMPUTED_VALUE"""),7.98)</f>
        <v>7.98</v>
      </c>
      <c r="H12468" s="17"/>
      <c r="K12468" s="17"/>
      <c r="N12468" s="17"/>
    </row>
    <row r="12469">
      <c r="B12469" s="11">
        <f>IFERROR(__xludf.DUMMYFUNCTION("""COMPUTED_VALUE"""),28570.0)</f>
        <v>28570</v>
      </c>
      <c r="C12469" s="9">
        <f>IFERROR(__xludf.DUMMYFUNCTION("""COMPUTED_VALUE"""),7.97)</f>
        <v>7.97</v>
      </c>
      <c r="H12469" s="17"/>
      <c r="K12469" s="17"/>
      <c r="N12469" s="17"/>
    </row>
    <row r="12470">
      <c r="B12470" s="11">
        <f>IFERROR(__xludf.DUMMYFUNCTION("""COMPUTED_VALUE"""),28569.0)</f>
        <v>28569</v>
      </c>
      <c r="C12470" s="9">
        <f>IFERROR(__xludf.DUMMYFUNCTION("""COMPUTED_VALUE"""),7.97)</f>
        <v>7.97</v>
      </c>
      <c r="H12470" s="17"/>
      <c r="K12470" s="17"/>
      <c r="N12470" s="17"/>
    </row>
    <row r="12471">
      <c r="B12471" s="11">
        <f>IFERROR(__xludf.DUMMYFUNCTION("""COMPUTED_VALUE"""),28566.0)</f>
        <v>28566</v>
      </c>
      <c r="C12471" s="9">
        <f>IFERROR(__xludf.DUMMYFUNCTION("""COMPUTED_VALUE"""),8.0)</f>
        <v>8</v>
      </c>
      <c r="H12471" s="17"/>
      <c r="K12471" s="17"/>
      <c r="N12471" s="17"/>
    </row>
    <row r="12472">
      <c r="B12472" s="11">
        <f>IFERROR(__xludf.DUMMYFUNCTION("""COMPUTED_VALUE"""),28565.0)</f>
        <v>28565</v>
      </c>
      <c r="C12472" s="9">
        <f>IFERROR(__xludf.DUMMYFUNCTION("""COMPUTED_VALUE"""),8.0)</f>
        <v>8</v>
      </c>
      <c r="H12472" s="17"/>
      <c r="K12472" s="17"/>
      <c r="N12472" s="17"/>
    </row>
    <row r="12473">
      <c r="B12473" s="11">
        <f>IFERROR(__xludf.DUMMYFUNCTION("""COMPUTED_VALUE"""),28564.0)</f>
        <v>28564</v>
      </c>
      <c r="C12473" s="9">
        <f>IFERROR(__xludf.DUMMYFUNCTION("""COMPUTED_VALUE"""),8.0)</f>
        <v>8</v>
      </c>
      <c r="H12473" s="17"/>
      <c r="K12473" s="17"/>
      <c r="N12473" s="17"/>
    </row>
    <row r="12474">
      <c r="B12474" s="11">
        <f>IFERROR(__xludf.DUMMYFUNCTION("""COMPUTED_VALUE"""),28563.0)</f>
        <v>28563</v>
      </c>
      <c r="C12474" s="9">
        <f>IFERROR(__xludf.DUMMYFUNCTION("""COMPUTED_VALUE"""),7.99)</f>
        <v>7.99</v>
      </c>
      <c r="H12474" s="17"/>
      <c r="K12474" s="17"/>
      <c r="N12474" s="17"/>
    </row>
    <row r="12475">
      <c r="B12475" s="11">
        <f>IFERROR(__xludf.DUMMYFUNCTION("""COMPUTED_VALUE"""),28562.0)</f>
        <v>28562</v>
      </c>
      <c r="C12475" s="9">
        <f>IFERROR(__xludf.DUMMYFUNCTION("""COMPUTED_VALUE"""),7.99)</f>
        <v>7.99</v>
      </c>
      <c r="H12475" s="17"/>
      <c r="K12475" s="17"/>
      <c r="N12475" s="17"/>
    </row>
    <row r="12476">
      <c r="B12476" s="11">
        <f>IFERROR(__xludf.DUMMYFUNCTION("""COMPUTED_VALUE"""),28559.0)</f>
        <v>28559</v>
      </c>
      <c r="C12476" s="9">
        <f>IFERROR(__xludf.DUMMYFUNCTION("""COMPUTED_VALUE"""),8.0)</f>
        <v>8</v>
      </c>
      <c r="H12476" s="17"/>
      <c r="K12476" s="17"/>
      <c r="N12476" s="17"/>
    </row>
    <row r="12477">
      <c r="B12477" s="11">
        <f>IFERROR(__xludf.DUMMYFUNCTION("""COMPUTED_VALUE"""),28558.0)</f>
        <v>28558</v>
      </c>
      <c r="C12477" s="9">
        <f>IFERROR(__xludf.DUMMYFUNCTION("""COMPUTED_VALUE"""),8.02)</f>
        <v>8.02</v>
      </c>
      <c r="H12477" s="17"/>
      <c r="K12477" s="17"/>
      <c r="N12477" s="17"/>
    </row>
    <row r="12478">
      <c r="B12478" s="11">
        <f>IFERROR(__xludf.DUMMYFUNCTION("""COMPUTED_VALUE"""),28557.0)</f>
        <v>28557</v>
      </c>
      <c r="C12478" s="9">
        <f>IFERROR(__xludf.DUMMYFUNCTION("""COMPUTED_VALUE"""),8.03)</f>
        <v>8.03</v>
      </c>
      <c r="H12478" s="17"/>
      <c r="K12478" s="17"/>
      <c r="N12478" s="17"/>
    </row>
    <row r="12479">
      <c r="B12479" s="11">
        <f>IFERROR(__xludf.DUMMYFUNCTION("""COMPUTED_VALUE"""),28556.0)</f>
        <v>28556</v>
      </c>
      <c r="C12479" s="9">
        <f>IFERROR(__xludf.DUMMYFUNCTION("""COMPUTED_VALUE"""),8.03)</f>
        <v>8.03</v>
      </c>
      <c r="H12479" s="17"/>
      <c r="K12479" s="17"/>
      <c r="N12479" s="17"/>
    </row>
    <row r="12480">
      <c r="B12480" s="11">
        <f>IFERROR(__xludf.DUMMYFUNCTION("""COMPUTED_VALUE"""),28555.0)</f>
        <v>28555</v>
      </c>
      <c r="C12480" s="9">
        <f>IFERROR(__xludf.DUMMYFUNCTION("""COMPUTED_VALUE"""),8.05)</f>
        <v>8.05</v>
      </c>
      <c r="H12480" s="17"/>
      <c r="K12480" s="17"/>
      <c r="N12480" s="17"/>
    </row>
    <row r="12481">
      <c r="B12481" s="11">
        <f>IFERROR(__xludf.DUMMYFUNCTION("""COMPUTED_VALUE"""),28552.0)</f>
        <v>28552</v>
      </c>
      <c r="C12481" s="9">
        <f>IFERROR(__xludf.DUMMYFUNCTION("""COMPUTED_VALUE"""),8.04)</f>
        <v>8.04</v>
      </c>
      <c r="H12481" s="17"/>
      <c r="K12481" s="17"/>
      <c r="N12481" s="17"/>
    </row>
    <row r="12482">
      <c r="B12482" s="11">
        <f>IFERROR(__xludf.DUMMYFUNCTION("""COMPUTED_VALUE"""),28551.0)</f>
        <v>28551</v>
      </c>
      <c r="C12482" s="9">
        <f>IFERROR(__xludf.DUMMYFUNCTION("""COMPUTED_VALUE"""),8.04)</f>
        <v>8.04</v>
      </c>
      <c r="H12482" s="17"/>
      <c r="K12482" s="17"/>
      <c r="N12482" s="17"/>
    </row>
    <row r="12483">
      <c r="B12483" s="11">
        <f>IFERROR(__xludf.DUMMYFUNCTION("""COMPUTED_VALUE"""),28550.0)</f>
        <v>28550</v>
      </c>
      <c r="C12483" s="9">
        <f>IFERROR(__xludf.DUMMYFUNCTION("""COMPUTED_VALUE"""),8.05)</f>
        <v>8.05</v>
      </c>
      <c r="H12483" s="17"/>
      <c r="K12483" s="17"/>
      <c r="N12483" s="17"/>
    </row>
    <row r="12484">
      <c r="B12484" s="11">
        <f>IFERROR(__xludf.DUMMYFUNCTION("""COMPUTED_VALUE"""),28549.0)</f>
        <v>28549</v>
      </c>
      <c r="C12484" s="9">
        <f>IFERROR(__xludf.DUMMYFUNCTION("""COMPUTED_VALUE"""),8.04)</f>
        <v>8.04</v>
      </c>
      <c r="H12484" s="17"/>
      <c r="K12484" s="17"/>
      <c r="N12484" s="17"/>
    </row>
    <row r="12485">
      <c r="B12485" s="11">
        <f>IFERROR(__xludf.DUMMYFUNCTION("""COMPUTED_VALUE"""),28548.0)</f>
        <v>28548</v>
      </c>
      <c r="C12485" s="9">
        <f>IFERROR(__xludf.DUMMYFUNCTION("""COMPUTED_VALUE"""),8.02)</f>
        <v>8.02</v>
      </c>
      <c r="H12485" s="17"/>
      <c r="K12485" s="17"/>
      <c r="N12485" s="17"/>
    </row>
    <row r="12486">
      <c r="B12486" s="11">
        <f>IFERROR(__xludf.DUMMYFUNCTION("""COMPUTED_VALUE"""),28545.0)</f>
        <v>28545</v>
      </c>
      <c r="C12486" s="9">
        <f>IFERROR(__xludf.DUMMYFUNCTION("""COMPUTED_VALUE"""),8.04)</f>
        <v>8.04</v>
      </c>
      <c r="H12486" s="17"/>
      <c r="K12486" s="17"/>
      <c r="N12486" s="17"/>
    </row>
    <row r="12487">
      <c r="B12487" s="11">
        <f>IFERROR(__xludf.DUMMYFUNCTION("""COMPUTED_VALUE"""),28544.0)</f>
        <v>28544</v>
      </c>
      <c r="C12487" s="9">
        <f>IFERROR(__xludf.DUMMYFUNCTION("""COMPUTED_VALUE"""),8.08)</f>
        <v>8.08</v>
      </c>
      <c r="H12487" s="17"/>
      <c r="K12487" s="17"/>
      <c r="N12487" s="17"/>
    </row>
    <row r="12488">
      <c r="B12488" s="11">
        <f>IFERROR(__xludf.DUMMYFUNCTION("""COMPUTED_VALUE"""),28543.0)</f>
        <v>28543</v>
      </c>
      <c r="C12488" s="9">
        <f>IFERROR(__xludf.DUMMYFUNCTION("""COMPUTED_VALUE"""),8.1)</f>
        <v>8.1</v>
      </c>
      <c r="H12488" s="17"/>
      <c r="K12488" s="17"/>
      <c r="N12488" s="17"/>
    </row>
    <row r="12489">
      <c r="B12489" s="11">
        <f>IFERROR(__xludf.DUMMYFUNCTION("""COMPUTED_VALUE"""),28542.0)</f>
        <v>28542</v>
      </c>
      <c r="C12489" s="9">
        <f>IFERROR(__xludf.DUMMYFUNCTION("""COMPUTED_VALUE"""),8.1)</f>
        <v>8.1</v>
      </c>
      <c r="H12489" s="17"/>
      <c r="K12489" s="17"/>
      <c r="N12489" s="17"/>
    </row>
    <row r="12490">
      <c r="B12490" s="11">
        <f>IFERROR(__xludf.DUMMYFUNCTION("""COMPUTED_VALUE"""),28541.0)</f>
        <v>28541</v>
      </c>
      <c r="C12490" s="9"/>
      <c r="H12490" s="17"/>
      <c r="K12490" s="17"/>
      <c r="N12490" s="17"/>
    </row>
    <row r="12491">
      <c r="B12491" s="11">
        <f>IFERROR(__xludf.DUMMYFUNCTION("""COMPUTED_VALUE"""),28538.0)</f>
        <v>28538</v>
      </c>
      <c r="C12491" s="9">
        <f>IFERROR(__xludf.DUMMYFUNCTION("""COMPUTED_VALUE"""),8.09)</f>
        <v>8.09</v>
      </c>
      <c r="H12491" s="17"/>
      <c r="K12491" s="17"/>
      <c r="N12491" s="17"/>
    </row>
    <row r="12492">
      <c r="B12492" s="11">
        <f>IFERROR(__xludf.DUMMYFUNCTION("""COMPUTED_VALUE"""),28537.0)</f>
        <v>28537</v>
      </c>
      <c r="C12492" s="9">
        <f>IFERROR(__xludf.DUMMYFUNCTION("""COMPUTED_VALUE"""),8.1)</f>
        <v>8.1</v>
      </c>
      <c r="H12492" s="17"/>
      <c r="K12492" s="17"/>
      <c r="N12492" s="17"/>
    </row>
    <row r="12493">
      <c r="B12493" s="11">
        <f>IFERROR(__xludf.DUMMYFUNCTION("""COMPUTED_VALUE"""),28536.0)</f>
        <v>28536</v>
      </c>
      <c r="C12493" s="9">
        <f>IFERROR(__xludf.DUMMYFUNCTION("""COMPUTED_VALUE"""),8.08)</f>
        <v>8.08</v>
      </c>
      <c r="H12493" s="17"/>
      <c r="K12493" s="17"/>
      <c r="N12493" s="17"/>
    </row>
    <row r="12494">
      <c r="B12494" s="11">
        <f>IFERROR(__xludf.DUMMYFUNCTION("""COMPUTED_VALUE"""),28535.0)</f>
        <v>28535</v>
      </c>
      <c r="C12494" s="9">
        <f>IFERROR(__xludf.DUMMYFUNCTION("""COMPUTED_VALUE"""),8.05)</f>
        <v>8.05</v>
      </c>
      <c r="H12494" s="17"/>
      <c r="K12494" s="17"/>
      <c r="N12494" s="17"/>
    </row>
    <row r="12495">
      <c r="B12495" s="11">
        <f>IFERROR(__xludf.DUMMYFUNCTION("""COMPUTED_VALUE"""),28534.0)</f>
        <v>28534</v>
      </c>
      <c r="C12495" s="9"/>
      <c r="H12495" s="17"/>
      <c r="K12495" s="17"/>
      <c r="N12495" s="17"/>
    </row>
    <row r="12496">
      <c r="B12496" s="11">
        <f>IFERROR(__xludf.DUMMYFUNCTION("""COMPUTED_VALUE"""),28531.0)</f>
        <v>28531</v>
      </c>
      <c r="C12496" s="9">
        <f>IFERROR(__xludf.DUMMYFUNCTION("""COMPUTED_VALUE"""),8.02)</f>
        <v>8.02</v>
      </c>
      <c r="H12496" s="17"/>
      <c r="K12496" s="17"/>
      <c r="N12496" s="17"/>
    </row>
    <row r="12497">
      <c r="B12497" s="11">
        <f>IFERROR(__xludf.DUMMYFUNCTION("""COMPUTED_VALUE"""),28530.0)</f>
        <v>28530</v>
      </c>
      <c r="C12497" s="9">
        <f>IFERROR(__xludf.DUMMYFUNCTION("""COMPUTED_VALUE"""),8.01)</f>
        <v>8.01</v>
      </c>
      <c r="H12497" s="17"/>
      <c r="K12497" s="17"/>
      <c r="N12497" s="17"/>
    </row>
    <row r="12498">
      <c r="B12498" s="11">
        <f>IFERROR(__xludf.DUMMYFUNCTION("""COMPUTED_VALUE"""),28529.0)</f>
        <v>28529</v>
      </c>
      <c r="C12498" s="9">
        <f>IFERROR(__xludf.DUMMYFUNCTION("""COMPUTED_VALUE"""),8.0)</f>
        <v>8</v>
      </c>
      <c r="H12498" s="17"/>
      <c r="K12498" s="17"/>
      <c r="N12498" s="17"/>
    </row>
    <row r="12499">
      <c r="B12499" s="11">
        <f>IFERROR(__xludf.DUMMYFUNCTION("""COMPUTED_VALUE"""),28528.0)</f>
        <v>28528</v>
      </c>
      <c r="C12499" s="9">
        <f>IFERROR(__xludf.DUMMYFUNCTION("""COMPUTED_VALUE"""),7.99)</f>
        <v>7.99</v>
      </c>
      <c r="H12499" s="17"/>
      <c r="K12499" s="17"/>
      <c r="N12499" s="17"/>
    </row>
    <row r="12500">
      <c r="B12500" s="11">
        <f>IFERROR(__xludf.DUMMYFUNCTION("""COMPUTED_VALUE"""),28527.0)</f>
        <v>28527</v>
      </c>
      <c r="C12500" s="9">
        <f>IFERROR(__xludf.DUMMYFUNCTION("""COMPUTED_VALUE"""),7.99)</f>
        <v>7.99</v>
      </c>
      <c r="H12500" s="17"/>
      <c r="K12500" s="17"/>
      <c r="N12500" s="17"/>
    </row>
    <row r="12501">
      <c r="B12501" s="11">
        <f>IFERROR(__xludf.DUMMYFUNCTION("""COMPUTED_VALUE"""),28524.0)</f>
        <v>28524</v>
      </c>
      <c r="C12501" s="9">
        <f>IFERROR(__xludf.DUMMYFUNCTION("""COMPUTED_VALUE"""),7.97)</f>
        <v>7.97</v>
      </c>
      <c r="H12501" s="17"/>
      <c r="K12501" s="17"/>
      <c r="N12501" s="17"/>
    </row>
    <row r="12502">
      <c r="B12502" s="11">
        <f>IFERROR(__xludf.DUMMYFUNCTION("""COMPUTED_VALUE"""),28523.0)</f>
        <v>28523</v>
      </c>
      <c r="C12502" s="9">
        <f>IFERROR(__xludf.DUMMYFUNCTION("""COMPUTED_VALUE"""),7.96)</f>
        <v>7.96</v>
      </c>
      <c r="H12502" s="17"/>
      <c r="K12502" s="17"/>
      <c r="N12502" s="17"/>
    </row>
    <row r="12503">
      <c r="B12503" s="11">
        <f>IFERROR(__xludf.DUMMYFUNCTION("""COMPUTED_VALUE"""),28522.0)</f>
        <v>28522</v>
      </c>
      <c r="C12503" s="9">
        <f>IFERROR(__xludf.DUMMYFUNCTION("""COMPUTED_VALUE"""),7.96)</f>
        <v>7.96</v>
      </c>
      <c r="H12503" s="17"/>
      <c r="K12503" s="17"/>
      <c r="N12503" s="17"/>
    </row>
    <row r="12504">
      <c r="B12504" s="11">
        <f>IFERROR(__xludf.DUMMYFUNCTION("""COMPUTED_VALUE"""),28521.0)</f>
        <v>28521</v>
      </c>
      <c r="C12504" s="9">
        <f>IFERROR(__xludf.DUMMYFUNCTION("""COMPUTED_VALUE"""),7.94)</f>
        <v>7.94</v>
      </c>
      <c r="H12504" s="17"/>
      <c r="K12504" s="17"/>
      <c r="N12504" s="17"/>
    </row>
    <row r="12505">
      <c r="B12505" s="11">
        <f>IFERROR(__xludf.DUMMYFUNCTION("""COMPUTED_VALUE"""),28520.0)</f>
        <v>28520</v>
      </c>
      <c r="C12505" s="9">
        <f>IFERROR(__xludf.DUMMYFUNCTION("""COMPUTED_VALUE"""),7.96)</f>
        <v>7.96</v>
      </c>
      <c r="H12505" s="17"/>
      <c r="K12505" s="17"/>
      <c r="N12505" s="17"/>
    </row>
    <row r="12506">
      <c r="B12506" s="11">
        <f>IFERROR(__xludf.DUMMYFUNCTION("""COMPUTED_VALUE"""),28517.0)</f>
        <v>28517</v>
      </c>
      <c r="C12506" s="9">
        <f>IFERROR(__xludf.DUMMYFUNCTION("""COMPUTED_VALUE"""),7.97)</f>
        <v>7.97</v>
      </c>
      <c r="H12506" s="17"/>
      <c r="K12506" s="17"/>
      <c r="N12506" s="17"/>
    </row>
    <row r="12507">
      <c r="B12507" s="11">
        <f>IFERROR(__xludf.DUMMYFUNCTION("""COMPUTED_VALUE"""),28516.0)</f>
        <v>28516</v>
      </c>
      <c r="C12507" s="9">
        <f>IFERROR(__xludf.DUMMYFUNCTION("""COMPUTED_VALUE"""),7.98)</f>
        <v>7.98</v>
      </c>
      <c r="H12507" s="17"/>
      <c r="K12507" s="17"/>
      <c r="N12507" s="17"/>
    </row>
    <row r="12508">
      <c r="B12508" s="11">
        <f>IFERROR(__xludf.DUMMYFUNCTION("""COMPUTED_VALUE"""),28515.0)</f>
        <v>28515</v>
      </c>
      <c r="C12508" s="9">
        <f>IFERROR(__xludf.DUMMYFUNCTION("""COMPUTED_VALUE"""),8.0)</f>
        <v>8</v>
      </c>
      <c r="H12508" s="17"/>
      <c r="K12508" s="17"/>
      <c r="N12508" s="17"/>
    </row>
    <row r="12509">
      <c r="B12509" s="11">
        <f>IFERROR(__xludf.DUMMYFUNCTION("""COMPUTED_VALUE"""),28514.0)</f>
        <v>28514</v>
      </c>
      <c r="C12509" s="9">
        <f>IFERROR(__xludf.DUMMYFUNCTION("""COMPUTED_VALUE"""),7.99)</f>
        <v>7.99</v>
      </c>
      <c r="H12509" s="17"/>
      <c r="K12509" s="17"/>
      <c r="N12509" s="17"/>
    </row>
    <row r="12510">
      <c r="B12510" s="11">
        <f>IFERROR(__xludf.DUMMYFUNCTION("""COMPUTED_VALUE"""),28513.0)</f>
        <v>28513</v>
      </c>
      <c r="C12510" s="9">
        <f>IFERROR(__xludf.DUMMYFUNCTION("""COMPUTED_VALUE"""),7.97)</f>
        <v>7.97</v>
      </c>
      <c r="H12510" s="17"/>
      <c r="K12510" s="17"/>
      <c r="N12510" s="17"/>
    </row>
    <row r="12511">
      <c r="B12511" s="11">
        <f>IFERROR(__xludf.DUMMYFUNCTION("""COMPUTED_VALUE"""),28510.0)</f>
        <v>28510</v>
      </c>
      <c r="C12511" s="9">
        <f>IFERROR(__xludf.DUMMYFUNCTION("""COMPUTED_VALUE"""),7.97)</f>
        <v>7.97</v>
      </c>
      <c r="H12511" s="17"/>
      <c r="K12511" s="17"/>
      <c r="N12511" s="17"/>
    </row>
    <row r="12512">
      <c r="B12512" s="11">
        <f>IFERROR(__xludf.DUMMYFUNCTION("""COMPUTED_VALUE"""),28509.0)</f>
        <v>28509</v>
      </c>
      <c r="C12512" s="9">
        <f>IFERROR(__xludf.DUMMYFUNCTION("""COMPUTED_VALUE"""),7.97)</f>
        <v>7.97</v>
      </c>
      <c r="H12512" s="17"/>
      <c r="K12512" s="17"/>
      <c r="N12512" s="17"/>
    </row>
    <row r="12513">
      <c r="B12513" s="11">
        <f>IFERROR(__xludf.DUMMYFUNCTION("""COMPUTED_VALUE"""),28508.0)</f>
        <v>28508</v>
      </c>
      <c r="C12513" s="9">
        <f>IFERROR(__xludf.DUMMYFUNCTION("""COMPUTED_VALUE"""),7.98)</f>
        <v>7.98</v>
      </c>
      <c r="H12513" s="17"/>
      <c r="K12513" s="17"/>
      <c r="N12513" s="17"/>
    </row>
    <row r="12514">
      <c r="B12514" s="11">
        <f>IFERROR(__xludf.DUMMYFUNCTION("""COMPUTED_VALUE"""),28507.0)</f>
        <v>28507</v>
      </c>
      <c r="C12514" s="9">
        <f>IFERROR(__xludf.DUMMYFUNCTION("""COMPUTED_VALUE"""),7.98)</f>
        <v>7.98</v>
      </c>
      <c r="H12514" s="17"/>
      <c r="K12514" s="17"/>
      <c r="N12514" s="17"/>
    </row>
    <row r="12515">
      <c r="B12515" s="11">
        <f>IFERROR(__xludf.DUMMYFUNCTION("""COMPUTED_VALUE"""),28506.0)</f>
        <v>28506</v>
      </c>
      <c r="C12515" s="9">
        <f>IFERROR(__xludf.DUMMYFUNCTION("""COMPUTED_VALUE"""),7.98)</f>
        <v>7.98</v>
      </c>
      <c r="H12515" s="17"/>
      <c r="K12515" s="17"/>
      <c r="N12515" s="17"/>
    </row>
    <row r="12516">
      <c r="B12516" s="11">
        <f>IFERROR(__xludf.DUMMYFUNCTION("""COMPUTED_VALUE"""),28503.0)</f>
        <v>28503</v>
      </c>
      <c r="C12516" s="9">
        <f>IFERROR(__xludf.DUMMYFUNCTION("""COMPUTED_VALUE"""),7.98)</f>
        <v>7.98</v>
      </c>
      <c r="H12516" s="17"/>
      <c r="K12516" s="17"/>
      <c r="N12516" s="17"/>
    </row>
    <row r="12517">
      <c r="B12517" s="11">
        <f>IFERROR(__xludf.DUMMYFUNCTION("""COMPUTED_VALUE"""),28502.0)</f>
        <v>28502</v>
      </c>
      <c r="C12517" s="9">
        <f>IFERROR(__xludf.DUMMYFUNCTION("""COMPUTED_VALUE"""),8.02)</f>
        <v>8.02</v>
      </c>
      <c r="H12517" s="17"/>
      <c r="K12517" s="17"/>
      <c r="N12517" s="17"/>
    </row>
    <row r="12518">
      <c r="B12518" s="11">
        <f>IFERROR(__xludf.DUMMYFUNCTION("""COMPUTED_VALUE"""),28501.0)</f>
        <v>28501</v>
      </c>
      <c r="C12518" s="9">
        <f>IFERROR(__xludf.DUMMYFUNCTION("""COMPUTED_VALUE"""),8.03)</f>
        <v>8.03</v>
      </c>
      <c r="H12518" s="17"/>
      <c r="K12518" s="17"/>
      <c r="N12518" s="17"/>
    </row>
    <row r="12519">
      <c r="B12519" s="11">
        <f>IFERROR(__xludf.DUMMYFUNCTION("""COMPUTED_VALUE"""),28500.0)</f>
        <v>28500</v>
      </c>
      <c r="C12519" s="9">
        <f>IFERROR(__xludf.DUMMYFUNCTION("""COMPUTED_VALUE"""),8.02)</f>
        <v>8.02</v>
      </c>
      <c r="H12519" s="17"/>
      <c r="K12519" s="17"/>
      <c r="N12519" s="17"/>
    </row>
    <row r="12520">
      <c r="B12520" s="11">
        <f>IFERROR(__xludf.DUMMYFUNCTION("""COMPUTED_VALUE"""),28499.0)</f>
        <v>28499</v>
      </c>
      <c r="C12520" s="9">
        <f>IFERROR(__xludf.DUMMYFUNCTION("""COMPUTED_VALUE"""),8.01)</f>
        <v>8.01</v>
      </c>
      <c r="H12520" s="17"/>
      <c r="K12520" s="17"/>
      <c r="N12520" s="17"/>
    </row>
    <row r="12521">
      <c r="B12521" s="11">
        <f>IFERROR(__xludf.DUMMYFUNCTION("""COMPUTED_VALUE"""),28496.0)</f>
        <v>28496</v>
      </c>
      <c r="C12521" s="9">
        <f>IFERROR(__xludf.DUMMYFUNCTION("""COMPUTED_VALUE"""),7.85)</f>
        <v>7.85</v>
      </c>
      <c r="H12521" s="17"/>
      <c r="K12521" s="17"/>
      <c r="N12521" s="17"/>
    </row>
    <row r="12522">
      <c r="B12522" s="11">
        <f>IFERROR(__xludf.DUMMYFUNCTION("""COMPUTED_VALUE"""),28495.0)</f>
        <v>28495</v>
      </c>
      <c r="C12522" s="9">
        <f>IFERROR(__xludf.DUMMYFUNCTION("""COMPUTED_VALUE"""),7.83)</f>
        <v>7.83</v>
      </c>
      <c r="H12522" s="17"/>
      <c r="K12522" s="17"/>
      <c r="N12522" s="17"/>
    </row>
    <row r="12523">
      <c r="B12523" s="11">
        <f>IFERROR(__xludf.DUMMYFUNCTION("""COMPUTED_VALUE"""),28494.0)</f>
        <v>28494</v>
      </c>
      <c r="C12523" s="9">
        <f>IFERROR(__xludf.DUMMYFUNCTION("""COMPUTED_VALUE"""),7.82)</f>
        <v>7.82</v>
      </c>
      <c r="H12523" s="17"/>
      <c r="K12523" s="17"/>
      <c r="N12523" s="17"/>
    </row>
    <row r="12524">
      <c r="B12524" s="11">
        <f>IFERROR(__xludf.DUMMYFUNCTION("""COMPUTED_VALUE"""),28493.0)</f>
        <v>28493</v>
      </c>
      <c r="C12524" s="9">
        <f>IFERROR(__xludf.DUMMYFUNCTION("""COMPUTED_VALUE"""),7.83)</f>
        <v>7.83</v>
      </c>
      <c r="H12524" s="17"/>
      <c r="K12524" s="17"/>
      <c r="N12524" s="17"/>
    </row>
    <row r="12525">
      <c r="B12525" s="11">
        <f>IFERROR(__xludf.DUMMYFUNCTION("""COMPUTED_VALUE"""),28492.0)</f>
        <v>28492</v>
      </c>
      <c r="C12525" s="9"/>
      <c r="H12525" s="17"/>
      <c r="K12525" s="17"/>
      <c r="N12525" s="17"/>
    </row>
    <row r="12526">
      <c r="B12526" s="11">
        <f>IFERROR(__xludf.DUMMYFUNCTION("""COMPUTED_VALUE"""),28489.0)</f>
        <v>28489</v>
      </c>
      <c r="C12526" s="9">
        <f>IFERROR(__xludf.DUMMYFUNCTION("""COMPUTED_VALUE"""),7.78)</f>
        <v>7.78</v>
      </c>
      <c r="H12526" s="17"/>
      <c r="K12526" s="17"/>
      <c r="N12526" s="17"/>
    </row>
    <row r="12527">
      <c r="B12527" s="11">
        <f>IFERROR(__xludf.DUMMYFUNCTION("""COMPUTED_VALUE"""),28488.0)</f>
        <v>28488</v>
      </c>
      <c r="C12527" s="9">
        <f>IFERROR(__xludf.DUMMYFUNCTION("""COMPUTED_VALUE"""),7.82)</f>
        <v>7.82</v>
      </c>
      <c r="H12527" s="17"/>
      <c r="K12527" s="17"/>
      <c r="N12527" s="17"/>
    </row>
    <row r="12528">
      <c r="B12528" s="11">
        <f>IFERROR(__xludf.DUMMYFUNCTION("""COMPUTED_VALUE"""),28487.0)</f>
        <v>28487</v>
      </c>
      <c r="C12528" s="9">
        <f>IFERROR(__xludf.DUMMYFUNCTION("""COMPUTED_VALUE"""),7.78)</f>
        <v>7.78</v>
      </c>
      <c r="H12528" s="17"/>
      <c r="K12528" s="17"/>
      <c r="N12528" s="17"/>
    </row>
    <row r="12529">
      <c r="B12529" s="11">
        <f>IFERROR(__xludf.DUMMYFUNCTION("""COMPUTED_VALUE"""),28486.0)</f>
        <v>28486</v>
      </c>
      <c r="C12529" s="9">
        <f>IFERROR(__xludf.DUMMYFUNCTION("""COMPUTED_VALUE"""),7.77)</f>
        <v>7.77</v>
      </c>
      <c r="H12529" s="17"/>
      <c r="K12529" s="17"/>
      <c r="N12529" s="17"/>
    </row>
    <row r="12530">
      <c r="B12530" s="11">
        <f>IFERROR(__xludf.DUMMYFUNCTION("""COMPUTED_VALUE"""),28485.0)</f>
        <v>28485</v>
      </c>
      <c r="C12530" s="9"/>
      <c r="H12530" s="17"/>
      <c r="K12530" s="17"/>
      <c r="N12530" s="17"/>
    </row>
    <row r="12531">
      <c r="B12531" s="11">
        <f>IFERROR(__xludf.DUMMYFUNCTION("""COMPUTED_VALUE"""),28482.0)</f>
        <v>28482</v>
      </c>
      <c r="C12531" s="9">
        <f>IFERROR(__xludf.DUMMYFUNCTION("""COMPUTED_VALUE"""),7.75)</f>
        <v>7.75</v>
      </c>
      <c r="H12531" s="17"/>
      <c r="K12531" s="17"/>
      <c r="N12531" s="17"/>
    </row>
    <row r="12532">
      <c r="B12532" s="11">
        <f>IFERROR(__xludf.DUMMYFUNCTION("""COMPUTED_VALUE"""),28481.0)</f>
        <v>28481</v>
      </c>
      <c r="C12532" s="9">
        <f>IFERROR(__xludf.DUMMYFUNCTION("""COMPUTED_VALUE"""),7.75)</f>
        <v>7.75</v>
      </c>
      <c r="H12532" s="17"/>
      <c r="K12532" s="17"/>
      <c r="N12532" s="17"/>
    </row>
    <row r="12533">
      <c r="B12533" s="11">
        <f>IFERROR(__xludf.DUMMYFUNCTION("""COMPUTED_VALUE"""),28480.0)</f>
        <v>28480</v>
      </c>
      <c r="C12533" s="9">
        <f>IFERROR(__xludf.DUMMYFUNCTION("""COMPUTED_VALUE"""),7.72)</f>
        <v>7.72</v>
      </c>
      <c r="H12533" s="17"/>
      <c r="K12533" s="17"/>
      <c r="N12533" s="17"/>
    </row>
    <row r="12534">
      <c r="B12534" s="11">
        <f>IFERROR(__xludf.DUMMYFUNCTION("""COMPUTED_VALUE"""),28479.0)</f>
        <v>28479</v>
      </c>
      <c r="C12534" s="9">
        <f>IFERROR(__xludf.DUMMYFUNCTION("""COMPUTED_VALUE"""),7.74)</f>
        <v>7.74</v>
      </c>
      <c r="H12534" s="17"/>
      <c r="K12534" s="17"/>
      <c r="N12534" s="17"/>
    </row>
    <row r="12535">
      <c r="B12535" s="11">
        <f>IFERROR(__xludf.DUMMYFUNCTION("""COMPUTED_VALUE"""),28478.0)</f>
        <v>28478</v>
      </c>
      <c r="C12535" s="9">
        <f>IFERROR(__xludf.DUMMYFUNCTION("""COMPUTED_VALUE"""),7.69)</f>
        <v>7.69</v>
      </c>
      <c r="H12535" s="17"/>
      <c r="K12535" s="17"/>
      <c r="N12535" s="17"/>
    </row>
    <row r="12536">
      <c r="B12536" s="11">
        <f>IFERROR(__xludf.DUMMYFUNCTION("""COMPUTED_VALUE"""),28475.0)</f>
        <v>28475</v>
      </c>
      <c r="C12536" s="9">
        <f>IFERROR(__xludf.DUMMYFUNCTION("""COMPUTED_VALUE"""),7.67)</f>
        <v>7.67</v>
      </c>
      <c r="H12536" s="17"/>
      <c r="K12536" s="17"/>
      <c r="N12536" s="17"/>
    </row>
    <row r="12537">
      <c r="B12537" s="11">
        <f>IFERROR(__xludf.DUMMYFUNCTION("""COMPUTED_VALUE"""),28474.0)</f>
        <v>28474</v>
      </c>
      <c r="C12537" s="9">
        <f>IFERROR(__xludf.DUMMYFUNCTION("""COMPUTED_VALUE"""),7.67)</f>
        <v>7.67</v>
      </c>
      <c r="H12537" s="17"/>
      <c r="K12537" s="17"/>
      <c r="N12537" s="17"/>
    </row>
    <row r="12538">
      <c r="B12538" s="11">
        <f>IFERROR(__xludf.DUMMYFUNCTION("""COMPUTED_VALUE"""),28473.0)</f>
        <v>28473</v>
      </c>
      <c r="C12538" s="9">
        <f>IFERROR(__xludf.DUMMYFUNCTION("""COMPUTED_VALUE"""),7.66)</f>
        <v>7.66</v>
      </c>
      <c r="H12538" s="17"/>
      <c r="K12538" s="17"/>
      <c r="N12538" s="17"/>
    </row>
    <row r="12539">
      <c r="B12539" s="11">
        <f>IFERROR(__xludf.DUMMYFUNCTION("""COMPUTED_VALUE"""),28472.0)</f>
        <v>28472</v>
      </c>
      <c r="C12539" s="9">
        <f>IFERROR(__xludf.DUMMYFUNCTION("""COMPUTED_VALUE"""),7.65)</f>
        <v>7.65</v>
      </c>
      <c r="H12539" s="17"/>
      <c r="K12539" s="17"/>
      <c r="N12539" s="17"/>
    </row>
    <row r="12540">
      <c r="B12540" s="11">
        <f>IFERROR(__xludf.DUMMYFUNCTION("""COMPUTED_VALUE"""),28471.0)</f>
        <v>28471</v>
      </c>
      <c r="C12540" s="9">
        <f>IFERROR(__xludf.DUMMYFUNCTION("""COMPUTED_VALUE"""),7.64)</f>
        <v>7.64</v>
      </c>
      <c r="H12540" s="17"/>
      <c r="K12540" s="17"/>
      <c r="N12540" s="17"/>
    </row>
    <row r="12541">
      <c r="B12541" s="11">
        <f>IFERROR(__xludf.DUMMYFUNCTION("""COMPUTED_VALUE"""),28468.0)</f>
        <v>28468</v>
      </c>
      <c r="C12541" s="9">
        <f>IFERROR(__xludf.DUMMYFUNCTION("""COMPUTED_VALUE"""),7.63)</f>
        <v>7.63</v>
      </c>
      <c r="H12541" s="17"/>
      <c r="K12541" s="17"/>
      <c r="N12541" s="17"/>
    </row>
    <row r="12542">
      <c r="B12542" s="11">
        <f>IFERROR(__xludf.DUMMYFUNCTION("""COMPUTED_VALUE"""),28467.0)</f>
        <v>28467</v>
      </c>
      <c r="C12542" s="9">
        <f>IFERROR(__xludf.DUMMYFUNCTION("""COMPUTED_VALUE"""),7.64)</f>
        <v>7.64</v>
      </c>
      <c r="H12542" s="17"/>
      <c r="K12542" s="17"/>
      <c r="N12542" s="17"/>
    </row>
    <row r="12543">
      <c r="B12543" s="11">
        <f>IFERROR(__xludf.DUMMYFUNCTION("""COMPUTED_VALUE"""),28466.0)</f>
        <v>28466</v>
      </c>
      <c r="C12543" s="9">
        <f>IFERROR(__xludf.DUMMYFUNCTION("""COMPUTED_VALUE"""),7.63)</f>
        <v>7.63</v>
      </c>
      <c r="H12543" s="17"/>
      <c r="K12543" s="17"/>
      <c r="N12543" s="17"/>
    </row>
    <row r="12544">
      <c r="B12544" s="11">
        <f>IFERROR(__xludf.DUMMYFUNCTION("""COMPUTED_VALUE"""),28465.0)</f>
        <v>28465</v>
      </c>
      <c r="C12544" s="9">
        <f>IFERROR(__xludf.DUMMYFUNCTION("""COMPUTED_VALUE"""),7.63)</f>
        <v>7.63</v>
      </c>
      <c r="H12544" s="17"/>
      <c r="K12544" s="17"/>
      <c r="N12544" s="17"/>
    </row>
    <row r="12545">
      <c r="B12545" s="11">
        <f>IFERROR(__xludf.DUMMYFUNCTION("""COMPUTED_VALUE"""),28464.0)</f>
        <v>28464</v>
      </c>
      <c r="C12545" s="9">
        <f>IFERROR(__xludf.DUMMYFUNCTION("""COMPUTED_VALUE"""),7.6)</f>
        <v>7.6</v>
      </c>
      <c r="H12545" s="17"/>
      <c r="K12545" s="17"/>
      <c r="N12545" s="17"/>
    </row>
    <row r="12546">
      <c r="B12546" s="11">
        <f>IFERROR(__xludf.DUMMYFUNCTION("""COMPUTED_VALUE"""),28461.0)</f>
        <v>28461</v>
      </c>
      <c r="C12546" s="9">
        <f>IFERROR(__xludf.DUMMYFUNCTION("""COMPUTED_VALUE"""),7.59)</f>
        <v>7.59</v>
      </c>
      <c r="H12546" s="17"/>
      <c r="K12546" s="17"/>
      <c r="N12546" s="17"/>
    </row>
    <row r="12547">
      <c r="B12547" s="11">
        <f>IFERROR(__xludf.DUMMYFUNCTION("""COMPUTED_VALUE"""),28460.0)</f>
        <v>28460</v>
      </c>
      <c r="C12547" s="9">
        <f>IFERROR(__xludf.DUMMYFUNCTION("""COMPUTED_VALUE"""),7.58)</f>
        <v>7.58</v>
      </c>
      <c r="H12547" s="17"/>
      <c r="K12547" s="17"/>
      <c r="N12547" s="17"/>
    </row>
    <row r="12548">
      <c r="B12548" s="11">
        <f>IFERROR(__xludf.DUMMYFUNCTION("""COMPUTED_VALUE"""),28459.0)</f>
        <v>28459</v>
      </c>
      <c r="C12548" s="9">
        <f>IFERROR(__xludf.DUMMYFUNCTION("""COMPUTED_VALUE"""),7.55)</f>
        <v>7.55</v>
      </c>
      <c r="H12548" s="17"/>
      <c r="K12548" s="17"/>
      <c r="N12548" s="17"/>
    </row>
    <row r="12549">
      <c r="B12549" s="11">
        <f>IFERROR(__xludf.DUMMYFUNCTION("""COMPUTED_VALUE"""),28458.0)</f>
        <v>28458</v>
      </c>
      <c r="C12549" s="9">
        <f>IFERROR(__xludf.DUMMYFUNCTION("""COMPUTED_VALUE"""),7.55)</f>
        <v>7.55</v>
      </c>
      <c r="H12549" s="17"/>
      <c r="K12549" s="17"/>
      <c r="N12549" s="17"/>
    </row>
    <row r="12550">
      <c r="B12550" s="11">
        <f>IFERROR(__xludf.DUMMYFUNCTION("""COMPUTED_VALUE"""),28457.0)</f>
        <v>28457</v>
      </c>
      <c r="C12550" s="9">
        <f>IFERROR(__xludf.DUMMYFUNCTION("""COMPUTED_VALUE"""),7.53)</f>
        <v>7.53</v>
      </c>
      <c r="H12550" s="17"/>
      <c r="K12550" s="17"/>
      <c r="N12550" s="17"/>
    </row>
    <row r="12551">
      <c r="B12551" s="11">
        <f>IFERROR(__xludf.DUMMYFUNCTION("""COMPUTED_VALUE"""),28454.0)</f>
        <v>28454</v>
      </c>
      <c r="C12551" s="9">
        <f>IFERROR(__xludf.DUMMYFUNCTION("""COMPUTED_VALUE"""),7.52)</f>
        <v>7.52</v>
      </c>
      <c r="H12551" s="17"/>
      <c r="K12551" s="17"/>
      <c r="N12551" s="17"/>
    </row>
    <row r="12552">
      <c r="B12552" s="11">
        <f>IFERROR(__xludf.DUMMYFUNCTION("""COMPUTED_VALUE"""),28453.0)</f>
        <v>28453</v>
      </c>
      <c r="C12552" s="9"/>
      <c r="H12552" s="17"/>
      <c r="K12552" s="17"/>
      <c r="N12552" s="17"/>
    </row>
    <row r="12553">
      <c r="B12553" s="11">
        <f>IFERROR(__xludf.DUMMYFUNCTION("""COMPUTED_VALUE"""),28452.0)</f>
        <v>28452</v>
      </c>
      <c r="C12553" s="9">
        <f>IFERROR(__xludf.DUMMYFUNCTION("""COMPUTED_VALUE"""),7.52)</f>
        <v>7.52</v>
      </c>
      <c r="H12553" s="17"/>
      <c r="K12553" s="17"/>
      <c r="N12553" s="17"/>
    </row>
    <row r="12554">
      <c r="B12554" s="11">
        <f>IFERROR(__xludf.DUMMYFUNCTION("""COMPUTED_VALUE"""),28451.0)</f>
        <v>28451</v>
      </c>
      <c r="C12554" s="9">
        <f>IFERROR(__xludf.DUMMYFUNCTION("""COMPUTED_VALUE"""),7.54)</f>
        <v>7.54</v>
      </c>
      <c r="H12554" s="17"/>
      <c r="K12554" s="17"/>
      <c r="N12554" s="17"/>
    </row>
    <row r="12555">
      <c r="B12555" s="11">
        <f>IFERROR(__xludf.DUMMYFUNCTION("""COMPUTED_VALUE"""),28450.0)</f>
        <v>28450</v>
      </c>
      <c r="C12555" s="9">
        <f>IFERROR(__xludf.DUMMYFUNCTION("""COMPUTED_VALUE"""),7.56)</f>
        <v>7.56</v>
      </c>
      <c r="H12555" s="17"/>
      <c r="K12555" s="17"/>
      <c r="N12555" s="17"/>
    </row>
    <row r="12556">
      <c r="B12556" s="11">
        <f>IFERROR(__xludf.DUMMYFUNCTION("""COMPUTED_VALUE"""),28447.0)</f>
        <v>28447</v>
      </c>
      <c r="C12556" s="9">
        <f>IFERROR(__xludf.DUMMYFUNCTION("""COMPUTED_VALUE"""),7.54)</f>
        <v>7.54</v>
      </c>
      <c r="H12556" s="17"/>
      <c r="K12556" s="17"/>
      <c r="N12556" s="17"/>
    </row>
    <row r="12557">
      <c r="B12557" s="11">
        <f>IFERROR(__xludf.DUMMYFUNCTION("""COMPUTED_VALUE"""),28446.0)</f>
        <v>28446</v>
      </c>
      <c r="C12557" s="9">
        <f>IFERROR(__xludf.DUMMYFUNCTION("""COMPUTED_VALUE"""),7.54)</f>
        <v>7.54</v>
      </c>
      <c r="H12557" s="17"/>
      <c r="K12557" s="17"/>
      <c r="N12557" s="17"/>
    </row>
    <row r="12558">
      <c r="B12558" s="11">
        <f>IFERROR(__xludf.DUMMYFUNCTION("""COMPUTED_VALUE"""),28445.0)</f>
        <v>28445</v>
      </c>
      <c r="C12558" s="9">
        <f>IFERROR(__xludf.DUMMYFUNCTION("""COMPUTED_VALUE"""),7.55)</f>
        <v>7.55</v>
      </c>
      <c r="H12558" s="17"/>
      <c r="K12558" s="17"/>
      <c r="N12558" s="17"/>
    </row>
    <row r="12559">
      <c r="B12559" s="11">
        <f>IFERROR(__xludf.DUMMYFUNCTION("""COMPUTED_VALUE"""),28444.0)</f>
        <v>28444</v>
      </c>
      <c r="C12559" s="9">
        <f>IFERROR(__xludf.DUMMYFUNCTION("""COMPUTED_VALUE"""),7.56)</f>
        <v>7.56</v>
      </c>
      <c r="H12559" s="17"/>
      <c r="K12559" s="17"/>
      <c r="N12559" s="17"/>
    </row>
    <row r="12560">
      <c r="B12560" s="11">
        <f>IFERROR(__xludf.DUMMYFUNCTION("""COMPUTED_VALUE"""),28443.0)</f>
        <v>28443</v>
      </c>
      <c r="C12560" s="9">
        <f>IFERROR(__xludf.DUMMYFUNCTION("""COMPUTED_VALUE"""),7.56)</f>
        <v>7.56</v>
      </c>
      <c r="H12560" s="17"/>
      <c r="K12560" s="17"/>
      <c r="N12560" s="17"/>
    </row>
    <row r="12561">
      <c r="B12561" s="11">
        <f>IFERROR(__xludf.DUMMYFUNCTION("""COMPUTED_VALUE"""),28440.0)</f>
        <v>28440</v>
      </c>
      <c r="C12561" s="9"/>
      <c r="H12561" s="17"/>
      <c r="K12561" s="17"/>
      <c r="N12561" s="17"/>
    </row>
    <row r="12562">
      <c r="B12562" s="11">
        <f>IFERROR(__xludf.DUMMYFUNCTION("""COMPUTED_VALUE"""),28439.0)</f>
        <v>28439</v>
      </c>
      <c r="C12562" s="9">
        <f>IFERROR(__xludf.DUMMYFUNCTION("""COMPUTED_VALUE"""),7.59)</f>
        <v>7.59</v>
      </c>
      <c r="H12562" s="17"/>
      <c r="K12562" s="17"/>
      <c r="N12562" s="17"/>
    </row>
    <row r="12563">
      <c r="B12563" s="11">
        <f>IFERROR(__xludf.DUMMYFUNCTION("""COMPUTED_VALUE"""),28438.0)</f>
        <v>28438</v>
      </c>
      <c r="C12563" s="9">
        <f>IFERROR(__xludf.DUMMYFUNCTION("""COMPUTED_VALUE"""),7.6)</f>
        <v>7.6</v>
      </c>
      <c r="H12563" s="17"/>
      <c r="K12563" s="17"/>
      <c r="N12563" s="17"/>
    </row>
    <row r="12564">
      <c r="B12564" s="11">
        <f>IFERROR(__xludf.DUMMYFUNCTION("""COMPUTED_VALUE"""),28437.0)</f>
        <v>28437</v>
      </c>
      <c r="C12564" s="9"/>
      <c r="H12564" s="17"/>
      <c r="K12564" s="17"/>
      <c r="N12564" s="17"/>
    </row>
    <row r="12565">
      <c r="B12565" s="11">
        <f>IFERROR(__xludf.DUMMYFUNCTION("""COMPUTED_VALUE"""),28436.0)</f>
        <v>28436</v>
      </c>
      <c r="C12565" s="9">
        <f>IFERROR(__xludf.DUMMYFUNCTION("""COMPUTED_VALUE"""),7.62)</f>
        <v>7.62</v>
      </c>
      <c r="H12565" s="17"/>
      <c r="K12565" s="17"/>
      <c r="N12565" s="17"/>
    </row>
    <row r="12566">
      <c r="B12566" s="11">
        <f>IFERROR(__xludf.DUMMYFUNCTION("""COMPUTED_VALUE"""),28433.0)</f>
        <v>28433</v>
      </c>
      <c r="C12566" s="9">
        <f>IFERROR(__xludf.DUMMYFUNCTION("""COMPUTED_VALUE"""),7.64)</f>
        <v>7.64</v>
      </c>
      <c r="H12566" s="17"/>
      <c r="K12566" s="17"/>
      <c r="N12566" s="17"/>
    </row>
    <row r="12567">
      <c r="B12567" s="11">
        <f>IFERROR(__xludf.DUMMYFUNCTION("""COMPUTED_VALUE"""),28432.0)</f>
        <v>28432</v>
      </c>
      <c r="C12567" s="9">
        <f>IFERROR(__xludf.DUMMYFUNCTION("""COMPUTED_VALUE"""),7.68)</f>
        <v>7.68</v>
      </c>
      <c r="H12567" s="17"/>
      <c r="K12567" s="17"/>
      <c r="N12567" s="17"/>
    </row>
    <row r="12568">
      <c r="B12568" s="11">
        <f>IFERROR(__xludf.DUMMYFUNCTION("""COMPUTED_VALUE"""),28431.0)</f>
        <v>28431</v>
      </c>
      <c r="C12568" s="9">
        <f>IFERROR(__xludf.DUMMYFUNCTION("""COMPUTED_VALUE"""),7.69)</f>
        <v>7.69</v>
      </c>
      <c r="H12568" s="17"/>
      <c r="K12568" s="17"/>
      <c r="N12568" s="17"/>
    </row>
    <row r="12569">
      <c r="B12569" s="11">
        <f>IFERROR(__xludf.DUMMYFUNCTION("""COMPUTED_VALUE"""),28430.0)</f>
        <v>28430</v>
      </c>
      <c r="C12569" s="9">
        <f>IFERROR(__xludf.DUMMYFUNCTION("""COMPUTED_VALUE"""),7.63)</f>
        <v>7.63</v>
      </c>
      <c r="H12569" s="17"/>
      <c r="K12569" s="17"/>
      <c r="N12569" s="17"/>
    </row>
    <row r="12570">
      <c r="B12570" s="11">
        <f>IFERROR(__xludf.DUMMYFUNCTION("""COMPUTED_VALUE"""),28429.0)</f>
        <v>28429</v>
      </c>
      <c r="C12570" s="9">
        <f>IFERROR(__xludf.DUMMYFUNCTION("""COMPUTED_VALUE"""),7.62)</f>
        <v>7.62</v>
      </c>
      <c r="H12570" s="17"/>
      <c r="K12570" s="17"/>
      <c r="N12570" s="17"/>
    </row>
    <row r="12571">
      <c r="B12571" s="11">
        <f>IFERROR(__xludf.DUMMYFUNCTION("""COMPUTED_VALUE"""),28426.0)</f>
        <v>28426</v>
      </c>
      <c r="C12571" s="9">
        <f>IFERROR(__xludf.DUMMYFUNCTION("""COMPUTED_VALUE"""),7.56)</f>
        <v>7.56</v>
      </c>
      <c r="H12571" s="17"/>
      <c r="K12571" s="17"/>
      <c r="N12571" s="17"/>
    </row>
    <row r="12572">
      <c r="B12572" s="11">
        <f>IFERROR(__xludf.DUMMYFUNCTION("""COMPUTED_VALUE"""),28425.0)</f>
        <v>28425</v>
      </c>
      <c r="C12572" s="9">
        <f>IFERROR(__xludf.DUMMYFUNCTION("""COMPUTED_VALUE"""),7.56)</f>
        <v>7.56</v>
      </c>
      <c r="H12572" s="17"/>
      <c r="K12572" s="17"/>
      <c r="N12572" s="17"/>
    </row>
    <row r="12573">
      <c r="B12573" s="11">
        <f>IFERROR(__xludf.DUMMYFUNCTION("""COMPUTED_VALUE"""),28424.0)</f>
        <v>28424</v>
      </c>
      <c r="C12573" s="9">
        <f>IFERROR(__xludf.DUMMYFUNCTION("""COMPUTED_VALUE"""),7.57)</f>
        <v>7.57</v>
      </c>
      <c r="H12573" s="17"/>
      <c r="K12573" s="17"/>
      <c r="N12573" s="17"/>
    </row>
    <row r="12574">
      <c r="B12574" s="11">
        <f>IFERROR(__xludf.DUMMYFUNCTION("""COMPUTED_VALUE"""),28423.0)</f>
        <v>28423</v>
      </c>
      <c r="C12574" s="9">
        <f>IFERROR(__xludf.DUMMYFUNCTION("""COMPUTED_VALUE"""),7.58)</f>
        <v>7.58</v>
      </c>
      <c r="H12574" s="17"/>
      <c r="K12574" s="17"/>
      <c r="N12574" s="17"/>
    </row>
    <row r="12575">
      <c r="B12575" s="11">
        <f>IFERROR(__xludf.DUMMYFUNCTION("""COMPUTED_VALUE"""),28422.0)</f>
        <v>28422</v>
      </c>
      <c r="C12575" s="9">
        <f>IFERROR(__xludf.DUMMYFUNCTION("""COMPUTED_VALUE"""),7.56)</f>
        <v>7.56</v>
      </c>
      <c r="H12575" s="17"/>
      <c r="K12575" s="17"/>
      <c r="N12575" s="17"/>
    </row>
    <row r="12576">
      <c r="B12576" s="11">
        <f>IFERROR(__xludf.DUMMYFUNCTION("""COMPUTED_VALUE"""),28419.0)</f>
        <v>28419</v>
      </c>
      <c r="C12576" s="9">
        <f>IFERROR(__xludf.DUMMYFUNCTION("""COMPUTED_VALUE"""),7.55)</f>
        <v>7.55</v>
      </c>
      <c r="H12576" s="17"/>
      <c r="K12576" s="17"/>
      <c r="N12576" s="17"/>
    </row>
    <row r="12577">
      <c r="B12577" s="11">
        <f>IFERROR(__xludf.DUMMYFUNCTION("""COMPUTED_VALUE"""),28418.0)</f>
        <v>28418</v>
      </c>
      <c r="C12577" s="9">
        <f>IFERROR(__xludf.DUMMYFUNCTION("""COMPUTED_VALUE"""),7.54)</f>
        <v>7.54</v>
      </c>
      <c r="H12577" s="17"/>
      <c r="K12577" s="17"/>
      <c r="N12577" s="17"/>
    </row>
    <row r="12578">
      <c r="B12578" s="11">
        <f>IFERROR(__xludf.DUMMYFUNCTION("""COMPUTED_VALUE"""),28417.0)</f>
        <v>28417</v>
      </c>
      <c r="C12578" s="9">
        <f>IFERROR(__xludf.DUMMYFUNCTION("""COMPUTED_VALUE"""),7.54)</f>
        <v>7.54</v>
      </c>
      <c r="H12578" s="17"/>
      <c r="K12578" s="17"/>
      <c r="N12578" s="17"/>
    </row>
    <row r="12579">
      <c r="B12579" s="11">
        <f>IFERROR(__xludf.DUMMYFUNCTION("""COMPUTED_VALUE"""),28416.0)</f>
        <v>28416</v>
      </c>
      <c r="C12579" s="9">
        <f>IFERROR(__xludf.DUMMYFUNCTION("""COMPUTED_VALUE"""),7.55)</f>
        <v>7.55</v>
      </c>
      <c r="H12579" s="17"/>
      <c r="K12579" s="17"/>
      <c r="N12579" s="17"/>
    </row>
    <row r="12580">
      <c r="B12580" s="11">
        <f>IFERROR(__xludf.DUMMYFUNCTION("""COMPUTED_VALUE"""),28415.0)</f>
        <v>28415</v>
      </c>
      <c r="C12580" s="9">
        <f>IFERROR(__xludf.DUMMYFUNCTION("""COMPUTED_VALUE"""),7.55)</f>
        <v>7.55</v>
      </c>
      <c r="H12580" s="17"/>
      <c r="K12580" s="17"/>
      <c r="N12580" s="17"/>
    </row>
    <row r="12581">
      <c r="B12581" s="11">
        <f>IFERROR(__xludf.DUMMYFUNCTION("""COMPUTED_VALUE"""),28412.0)</f>
        <v>28412</v>
      </c>
      <c r="C12581" s="9">
        <f>IFERROR(__xludf.DUMMYFUNCTION("""COMPUTED_VALUE"""),7.54)</f>
        <v>7.54</v>
      </c>
      <c r="H12581" s="17"/>
      <c r="K12581" s="17"/>
      <c r="N12581" s="17"/>
    </row>
    <row r="12582">
      <c r="B12582" s="11">
        <f>IFERROR(__xludf.DUMMYFUNCTION("""COMPUTED_VALUE"""),28411.0)</f>
        <v>28411</v>
      </c>
      <c r="C12582" s="9">
        <f>IFERROR(__xludf.DUMMYFUNCTION("""COMPUTED_VALUE"""),7.54)</f>
        <v>7.54</v>
      </c>
      <c r="H12582" s="17"/>
      <c r="K12582" s="17"/>
      <c r="N12582" s="17"/>
    </row>
    <row r="12583">
      <c r="B12583" s="11">
        <f>IFERROR(__xludf.DUMMYFUNCTION("""COMPUTED_VALUE"""),28410.0)</f>
        <v>28410</v>
      </c>
      <c r="C12583" s="9">
        <f>IFERROR(__xludf.DUMMYFUNCTION("""COMPUTED_VALUE"""),7.54)</f>
        <v>7.54</v>
      </c>
      <c r="H12583" s="17"/>
      <c r="K12583" s="17"/>
      <c r="N12583" s="17"/>
    </row>
    <row r="12584">
      <c r="B12584" s="11">
        <f>IFERROR(__xludf.DUMMYFUNCTION("""COMPUTED_VALUE"""),28409.0)</f>
        <v>28409</v>
      </c>
      <c r="C12584" s="9">
        <f>IFERROR(__xludf.DUMMYFUNCTION("""COMPUTED_VALUE"""),7.54)</f>
        <v>7.54</v>
      </c>
      <c r="H12584" s="17"/>
      <c r="K12584" s="17"/>
      <c r="N12584" s="17"/>
    </row>
    <row r="12585">
      <c r="B12585" s="11">
        <f>IFERROR(__xludf.DUMMYFUNCTION("""COMPUTED_VALUE"""),28408.0)</f>
        <v>28408</v>
      </c>
      <c r="C12585" s="9"/>
      <c r="H12585" s="17"/>
      <c r="K12585" s="17"/>
      <c r="N12585" s="17"/>
    </row>
    <row r="12586">
      <c r="B12586" s="11">
        <f>IFERROR(__xludf.DUMMYFUNCTION("""COMPUTED_VALUE"""),28405.0)</f>
        <v>28405</v>
      </c>
      <c r="C12586" s="9">
        <f>IFERROR(__xludf.DUMMYFUNCTION("""COMPUTED_VALUE"""),7.48)</f>
        <v>7.48</v>
      </c>
      <c r="H12586" s="17"/>
      <c r="K12586" s="17"/>
      <c r="N12586" s="17"/>
    </row>
    <row r="12587">
      <c r="B12587" s="11">
        <f>IFERROR(__xludf.DUMMYFUNCTION("""COMPUTED_VALUE"""),28404.0)</f>
        <v>28404</v>
      </c>
      <c r="C12587" s="9">
        <f>IFERROR(__xludf.DUMMYFUNCTION("""COMPUTED_VALUE"""),7.44)</f>
        <v>7.44</v>
      </c>
      <c r="H12587" s="17"/>
      <c r="K12587" s="17"/>
      <c r="N12587" s="17"/>
    </row>
    <row r="12588">
      <c r="B12588" s="11">
        <f>IFERROR(__xludf.DUMMYFUNCTION("""COMPUTED_VALUE"""),28403.0)</f>
        <v>28403</v>
      </c>
      <c r="C12588" s="9">
        <f>IFERROR(__xludf.DUMMYFUNCTION("""COMPUTED_VALUE"""),7.4)</f>
        <v>7.4</v>
      </c>
      <c r="H12588" s="17"/>
      <c r="K12588" s="17"/>
      <c r="N12588" s="17"/>
    </row>
    <row r="12589">
      <c r="B12589" s="11">
        <f>IFERROR(__xludf.DUMMYFUNCTION("""COMPUTED_VALUE"""),28402.0)</f>
        <v>28402</v>
      </c>
      <c r="C12589" s="9">
        <f>IFERROR(__xludf.DUMMYFUNCTION("""COMPUTED_VALUE"""),7.4)</f>
        <v>7.4</v>
      </c>
      <c r="H12589" s="17"/>
      <c r="K12589" s="17"/>
      <c r="N12589" s="17"/>
    </row>
    <row r="12590">
      <c r="B12590" s="11">
        <f>IFERROR(__xludf.DUMMYFUNCTION("""COMPUTED_VALUE"""),28401.0)</f>
        <v>28401</v>
      </c>
      <c r="C12590" s="9">
        <f>IFERROR(__xludf.DUMMYFUNCTION("""COMPUTED_VALUE"""),7.41)</f>
        <v>7.41</v>
      </c>
      <c r="H12590" s="17"/>
      <c r="K12590" s="17"/>
      <c r="N12590" s="17"/>
    </row>
    <row r="12591">
      <c r="B12591" s="11">
        <f>IFERROR(__xludf.DUMMYFUNCTION("""COMPUTED_VALUE"""),28398.0)</f>
        <v>28398</v>
      </c>
      <c r="C12591" s="9">
        <f>IFERROR(__xludf.DUMMYFUNCTION("""COMPUTED_VALUE"""),7.41)</f>
        <v>7.41</v>
      </c>
      <c r="H12591" s="17"/>
      <c r="K12591" s="17"/>
      <c r="N12591" s="17"/>
    </row>
    <row r="12592">
      <c r="B12592" s="11">
        <f>IFERROR(__xludf.DUMMYFUNCTION("""COMPUTED_VALUE"""),28397.0)</f>
        <v>28397</v>
      </c>
      <c r="C12592" s="9">
        <f>IFERROR(__xludf.DUMMYFUNCTION("""COMPUTED_VALUE"""),7.39)</f>
        <v>7.39</v>
      </c>
      <c r="H12592" s="17"/>
      <c r="K12592" s="17"/>
      <c r="N12592" s="17"/>
    </row>
    <row r="12593">
      <c r="B12593" s="11">
        <f>IFERROR(__xludf.DUMMYFUNCTION("""COMPUTED_VALUE"""),28396.0)</f>
        <v>28396</v>
      </c>
      <c r="C12593" s="9">
        <f>IFERROR(__xludf.DUMMYFUNCTION("""COMPUTED_VALUE"""),7.38)</f>
        <v>7.38</v>
      </c>
      <c r="H12593" s="17"/>
      <c r="K12593" s="17"/>
      <c r="N12593" s="17"/>
    </row>
    <row r="12594">
      <c r="B12594" s="11">
        <f>IFERROR(__xludf.DUMMYFUNCTION("""COMPUTED_VALUE"""),28395.0)</f>
        <v>28395</v>
      </c>
      <c r="C12594" s="9">
        <f>IFERROR(__xludf.DUMMYFUNCTION("""COMPUTED_VALUE"""),7.38)</f>
        <v>7.38</v>
      </c>
      <c r="H12594" s="17"/>
      <c r="K12594" s="17"/>
      <c r="N12594" s="17"/>
    </row>
    <row r="12595">
      <c r="B12595" s="11">
        <f>IFERROR(__xludf.DUMMYFUNCTION("""COMPUTED_VALUE"""),28394.0)</f>
        <v>28394</v>
      </c>
      <c r="C12595" s="9">
        <f>IFERROR(__xludf.DUMMYFUNCTION("""COMPUTED_VALUE"""),7.42)</f>
        <v>7.42</v>
      </c>
      <c r="H12595" s="17"/>
      <c r="K12595" s="17"/>
      <c r="N12595" s="17"/>
    </row>
    <row r="12596">
      <c r="B12596" s="11">
        <f>IFERROR(__xludf.DUMMYFUNCTION("""COMPUTED_VALUE"""),28391.0)</f>
        <v>28391</v>
      </c>
      <c r="C12596" s="9">
        <f>IFERROR(__xludf.DUMMYFUNCTION("""COMPUTED_VALUE"""),7.39)</f>
        <v>7.39</v>
      </c>
      <c r="H12596" s="17"/>
      <c r="K12596" s="17"/>
      <c r="N12596" s="17"/>
    </row>
    <row r="12597">
      <c r="B12597" s="11">
        <f>IFERROR(__xludf.DUMMYFUNCTION("""COMPUTED_VALUE"""),28390.0)</f>
        <v>28390</v>
      </c>
      <c r="C12597" s="9">
        <f>IFERROR(__xludf.DUMMYFUNCTION("""COMPUTED_VALUE"""),7.39)</f>
        <v>7.39</v>
      </c>
      <c r="H12597" s="17"/>
      <c r="K12597" s="17"/>
      <c r="N12597" s="17"/>
    </row>
    <row r="12598">
      <c r="B12598" s="11">
        <f>IFERROR(__xludf.DUMMYFUNCTION("""COMPUTED_VALUE"""),28389.0)</f>
        <v>28389</v>
      </c>
      <c r="C12598" s="9">
        <f>IFERROR(__xludf.DUMMYFUNCTION("""COMPUTED_VALUE"""),7.36)</f>
        <v>7.36</v>
      </c>
      <c r="H12598" s="17"/>
      <c r="K12598" s="17"/>
      <c r="N12598" s="17"/>
    </row>
    <row r="12599">
      <c r="B12599" s="11">
        <f>IFERROR(__xludf.DUMMYFUNCTION("""COMPUTED_VALUE"""),28388.0)</f>
        <v>28388</v>
      </c>
      <c r="C12599" s="9">
        <f>IFERROR(__xludf.DUMMYFUNCTION("""COMPUTED_VALUE"""),7.36)</f>
        <v>7.36</v>
      </c>
      <c r="H12599" s="17"/>
      <c r="K12599" s="17"/>
      <c r="N12599" s="17"/>
    </row>
    <row r="12600">
      <c r="B12600" s="11">
        <f>IFERROR(__xludf.DUMMYFUNCTION("""COMPUTED_VALUE"""),28387.0)</f>
        <v>28387</v>
      </c>
      <c r="C12600" s="9">
        <f>IFERROR(__xludf.DUMMYFUNCTION("""COMPUTED_VALUE"""),7.32)</f>
        <v>7.32</v>
      </c>
      <c r="H12600" s="17"/>
      <c r="K12600" s="17"/>
      <c r="N12600" s="17"/>
    </row>
    <row r="12601">
      <c r="B12601" s="11">
        <f>IFERROR(__xludf.DUMMYFUNCTION("""COMPUTED_VALUE"""),28384.0)</f>
        <v>28384</v>
      </c>
      <c r="C12601" s="9">
        <f>IFERROR(__xludf.DUMMYFUNCTION("""COMPUTED_VALUE"""),7.32)</f>
        <v>7.32</v>
      </c>
      <c r="H12601" s="17"/>
      <c r="K12601" s="17"/>
      <c r="N12601" s="17"/>
    </row>
    <row r="12602">
      <c r="B12602" s="11">
        <f>IFERROR(__xludf.DUMMYFUNCTION("""COMPUTED_VALUE"""),28383.0)</f>
        <v>28383</v>
      </c>
      <c r="C12602" s="9">
        <f>IFERROR(__xludf.DUMMYFUNCTION("""COMPUTED_VALUE"""),7.33)</f>
        <v>7.33</v>
      </c>
      <c r="H12602" s="17"/>
      <c r="K12602" s="17"/>
      <c r="N12602" s="17"/>
    </row>
    <row r="12603">
      <c r="B12603" s="11">
        <f>IFERROR(__xludf.DUMMYFUNCTION("""COMPUTED_VALUE"""),28382.0)</f>
        <v>28382</v>
      </c>
      <c r="C12603" s="9">
        <f>IFERROR(__xludf.DUMMYFUNCTION("""COMPUTED_VALUE"""),7.34)</f>
        <v>7.34</v>
      </c>
      <c r="H12603" s="17"/>
      <c r="K12603" s="17"/>
      <c r="N12603" s="17"/>
    </row>
    <row r="12604">
      <c r="B12604" s="11">
        <f>IFERROR(__xludf.DUMMYFUNCTION("""COMPUTED_VALUE"""),28381.0)</f>
        <v>28381</v>
      </c>
      <c r="C12604" s="9">
        <f>IFERROR(__xludf.DUMMYFUNCTION("""COMPUTED_VALUE"""),7.37)</f>
        <v>7.37</v>
      </c>
      <c r="H12604" s="17"/>
      <c r="K12604" s="17"/>
      <c r="N12604" s="17"/>
    </row>
    <row r="12605">
      <c r="B12605" s="11">
        <f>IFERROR(__xludf.DUMMYFUNCTION("""COMPUTED_VALUE"""),28380.0)</f>
        <v>28380</v>
      </c>
      <c r="C12605" s="9">
        <f>IFERROR(__xludf.DUMMYFUNCTION("""COMPUTED_VALUE"""),7.38)</f>
        <v>7.38</v>
      </c>
      <c r="H12605" s="17"/>
      <c r="K12605" s="17"/>
      <c r="N12605" s="17"/>
    </row>
    <row r="12606">
      <c r="B12606" s="11">
        <f>IFERROR(__xludf.DUMMYFUNCTION("""COMPUTED_VALUE"""),28377.0)</f>
        <v>28377</v>
      </c>
      <c r="C12606" s="9">
        <f>IFERROR(__xludf.DUMMYFUNCTION("""COMPUTED_VALUE"""),7.36)</f>
        <v>7.36</v>
      </c>
      <c r="H12606" s="17"/>
      <c r="K12606" s="17"/>
      <c r="N12606" s="17"/>
    </row>
    <row r="12607">
      <c r="B12607" s="11">
        <f>IFERROR(__xludf.DUMMYFUNCTION("""COMPUTED_VALUE"""),28376.0)</f>
        <v>28376</v>
      </c>
      <c r="C12607" s="9">
        <f>IFERROR(__xludf.DUMMYFUNCTION("""COMPUTED_VALUE"""),7.28)</f>
        <v>7.28</v>
      </c>
      <c r="H12607" s="17"/>
      <c r="K12607" s="17"/>
      <c r="N12607" s="17"/>
    </row>
    <row r="12608">
      <c r="B12608" s="11">
        <f>IFERROR(__xludf.DUMMYFUNCTION("""COMPUTED_VALUE"""),28375.0)</f>
        <v>28375</v>
      </c>
      <c r="C12608" s="9">
        <f>IFERROR(__xludf.DUMMYFUNCTION("""COMPUTED_VALUE"""),7.26)</f>
        <v>7.26</v>
      </c>
      <c r="H12608" s="17"/>
      <c r="K12608" s="17"/>
      <c r="N12608" s="17"/>
    </row>
    <row r="12609">
      <c r="B12609" s="11">
        <f>IFERROR(__xludf.DUMMYFUNCTION("""COMPUTED_VALUE"""),28374.0)</f>
        <v>28374</v>
      </c>
      <c r="C12609" s="9">
        <f>IFERROR(__xludf.DUMMYFUNCTION("""COMPUTED_VALUE"""),7.24)</f>
        <v>7.24</v>
      </c>
      <c r="H12609" s="17"/>
      <c r="K12609" s="17"/>
      <c r="N12609" s="17"/>
    </row>
    <row r="12610">
      <c r="B12610" s="11">
        <f>IFERROR(__xludf.DUMMYFUNCTION("""COMPUTED_VALUE"""),28373.0)</f>
        <v>28373</v>
      </c>
      <c r="C12610" s="9"/>
      <c r="H12610" s="17"/>
      <c r="K12610" s="17"/>
      <c r="N12610" s="17"/>
    </row>
    <row r="12611">
      <c r="B12611" s="11">
        <f>IFERROR(__xludf.DUMMYFUNCTION("""COMPUTED_VALUE"""),28370.0)</f>
        <v>28370</v>
      </c>
      <c r="C12611" s="9">
        <f>IFERROR(__xludf.DUMMYFUNCTION("""COMPUTED_VALUE"""),7.24)</f>
        <v>7.24</v>
      </c>
      <c r="H12611" s="17"/>
      <c r="K12611" s="17"/>
      <c r="N12611" s="17"/>
    </row>
    <row r="12612">
      <c r="B12612" s="11">
        <f>IFERROR(__xludf.DUMMYFUNCTION("""COMPUTED_VALUE"""),28369.0)</f>
        <v>28369</v>
      </c>
      <c r="C12612" s="9">
        <f>IFERROR(__xludf.DUMMYFUNCTION("""COMPUTED_VALUE"""),7.3)</f>
        <v>7.3</v>
      </c>
      <c r="H12612" s="17"/>
      <c r="K12612" s="17"/>
      <c r="N12612" s="17"/>
    </row>
    <row r="12613">
      <c r="B12613" s="11">
        <f>IFERROR(__xludf.DUMMYFUNCTION("""COMPUTED_VALUE"""),28368.0)</f>
        <v>28368</v>
      </c>
      <c r="C12613" s="9">
        <f>IFERROR(__xludf.DUMMYFUNCTION("""COMPUTED_VALUE"""),7.28)</f>
        <v>7.28</v>
      </c>
      <c r="H12613" s="17"/>
      <c r="K12613" s="17"/>
      <c r="N12613" s="17"/>
    </row>
    <row r="12614">
      <c r="B12614" s="11">
        <f>IFERROR(__xludf.DUMMYFUNCTION("""COMPUTED_VALUE"""),28367.0)</f>
        <v>28367</v>
      </c>
      <c r="C12614" s="9">
        <f>IFERROR(__xludf.DUMMYFUNCTION("""COMPUTED_VALUE"""),7.27)</f>
        <v>7.27</v>
      </c>
      <c r="H12614" s="17"/>
      <c r="K12614" s="17"/>
      <c r="N12614" s="17"/>
    </row>
    <row r="12615">
      <c r="B12615" s="11">
        <f>IFERROR(__xludf.DUMMYFUNCTION("""COMPUTED_VALUE"""),28366.0)</f>
        <v>28366</v>
      </c>
      <c r="C12615" s="9">
        <f>IFERROR(__xludf.DUMMYFUNCTION("""COMPUTED_VALUE"""),7.25)</f>
        <v>7.25</v>
      </c>
      <c r="H12615" s="17"/>
      <c r="K12615" s="17"/>
      <c r="N12615" s="17"/>
    </row>
    <row r="12616">
      <c r="B12616" s="11">
        <f>IFERROR(__xludf.DUMMYFUNCTION("""COMPUTED_VALUE"""),28363.0)</f>
        <v>28363</v>
      </c>
      <c r="C12616" s="9">
        <f>IFERROR(__xludf.DUMMYFUNCTION("""COMPUTED_VALUE"""),7.27)</f>
        <v>7.27</v>
      </c>
      <c r="H12616" s="17"/>
      <c r="K12616" s="17"/>
      <c r="N12616" s="17"/>
    </row>
    <row r="12617">
      <c r="B12617" s="11">
        <f>IFERROR(__xludf.DUMMYFUNCTION("""COMPUTED_VALUE"""),28362.0)</f>
        <v>28362</v>
      </c>
      <c r="C12617" s="9">
        <f>IFERROR(__xludf.DUMMYFUNCTION("""COMPUTED_VALUE"""),7.32)</f>
        <v>7.32</v>
      </c>
      <c r="H12617" s="17"/>
      <c r="K12617" s="17"/>
      <c r="N12617" s="17"/>
    </row>
    <row r="12618">
      <c r="B12618" s="11">
        <f>IFERROR(__xludf.DUMMYFUNCTION("""COMPUTED_VALUE"""),28361.0)</f>
        <v>28361</v>
      </c>
      <c r="C12618" s="9">
        <f>IFERROR(__xludf.DUMMYFUNCTION("""COMPUTED_VALUE"""),7.35)</f>
        <v>7.35</v>
      </c>
      <c r="H12618" s="17"/>
      <c r="K12618" s="17"/>
      <c r="N12618" s="17"/>
    </row>
    <row r="12619">
      <c r="B12619" s="11">
        <f>IFERROR(__xludf.DUMMYFUNCTION("""COMPUTED_VALUE"""),28360.0)</f>
        <v>28360</v>
      </c>
      <c r="C12619" s="9">
        <f>IFERROR(__xludf.DUMMYFUNCTION("""COMPUTED_VALUE"""),7.36)</f>
        <v>7.36</v>
      </c>
      <c r="H12619" s="17"/>
      <c r="K12619" s="17"/>
      <c r="N12619" s="17"/>
    </row>
    <row r="12620">
      <c r="B12620" s="11">
        <f>IFERROR(__xludf.DUMMYFUNCTION("""COMPUTED_VALUE"""),28359.0)</f>
        <v>28359</v>
      </c>
      <c r="C12620" s="9">
        <f>IFERROR(__xludf.DUMMYFUNCTION("""COMPUTED_VALUE"""),7.39)</f>
        <v>7.39</v>
      </c>
      <c r="H12620" s="17"/>
      <c r="K12620" s="17"/>
      <c r="N12620" s="17"/>
    </row>
    <row r="12621">
      <c r="B12621" s="11">
        <f>IFERROR(__xludf.DUMMYFUNCTION("""COMPUTED_VALUE"""),28356.0)</f>
        <v>28356</v>
      </c>
      <c r="C12621" s="9">
        <f>IFERROR(__xludf.DUMMYFUNCTION("""COMPUTED_VALUE"""),7.4)</f>
        <v>7.4</v>
      </c>
      <c r="H12621" s="17"/>
      <c r="K12621" s="17"/>
      <c r="N12621" s="17"/>
    </row>
    <row r="12622">
      <c r="B12622" s="11">
        <f>IFERROR(__xludf.DUMMYFUNCTION("""COMPUTED_VALUE"""),28355.0)</f>
        <v>28355</v>
      </c>
      <c r="C12622" s="9">
        <f>IFERROR(__xludf.DUMMYFUNCTION("""COMPUTED_VALUE"""),7.42)</f>
        <v>7.42</v>
      </c>
      <c r="H12622" s="17"/>
      <c r="K12622" s="17"/>
      <c r="N12622" s="17"/>
    </row>
    <row r="12623">
      <c r="B12623" s="11">
        <f>IFERROR(__xludf.DUMMYFUNCTION("""COMPUTED_VALUE"""),28354.0)</f>
        <v>28354</v>
      </c>
      <c r="C12623" s="9">
        <f>IFERROR(__xludf.DUMMYFUNCTION("""COMPUTED_VALUE"""),7.44)</f>
        <v>7.44</v>
      </c>
      <c r="H12623" s="17"/>
      <c r="K12623" s="17"/>
      <c r="N12623" s="17"/>
    </row>
    <row r="12624">
      <c r="B12624" s="11">
        <f>IFERROR(__xludf.DUMMYFUNCTION("""COMPUTED_VALUE"""),28353.0)</f>
        <v>28353</v>
      </c>
      <c r="C12624" s="9">
        <f>IFERROR(__xludf.DUMMYFUNCTION("""COMPUTED_VALUE"""),7.48)</f>
        <v>7.48</v>
      </c>
      <c r="H12624" s="17"/>
      <c r="K12624" s="17"/>
      <c r="N12624" s="17"/>
    </row>
    <row r="12625">
      <c r="B12625" s="11">
        <f>IFERROR(__xludf.DUMMYFUNCTION("""COMPUTED_VALUE"""),28352.0)</f>
        <v>28352</v>
      </c>
      <c r="C12625" s="9">
        <f>IFERROR(__xludf.DUMMYFUNCTION("""COMPUTED_VALUE"""),7.48)</f>
        <v>7.48</v>
      </c>
      <c r="H12625" s="17"/>
      <c r="K12625" s="17"/>
      <c r="N12625" s="17"/>
    </row>
    <row r="12626">
      <c r="B12626" s="11">
        <f>IFERROR(__xludf.DUMMYFUNCTION("""COMPUTED_VALUE"""),28349.0)</f>
        <v>28349</v>
      </c>
      <c r="C12626" s="9">
        <f>IFERROR(__xludf.DUMMYFUNCTION("""COMPUTED_VALUE"""),7.48)</f>
        <v>7.48</v>
      </c>
      <c r="H12626" s="17"/>
      <c r="K12626" s="17"/>
      <c r="N12626" s="17"/>
    </row>
    <row r="12627">
      <c r="B12627" s="11">
        <f>IFERROR(__xludf.DUMMYFUNCTION("""COMPUTED_VALUE"""),28348.0)</f>
        <v>28348</v>
      </c>
      <c r="C12627" s="9">
        <f>IFERROR(__xludf.DUMMYFUNCTION("""COMPUTED_VALUE"""),7.47)</f>
        <v>7.47</v>
      </c>
      <c r="H12627" s="17"/>
      <c r="K12627" s="17"/>
      <c r="N12627" s="17"/>
    </row>
    <row r="12628">
      <c r="B12628" s="11">
        <f>IFERROR(__xludf.DUMMYFUNCTION("""COMPUTED_VALUE"""),28347.0)</f>
        <v>28347</v>
      </c>
      <c r="C12628" s="9">
        <f>IFERROR(__xludf.DUMMYFUNCTION("""COMPUTED_VALUE"""),7.46)</f>
        <v>7.46</v>
      </c>
      <c r="H12628" s="17"/>
      <c r="K12628" s="17"/>
      <c r="N12628" s="17"/>
    </row>
    <row r="12629">
      <c r="B12629" s="11">
        <f>IFERROR(__xludf.DUMMYFUNCTION("""COMPUTED_VALUE"""),28346.0)</f>
        <v>28346</v>
      </c>
      <c r="C12629" s="9">
        <f>IFERROR(__xludf.DUMMYFUNCTION("""COMPUTED_VALUE"""),7.45)</f>
        <v>7.45</v>
      </c>
      <c r="H12629" s="17"/>
      <c r="K12629" s="17"/>
      <c r="N12629" s="17"/>
    </row>
    <row r="12630">
      <c r="B12630" s="11">
        <f>IFERROR(__xludf.DUMMYFUNCTION("""COMPUTED_VALUE"""),28345.0)</f>
        <v>28345</v>
      </c>
      <c r="C12630" s="9">
        <f>IFERROR(__xludf.DUMMYFUNCTION("""COMPUTED_VALUE"""),7.41)</f>
        <v>7.41</v>
      </c>
      <c r="H12630" s="17"/>
      <c r="K12630" s="17"/>
      <c r="N12630" s="17"/>
    </row>
    <row r="12631">
      <c r="B12631" s="11">
        <f>IFERROR(__xludf.DUMMYFUNCTION("""COMPUTED_VALUE"""),28342.0)</f>
        <v>28342</v>
      </c>
      <c r="C12631" s="9">
        <f>IFERROR(__xludf.DUMMYFUNCTION("""COMPUTED_VALUE"""),7.42)</f>
        <v>7.42</v>
      </c>
      <c r="H12631" s="17"/>
      <c r="K12631" s="17"/>
      <c r="N12631" s="17"/>
    </row>
    <row r="12632">
      <c r="B12632" s="11">
        <f>IFERROR(__xludf.DUMMYFUNCTION("""COMPUTED_VALUE"""),28341.0)</f>
        <v>28341</v>
      </c>
      <c r="C12632" s="9">
        <f>IFERROR(__xludf.DUMMYFUNCTION("""COMPUTED_VALUE"""),7.43)</f>
        <v>7.43</v>
      </c>
      <c r="H12632" s="17"/>
      <c r="K12632" s="17"/>
      <c r="N12632" s="17"/>
    </row>
    <row r="12633">
      <c r="B12633" s="11">
        <f>IFERROR(__xludf.DUMMYFUNCTION("""COMPUTED_VALUE"""),28340.0)</f>
        <v>28340</v>
      </c>
      <c r="C12633" s="9">
        <f>IFERROR(__xludf.DUMMYFUNCTION("""COMPUTED_VALUE"""),7.42)</f>
        <v>7.42</v>
      </c>
      <c r="H12633" s="17"/>
      <c r="K12633" s="17"/>
      <c r="N12633" s="17"/>
    </row>
    <row r="12634">
      <c r="B12634" s="11">
        <f>IFERROR(__xludf.DUMMYFUNCTION("""COMPUTED_VALUE"""),28339.0)</f>
        <v>28339</v>
      </c>
      <c r="C12634" s="9">
        <f>IFERROR(__xludf.DUMMYFUNCTION("""COMPUTED_VALUE"""),7.44)</f>
        <v>7.44</v>
      </c>
      <c r="H12634" s="17"/>
      <c r="K12634" s="17"/>
      <c r="N12634" s="17"/>
    </row>
    <row r="12635">
      <c r="B12635" s="11">
        <f>IFERROR(__xludf.DUMMYFUNCTION("""COMPUTED_VALUE"""),28338.0)</f>
        <v>28338</v>
      </c>
      <c r="C12635" s="9">
        <f>IFERROR(__xludf.DUMMYFUNCTION("""COMPUTED_VALUE"""),7.43)</f>
        <v>7.43</v>
      </c>
      <c r="H12635" s="17"/>
      <c r="K12635" s="17"/>
      <c r="N12635" s="17"/>
    </row>
    <row r="12636">
      <c r="B12636" s="11">
        <f>IFERROR(__xludf.DUMMYFUNCTION("""COMPUTED_VALUE"""),28335.0)</f>
        <v>28335</v>
      </c>
      <c r="C12636" s="9">
        <f>IFERROR(__xludf.DUMMYFUNCTION("""COMPUTED_VALUE"""),7.42)</f>
        <v>7.42</v>
      </c>
      <c r="H12636" s="17"/>
      <c r="K12636" s="17"/>
      <c r="N12636" s="17"/>
    </row>
    <row r="12637">
      <c r="B12637" s="11">
        <f>IFERROR(__xludf.DUMMYFUNCTION("""COMPUTED_VALUE"""),28334.0)</f>
        <v>28334</v>
      </c>
      <c r="C12637" s="9">
        <f>IFERROR(__xludf.DUMMYFUNCTION("""COMPUTED_VALUE"""),7.41)</f>
        <v>7.41</v>
      </c>
      <c r="H12637" s="17"/>
      <c r="K12637" s="17"/>
      <c r="N12637" s="17"/>
    </row>
    <row r="12638">
      <c r="B12638" s="11">
        <f>IFERROR(__xludf.DUMMYFUNCTION("""COMPUTED_VALUE"""),28333.0)</f>
        <v>28333</v>
      </c>
      <c r="C12638" s="9">
        <f>IFERROR(__xludf.DUMMYFUNCTION("""COMPUTED_VALUE"""),7.36)</f>
        <v>7.36</v>
      </c>
      <c r="H12638" s="17"/>
      <c r="K12638" s="17"/>
      <c r="N12638" s="17"/>
    </row>
    <row r="12639">
      <c r="B12639" s="11">
        <f>IFERROR(__xludf.DUMMYFUNCTION("""COMPUTED_VALUE"""),28332.0)</f>
        <v>28332</v>
      </c>
      <c r="C12639" s="9">
        <f>IFERROR(__xludf.DUMMYFUNCTION("""COMPUTED_VALUE"""),7.28)</f>
        <v>7.28</v>
      </c>
      <c r="H12639" s="17"/>
      <c r="K12639" s="17"/>
      <c r="N12639" s="17"/>
    </row>
    <row r="12640">
      <c r="B12640" s="11">
        <f>IFERROR(__xludf.DUMMYFUNCTION("""COMPUTED_VALUE"""),28331.0)</f>
        <v>28331</v>
      </c>
      <c r="C12640" s="9">
        <f>IFERROR(__xludf.DUMMYFUNCTION("""COMPUTED_VALUE"""),7.28)</f>
        <v>7.28</v>
      </c>
      <c r="H12640" s="17"/>
      <c r="K12640" s="17"/>
      <c r="N12640" s="17"/>
    </row>
    <row r="12641">
      <c r="B12641" s="11">
        <f>IFERROR(__xludf.DUMMYFUNCTION("""COMPUTED_VALUE"""),28328.0)</f>
        <v>28328</v>
      </c>
      <c r="C12641" s="9">
        <f>IFERROR(__xludf.DUMMYFUNCTION("""COMPUTED_VALUE"""),7.31)</f>
        <v>7.31</v>
      </c>
      <c r="H12641" s="17"/>
      <c r="K12641" s="17"/>
      <c r="N12641" s="17"/>
    </row>
    <row r="12642">
      <c r="B12642" s="11">
        <f>IFERROR(__xludf.DUMMYFUNCTION("""COMPUTED_VALUE"""),28327.0)</f>
        <v>28327</v>
      </c>
      <c r="C12642" s="9">
        <f>IFERROR(__xludf.DUMMYFUNCTION("""COMPUTED_VALUE"""),7.32)</f>
        <v>7.32</v>
      </c>
      <c r="H12642" s="17"/>
      <c r="K12642" s="17"/>
      <c r="N12642" s="17"/>
    </row>
    <row r="12643">
      <c r="B12643" s="11">
        <f>IFERROR(__xludf.DUMMYFUNCTION("""COMPUTED_VALUE"""),28326.0)</f>
        <v>28326</v>
      </c>
      <c r="C12643" s="9">
        <f>IFERROR(__xludf.DUMMYFUNCTION("""COMPUTED_VALUE"""),7.32)</f>
        <v>7.32</v>
      </c>
      <c r="H12643" s="17"/>
      <c r="K12643" s="17"/>
      <c r="N12643" s="17"/>
    </row>
    <row r="12644">
      <c r="B12644" s="11">
        <f>IFERROR(__xludf.DUMMYFUNCTION("""COMPUTED_VALUE"""),28325.0)</f>
        <v>28325</v>
      </c>
      <c r="C12644" s="9">
        <f>IFERROR(__xludf.DUMMYFUNCTION("""COMPUTED_VALUE"""),7.33)</f>
        <v>7.33</v>
      </c>
      <c r="H12644" s="17"/>
      <c r="K12644" s="17"/>
      <c r="N12644" s="17"/>
    </row>
    <row r="12645">
      <c r="B12645" s="11">
        <f>IFERROR(__xludf.DUMMYFUNCTION("""COMPUTED_VALUE"""),28324.0)</f>
        <v>28324</v>
      </c>
      <c r="C12645" s="9">
        <f>IFERROR(__xludf.DUMMYFUNCTION("""COMPUTED_VALUE"""),7.34)</f>
        <v>7.34</v>
      </c>
      <c r="H12645" s="17"/>
      <c r="K12645" s="17"/>
      <c r="N12645" s="17"/>
    </row>
    <row r="12646">
      <c r="B12646" s="11">
        <f>IFERROR(__xludf.DUMMYFUNCTION("""COMPUTED_VALUE"""),28321.0)</f>
        <v>28321</v>
      </c>
      <c r="C12646" s="9">
        <f>IFERROR(__xludf.DUMMYFUNCTION("""COMPUTED_VALUE"""),7.31)</f>
        <v>7.31</v>
      </c>
      <c r="H12646" s="17"/>
      <c r="K12646" s="17"/>
      <c r="N12646" s="17"/>
    </row>
    <row r="12647">
      <c r="B12647" s="11">
        <f>IFERROR(__xludf.DUMMYFUNCTION("""COMPUTED_VALUE"""),28320.0)</f>
        <v>28320</v>
      </c>
      <c r="C12647" s="9"/>
      <c r="H12647" s="17"/>
      <c r="K12647" s="17"/>
      <c r="N12647" s="17"/>
    </row>
    <row r="12648">
      <c r="B12648" s="11">
        <f>IFERROR(__xludf.DUMMYFUNCTION("""COMPUTED_VALUE"""),28319.0)</f>
        <v>28319</v>
      </c>
      <c r="C12648" s="9">
        <f>IFERROR(__xludf.DUMMYFUNCTION("""COMPUTED_VALUE"""),7.28)</f>
        <v>7.28</v>
      </c>
      <c r="H12648" s="17"/>
      <c r="K12648" s="17"/>
      <c r="N12648" s="17"/>
    </row>
    <row r="12649">
      <c r="B12649" s="11">
        <f>IFERROR(__xludf.DUMMYFUNCTION("""COMPUTED_VALUE"""),28318.0)</f>
        <v>28318</v>
      </c>
      <c r="C12649" s="9">
        <f>IFERROR(__xludf.DUMMYFUNCTION("""COMPUTED_VALUE"""),7.32)</f>
        <v>7.32</v>
      </c>
      <c r="H12649" s="17"/>
      <c r="K12649" s="17"/>
      <c r="N12649" s="17"/>
    </row>
    <row r="12650">
      <c r="B12650" s="11">
        <f>IFERROR(__xludf.DUMMYFUNCTION("""COMPUTED_VALUE"""),28317.0)</f>
        <v>28317</v>
      </c>
      <c r="C12650" s="9">
        <f>IFERROR(__xludf.DUMMYFUNCTION("""COMPUTED_VALUE"""),7.33)</f>
        <v>7.33</v>
      </c>
      <c r="H12650" s="17"/>
      <c r="K12650" s="17"/>
      <c r="N12650" s="17"/>
    </row>
    <row r="12651">
      <c r="B12651" s="11">
        <f>IFERROR(__xludf.DUMMYFUNCTION("""COMPUTED_VALUE"""),28314.0)</f>
        <v>28314</v>
      </c>
      <c r="C12651" s="9">
        <f>IFERROR(__xludf.DUMMYFUNCTION("""COMPUTED_VALUE"""),7.31)</f>
        <v>7.31</v>
      </c>
      <c r="H12651" s="17"/>
      <c r="K12651" s="17"/>
      <c r="N12651" s="17"/>
    </row>
    <row r="12652">
      <c r="B12652" s="11">
        <f>IFERROR(__xludf.DUMMYFUNCTION("""COMPUTED_VALUE"""),28313.0)</f>
        <v>28313</v>
      </c>
      <c r="C12652" s="9">
        <f>IFERROR(__xludf.DUMMYFUNCTION("""COMPUTED_VALUE"""),7.29)</f>
        <v>7.29</v>
      </c>
      <c r="H12652" s="17"/>
      <c r="K12652" s="17"/>
      <c r="N12652" s="17"/>
    </row>
    <row r="12653">
      <c r="B12653" s="11">
        <f>IFERROR(__xludf.DUMMYFUNCTION("""COMPUTED_VALUE"""),28312.0)</f>
        <v>28312</v>
      </c>
      <c r="C12653" s="9">
        <f>IFERROR(__xludf.DUMMYFUNCTION("""COMPUTED_VALUE"""),7.37)</f>
        <v>7.37</v>
      </c>
      <c r="H12653" s="17"/>
      <c r="K12653" s="17"/>
      <c r="N12653" s="17"/>
    </row>
    <row r="12654">
      <c r="B12654" s="11">
        <f>IFERROR(__xludf.DUMMYFUNCTION("""COMPUTED_VALUE"""),28311.0)</f>
        <v>28311</v>
      </c>
      <c r="C12654" s="9">
        <f>IFERROR(__xludf.DUMMYFUNCTION("""COMPUTED_VALUE"""),7.35)</f>
        <v>7.35</v>
      </c>
      <c r="H12654" s="17"/>
      <c r="K12654" s="17"/>
      <c r="N12654" s="17"/>
    </row>
    <row r="12655">
      <c r="B12655" s="11">
        <f>IFERROR(__xludf.DUMMYFUNCTION("""COMPUTED_VALUE"""),28310.0)</f>
        <v>28310</v>
      </c>
      <c r="C12655" s="9"/>
      <c r="H12655" s="17"/>
      <c r="K12655" s="17"/>
      <c r="N12655" s="17"/>
    </row>
    <row r="12656">
      <c r="B12656" s="11">
        <f>IFERROR(__xludf.DUMMYFUNCTION("""COMPUTED_VALUE"""),28307.0)</f>
        <v>28307</v>
      </c>
      <c r="C12656" s="9">
        <f>IFERROR(__xludf.DUMMYFUNCTION("""COMPUTED_VALUE"""),7.34)</f>
        <v>7.34</v>
      </c>
      <c r="H12656" s="17"/>
      <c r="K12656" s="17"/>
      <c r="N12656" s="17"/>
    </row>
    <row r="12657">
      <c r="B12657" s="11">
        <f>IFERROR(__xludf.DUMMYFUNCTION("""COMPUTED_VALUE"""),28306.0)</f>
        <v>28306</v>
      </c>
      <c r="C12657" s="9">
        <f>IFERROR(__xludf.DUMMYFUNCTION("""COMPUTED_VALUE"""),7.2)</f>
        <v>7.2</v>
      </c>
      <c r="H12657" s="17"/>
      <c r="K12657" s="17"/>
      <c r="N12657" s="17"/>
    </row>
    <row r="12658">
      <c r="B12658" s="11">
        <f>IFERROR(__xludf.DUMMYFUNCTION("""COMPUTED_VALUE"""),28305.0)</f>
        <v>28305</v>
      </c>
      <c r="C12658" s="9">
        <f>IFERROR(__xludf.DUMMYFUNCTION("""COMPUTED_VALUE"""),7.19)</f>
        <v>7.19</v>
      </c>
      <c r="H12658" s="17"/>
      <c r="K12658" s="17"/>
      <c r="N12658" s="17"/>
    </row>
    <row r="12659">
      <c r="B12659" s="11">
        <f>IFERROR(__xludf.DUMMYFUNCTION("""COMPUTED_VALUE"""),28304.0)</f>
        <v>28304</v>
      </c>
      <c r="C12659" s="9">
        <f>IFERROR(__xludf.DUMMYFUNCTION("""COMPUTED_VALUE"""),7.16)</f>
        <v>7.16</v>
      </c>
      <c r="H12659" s="17"/>
      <c r="K12659" s="17"/>
      <c r="N12659" s="17"/>
    </row>
    <row r="12660">
      <c r="B12660" s="11">
        <f>IFERROR(__xludf.DUMMYFUNCTION("""COMPUTED_VALUE"""),28303.0)</f>
        <v>28303</v>
      </c>
      <c r="C12660" s="9">
        <f>IFERROR(__xludf.DUMMYFUNCTION("""COMPUTED_VALUE"""),7.2)</f>
        <v>7.2</v>
      </c>
      <c r="H12660" s="17"/>
      <c r="K12660" s="17"/>
      <c r="N12660" s="17"/>
    </row>
    <row r="12661">
      <c r="B12661" s="11">
        <f>IFERROR(__xludf.DUMMYFUNCTION("""COMPUTED_VALUE"""),28300.0)</f>
        <v>28300</v>
      </c>
      <c r="C12661" s="9">
        <f>IFERROR(__xludf.DUMMYFUNCTION("""COMPUTED_VALUE"""),7.2)</f>
        <v>7.2</v>
      </c>
      <c r="H12661" s="17"/>
      <c r="K12661" s="17"/>
      <c r="N12661" s="17"/>
    </row>
    <row r="12662">
      <c r="B12662" s="11">
        <f>IFERROR(__xludf.DUMMYFUNCTION("""COMPUTED_VALUE"""),28299.0)</f>
        <v>28299</v>
      </c>
      <c r="C12662" s="9">
        <f>IFERROR(__xludf.DUMMYFUNCTION("""COMPUTED_VALUE"""),7.26)</f>
        <v>7.26</v>
      </c>
      <c r="H12662" s="17"/>
      <c r="K12662" s="17"/>
      <c r="N12662" s="17"/>
    </row>
    <row r="12663">
      <c r="B12663" s="11">
        <f>IFERROR(__xludf.DUMMYFUNCTION("""COMPUTED_VALUE"""),28298.0)</f>
        <v>28298</v>
      </c>
      <c r="C12663" s="9">
        <f>IFERROR(__xludf.DUMMYFUNCTION("""COMPUTED_VALUE"""),7.25)</f>
        <v>7.25</v>
      </c>
      <c r="H12663" s="17"/>
      <c r="K12663" s="17"/>
      <c r="N12663" s="17"/>
    </row>
    <row r="12664">
      <c r="B12664" s="11">
        <f>IFERROR(__xludf.DUMMYFUNCTION("""COMPUTED_VALUE"""),28297.0)</f>
        <v>28297</v>
      </c>
      <c r="C12664" s="9">
        <f>IFERROR(__xludf.DUMMYFUNCTION("""COMPUTED_VALUE"""),7.26)</f>
        <v>7.26</v>
      </c>
      <c r="H12664" s="17"/>
      <c r="K12664" s="17"/>
      <c r="N12664" s="17"/>
    </row>
    <row r="12665">
      <c r="B12665" s="11">
        <f>IFERROR(__xludf.DUMMYFUNCTION("""COMPUTED_VALUE"""),28296.0)</f>
        <v>28296</v>
      </c>
      <c r="C12665" s="9">
        <f>IFERROR(__xludf.DUMMYFUNCTION("""COMPUTED_VALUE"""),7.27)</f>
        <v>7.27</v>
      </c>
      <c r="H12665" s="17"/>
      <c r="K12665" s="17"/>
      <c r="N12665" s="17"/>
    </row>
    <row r="12666">
      <c r="B12666" s="11">
        <f>IFERROR(__xludf.DUMMYFUNCTION("""COMPUTED_VALUE"""),28293.0)</f>
        <v>28293</v>
      </c>
      <c r="C12666" s="9">
        <f>IFERROR(__xludf.DUMMYFUNCTION("""COMPUTED_VALUE"""),7.24)</f>
        <v>7.24</v>
      </c>
      <c r="H12666" s="17"/>
      <c r="K12666" s="17"/>
      <c r="N12666" s="17"/>
    </row>
    <row r="12667">
      <c r="B12667" s="11">
        <f>IFERROR(__xludf.DUMMYFUNCTION("""COMPUTED_VALUE"""),28292.0)</f>
        <v>28292</v>
      </c>
      <c r="C12667" s="9">
        <f>IFERROR(__xludf.DUMMYFUNCTION("""COMPUTED_VALUE"""),7.24)</f>
        <v>7.24</v>
      </c>
      <c r="H12667" s="17"/>
      <c r="K12667" s="17"/>
      <c r="N12667" s="17"/>
    </row>
    <row r="12668">
      <c r="B12668" s="11">
        <f>IFERROR(__xludf.DUMMYFUNCTION("""COMPUTED_VALUE"""),28291.0)</f>
        <v>28291</v>
      </c>
      <c r="C12668" s="9">
        <f>IFERROR(__xludf.DUMMYFUNCTION("""COMPUTED_VALUE"""),7.23)</f>
        <v>7.23</v>
      </c>
      <c r="H12668" s="17"/>
      <c r="K12668" s="17"/>
      <c r="N12668" s="17"/>
    </row>
    <row r="12669">
      <c r="B12669" s="11">
        <f>IFERROR(__xludf.DUMMYFUNCTION("""COMPUTED_VALUE"""),28290.0)</f>
        <v>28290</v>
      </c>
      <c r="C12669" s="9">
        <f>IFERROR(__xludf.DUMMYFUNCTION("""COMPUTED_VALUE"""),7.22)</f>
        <v>7.22</v>
      </c>
      <c r="H12669" s="17"/>
      <c r="K12669" s="17"/>
      <c r="N12669" s="17"/>
    </row>
    <row r="12670">
      <c r="B12670" s="11">
        <f>IFERROR(__xludf.DUMMYFUNCTION("""COMPUTED_VALUE"""),28289.0)</f>
        <v>28289</v>
      </c>
      <c r="C12670" s="9">
        <f>IFERROR(__xludf.DUMMYFUNCTION("""COMPUTED_VALUE"""),7.27)</f>
        <v>7.27</v>
      </c>
      <c r="H12670" s="17"/>
      <c r="K12670" s="17"/>
      <c r="N12670" s="17"/>
    </row>
    <row r="12671">
      <c r="B12671" s="11">
        <f>IFERROR(__xludf.DUMMYFUNCTION("""COMPUTED_VALUE"""),28286.0)</f>
        <v>28286</v>
      </c>
      <c r="C12671" s="9">
        <f>IFERROR(__xludf.DUMMYFUNCTION("""COMPUTED_VALUE"""),7.3)</f>
        <v>7.3</v>
      </c>
      <c r="H12671" s="17"/>
      <c r="K12671" s="17"/>
      <c r="N12671" s="17"/>
    </row>
    <row r="12672">
      <c r="B12672" s="11">
        <f>IFERROR(__xludf.DUMMYFUNCTION("""COMPUTED_VALUE"""),28285.0)</f>
        <v>28285</v>
      </c>
      <c r="C12672" s="9">
        <f>IFERROR(__xludf.DUMMYFUNCTION("""COMPUTED_VALUE"""),7.35)</f>
        <v>7.35</v>
      </c>
      <c r="H12672" s="17"/>
      <c r="K12672" s="17"/>
      <c r="N12672" s="17"/>
    </row>
    <row r="12673">
      <c r="B12673" s="11">
        <f>IFERROR(__xludf.DUMMYFUNCTION("""COMPUTED_VALUE"""),28284.0)</f>
        <v>28284</v>
      </c>
      <c r="C12673" s="9">
        <f>IFERROR(__xludf.DUMMYFUNCTION("""COMPUTED_VALUE"""),7.36)</f>
        <v>7.36</v>
      </c>
      <c r="H12673" s="17"/>
      <c r="K12673" s="17"/>
      <c r="N12673" s="17"/>
    </row>
    <row r="12674">
      <c r="B12674" s="11">
        <f>IFERROR(__xludf.DUMMYFUNCTION("""COMPUTED_VALUE"""),28283.0)</f>
        <v>28283</v>
      </c>
      <c r="C12674" s="9">
        <f>IFERROR(__xludf.DUMMYFUNCTION("""COMPUTED_VALUE"""),7.36)</f>
        <v>7.36</v>
      </c>
      <c r="H12674" s="17"/>
      <c r="K12674" s="17"/>
      <c r="N12674" s="17"/>
    </row>
    <row r="12675">
      <c r="B12675" s="11">
        <f>IFERROR(__xludf.DUMMYFUNCTION("""COMPUTED_VALUE"""),28282.0)</f>
        <v>28282</v>
      </c>
      <c r="C12675" s="9">
        <f>IFERROR(__xludf.DUMMYFUNCTION("""COMPUTED_VALUE"""),7.37)</f>
        <v>7.37</v>
      </c>
      <c r="H12675" s="17"/>
      <c r="K12675" s="17"/>
      <c r="N12675" s="17"/>
    </row>
    <row r="12676">
      <c r="B12676" s="11">
        <f>IFERROR(__xludf.DUMMYFUNCTION("""COMPUTED_VALUE"""),28279.0)</f>
        <v>28279</v>
      </c>
      <c r="C12676" s="9">
        <f>IFERROR(__xludf.DUMMYFUNCTION("""COMPUTED_VALUE"""),7.36)</f>
        <v>7.36</v>
      </c>
      <c r="H12676" s="17"/>
      <c r="K12676" s="17"/>
      <c r="N12676" s="17"/>
    </row>
    <row r="12677">
      <c r="B12677" s="11">
        <f>IFERROR(__xludf.DUMMYFUNCTION("""COMPUTED_VALUE"""),28278.0)</f>
        <v>28278</v>
      </c>
      <c r="C12677" s="9">
        <f>IFERROR(__xludf.DUMMYFUNCTION("""COMPUTED_VALUE"""),7.39)</f>
        <v>7.39</v>
      </c>
      <c r="H12677" s="17"/>
      <c r="K12677" s="17"/>
      <c r="N12677" s="17"/>
    </row>
    <row r="12678">
      <c r="B12678" s="11">
        <f>IFERROR(__xludf.DUMMYFUNCTION("""COMPUTED_VALUE"""),28277.0)</f>
        <v>28277</v>
      </c>
      <c r="C12678" s="9">
        <f>IFERROR(__xludf.DUMMYFUNCTION("""COMPUTED_VALUE"""),7.38)</f>
        <v>7.38</v>
      </c>
      <c r="H12678" s="17"/>
      <c r="K12678" s="17"/>
      <c r="N12678" s="17"/>
    </row>
    <row r="12679">
      <c r="B12679" s="11">
        <f>IFERROR(__xludf.DUMMYFUNCTION("""COMPUTED_VALUE"""),28276.0)</f>
        <v>28276</v>
      </c>
      <c r="C12679" s="9">
        <f>IFERROR(__xludf.DUMMYFUNCTION("""COMPUTED_VALUE"""),7.38)</f>
        <v>7.38</v>
      </c>
      <c r="H12679" s="17"/>
      <c r="K12679" s="17"/>
      <c r="N12679" s="17"/>
    </row>
    <row r="12680">
      <c r="B12680" s="11">
        <f>IFERROR(__xludf.DUMMYFUNCTION("""COMPUTED_VALUE"""),28275.0)</f>
        <v>28275</v>
      </c>
      <c r="C12680" s="9"/>
      <c r="H12680" s="17"/>
      <c r="K12680" s="17"/>
      <c r="N12680" s="17"/>
    </row>
    <row r="12681">
      <c r="B12681" s="11">
        <f>IFERROR(__xludf.DUMMYFUNCTION("""COMPUTED_VALUE"""),28272.0)</f>
        <v>28272</v>
      </c>
      <c r="C12681" s="9">
        <f>IFERROR(__xludf.DUMMYFUNCTION("""COMPUTED_VALUE"""),7.38)</f>
        <v>7.38</v>
      </c>
      <c r="H12681" s="17"/>
      <c r="K12681" s="17"/>
      <c r="N12681" s="17"/>
    </row>
    <row r="12682">
      <c r="B12682" s="11">
        <f>IFERROR(__xludf.DUMMYFUNCTION("""COMPUTED_VALUE"""),28271.0)</f>
        <v>28271</v>
      </c>
      <c r="C12682" s="9">
        <f>IFERROR(__xludf.DUMMYFUNCTION("""COMPUTED_VALUE"""),7.42)</f>
        <v>7.42</v>
      </c>
      <c r="H12682" s="17"/>
      <c r="K12682" s="17"/>
      <c r="N12682" s="17"/>
    </row>
    <row r="12683">
      <c r="B12683" s="11">
        <f>IFERROR(__xludf.DUMMYFUNCTION("""COMPUTED_VALUE"""),28270.0)</f>
        <v>28270</v>
      </c>
      <c r="C12683" s="9">
        <f>IFERROR(__xludf.DUMMYFUNCTION("""COMPUTED_VALUE"""),7.39)</f>
        <v>7.39</v>
      </c>
      <c r="H12683" s="17"/>
      <c r="K12683" s="17"/>
      <c r="N12683" s="17"/>
    </row>
    <row r="12684">
      <c r="B12684" s="11">
        <f>IFERROR(__xludf.DUMMYFUNCTION("""COMPUTED_VALUE"""),28269.0)</f>
        <v>28269</v>
      </c>
      <c r="C12684" s="9">
        <f>IFERROR(__xludf.DUMMYFUNCTION("""COMPUTED_VALUE"""),7.41)</f>
        <v>7.41</v>
      </c>
      <c r="H12684" s="17"/>
      <c r="K12684" s="17"/>
      <c r="N12684" s="17"/>
    </row>
    <row r="12685">
      <c r="B12685" s="11">
        <f>IFERROR(__xludf.DUMMYFUNCTION("""COMPUTED_VALUE"""),28268.0)</f>
        <v>28268</v>
      </c>
      <c r="C12685" s="9">
        <f>IFERROR(__xludf.DUMMYFUNCTION("""COMPUTED_VALUE"""),7.46)</f>
        <v>7.46</v>
      </c>
      <c r="H12685" s="17"/>
      <c r="K12685" s="17"/>
      <c r="N12685" s="17"/>
    </row>
    <row r="12686">
      <c r="B12686" s="11">
        <f>IFERROR(__xludf.DUMMYFUNCTION("""COMPUTED_VALUE"""),28265.0)</f>
        <v>28265</v>
      </c>
      <c r="C12686" s="9">
        <f>IFERROR(__xludf.DUMMYFUNCTION("""COMPUTED_VALUE"""),7.49)</f>
        <v>7.49</v>
      </c>
      <c r="H12686" s="17"/>
      <c r="K12686" s="17"/>
      <c r="N12686" s="17"/>
    </row>
    <row r="12687">
      <c r="B12687" s="11">
        <f>IFERROR(__xludf.DUMMYFUNCTION("""COMPUTED_VALUE"""),28264.0)</f>
        <v>28264</v>
      </c>
      <c r="C12687" s="9">
        <f>IFERROR(__xludf.DUMMYFUNCTION("""COMPUTED_VALUE"""),7.49)</f>
        <v>7.49</v>
      </c>
      <c r="H12687" s="17"/>
      <c r="K12687" s="17"/>
      <c r="N12687" s="17"/>
    </row>
    <row r="12688">
      <c r="B12688" s="11">
        <f>IFERROR(__xludf.DUMMYFUNCTION("""COMPUTED_VALUE"""),28263.0)</f>
        <v>28263</v>
      </c>
      <c r="C12688" s="9">
        <f>IFERROR(__xludf.DUMMYFUNCTION("""COMPUTED_VALUE"""),7.43)</f>
        <v>7.43</v>
      </c>
      <c r="H12688" s="17"/>
      <c r="K12688" s="17"/>
      <c r="N12688" s="17"/>
    </row>
    <row r="12689">
      <c r="B12689" s="11">
        <f>IFERROR(__xludf.DUMMYFUNCTION("""COMPUTED_VALUE"""),28262.0)</f>
        <v>28262</v>
      </c>
      <c r="C12689" s="9">
        <f>IFERROR(__xludf.DUMMYFUNCTION("""COMPUTED_VALUE"""),7.45)</f>
        <v>7.45</v>
      </c>
      <c r="H12689" s="17"/>
      <c r="K12689" s="17"/>
      <c r="N12689" s="17"/>
    </row>
    <row r="12690">
      <c r="B12690" s="11">
        <f>IFERROR(__xludf.DUMMYFUNCTION("""COMPUTED_VALUE"""),28261.0)</f>
        <v>28261</v>
      </c>
      <c r="C12690" s="9">
        <f>IFERROR(__xludf.DUMMYFUNCTION("""COMPUTED_VALUE"""),7.46)</f>
        <v>7.46</v>
      </c>
      <c r="H12690" s="17"/>
      <c r="K12690" s="17"/>
      <c r="N12690" s="17"/>
    </row>
    <row r="12691">
      <c r="B12691" s="11">
        <f>IFERROR(__xludf.DUMMYFUNCTION("""COMPUTED_VALUE"""),28258.0)</f>
        <v>28258</v>
      </c>
      <c r="C12691" s="9">
        <f>IFERROR(__xludf.DUMMYFUNCTION("""COMPUTED_VALUE"""),7.48)</f>
        <v>7.48</v>
      </c>
      <c r="H12691" s="17"/>
      <c r="K12691" s="17"/>
      <c r="N12691" s="17"/>
    </row>
    <row r="12692">
      <c r="B12692" s="11">
        <f>IFERROR(__xludf.DUMMYFUNCTION("""COMPUTED_VALUE"""),28257.0)</f>
        <v>28257</v>
      </c>
      <c r="C12692" s="9">
        <f>IFERROR(__xludf.DUMMYFUNCTION("""COMPUTED_VALUE"""),7.5)</f>
        <v>7.5</v>
      </c>
      <c r="H12692" s="17"/>
      <c r="K12692" s="17"/>
      <c r="N12692" s="17"/>
    </row>
    <row r="12693">
      <c r="B12693" s="11">
        <f>IFERROR(__xludf.DUMMYFUNCTION("""COMPUTED_VALUE"""),28256.0)</f>
        <v>28256</v>
      </c>
      <c r="C12693" s="9">
        <f>IFERROR(__xludf.DUMMYFUNCTION("""COMPUTED_VALUE"""),7.52)</f>
        <v>7.52</v>
      </c>
      <c r="H12693" s="17"/>
      <c r="K12693" s="17"/>
      <c r="N12693" s="17"/>
    </row>
    <row r="12694">
      <c r="B12694" s="11">
        <f>IFERROR(__xludf.DUMMYFUNCTION("""COMPUTED_VALUE"""),28255.0)</f>
        <v>28255</v>
      </c>
      <c r="C12694" s="9">
        <f>IFERROR(__xludf.DUMMYFUNCTION("""COMPUTED_VALUE"""),7.52)</f>
        <v>7.52</v>
      </c>
      <c r="H12694" s="17"/>
      <c r="K12694" s="17"/>
      <c r="N12694" s="17"/>
    </row>
    <row r="12695">
      <c r="B12695" s="11">
        <f>IFERROR(__xludf.DUMMYFUNCTION("""COMPUTED_VALUE"""),28254.0)</f>
        <v>28254</v>
      </c>
      <c r="C12695" s="9">
        <f>IFERROR(__xludf.DUMMYFUNCTION("""COMPUTED_VALUE"""),7.5)</f>
        <v>7.5</v>
      </c>
      <c r="H12695" s="17"/>
      <c r="K12695" s="17"/>
      <c r="N12695" s="17"/>
    </row>
    <row r="12696">
      <c r="B12696" s="11">
        <f>IFERROR(__xludf.DUMMYFUNCTION("""COMPUTED_VALUE"""),28251.0)</f>
        <v>28251</v>
      </c>
      <c r="C12696" s="9">
        <f>IFERROR(__xludf.DUMMYFUNCTION("""COMPUTED_VALUE"""),7.5)</f>
        <v>7.5</v>
      </c>
      <c r="H12696" s="17"/>
      <c r="K12696" s="17"/>
      <c r="N12696" s="17"/>
    </row>
    <row r="12697">
      <c r="B12697" s="11">
        <f>IFERROR(__xludf.DUMMYFUNCTION("""COMPUTED_VALUE"""),28250.0)</f>
        <v>28250</v>
      </c>
      <c r="C12697" s="9">
        <f>IFERROR(__xludf.DUMMYFUNCTION("""COMPUTED_VALUE"""),7.47)</f>
        <v>7.47</v>
      </c>
      <c r="H12697" s="17"/>
      <c r="K12697" s="17"/>
      <c r="N12697" s="17"/>
    </row>
    <row r="12698">
      <c r="B12698" s="11">
        <f>IFERROR(__xludf.DUMMYFUNCTION("""COMPUTED_VALUE"""),28249.0)</f>
        <v>28249</v>
      </c>
      <c r="C12698" s="9">
        <f>IFERROR(__xludf.DUMMYFUNCTION("""COMPUTED_VALUE"""),7.45)</f>
        <v>7.45</v>
      </c>
      <c r="H12698" s="17"/>
      <c r="K12698" s="17"/>
      <c r="N12698" s="17"/>
    </row>
    <row r="12699">
      <c r="B12699" s="11">
        <f>IFERROR(__xludf.DUMMYFUNCTION("""COMPUTED_VALUE"""),28248.0)</f>
        <v>28248</v>
      </c>
      <c r="C12699" s="9">
        <f>IFERROR(__xludf.DUMMYFUNCTION("""COMPUTED_VALUE"""),7.44)</f>
        <v>7.44</v>
      </c>
      <c r="H12699" s="17"/>
      <c r="K12699" s="17"/>
      <c r="N12699" s="17"/>
    </row>
    <row r="12700">
      <c r="B12700" s="11">
        <f>IFERROR(__xludf.DUMMYFUNCTION("""COMPUTED_VALUE"""),28247.0)</f>
        <v>28247</v>
      </c>
      <c r="C12700" s="9">
        <f>IFERROR(__xludf.DUMMYFUNCTION("""COMPUTED_VALUE"""),7.45)</f>
        <v>7.45</v>
      </c>
      <c r="H12700" s="17"/>
      <c r="K12700" s="17"/>
      <c r="N12700" s="17"/>
    </row>
    <row r="12701">
      <c r="B12701" s="11">
        <f>IFERROR(__xludf.DUMMYFUNCTION("""COMPUTED_VALUE"""),28244.0)</f>
        <v>28244</v>
      </c>
      <c r="C12701" s="9">
        <f>IFERROR(__xludf.DUMMYFUNCTION("""COMPUTED_VALUE"""),7.45)</f>
        <v>7.45</v>
      </c>
      <c r="H12701" s="17"/>
      <c r="K12701" s="17"/>
      <c r="N12701" s="17"/>
    </row>
    <row r="12702">
      <c r="B12702" s="11">
        <f>IFERROR(__xludf.DUMMYFUNCTION("""COMPUTED_VALUE"""),28243.0)</f>
        <v>28243</v>
      </c>
      <c r="C12702" s="9">
        <f>IFERROR(__xludf.DUMMYFUNCTION("""COMPUTED_VALUE"""),7.4)</f>
        <v>7.4</v>
      </c>
      <c r="H12702" s="17"/>
      <c r="K12702" s="17"/>
      <c r="N12702" s="17"/>
    </row>
    <row r="12703">
      <c r="B12703" s="11">
        <f>IFERROR(__xludf.DUMMYFUNCTION("""COMPUTED_VALUE"""),28242.0)</f>
        <v>28242</v>
      </c>
      <c r="C12703" s="9">
        <f>IFERROR(__xludf.DUMMYFUNCTION("""COMPUTED_VALUE"""),7.38)</f>
        <v>7.38</v>
      </c>
      <c r="H12703" s="17"/>
      <c r="K12703" s="17"/>
      <c r="N12703" s="17"/>
    </row>
    <row r="12704">
      <c r="B12704" s="11">
        <f>IFERROR(__xludf.DUMMYFUNCTION("""COMPUTED_VALUE"""),28241.0)</f>
        <v>28241</v>
      </c>
      <c r="C12704" s="9">
        <f>IFERROR(__xludf.DUMMYFUNCTION("""COMPUTED_VALUE"""),7.38)</f>
        <v>7.38</v>
      </c>
      <c r="H12704" s="17"/>
      <c r="K12704" s="17"/>
      <c r="N12704" s="17"/>
    </row>
    <row r="12705">
      <c r="B12705" s="11">
        <f>IFERROR(__xludf.DUMMYFUNCTION("""COMPUTED_VALUE"""),28240.0)</f>
        <v>28240</v>
      </c>
      <c r="C12705" s="9">
        <f>IFERROR(__xludf.DUMMYFUNCTION("""COMPUTED_VALUE"""),7.4)</f>
        <v>7.4</v>
      </c>
      <c r="H12705" s="17"/>
      <c r="K12705" s="17"/>
      <c r="N12705" s="17"/>
    </row>
    <row r="12706">
      <c r="B12706" s="11">
        <f>IFERROR(__xludf.DUMMYFUNCTION("""COMPUTED_VALUE"""),28237.0)</f>
        <v>28237</v>
      </c>
      <c r="C12706" s="9">
        <f>IFERROR(__xludf.DUMMYFUNCTION("""COMPUTED_VALUE"""),7.36)</f>
        <v>7.36</v>
      </c>
      <c r="H12706" s="17"/>
      <c r="K12706" s="17"/>
      <c r="N12706" s="17"/>
    </row>
    <row r="12707">
      <c r="B12707" s="11">
        <f>IFERROR(__xludf.DUMMYFUNCTION("""COMPUTED_VALUE"""),28236.0)</f>
        <v>28236</v>
      </c>
      <c r="C12707" s="9">
        <f>IFERROR(__xludf.DUMMYFUNCTION("""COMPUTED_VALUE"""),7.33)</f>
        <v>7.33</v>
      </c>
      <c r="H12707" s="17"/>
      <c r="K12707" s="17"/>
      <c r="N12707" s="17"/>
    </row>
    <row r="12708">
      <c r="B12708" s="11">
        <f>IFERROR(__xludf.DUMMYFUNCTION("""COMPUTED_VALUE"""),28235.0)</f>
        <v>28235</v>
      </c>
      <c r="C12708" s="9">
        <f>IFERROR(__xludf.DUMMYFUNCTION("""COMPUTED_VALUE"""),7.32)</f>
        <v>7.32</v>
      </c>
      <c r="H12708" s="17"/>
      <c r="K12708" s="17"/>
      <c r="N12708" s="17"/>
    </row>
    <row r="12709">
      <c r="B12709" s="11">
        <f>IFERROR(__xludf.DUMMYFUNCTION("""COMPUTED_VALUE"""),28234.0)</f>
        <v>28234</v>
      </c>
      <c r="C12709" s="9">
        <f>IFERROR(__xludf.DUMMYFUNCTION("""COMPUTED_VALUE"""),7.3)</f>
        <v>7.3</v>
      </c>
      <c r="H12709" s="17"/>
      <c r="K12709" s="17"/>
      <c r="N12709" s="17"/>
    </row>
    <row r="12710">
      <c r="B12710" s="11">
        <f>IFERROR(__xludf.DUMMYFUNCTION("""COMPUTED_VALUE"""),28233.0)</f>
        <v>28233</v>
      </c>
      <c r="C12710" s="9">
        <f>IFERROR(__xludf.DUMMYFUNCTION("""COMPUTED_VALUE"""),7.25)</f>
        <v>7.25</v>
      </c>
      <c r="H12710" s="17"/>
      <c r="K12710" s="17"/>
      <c r="N12710" s="17"/>
    </row>
    <row r="12711">
      <c r="B12711" s="11">
        <f>IFERROR(__xludf.DUMMYFUNCTION("""COMPUTED_VALUE"""),28230.0)</f>
        <v>28230</v>
      </c>
      <c r="C12711" s="9">
        <f>IFERROR(__xludf.DUMMYFUNCTION("""COMPUTED_VALUE"""),7.25)</f>
        <v>7.25</v>
      </c>
      <c r="H12711" s="17"/>
      <c r="K12711" s="17"/>
      <c r="N12711" s="17"/>
    </row>
    <row r="12712">
      <c r="B12712" s="11">
        <f>IFERROR(__xludf.DUMMYFUNCTION("""COMPUTED_VALUE"""),28229.0)</f>
        <v>28229</v>
      </c>
      <c r="C12712" s="9">
        <f>IFERROR(__xludf.DUMMYFUNCTION("""COMPUTED_VALUE"""),7.22)</f>
        <v>7.22</v>
      </c>
      <c r="H12712" s="17"/>
      <c r="K12712" s="17"/>
      <c r="N12712" s="17"/>
    </row>
    <row r="12713">
      <c r="B12713" s="11">
        <f>IFERROR(__xludf.DUMMYFUNCTION("""COMPUTED_VALUE"""),28228.0)</f>
        <v>28228</v>
      </c>
      <c r="C12713" s="9">
        <f>IFERROR(__xludf.DUMMYFUNCTION("""COMPUTED_VALUE"""),7.36)</f>
        <v>7.36</v>
      </c>
      <c r="H12713" s="17"/>
      <c r="K12713" s="17"/>
      <c r="N12713" s="17"/>
    </row>
    <row r="12714">
      <c r="B12714" s="11">
        <f>IFERROR(__xludf.DUMMYFUNCTION("""COMPUTED_VALUE"""),28227.0)</f>
        <v>28227</v>
      </c>
      <c r="C12714" s="9">
        <f>IFERROR(__xludf.DUMMYFUNCTION("""COMPUTED_VALUE"""),7.39)</f>
        <v>7.39</v>
      </c>
      <c r="H12714" s="17"/>
      <c r="K12714" s="17"/>
      <c r="N12714" s="17"/>
    </row>
    <row r="12715">
      <c r="B12715" s="11">
        <f>IFERROR(__xludf.DUMMYFUNCTION("""COMPUTED_VALUE"""),28226.0)</f>
        <v>28226</v>
      </c>
      <c r="C12715" s="9">
        <f>IFERROR(__xludf.DUMMYFUNCTION("""COMPUTED_VALUE"""),7.39)</f>
        <v>7.39</v>
      </c>
      <c r="H12715" s="17"/>
      <c r="K12715" s="17"/>
      <c r="N12715" s="17"/>
    </row>
    <row r="12716">
      <c r="B12716" s="11">
        <f>IFERROR(__xludf.DUMMYFUNCTION("""COMPUTED_VALUE"""),28223.0)</f>
        <v>28223</v>
      </c>
      <c r="C12716" s="9"/>
      <c r="H12716" s="17"/>
      <c r="K12716" s="17"/>
      <c r="N12716" s="17"/>
    </row>
    <row r="12717">
      <c r="B12717" s="11">
        <f>IFERROR(__xludf.DUMMYFUNCTION("""COMPUTED_VALUE"""),28222.0)</f>
        <v>28222</v>
      </c>
      <c r="C12717" s="9">
        <f>IFERROR(__xludf.DUMMYFUNCTION("""COMPUTED_VALUE"""),7.43)</f>
        <v>7.43</v>
      </c>
      <c r="H12717" s="17"/>
      <c r="K12717" s="17"/>
      <c r="N12717" s="17"/>
    </row>
    <row r="12718">
      <c r="B12718" s="11">
        <f>IFERROR(__xludf.DUMMYFUNCTION("""COMPUTED_VALUE"""),28221.0)</f>
        <v>28221</v>
      </c>
      <c r="C12718" s="9">
        <f>IFERROR(__xludf.DUMMYFUNCTION("""COMPUTED_VALUE"""),7.46)</f>
        <v>7.46</v>
      </c>
      <c r="H12718" s="17"/>
      <c r="K12718" s="17"/>
      <c r="N12718" s="17"/>
    </row>
    <row r="12719">
      <c r="B12719" s="11">
        <f>IFERROR(__xludf.DUMMYFUNCTION("""COMPUTED_VALUE"""),28220.0)</f>
        <v>28220</v>
      </c>
      <c r="C12719" s="9">
        <f>IFERROR(__xludf.DUMMYFUNCTION("""COMPUTED_VALUE"""),7.47)</f>
        <v>7.47</v>
      </c>
      <c r="H12719" s="17"/>
      <c r="K12719" s="17"/>
      <c r="N12719" s="17"/>
    </row>
    <row r="12720">
      <c r="B12720" s="11">
        <f>IFERROR(__xludf.DUMMYFUNCTION("""COMPUTED_VALUE"""),28219.0)</f>
        <v>28219</v>
      </c>
      <c r="C12720" s="9">
        <f>IFERROR(__xludf.DUMMYFUNCTION("""COMPUTED_VALUE"""),7.44)</f>
        <v>7.44</v>
      </c>
      <c r="H12720" s="17"/>
      <c r="K12720" s="17"/>
      <c r="N12720" s="17"/>
    </row>
    <row r="12721">
      <c r="B12721" s="11">
        <f>IFERROR(__xludf.DUMMYFUNCTION("""COMPUTED_VALUE"""),28216.0)</f>
        <v>28216</v>
      </c>
      <c r="C12721" s="9">
        <f>IFERROR(__xludf.DUMMYFUNCTION("""COMPUTED_VALUE"""),7.43)</f>
        <v>7.43</v>
      </c>
      <c r="H12721" s="17"/>
      <c r="K12721" s="17"/>
      <c r="N12721" s="17"/>
    </row>
    <row r="12722">
      <c r="B12722" s="11">
        <f>IFERROR(__xludf.DUMMYFUNCTION("""COMPUTED_VALUE"""),28215.0)</f>
        <v>28215</v>
      </c>
      <c r="C12722" s="9">
        <f>IFERROR(__xludf.DUMMYFUNCTION("""COMPUTED_VALUE"""),7.42)</f>
        <v>7.42</v>
      </c>
      <c r="H12722" s="17"/>
      <c r="K12722" s="17"/>
      <c r="N12722" s="17"/>
    </row>
    <row r="12723">
      <c r="B12723" s="11">
        <f>IFERROR(__xludf.DUMMYFUNCTION("""COMPUTED_VALUE"""),28214.0)</f>
        <v>28214</v>
      </c>
      <c r="C12723" s="9">
        <f>IFERROR(__xludf.DUMMYFUNCTION("""COMPUTED_VALUE"""),7.44)</f>
        <v>7.44</v>
      </c>
      <c r="H12723" s="17"/>
      <c r="K12723" s="17"/>
      <c r="N12723" s="17"/>
    </row>
    <row r="12724">
      <c r="B12724" s="11">
        <f>IFERROR(__xludf.DUMMYFUNCTION("""COMPUTED_VALUE"""),28213.0)</f>
        <v>28213</v>
      </c>
      <c r="C12724" s="9">
        <f>IFERROR(__xludf.DUMMYFUNCTION("""COMPUTED_VALUE"""),7.47)</f>
        <v>7.47</v>
      </c>
      <c r="H12724" s="17"/>
      <c r="K12724" s="17"/>
      <c r="N12724" s="17"/>
    </row>
    <row r="12725">
      <c r="B12725" s="11">
        <f>IFERROR(__xludf.DUMMYFUNCTION("""COMPUTED_VALUE"""),28212.0)</f>
        <v>28212</v>
      </c>
      <c r="C12725" s="9">
        <f>IFERROR(__xludf.DUMMYFUNCTION("""COMPUTED_VALUE"""),7.47)</f>
        <v>7.47</v>
      </c>
      <c r="H12725" s="17"/>
      <c r="K12725" s="17"/>
      <c r="N12725" s="17"/>
    </row>
    <row r="12726">
      <c r="B12726" s="11">
        <f>IFERROR(__xludf.DUMMYFUNCTION("""COMPUTED_VALUE"""),28209.0)</f>
        <v>28209</v>
      </c>
      <c r="C12726" s="9">
        <f>IFERROR(__xludf.DUMMYFUNCTION("""COMPUTED_VALUE"""),7.48)</f>
        <v>7.48</v>
      </c>
      <c r="H12726" s="17"/>
      <c r="K12726" s="17"/>
      <c r="N12726" s="17"/>
    </row>
    <row r="12727">
      <c r="B12727" s="11">
        <f>IFERROR(__xludf.DUMMYFUNCTION("""COMPUTED_VALUE"""),28208.0)</f>
        <v>28208</v>
      </c>
      <c r="C12727" s="9">
        <f>IFERROR(__xludf.DUMMYFUNCTION("""COMPUTED_VALUE"""),7.46)</f>
        <v>7.46</v>
      </c>
      <c r="H12727" s="17"/>
      <c r="K12727" s="17"/>
      <c r="N12727" s="17"/>
    </row>
    <row r="12728">
      <c r="B12728" s="11">
        <f>IFERROR(__xludf.DUMMYFUNCTION("""COMPUTED_VALUE"""),28207.0)</f>
        <v>28207</v>
      </c>
      <c r="C12728" s="9">
        <f>IFERROR(__xludf.DUMMYFUNCTION("""COMPUTED_VALUE"""),7.44)</f>
        <v>7.44</v>
      </c>
      <c r="H12728" s="17"/>
      <c r="K12728" s="17"/>
      <c r="N12728" s="17"/>
    </row>
    <row r="12729">
      <c r="B12729" s="11">
        <f>IFERROR(__xludf.DUMMYFUNCTION("""COMPUTED_VALUE"""),28206.0)</f>
        <v>28206</v>
      </c>
      <c r="C12729" s="9">
        <f>IFERROR(__xludf.DUMMYFUNCTION("""COMPUTED_VALUE"""),7.43)</f>
        <v>7.43</v>
      </c>
      <c r="H12729" s="17"/>
      <c r="K12729" s="17"/>
      <c r="N12729" s="17"/>
    </row>
    <row r="12730">
      <c r="B12730" s="11">
        <f>IFERROR(__xludf.DUMMYFUNCTION("""COMPUTED_VALUE"""),28205.0)</f>
        <v>28205</v>
      </c>
      <c r="C12730" s="9">
        <f>IFERROR(__xludf.DUMMYFUNCTION("""COMPUTED_VALUE"""),7.43)</f>
        <v>7.43</v>
      </c>
      <c r="H12730" s="17"/>
      <c r="K12730" s="17"/>
      <c r="N12730" s="17"/>
    </row>
    <row r="12731">
      <c r="B12731" s="11">
        <f>IFERROR(__xludf.DUMMYFUNCTION("""COMPUTED_VALUE"""),28202.0)</f>
        <v>28202</v>
      </c>
      <c r="C12731" s="9">
        <f>IFERROR(__xludf.DUMMYFUNCTION("""COMPUTED_VALUE"""),7.44)</f>
        <v>7.44</v>
      </c>
      <c r="H12731" s="17"/>
      <c r="K12731" s="17"/>
      <c r="N12731" s="17"/>
    </row>
    <row r="12732">
      <c r="B12732" s="11">
        <f>IFERROR(__xludf.DUMMYFUNCTION("""COMPUTED_VALUE"""),28201.0)</f>
        <v>28201</v>
      </c>
      <c r="C12732" s="9">
        <f>IFERROR(__xludf.DUMMYFUNCTION("""COMPUTED_VALUE"""),7.47)</f>
        <v>7.47</v>
      </c>
      <c r="H12732" s="17"/>
      <c r="K12732" s="17"/>
      <c r="N12732" s="17"/>
    </row>
    <row r="12733">
      <c r="B12733" s="11">
        <f>IFERROR(__xludf.DUMMYFUNCTION("""COMPUTED_VALUE"""),28200.0)</f>
        <v>28200</v>
      </c>
      <c r="C12733" s="9">
        <f>IFERROR(__xludf.DUMMYFUNCTION("""COMPUTED_VALUE"""),7.44)</f>
        <v>7.44</v>
      </c>
      <c r="H12733" s="17"/>
      <c r="K12733" s="17"/>
      <c r="N12733" s="17"/>
    </row>
    <row r="12734">
      <c r="B12734" s="11">
        <f>IFERROR(__xludf.DUMMYFUNCTION("""COMPUTED_VALUE"""),28199.0)</f>
        <v>28199</v>
      </c>
      <c r="C12734" s="9">
        <f>IFERROR(__xludf.DUMMYFUNCTION("""COMPUTED_VALUE"""),7.44)</f>
        <v>7.44</v>
      </c>
      <c r="H12734" s="17"/>
      <c r="K12734" s="17"/>
      <c r="N12734" s="17"/>
    </row>
    <row r="12735">
      <c r="B12735" s="11">
        <f>IFERROR(__xludf.DUMMYFUNCTION("""COMPUTED_VALUE"""),28198.0)</f>
        <v>28198</v>
      </c>
      <c r="C12735" s="9">
        <f>IFERROR(__xludf.DUMMYFUNCTION("""COMPUTED_VALUE"""),7.45)</f>
        <v>7.45</v>
      </c>
      <c r="H12735" s="17"/>
      <c r="K12735" s="17"/>
      <c r="N12735" s="17"/>
    </row>
    <row r="12736">
      <c r="B12736" s="11">
        <f>IFERROR(__xludf.DUMMYFUNCTION("""COMPUTED_VALUE"""),28195.0)</f>
        <v>28195</v>
      </c>
      <c r="C12736" s="9">
        <f>IFERROR(__xludf.DUMMYFUNCTION("""COMPUTED_VALUE"""),7.44)</f>
        <v>7.44</v>
      </c>
      <c r="H12736" s="17"/>
      <c r="K12736" s="17"/>
      <c r="N12736" s="17"/>
    </row>
    <row r="12737">
      <c r="B12737" s="11">
        <f>IFERROR(__xludf.DUMMYFUNCTION("""COMPUTED_VALUE"""),28194.0)</f>
        <v>28194</v>
      </c>
      <c r="C12737" s="9">
        <f>IFERROR(__xludf.DUMMYFUNCTION("""COMPUTED_VALUE"""),7.49)</f>
        <v>7.49</v>
      </c>
      <c r="H12737" s="17"/>
      <c r="K12737" s="17"/>
      <c r="N12737" s="17"/>
    </row>
    <row r="12738">
      <c r="B12738" s="11">
        <f>IFERROR(__xludf.DUMMYFUNCTION("""COMPUTED_VALUE"""),28193.0)</f>
        <v>28193</v>
      </c>
      <c r="C12738" s="9">
        <f>IFERROR(__xludf.DUMMYFUNCTION("""COMPUTED_VALUE"""),7.5)</f>
        <v>7.5</v>
      </c>
      <c r="H12738" s="17"/>
      <c r="K12738" s="17"/>
      <c r="N12738" s="17"/>
    </row>
    <row r="12739">
      <c r="B12739" s="11">
        <f>IFERROR(__xludf.DUMMYFUNCTION("""COMPUTED_VALUE"""),28192.0)</f>
        <v>28192</v>
      </c>
      <c r="C12739" s="9">
        <f>IFERROR(__xludf.DUMMYFUNCTION("""COMPUTED_VALUE"""),7.52)</f>
        <v>7.52</v>
      </c>
      <c r="H12739" s="17"/>
      <c r="K12739" s="17"/>
      <c r="N12739" s="17"/>
    </row>
    <row r="12740">
      <c r="B12740" s="11">
        <f>IFERROR(__xludf.DUMMYFUNCTION("""COMPUTED_VALUE"""),28191.0)</f>
        <v>28191</v>
      </c>
      <c r="C12740" s="9">
        <f>IFERROR(__xludf.DUMMYFUNCTION("""COMPUTED_VALUE"""),7.5)</f>
        <v>7.5</v>
      </c>
      <c r="H12740" s="17"/>
      <c r="K12740" s="17"/>
      <c r="N12740" s="17"/>
    </row>
    <row r="12741">
      <c r="B12741" s="11">
        <f>IFERROR(__xludf.DUMMYFUNCTION("""COMPUTED_VALUE"""),28188.0)</f>
        <v>28188</v>
      </c>
      <c r="C12741" s="9">
        <f>IFERROR(__xludf.DUMMYFUNCTION("""COMPUTED_VALUE"""),7.48)</f>
        <v>7.48</v>
      </c>
      <c r="H12741" s="17"/>
      <c r="K12741" s="17"/>
      <c r="N12741" s="17"/>
    </row>
    <row r="12742">
      <c r="B12742" s="11">
        <f>IFERROR(__xludf.DUMMYFUNCTION("""COMPUTED_VALUE"""),28187.0)</f>
        <v>28187</v>
      </c>
      <c r="C12742" s="9">
        <f>IFERROR(__xludf.DUMMYFUNCTION("""COMPUTED_VALUE"""),7.43)</f>
        <v>7.43</v>
      </c>
      <c r="H12742" s="17"/>
      <c r="K12742" s="17"/>
      <c r="N12742" s="17"/>
    </row>
    <row r="12743">
      <c r="B12743" s="11">
        <f>IFERROR(__xludf.DUMMYFUNCTION("""COMPUTED_VALUE"""),28186.0)</f>
        <v>28186</v>
      </c>
      <c r="C12743" s="9">
        <f>IFERROR(__xludf.DUMMYFUNCTION("""COMPUTED_VALUE"""),7.45)</f>
        <v>7.45</v>
      </c>
      <c r="H12743" s="17"/>
      <c r="K12743" s="17"/>
      <c r="N12743" s="17"/>
    </row>
    <row r="12744">
      <c r="B12744" s="11">
        <f>IFERROR(__xludf.DUMMYFUNCTION("""COMPUTED_VALUE"""),28185.0)</f>
        <v>28185</v>
      </c>
      <c r="C12744" s="9">
        <f>IFERROR(__xludf.DUMMYFUNCTION("""COMPUTED_VALUE"""),7.49)</f>
        <v>7.49</v>
      </c>
      <c r="H12744" s="17"/>
      <c r="K12744" s="17"/>
      <c r="N12744" s="17"/>
    </row>
    <row r="12745">
      <c r="B12745" s="11">
        <f>IFERROR(__xludf.DUMMYFUNCTION("""COMPUTED_VALUE"""),28184.0)</f>
        <v>28184</v>
      </c>
      <c r="C12745" s="9">
        <f>IFERROR(__xludf.DUMMYFUNCTION("""COMPUTED_VALUE"""),7.45)</f>
        <v>7.45</v>
      </c>
      <c r="H12745" s="17"/>
      <c r="K12745" s="17"/>
      <c r="N12745" s="17"/>
    </row>
    <row r="12746">
      <c r="B12746" s="11">
        <f>IFERROR(__xludf.DUMMYFUNCTION("""COMPUTED_VALUE"""),28181.0)</f>
        <v>28181</v>
      </c>
      <c r="C12746" s="9">
        <f>IFERROR(__xludf.DUMMYFUNCTION("""COMPUTED_VALUE"""),7.48)</f>
        <v>7.48</v>
      </c>
      <c r="H12746" s="17"/>
      <c r="K12746" s="17"/>
      <c r="N12746" s="17"/>
    </row>
    <row r="12747">
      <c r="B12747" s="11">
        <f>IFERROR(__xludf.DUMMYFUNCTION("""COMPUTED_VALUE"""),28180.0)</f>
        <v>28180</v>
      </c>
      <c r="C12747" s="9">
        <f>IFERROR(__xludf.DUMMYFUNCTION("""COMPUTED_VALUE"""),7.5)</f>
        <v>7.5</v>
      </c>
      <c r="H12747" s="17"/>
      <c r="K12747" s="17"/>
      <c r="N12747" s="17"/>
    </row>
    <row r="12748">
      <c r="B12748" s="11">
        <f>IFERROR(__xludf.DUMMYFUNCTION("""COMPUTED_VALUE"""),28179.0)</f>
        <v>28179</v>
      </c>
      <c r="C12748" s="9">
        <f>IFERROR(__xludf.DUMMYFUNCTION("""COMPUTED_VALUE"""),7.48)</f>
        <v>7.48</v>
      </c>
      <c r="H12748" s="17"/>
      <c r="K12748" s="17"/>
      <c r="N12748" s="17"/>
    </row>
    <row r="12749">
      <c r="B12749" s="11">
        <f>IFERROR(__xludf.DUMMYFUNCTION("""COMPUTED_VALUE"""),28178.0)</f>
        <v>28178</v>
      </c>
      <c r="C12749" s="9">
        <f>IFERROR(__xludf.DUMMYFUNCTION("""COMPUTED_VALUE"""),7.42)</f>
        <v>7.42</v>
      </c>
      <c r="H12749" s="17"/>
      <c r="K12749" s="17"/>
      <c r="N12749" s="17"/>
    </row>
    <row r="12750">
      <c r="B12750" s="11">
        <f>IFERROR(__xludf.DUMMYFUNCTION("""COMPUTED_VALUE"""),28177.0)</f>
        <v>28177</v>
      </c>
      <c r="C12750" s="9"/>
      <c r="H12750" s="17"/>
      <c r="K12750" s="17"/>
      <c r="N12750" s="17"/>
    </row>
    <row r="12751">
      <c r="B12751" s="11">
        <f>IFERROR(__xludf.DUMMYFUNCTION("""COMPUTED_VALUE"""),28174.0)</f>
        <v>28174</v>
      </c>
      <c r="C12751" s="9">
        <f>IFERROR(__xludf.DUMMYFUNCTION("""COMPUTED_VALUE"""),7.41)</f>
        <v>7.41</v>
      </c>
      <c r="H12751" s="17"/>
      <c r="K12751" s="17"/>
      <c r="N12751" s="17"/>
    </row>
    <row r="12752">
      <c r="B12752" s="11">
        <f>IFERROR(__xludf.DUMMYFUNCTION("""COMPUTED_VALUE"""),28173.0)</f>
        <v>28173</v>
      </c>
      <c r="C12752" s="9">
        <f>IFERROR(__xludf.DUMMYFUNCTION("""COMPUTED_VALUE"""),7.26)</f>
        <v>7.26</v>
      </c>
      <c r="H12752" s="17"/>
      <c r="K12752" s="17"/>
      <c r="N12752" s="17"/>
    </row>
    <row r="12753">
      <c r="B12753" s="11">
        <f>IFERROR(__xludf.DUMMYFUNCTION("""COMPUTED_VALUE"""),28172.0)</f>
        <v>28172</v>
      </c>
      <c r="C12753" s="9">
        <f>IFERROR(__xludf.DUMMYFUNCTION("""COMPUTED_VALUE"""),7.34)</f>
        <v>7.34</v>
      </c>
      <c r="H12753" s="17"/>
      <c r="K12753" s="17"/>
      <c r="N12753" s="17"/>
    </row>
    <row r="12754">
      <c r="B12754" s="11">
        <f>IFERROR(__xludf.DUMMYFUNCTION("""COMPUTED_VALUE"""),28171.0)</f>
        <v>28171</v>
      </c>
      <c r="C12754" s="9">
        <f>IFERROR(__xludf.DUMMYFUNCTION("""COMPUTED_VALUE"""),7.36)</f>
        <v>7.36</v>
      </c>
      <c r="H12754" s="17"/>
      <c r="K12754" s="17"/>
      <c r="N12754" s="17"/>
    </row>
    <row r="12755">
      <c r="B12755" s="11">
        <f>IFERROR(__xludf.DUMMYFUNCTION("""COMPUTED_VALUE"""),28170.0)</f>
        <v>28170</v>
      </c>
      <c r="C12755" s="9">
        <f>IFERROR(__xludf.DUMMYFUNCTION("""COMPUTED_VALUE"""),7.38)</f>
        <v>7.38</v>
      </c>
      <c r="H12755" s="17"/>
      <c r="K12755" s="17"/>
      <c r="N12755" s="17"/>
    </row>
    <row r="12756">
      <c r="B12756" s="11">
        <f>IFERROR(__xludf.DUMMYFUNCTION("""COMPUTED_VALUE"""),28167.0)</f>
        <v>28167</v>
      </c>
      <c r="C12756" s="9">
        <f>IFERROR(__xludf.DUMMYFUNCTION("""COMPUTED_VALUE"""),7.36)</f>
        <v>7.36</v>
      </c>
      <c r="H12756" s="17"/>
      <c r="K12756" s="17"/>
      <c r="N12756" s="17"/>
    </row>
    <row r="12757">
      <c r="B12757" s="11">
        <f>IFERROR(__xludf.DUMMYFUNCTION("""COMPUTED_VALUE"""),28166.0)</f>
        <v>28166</v>
      </c>
      <c r="C12757" s="9">
        <f>IFERROR(__xludf.DUMMYFUNCTION("""COMPUTED_VALUE"""),7.34)</f>
        <v>7.34</v>
      </c>
      <c r="H12757" s="17"/>
      <c r="K12757" s="17"/>
      <c r="N12757" s="17"/>
    </row>
    <row r="12758">
      <c r="B12758" s="11">
        <f>IFERROR(__xludf.DUMMYFUNCTION("""COMPUTED_VALUE"""),28165.0)</f>
        <v>28165</v>
      </c>
      <c r="C12758" s="9">
        <f>IFERROR(__xludf.DUMMYFUNCTION("""COMPUTED_VALUE"""),7.34)</f>
        <v>7.34</v>
      </c>
      <c r="H12758" s="17"/>
      <c r="K12758" s="17"/>
      <c r="N12758" s="17"/>
    </row>
    <row r="12759">
      <c r="B12759" s="11">
        <f>IFERROR(__xludf.DUMMYFUNCTION("""COMPUTED_VALUE"""),28164.0)</f>
        <v>28164</v>
      </c>
      <c r="C12759" s="9">
        <f>IFERROR(__xludf.DUMMYFUNCTION("""COMPUTED_VALUE"""),7.35)</f>
        <v>7.35</v>
      </c>
      <c r="H12759" s="17"/>
      <c r="K12759" s="17"/>
      <c r="N12759" s="17"/>
    </row>
    <row r="12760">
      <c r="B12760" s="11">
        <f>IFERROR(__xludf.DUMMYFUNCTION("""COMPUTED_VALUE"""),28163.0)</f>
        <v>28163</v>
      </c>
      <c r="C12760" s="9">
        <f>IFERROR(__xludf.DUMMYFUNCTION("""COMPUTED_VALUE"""),7.34)</f>
        <v>7.34</v>
      </c>
      <c r="H12760" s="17"/>
      <c r="K12760" s="17"/>
      <c r="N12760" s="17"/>
    </row>
    <row r="12761">
      <c r="B12761" s="11">
        <f>IFERROR(__xludf.DUMMYFUNCTION("""COMPUTED_VALUE"""),28160.0)</f>
        <v>28160</v>
      </c>
      <c r="C12761" s="9">
        <f>IFERROR(__xludf.DUMMYFUNCTION("""COMPUTED_VALUE"""),7.28)</f>
        <v>7.28</v>
      </c>
      <c r="H12761" s="17"/>
      <c r="K12761" s="17"/>
      <c r="N12761" s="17"/>
    </row>
    <row r="12762">
      <c r="B12762" s="11">
        <f>IFERROR(__xludf.DUMMYFUNCTION("""COMPUTED_VALUE"""),28159.0)</f>
        <v>28159</v>
      </c>
      <c r="C12762" s="9">
        <f>IFERROR(__xludf.DUMMYFUNCTION("""COMPUTED_VALUE"""),7.46)</f>
        <v>7.46</v>
      </c>
      <c r="H12762" s="17"/>
      <c r="K12762" s="17"/>
      <c r="N12762" s="17"/>
    </row>
    <row r="12763">
      <c r="B12763" s="11">
        <f>IFERROR(__xludf.DUMMYFUNCTION("""COMPUTED_VALUE"""),28158.0)</f>
        <v>28158</v>
      </c>
      <c r="C12763" s="9">
        <f>IFERROR(__xludf.DUMMYFUNCTION("""COMPUTED_VALUE"""),7.47)</f>
        <v>7.47</v>
      </c>
      <c r="H12763" s="17"/>
      <c r="K12763" s="17"/>
      <c r="N12763" s="17"/>
    </row>
    <row r="12764">
      <c r="B12764" s="11">
        <f>IFERROR(__xludf.DUMMYFUNCTION("""COMPUTED_VALUE"""),28157.0)</f>
        <v>28157</v>
      </c>
      <c r="C12764" s="9">
        <f>IFERROR(__xludf.DUMMYFUNCTION("""COMPUTED_VALUE"""),7.41)</f>
        <v>7.41</v>
      </c>
      <c r="H12764" s="17"/>
      <c r="K12764" s="17"/>
      <c r="N12764" s="17"/>
    </row>
    <row r="12765">
      <c r="B12765" s="11">
        <f>IFERROR(__xludf.DUMMYFUNCTION("""COMPUTED_VALUE"""),28156.0)</f>
        <v>28156</v>
      </c>
      <c r="C12765" s="9">
        <f>IFERROR(__xludf.DUMMYFUNCTION("""COMPUTED_VALUE"""),7.4)</f>
        <v>7.4</v>
      </c>
      <c r="H12765" s="17"/>
      <c r="K12765" s="17"/>
      <c r="N12765" s="17"/>
    </row>
    <row r="12766">
      <c r="B12766" s="11">
        <f>IFERROR(__xludf.DUMMYFUNCTION("""COMPUTED_VALUE"""),28153.0)</f>
        <v>28153</v>
      </c>
      <c r="C12766" s="9">
        <f>IFERROR(__xludf.DUMMYFUNCTION("""COMPUTED_VALUE"""),7.4)</f>
        <v>7.4</v>
      </c>
      <c r="H12766" s="17"/>
      <c r="K12766" s="17"/>
      <c r="N12766" s="17"/>
    </row>
    <row r="12767">
      <c r="B12767" s="11">
        <f>IFERROR(__xludf.DUMMYFUNCTION("""COMPUTED_VALUE"""),28152.0)</f>
        <v>28152</v>
      </c>
      <c r="C12767" s="9">
        <f>IFERROR(__xludf.DUMMYFUNCTION("""COMPUTED_VALUE"""),7.43)</f>
        <v>7.43</v>
      </c>
      <c r="H12767" s="17"/>
      <c r="K12767" s="17"/>
      <c r="N12767" s="17"/>
    </row>
    <row r="12768">
      <c r="B12768" s="11">
        <f>IFERROR(__xludf.DUMMYFUNCTION("""COMPUTED_VALUE"""),28151.0)</f>
        <v>28151</v>
      </c>
      <c r="C12768" s="9">
        <f>IFERROR(__xludf.DUMMYFUNCTION("""COMPUTED_VALUE"""),7.33)</f>
        <v>7.33</v>
      </c>
      <c r="H12768" s="17"/>
      <c r="K12768" s="17"/>
      <c r="N12768" s="17"/>
    </row>
    <row r="12769">
      <c r="B12769" s="11">
        <f>IFERROR(__xludf.DUMMYFUNCTION("""COMPUTED_VALUE"""),28150.0)</f>
        <v>28150</v>
      </c>
      <c r="C12769" s="9">
        <f>IFERROR(__xludf.DUMMYFUNCTION("""COMPUTED_VALUE"""),7.32)</f>
        <v>7.32</v>
      </c>
      <c r="H12769" s="17"/>
      <c r="K12769" s="17"/>
      <c r="N12769" s="17"/>
    </row>
    <row r="12770">
      <c r="B12770" s="11">
        <f>IFERROR(__xludf.DUMMYFUNCTION("""COMPUTED_VALUE"""),28149.0)</f>
        <v>28149</v>
      </c>
      <c r="C12770" s="9">
        <f>IFERROR(__xludf.DUMMYFUNCTION("""COMPUTED_VALUE"""),7.34)</f>
        <v>7.34</v>
      </c>
      <c r="H12770" s="17"/>
      <c r="K12770" s="17"/>
      <c r="N12770" s="17"/>
    </row>
    <row r="12771">
      <c r="B12771" s="11">
        <f>IFERROR(__xludf.DUMMYFUNCTION("""COMPUTED_VALUE"""),28146.0)</f>
        <v>28146</v>
      </c>
      <c r="C12771" s="9">
        <f>IFERROR(__xludf.DUMMYFUNCTION("""COMPUTED_VALUE"""),7.28)</f>
        <v>7.28</v>
      </c>
      <c r="H12771" s="17"/>
      <c r="K12771" s="17"/>
      <c r="N12771" s="17"/>
    </row>
    <row r="12772">
      <c r="B12772" s="11">
        <f>IFERROR(__xludf.DUMMYFUNCTION("""COMPUTED_VALUE"""),28145.0)</f>
        <v>28145</v>
      </c>
      <c r="C12772" s="9">
        <f>IFERROR(__xludf.DUMMYFUNCTION("""COMPUTED_VALUE"""),7.26)</f>
        <v>7.26</v>
      </c>
      <c r="H12772" s="17"/>
      <c r="K12772" s="17"/>
      <c r="N12772" s="17"/>
    </row>
    <row r="12773">
      <c r="B12773" s="11">
        <f>IFERROR(__xludf.DUMMYFUNCTION("""COMPUTED_VALUE"""),28144.0)</f>
        <v>28144</v>
      </c>
      <c r="C12773" s="9">
        <f>IFERROR(__xludf.DUMMYFUNCTION("""COMPUTED_VALUE"""),7.28)</f>
        <v>7.28</v>
      </c>
      <c r="H12773" s="17"/>
      <c r="K12773" s="17"/>
      <c r="N12773" s="17"/>
    </row>
    <row r="12774">
      <c r="B12774" s="11">
        <f>IFERROR(__xludf.DUMMYFUNCTION("""COMPUTED_VALUE"""),28143.0)</f>
        <v>28143</v>
      </c>
      <c r="C12774" s="9">
        <f>IFERROR(__xludf.DUMMYFUNCTION("""COMPUTED_VALUE"""),7.34)</f>
        <v>7.34</v>
      </c>
      <c r="H12774" s="17"/>
      <c r="K12774" s="17"/>
      <c r="N12774" s="17"/>
    </row>
    <row r="12775">
      <c r="B12775" s="11">
        <f>IFERROR(__xludf.DUMMYFUNCTION("""COMPUTED_VALUE"""),28142.0)</f>
        <v>28142</v>
      </c>
      <c r="C12775" s="9">
        <f>IFERROR(__xludf.DUMMYFUNCTION("""COMPUTED_VALUE"""),7.28)</f>
        <v>7.28</v>
      </c>
      <c r="H12775" s="17"/>
      <c r="K12775" s="17"/>
      <c r="N12775" s="17"/>
    </row>
    <row r="12776">
      <c r="B12776" s="11">
        <f>IFERROR(__xludf.DUMMYFUNCTION("""COMPUTED_VALUE"""),28139.0)</f>
        <v>28139</v>
      </c>
      <c r="C12776" s="9">
        <f>IFERROR(__xludf.DUMMYFUNCTION("""COMPUTED_VALUE"""),7.28)</f>
        <v>7.28</v>
      </c>
      <c r="H12776" s="17"/>
      <c r="K12776" s="17"/>
      <c r="N12776" s="17"/>
    </row>
    <row r="12777">
      <c r="B12777" s="11">
        <f>IFERROR(__xludf.DUMMYFUNCTION("""COMPUTED_VALUE"""),28138.0)</f>
        <v>28138</v>
      </c>
      <c r="C12777" s="9">
        <f>IFERROR(__xludf.DUMMYFUNCTION("""COMPUTED_VALUE"""),7.18)</f>
        <v>7.18</v>
      </c>
      <c r="H12777" s="17"/>
      <c r="K12777" s="17"/>
      <c r="N12777" s="17"/>
    </row>
    <row r="12778">
      <c r="B12778" s="11">
        <f>IFERROR(__xludf.DUMMYFUNCTION("""COMPUTED_VALUE"""),28137.0)</f>
        <v>28137</v>
      </c>
      <c r="C12778" s="9">
        <f>IFERROR(__xludf.DUMMYFUNCTION("""COMPUTED_VALUE"""),7.26)</f>
        <v>7.26</v>
      </c>
      <c r="H12778" s="17"/>
      <c r="K12778" s="17"/>
      <c r="N12778" s="17"/>
    </row>
    <row r="12779">
      <c r="B12779" s="11">
        <f>IFERROR(__xludf.DUMMYFUNCTION("""COMPUTED_VALUE"""),28136.0)</f>
        <v>28136</v>
      </c>
      <c r="C12779" s="9">
        <f>IFERROR(__xludf.DUMMYFUNCTION("""COMPUTED_VALUE"""),7.28)</f>
        <v>7.28</v>
      </c>
      <c r="H12779" s="17"/>
      <c r="K12779" s="17"/>
      <c r="N12779" s="17"/>
    </row>
    <row r="12780">
      <c r="B12780" s="11">
        <f>IFERROR(__xludf.DUMMYFUNCTION("""COMPUTED_VALUE"""),28135.0)</f>
        <v>28135</v>
      </c>
      <c r="C12780" s="9">
        <f>IFERROR(__xludf.DUMMYFUNCTION("""COMPUTED_VALUE"""),7.2)</f>
        <v>7.2</v>
      </c>
      <c r="H12780" s="17"/>
      <c r="K12780" s="17"/>
      <c r="N12780" s="17"/>
    </row>
    <row r="12781">
      <c r="B12781" s="11">
        <f>IFERROR(__xludf.DUMMYFUNCTION("""COMPUTED_VALUE"""),28132.0)</f>
        <v>28132</v>
      </c>
      <c r="C12781" s="9">
        <f>IFERROR(__xludf.DUMMYFUNCTION("""COMPUTED_VALUE"""),7.07)</f>
        <v>7.07</v>
      </c>
      <c r="H12781" s="17"/>
      <c r="K12781" s="17"/>
      <c r="N12781" s="17"/>
    </row>
    <row r="12782">
      <c r="B12782" s="11">
        <f>IFERROR(__xludf.DUMMYFUNCTION("""COMPUTED_VALUE"""),28131.0)</f>
        <v>28131</v>
      </c>
      <c r="C12782" s="9">
        <f>IFERROR(__xludf.DUMMYFUNCTION("""COMPUTED_VALUE"""),6.93)</f>
        <v>6.93</v>
      </c>
      <c r="H12782" s="17"/>
      <c r="K12782" s="17"/>
      <c r="N12782" s="17"/>
    </row>
    <row r="12783">
      <c r="B12783" s="11">
        <f>IFERROR(__xludf.DUMMYFUNCTION("""COMPUTED_VALUE"""),28130.0)</f>
        <v>28130</v>
      </c>
      <c r="C12783" s="9">
        <f>IFERROR(__xludf.DUMMYFUNCTION("""COMPUTED_VALUE"""),6.88)</f>
        <v>6.88</v>
      </c>
      <c r="H12783" s="17"/>
      <c r="K12783" s="17"/>
      <c r="N12783" s="17"/>
    </row>
    <row r="12784">
      <c r="B12784" s="11">
        <f>IFERROR(__xludf.DUMMYFUNCTION("""COMPUTED_VALUE"""),28129.0)</f>
        <v>28129</v>
      </c>
      <c r="C12784" s="9">
        <f>IFERROR(__xludf.DUMMYFUNCTION("""COMPUTED_VALUE"""),6.9)</f>
        <v>6.9</v>
      </c>
      <c r="H12784" s="17"/>
      <c r="K12784" s="17"/>
      <c r="N12784" s="17"/>
    </row>
    <row r="12785">
      <c r="B12785" s="11">
        <f>IFERROR(__xludf.DUMMYFUNCTION("""COMPUTED_VALUE"""),28128.0)</f>
        <v>28128</v>
      </c>
      <c r="C12785" s="9">
        <f>IFERROR(__xludf.DUMMYFUNCTION("""COMPUTED_VALUE"""),6.84)</f>
        <v>6.84</v>
      </c>
      <c r="H12785" s="17"/>
      <c r="K12785" s="17"/>
      <c r="N12785" s="17"/>
    </row>
    <row r="12786">
      <c r="B12786" s="11">
        <f>IFERROR(__xludf.DUMMYFUNCTION("""COMPUTED_VALUE"""),28125.0)</f>
        <v>28125</v>
      </c>
      <c r="C12786" s="9">
        <f>IFERROR(__xludf.DUMMYFUNCTION("""COMPUTED_VALUE"""),6.81)</f>
        <v>6.81</v>
      </c>
      <c r="H12786" s="17"/>
      <c r="K12786" s="17"/>
      <c r="N12786" s="17"/>
    </row>
    <row r="12787">
      <c r="B12787" s="11">
        <f>IFERROR(__xludf.DUMMYFUNCTION("""COMPUTED_VALUE"""),28124.0)</f>
        <v>28124</v>
      </c>
      <c r="C12787" s="9">
        <f>IFERROR(__xludf.DUMMYFUNCTION("""COMPUTED_VALUE"""),6.8)</f>
        <v>6.8</v>
      </c>
      <c r="H12787" s="17"/>
      <c r="K12787" s="17"/>
      <c r="N12787" s="17"/>
    </row>
    <row r="12788">
      <c r="B12788" s="11">
        <f>IFERROR(__xludf.DUMMYFUNCTION("""COMPUTED_VALUE"""),28123.0)</f>
        <v>28123</v>
      </c>
      <c r="C12788" s="9">
        <f>IFERROR(__xludf.DUMMYFUNCTION("""COMPUTED_VALUE"""),6.84)</f>
        <v>6.84</v>
      </c>
      <c r="H12788" s="17"/>
      <c r="K12788" s="17"/>
      <c r="N12788" s="17"/>
    </row>
    <row r="12789">
      <c r="B12789" s="11">
        <f>IFERROR(__xludf.DUMMYFUNCTION("""COMPUTED_VALUE"""),28122.0)</f>
        <v>28122</v>
      </c>
      <c r="C12789" s="9">
        <f>IFERROR(__xludf.DUMMYFUNCTION("""COMPUTED_VALUE"""),6.86)</f>
        <v>6.86</v>
      </c>
      <c r="H12789" s="17"/>
      <c r="K12789" s="17"/>
      <c r="N12789" s="17"/>
    </row>
    <row r="12790">
      <c r="B12790" s="11">
        <f>IFERROR(__xludf.DUMMYFUNCTION("""COMPUTED_VALUE"""),28121.0)</f>
        <v>28121</v>
      </c>
      <c r="C12790" s="9">
        <f>IFERROR(__xludf.DUMMYFUNCTION("""COMPUTED_VALUE"""),6.84)</f>
        <v>6.84</v>
      </c>
      <c r="H12790" s="17"/>
      <c r="K12790" s="17"/>
      <c r="N12790" s="17"/>
    </row>
    <row r="12791">
      <c r="B12791" s="11">
        <f>IFERROR(__xludf.DUMMYFUNCTION("""COMPUTED_VALUE"""),28118.0)</f>
        <v>28118</v>
      </c>
      <c r="C12791" s="9"/>
      <c r="H12791" s="17"/>
      <c r="K12791" s="17"/>
      <c r="N12791" s="17"/>
    </row>
    <row r="12792">
      <c r="B12792" s="11">
        <f>IFERROR(__xludf.DUMMYFUNCTION("""COMPUTED_VALUE"""),28117.0)</f>
        <v>28117</v>
      </c>
      <c r="C12792" s="9">
        <f>IFERROR(__xludf.DUMMYFUNCTION("""COMPUTED_VALUE"""),6.84)</f>
        <v>6.84</v>
      </c>
      <c r="H12792" s="17"/>
      <c r="K12792" s="17"/>
      <c r="N12792" s="17"/>
    </row>
    <row r="12793">
      <c r="B12793" s="11">
        <f>IFERROR(__xludf.DUMMYFUNCTION("""COMPUTED_VALUE"""),28116.0)</f>
        <v>28116</v>
      </c>
      <c r="C12793" s="9">
        <f>IFERROR(__xludf.DUMMYFUNCTION("""COMPUTED_VALUE"""),6.86)</f>
        <v>6.86</v>
      </c>
      <c r="H12793" s="17"/>
      <c r="K12793" s="17"/>
      <c r="N12793" s="17"/>
    </row>
    <row r="12794">
      <c r="B12794" s="11">
        <f>IFERROR(__xludf.DUMMYFUNCTION("""COMPUTED_VALUE"""),28115.0)</f>
        <v>28115</v>
      </c>
      <c r="C12794" s="9">
        <f>IFERROR(__xludf.DUMMYFUNCTION("""COMPUTED_VALUE"""),6.85)</f>
        <v>6.85</v>
      </c>
      <c r="H12794" s="17"/>
      <c r="K12794" s="17"/>
      <c r="N12794" s="17"/>
    </row>
    <row r="12795">
      <c r="B12795" s="11">
        <f>IFERROR(__xludf.DUMMYFUNCTION("""COMPUTED_VALUE"""),28114.0)</f>
        <v>28114</v>
      </c>
      <c r="C12795" s="9">
        <f>IFERROR(__xludf.DUMMYFUNCTION("""COMPUTED_VALUE"""),6.84)</f>
        <v>6.84</v>
      </c>
      <c r="H12795" s="17"/>
      <c r="K12795" s="17"/>
      <c r="N12795" s="17"/>
    </row>
    <row r="12796">
      <c r="B12796" s="11">
        <f>IFERROR(__xludf.DUMMYFUNCTION("""COMPUTED_VALUE"""),28111.0)</f>
        <v>28111</v>
      </c>
      <c r="C12796" s="9">
        <f>IFERROR(__xludf.DUMMYFUNCTION("""COMPUTED_VALUE"""),6.88)</f>
        <v>6.88</v>
      </c>
      <c r="H12796" s="17"/>
      <c r="K12796" s="17"/>
      <c r="N12796" s="17"/>
    </row>
    <row r="12797">
      <c r="B12797" s="11">
        <f>IFERROR(__xludf.DUMMYFUNCTION("""COMPUTED_VALUE"""),28110.0)</f>
        <v>28110</v>
      </c>
      <c r="C12797" s="9">
        <f>IFERROR(__xludf.DUMMYFUNCTION("""COMPUTED_VALUE"""),6.88)</f>
        <v>6.88</v>
      </c>
      <c r="H12797" s="17"/>
      <c r="K12797" s="17"/>
      <c r="N12797" s="17"/>
    </row>
    <row r="12798">
      <c r="B12798" s="11">
        <f>IFERROR(__xludf.DUMMYFUNCTION("""COMPUTED_VALUE"""),28109.0)</f>
        <v>28109</v>
      </c>
      <c r="C12798" s="9">
        <f>IFERROR(__xludf.DUMMYFUNCTION("""COMPUTED_VALUE"""),6.88)</f>
        <v>6.88</v>
      </c>
      <c r="H12798" s="17"/>
      <c r="K12798" s="17"/>
      <c r="N12798" s="17"/>
    </row>
    <row r="12799">
      <c r="B12799" s="11">
        <f>IFERROR(__xludf.DUMMYFUNCTION("""COMPUTED_VALUE"""),28108.0)</f>
        <v>28108</v>
      </c>
      <c r="C12799" s="9">
        <f>IFERROR(__xludf.DUMMYFUNCTION("""COMPUTED_VALUE"""),6.89)</f>
        <v>6.89</v>
      </c>
      <c r="H12799" s="17"/>
      <c r="K12799" s="17"/>
      <c r="N12799" s="17"/>
    </row>
    <row r="12800">
      <c r="B12800" s="11">
        <f>IFERROR(__xludf.DUMMYFUNCTION("""COMPUTED_VALUE"""),28107.0)</f>
        <v>28107</v>
      </c>
      <c r="C12800" s="9">
        <f>IFERROR(__xludf.DUMMYFUNCTION("""COMPUTED_VALUE"""),6.9)</f>
        <v>6.9</v>
      </c>
      <c r="H12800" s="17"/>
      <c r="K12800" s="17"/>
      <c r="N12800" s="17"/>
    </row>
    <row r="12801">
      <c r="B12801" s="11">
        <f>IFERROR(__xludf.DUMMYFUNCTION("""COMPUTED_VALUE"""),28104.0)</f>
        <v>28104</v>
      </c>
      <c r="C12801" s="9">
        <f>IFERROR(__xludf.DUMMYFUNCTION("""COMPUTED_VALUE"""),6.82)</f>
        <v>6.82</v>
      </c>
      <c r="H12801" s="17"/>
      <c r="K12801" s="17"/>
      <c r="N12801" s="17"/>
    </row>
    <row r="12802">
      <c r="B12802" s="11">
        <f>IFERROR(__xludf.DUMMYFUNCTION("""COMPUTED_VALUE"""),28103.0)</f>
        <v>28103</v>
      </c>
      <c r="C12802" s="9">
        <f>IFERROR(__xludf.DUMMYFUNCTION("""COMPUTED_VALUE"""),6.92)</f>
        <v>6.92</v>
      </c>
      <c r="H12802" s="17"/>
      <c r="K12802" s="17"/>
      <c r="N12802" s="17"/>
    </row>
    <row r="12803">
      <c r="B12803" s="11">
        <f>IFERROR(__xludf.DUMMYFUNCTION("""COMPUTED_VALUE"""),28102.0)</f>
        <v>28102</v>
      </c>
      <c r="C12803" s="9">
        <f>IFERROR(__xludf.DUMMYFUNCTION("""COMPUTED_VALUE"""),6.91)</f>
        <v>6.91</v>
      </c>
      <c r="H12803" s="17"/>
      <c r="K12803" s="17"/>
      <c r="N12803" s="17"/>
    </row>
    <row r="12804">
      <c r="B12804" s="11">
        <f>IFERROR(__xludf.DUMMYFUNCTION("""COMPUTED_VALUE"""),28101.0)</f>
        <v>28101</v>
      </c>
      <c r="C12804" s="9">
        <f>IFERROR(__xludf.DUMMYFUNCTION("""COMPUTED_VALUE"""),6.88)</f>
        <v>6.88</v>
      </c>
      <c r="H12804" s="17"/>
      <c r="K12804" s="17"/>
      <c r="N12804" s="17"/>
    </row>
    <row r="12805">
      <c r="B12805" s="11">
        <f>IFERROR(__xludf.DUMMYFUNCTION("""COMPUTED_VALUE"""),28100.0)</f>
        <v>28100</v>
      </c>
      <c r="C12805" s="9">
        <f>IFERROR(__xludf.DUMMYFUNCTION("""COMPUTED_VALUE"""),6.87)</f>
        <v>6.87</v>
      </c>
      <c r="H12805" s="17"/>
      <c r="K12805" s="17"/>
      <c r="N12805" s="17"/>
    </row>
    <row r="12806">
      <c r="B12806" s="11">
        <f>IFERROR(__xludf.DUMMYFUNCTION("""COMPUTED_VALUE"""),28097.0)</f>
        <v>28097</v>
      </c>
      <c r="C12806" s="9">
        <f>IFERROR(__xludf.DUMMYFUNCTION("""COMPUTED_VALUE"""),6.86)</f>
        <v>6.86</v>
      </c>
      <c r="H12806" s="17"/>
      <c r="K12806" s="17"/>
      <c r="N12806" s="17"/>
    </row>
    <row r="12807">
      <c r="B12807" s="11">
        <f>IFERROR(__xludf.DUMMYFUNCTION("""COMPUTED_VALUE"""),28096.0)</f>
        <v>28096</v>
      </c>
      <c r="C12807" s="9">
        <f>IFERROR(__xludf.DUMMYFUNCTION("""COMPUTED_VALUE"""),6.92)</f>
        <v>6.92</v>
      </c>
      <c r="H12807" s="17"/>
      <c r="K12807" s="17"/>
      <c r="N12807" s="17"/>
    </row>
    <row r="12808">
      <c r="B12808" s="11">
        <f>IFERROR(__xludf.DUMMYFUNCTION("""COMPUTED_VALUE"""),28095.0)</f>
        <v>28095</v>
      </c>
      <c r="C12808" s="9">
        <f>IFERROR(__xludf.DUMMYFUNCTION("""COMPUTED_VALUE"""),6.97)</f>
        <v>6.97</v>
      </c>
      <c r="H12808" s="17"/>
      <c r="K12808" s="17"/>
      <c r="N12808" s="17"/>
    </row>
    <row r="12809">
      <c r="B12809" s="11">
        <f>IFERROR(__xludf.DUMMYFUNCTION("""COMPUTED_VALUE"""),28094.0)</f>
        <v>28094</v>
      </c>
      <c r="C12809" s="9">
        <f>IFERROR(__xludf.DUMMYFUNCTION("""COMPUTED_VALUE"""),7.01)</f>
        <v>7.01</v>
      </c>
      <c r="H12809" s="17"/>
      <c r="K12809" s="17"/>
      <c r="N12809" s="17"/>
    </row>
    <row r="12810">
      <c r="B12810" s="11">
        <f>IFERROR(__xludf.DUMMYFUNCTION("""COMPUTED_VALUE"""),28093.0)</f>
        <v>28093</v>
      </c>
      <c r="C12810" s="9">
        <f>IFERROR(__xludf.DUMMYFUNCTION("""COMPUTED_VALUE"""),7.02)</f>
        <v>7.02</v>
      </c>
      <c r="H12810" s="17"/>
      <c r="K12810" s="17"/>
      <c r="N12810" s="17"/>
    </row>
    <row r="12811">
      <c r="B12811" s="11">
        <f>IFERROR(__xludf.DUMMYFUNCTION("""COMPUTED_VALUE"""),28090.0)</f>
        <v>28090</v>
      </c>
      <c r="C12811" s="9">
        <f>IFERROR(__xludf.DUMMYFUNCTION("""COMPUTED_VALUE"""),6.99)</f>
        <v>6.99</v>
      </c>
      <c r="H12811" s="17"/>
      <c r="K12811" s="17"/>
      <c r="N12811" s="17"/>
    </row>
    <row r="12812">
      <c r="B12812" s="11">
        <f>IFERROR(__xludf.DUMMYFUNCTION("""COMPUTED_VALUE"""),28089.0)</f>
        <v>28089</v>
      </c>
      <c r="C12812" s="9"/>
      <c r="H12812" s="17"/>
      <c r="K12812" s="17"/>
      <c r="N12812" s="17"/>
    </row>
    <row r="12813">
      <c r="B12813" s="11">
        <f>IFERROR(__xludf.DUMMYFUNCTION("""COMPUTED_VALUE"""),28088.0)</f>
        <v>28088</v>
      </c>
      <c r="C12813" s="9">
        <f>IFERROR(__xludf.DUMMYFUNCTION("""COMPUTED_VALUE"""),7.14)</f>
        <v>7.14</v>
      </c>
      <c r="H12813" s="17"/>
      <c r="K12813" s="17"/>
      <c r="N12813" s="17"/>
    </row>
    <row r="12814">
      <c r="B12814" s="11">
        <f>IFERROR(__xludf.DUMMYFUNCTION("""COMPUTED_VALUE"""),28087.0)</f>
        <v>28087</v>
      </c>
      <c r="C12814" s="9">
        <f>IFERROR(__xludf.DUMMYFUNCTION("""COMPUTED_VALUE"""),7.16)</f>
        <v>7.16</v>
      </c>
      <c r="H12814" s="17"/>
      <c r="K12814" s="17"/>
      <c r="N12814" s="17"/>
    </row>
    <row r="12815">
      <c r="B12815" s="11">
        <f>IFERROR(__xludf.DUMMYFUNCTION("""COMPUTED_VALUE"""),28086.0)</f>
        <v>28086</v>
      </c>
      <c r="C12815" s="9">
        <f>IFERROR(__xludf.DUMMYFUNCTION("""COMPUTED_VALUE"""),7.17)</f>
        <v>7.17</v>
      </c>
      <c r="H12815" s="17"/>
      <c r="K12815" s="17"/>
      <c r="N12815" s="17"/>
    </row>
    <row r="12816">
      <c r="B12816" s="11">
        <f>IFERROR(__xludf.DUMMYFUNCTION("""COMPUTED_VALUE"""),28083.0)</f>
        <v>28083</v>
      </c>
      <c r="C12816" s="9">
        <f>IFERROR(__xludf.DUMMYFUNCTION("""COMPUTED_VALUE"""),7.24)</f>
        <v>7.24</v>
      </c>
      <c r="H12816" s="17"/>
      <c r="K12816" s="17"/>
      <c r="N12816" s="17"/>
    </row>
    <row r="12817">
      <c r="B12817" s="11">
        <f>IFERROR(__xludf.DUMMYFUNCTION("""COMPUTED_VALUE"""),28082.0)</f>
        <v>28082</v>
      </c>
      <c r="C12817" s="9">
        <f>IFERROR(__xludf.DUMMYFUNCTION("""COMPUTED_VALUE"""),7.33)</f>
        <v>7.33</v>
      </c>
      <c r="H12817" s="17"/>
      <c r="K12817" s="17"/>
      <c r="N12817" s="17"/>
    </row>
    <row r="12818">
      <c r="B12818" s="11">
        <f>IFERROR(__xludf.DUMMYFUNCTION("""COMPUTED_VALUE"""),28081.0)</f>
        <v>28081</v>
      </c>
      <c r="C12818" s="9">
        <f>IFERROR(__xludf.DUMMYFUNCTION("""COMPUTED_VALUE"""),7.32)</f>
        <v>7.32</v>
      </c>
      <c r="H12818" s="17"/>
      <c r="K12818" s="17"/>
      <c r="N12818" s="17"/>
    </row>
    <row r="12819">
      <c r="B12819" s="11">
        <f>IFERROR(__xludf.DUMMYFUNCTION("""COMPUTED_VALUE"""),28080.0)</f>
        <v>28080</v>
      </c>
      <c r="C12819" s="9">
        <f>IFERROR(__xludf.DUMMYFUNCTION("""COMPUTED_VALUE"""),7.33)</f>
        <v>7.33</v>
      </c>
      <c r="H12819" s="17"/>
      <c r="K12819" s="17"/>
      <c r="N12819" s="17"/>
    </row>
    <row r="12820">
      <c r="B12820" s="11">
        <f>IFERROR(__xludf.DUMMYFUNCTION("""COMPUTED_VALUE"""),28079.0)</f>
        <v>28079</v>
      </c>
      <c r="C12820" s="9">
        <f>IFERROR(__xludf.DUMMYFUNCTION("""COMPUTED_VALUE"""),7.41)</f>
        <v>7.41</v>
      </c>
      <c r="H12820" s="17"/>
      <c r="K12820" s="17"/>
      <c r="N12820" s="17"/>
    </row>
    <row r="12821">
      <c r="B12821" s="11">
        <f>IFERROR(__xludf.DUMMYFUNCTION("""COMPUTED_VALUE"""),28076.0)</f>
        <v>28076</v>
      </c>
      <c r="C12821" s="9">
        <f>IFERROR(__xludf.DUMMYFUNCTION("""COMPUTED_VALUE"""),7.43)</f>
        <v>7.43</v>
      </c>
      <c r="H12821" s="17"/>
      <c r="K12821" s="17"/>
      <c r="N12821" s="17"/>
    </row>
    <row r="12822">
      <c r="B12822" s="11">
        <f>IFERROR(__xludf.DUMMYFUNCTION("""COMPUTED_VALUE"""),28075.0)</f>
        <v>28075</v>
      </c>
      <c r="C12822" s="9"/>
      <c r="H12822" s="17"/>
      <c r="K12822" s="17"/>
      <c r="N12822" s="17"/>
    </row>
    <row r="12823">
      <c r="B12823" s="11">
        <f>IFERROR(__xludf.DUMMYFUNCTION("""COMPUTED_VALUE"""),28074.0)</f>
        <v>28074</v>
      </c>
      <c r="C12823" s="9">
        <f>IFERROR(__xludf.DUMMYFUNCTION("""COMPUTED_VALUE"""),7.45)</f>
        <v>7.45</v>
      </c>
      <c r="H12823" s="17"/>
      <c r="K12823" s="17"/>
      <c r="N12823" s="17"/>
    </row>
    <row r="12824">
      <c r="B12824" s="11">
        <f>IFERROR(__xludf.DUMMYFUNCTION("""COMPUTED_VALUE"""),28073.0)</f>
        <v>28073</v>
      </c>
      <c r="C12824" s="9">
        <f>IFERROR(__xludf.DUMMYFUNCTION("""COMPUTED_VALUE"""),7.46)</f>
        <v>7.46</v>
      </c>
      <c r="H12824" s="17"/>
      <c r="K12824" s="17"/>
      <c r="N12824" s="17"/>
    </row>
    <row r="12825">
      <c r="B12825" s="11">
        <f>IFERROR(__xludf.DUMMYFUNCTION("""COMPUTED_VALUE"""),28072.0)</f>
        <v>28072</v>
      </c>
      <c r="C12825" s="9">
        <f>IFERROR(__xludf.DUMMYFUNCTION("""COMPUTED_VALUE"""),7.46)</f>
        <v>7.46</v>
      </c>
      <c r="H12825" s="17"/>
      <c r="K12825" s="17"/>
      <c r="N12825" s="17"/>
    </row>
    <row r="12826">
      <c r="B12826" s="11">
        <f>IFERROR(__xludf.DUMMYFUNCTION("""COMPUTED_VALUE"""),28069.0)</f>
        <v>28069</v>
      </c>
      <c r="C12826" s="9">
        <f>IFERROR(__xludf.DUMMYFUNCTION("""COMPUTED_VALUE"""),7.41)</f>
        <v>7.41</v>
      </c>
      <c r="H12826" s="17"/>
      <c r="K12826" s="17"/>
      <c r="N12826" s="17"/>
    </row>
    <row r="12827">
      <c r="B12827" s="11">
        <f>IFERROR(__xludf.DUMMYFUNCTION("""COMPUTED_VALUE"""),28068.0)</f>
        <v>28068</v>
      </c>
      <c r="C12827" s="9">
        <f>IFERROR(__xludf.DUMMYFUNCTION("""COMPUTED_VALUE"""),7.38)</f>
        <v>7.38</v>
      </c>
      <c r="H12827" s="17"/>
      <c r="K12827" s="17"/>
      <c r="N12827" s="17"/>
    </row>
    <row r="12828">
      <c r="B12828" s="11">
        <f>IFERROR(__xludf.DUMMYFUNCTION("""COMPUTED_VALUE"""),28067.0)</f>
        <v>28067</v>
      </c>
      <c r="C12828" s="9">
        <f>IFERROR(__xludf.DUMMYFUNCTION("""COMPUTED_VALUE"""),7.44)</f>
        <v>7.44</v>
      </c>
      <c r="H12828" s="17"/>
      <c r="K12828" s="17"/>
      <c r="N12828" s="17"/>
    </row>
    <row r="12829">
      <c r="B12829" s="11">
        <f>IFERROR(__xludf.DUMMYFUNCTION("""COMPUTED_VALUE"""),28066.0)</f>
        <v>28066</v>
      </c>
      <c r="C12829" s="9"/>
      <c r="H12829" s="17"/>
      <c r="K12829" s="17"/>
      <c r="N12829" s="17"/>
    </row>
    <row r="12830">
      <c r="B12830" s="11">
        <f>IFERROR(__xludf.DUMMYFUNCTION("""COMPUTED_VALUE"""),28065.0)</f>
        <v>28065</v>
      </c>
      <c r="C12830" s="9">
        <f>IFERROR(__xludf.DUMMYFUNCTION("""COMPUTED_VALUE"""),7.38)</f>
        <v>7.38</v>
      </c>
      <c r="H12830" s="17"/>
      <c r="K12830" s="17"/>
      <c r="N12830" s="17"/>
    </row>
    <row r="12831">
      <c r="B12831" s="11">
        <f>IFERROR(__xludf.DUMMYFUNCTION("""COMPUTED_VALUE"""),28062.0)</f>
        <v>28062</v>
      </c>
      <c r="C12831" s="9">
        <f>IFERROR(__xludf.DUMMYFUNCTION("""COMPUTED_VALUE"""),7.42)</f>
        <v>7.42</v>
      </c>
      <c r="H12831" s="17"/>
      <c r="K12831" s="17"/>
      <c r="N12831" s="17"/>
    </row>
    <row r="12832">
      <c r="B12832" s="11">
        <f>IFERROR(__xludf.DUMMYFUNCTION("""COMPUTED_VALUE"""),28061.0)</f>
        <v>28061</v>
      </c>
      <c r="C12832" s="9">
        <f>IFERROR(__xludf.DUMMYFUNCTION("""COMPUTED_VALUE"""),7.41)</f>
        <v>7.41</v>
      </c>
      <c r="H12832" s="17"/>
      <c r="K12832" s="17"/>
      <c r="N12832" s="17"/>
    </row>
    <row r="12833">
      <c r="B12833" s="11">
        <f>IFERROR(__xludf.DUMMYFUNCTION("""COMPUTED_VALUE"""),28060.0)</f>
        <v>28060</v>
      </c>
      <c r="C12833" s="9">
        <f>IFERROR(__xludf.DUMMYFUNCTION("""COMPUTED_VALUE"""),7.45)</f>
        <v>7.45</v>
      </c>
      <c r="H12833" s="17"/>
      <c r="K12833" s="17"/>
      <c r="N12833" s="17"/>
    </row>
    <row r="12834">
      <c r="B12834" s="11">
        <f>IFERROR(__xludf.DUMMYFUNCTION("""COMPUTED_VALUE"""),28059.0)</f>
        <v>28059</v>
      </c>
      <c r="C12834" s="9">
        <f>IFERROR(__xludf.DUMMYFUNCTION("""COMPUTED_VALUE"""),7.48)</f>
        <v>7.48</v>
      </c>
      <c r="H12834" s="17"/>
      <c r="K12834" s="17"/>
      <c r="N12834" s="17"/>
    </row>
    <row r="12835">
      <c r="B12835" s="11">
        <f>IFERROR(__xludf.DUMMYFUNCTION("""COMPUTED_VALUE"""),28058.0)</f>
        <v>28058</v>
      </c>
      <c r="C12835" s="9">
        <f>IFERROR(__xludf.DUMMYFUNCTION("""COMPUTED_VALUE"""),7.53)</f>
        <v>7.53</v>
      </c>
      <c r="H12835" s="17"/>
      <c r="K12835" s="17"/>
      <c r="N12835" s="17"/>
    </row>
    <row r="12836">
      <c r="B12836" s="11">
        <f>IFERROR(__xludf.DUMMYFUNCTION("""COMPUTED_VALUE"""),28055.0)</f>
        <v>28055</v>
      </c>
      <c r="C12836" s="9">
        <f>IFERROR(__xludf.DUMMYFUNCTION("""COMPUTED_VALUE"""),7.48)</f>
        <v>7.48</v>
      </c>
      <c r="H12836" s="17"/>
      <c r="K12836" s="17"/>
      <c r="N12836" s="17"/>
    </row>
    <row r="12837">
      <c r="B12837" s="11">
        <f>IFERROR(__xludf.DUMMYFUNCTION("""COMPUTED_VALUE"""),28054.0)</f>
        <v>28054</v>
      </c>
      <c r="C12837" s="9">
        <f>IFERROR(__xludf.DUMMYFUNCTION("""COMPUTED_VALUE"""),7.39)</f>
        <v>7.39</v>
      </c>
      <c r="H12837" s="17"/>
      <c r="K12837" s="17"/>
      <c r="N12837" s="17"/>
    </row>
    <row r="12838">
      <c r="B12838" s="11">
        <f>IFERROR(__xludf.DUMMYFUNCTION("""COMPUTED_VALUE"""),28053.0)</f>
        <v>28053</v>
      </c>
      <c r="C12838" s="9">
        <f>IFERROR(__xludf.DUMMYFUNCTION("""COMPUTED_VALUE"""),7.38)</f>
        <v>7.38</v>
      </c>
      <c r="H12838" s="17"/>
      <c r="K12838" s="17"/>
      <c r="N12838" s="17"/>
    </row>
    <row r="12839">
      <c r="B12839" s="11">
        <f>IFERROR(__xludf.DUMMYFUNCTION("""COMPUTED_VALUE"""),28052.0)</f>
        <v>28052</v>
      </c>
      <c r="C12839" s="9">
        <f>IFERROR(__xludf.DUMMYFUNCTION("""COMPUTED_VALUE"""),7.35)</f>
        <v>7.35</v>
      </c>
      <c r="H12839" s="17"/>
      <c r="K12839" s="17"/>
      <c r="N12839" s="17"/>
    </row>
    <row r="12840">
      <c r="B12840" s="11">
        <f>IFERROR(__xludf.DUMMYFUNCTION("""COMPUTED_VALUE"""),28051.0)</f>
        <v>28051</v>
      </c>
      <c r="C12840" s="9">
        <f>IFERROR(__xludf.DUMMYFUNCTION("""COMPUTED_VALUE"""),7.31)</f>
        <v>7.31</v>
      </c>
      <c r="H12840" s="17"/>
      <c r="K12840" s="17"/>
      <c r="N12840" s="17"/>
    </row>
    <row r="12841">
      <c r="B12841" s="11">
        <f>IFERROR(__xludf.DUMMYFUNCTION("""COMPUTED_VALUE"""),28048.0)</f>
        <v>28048</v>
      </c>
      <c r="C12841" s="9">
        <f>IFERROR(__xludf.DUMMYFUNCTION("""COMPUTED_VALUE"""),7.31)</f>
        <v>7.31</v>
      </c>
      <c r="H12841" s="17"/>
      <c r="K12841" s="17"/>
      <c r="N12841" s="17"/>
    </row>
    <row r="12842">
      <c r="B12842" s="11">
        <f>IFERROR(__xludf.DUMMYFUNCTION("""COMPUTED_VALUE"""),28047.0)</f>
        <v>28047</v>
      </c>
      <c r="C12842" s="9">
        <f>IFERROR(__xludf.DUMMYFUNCTION("""COMPUTED_VALUE"""),7.34)</f>
        <v>7.34</v>
      </c>
      <c r="H12842" s="17"/>
      <c r="K12842" s="17"/>
      <c r="N12842" s="17"/>
    </row>
    <row r="12843">
      <c r="B12843" s="11">
        <f>IFERROR(__xludf.DUMMYFUNCTION("""COMPUTED_VALUE"""),28046.0)</f>
        <v>28046</v>
      </c>
      <c r="C12843" s="9">
        <f>IFERROR(__xludf.DUMMYFUNCTION("""COMPUTED_VALUE"""),7.35)</f>
        <v>7.35</v>
      </c>
      <c r="H12843" s="17"/>
      <c r="K12843" s="17"/>
      <c r="N12843" s="17"/>
    </row>
    <row r="12844">
      <c r="B12844" s="11">
        <f>IFERROR(__xludf.DUMMYFUNCTION("""COMPUTED_VALUE"""),28045.0)</f>
        <v>28045</v>
      </c>
      <c r="C12844" s="9">
        <f>IFERROR(__xludf.DUMMYFUNCTION("""COMPUTED_VALUE"""),7.35)</f>
        <v>7.35</v>
      </c>
      <c r="H12844" s="17"/>
      <c r="K12844" s="17"/>
      <c r="N12844" s="17"/>
    </row>
    <row r="12845">
      <c r="B12845" s="11">
        <f>IFERROR(__xludf.DUMMYFUNCTION("""COMPUTED_VALUE"""),28044.0)</f>
        <v>28044</v>
      </c>
      <c r="C12845" s="9"/>
      <c r="H12845" s="17"/>
      <c r="K12845" s="17"/>
      <c r="N12845" s="17"/>
    </row>
    <row r="12846">
      <c r="B12846" s="11">
        <f>IFERROR(__xludf.DUMMYFUNCTION("""COMPUTED_VALUE"""),28041.0)</f>
        <v>28041</v>
      </c>
      <c r="C12846" s="9">
        <f>IFERROR(__xludf.DUMMYFUNCTION("""COMPUTED_VALUE"""),7.38)</f>
        <v>7.38</v>
      </c>
      <c r="H12846" s="17"/>
      <c r="K12846" s="17"/>
      <c r="N12846" s="17"/>
    </row>
    <row r="12847">
      <c r="B12847" s="11">
        <f>IFERROR(__xludf.DUMMYFUNCTION("""COMPUTED_VALUE"""),28040.0)</f>
        <v>28040</v>
      </c>
      <c r="C12847" s="9">
        <f>IFERROR(__xludf.DUMMYFUNCTION("""COMPUTED_VALUE"""),7.43)</f>
        <v>7.43</v>
      </c>
      <c r="H12847" s="17"/>
      <c r="K12847" s="17"/>
      <c r="N12847" s="17"/>
    </row>
    <row r="12848">
      <c r="B12848" s="11">
        <f>IFERROR(__xludf.DUMMYFUNCTION("""COMPUTED_VALUE"""),28039.0)</f>
        <v>28039</v>
      </c>
      <c r="C12848" s="9">
        <f>IFERROR(__xludf.DUMMYFUNCTION("""COMPUTED_VALUE"""),7.44)</f>
        <v>7.44</v>
      </c>
      <c r="H12848" s="17"/>
      <c r="K12848" s="17"/>
      <c r="N12848" s="17"/>
    </row>
    <row r="12849">
      <c r="B12849" s="11">
        <f>IFERROR(__xludf.DUMMYFUNCTION("""COMPUTED_VALUE"""),28038.0)</f>
        <v>28038</v>
      </c>
      <c r="C12849" s="9">
        <f>IFERROR(__xludf.DUMMYFUNCTION("""COMPUTED_VALUE"""),7.47)</f>
        <v>7.47</v>
      </c>
      <c r="H12849" s="17"/>
      <c r="K12849" s="17"/>
      <c r="N12849" s="17"/>
    </row>
    <row r="12850">
      <c r="B12850" s="11">
        <f>IFERROR(__xludf.DUMMYFUNCTION("""COMPUTED_VALUE"""),28037.0)</f>
        <v>28037</v>
      </c>
      <c r="C12850" s="9">
        <f>IFERROR(__xludf.DUMMYFUNCTION("""COMPUTED_VALUE"""),7.46)</f>
        <v>7.46</v>
      </c>
      <c r="H12850" s="17"/>
      <c r="K12850" s="17"/>
      <c r="N12850" s="17"/>
    </row>
    <row r="12851">
      <c r="B12851" s="11">
        <f>IFERROR(__xludf.DUMMYFUNCTION("""COMPUTED_VALUE"""),28034.0)</f>
        <v>28034</v>
      </c>
      <c r="C12851" s="9">
        <f>IFERROR(__xludf.DUMMYFUNCTION("""COMPUTED_VALUE"""),7.49)</f>
        <v>7.49</v>
      </c>
      <c r="H12851" s="17"/>
      <c r="K12851" s="17"/>
      <c r="N12851" s="17"/>
    </row>
    <row r="12852">
      <c r="B12852" s="11">
        <f>IFERROR(__xludf.DUMMYFUNCTION("""COMPUTED_VALUE"""),28033.0)</f>
        <v>28033</v>
      </c>
      <c r="C12852" s="9">
        <f>IFERROR(__xludf.DUMMYFUNCTION("""COMPUTED_VALUE"""),7.55)</f>
        <v>7.55</v>
      </c>
      <c r="H12852" s="17"/>
      <c r="K12852" s="17"/>
      <c r="N12852" s="17"/>
    </row>
    <row r="12853">
      <c r="B12853" s="11">
        <f>IFERROR(__xludf.DUMMYFUNCTION("""COMPUTED_VALUE"""),28032.0)</f>
        <v>28032</v>
      </c>
      <c r="C12853" s="9">
        <f>IFERROR(__xludf.DUMMYFUNCTION("""COMPUTED_VALUE"""),7.56)</f>
        <v>7.56</v>
      </c>
      <c r="H12853" s="17"/>
      <c r="K12853" s="17"/>
      <c r="N12853" s="17"/>
    </row>
    <row r="12854">
      <c r="B12854" s="11">
        <f>IFERROR(__xludf.DUMMYFUNCTION("""COMPUTED_VALUE"""),28031.0)</f>
        <v>28031</v>
      </c>
      <c r="C12854" s="9">
        <f>IFERROR(__xludf.DUMMYFUNCTION("""COMPUTED_VALUE"""),7.56)</f>
        <v>7.56</v>
      </c>
      <c r="H12854" s="17"/>
      <c r="K12854" s="17"/>
      <c r="N12854" s="17"/>
    </row>
    <row r="12855">
      <c r="B12855" s="11">
        <f>IFERROR(__xludf.DUMMYFUNCTION("""COMPUTED_VALUE"""),28030.0)</f>
        <v>28030</v>
      </c>
      <c r="C12855" s="9">
        <f>IFERROR(__xludf.DUMMYFUNCTION("""COMPUTED_VALUE"""),7.6)</f>
        <v>7.6</v>
      </c>
      <c r="H12855" s="17"/>
      <c r="K12855" s="17"/>
      <c r="N12855" s="17"/>
    </row>
    <row r="12856">
      <c r="B12856" s="11">
        <f>IFERROR(__xludf.DUMMYFUNCTION("""COMPUTED_VALUE"""),28027.0)</f>
        <v>28027</v>
      </c>
      <c r="C12856" s="9">
        <f>IFERROR(__xludf.DUMMYFUNCTION("""COMPUTED_VALUE"""),7.58)</f>
        <v>7.58</v>
      </c>
      <c r="H12856" s="17"/>
      <c r="K12856" s="17"/>
      <c r="N12856" s="17"/>
    </row>
    <row r="12857">
      <c r="B12857" s="11">
        <f>IFERROR(__xludf.DUMMYFUNCTION("""COMPUTED_VALUE"""),28026.0)</f>
        <v>28026</v>
      </c>
      <c r="C12857" s="9">
        <f>IFERROR(__xludf.DUMMYFUNCTION("""COMPUTED_VALUE"""),7.54)</f>
        <v>7.54</v>
      </c>
      <c r="H12857" s="17"/>
      <c r="K12857" s="17"/>
      <c r="N12857" s="17"/>
    </row>
    <row r="12858">
      <c r="B12858" s="11">
        <f>IFERROR(__xludf.DUMMYFUNCTION("""COMPUTED_VALUE"""),28025.0)</f>
        <v>28025</v>
      </c>
      <c r="C12858" s="9">
        <f>IFERROR(__xludf.DUMMYFUNCTION("""COMPUTED_VALUE"""),7.53)</f>
        <v>7.53</v>
      </c>
      <c r="H12858" s="17"/>
      <c r="K12858" s="17"/>
      <c r="N12858" s="17"/>
    </row>
    <row r="12859">
      <c r="B12859" s="11">
        <f>IFERROR(__xludf.DUMMYFUNCTION("""COMPUTED_VALUE"""),28024.0)</f>
        <v>28024</v>
      </c>
      <c r="C12859" s="9">
        <f>IFERROR(__xludf.DUMMYFUNCTION("""COMPUTED_VALUE"""),7.51)</f>
        <v>7.51</v>
      </c>
      <c r="H12859" s="17"/>
      <c r="K12859" s="17"/>
      <c r="N12859" s="17"/>
    </row>
    <row r="12860">
      <c r="B12860" s="11">
        <f>IFERROR(__xludf.DUMMYFUNCTION("""COMPUTED_VALUE"""),28023.0)</f>
        <v>28023</v>
      </c>
      <c r="C12860" s="9">
        <f>IFERROR(__xludf.DUMMYFUNCTION("""COMPUTED_VALUE"""),7.52)</f>
        <v>7.52</v>
      </c>
      <c r="H12860" s="17"/>
      <c r="K12860" s="17"/>
      <c r="N12860" s="17"/>
    </row>
    <row r="12861">
      <c r="B12861" s="11">
        <f>IFERROR(__xludf.DUMMYFUNCTION("""COMPUTED_VALUE"""),28020.0)</f>
        <v>28020</v>
      </c>
      <c r="C12861" s="9">
        <f>IFERROR(__xludf.DUMMYFUNCTION("""COMPUTED_VALUE"""),7.49)</f>
        <v>7.49</v>
      </c>
      <c r="H12861" s="17"/>
      <c r="K12861" s="17"/>
      <c r="N12861" s="17"/>
    </row>
    <row r="12862">
      <c r="B12862" s="11">
        <f>IFERROR(__xludf.DUMMYFUNCTION("""COMPUTED_VALUE"""),28019.0)</f>
        <v>28019</v>
      </c>
      <c r="C12862" s="9">
        <f>IFERROR(__xludf.DUMMYFUNCTION("""COMPUTED_VALUE"""),7.6)</f>
        <v>7.6</v>
      </c>
      <c r="H12862" s="17"/>
      <c r="K12862" s="17"/>
      <c r="N12862" s="17"/>
    </row>
    <row r="12863">
      <c r="B12863" s="11">
        <f>IFERROR(__xludf.DUMMYFUNCTION("""COMPUTED_VALUE"""),28018.0)</f>
        <v>28018</v>
      </c>
      <c r="C12863" s="9">
        <f>IFERROR(__xludf.DUMMYFUNCTION("""COMPUTED_VALUE"""),7.62)</f>
        <v>7.62</v>
      </c>
      <c r="H12863" s="17"/>
      <c r="K12863" s="17"/>
      <c r="N12863" s="17"/>
    </row>
    <row r="12864">
      <c r="B12864" s="11">
        <f>IFERROR(__xludf.DUMMYFUNCTION("""COMPUTED_VALUE"""),28017.0)</f>
        <v>28017</v>
      </c>
      <c r="C12864" s="9">
        <f>IFERROR(__xludf.DUMMYFUNCTION("""COMPUTED_VALUE"""),7.64)</f>
        <v>7.64</v>
      </c>
      <c r="H12864" s="17"/>
      <c r="K12864" s="17"/>
      <c r="N12864" s="17"/>
    </row>
    <row r="12865">
      <c r="B12865" s="11">
        <f>IFERROR(__xludf.DUMMYFUNCTION("""COMPUTED_VALUE"""),28016.0)</f>
        <v>28016</v>
      </c>
      <c r="C12865" s="9">
        <f>IFERROR(__xludf.DUMMYFUNCTION("""COMPUTED_VALUE"""),7.64)</f>
        <v>7.64</v>
      </c>
      <c r="H12865" s="17"/>
      <c r="K12865" s="17"/>
      <c r="N12865" s="17"/>
    </row>
    <row r="12866">
      <c r="B12866" s="11">
        <f>IFERROR(__xludf.DUMMYFUNCTION("""COMPUTED_VALUE"""),28013.0)</f>
        <v>28013</v>
      </c>
      <c r="C12866" s="9">
        <f>IFERROR(__xludf.DUMMYFUNCTION("""COMPUTED_VALUE"""),7.64)</f>
        <v>7.64</v>
      </c>
      <c r="H12866" s="17"/>
      <c r="K12866" s="17"/>
      <c r="N12866" s="17"/>
    </row>
    <row r="12867">
      <c r="B12867" s="11">
        <f>IFERROR(__xludf.DUMMYFUNCTION("""COMPUTED_VALUE"""),28012.0)</f>
        <v>28012</v>
      </c>
      <c r="C12867" s="9">
        <f>IFERROR(__xludf.DUMMYFUNCTION("""COMPUTED_VALUE"""),7.66)</f>
        <v>7.66</v>
      </c>
      <c r="H12867" s="17"/>
      <c r="K12867" s="17"/>
      <c r="N12867" s="17"/>
    </row>
    <row r="12868">
      <c r="B12868" s="11">
        <f>IFERROR(__xludf.DUMMYFUNCTION("""COMPUTED_VALUE"""),28011.0)</f>
        <v>28011</v>
      </c>
      <c r="C12868" s="9">
        <f>IFERROR(__xludf.DUMMYFUNCTION("""COMPUTED_VALUE"""),7.64)</f>
        <v>7.64</v>
      </c>
      <c r="H12868" s="17"/>
      <c r="K12868" s="17"/>
      <c r="N12868" s="17"/>
    </row>
    <row r="12869">
      <c r="B12869" s="11">
        <f>IFERROR(__xludf.DUMMYFUNCTION("""COMPUTED_VALUE"""),28010.0)</f>
        <v>28010</v>
      </c>
      <c r="C12869" s="9">
        <f>IFERROR(__xludf.DUMMYFUNCTION("""COMPUTED_VALUE"""),7.64)</f>
        <v>7.64</v>
      </c>
      <c r="H12869" s="17"/>
      <c r="K12869" s="17"/>
      <c r="N12869" s="17"/>
    </row>
    <row r="12870">
      <c r="B12870" s="11">
        <f>IFERROR(__xludf.DUMMYFUNCTION("""COMPUTED_VALUE"""),28009.0)</f>
        <v>28009</v>
      </c>
      <c r="C12870" s="9"/>
      <c r="H12870" s="17"/>
      <c r="K12870" s="17"/>
      <c r="N12870" s="17"/>
    </row>
    <row r="12871">
      <c r="B12871" s="11">
        <f>IFERROR(__xludf.DUMMYFUNCTION("""COMPUTED_VALUE"""),28006.0)</f>
        <v>28006</v>
      </c>
      <c r="C12871" s="9">
        <f>IFERROR(__xludf.DUMMYFUNCTION("""COMPUTED_VALUE"""),7.65)</f>
        <v>7.65</v>
      </c>
      <c r="H12871" s="17"/>
      <c r="K12871" s="17"/>
      <c r="N12871" s="17"/>
    </row>
    <row r="12872">
      <c r="B12872" s="11">
        <f>IFERROR(__xludf.DUMMYFUNCTION("""COMPUTED_VALUE"""),28005.0)</f>
        <v>28005</v>
      </c>
      <c r="C12872" s="9">
        <f>IFERROR(__xludf.DUMMYFUNCTION("""COMPUTED_VALUE"""),7.67)</f>
        <v>7.67</v>
      </c>
      <c r="H12872" s="17"/>
      <c r="K12872" s="17"/>
      <c r="N12872" s="17"/>
    </row>
    <row r="12873">
      <c r="B12873" s="11">
        <f>IFERROR(__xludf.DUMMYFUNCTION("""COMPUTED_VALUE"""),28004.0)</f>
        <v>28004</v>
      </c>
      <c r="C12873" s="9">
        <f>IFERROR(__xludf.DUMMYFUNCTION("""COMPUTED_VALUE"""),7.64)</f>
        <v>7.64</v>
      </c>
      <c r="H12873" s="17"/>
      <c r="K12873" s="17"/>
      <c r="N12873" s="17"/>
    </row>
    <row r="12874">
      <c r="B12874" s="11">
        <f>IFERROR(__xludf.DUMMYFUNCTION("""COMPUTED_VALUE"""),28003.0)</f>
        <v>28003</v>
      </c>
      <c r="C12874" s="9">
        <f>IFERROR(__xludf.DUMMYFUNCTION("""COMPUTED_VALUE"""),7.66)</f>
        <v>7.66</v>
      </c>
      <c r="H12874" s="17"/>
      <c r="K12874" s="17"/>
      <c r="N12874" s="17"/>
    </row>
    <row r="12875">
      <c r="B12875" s="11">
        <f>IFERROR(__xludf.DUMMYFUNCTION("""COMPUTED_VALUE"""),28002.0)</f>
        <v>28002</v>
      </c>
      <c r="C12875" s="9">
        <f>IFERROR(__xludf.DUMMYFUNCTION("""COMPUTED_VALUE"""),7.71)</f>
        <v>7.71</v>
      </c>
      <c r="H12875" s="17"/>
      <c r="K12875" s="17"/>
      <c r="N12875" s="17"/>
    </row>
    <row r="12876">
      <c r="B12876" s="11">
        <f>IFERROR(__xludf.DUMMYFUNCTION("""COMPUTED_VALUE"""),27999.0)</f>
        <v>27999</v>
      </c>
      <c r="C12876" s="9">
        <f>IFERROR(__xludf.DUMMYFUNCTION("""COMPUTED_VALUE"""),7.72)</f>
        <v>7.72</v>
      </c>
      <c r="H12876" s="17"/>
      <c r="K12876" s="17"/>
      <c r="N12876" s="17"/>
    </row>
    <row r="12877">
      <c r="B12877" s="11">
        <f>IFERROR(__xludf.DUMMYFUNCTION("""COMPUTED_VALUE"""),27998.0)</f>
        <v>27998</v>
      </c>
      <c r="C12877" s="9">
        <f>IFERROR(__xludf.DUMMYFUNCTION("""COMPUTED_VALUE"""),7.68)</f>
        <v>7.68</v>
      </c>
      <c r="H12877" s="17"/>
      <c r="K12877" s="17"/>
      <c r="N12877" s="17"/>
    </row>
    <row r="12878">
      <c r="B12878" s="11">
        <f>IFERROR(__xludf.DUMMYFUNCTION("""COMPUTED_VALUE"""),27997.0)</f>
        <v>27997</v>
      </c>
      <c r="C12878" s="9">
        <f>IFERROR(__xludf.DUMMYFUNCTION("""COMPUTED_VALUE"""),7.69)</f>
        <v>7.69</v>
      </c>
      <c r="H12878" s="17"/>
      <c r="K12878" s="17"/>
      <c r="N12878" s="17"/>
    </row>
    <row r="12879">
      <c r="B12879" s="11">
        <f>IFERROR(__xludf.DUMMYFUNCTION("""COMPUTED_VALUE"""),27996.0)</f>
        <v>27996</v>
      </c>
      <c r="C12879" s="9">
        <f>IFERROR(__xludf.DUMMYFUNCTION("""COMPUTED_VALUE"""),7.72)</f>
        <v>7.72</v>
      </c>
      <c r="H12879" s="17"/>
      <c r="K12879" s="17"/>
      <c r="N12879" s="17"/>
    </row>
    <row r="12880">
      <c r="B12880" s="11">
        <f>IFERROR(__xludf.DUMMYFUNCTION("""COMPUTED_VALUE"""),27995.0)</f>
        <v>27995</v>
      </c>
      <c r="C12880" s="9">
        <f>IFERROR(__xludf.DUMMYFUNCTION("""COMPUTED_VALUE"""),7.73)</f>
        <v>7.73</v>
      </c>
      <c r="H12880" s="17"/>
      <c r="K12880" s="17"/>
      <c r="N12880" s="17"/>
    </row>
    <row r="12881">
      <c r="B12881" s="11">
        <f>IFERROR(__xludf.DUMMYFUNCTION("""COMPUTED_VALUE"""),27992.0)</f>
        <v>27992</v>
      </c>
      <c r="C12881" s="9">
        <f>IFERROR(__xludf.DUMMYFUNCTION("""COMPUTED_VALUE"""),7.76)</f>
        <v>7.76</v>
      </c>
      <c r="H12881" s="17"/>
      <c r="K12881" s="17"/>
      <c r="N12881" s="17"/>
    </row>
    <row r="12882">
      <c r="B12882" s="11">
        <f>IFERROR(__xludf.DUMMYFUNCTION("""COMPUTED_VALUE"""),27991.0)</f>
        <v>27991</v>
      </c>
      <c r="C12882" s="9">
        <f>IFERROR(__xludf.DUMMYFUNCTION("""COMPUTED_VALUE"""),7.76)</f>
        <v>7.76</v>
      </c>
      <c r="H12882" s="17"/>
      <c r="K12882" s="17"/>
      <c r="N12882" s="17"/>
    </row>
    <row r="12883">
      <c r="B12883" s="11">
        <f>IFERROR(__xludf.DUMMYFUNCTION("""COMPUTED_VALUE"""),27990.0)</f>
        <v>27990</v>
      </c>
      <c r="C12883" s="9">
        <f>IFERROR(__xludf.DUMMYFUNCTION("""COMPUTED_VALUE"""),7.76)</f>
        <v>7.76</v>
      </c>
      <c r="H12883" s="17"/>
      <c r="K12883" s="17"/>
      <c r="N12883" s="17"/>
    </row>
    <row r="12884">
      <c r="B12884" s="11">
        <f>IFERROR(__xludf.DUMMYFUNCTION("""COMPUTED_VALUE"""),27989.0)</f>
        <v>27989</v>
      </c>
      <c r="C12884" s="9">
        <f>IFERROR(__xludf.DUMMYFUNCTION("""COMPUTED_VALUE"""),7.75)</f>
        <v>7.75</v>
      </c>
      <c r="H12884" s="17"/>
      <c r="K12884" s="17"/>
      <c r="N12884" s="17"/>
    </row>
    <row r="12885">
      <c r="B12885" s="11">
        <f>IFERROR(__xludf.DUMMYFUNCTION("""COMPUTED_VALUE"""),27988.0)</f>
        <v>27988</v>
      </c>
      <c r="C12885" s="9">
        <f>IFERROR(__xludf.DUMMYFUNCTION("""COMPUTED_VALUE"""),7.74)</f>
        <v>7.74</v>
      </c>
      <c r="H12885" s="17"/>
      <c r="K12885" s="17"/>
      <c r="N12885" s="17"/>
    </row>
    <row r="12886">
      <c r="B12886" s="11">
        <f>IFERROR(__xludf.DUMMYFUNCTION("""COMPUTED_VALUE"""),27985.0)</f>
        <v>27985</v>
      </c>
      <c r="C12886" s="9">
        <f>IFERROR(__xludf.DUMMYFUNCTION("""COMPUTED_VALUE"""),7.78)</f>
        <v>7.78</v>
      </c>
      <c r="H12886" s="17"/>
      <c r="K12886" s="17"/>
      <c r="N12886" s="17"/>
    </row>
    <row r="12887">
      <c r="B12887" s="11">
        <f>IFERROR(__xludf.DUMMYFUNCTION("""COMPUTED_VALUE"""),27984.0)</f>
        <v>27984</v>
      </c>
      <c r="C12887" s="9">
        <f>IFERROR(__xludf.DUMMYFUNCTION("""COMPUTED_VALUE"""),7.81)</f>
        <v>7.81</v>
      </c>
      <c r="H12887" s="17"/>
      <c r="K12887" s="17"/>
      <c r="N12887" s="17"/>
    </row>
    <row r="12888">
      <c r="B12888" s="11">
        <f>IFERROR(__xludf.DUMMYFUNCTION("""COMPUTED_VALUE"""),27983.0)</f>
        <v>27983</v>
      </c>
      <c r="C12888" s="9">
        <f>IFERROR(__xludf.DUMMYFUNCTION("""COMPUTED_VALUE"""),7.82)</f>
        <v>7.82</v>
      </c>
      <c r="H12888" s="17"/>
      <c r="K12888" s="17"/>
      <c r="N12888" s="17"/>
    </row>
    <row r="12889">
      <c r="B12889" s="11">
        <f>IFERROR(__xludf.DUMMYFUNCTION("""COMPUTED_VALUE"""),27982.0)</f>
        <v>27982</v>
      </c>
      <c r="C12889" s="9">
        <f>IFERROR(__xludf.DUMMYFUNCTION("""COMPUTED_VALUE"""),7.84)</f>
        <v>7.84</v>
      </c>
      <c r="H12889" s="17"/>
      <c r="K12889" s="17"/>
      <c r="N12889" s="17"/>
    </row>
    <row r="12890">
      <c r="B12890" s="11">
        <f>IFERROR(__xludf.DUMMYFUNCTION("""COMPUTED_VALUE"""),27981.0)</f>
        <v>27981</v>
      </c>
      <c r="C12890" s="9">
        <f>IFERROR(__xludf.DUMMYFUNCTION("""COMPUTED_VALUE"""),7.84)</f>
        <v>7.84</v>
      </c>
      <c r="H12890" s="17"/>
      <c r="K12890" s="17"/>
      <c r="N12890" s="17"/>
    </row>
    <row r="12891">
      <c r="B12891" s="11">
        <f>IFERROR(__xludf.DUMMYFUNCTION("""COMPUTED_VALUE"""),27978.0)</f>
        <v>27978</v>
      </c>
      <c r="C12891" s="9">
        <f>IFERROR(__xludf.DUMMYFUNCTION("""COMPUTED_VALUE"""),7.84)</f>
        <v>7.84</v>
      </c>
      <c r="H12891" s="17"/>
      <c r="K12891" s="17"/>
      <c r="N12891" s="17"/>
    </row>
    <row r="12892">
      <c r="B12892" s="11">
        <f>IFERROR(__xludf.DUMMYFUNCTION("""COMPUTED_VALUE"""),27977.0)</f>
        <v>27977</v>
      </c>
      <c r="C12892" s="9">
        <f>IFERROR(__xludf.DUMMYFUNCTION("""COMPUTED_VALUE"""),7.82)</f>
        <v>7.82</v>
      </c>
      <c r="H12892" s="17"/>
      <c r="K12892" s="17"/>
      <c r="N12892" s="17"/>
    </row>
    <row r="12893">
      <c r="B12893" s="11">
        <f>IFERROR(__xludf.DUMMYFUNCTION("""COMPUTED_VALUE"""),27976.0)</f>
        <v>27976</v>
      </c>
      <c r="C12893" s="9">
        <f>IFERROR(__xludf.DUMMYFUNCTION("""COMPUTED_VALUE"""),7.81)</f>
        <v>7.81</v>
      </c>
      <c r="H12893" s="17"/>
      <c r="K12893" s="17"/>
      <c r="N12893" s="17"/>
    </row>
    <row r="12894">
      <c r="B12894" s="11">
        <f>IFERROR(__xludf.DUMMYFUNCTION("""COMPUTED_VALUE"""),27975.0)</f>
        <v>27975</v>
      </c>
      <c r="C12894" s="9">
        <f>IFERROR(__xludf.DUMMYFUNCTION("""COMPUTED_VALUE"""),7.82)</f>
        <v>7.82</v>
      </c>
      <c r="H12894" s="17"/>
      <c r="K12894" s="17"/>
      <c r="N12894" s="17"/>
    </row>
    <row r="12895">
      <c r="B12895" s="11">
        <f>IFERROR(__xludf.DUMMYFUNCTION("""COMPUTED_VALUE"""),27974.0)</f>
        <v>27974</v>
      </c>
      <c r="C12895" s="9">
        <f>IFERROR(__xludf.DUMMYFUNCTION("""COMPUTED_VALUE"""),7.85)</f>
        <v>7.85</v>
      </c>
      <c r="H12895" s="17"/>
      <c r="K12895" s="17"/>
      <c r="N12895" s="17"/>
    </row>
    <row r="12896">
      <c r="B12896" s="11">
        <f>IFERROR(__xludf.DUMMYFUNCTION("""COMPUTED_VALUE"""),27971.0)</f>
        <v>27971</v>
      </c>
      <c r="C12896" s="9">
        <f>IFERROR(__xludf.DUMMYFUNCTION("""COMPUTED_VALUE"""),7.86)</f>
        <v>7.86</v>
      </c>
      <c r="H12896" s="17"/>
      <c r="K12896" s="17"/>
      <c r="N12896" s="17"/>
    </row>
    <row r="12897">
      <c r="B12897" s="11">
        <f>IFERROR(__xludf.DUMMYFUNCTION("""COMPUTED_VALUE"""),27970.0)</f>
        <v>27970</v>
      </c>
      <c r="C12897" s="9">
        <f>IFERROR(__xludf.DUMMYFUNCTION("""COMPUTED_VALUE"""),7.85)</f>
        <v>7.85</v>
      </c>
      <c r="H12897" s="17"/>
      <c r="K12897" s="17"/>
      <c r="N12897" s="17"/>
    </row>
    <row r="12898">
      <c r="B12898" s="11">
        <f>IFERROR(__xludf.DUMMYFUNCTION("""COMPUTED_VALUE"""),27969.0)</f>
        <v>27969</v>
      </c>
      <c r="C12898" s="9">
        <f>IFERROR(__xludf.DUMMYFUNCTION("""COMPUTED_VALUE"""),7.85)</f>
        <v>7.85</v>
      </c>
      <c r="H12898" s="17"/>
      <c r="K12898" s="17"/>
      <c r="N12898" s="17"/>
    </row>
    <row r="12899">
      <c r="B12899" s="11">
        <f>IFERROR(__xludf.DUMMYFUNCTION("""COMPUTED_VALUE"""),27968.0)</f>
        <v>27968</v>
      </c>
      <c r="C12899" s="9">
        <f>IFERROR(__xludf.DUMMYFUNCTION("""COMPUTED_VALUE"""),7.85)</f>
        <v>7.85</v>
      </c>
      <c r="H12899" s="17"/>
      <c r="K12899" s="17"/>
      <c r="N12899" s="17"/>
    </row>
    <row r="12900">
      <c r="B12900" s="11">
        <f>IFERROR(__xludf.DUMMYFUNCTION("""COMPUTED_VALUE"""),27967.0)</f>
        <v>27967</v>
      </c>
      <c r="C12900" s="9">
        <f>IFERROR(__xludf.DUMMYFUNCTION("""COMPUTED_VALUE"""),7.87)</f>
        <v>7.87</v>
      </c>
      <c r="H12900" s="17"/>
      <c r="K12900" s="17"/>
      <c r="N12900" s="17"/>
    </row>
    <row r="12901">
      <c r="B12901" s="11">
        <f>IFERROR(__xludf.DUMMYFUNCTION("""COMPUTED_VALUE"""),27964.0)</f>
        <v>27964</v>
      </c>
      <c r="C12901" s="9">
        <f>IFERROR(__xludf.DUMMYFUNCTION("""COMPUTED_VALUE"""),7.84)</f>
        <v>7.84</v>
      </c>
      <c r="H12901" s="17"/>
      <c r="K12901" s="17"/>
      <c r="N12901" s="17"/>
    </row>
    <row r="12902">
      <c r="B12902" s="11">
        <f>IFERROR(__xludf.DUMMYFUNCTION("""COMPUTED_VALUE"""),27963.0)</f>
        <v>27963</v>
      </c>
      <c r="C12902" s="9">
        <f>IFERROR(__xludf.DUMMYFUNCTION("""COMPUTED_VALUE"""),7.86)</f>
        <v>7.86</v>
      </c>
      <c r="H12902" s="17"/>
      <c r="K12902" s="17"/>
      <c r="N12902" s="17"/>
    </row>
    <row r="12903">
      <c r="B12903" s="11">
        <f>IFERROR(__xludf.DUMMYFUNCTION("""COMPUTED_VALUE"""),27962.0)</f>
        <v>27962</v>
      </c>
      <c r="C12903" s="9">
        <f>IFERROR(__xludf.DUMMYFUNCTION("""COMPUTED_VALUE"""),7.86)</f>
        <v>7.86</v>
      </c>
      <c r="H12903" s="17"/>
      <c r="K12903" s="17"/>
      <c r="N12903" s="17"/>
    </row>
    <row r="12904">
      <c r="B12904" s="11">
        <f>IFERROR(__xludf.DUMMYFUNCTION("""COMPUTED_VALUE"""),27961.0)</f>
        <v>27961</v>
      </c>
      <c r="C12904" s="9">
        <f>IFERROR(__xludf.DUMMYFUNCTION("""COMPUTED_VALUE"""),7.87)</f>
        <v>7.87</v>
      </c>
      <c r="H12904" s="17"/>
      <c r="K12904" s="17"/>
      <c r="N12904" s="17"/>
    </row>
    <row r="12905">
      <c r="B12905" s="11">
        <f>IFERROR(__xludf.DUMMYFUNCTION("""COMPUTED_VALUE"""),27960.0)</f>
        <v>27960</v>
      </c>
      <c r="C12905" s="9">
        <f>IFERROR(__xludf.DUMMYFUNCTION("""COMPUTED_VALUE"""),7.86)</f>
        <v>7.86</v>
      </c>
      <c r="H12905" s="17"/>
      <c r="K12905" s="17"/>
      <c r="N12905" s="17"/>
    </row>
    <row r="12906">
      <c r="B12906" s="11">
        <f>IFERROR(__xludf.DUMMYFUNCTION("""COMPUTED_VALUE"""),27957.0)</f>
        <v>27957</v>
      </c>
      <c r="C12906" s="9">
        <f>IFERROR(__xludf.DUMMYFUNCTION("""COMPUTED_VALUE"""),7.83)</f>
        <v>7.83</v>
      </c>
      <c r="H12906" s="17"/>
      <c r="K12906" s="17"/>
      <c r="N12906" s="17"/>
    </row>
    <row r="12907">
      <c r="B12907" s="11">
        <f>IFERROR(__xludf.DUMMYFUNCTION("""COMPUTED_VALUE"""),27956.0)</f>
        <v>27956</v>
      </c>
      <c r="C12907" s="9">
        <f>IFERROR(__xludf.DUMMYFUNCTION("""COMPUTED_VALUE"""),7.77)</f>
        <v>7.77</v>
      </c>
      <c r="H12907" s="17"/>
      <c r="K12907" s="17"/>
      <c r="N12907" s="17"/>
    </row>
    <row r="12908">
      <c r="B12908" s="11">
        <f>IFERROR(__xludf.DUMMYFUNCTION("""COMPUTED_VALUE"""),27955.0)</f>
        <v>27955</v>
      </c>
      <c r="C12908" s="9">
        <f>IFERROR(__xludf.DUMMYFUNCTION("""COMPUTED_VALUE"""),7.79)</f>
        <v>7.79</v>
      </c>
      <c r="H12908" s="17"/>
      <c r="K12908" s="17"/>
      <c r="N12908" s="17"/>
    </row>
    <row r="12909">
      <c r="B12909" s="11">
        <f>IFERROR(__xludf.DUMMYFUNCTION("""COMPUTED_VALUE"""),27954.0)</f>
        <v>27954</v>
      </c>
      <c r="C12909" s="9">
        <f>IFERROR(__xludf.DUMMYFUNCTION("""COMPUTED_VALUE"""),7.77)</f>
        <v>7.77</v>
      </c>
      <c r="H12909" s="17"/>
      <c r="K12909" s="17"/>
      <c r="N12909" s="17"/>
    </row>
    <row r="12910">
      <c r="B12910" s="11">
        <f>IFERROR(__xludf.DUMMYFUNCTION("""COMPUTED_VALUE"""),27953.0)</f>
        <v>27953</v>
      </c>
      <c r="C12910" s="9">
        <f>IFERROR(__xludf.DUMMYFUNCTION("""COMPUTED_VALUE"""),7.76)</f>
        <v>7.76</v>
      </c>
      <c r="H12910" s="17"/>
      <c r="K12910" s="17"/>
      <c r="N12910" s="17"/>
    </row>
    <row r="12911">
      <c r="B12911" s="11">
        <f>IFERROR(__xludf.DUMMYFUNCTION("""COMPUTED_VALUE"""),27950.0)</f>
        <v>27950</v>
      </c>
      <c r="C12911" s="9">
        <f>IFERROR(__xludf.DUMMYFUNCTION("""COMPUTED_VALUE"""),7.78)</f>
        <v>7.78</v>
      </c>
      <c r="H12911" s="17"/>
      <c r="K12911" s="17"/>
      <c r="N12911" s="17"/>
    </row>
    <row r="12912">
      <c r="B12912" s="11">
        <f>IFERROR(__xludf.DUMMYFUNCTION("""COMPUTED_VALUE"""),27949.0)</f>
        <v>27949</v>
      </c>
      <c r="C12912" s="9">
        <f>IFERROR(__xludf.DUMMYFUNCTION("""COMPUTED_VALUE"""),7.82)</f>
        <v>7.82</v>
      </c>
      <c r="H12912" s="17"/>
      <c r="K12912" s="17"/>
      <c r="N12912" s="17"/>
    </row>
    <row r="12913">
      <c r="B12913" s="11">
        <f>IFERROR(__xludf.DUMMYFUNCTION("""COMPUTED_VALUE"""),27948.0)</f>
        <v>27948</v>
      </c>
      <c r="C12913" s="9">
        <f>IFERROR(__xludf.DUMMYFUNCTION("""COMPUTED_VALUE"""),7.84)</f>
        <v>7.84</v>
      </c>
      <c r="H12913" s="17"/>
      <c r="K12913" s="17"/>
      <c r="N12913" s="17"/>
    </row>
    <row r="12914">
      <c r="B12914" s="11">
        <f>IFERROR(__xludf.DUMMYFUNCTION("""COMPUTED_VALUE"""),27947.0)</f>
        <v>27947</v>
      </c>
      <c r="C12914" s="9">
        <f>IFERROR(__xludf.DUMMYFUNCTION("""COMPUTED_VALUE"""),7.82)</f>
        <v>7.82</v>
      </c>
      <c r="H12914" s="17"/>
      <c r="K12914" s="17"/>
      <c r="N12914" s="17"/>
    </row>
    <row r="12915">
      <c r="B12915" s="11">
        <f>IFERROR(__xludf.DUMMYFUNCTION("""COMPUTED_VALUE"""),27946.0)</f>
        <v>27946</v>
      </c>
      <c r="C12915" s="9"/>
      <c r="H12915" s="17"/>
      <c r="K12915" s="17"/>
      <c r="N12915" s="17"/>
    </row>
    <row r="12916">
      <c r="B12916" s="11">
        <f>IFERROR(__xludf.DUMMYFUNCTION("""COMPUTED_VALUE"""),27943.0)</f>
        <v>27943</v>
      </c>
      <c r="C12916" s="9">
        <f>IFERROR(__xludf.DUMMYFUNCTION("""COMPUTED_VALUE"""),7.84)</f>
        <v>7.84</v>
      </c>
      <c r="H12916" s="17"/>
      <c r="K12916" s="17"/>
      <c r="N12916" s="17"/>
    </row>
    <row r="12917">
      <c r="B12917" s="11">
        <f>IFERROR(__xludf.DUMMYFUNCTION("""COMPUTED_VALUE"""),27942.0)</f>
        <v>27942</v>
      </c>
      <c r="C12917" s="9">
        <f>IFERROR(__xludf.DUMMYFUNCTION("""COMPUTED_VALUE"""),7.88)</f>
        <v>7.88</v>
      </c>
      <c r="H12917" s="17"/>
      <c r="K12917" s="17"/>
      <c r="N12917" s="17"/>
    </row>
    <row r="12918">
      <c r="B12918" s="11">
        <f>IFERROR(__xludf.DUMMYFUNCTION("""COMPUTED_VALUE"""),27941.0)</f>
        <v>27941</v>
      </c>
      <c r="C12918" s="9">
        <f>IFERROR(__xludf.DUMMYFUNCTION("""COMPUTED_VALUE"""),7.86)</f>
        <v>7.86</v>
      </c>
      <c r="H12918" s="17"/>
      <c r="K12918" s="17"/>
      <c r="N12918" s="17"/>
    </row>
    <row r="12919">
      <c r="B12919" s="11">
        <f>IFERROR(__xludf.DUMMYFUNCTION("""COMPUTED_VALUE"""),27940.0)</f>
        <v>27940</v>
      </c>
      <c r="C12919" s="9">
        <f>IFERROR(__xludf.DUMMYFUNCTION("""COMPUTED_VALUE"""),7.86)</f>
        <v>7.86</v>
      </c>
      <c r="H12919" s="17"/>
      <c r="K12919" s="17"/>
      <c r="N12919" s="17"/>
    </row>
    <row r="12920">
      <c r="B12920" s="11">
        <f>IFERROR(__xludf.DUMMYFUNCTION("""COMPUTED_VALUE"""),27939.0)</f>
        <v>27939</v>
      </c>
      <c r="C12920" s="9">
        <f>IFERROR(__xludf.DUMMYFUNCTION("""COMPUTED_VALUE"""),7.86)</f>
        <v>7.86</v>
      </c>
      <c r="H12920" s="17"/>
      <c r="K12920" s="17"/>
      <c r="N12920" s="17"/>
    </row>
    <row r="12921">
      <c r="B12921" s="11">
        <f>IFERROR(__xludf.DUMMYFUNCTION("""COMPUTED_VALUE"""),27936.0)</f>
        <v>27936</v>
      </c>
      <c r="C12921" s="9">
        <f>IFERROR(__xludf.DUMMYFUNCTION("""COMPUTED_VALUE"""),7.83)</f>
        <v>7.83</v>
      </c>
      <c r="H12921" s="17"/>
      <c r="K12921" s="17"/>
      <c r="N12921" s="17"/>
    </row>
    <row r="12922">
      <c r="B12922" s="11">
        <f>IFERROR(__xludf.DUMMYFUNCTION("""COMPUTED_VALUE"""),27935.0)</f>
        <v>27935</v>
      </c>
      <c r="C12922" s="9">
        <f>IFERROR(__xludf.DUMMYFUNCTION("""COMPUTED_VALUE"""),7.81)</f>
        <v>7.81</v>
      </c>
      <c r="H12922" s="17"/>
      <c r="K12922" s="17"/>
      <c r="N12922" s="17"/>
    </row>
    <row r="12923">
      <c r="B12923" s="11">
        <f>IFERROR(__xludf.DUMMYFUNCTION("""COMPUTED_VALUE"""),27934.0)</f>
        <v>27934</v>
      </c>
      <c r="C12923" s="9">
        <f>IFERROR(__xludf.DUMMYFUNCTION("""COMPUTED_VALUE"""),7.81)</f>
        <v>7.81</v>
      </c>
      <c r="H12923" s="17"/>
      <c r="K12923" s="17"/>
      <c r="N12923" s="17"/>
    </row>
    <row r="12924">
      <c r="B12924" s="11">
        <f>IFERROR(__xludf.DUMMYFUNCTION("""COMPUTED_VALUE"""),27933.0)</f>
        <v>27933</v>
      </c>
      <c r="C12924" s="9">
        <f>IFERROR(__xludf.DUMMYFUNCTION("""COMPUTED_VALUE"""),7.81)</f>
        <v>7.81</v>
      </c>
      <c r="H12924" s="17"/>
      <c r="K12924" s="17"/>
      <c r="N12924" s="17"/>
    </row>
    <row r="12925">
      <c r="B12925" s="11">
        <f>IFERROR(__xludf.DUMMYFUNCTION("""COMPUTED_VALUE"""),27932.0)</f>
        <v>27932</v>
      </c>
      <c r="C12925" s="9">
        <f>IFERROR(__xludf.DUMMYFUNCTION("""COMPUTED_VALUE"""),7.8)</f>
        <v>7.8</v>
      </c>
      <c r="H12925" s="17"/>
      <c r="K12925" s="17"/>
      <c r="N12925" s="17"/>
    </row>
    <row r="12926">
      <c r="B12926" s="11">
        <f>IFERROR(__xludf.DUMMYFUNCTION("""COMPUTED_VALUE"""),27929.0)</f>
        <v>27929</v>
      </c>
      <c r="C12926" s="9">
        <f>IFERROR(__xludf.DUMMYFUNCTION("""COMPUTED_VALUE"""),7.81)</f>
        <v>7.81</v>
      </c>
      <c r="H12926" s="17"/>
      <c r="K12926" s="17"/>
      <c r="N12926" s="17"/>
    </row>
    <row r="12927">
      <c r="B12927" s="11">
        <f>IFERROR(__xludf.DUMMYFUNCTION("""COMPUTED_VALUE"""),27928.0)</f>
        <v>27928</v>
      </c>
      <c r="C12927" s="9">
        <f>IFERROR(__xludf.DUMMYFUNCTION("""COMPUTED_VALUE"""),7.85)</f>
        <v>7.85</v>
      </c>
      <c r="H12927" s="17"/>
      <c r="K12927" s="17"/>
      <c r="N12927" s="17"/>
    </row>
    <row r="12928">
      <c r="B12928" s="11">
        <f>IFERROR(__xludf.DUMMYFUNCTION("""COMPUTED_VALUE"""),27927.0)</f>
        <v>27927</v>
      </c>
      <c r="C12928" s="9">
        <f>IFERROR(__xludf.DUMMYFUNCTION("""COMPUTED_VALUE"""),7.87)</f>
        <v>7.87</v>
      </c>
      <c r="H12928" s="17"/>
      <c r="K12928" s="17"/>
      <c r="N12928" s="17"/>
    </row>
    <row r="12929">
      <c r="B12929" s="11">
        <f>IFERROR(__xludf.DUMMYFUNCTION("""COMPUTED_VALUE"""),27926.0)</f>
        <v>27926</v>
      </c>
      <c r="C12929" s="9">
        <f>IFERROR(__xludf.DUMMYFUNCTION("""COMPUTED_VALUE"""),7.85)</f>
        <v>7.85</v>
      </c>
      <c r="H12929" s="17"/>
      <c r="K12929" s="17"/>
      <c r="N12929" s="17"/>
    </row>
    <row r="12930">
      <c r="B12930" s="11">
        <f>IFERROR(__xludf.DUMMYFUNCTION("""COMPUTED_VALUE"""),27925.0)</f>
        <v>27925</v>
      </c>
      <c r="C12930" s="9">
        <f>IFERROR(__xludf.DUMMYFUNCTION("""COMPUTED_VALUE"""),7.84)</f>
        <v>7.84</v>
      </c>
      <c r="H12930" s="17"/>
      <c r="K12930" s="17"/>
      <c r="N12930" s="17"/>
    </row>
    <row r="12931">
      <c r="B12931" s="11">
        <f>IFERROR(__xludf.DUMMYFUNCTION("""COMPUTED_VALUE"""),27922.0)</f>
        <v>27922</v>
      </c>
      <c r="C12931" s="9">
        <f>IFERROR(__xludf.DUMMYFUNCTION("""COMPUTED_VALUE"""),7.86)</f>
        <v>7.86</v>
      </c>
      <c r="H12931" s="17"/>
      <c r="K12931" s="17"/>
      <c r="N12931" s="17"/>
    </row>
    <row r="12932">
      <c r="B12932" s="11">
        <f>IFERROR(__xludf.DUMMYFUNCTION("""COMPUTED_VALUE"""),27921.0)</f>
        <v>27921</v>
      </c>
      <c r="C12932" s="9">
        <f>IFERROR(__xludf.DUMMYFUNCTION("""COMPUTED_VALUE"""),7.86)</f>
        <v>7.86</v>
      </c>
      <c r="H12932" s="17"/>
      <c r="K12932" s="17"/>
      <c r="N12932" s="17"/>
    </row>
    <row r="12933">
      <c r="B12933" s="11">
        <f>IFERROR(__xludf.DUMMYFUNCTION("""COMPUTED_VALUE"""),27920.0)</f>
        <v>27920</v>
      </c>
      <c r="C12933" s="9">
        <f>IFERROR(__xludf.DUMMYFUNCTION("""COMPUTED_VALUE"""),7.9)</f>
        <v>7.9</v>
      </c>
      <c r="H12933" s="17"/>
      <c r="K12933" s="17"/>
      <c r="N12933" s="17"/>
    </row>
    <row r="12934">
      <c r="B12934" s="11">
        <f>IFERROR(__xludf.DUMMYFUNCTION("""COMPUTED_VALUE"""),27919.0)</f>
        <v>27919</v>
      </c>
      <c r="C12934" s="9">
        <f>IFERROR(__xludf.DUMMYFUNCTION("""COMPUTED_VALUE"""),7.9)</f>
        <v>7.9</v>
      </c>
      <c r="H12934" s="17"/>
      <c r="K12934" s="17"/>
      <c r="N12934" s="17"/>
    </row>
    <row r="12935">
      <c r="B12935" s="11">
        <f>IFERROR(__xludf.DUMMYFUNCTION("""COMPUTED_VALUE"""),27918.0)</f>
        <v>27918</v>
      </c>
      <c r="C12935" s="9">
        <f>IFERROR(__xludf.DUMMYFUNCTION("""COMPUTED_VALUE"""),7.88)</f>
        <v>7.88</v>
      </c>
      <c r="H12935" s="17"/>
      <c r="K12935" s="17"/>
      <c r="N12935" s="17"/>
    </row>
    <row r="12936">
      <c r="B12936" s="11">
        <f>IFERROR(__xludf.DUMMYFUNCTION("""COMPUTED_VALUE"""),27915.0)</f>
        <v>27915</v>
      </c>
      <c r="C12936" s="9">
        <f>IFERROR(__xludf.DUMMYFUNCTION("""COMPUTED_VALUE"""),7.89)</f>
        <v>7.89</v>
      </c>
      <c r="H12936" s="17"/>
      <c r="K12936" s="17"/>
      <c r="N12936" s="17"/>
    </row>
    <row r="12937">
      <c r="B12937" s="11">
        <f>IFERROR(__xludf.DUMMYFUNCTION("""COMPUTED_VALUE"""),27914.0)</f>
        <v>27914</v>
      </c>
      <c r="C12937" s="9">
        <f>IFERROR(__xludf.DUMMYFUNCTION("""COMPUTED_VALUE"""),7.92)</f>
        <v>7.92</v>
      </c>
      <c r="H12937" s="17"/>
      <c r="K12937" s="17"/>
      <c r="N12937" s="17"/>
    </row>
    <row r="12938">
      <c r="B12938" s="11">
        <f>IFERROR(__xludf.DUMMYFUNCTION("""COMPUTED_VALUE"""),27913.0)</f>
        <v>27913</v>
      </c>
      <c r="C12938" s="9">
        <f>IFERROR(__xludf.DUMMYFUNCTION("""COMPUTED_VALUE"""),7.94)</f>
        <v>7.94</v>
      </c>
      <c r="H12938" s="17"/>
      <c r="K12938" s="17"/>
      <c r="N12938" s="17"/>
    </row>
    <row r="12939">
      <c r="B12939" s="11">
        <f>IFERROR(__xludf.DUMMYFUNCTION("""COMPUTED_VALUE"""),27912.0)</f>
        <v>27912</v>
      </c>
      <c r="C12939" s="9">
        <f>IFERROR(__xludf.DUMMYFUNCTION("""COMPUTED_VALUE"""),7.94)</f>
        <v>7.94</v>
      </c>
      <c r="H12939" s="17"/>
      <c r="K12939" s="17"/>
      <c r="N12939" s="17"/>
    </row>
    <row r="12940">
      <c r="B12940" s="11">
        <f>IFERROR(__xludf.DUMMYFUNCTION("""COMPUTED_VALUE"""),27911.0)</f>
        <v>27911</v>
      </c>
      <c r="C12940" s="9"/>
      <c r="H12940" s="17"/>
      <c r="K12940" s="17"/>
      <c r="N12940" s="17"/>
    </row>
    <row r="12941">
      <c r="B12941" s="11">
        <f>IFERROR(__xludf.DUMMYFUNCTION("""COMPUTED_VALUE"""),27908.0)</f>
        <v>27908</v>
      </c>
      <c r="C12941" s="9">
        <f>IFERROR(__xludf.DUMMYFUNCTION("""COMPUTED_VALUE"""),7.96)</f>
        <v>7.96</v>
      </c>
      <c r="H12941" s="17"/>
      <c r="K12941" s="17"/>
      <c r="N12941" s="17"/>
    </row>
    <row r="12942">
      <c r="B12942" s="11">
        <f>IFERROR(__xludf.DUMMYFUNCTION("""COMPUTED_VALUE"""),27907.0)</f>
        <v>27907</v>
      </c>
      <c r="C12942" s="9">
        <f>IFERROR(__xludf.DUMMYFUNCTION("""COMPUTED_VALUE"""),7.99)</f>
        <v>7.99</v>
      </c>
      <c r="H12942" s="17"/>
      <c r="K12942" s="17"/>
      <c r="N12942" s="17"/>
    </row>
    <row r="12943">
      <c r="B12943" s="11">
        <f>IFERROR(__xludf.DUMMYFUNCTION("""COMPUTED_VALUE"""),27906.0)</f>
        <v>27906</v>
      </c>
      <c r="C12943" s="9">
        <f>IFERROR(__xludf.DUMMYFUNCTION("""COMPUTED_VALUE"""),7.95)</f>
        <v>7.95</v>
      </c>
      <c r="H12943" s="17"/>
      <c r="K12943" s="17"/>
      <c r="N12943" s="17"/>
    </row>
    <row r="12944">
      <c r="B12944" s="11">
        <f>IFERROR(__xludf.DUMMYFUNCTION("""COMPUTED_VALUE"""),27905.0)</f>
        <v>27905</v>
      </c>
      <c r="C12944" s="9">
        <f>IFERROR(__xludf.DUMMYFUNCTION("""COMPUTED_VALUE"""),7.94)</f>
        <v>7.94</v>
      </c>
      <c r="H12944" s="17"/>
      <c r="K12944" s="17"/>
      <c r="N12944" s="17"/>
    </row>
    <row r="12945">
      <c r="B12945" s="11">
        <f>IFERROR(__xludf.DUMMYFUNCTION("""COMPUTED_VALUE"""),27904.0)</f>
        <v>27904</v>
      </c>
      <c r="C12945" s="9">
        <f>IFERROR(__xludf.DUMMYFUNCTION("""COMPUTED_VALUE"""),7.98)</f>
        <v>7.98</v>
      </c>
      <c r="H12945" s="17"/>
      <c r="K12945" s="17"/>
      <c r="N12945" s="17"/>
    </row>
    <row r="12946">
      <c r="B12946" s="11">
        <f>IFERROR(__xludf.DUMMYFUNCTION("""COMPUTED_VALUE"""),27901.0)</f>
        <v>27901</v>
      </c>
      <c r="C12946" s="9">
        <f>IFERROR(__xludf.DUMMYFUNCTION("""COMPUTED_VALUE"""),8.0)</f>
        <v>8</v>
      </c>
      <c r="H12946" s="17"/>
      <c r="K12946" s="17"/>
      <c r="N12946" s="17"/>
    </row>
    <row r="12947">
      <c r="B12947" s="11">
        <f>IFERROR(__xludf.DUMMYFUNCTION("""COMPUTED_VALUE"""),27900.0)</f>
        <v>27900</v>
      </c>
      <c r="C12947" s="9">
        <f>IFERROR(__xludf.DUMMYFUNCTION("""COMPUTED_VALUE"""),7.95)</f>
        <v>7.95</v>
      </c>
      <c r="H12947" s="17"/>
      <c r="K12947" s="17"/>
      <c r="N12947" s="17"/>
    </row>
    <row r="12948">
      <c r="B12948" s="11">
        <f>IFERROR(__xludf.DUMMYFUNCTION("""COMPUTED_VALUE"""),27899.0)</f>
        <v>27899</v>
      </c>
      <c r="C12948" s="9">
        <f>IFERROR(__xludf.DUMMYFUNCTION("""COMPUTED_VALUE"""),7.94)</f>
        <v>7.94</v>
      </c>
      <c r="H12948" s="17"/>
      <c r="K12948" s="17"/>
      <c r="N12948" s="17"/>
    </row>
    <row r="12949">
      <c r="B12949" s="11">
        <f>IFERROR(__xludf.DUMMYFUNCTION("""COMPUTED_VALUE"""),27898.0)</f>
        <v>27898</v>
      </c>
      <c r="C12949" s="9">
        <f>IFERROR(__xludf.DUMMYFUNCTION("""COMPUTED_VALUE"""),7.94)</f>
        <v>7.94</v>
      </c>
      <c r="H12949" s="17"/>
      <c r="K12949" s="17"/>
      <c r="N12949" s="17"/>
    </row>
    <row r="12950">
      <c r="B12950" s="11">
        <f>IFERROR(__xludf.DUMMYFUNCTION("""COMPUTED_VALUE"""),27897.0)</f>
        <v>27897</v>
      </c>
      <c r="C12950" s="9">
        <f>IFERROR(__xludf.DUMMYFUNCTION("""COMPUTED_VALUE"""),7.94)</f>
        <v>7.94</v>
      </c>
      <c r="H12950" s="17"/>
      <c r="K12950" s="17"/>
      <c r="N12950" s="17"/>
    </row>
    <row r="12951">
      <c r="B12951" s="11">
        <f>IFERROR(__xludf.DUMMYFUNCTION("""COMPUTED_VALUE"""),27894.0)</f>
        <v>27894</v>
      </c>
      <c r="C12951" s="9">
        <f>IFERROR(__xludf.DUMMYFUNCTION("""COMPUTED_VALUE"""),7.93)</f>
        <v>7.93</v>
      </c>
      <c r="H12951" s="17"/>
      <c r="K12951" s="17"/>
      <c r="N12951" s="17"/>
    </row>
    <row r="12952">
      <c r="B12952" s="11">
        <f>IFERROR(__xludf.DUMMYFUNCTION("""COMPUTED_VALUE"""),27893.0)</f>
        <v>27893</v>
      </c>
      <c r="C12952" s="9">
        <f>IFERROR(__xludf.DUMMYFUNCTION("""COMPUTED_VALUE"""),7.92)</f>
        <v>7.92</v>
      </c>
      <c r="H12952" s="17"/>
      <c r="K12952" s="17"/>
      <c r="N12952" s="17"/>
    </row>
    <row r="12953">
      <c r="B12953" s="11">
        <f>IFERROR(__xludf.DUMMYFUNCTION("""COMPUTED_VALUE"""),27892.0)</f>
        <v>27892</v>
      </c>
      <c r="C12953" s="9">
        <f>IFERROR(__xludf.DUMMYFUNCTION("""COMPUTED_VALUE"""),7.94)</f>
        <v>7.94</v>
      </c>
      <c r="H12953" s="17"/>
      <c r="K12953" s="17"/>
      <c r="N12953" s="17"/>
    </row>
    <row r="12954">
      <c r="B12954" s="11">
        <f>IFERROR(__xludf.DUMMYFUNCTION("""COMPUTED_VALUE"""),27891.0)</f>
        <v>27891</v>
      </c>
      <c r="C12954" s="9">
        <f>IFERROR(__xludf.DUMMYFUNCTION("""COMPUTED_VALUE"""),7.92)</f>
        <v>7.92</v>
      </c>
      <c r="H12954" s="17"/>
      <c r="K12954" s="17"/>
      <c r="N12954" s="17"/>
    </row>
    <row r="12955">
      <c r="B12955" s="11">
        <f>IFERROR(__xludf.DUMMYFUNCTION("""COMPUTED_VALUE"""),27890.0)</f>
        <v>27890</v>
      </c>
      <c r="C12955" s="9">
        <f>IFERROR(__xludf.DUMMYFUNCTION("""COMPUTED_VALUE"""),7.92)</f>
        <v>7.92</v>
      </c>
      <c r="H12955" s="17"/>
      <c r="K12955" s="17"/>
      <c r="N12955" s="17"/>
    </row>
    <row r="12956">
      <c r="B12956" s="11">
        <f>IFERROR(__xludf.DUMMYFUNCTION("""COMPUTED_VALUE"""),27887.0)</f>
        <v>27887</v>
      </c>
      <c r="C12956" s="9">
        <f>IFERROR(__xludf.DUMMYFUNCTION("""COMPUTED_VALUE"""),7.87)</f>
        <v>7.87</v>
      </c>
      <c r="H12956" s="17"/>
      <c r="K12956" s="17"/>
      <c r="N12956" s="17"/>
    </row>
    <row r="12957">
      <c r="B12957" s="11">
        <f>IFERROR(__xludf.DUMMYFUNCTION("""COMPUTED_VALUE"""),27886.0)</f>
        <v>27886</v>
      </c>
      <c r="C12957" s="9">
        <f>IFERROR(__xludf.DUMMYFUNCTION("""COMPUTED_VALUE"""),7.78)</f>
        <v>7.78</v>
      </c>
      <c r="H12957" s="17"/>
      <c r="K12957" s="17"/>
      <c r="N12957" s="17"/>
    </row>
    <row r="12958">
      <c r="B12958" s="11">
        <f>IFERROR(__xludf.DUMMYFUNCTION("""COMPUTED_VALUE"""),27885.0)</f>
        <v>27885</v>
      </c>
      <c r="C12958" s="9">
        <f>IFERROR(__xludf.DUMMYFUNCTION("""COMPUTED_VALUE"""),7.68)</f>
        <v>7.68</v>
      </c>
      <c r="H12958" s="17"/>
      <c r="K12958" s="17"/>
      <c r="N12958" s="17"/>
    </row>
    <row r="12959">
      <c r="B12959" s="11">
        <f>IFERROR(__xludf.DUMMYFUNCTION("""COMPUTED_VALUE"""),27884.0)</f>
        <v>27884</v>
      </c>
      <c r="C12959" s="9">
        <f>IFERROR(__xludf.DUMMYFUNCTION("""COMPUTED_VALUE"""),7.66)</f>
        <v>7.66</v>
      </c>
      <c r="H12959" s="17"/>
      <c r="K12959" s="17"/>
      <c r="N12959" s="17"/>
    </row>
    <row r="12960">
      <c r="B12960" s="11">
        <f>IFERROR(__xludf.DUMMYFUNCTION("""COMPUTED_VALUE"""),27883.0)</f>
        <v>27883</v>
      </c>
      <c r="C12960" s="9">
        <f>IFERROR(__xludf.DUMMYFUNCTION("""COMPUTED_VALUE"""),7.69)</f>
        <v>7.69</v>
      </c>
      <c r="H12960" s="17"/>
      <c r="K12960" s="17"/>
      <c r="N12960" s="17"/>
    </row>
    <row r="12961">
      <c r="B12961" s="11">
        <f>IFERROR(__xludf.DUMMYFUNCTION("""COMPUTED_VALUE"""),27880.0)</f>
        <v>27880</v>
      </c>
      <c r="C12961" s="9">
        <f>IFERROR(__xludf.DUMMYFUNCTION("""COMPUTED_VALUE"""),7.67)</f>
        <v>7.67</v>
      </c>
      <c r="H12961" s="17"/>
      <c r="K12961" s="17"/>
      <c r="N12961" s="17"/>
    </row>
    <row r="12962">
      <c r="B12962" s="11">
        <f>IFERROR(__xludf.DUMMYFUNCTION("""COMPUTED_VALUE"""),27879.0)</f>
        <v>27879</v>
      </c>
      <c r="C12962" s="9">
        <f>IFERROR(__xludf.DUMMYFUNCTION("""COMPUTED_VALUE"""),7.61)</f>
        <v>7.61</v>
      </c>
      <c r="H12962" s="17"/>
      <c r="K12962" s="17"/>
      <c r="N12962" s="17"/>
    </row>
    <row r="12963">
      <c r="B12963" s="11">
        <f>IFERROR(__xludf.DUMMYFUNCTION("""COMPUTED_VALUE"""),27878.0)</f>
        <v>27878</v>
      </c>
      <c r="C12963" s="9">
        <f>IFERROR(__xludf.DUMMYFUNCTION("""COMPUTED_VALUE"""),7.6)</f>
        <v>7.6</v>
      </c>
      <c r="H12963" s="17"/>
      <c r="K12963" s="17"/>
      <c r="N12963" s="17"/>
    </row>
    <row r="12964">
      <c r="B12964" s="11">
        <f>IFERROR(__xludf.DUMMYFUNCTION("""COMPUTED_VALUE"""),27877.0)</f>
        <v>27877</v>
      </c>
      <c r="C12964" s="9">
        <f>IFERROR(__xludf.DUMMYFUNCTION("""COMPUTED_VALUE"""),7.62)</f>
        <v>7.62</v>
      </c>
      <c r="H12964" s="17"/>
      <c r="K12964" s="17"/>
      <c r="N12964" s="17"/>
    </row>
    <row r="12965">
      <c r="B12965" s="11">
        <f>IFERROR(__xludf.DUMMYFUNCTION("""COMPUTED_VALUE"""),27876.0)</f>
        <v>27876</v>
      </c>
      <c r="C12965" s="9">
        <f>IFERROR(__xludf.DUMMYFUNCTION("""COMPUTED_VALUE"""),7.61)</f>
        <v>7.61</v>
      </c>
      <c r="H12965" s="17"/>
      <c r="K12965" s="17"/>
      <c r="N12965" s="17"/>
    </row>
    <row r="12966">
      <c r="B12966" s="11">
        <f>IFERROR(__xludf.DUMMYFUNCTION("""COMPUTED_VALUE"""),27873.0)</f>
        <v>27873</v>
      </c>
      <c r="C12966" s="9">
        <f>IFERROR(__xludf.DUMMYFUNCTION("""COMPUTED_VALUE"""),7.59)</f>
        <v>7.59</v>
      </c>
      <c r="H12966" s="17"/>
      <c r="K12966" s="17"/>
      <c r="N12966" s="17"/>
    </row>
    <row r="12967">
      <c r="B12967" s="11">
        <f>IFERROR(__xludf.DUMMYFUNCTION("""COMPUTED_VALUE"""),27872.0)</f>
        <v>27872</v>
      </c>
      <c r="C12967" s="9">
        <f>IFERROR(__xludf.DUMMYFUNCTION("""COMPUTED_VALUE"""),7.52)</f>
        <v>7.52</v>
      </c>
      <c r="H12967" s="17"/>
      <c r="K12967" s="17"/>
      <c r="N12967" s="17"/>
    </row>
    <row r="12968">
      <c r="B12968" s="11">
        <f>IFERROR(__xludf.DUMMYFUNCTION("""COMPUTED_VALUE"""),27871.0)</f>
        <v>27871</v>
      </c>
      <c r="C12968" s="9">
        <f>IFERROR(__xludf.DUMMYFUNCTION("""COMPUTED_VALUE"""),7.47)</f>
        <v>7.47</v>
      </c>
      <c r="H12968" s="17"/>
      <c r="K12968" s="17"/>
      <c r="N12968" s="17"/>
    </row>
    <row r="12969">
      <c r="B12969" s="11">
        <f>IFERROR(__xludf.DUMMYFUNCTION("""COMPUTED_VALUE"""),27870.0)</f>
        <v>27870</v>
      </c>
      <c r="C12969" s="9">
        <f>IFERROR(__xludf.DUMMYFUNCTION("""COMPUTED_VALUE"""),7.5)</f>
        <v>7.5</v>
      </c>
      <c r="H12969" s="17"/>
      <c r="K12969" s="17"/>
      <c r="N12969" s="17"/>
    </row>
    <row r="12970">
      <c r="B12970" s="11">
        <f>IFERROR(__xludf.DUMMYFUNCTION("""COMPUTED_VALUE"""),27869.0)</f>
        <v>27869</v>
      </c>
      <c r="C12970" s="9">
        <f>IFERROR(__xludf.DUMMYFUNCTION("""COMPUTED_VALUE"""),7.51)</f>
        <v>7.51</v>
      </c>
      <c r="H12970" s="17"/>
      <c r="K12970" s="17"/>
      <c r="N12970" s="17"/>
    </row>
    <row r="12971">
      <c r="B12971" s="11">
        <f>IFERROR(__xludf.DUMMYFUNCTION("""COMPUTED_VALUE"""),27866.0)</f>
        <v>27866</v>
      </c>
      <c r="C12971" s="9"/>
      <c r="H12971" s="17"/>
      <c r="K12971" s="17"/>
      <c r="N12971" s="17"/>
    </row>
    <row r="12972">
      <c r="B12972" s="11">
        <f>IFERROR(__xludf.DUMMYFUNCTION("""COMPUTED_VALUE"""),27865.0)</f>
        <v>27865</v>
      </c>
      <c r="C12972" s="9">
        <f>IFERROR(__xludf.DUMMYFUNCTION("""COMPUTED_VALUE"""),7.47)</f>
        <v>7.47</v>
      </c>
      <c r="H12972" s="17"/>
      <c r="K12972" s="17"/>
      <c r="N12972" s="17"/>
    </row>
    <row r="12973">
      <c r="B12973" s="11">
        <f>IFERROR(__xludf.DUMMYFUNCTION("""COMPUTED_VALUE"""),27864.0)</f>
        <v>27864</v>
      </c>
      <c r="C12973" s="9">
        <f>IFERROR(__xludf.DUMMYFUNCTION("""COMPUTED_VALUE"""),7.47)</f>
        <v>7.47</v>
      </c>
      <c r="H12973" s="17"/>
      <c r="K12973" s="17"/>
      <c r="N12973" s="17"/>
    </row>
    <row r="12974">
      <c r="B12974" s="11">
        <f>IFERROR(__xludf.DUMMYFUNCTION("""COMPUTED_VALUE"""),27863.0)</f>
        <v>27863</v>
      </c>
      <c r="C12974" s="9">
        <f>IFERROR(__xludf.DUMMYFUNCTION("""COMPUTED_VALUE"""),7.5)</f>
        <v>7.5</v>
      </c>
      <c r="H12974" s="17"/>
      <c r="K12974" s="17"/>
      <c r="N12974" s="17"/>
    </row>
    <row r="12975">
      <c r="B12975" s="11">
        <f>IFERROR(__xludf.DUMMYFUNCTION("""COMPUTED_VALUE"""),27862.0)</f>
        <v>27862</v>
      </c>
      <c r="C12975" s="9">
        <f>IFERROR(__xludf.DUMMYFUNCTION("""COMPUTED_VALUE"""),7.52)</f>
        <v>7.52</v>
      </c>
      <c r="H12975" s="17"/>
      <c r="K12975" s="17"/>
      <c r="N12975" s="17"/>
    </row>
    <row r="12976">
      <c r="B12976" s="11">
        <f>IFERROR(__xludf.DUMMYFUNCTION("""COMPUTED_VALUE"""),27859.0)</f>
        <v>27859</v>
      </c>
      <c r="C12976" s="9">
        <f>IFERROR(__xludf.DUMMYFUNCTION("""COMPUTED_VALUE"""),7.52)</f>
        <v>7.52</v>
      </c>
      <c r="H12976" s="17"/>
      <c r="K12976" s="17"/>
      <c r="N12976" s="17"/>
    </row>
    <row r="12977">
      <c r="B12977" s="11">
        <f>IFERROR(__xludf.DUMMYFUNCTION("""COMPUTED_VALUE"""),27858.0)</f>
        <v>27858</v>
      </c>
      <c r="C12977" s="9">
        <f>IFERROR(__xludf.DUMMYFUNCTION("""COMPUTED_VALUE"""),7.55)</f>
        <v>7.55</v>
      </c>
      <c r="H12977" s="17"/>
      <c r="K12977" s="17"/>
      <c r="N12977" s="17"/>
    </row>
    <row r="12978">
      <c r="B12978" s="11">
        <f>IFERROR(__xludf.DUMMYFUNCTION("""COMPUTED_VALUE"""),27857.0)</f>
        <v>27857</v>
      </c>
      <c r="C12978" s="9">
        <f>IFERROR(__xludf.DUMMYFUNCTION("""COMPUTED_VALUE"""),7.56)</f>
        <v>7.56</v>
      </c>
      <c r="H12978" s="17"/>
      <c r="K12978" s="17"/>
      <c r="N12978" s="17"/>
    </row>
    <row r="12979">
      <c r="B12979" s="11">
        <f>IFERROR(__xludf.DUMMYFUNCTION("""COMPUTED_VALUE"""),27856.0)</f>
        <v>27856</v>
      </c>
      <c r="C12979" s="9">
        <f>IFERROR(__xludf.DUMMYFUNCTION("""COMPUTED_VALUE"""),7.59)</f>
        <v>7.59</v>
      </c>
      <c r="H12979" s="17"/>
      <c r="K12979" s="17"/>
      <c r="N12979" s="17"/>
    </row>
    <row r="12980">
      <c r="B12980" s="11">
        <f>IFERROR(__xludf.DUMMYFUNCTION("""COMPUTED_VALUE"""),27855.0)</f>
        <v>27855</v>
      </c>
      <c r="C12980" s="9">
        <f>IFERROR(__xludf.DUMMYFUNCTION("""COMPUTED_VALUE"""),7.62)</f>
        <v>7.62</v>
      </c>
      <c r="H12980" s="17"/>
      <c r="K12980" s="17"/>
      <c r="N12980" s="17"/>
    </row>
    <row r="12981">
      <c r="B12981" s="11">
        <f>IFERROR(__xludf.DUMMYFUNCTION("""COMPUTED_VALUE"""),27852.0)</f>
        <v>27852</v>
      </c>
      <c r="C12981" s="9">
        <f>IFERROR(__xludf.DUMMYFUNCTION("""COMPUTED_VALUE"""),7.67)</f>
        <v>7.67</v>
      </c>
      <c r="H12981" s="17"/>
      <c r="K12981" s="17"/>
      <c r="N12981" s="17"/>
    </row>
    <row r="12982">
      <c r="B12982" s="11">
        <f>IFERROR(__xludf.DUMMYFUNCTION("""COMPUTED_VALUE"""),27851.0)</f>
        <v>27851</v>
      </c>
      <c r="C12982" s="9">
        <f>IFERROR(__xludf.DUMMYFUNCTION("""COMPUTED_VALUE"""),7.68)</f>
        <v>7.68</v>
      </c>
      <c r="H12982" s="17"/>
      <c r="K12982" s="17"/>
      <c r="N12982" s="17"/>
    </row>
    <row r="12983">
      <c r="B12983" s="11">
        <f>IFERROR(__xludf.DUMMYFUNCTION("""COMPUTED_VALUE"""),27850.0)</f>
        <v>27850</v>
      </c>
      <c r="C12983" s="9">
        <f>IFERROR(__xludf.DUMMYFUNCTION("""COMPUTED_VALUE"""),7.66)</f>
        <v>7.66</v>
      </c>
      <c r="H12983" s="17"/>
      <c r="K12983" s="17"/>
      <c r="N12983" s="17"/>
    </row>
    <row r="12984">
      <c r="B12984" s="11">
        <f>IFERROR(__xludf.DUMMYFUNCTION("""COMPUTED_VALUE"""),27849.0)</f>
        <v>27849</v>
      </c>
      <c r="C12984" s="9">
        <f>IFERROR(__xludf.DUMMYFUNCTION("""COMPUTED_VALUE"""),7.65)</f>
        <v>7.65</v>
      </c>
      <c r="H12984" s="17"/>
      <c r="K12984" s="17"/>
      <c r="N12984" s="17"/>
    </row>
    <row r="12985">
      <c r="B12985" s="11">
        <f>IFERROR(__xludf.DUMMYFUNCTION("""COMPUTED_VALUE"""),27848.0)</f>
        <v>27848</v>
      </c>
      <c r="C12985" s="9">
        <f>IFERROR(__xludf.DUMMYFUNCTION("""COMPUTED_VALUE"""),7.64)</f>
        <v>7.64</v>
      </c>
      <c r="H12985" s="17"/>
      <c r="K12985" s="17"/>
      <c r="N12985" s="17"/>
    </row>
    <row r="12986">
      <c r="B12986" s="11">
        <f>IFERROR(__xludf.DUMMYFUNCTION("""COMPUTED_VALUE"""),27845.0)</f>
        <v>27845</v>
      </c>
      <c r="C12986" s="9">
        <f>IFERROR(__xludf.DUMMYFUNCTION("""COMPUTED_VALUE"""),7.64)</f>
        <v>7.64</v>
      </c>
      <c r="H12986" s="17"/>
      <c r="K12986" s="17"/>
      <c r="N12986" s="17"/>
    </row>
    <row r="12987">
      <c r="B12987" s="11">
        <f>IFERROR(__xludf.DUMMYFUNCTION("""COMPUTED_VALUE"""),27844.0)</f>
        <v>27844</v>
      </c>
      <c r="C12987" s="9">
        <f>IFERROR(__xludf.DUMMYFUNCTION("""COMPUTED_VALUE"""),7.64)</f>
        <v>7.64</v>
      </c>
      <c r="H12987" s="17"/>
      <c r="K12987" s="17"/>
      <c r="N12987" s="17"/>
    </row>
    <row r="12988">
      <c r="B12988" s="11">
        <f>IFERROR(__xludf.DUMMYFUNCTION("""COMPUTED_VALUE"""),27843.0)</f>
        <v>27843</v>
      </c>
      <c r="C12988" s="9">
        <f>IFERROR(__xludf.DUMMYFUNCTION("""COMPUTED_VALUE"""),7.65)</f>
        <v>7.65</v>
      </c>
      <c r="H12988" s="17"/>
      <c r="K12988" s="17"/>
      <c r="N12988" s="17"/>
    </row>
    <row r="12989">
      <c r="B12989" s="11">
        <f>IFERROR(__xludf.DUMMYFUNCTION("""COMPUTED_VALUE"""),27842.0)</f>
        <v>27842</v>
      </c>
      <c r="C12989" s="9">
        <f>IFERROR(__xludf.DUMMYFUNCTION("""COMPUTED_VALUE"""),7.67)</f>
        <v>7.67</v>
      </c>
      <c r="H12989" s="17"/>
      <c r="K12989" s="17"/>
      <c r="N12989" s="17"/>
    </row>
    <row r="12990">
      <c r="B12990" s="11">
        <f>IFERROR(__xludf.DUMMYFUNCTION("""COMPUTED_VALUE"""),27841.0)</f>
        <v>27841</v>
      </c>
      <c r="C12990" s="9">
        <f>IFERROR(__xludf.DUMMYFUNCTION("""COMPUTED_VALUE"""),7.68)</f>
        <v>7.68</v>
      </c>
      <c r="H12990" s="17"/>
      <c r="K12990" s="17"/>
      <c r="N12990" s="17"/>
    </row>
    <row r="12991">
      <c r="B12991" s="11">
        <f>IFERROR(__xludf.DUMMYFUNCTION("""COMPUTED_VALUE"""),27838.0)</f>
        <v>27838</v>
      </c>
      <c r="C12991" s="9">
        <f>IFERROR(__xludf.DUMMYFUNCTION("""COMPUTED_VALUE"""),7.74)</f>
        <v>7.74</v>
      </c>
      <c r="H12991" s="17"/>
      <c r="K12991" s="17"/>
      <c r="N12991" s="17"/>
    </row>
    <row r="12992">
      <c r="B12992" s="11">
        <f>IFERROR(__xludf.DUMMYFUNCTION("""COMPUTED_VALUE"""),27837.0)</f>
        <v>27837</v>
      </c>
      <c r="C12992" s="9">
        <f>IFERROR(__xludf.DUMMYFUNCTION("""COMPUTED_VALUE"""),7.73)</f>
        <v>7.73</v>
      </c>
      <c r="H12992" s="17"/>
      <c r="K12992" s="17"/>
      <c r="N12992" s="17"/>
    </row>
    <row r="12993">
      <c r="B12993" s="11">
        <f>IFERROR(__xludf.DUMMYFUNCTION("""COMPUTED_VALUE"""),27836.0)</f>
        <v>27836</v>
      </c>
      <c r="C12993" s="9">
        <f>IFERROR(__xludf.DUMMYFUNCTION("""COMPUTED_VALUE"""),7.76)</f>
        <v>7.76</v>
      </c>
      <c r="H12993" s="17"/>
      <c r="K12993" s="17"/>
      <c r="N12993" s="17"/>
    </row>
    <row r="12994">
      <c r="B12994" s="11">
        <f>IFERROR(__xludf.DUMMYFUNCTION("""COMPUTED_VALUE"""),27835.0)</f>
        <v>27835</v>
      </c>
      <c r="C12994" s="9">
        <f>IFERROR(__xludf.DUMMYFUNCTION("""COMPUTED_VALUE"""),7.76)</f>
        <v>7.76</v>
      </c>
      <c r="H12994" s="17"/>
      <c r="K12994" s="17"/>
      <c r="N12994" s="17"/>
    </row>
    <row r="12995">
      <c r="B12995" s="11">
        <f>IFERROR(__xludf.DUMMYFUNCTION("""COMPUTED_VALUE"""),27834.0)</f>
        <v>27834</v>
      </c>
      <c r="C12995" s="9">
        <f>IFERROR(__xludf.DUMMYFUNCTION("""COMPUTED_VALUE"""),7.74)</f>
        <v>7.74</v>
      </c>
      <c r="H12995" s="17"/>
      <c r="K12995" s="17"/>
      <c r="N12995" s="17"/>
    </row>
    <row r="12996">
      <c r="B12996" s="11">
        <f>IFERROR(__xludf.DUMMYFUNCTION("""COMPUTED_VALUE"""),27831.0)</f>
        <v>27831</v>
      </c>
      <c r="C12996" s="9">
        <f>IFERROR(__xludf.DUMMYFUNCTION("""COMPUTED_VALUE"""),7.71)</f>
        <v>7.71</v>
      </c>
      <c r="H12996" s="17"/>
      <c r="K12996" s="17"/>
      <c r="N12996" s="17"/>
    </row>
    <row r="12997">
      <c r="B12997" s="11">
        <f>IFERROR(__xludf.DUMMYFUNCTION("""COMPUTED_VALUE"""),27830.0)</f>
        <v>27830</v>
      </c>
      <c r="C12997" s="9">
        <f>IFERROR(__xludf.DUMMYFUNCTION("""COMPUTED_VALUE"""),7.77)</f>
        <v>7.77</v>
      </c>
      <c r="H12997" s="17"/>
      <c r="K12997" s="17"/>
      <c r="N12997" s="17"/>
    </row>
    <row r="12998">
      <c r="B12998" s="11">
        <f>IFERROR(__xludf.DUMMYFUNCTION("""COMPUTED_VALUE"""),27829.0)</f>
        <v>27829</v>
      </c>
      <c r="C12998" s="9">
        <f>IFERROR(__xludf.DUMMYFUNCTION("""COMPUTED_VALUE"""),7.76)</f>
        <v>7.76</v>
      </c>
      <c r="H12998" s="17"/>
      <c r="K12998" s="17"/>
      <c r="N12998" s="17"/>
    </row>
    <row r="12999">
      <c r="B12999" s="11">
        <f>IFERROR(__xludf.DUMMYFUNCTION("""COMPUTED_VALUE"""),27828.0)</f>
        <v>27828</v>
      </c>
      <c r="C12999" s="9">
        <f>IFERROR(__xludf.DUMMYFUNCTION("""COMPUTED_VALUE"""),7.78)</f>
        <v>7.78</v>
      </c>
      <c r="H12999" s="17"/>
      <c r="K12999" s="17"/>
      <c r="N12999" s="17"/>
    </row>
    <row r="13000">
      <c r="B13000" s="11">
        <f>IFERROR(__xludf.DUMMYFUNCTION("""COMPUTED_VALUE"""),27827.0)</f>
        <v>27827</v>
      </c>
      <c r="C13000" s="9">
        <f>IFERROR(__xludf.DUMMYFUNCTION("""COMPUTED_VALUE"""),7.76)</f>
        <v>7.76</v>
      </c>
      <c r="H13000" s="17"/>
      <c r="K13000" s="17"/>
      <c r="N13000" s="17"/>
    </row>
    <row r="13001">
      <c r="B13001" s="11">
        <f>IFERROR(__xludf.DUMMYFUNCTION("""COMPUTED_VALUE"""),27824.0)</f>
        <v>27824</v>
      </c>
      <c r="C13001" s="9">
        <f>IFERROR(__xludf.DUMMYFUNCTION("""COMPUTED_VALUE"""),7.8)</f>
        <v>7.8</v>
      </c>
      <c r="H13001" s="17"/>
      <c r="K13001" s="17"/>
      <c r="N13001" s="17"/>
    </row>
    <row r="13002">
      <c r="B13002" s="11">
        <f>IFERROR(__xludf.DUMMYFUNCTION("""COMPUTED_VALUE"""),27823.0)</f>
        <v>27823</v>
      </c>
      <c r="C13002" s="9">
        <f>IFERROR(__xludf.DUMMYFUNCTION("""COMPUTED_VALUE"""),7.85)</f>
        <v>7.85</v>
      </c>
      <c r="H13002" s="17"/>
      <c r="K13002" s="17"/>
      <c r="N13002" s="17"/>
    </row>
    <row r="13003">
      <c r="B13003" s="11">
        <f>IFERROR(__xludf.DUMMYFUNCTION("""COMPUTED_VALUE"""),27822.0)</f>
        <v>27822</v>
      </c>
      <c r="C13003" s="9">
        <f>IFERROR(__xludf.DUMMYFUNCTION("""COMPUTED_VALUE"""),7.82)</f>
        <v>7.82</v>
      </c>
      <c r="H13003" s="17"/>
      <c r="K13003" s="17"/>
      <c r="N13003" s="17"/>
    </row>
    <row r="13004">
      <c r="B13004" s="11">
        <f>IFERROR(__xludf.DUMMYFUNCTION("""COMPUTED_VALUE"""),27821.0)</f>
        <v>27821</v>
      </c>
      <c r="C13004" s="9">
        <f>IFERROR(__xludf.DUMMYFUNCTION("""COMPUTED_VALUE"""),7.82)</f>
        <v>7.82</v>
      </c>
      <c r="H13004" s="17"/>
      <c r="K13004" s="17"/>
      <c r="N13004" s="17"/>
    </row>
    <row r="13005">
      <c r="B13005" s="11">
        <f>IFERROR(__xludf.DUMMYFUNCTION("""COMPUTED_VALUE"""),27820.0)</f>
        <v>27820</v>
      </c>
      <c r="C13005" s="9">
        <f>IFERROR(__xludf.DUMMYFUNCTION("""COMPUTED_VALUE"""),7.86)</f>
        <v>7.86</v>
      </c>
      <c r="H13005" s="17"/>
      <c r="K13005" s="17"/>
      <c r="N13005" s="17"/>
    </row>
    <row r="13006">
      <c r="B13006" s="11">
        <f>IFERROR(__xludf.DUMMYFUNCTION("""COMPUTED_VALUE"""),27817.0)</f>
        <v>27817</v>
      </c>
      <c r="C13006" s="9">
        <f>IFERROR(__xludf.DUMMYFUNCTION("""COMPUTED_VALUE"""),7.77)</f>
        <v>7.77</v>
      </c>
      <c r="H13006" s="17"/>
      <c r="K13006" s="17"/>
      <c r="N13006" s="17"/>
    </row>
    <row r="13007">
      <c r="B13007" s="11">
        <f>IFERROR(__xludf.DUMMYFUNCTION("""COMPUTED_VALUE"""),27816.0)</f>
        <v>27816</v>
      </c>
      <c r="C13007" s="9">
        <f>IFERROR(__xludf.DUMMYFUNCTION("""COMPUTED_VALUE"""),7.68)</f>
        <v>7.68</v>
      </c>
      <c r="H13007" s="17"/>
      <c r="K13007" s="17"/>
      <c r="N13007" s="17"/>
    </row>
    <row r="13008">
      <c r="B13008" s="11">
        <f>IFERROR(__xludf.DUMMYFUNCTION("""COMPUTED_VALUE"""),27815.0)</f>
        <v>27815</v>
      </c>
      <c r="C13008" s="9">
        <f>IFERROR(__xludf.DUMMYFUNCTION("""COMPUTED_VALUE"""),7.68)</f>
        <v>7.68</v>
      </c>
      <c r="H13008" s="17"/>
      <c r="K13008" s="17"/>
      <c r="N13008" s="17"/>
    </row>
    <row r="13009">
      <c r="B13009" s="11">
        <f>IFERROR(__xludf.DUMMYFUNCTION("""COMPUTED_VALUE"""),27814.0)</f>
        <v>27814</v>
      </c>
      <c r="C13009" s="9">
        <f>IFERROR(__xludf.DUMMYFUNCTION("""COMPUTED_VALUE"""),7.69)</f>
        <v>7.69</v>
      </c>
      <c r="H13009" s="17"/>
      <c r="K13009" s="17"/>
      <c r="N13009" s="17"/>
    </row>
    <row r="13010">
      <c r="B13010" s="11">
        <f>IFERROR(__xludf.DUMMYFUNCTION("""COMPUTED_VALUE"""),27813.0)</f>
        <v>27813</v>
      </c>
      <c r="C13010" s="9">
        <f>IFERROR(__xludf.DUMMYFUNCTION("""COMPUTED_VALUE"""),7.72)</f>
        <v>7.72</v>
      </c>
      <c r="H13010" s="17"/>
      <c r="K13010" s="17"/>
      <c r="N13010" s="17"/>
    </row>
    <row r="13011">
      <c r="B13011" s="11">
        <f>IFERROR(__xludf.DUMMYFUNCTION("""COMPUTED_VALUE"""),27810.0)</f>
        <v>27810</v>
      </c>
      <c r="C13011" s="9">
        <f>IFERROR(__xludf.DUMMYFUNCTION("""COMPUTED_VALUE"""),7.77)</f>
        <v>7.77</v>
      </c>
      <c r="H13011" s="17"/>
      <c r="K13011" s="17"/>
      <c r="N13011" s="17"/>
    </row>
    <row r="13012">
      <c r="B13012" s="11">
        <f>IFERROR(__xludf.DUMMYFUNCTION("""COMPUTED_VALUE"""),27809.0)</f>
        <v>27809</v>
      </c>
      <c r="C13012" s="9">
        <f>IFERROR(__xludf.DUMMYFUNCTION("""COMPUTED_VALUE"""),7.8)</f>
        <v>7.8</v>
      </c>
      <c r="H13012" s="17"/>
      <c r="K13012" s="17"/>
      <c r="N13012" s="17"/>
    </row>
    <row r="13013">
      <c r="B13013" s="11">
        <f>IFERROR(__xludf.DUMMYFUNCTION("""COMPUTED_VALUE"""),27808.0)</f>
        <v>27808</v>
      </c>
      <c r="C13013" s="9">
        <f>IFERROR(__xludf.DUMMYFUNCTION("""COMPUTED_VALUE"""),7.79)</f>
        <v>7.79</v>
      </c>
      <c r="H13013" s="17"/>
      <c r="K13013" s="17"/>
      <c r="N13013" s="17"/>
    </row>
    <row r="13014">
      <c r="B13014" s="11">
        <f>IFERROR(__xludf.DUMMYFUNCTION("""COMPUTED_VALUE"""),27807.0)</f>
        <v>27807</v>
      </c>
      <c r="C13014" s="9">
        <f>IFERROR(__xludf.DUMMYFUNCTION("""COMPUTED_VALUE"""),7.78)</f>
        <v>7.78</v>
      </c>
      <c r="H13014" s="17"/>
      <c r="K13014" s="17"/>
      <c r="N13014" s="17"/>
    </row>
    <row r="13015">
      <c r="B13015" s="11">
        <f>IFERROR(__xludf.DUMMYFUNCTION("""COMPUTED_VALUE"""),27806.0)</f>
        <v>27806</v>
      </c>
      <c r="C13015" s="9"/>
      <c r="H13015" s="17"/>
      <c r="K13015" s="17"/>
      <c r="N13015" s="17"/>
    </row>
    <row r="13016">
      <c r="B13016" s="11">
        <f>IFERROR(__xludf.DUMMYFUNCTION("""COMPUTED_VALUE"""),27803.0)</f>
        <v>27803</v>
      </c>
      <c r="C13016" s="9">
        <f>IFERROR(__xludf.DUMMYFUNCTION("""COMPUTED_VALUE"""),7.82)</f>
        <v>7.82</v>
      </c>
      <c r="H13016" s="17"/>
      <c r="K13016" s="17"/>
      <c r="N13016" s="17"/>
    </row>
    <row r="13017">
      <c r="B13017" s="11">
        <f>IFERROR(__xludf.DUMMYFUNCTION("""COMPUTED_VALUE"""),27802.0)</f>
        <v>27802</v>
      </c>
      <c r="C13017" s="9"/>
      <c r="H13017" s="17"/>
      <c r="K13017" s="17"/>
      <c r="N13017" s="17"/>
    </row>
    <row r="13018">
      <c r="B13018" s="11">
        <f>IFERROR(__xludf.DUMMYFUNCTION("""COMPUTED_VALUE"""),27801.0)</f>
        <v>27801</v>
      </c>
      <c r="C13018" s="9">
        <f>IFERROR(__xludf.DUMMYFUNCTION("""COMPUTED_VALUE"""),7.85)</f>
        <v>7.85</v>
      </c>
      <c r="H13018" s="17"/>
      <c r="K13018" s="17"/>
      <c r="N13018" s="17"/>
    </row>
    <row r="13019">
      <c r="B13019" s="11">
        <f>IFERROR(__xludf.DUMMYFUNCTION("""COMPUTED_VALUE"""),27800.0)</f>
        <v>27800</v>
      </c>
      <c r="C13019" s="9">
        <f>IFERROR(__xludf.DUMMYFUNCTION("""COMPUTED_VALUE"""),7.88)</f>
        <v>7.88</v>
      </c>
      <c r="H13019" s="17"/>
      <c r="K13019" s="17"/>
      <c r="N13019" s="17"/>
    </row>
    <row r="13020">
      <c r="B13020" s="11">
        <f>IFERROR(__xludf.DUMMYFUNCTION("""COMPUTED_VALUE"""),27799.0)</f>
        <v>27799</v>
      </c>
      <c r="C13020" s="9">
        <f>IFERROR(__xludf.DUMMYFUNCTION("""COMPUTED_VALUE"""),7.86)</f>
        <v>7.86</v>
      </c>
      <c r="H13020" s="17"/>
      <c r="K13020" s="17"/>
      <c r="N13020" s="17"/>
    </row>
    <row r="13021">
      <c r="B13021" s="11">
        <f>IFERROR(__xludf.DUMMYFUNCTION("""COMPUTED_VALUE"""),27796.0)</f>
        <v>27796</v>
      </c>
      <c r="C13021" s="9">
        <f>IFERROR(__xludf.DUMMYFUNCTION("""COMPUTED_VALUE"""),7.88)</f>
        <v>7.88</v>
      </c>
      <c r="H13021" s="17"/>
      <c r="K13021" s="17"/>
      <c r="N13021" s="17"/>
    </row>
    <row r="13022">
      <c r="B13022" s="11">
        <f>IFERROR(__xludf.DUMMYFUNCTION("""COMPUTED_VALUE"""),27795.0)</f>
        <v>27795</v>
      </c>
      <c r="C13022" s="9">
        <f>IFERROR(__xludf.DUMMYFUNCTION("""COMPUTED_VALUE"""),7.83)</f>
        <v>7.83</v>
      </c>
      <c r="H13022" s="17"/>
      <c r="K13022" s="17"/>
      <c r="N13022" s="17"/>
    </row>
    <row r="13023">
      <c r="B13023" s="11">
        <f>IFERROR(__xludf.DUMMYFUNCTION("""COMPUTED_VALUE"""),27794.0)</f>
        <v>27794</v>
      </c>
      <c r="C13023" s="9">
        <f>IFERROR(__xludf.DUMMYFUNCTION("""COMPUTED_VALUE"""),7.85)</f>
        <v>7.85</v>
      </c>
      <c r="H13023" s="17"/>
      <c r="K13023" s="17"/>
      <c r="N13023" s="17"/>
    </row>
    <row r="13024">
      <c r="B13024" s="11">
        <f>IFERROR(__xludf.DUMMYFUNCTION("""COMPUTED_VALUE"""),27793.0)</f>
        <v>27793</v>
      </c>
      <c r="C13024" s="9">
        <f>IFERROR(__xludf.DUMMYFUNCTION("""COMPUTED_VALUE"""),7.82)</f>
        <v>7.82</v>
      </c>
      <c r="H13024" s="17"/>
      <c r="K13024" s="17"/>
      <c r="N13024" s="17"/>
    </row>
    <row r="13025">
      <c r="B13025" s="11">
        <f>IFERROR(__xludf.DUMMYFUNCTION("""COMPUTED_VALUE"""),27792.0)</f>
        <v>27792</v>
      </c>
      <c r="C13025" s="9">
        <f>IFERROR(__xludf.DUMMYFUNCTION("""COMPUTED_VALUE"""),7.8)</f>
        <v>7.8</v>
      </c>
      <c r="H13025" s="17"/>
      <c r="K13025" s="17"/>
      <c r="N13025" s="17"/>
    </row>
    <row r="13026">
      <c r="B13026" s="11">
        <f>IFERROR(__xludf.DUMMYFUNCTION("""COMPUTED_VALUE"""),27789.0)</f>
        <v>27789</v>
      </c>
      <c r="C13026" s="9">
        <f>IFERROR(__xludf.DUMMYFUNCTION("""COMPUTED_VALUE"""),7.8)</f>
        <v>7.8</v>
      </c>
      <c r="H13026" s="17"/>
      <c r="K13026" s="17"/>
      <c r="N13026" s="17"/>
    </row>
    <row r="13027">
      <c r="B13027" s="11">
        <f>IFERROR(__xludf.DUMMYFUNCTION("""COMPUTED_VALUE"""),27788.0)</f>
        <v>27788</v>
      </c>
      <c r="C13027" s="9">
        <f>IFERROR(__xludf.DUMMYFUNCTION("""COMPUTED_VALUE"""),7.82)</f>
        <v>7.82</v>
      </c>
      <c r="H13027" s="17"/>
      <c r="K13027" s="17"/>
      <c r="N13027" s="17"/>
    </row>
    <row r="13028">
      <c r="B13028" s="11">
        <f>IFERROR(__xludf.DUMMYFUNCTION("""COMPUTED_VALUE"""),27787.0)</f>
        <v>27787</v>
      </c>
      <c r="C13028" s="9">
        <f>IFERROR(__xludf.DUMMYFUNCTION("""COMPUTED_VALUE"""),7.83)</f>
        <v>7.83</v>
      </c>
      <c r="H13028" s="17"/>
      <c r="K13028" s="17"/>
      <c r="N13028" s="17"/>
    </row>
    <row r="13029">
      <c r="B13029" s="11">
        <f>IFERROR(__xludf.DUMMYFUNCTION("""COMPUTED_VALUE"""),27786.0)</f>
        <v>27786</v>
      </c>
      <c r="C13029" s="9">
        <f>IFERROR(__xludf.DUMMYFUNCTION("""COMPUTED_VALUE"""),7.8)</f>
        <v>7.8</v>
      </c>
      <c r="H13029" s="17"/>
      <c r="K13029" s="17"/>
      <c r="N13029" s="17"/>
    </row>
    <row r="13030">
      <c r="B13030" s="11">
        <f>IFERROR(__xludf.DUMMYFUNCTION("""COMPUTED_VALUE"""),27785.0)</f>
        <v>27785</v>
      </c>
      <c r="C13030" s="9">
        <f>IFERROR(__xludf.DUMMYFUNCTION("""COMPUTED_VALUE"""),7.79)</f>
        <v>7.79</v>
      </c>
      <c r="H13030" s="17"/>
      <c r="K13030" s="17"/>
      <c r="N13030" s="17"/>
    </row>
    <row r="13031">
      <c r="B13031" s="11">
        <f>IFERROR(__xludf.DUMMYFUNCTION("""COMPUTED_VALUE"""),27782.0)</f>
        <v>27782</v>
      </c>
      <c r="C13031" s="9">
        <f>IFERROR(__xludf.DUMMYFUNCTION("""COMPUTED_VALUE"""),7.78)</f>
        <v>7.78</v>
      </c>
      <c r="H13031" s="17"/>
      <c r="K13031" s="17"/>
      <c r="N13031" s="17"/>
    </row>
    <row r="13032">
      <c r="B13032" s="11">
        <f>IFERROR(__xludf.DUMMYFUNCTION("""COMPUTED_VALUE"""),27781.0)</f>
        <v>27781</v>
      </c>
      <c r="C13032" s="9">
        <f>IFERROR(__xludf.DUMMYFUNCTION("""COMPUTED_VALUE"""),7.8)</f>
        <v>7.8</v>
      </c>
      <c r="H13032" s="17"/>
      <c r="K13032" s="17"/>
      <c r="N13032" s="17"/>
    </row>
    <row r="13033">
      <c r="B13033" s="11">
        <f>IFERROR(__xludf.DUMMYFUNCTION("""COMPUTED_VALUE"""),27780.0)</f>
        <v>27780</v>
      </c>
      <c r="C13033" s="9">
        <f>IFERROR(__xludf.DUMMYFUNCTION("""COMPUTED_VALUE"""),7.78)</f>
        <v>7.78</v>
      </c>
      <c r="H13033" s="17"/>
      <c r="K13033" s="17"/>
      <c r="N13033" s="17"/>
    </row>
    <row r="13034">
      <c r="B13034" s="11">
        <f>IFERROR(__xludf.DUMMYFUNCTION("""COMPUTED_VALUE"""),27779.0)</f>
        <v>27779</v>
      </c>
      <c r="C13034" s="9">
        <f>IFERROR(__xludf.DUMMYFUNCTION("""COMPUTED_VALUE"""),7.71)</f>
        <v>7.71</v>
      </c>
      <c r="H13034" s="17"/>
      <c r="K13034" s="17"/>
      <c r="N13034" s="17"/>
    </row>
    <row r="13035">
      <c r="B13035" s="11">
        <f>IFERROR(__xludf.DUMMYFUNCTION("""COMPUTED_VALUE"""),27778.0)</f>
        <v>27778</v>
      </c>
      <c r="C13035" s="9">
        <f>IFERROR(__xludf.DUMMYFUNCTION("""COMPUTED_VALUE"""),7.76)</f>
        <v>7.76</v>
      </c>
      <c r="H13035" s="17"/>
      <c r="K13035" s="17"/>
      <c r="N13035" s="17"/>
    </row>
    <row r="13036">
      <c r="B13036" s="11">
        <f>IFERROR(__xludf.DUMMYFUNCTION("""COMPUTED_VALUE"""),27775.0)</f>
        <v>27775</v>
      </c>
      <c r="C13036" s="9">
        <f>IFERROR(__xludf.DUMMYFUNCTION("""COMPUTED_VALUE"""),7.79)</f>
        <v>7.79</v>
      </c>
      <c r="H13036" s="17"/>
      <c r="K13036" s="17"/>
      <c r="N13036" s="17"/>
    </row>
    <row r="13037">
      <c r="B13037" s="11">
        <f>IFERROR(__xludf.DUMMYFUNCTION("""COMPUTED_VALUE"""),27774.0)</f>
        <v>27774</v>
      </c>
      <c r="C13037" s="9">
        <f>IFERROR(__xludf.DUMMYFUNCTION("""COMPUTED_VALUE"""),7.73)</f>
        <v>7.73</v>
      </c>
      <c r="H13037" s="17"/>
      <c r="K13037" s="17"/>
      <c r="N13037" s="17"/>
    </row>
    <row r="13038">
      <c r="B13038" s="11">
        <f>IFERROR(__xludf.DUMMYFUNCTION("""COMPUTED_VALUE"""),27773.0)</f>
        <v>27773</v>
      </c>
      <c r="C13038" s="9">
        <f>IFERROR(__xludf.DUMMYFUNCTION("""COMPUTED_VALUE"""),7.71)</f>
        <v>7.71</v>
      </c>
      <c r="H13038" s="17"/>
      <c r="K13038" s="17"/>
      <c r="N13038" s="17"/>
    </row>
    <row r="13039">
      <c r="B13039" s="11">
        <f>IFERROR(__xludf.DUMMYFUNCTION("""COMPUTED_VALUE"""),27772.0)</f>
        <v>27772</v>
      </c>
      <c r="C13039" s="9">
        <f>IFERROR(__xludf.DUMMYFUNCTION("""COMPUTED_VALUE"""),7.64)</f>
        <v>7.64</v>
      </c>
      <c r="H13039" s="17"/>
      <c r="K13039" s="17"/>
      <c r="N13039" s="17"/>
    </row>
    <row r="13040">
      <c r="B13040" s="11">
        <f>IFERROR(__xludf.DUMMYFUNCTION("""COMPUTED_VALUE"""),27771.0)</f>
        <v>27771</v>
      </c>
      <c r="C13040" s="9">
        <f>IFERROR(__xludf.DUMMYFUNCTION("""COMPUTED_VALUE"""),7.63)</f>
        <v>7.63</v>
      </c>
      <c r="H13040" s="17"/>
      <c r="K13040" s="17"/>
      <c r="N13040" s="17"/>
    </row>
    <row r="13041">
      <c r="B13041" s="11">
        <f>IFERROR(__xludf.DUMMYFUNCTION("""COMPUTED_VALUE"""),27768.0)</f>
        <v>27768</v>
      </c>
      <c r="C13041" s="9">
        <f>IFERROR(__xludf.DUMMYFUNCTION("""COMPUTED_VALUE"""),7.64)</f>
        <v>7.64</v>
      </c>
      <c r="H13041" s="17"/>
      <c r="K13041" s="17"/>
      <c r="N13041" s="17"/>
    </row>
    <row r="13042">
      <c r="B13042" s="11">
        <f>IFERROR(__xludf.DUMMYFUNCTION("""COMPUTED_VALUE"""),27767.0)</f>
        <v>27767</v>
      </c>
      <c r="C13042" s="9">
        <f>IFERROR(__xludf.DUMMYFUNCTION("""COMPUTED_VALUE"""),7.74)</f>
        <v>7.74</v>
      </c>
      <c r="H13042" s="17"/>
      <c r="K13042" s="17"/>
      <c r="N13042" s="17"/>
    </row>
    <row r="13043">
      <c r="B13043" s="11">
        <f>IFERROR(__xludf.DUMMYFUNCTION("""COMPUTED_VALUE"""),27766.0)</f>
        <v>27766</v>
      </c>
      <c r="C13043" s="9">
        <f>IFERROR(__xludf.DUMMYFUNCTION("""COMPUTED_VALUE"""),7.69)</f>
        <v>7.69</v>
      </c>
      <c r="H13043" s="17"/>
      <c r="K13043" s="17"/>
      <c r="N13043" s="17"/>
    </row>
    <row r="13044">
      <c r="B13044" s="11">
        <f>IFERROR(__xludf.DUMMYFUNCTION("""COMPUTED_VALUE"""),27765.0)</f>
        <v>27765</v>
      </c>
      <c r="C13044" s="9">
        <f>IFERROR(__xludf.DUMMYFUNCTION("""COMPUTED_VALUE"""),7.64)</f>
        <v>7.64</v>
      </c>
      <c r="H13044" s="17"/>
      <c r="K13044" s="17"/>
      <c r="N13044" s="17"/>
    </row>
    <row r="13045">
      <c r="B13045" s="11">
        <f>IFERROR(__xludf.DUMMYFUNCTION("""COMPUTED_VALUE"""),27764.0)</f>
        <v>27764</v>
      </c>
      <c r="C13045" s="9">
        <f>IFERROR(__xludf.DUMMYFUNCTION("""COMPUTED_VALUE"""),7.74)</f>
        <v>7.74</v>
      </c>
      <c r="H13045" s="17"/>
      <c r="K13045" s="17"/>
      <c r="N13045" s="17"/>
    </row>
    <row r="13046">
      <c r="B13046" s="11">
        <f>IFERROR(__xludf.DUMMYFUNCTION("""COMPUTED_VALUE"""),27761.0)</f>
        <v>27761</v>
      </c>
      <c r="C13046" s="9">
        <f>IFERROR(__xludf.DUMMYFUNCTION("""COMPUTED_VALUE"""),7.77)</f>
        <v>7.77</v>
      </c>
      <c r="H13046" s="17"/>
      <c r="K13046" s="17"/>
      <c r="N13046" s="17"/>
    </row>
    <row r="13047">
      <c r="B13047" s="11">
        <f>IFERROR(__xludf.DUMMYFUNCTION("""COMPUTED_VALUE"""),27760.0)</f>
        <v>27760</v>
      </c>
      <c r="C13047" s="9"/>
      <c r="H13047" s="17"/>
      <c r="K13047" s="17"/>
      <c r="N13047" s="17"/>
    </row>
    <row r="13048">
      <c r="B13048" s="11">
        <f>IFERROR(__xludf.DUMMYFUNCTION("""COMPUTED_VALUE"""),27759.0)</f>
        <v>27759</v>
      </c>
      <c r="C13048" s="9">
        <f>IFERROR(__xludf.DUMMYFUNCTION("""COMPUTED_VALUE"""),7.76)</f>
        <v>7.76</v>
      </c>
      <c r="H13048" s="17"/>
      <c r="K13048" s="17"/>
      <c r="N13048" s="17"/>
    </row>
    <row r="13049">
      <c r="B13049" s="11">
        <f>IFERROR(__xludf.DUMMYFUNCTION("""COMPUTED_VALUE"""),27758.0)</f>
        <v>27758</v>
      </c>
      <c r="C13049" s="9">
        <f>IFERROR(__xludf.DUMMYFUNCTION("""COMPUTED_VALUE"""),7.73)</f>
        <v>7.73</v>
      </c>
      <c r="H13049" s="17"/>
      <c r="K13049" s="17"/>
      <c r="N13049" s="17"/>
    </row>
    <row r="13050">
      <c r="B13050" s="11">
        <f>IFERROR(__xludf.DUMMYFUNCTION("""COMPUTED_VALUE"""),27757.0)</f>
        <v>27757</v>
      </c>
      <c r="C13050" s="9">
        <f>IFERROR(__xludf.DUMMYFUNCTION("""COMPUTED_VALUE"""),7.75)</f>
        <v>7.75</v>
      </c>
      <c r="H13050" s="17"/>
      <c r="K13050" s="17"/>
      <c r="N13050" s="17"/>
    </row>
    <row r="13051">
      <c r="B13051" s="11">
        <f>IFERROR(__xludf.DUMMYFUNCTION("""COMPUTED_VALUE"""),27754.0)</f>
        <v>27754</v>
      </c>
      <c r="C13051" s="9">
        <f>IFERROR(__xludf.DUMMYFUNCTION("""COMPUTED_VALUE"""),7.75)</f>
        <v>7.75</v>
      </c>
      <c r="H13051" s="17"/>
      <c r="K13051" s="17"/>
      <c r="N13051" s="17"/>
    </row>
    <row r="13052">
      <c r="B13052" s="11">
        <f>IFERROR(__xludf.DUMMYFUNCTION("""COMPUTED_VALUE"""),27753.0)</f>
        <v>27753</v>
      </c>
      <c r="C13052" s="9"/>
      <c r="H13052" s="17"/>
      <c r="K13052" s="17"/>
      <c r="N13052" s="17"/>
    </row>
    <row r="13053">
      <c r="B13053" s="11">
        <f>IFERROR(__xludf.DUMMYFUNCTION("""COMPUTED_VALUE"""),27752.0)</f>
        <v>27752</v>
      </c>
      <c r="C13053" s="9">
        <f>IFERROR(__xludf.DUMMYFUNCTION("""COMPUTED_VALUE"""),7.82)</f>
        <v>7.82</v>
      </c>
      <c r="H13053" s="17"/>
      <c r="K13053" s="17"/>
      <c r="N13053" s="17"/>
    </row>
    <row r="13054">
      <c r="B13054" s="11">
        <f>IFERROR(__xludf.DUMMYFUNCTION("""COMPUTED_VALUE"""),27751.0)</f>
        <v>27751</v>
      </c>
      <c r="C13054" s="9">
        <f>IFERROR(__xludf.DUMMYFUNCTION("""COMPUTED_VALUE"""),7.87)</f>
        <v>7.87</v>
      </c>
      <c r="H13054" s="17"/>
      <c r="K13054" s="17"/>
      <c r="N13054" s="17"/>
    </row>
    <row r="13055">
      <c r="B13055" s="11">
        <f>IFERROR(__xludf.DUMMYFUNCTION("""COMPUTED_VALUE"""),27750.0)</f>
        <v>27750</v>
      </c>
      <c r="C13055" s="9">
        <f>IFERROR(__xludf.DUMMYFUNCTION("""COMPUTED_VALUE"""),7.87)</f>
        <v>7.87</v>
      </c>
      <c r="H13055" s="17"/>
      <c r="K13055" s="17"/>
      <c r="N13055" s="17"/>
    </row>
    <row r="13056">
      <c r="B13056" s="11">
        <f>IFERROR(__xludf.DUMMYFUNCTION("""COMPUTED_VALUE"""),27747.0)</f>
        <v>27747</v>
      </c>
      <c r="C13056" s="9">
        <f>IFERROR(__xludf.DUMMYFUNCTION("""COMPUTED_VALUE"""),7.88)</f>
        <v>7.88</v>
      </c>
      <c r="H13056" s="17"/>
      <c r="K13056" s="17"/>
      <c r="N13056" s="17"/>
    </row>
    <row r="13057">
      <c r="B13057" s="11">
        <f>IFERROR(__xludf.DUMMYFUNCTION("""COMPUTED_VALUE"""),27746.0)</f>
        <v>27746</v>
      </c>
      <c r="C13057" s="9">
        <f>IFERROR(__xludf.DUMMYFUNCTION("""COMPUTED_VALUE"""),7.96)</f>
        <v>7.96</v>
      </c>
      <c r="H13057" s="17"/>
      <c r="K13057" s="17"/>
      <c r="N13057" s="17"/>
    </row>
    <row r="13058">
      <c r="B13058" s="11">
        <f>IFERROR(__xludf.DUMMYFUNCTION("""COMPUTED_VALUE"""),27745.0)</f>
        <v>27745</v>
      </c>
      <c r="C13058" s="9">
        <f>IFERROR(__xludf.DUMMYFUNCTION("""COMPUTED_VALUE"""),7.95)</f>
        <v>7.95</v>
      </c>
      <c r="H13058" s="17"/>
      <c r="K13058" s="17"/>
      <c r="N13058" s="17"/>
    </row>
    <row r="13059">
      <c r="B13059" s="11">
        <f>IFERROR(__xludf.DUMMYFUNCTION("""COMPUTED_VALUE"""),27744.0)</f>
        <v>27744</v>
      </c>
      <c r="C13059" s="9">
        <f>IFERROR(__xludf.DUMMYFUNCTION("""COMPUTED_VALUE"""),8.0)</f>
        <v>8</v>
      </c>
      <c r="H13059" s="17"/>
      <c r="K13059" s="17"/>
      <c r="N13059" s="17"/>
    </row>
    <row r="13060">
      <c r="B13060" s="11">
        <f>IFERROR(__xludf.DUMMYFUNCTION("""COMPUTED_VALUE"""),27743.0)</f>
        <v>27743</v>
      </c>
      <c r="C13060" s="9">
        <f>IFERROR(__xludf.DUMMYFUNCTION("""COMPUTED_VALUE"""),8.06)</f>
        <v>8.06</v>
      </c>
      <c r="H13060" s="17"/>
      <c r="K13060" s="17"/>
      <c r="N13060" s="17"/>
    </row>
    <row r="13061">
      <c r="B13061" s="11">
        <f>IFERROR(__xludf.DUMMYFUNCTION("""COMPUTED_VALUE"""),27740.0)</f>
        <v>27740</v>
      </c>
      <c r="C13061" s="9">
        <f>IFERROR(__xludf.DUMMYFUNCTION("""COMPUTED_VALUE"""),8.12)</f>
        <v>8.12</v>
      </c>
      <c r="H13061" s="17"/>
      <c r="K13061" s="17"/>
      <c r="N13061" s="17"/>
    </row>
    <row r="13062">
      <c r="B13062" s="11">
        <f>IFERROR(__xludf.DUMMYFUNCTION("""COMPUTED_VALUE"""),27739.0)</f>
        <v>27739</v>
      </c>
      <c r="C13062" s="9">
        <f>IFERROR(__xludf.DUMMYFUNCTION("""COMPUTED_VALUE"""),8.16)</f>
        <v>8.16</v>
      </c>
      <c r="H13062" s="17"/>
      <c r="K13062" s="17"/>
      <c r="N13062" s="17"/>
    </row>
    <row r="13063">
      <c r="B13063" s="11">
        <f>IFERROR(__xludf.DUMMYFUNCTION("""COMPUTED_VALUE"""),27738.0)</f>
        <v>27738</v>
      </c>
      <c r="C13063" s="9">
        <f>IFERROR(__xludf.DUMMYFUNCTION("""COMPUTED_VALUE"""),8.23)</f>
        <v>8.23</v>
      </c>
      <c r="H13063" s="17"/>
      <c r="K13063" s="17"/>
      <c r="N13063" s="17"/>
    </row>
    <row r="13064">
      <c r="B13064" s="11">
        <f>IFERROR(__xludf.DUMMYFUNCTION("""COMPUTED_VALUE"""),27737.0)</f>
        <v>27737</v>
      </c>
      <c r="C13064" s="9">
        <f>IFERROR(__xludf.DUMMYFUNCTION("""COMPUTED_VALUE"""),8.23)</f>
        <v>8.23</v>
      </c>
      <c r="H13064" s="17"/>
      <c r="K13064" s="17"/>
      <c r="N13064" s="17"/>
    </row>
    <row r="13065">
      <c r="B13065" s="11">
        <f>IFERROR(__xludf.DUMMYFUNCTION("""COMPUTED_VALUE"""),27736.0)</f>
        <v>27736</v>
      </c>
      <c r="C13065" s="9">
        <f>IFERROR(__xludf.DUMMYFUNCTION("""COMPUTED_VALUE"""),8.19)</f>
        <v>8.19</v>
      </c>
      <c r="H13065" s="17"/>
      <c r="K13065" s="17"/>
      <c r="N13065" s="17"/>
    </row>
    <row r="13066">
      <c r="B13066" s="11">
        <f>IFERROR(__xludf.DUMMYFUNCTION("""COMPUTED_VALUE"""),27733.0)</f>
        <v>27733</v>
      </c>
      <c r="C13066" s="9">
        <f>IFERROR(__xludf.DUMMYFUNCTION("""COMPUTED_VALUE"""),8.13)</f>
        <v>8.13</v>
      </c>
      <c r="H13066" s="17"/>
      <c r="K13066" s="17"/>
      <c r="N13066" s="17"/>
    </row>
    <row r="13067">
      <c r="B13067" s="11">
        <f>IFERROR(__xludf.DUMMYFUNCTION("""COMPUTED_VALUE"""),27732.0)</f>
        <v>27732</v>
      </c>
      <c r="C13067" s="9">
        <f>IFERROR(__xludf.DUMMYFUNCTION("""COMPUTED_VALUE"""),8.15)</f>
        <v>8.15</v>
      </c>
      <c r="H13067" s="17"/>
      <c r="K13067" s="17"/>
      <c r="N13067" s="17"/>
    </row>
    <row r="13068">
      <c r="B13068" s="11">
        <f>IFERROR(__xludf.DUMMYFUNCTION("""COMPUTED_VALUE"""),27731.0)</f>
        <v>27731</v>
      </c>
      <c r="C13068" s="9">
        <f>IFERROR(__xludf.DUMMYFUNCTION("""COMPUTED_VALUE"""),8.1)</f>
        <v>8.1</v>
      </c>
      <c r="H13068" s="17"/>
      <c r="K13068" s="17"/>
      <c r="N13068" s="17"/>
    </row>
    <row r="13069">
      <c r="B13069" s="11">
        <f>IFERROR(__xludf.DUMMYFUNCTION("""COMPUTED_VALUE"""),27730.0)</f>
        <v>27730</v>
      </c>
      <c r="C13069" s="9">
        <f>IFERROR(__xludf.DUMMYFUNCTION("""COMPUTED_VALUE"""),8.1)</f>
        <v>8.1</v>
      </c>
      <c r="H13069" s="17"/>
      <c r="K13069" s="17"/>
      <c r="N13069" s="17"/>
    </row>
    <row r="13070">
      <c r="B13070" s="11">
        <f>IFERROR(__xludf.DUMMYFUNCTION("""COMPUTED_VALUE"""),27729.0)</f>
        <v>27729</v>
      </c>
      <c r="C13070" s="9">
        <f>IFERROR(__xludf.DUMMYFUNCTION("""COMPUTED_VALUE"""),8.12)</f>
        <v>8.12</v>
      </c>
      <c r="H13070" s="17"/>
      <c r="K13070" s="17"/>
      <c r="N13070" s="17"/>
    </row>
    <row r="13071">
      <c r="B13071" s="11">
        <f>IFERROR(__xludf.DUMMYFUNCTION("""COMPUTED_VALUE"""),27726.0)</f>
        <v>27726</v>
      </c>
      <c r="C13071" s="9">
        <f>IFERROR(__xludf.DUMMYFUNCTION("""COMPUTED_VALUE"""),8.14)</f>
        <v>8.14</v>
      </c>
      <c r="H13071" s="17"/>
      <c r="K13071" s="17"/>
      <c r="N13071" s="17"/>
    </row>
    <row r="13072">
      <c r="B13072" s="11">
        <f>IFERROR(__xludf.DUMMYFUNCTION("""COMPUTED_VALUE"""),27725.0)</f>
        <v>27725</v>
      </c>
      <c r="C13072" s="9"/>
      <c r="H13072" s="17"/>
      <c r="K13072" s="17"/>
      <c r="N13072" s="17"/>
    </row>
    <row r="13073">
      <c r="B13073" s="11">
        <f>IFERROR(__xludf.DUMMYFUNCTION("""COMPUTED_VALUE"""),27724.0)</f>
        <v>27724</v>
      </c>
      <c r="C13073" s="9">
        <f>IFERROR(__xludf.DUMMYFUNCTION("""COMPUTED_VALUE"""),8.15)</f>
        <v>8.15</v>
      </c>
      <c r="H13073" s="17"/>
      <c r="K13073" s="17"/>
      <c r="N13073" s="17"/>
    </row>
    <row r="13074">
      <c r="B13074" s="11">
        <f>IFERROR(__xludf.DUMMYFUNCTION("""COMPUTED_VALUE"""),27723.0)</f>
        <v>27723</v>
      </c>
      <c r="C13074" s="9">
        <f>IFERROR(__xludf.DUMMYFUNCTION("""COMPUTED_VALUE"""),8.16)</f>
        <v>8.16</v>
      </c>
      <c r="H13074" s="17"/>
      <c r="K13074" s="17"/>
      <c r="N13074" s="17"/>
    </row>
    <row r="13075">
      <c r="B13075" s="11">
        <f>IFERROR(__xludf.DUMMYFUNCTION("""COMPUTED_VALUE"""),27722.0)</f>
        <v>27722</v>
      </c>
      <c r="C13075" s="9">
        <f>IFERROR(__xludf.DUMMYFUNCTION("""COMPUTED_VALUE"""),8.16)</f>
        <v>8.16</v>
      </c>
      <c r="H13075" s="17"/>
      <c r="K13075" s="17"/>
      <c r="N13075" s="17"/>
    </row>
    <row r="13076">
      <c r="B13076" s="11">
        <f>IFERROR(__xludf.DUMMYFUNCTION("""COMPUTED_VALUE"""),27719.0)</f>
        <v>27719</v>
      </c>
      <c r="C13076" s="9">
        <f>IFERROR(__xludf.DUMMYFUNCTION("""COMPUTED_VALUE"""),8.21)</f>
        <v>8.21</v>
      </c>
      <c r="H13076" s="17"/>
      <c r="K13076" s="17"/>
      <c r="N13076" s="17"/>
    </row>
    <row r="13077">
      <c r="B13077" s="11">
        <f>IFERROR(__xludf.DUMMYFUNCTION("""COMPUTED_VALUE"""),27718.0)</f>
        <v>27718</v>
      </c>
      <c r="C13077" s="9">
        <f>IFERROR(__xludf.DUMMYFUNCTION("""COMPUTED_VALUE"""),8.12)</f>
        <v>8.12</v>
      </c>
      <c r="H13077" s="17"/>
      <c r="K13077" s="17"/>
      <c r="N13077" s="17"/>
    </row>
    <row r="13078">
      <c r="B13078" s="11">
        <f>IFERROR(__xludf.DUMMYFUNCTION("""COMPUTED_VALUE"""),27717.0)</f>
        <v>27717</v>
      </c>
      <c r="C13078" s="9">
        <f>IFERROR(__xludf.DUMMYFUNCTION("""COMPUTED_VALUE"""),8.14)</f>
        <v>8.14</v>
      </c>
      <c r="H13078" s="17"/>
      <c r="K13078" s="17"/>
      <c r="N13078" s="17"/>
    </row>
    <row r="13079">
      <c r="B13079" s="11">
        <f>IFERROR(__xludf.DUMMYFUNCTION("""COMPUTED_VALUE"""),27716.0)</f>
        <v>27716</v>
      </c>
      <c r="C13079" s="9">
        <f>IFERROR(__xludf.DUMMYFUNCTION("""COMPUTED_VALUE"""),8.13)</f>
        <v>8.13</v>
      </c>
      <c r="H13079" s="17"/>
      <c r="K13079" s="17"/>
      <c r="N13079" s="17"/>
    </row>
    <row r="13080">
      <c r="B13080" s="11">
        <f>IFERROR(__xludf.DUMMYFUNCTION("""COMPUTED_VALUE"""),27715.0)</f>
        <v>27715</v>
      </c>
      <c r="C13080" s="9">
        <f>IFERROR(__xludf.DUMMYFUNCTION("""COMPUTED_VALUE"""),8.08)</f>
        <v>8.08</v>
      </c>
      <c r="H13080" s="17"/>
      <c r="K13080" s="17"/>
      <c r="N13080" s="17"/>
    </row>
    <row r="13081">
      <c r="B13081" s="11">
        <f>IFERROR(__xludf.DUMMYFUNCTION("""COMPUTED_VALUE"""),27712.0)</f>
        <v>27712</v>
      </c>
      <c r="C13081" s="9">
        <f>IFERROR(__xludf.DUMMYFUNCTION("""COMPUTED_VALUE"""),8.06)</f>
        <v>8.06</v>
      </c>
      <c r="H13081" s="17"/>
      <c r="K13081" s="17"/>
      <c r="N13081" s="17"/>
    </row>
    <row r="13082">
      <c r="B13082" s="11">
        <f>IFERROR(__xludf.DUMMYFUNCTION("""COMPUTED_VALUE"""),27711.0)</f>
        <v>27711</v>
      </c>
      <c r="C13082" s="9">
        <f>IFERROR(__xludf.DUMMYFUNCTION("""COMPUTED_VALUE"""),7.97)</f>
        <v>7.97</v>
      </c>
      <c r="H13082" s="17"/>
      <c r="K13082" s="17"/>
      <c r="N13082" s="17"/>
    </row>
    <row r="13083">
      <c r="B13083" s="11">
        <f>IFERROR(__xludf.DUMMYFUNCTION("""COMPUTED_VALUE"""),27710.0)</f>
        <v>27710</v>
      </c>
      <c r="C13083" s="9">
        <f>IFERROR(__xludf.DUMMYFUNCTION("""COMPUTED_VALUE"""),7.95)</f>
        <v>7.95</v>
      </c>
      <c r="H13083" s="17"/>
      <c r="K13083" s="17"/>
      <c r="N13083" s="17"/>
    </row>
    <row r="13084">
      <c r="B13084" s="11">
        <f>IFERROR(__xludf.DUMMYFUNCTION("""COMPUTED_VALUE"""),27709.0)</f>
        <v>27709</v>
      </c>
      <c r="C13084" s="9"/>
      <c r="H13084" s="17"/>
      <c r="K13084" s="17"/>
      <c r="N13084" s="17"/>
    </row>
    <row r="13085">
      <c r="B13085" s="11">
        <f>IFERROR(__xludf.DUMMYFUNCTION("""COMPUTED_VALUE"""),27708.0)</f>
        <v>27708</v>
      </c>
      <c r="C13085" s="9">
        <f>IFERROR(__xludf.DUMMYFUNCTION("""COMPUTED_VALUE"""),7.9)</f>
        <v>7.9</v>
      </c>
      <c r="H13085" s="17"/>
      <c r="K13085" s="17"/>
      <c r="N13085" s="17"/>
    </row>
    <row r="13086">
      <c r="B13086" s="11">
        <f>IFERROR(__xludf.DUMMYFUNCTION("""COMPUTED_VALUE"""),27705.0)</f>
        <v>27705</v>
      </c>
      <c r="C13086" s="9">
        <f>IFERROR(__xludf.DUMMYFUNCTION("""COMPUTED_VALUE"""),7.91)</f>
        <v>7.91</v>
      </c>
      <c r="H13086" s="17"/>
      <c r="K13086" s="17"/>
      <c r="N13086" s="17"/>
    </row>
    <row r="13087">
      <c r="B13087" s="11">
        <f>IFERROR(__xludf.DUMMYFUNCTION("""COMPUTED_VALUE"""),27704.0)</f>
        <v>27704</v>
      </c>
      <c r="C13087" s="9">
        <f>IFERROR(__xludf.DUMMYFUNCTION("""COMPUTED_VALUE"""),7.94)</f>
        <v>7.94</v>
      </c>
      <c r="H13087" s="17"/>
      <c r="K13087" s="17"/>
      <c r="N13087" s="17"/>
    </row>
    <row r="13088">
      <c r="B13088" s="11">
        <f>IFERROR(__xludf.DUMMYFUNCTION("""COMPUTED_VALUE"""),27703.0)</f>
        <v>27703</v>
      </c>
      <c r="C13088" s="9">
        <f>IFERROR(__xludf.DUMMYFUNCTION("""COMPUTED_VALUE"""),7.91)</f>
        <v>7.91</v>
      </c>
      <c r="H13088" s="17"/>
      <c r="K13088" s="17"/>
      <c r="N13088" s="17"/>
    </row>
    <row r="13089">
      <c r="B13089" s="11">
        <f>IFERROR(__xludf.DUMMYFUNCTION("""COMPUTED_VALUE"""),27702.0)</f>
        <v>27702</v>
      </c>
      <c r="C13089" s="9"/>
      <c r="H13089" s="17"/>
      <c r="K13089" s="17"/>
      <c r="N13089" s="17"/>
    </row>
    <row r="13090">
      <c r="B13090" s="11">
        <f>IFERROR(__xludf.DUMMYFUNCTION("""COMPUTED_VALUE"""),27701.0)</f>
        <v>27701</v>
      </c>
      <c r="C13090" s="9">
        <f>IFERROR(__xludf.DUMMYFUNCTION("""COMPUTED_VALUE"""),7.97)</f>
        <v>7.97</v>
      </c>
      <c r="H13090" s="17"/>
      <c r="K13090" s="17"/>
      <c r="N13090" s="17"/>
    </row>
    <row r="13091">
      <c r="B13091" s="11">
        <f>IFERROR(__xludf.DUMMYFUNCTION("""COMPUTED_VALUE"""),27698.0)</f>
        <v>27698</v>
      </c>
      <c r="C13091" s="9">
        <f>IFERROR(__xludf.DUMMYFUNCTION("""COMPUTED_VALUE"""),7.91)</f>
        <v>7.91</v>
      </c>
      <c r="H13091" s="17"/>
      <c r="K13091" s="17"/>
      <c r="N13091" s="17"/>
    </row>
    <row r="13092">
      <c r="B13092" s="11">
        <f>IFERROR(__xludf.DUMMYFUNCTION("""COMPUTED_VALUE"""),27697.0)</f>
        <v>27697</v>
      </c>
      <c r="C13092" s="9">
        <f>IFERROR(__xludf.DUMMYFUNCTION("""COMPUTED_VALUE"""),7.92)</f>
        <v>7.92</v>
      </c>
      <c r="H13092" s="17"/>
      <c r="K13092" s="17"/>
      <c r="N13092" s="17"/>
    </row>
    <row r="13093">
      <c r="B13093" s="11">
        <f>IFERROR(__xludf.DUMMYFUNCTION("""COMPUTED_VALUE"""),27696.0)</f>
        <v>27696</v>
      </c>
      <c r="C13093" s="9">
        <f>IFERROR(__xludf.DUMMYFUNCTION("""COMPUTED_VALUE"""),7.98)</f>
        <v>7.98</v>
      </c>
      <c r="H13093" s="17"/>
      <c r="K13093" s="17"/>
      <c r="N13093" s="17"/>
    </row>
    <row r="13094">
      <c r="B13094" s="11">
        <f>IFERROR(__xludf.DUMMYFUNCTION("""COMPUTED_VALUE"""),27695.0)</f>
        <v>27695</v>
      </c>
      <c r="C13094" s="9">
        <f>IFERROR(__xludf.DUMMYFUNCTION("""COMPUTED_VALUE"""),7.99)</f>
        <v>7.99</v>
      </c>
      <c r="H13094" s="17"/>
      <c r="K13094" s="17"/>
      <c r="N13094" s="17"/>
    </row>
    <row r="13095">
      <c r="B13095" s="11">
        <f>IFERROR(__xludf.DUMMYFUNCTION("""COMPUTED_VALUE"""),27694.0)</f>
        <v>27694</v>
      </c>
      <c r="C13095" s="9">
        <f>IFERROR(__xludf.DUMMYFUNCTION("""COMPUTED_VALUE"""),8.0)</f>
        <v>8</v>
      </c>
      <c r="H13095" s="17"/>
      <c r="K13095" s="17"/>
      <c r="N13095" s="17"/>
    </row>
    <row r="13096">
      <c r="B13096" s="11">
        <f>IFERROR(__xludf.DUMMYFUNCTION("""COMPUTED_VALUE"""),27691.0)</f>
        <v>27691</v>
      </c>
      <c r="C13096" s="9">
        <f>IFERROR(__xludf.DUMMYFUNCTION("""COMPUTED_VALUE"""),8.0)</f>
        <v>8</v>
      </c>
      <c r="H13096" s="17"/>
      <c r="K13096" s="17"/>
      <c r="N13096" s="17"/>
    </row>
    <row r="13097">
      <c r="B13097" s="11">
        <f>IFERROR(__xludf.DUMMYFUNCTION("""COMPUTED_VALUE"""),27690.0)</f>
        <v>27690</v>
      </c>
      <c r="C13097" s="9">
        <f>IFERROR(__xludf.DUMMYFUNCTION("""COMPUTED_VALUE"""),7.99)</f>
        <v>7.99</v>
      </c>
      <c r="H13097" s="17"/>
      <c r="K13097" s="17"/>
      <c r="N13097" s="17"/>
    </row>
    <row r="13098">
      <c r="B13098" s="11">
        <f>IFERROR(__xludf.DUMMYFUNCTION("""COMPUTED_VALUE"""),27689.0)</f>
        <v>27689</v>
      </c>
      <c r="C13098" s="9">
        <f>IFERROR(__xludf.DUMMYFUNCTION("""COMPUTED_VALUE"""),8.05)</f>
        <v>8.05</v>
      </c>
      <c r="H13098" s="17"/>
      <c r="K13098" s="17"/>
      <c r="N13098" s="17"/>
    </row>
    <row r="13099">
      <c r="B13099" s="11">
        <f>IFERROR(__xludf.DUMMYFUNCTION("""COMPUTED_VALUE"""),27688.0)</f>
        <v>27688</v>
      </c>
      <c r="C13099" s="9">
        <f>IFERROR(__xludf.DUMMYFUNCTION("""COMPUTED_VALUE"""),8.05)</f>
        <v>8.05</v>
      </c>
      <c r="H13099" s="17"/>
      <c r="K13099" s="17"/>
      <c r="N13099" s="17"/>
    </row>
    <row r="13100">
      <c r="B13100" s="11">
        <f>IFERROR(__xludf.DUMMYFUNCTION("""COMPUTED_VALUE"""),27687.0)</f>
        <v>27687</v>
      </c>
      <c r="C13100" s="9">
        <f>IFERROR(__xludf.DUMMYFUNCTION("""COMPUTED_VALUE"""),8.07)</f>
        <v>8.07</v>
      </c>
      <c r="H13100" s="17"/>
      <c r="K13100" s="17"/>
      <c r="N13100" s="17"/>
    </row>
    <row r="13101">
      <c r="B13101" s="11">
        <f>IFERROR(__xludf.DUMMYFUNCTION("""COMPUTED_VALUE"""),27684.0)</f>
        <v>27684</v>
      </c>
      <c r="C13101" s="9">
        <f>IFERROR(__xludf.DUMMYFUNCTION("""COMPUTED_VALUE"""),8.07)</f>
        <v>8.07</v>
      </c>
      <c r="H13101" s="17"/>
      <c r="K13101" s="17"/>
      <c r="N13101" s="17"/>
    </row>
    <row r="13102">
      <c r="B13102" s="11">
        <f>IFERROR(__xludf.DUMMYFUNCTION("""COMPUTED_VALUE"""),27683.0)</f>
        <v>27683</v>
      </c>
      <c r="C13102" s="9">
        <f>IFERROR(__xludf.DUMMYFUNCTION("""COMPUTED_VALUE"""),8.07)</f>
        <v>8.07</v>
      </c>
      <c r="H13102" s="17"/>
      <c r="K13102" s="17"/>
      <c r="N13102" s="17"/>
    </row>
    <row r="13103">
      <c r="B13103" s="11">
        <f>IFERROR(__xludf.DUMMYFUNCTION("""COMPUTED_VALUE"""),27682.0)</f>
        <v>27682</v>
      </c>
      <c r="C13103" s="9">
        <f>IFERROR(__xludf.DUMMYFUNCTION("""COMPUTED_VALUE"""),8.19)</f>
        <v>8.19</v>
      </c>
      <c r="H13103" s="17"/>
      <c r="K13103" s="17"/>
      <c r="N13103" s="17"/>
    </row>
    <row r="13104">
      <c r="B13104" s="11">
        <f>IFERROR(__xludf.DUMMYFUNCTION("""COMPUTED_VALUE"""),27681.0)</f>
        <v>27681</v>
      </c>
      <c r="C13104" s="9">
        <f>IFERROR(__xludf.DUMMYFUNCTION("""COMPUTED_VALUE"""),8.19)</f>
        <v>8.19</v>
      </c>
      <c r="H13104" s="17"/>
      <c r="K13104" s="17"/>
      <c r="N13104" s="17"/>
    </row>
    <row r="13105">
      <c r="B13105" s="11">
        <f>IFERROR(__xludf.DUMMYFUNCTION("""COMPUTED_VALUE"""),27680.0)</f>
        <v>27680</v>
      </c>
      <c r="C13105" s="9"/>
      <c r="H13105" s="17"/>
      <c r="K13105" s="17"/>
      <c r="N13105" s="17"/>
    </row>
    <row r="13106">
      <c r="B13106" s="11">
        <f>IFERROR(__xludf.DUMMYFUNCTION("""COMPUTED_VALUE"""),27677.0)</f>
        <v>27677</v>
      </c>
      <c r="C13106" s="9">
        <f>IFERROR(__xludf.DUMMYFUNCTION("""COMPUTED_VALUE"""),8.15)</f>
        <v>8.15</v>
      </c>
      <c r="H13106" s="17"/>
      <c r="K13106" s="17"/>
      <c r="N13106" s="17"/>
    </row>
    <row r="13107">
      <c r="B13107" s="11">
        <f>IFERROR(__xludf.DUMMYFUNCTION("""COMPUTED_VALUE"""),27676.0)</f>
        <v>27676</v>
      </c>
      <c r="C13107" s="9">
        <f>IFERROR(__xludf.DUMMYFUNCTION("""COMPUTED_VALUE"""),8.23)</f>
        <v>8.23</v>
      </c>
      <c r="H13107" s="17"/>
      <c r="K13107" s="17"/>
      <c r="N13107" s="17"/>
    </row>
    <row r="13108">
      <c r="B13108" s="11">
        <f>IFERROR(__xludf.DUMMYFUNCTION("""COMPUTED_VALUE"""),27675.0)</f>
        <v>27675</v>
      </c>
      <c r="C13108" s="9">
        <f>IFERROR(__xludf.DUMMYFUNCTION("""COMPUTED_VALUE"""),8.3)</f>
        <v>8.3</v>
      </c>
      <c r="H13108" s="17"/>
      <c r="K13108" s="17"/>
      <c r="N13108" s="17"/>
    </row>
    <row r="13109">
      <c r="B13109" s="11">
        <f>IFERROR(__xludf.DUMMYFUNCTION("""COMPUTED_VALUE"""),27674.0)</f>
        <v>27674</v>
      </c>
      <c r="C13109" s="9">
        <f>IFERROR(__xludf.DUMMYFUNCTION("""COMPUTED_VALUE"""),8.33)</f>
        <v>8.33</v>
      </c>
      <c r="H13109" s="17"/>
      <c r="K13109" s="17"/>
      <c r="N13109" s="17"/>
    </row>
    <row r="13110">
      <c r="B13110" s="11">
        <f>IFERROR(__xludf.DUMMYFUNCTION("""COMPUTED_VALUE"""),27673.0)</f>
        <v>27673</v>
      </c>
      <c r="C13110" s="9">
        <f>IFERROR(__xludf.DUMMYFUNCTION("""COMPUTED_VALUE"""),8.3)</f>
        <v>8.3</v>
      </c>
      <c r="H13110" s="17"/>
      <c r="K13110" s="17"/>
      <c r="N13110" s="17"/>
    </row>
    <row r="13111">
      <c r="B13111" s="11">
        <f>IFERROR(__xludf.DUMMYFUNCTION("""COMPUTED_VALUE"""),27670.0)</f>
        <v>27670</v>
      </c>
      <c r="C13111" s="9">
        <f>IFERROR(__xludf.DUMMYFUNCTION("""COMPUTED_VALUE"""),8.33)</f>
        <v>8.33</v>
      </c>
      <c r="H13111" s="17"/>
      <c r="K13111" s="17"/>
      <c r="N13111" s="17"/>
    </row>
    <row r="13112">
      <c r="B13112" s="11">
        <f>IFERROR(__xludf.DUMMYFUNCTION("""COMPUTED_VALUE"""),27669.0)</f>
        <v>27669</v>
      </c>
      <c r="C13112" s="9">
        <f>IFERROR(__xludf.DUMMYFUNCTION("""COMPUTED_VALUE"""),8.44)</f>
        <v>8.44</v>
      </c>
      <c r="H13112" s="17"/>
      <c r="K13112" s="17"/>
      <c r="N13112" s="17"/>
    </row>
    <row r="13113">
      <c r="B13113" s="11">
        <f>IFERROR(__xludf.DUMMYFUNCTION("""COMPUTED_VALUE"""),27668.0)</f>
        <v>27668</v>
      </c>
      <c r="C13113" s="9">
        <f>IFERROR(__xludf.DUMMYFUNCTION("""COMPUTED_VALUE"""),8.47)</f>
        <v>8.47</v>
      </c>
      <c r="H13113" s="17"/>
      <c r="K13113" s="17"/>
      <c r="N13113" s="17"/>
    </row>
    <row r="13114">
      <c r="B13114" s="11">
        <f>IFERROR(__xludf.DUMMYFUNCTION("""COMPUTED_VALUE"""),27667.0)</f>
        <v>27667</v>
      </c>
      <c r="C13114" s="9">
        <f>IFERROR(__xludf.DUMMYFUNCTION("""COMPUTED_VALUE"""),8.48)</f>
        <v>8.48</v>
      </c>
      <c r="H13114" s="17"/>
      <c r="K13114" s="17"/>
      <c r="N13114" s="17"/>
    </row>
    <row r="13115">
      <c r="B13115" s="11">
        <f>IFERROR(__xludf.DUMMYFUNCTION("""COMPUTED_VALUE"""),27666.0)</f>
        <v>27666</v>
      </c>
      <c r="C13115" s="9">
        <f>IFERROR(__xludf.DUMMYFUNCTION("""COMPUTED_VALUE"""),8.46)</f>
        <v>8.46</v>
      </c>
      <c r="H13115" s="17"/>
      <c r="K13115" s="17"/>
      <c r="N13115" s="17"/>
    </row>
    <row r="13116">
      <c r="B13116" s="11">
        <f>IFERROR(__xludf.DUMMYFUNCTION("""COMPUTED_VALUE"""),27663.0)</f>
        <v>27663</v>
      </c>
      <c r="C13116" s="9">
        <f>IFERROR(__xludf.DUMMYFUNCTION("""COMPUTED_VALUE"""),8.45)</f>
        <v>8.45</v>
      </c>
      <c r="H13116" s="17"/>
      <c r="K13116" s="17"/>
      <c r="N13116" s="17"/>
    </row>
    <row r="13117">
      <c r="B13117" s="11">
        <f>IFERROR(__xludf.DUMMYFUNCTION("""COMPUTED_VALUE"""),27662.0)</f>
        <v>27662</v>
      </c>
      <c r="C13117" s="9">
        <f>IFERROR(__xludf.DUMMYFUNCTION("""COMPUTED_VALUE"""),8.38)</f>
        <v>8.38</v>
      </c>
      <c r="H13117" s="17"/>
      <c r="K13117" s="17"/>
      <c r="N13117" s="17"/>
    </row>
    <row r="13118">
      <c r="B13118" s="11">
        <f>IFERROR(__xludf.DUMMYFUNCTION("""COMPUTED_VALUE"""),27661.0)</f>
        <v>27661</v>
      </c>
      <c r="C13118" s="9">
        <f>IFERROR(__xludf.DUMMYFUNCTION("""COMPUTED_VALUE"""),8.31)</f>
        <v>8.31</v>
      </c>
      <c r="H13118" s="17"/>
      <c r="K13118" s="17"/>
      <c r="N13118" s="17"/>
    </row>
    <row r="13119">
      <c r="B13119" s="11">
        <f>IFERROR(__xludf.DUMMYFUNCTION("""COMPUTED_VALUE"""),27660.0)</f>
        <v>27660</v>
      </c>
      <c r="C13119" s="9">
        <f>IFERROR(__xludf.DUMMYFUNCTION("""COMPUTED_VALUE"""),8.35)</f>
        <v>8.35</v>
      </c>
      <c r="H13119" s="17"/>
      <c r="K13119" s="17"/>
      <c r="N13119" s="17"/>
    </row>
    <row r="13120">
      <c r="B13120" s="11">
        <f>IFERROR(__xludf.DUMMYFUNCTION("""COMPUTED_VALUE"""),27659.0)</f>
        <v>27659</v>
      </c>
      <c r="C13120" s="9">
        <f>IFERROR(__xludf.DUMMYFUNCTION("""COMPUTED_VALUE"""),8.38)</f>
        <v>8.38</v>
      </c>
      <c r="H13120" s="17"/>
      <c r="K13120" s="17"/>
      <c r="N13120" s="17"/>
    </row>
    <row r="13121">
      <c r="B13121" s="11">
        <f>IFERROR(__xludf.DUMMYFUNCTION("""COMPUTED_VALUE"""),27656.0)</f>
        <v>27656</v>
      </c>
      <c r="C13121" s="9">
        <f>IFERROR(__xludf.DUMMYFUNCTION("""COMPUTED_VALUE"""),8.42)</f>
        <v>8.42</v>
      </c>
      <c r="H13121" s="17"/>
      <c r="K13121" s="17"/>
      <c r="N13121" s="17"/>
    </row>
    <row r="13122">
      <c r="B13122" s="11">
        <f>IFERROR(__xludf.DUMMYFUNCTION("""COMPUTED_VALUE"""),27655.0)</f>
        <v>27655</v>
      </c>
      <c r="C13122" s="9">
        <f>IFERROR(__xludf.DUMMYFUNCTION("""COMPUTED_VALUE"""),8.5)</f>
        <v>8.5</v>
      </c>
      <c r="H13122" s="17"/>
      <c r="K13122" s="17"/>
      <c r="N13122" s="17"/>
    </row>
    <row r="13123">
      <c r="B13123" s="11">
        <f>IFERROR(__xludf.DUMMYFUNCTION("""COMPUTED_VALUE"""),27654.0)</f>
        <v>27654</v>
      </c>
      <c r="C13123" s="9">
        <f>IFERROR(__xludf.DUMMYFUNCTION("""COMPUTED_VALUE"""),8.53)</f>
        <v>8.53</v>
      </c>
      <c r="H13123" s="17"/>
      <c r="K13123" s="17"/>
      <c r="N13123" s="17"/>
    </row>
    <row r="13124">
      <c r="B13124" s="11">
        <f>IFERROR(__xludf.DUMMYFUNCTION("""COMPUTED_VALUE"""),27653.0)</f>
        <v>27653</v>
      </c>
      <c r="C13124" s="9">
        <f>IFERROR(__xludf.DUMMYFUNCTION("""COMPUTED_VALUE"""),8.59)</f>
        <v>8.59</v>
      </c>
      <c r="H13124" s="17"/>
      <c r="K13124" s="17"/>
      <c r="N13124" s="17"/>
    </row>
    <row r="13125">
      <c r="B13125" s="11">
        <f>IFERROR(__xludf.DUMMYFUNCTION("""COMPUTED_VALUE"""),27652.0)</f>
        <v>27652</v>
      </c>
      <c r="C13125" s="9">
        <f>IFERROR(__xludf.DUMMYFUNCTION("""COMPUTED_VALUE"""),8.58)</f>
        <v>8.58</v>
      </c>
      <c r="H13125" s="17"/>
      <c r="K13125" s="17"/>
      <c r="N13125" s="17"/>
    </row>
    <row r="13126">
      <c r="B13126" s="11">
        <f>IFERROR(__xludf.DUMMYFUNCTION("""COMPUTED_VALUE"""),27649.0)</f>
        <v>27649</v>
      </c>
      <c r="C13126" s="9">
        <f>IFERROR(__xludf.DUMMYFUNCTION("""COMPUTED_VALUE"""),8.57)</f>
        <v>8.57</v>
      </c>
      <c r="H13126" s="17"/>
      <c r="K13126" s="17"/>
      <c r="N13126" s="17"/>
    </row>
    <row r="13127">
      <c r="B13127" s="11">
        <f>IFERROR(__xludf.DUMMYFUNCTION("""COMPUTED_VALUE"""),27648.0)</f>
        <v>27648</v>
      </c>
      <c r="C13127" s="9">
        <f>IFERROR(__xludf.DUMMYFUNCTION("""COMPUTED_VALUE"""),8.55)</f>
        <v>8.55</v>
      </c>
      <c r="H13127" s="17"/>
      <c r="K13127" s="17"/>
      <c r="N13127" s="17"/>
    </row>
    <row r="13128">
      <c r="B13128" s="11">
        <f>IFERROR(__xludf.DUMMYFUNCTION("""COMPUTED_VALUE"""),27647.0)</f>
        <v>27647</v>
      </c>
      <c r="C13128" s="9">
        <f>IFERROR(__xludf.DUMMYFUNCTION("""COMPUTED_VALUE"""),8.46)</f>
        <v>8.46</v>
      </c>
      <c r="H13128" s="17"/>
      <c r="K13128" s="17"/>
      <c r="N13128" s="17"/>
    </row>
    <row r="13129">
      <c r="B13129" s="11">
        <f>IFERROR(__xludf.DUMMYFUNCTION("""COMPUTED_VALUE"""),27646.0)</f>
        <v>27646</v>
      </c>
      <c r="C13129" s="9">
        <f>IFERROR(__xludf.DUMMYFUNCTION("""COMPUTED_VALUE"""),8.4)</f>
        <v>8.4</v>
      </c>
      <c r="H13129" s="17"/>
      <c r="K13129" s="17"/>
      <c r="N13129" s="17"/>
    </row>
    <row r="13130">
      <c r="B13130" s="11">
        <f>IFERROR(__xludf.DUMMYFUNCTION("""COMPUTED_VALUE"""),27645.0)</f>
        <v>27645</v>
      </c>
      <c r="C13130" s="9">
        <f>IFERROR(__xludf.DUMMYFUNCTION("""COMPUTED_VALUE"""),8.36)</f>
        <v>8.36</v>
      </c>
      <c r="H13130" s="17"/>
      <c r="K13130" s="17"/>
      <c r="N13130" s="17"/>
    </row>
    <row r="13131">
      <c r="B13131" s="11">
        <f>IFERROR(__xludf.DUMMYFUNCTION("""COMPUTED_VALUE"""),27642.0)</f>
        <v>27642</v>
      </c>
      <c r="C13131" s="9">
        <f>IFERROR(__xludf.DUMMYFUNCTION("""COMPUTED_VALUE"""),8.35)</f>
        <v>8.35</v>
      </c>
      <c r="H13131" s="17"/>
      <c r="K13131" s="17"/>
      <c r="N13131" s="17"/>
    </row>
    <row r="13132">
      <c r="B13132" s="11">
        <f>IFERROR(__xludf.DUMMYFUNCTION("""COMPUTED_VALUE"""),27641.0)</f>
        <v>27641</v>
      </c>
      <c r="C13132" s="9">
        <f>IFERROR(__xludf.DUMMYFUNCTION("""COMPUTED_VALUE"""),8.29)</f>
        <v>8.29</v>
      </c>
      <c r="H13132" s="17"/>
      <c r="K13132" s="17"/>
      <c r="N13132" s="17"/>
    </row>
    <row r="13133">
      <c r="B13133" s="11">
        <f>IFERROR(__xludf.DUMMYFUNCTION("""COMPUTED_VALUE"""),27640.0)</f>
        <v>27640</v>
      </c>
      <c r="C13133" s="9">
        <f>IFERROR(__xludf.DUMMYFUNCTION("""COMPUTED_VALUE"""),8.29)</f>
        <v>8.29</v>
      </c>
      <c r="H13133" s="17"/>
      <c r="K13133" s="17"/>
      <c r="N13133" s="17"/>
    </row>
    <row r="13134">
      <c r="B13134" s="11">
        <f>IFERROR(__xludf.DUMMYFUNCTION("""COMPUTED_VALUE"""),27639.0)</f>
        <v>27639</v>
      </c>
      <c r="C13134" s="9">
        <f>IFERROR(__xludf.DUMMYFUNCTION("""COMPUTED_VALUE"""),8.26)</f>
        <v>8.26</v>
      </c>
      <c r="H13134" s="17"/>
      <c r="K13134" s="17"/>
      <c r="N13134" s="17"/>
    </row>
    <row r="13135">
      <c r="B13135" s="11">
        <f>IFERROR(__xludf.DUMMYFUNCTION("""COMPUTED_VALUE"""),27638.0)</f>
        <v>27638</v>
      </c>
      <c r="C13135" s="9"/>
      <c r="H13135" s="17"/>
      <c r="K13135" s="17"/>
      <c r="N13135" s="17"/>
    </row>
    <row r="13136">
      <c r="B13136" s="11">
        <f>IFERROR(__xludf.DUMMYFUNCTION("""COMPUTED_VALUE"""),27635.0)</f>
        <v>27635</v>
      </c>
      <c r="C13136" s="9">
        <f>IFERROR(__xludf.DUMMYFUNCTION("""COMPUTED_VALUE"""),8.22)</f>
        <v>8.22</v>
      </c>
      <c r="H13136" s="17"/>
      <c r="K13136" s="17"/>
      <c r="N13136" s="17"/>
    </row>
    <row r="13137">
      <c r="B13137" s="11">
        <f>IFERROR(__xludf.DUMMYFUNCTION("""COMPUTED_VALUE"""),27634.0)</f>
        <v>27634</v>
      </c>
      <c r="C13137" s="9">
        <f>IFERROR(__xludf.DUMMYFUNCTION("""COMPUTED_VALUE"""),8.28)</f>
        <v>8.28</v>
      </c>
      <c r="H13137" s="17"/>
      <c r="K13137" s="17"/>
      <c r="N13137" s="17"/>
    </row>
    <row r="13138">
      <c r="B13138" s="11">
        <f>IFERROR(__xludf.DUMMYFUNCTION("""COMPUTED_VALUE"""),27633.0)</f>
        <v>27633</v>
      </c>
      <c r="C13138" s="9">
        <f>IFERROR(__xludf.DUMMYFUNCTION("""COMPUTED_VALUE"""),8.37)</f>
        <v>8.37</v>
      </c>
      <c r="H13138" s="17"/>
      <c r="K13138" s="17"/>
      <c r="N13138" s="17"/>
    </row>
    <row r="13139">
      <c r="B13139" s="11">
        <f>IFERROR(__xludf.DUMMYFUNCTION("""COMPUTED_VALUE"""),27632.0)</f>
        <v>27632</v>
      </c>
      <c r="C13139" s="9">
        <f>IFERROR(__xludf.DUMMYFUNCTION("""COMPUTED_VALUE"""),8.4)</f>
        <v>8.4</v>
      </c>
      <c r="H13139" s="17"/>
      <c r="K13139" s="17"/>
      <c r="N13139" s="17"/>
    </row>
    <row r="13140">
      <c r="B13140" s="11">
        <f>IFERROR(__xludf.DUMMYFUNCTION("""COMPUTED_VALUE"""),27631.0)</f>
        <v>27631</v>
      </c>
      <c r="C13140" s="9">
        <f>IFERROR(__xludf.DUMMYFUNCTION("""COMPUTED_VALUE"""),8.46)</f>
        <v>8.46</v>
      </c>
      <c r="H13140" s="17"/>
      <c r="K13140" s="17"/>
      <c r="N13140" s="17"/>
    </row>
    <row r="13141">
      <c r="B13141" s="11">
        <f>IFERROR(__xludf.DUMMYFUNCTION("""COMPUTED_VALUE"""),27628.0)</f>
        <v>27628</v>
      </c>
      <c r="C13141" s="9">
        <f>IFERROR(__xludf.DUMMYFUNCTION("""COMPUTED_VALUE"""),8.46)</f>
        <v>8.46</v>
      </c>
      <c r="H13141" s="17"/>
      <c r="K13141" s="17"/>
      <c r="N13141" s="17"/>
    </row>
    <row r="13142">
      <c r="B13142" s="11">
        <f>IFERROR(__xludf.DUMMYFUNCTION("""COMPUTED_VALUE"""),27627.0)</f>
        <v>27627</v>
      </c>
      <c r="C13142" s="9">
        <f>IFERROR(__xludf.DUMMYFUNCTION("""COMPUTED_VALUE"""),8.48)</f>
        <v>8.48</v>
      </c>
      <c r="H13142" s="17"/>
      <c r="K13142" s="17"/>
      <c r="N13142" s="17"/>
    </row>
    <row r="13143">
      <c r="B13143" s="11">
        <f>IFERROR(__xludf.DUMMYFUNCTION("""COMPUTED_VALUE"""),27626.0)</f>
        <v>27626</v>
      </c>
      <c r="C13143" s="9">
        <f>IFERROR(__xludf.DUMMYFUNCTION("""COMPUTED_VALUE"""),8.42)</f>
        <v>8.42</v>
      </c>
      <c r="H13143" s="17"/>
      <c r="K13143" s="17"/>
      <c r="N13143" s="17"/>
    </row>
    <row r="13144">
      <c r="B13144" s="11">
        <f>IFERROR(__xludf.DUMMYFUNCTION("""COMPUTED_VALUE"""),27625.0)</f>
        <v>27625</v>
      </c>
      <c r="C13144" s="9">
        <f>IFERROR(__xludf.DUMMYFUNCTION("""COMPUTED_VALUE"""),8.42)</f>
        <v>8.42</v>
      </c>
      <c r="H13144" s="17"/>
      <c r="K13144" s="17"/>
      <c r="N13144" s="17"/>
    </row>
    <row r="13145">
      <c r="B13145" s="11">
        <f>IFERROR(__xludf.DUMMYFUNCTION("""COMPUTED_VALUE"""),27624.0)</f>
        <v>27624</v>
      </c>
      <c r="C13145" s="9">
        <f>IFERROR(__xludf.DUMMYFUNCTION("""COMPUTED_VALUE"""),8.46)</f>
        <v>8.46</v>
      </c>
      <c r="H13145" s="17"/>
      <c r="K13145" s="17"/>
      <c r="N13145" s="17"/>
    </row>
    <row r="13146">
      <c r="B13146" s="11">
        <f>IFERROR(__xludf.DUMMYFUNCTION("""COMPUTED_VALUE"""),27621.0)</f>
        <v>27621</v>
      </c>
      <c r="C13146" s="9">
        <f>IFERROR(__xludf.DUMMYFUNCTION("""COMPUTED_VALUE"""),8.48)</f>
        <v>8.48</v>
      </c>
      <c r="H13146" s="17"/>
      <c r="K13146" s="17"/>
      <c r="N13146" s="17"/>
    </row>
    <row r="13147">
      <c r="B13147" s="11">
        <f>IFERROR(__xludf.DUMMYFUNCTION("""COMPUTED_VALUE"""),27620.0)</f>
        <v>27620</v>
      </c>
      <c r="C13147" s="9">
        <f>IFERROR(__xludf.DUMMYFUNCTION("""COMPUTED_VALUE"""),8.45)</f>
        <v>8.45</v>
      </c>
      <c r="H13147" s="17"/>
      <c r="K13147" s="17"/>
      <c r="N13147" s="17"/>
    </row>
    <row r="13148">
      <c r="B13148" s="11">
        <f>IFERROR(__xludf.DUMMYFUNCTION("""COMPUTED_VALUE"""),27619.0)</f>
        <v>27619</v>
      </c>
      <c r="C13148" s="9">
        <f>IFERROR(__xludf.DUMMYFUNCTION("""COMPUTED_VALUE"""),8.39)</f>
        <v>8.39</v>
      </c>
      <c r="H13148" s="17"/>
      <c r="K13148" s="17"/>
      <c r="N13148" s="17"/>
    </row>
    <row r="13149">
      <c r="B13149" s="11">
        <f>IFERROR(__xludf.DUMMYFUNCTION("""COMPUTED_VALUE"""),27618.0)</f>
        <v>27618</v>
      </c>
      <c r="C13149" s="9">
        <f>IFERROR(__xludf.DUMMYFUNCTION("""COMPUTED_VALUE"""),8.4)</f>
        <v>8.4</v>
      </c>
      <c r="H13149" s="17"/>
      <c r="K13149" s="17"/>
      <c r="N13149" s="17"/>
    </row>
    <row r="13150">
      <c r="B13150" s="11">
        <f>IFERROR(__xludf.DUMMYFUNCTION("""COMPUTED_VALUE"""),27617.0)</f>
        <v>27617</v>
      </c>
      <c r="C13150" s="9">
        <f>IFERROR(__xludf.DUMMYFUNCTION("""COMPUTED_VALUE"""),8.38)</f>
        <v>8.38</v>
      </c>
      <c r="H13150" s="17"/>
      <c r="K13150" s="17"/>
      <c r="N13150" s="17"/>
    </row>
    <row r="13151">
      <c r="B13151" s="11">
        <f>IFERROR(__xludf.DUMMYFUNCTION("""COMPUTED_VALUE"""),27614.0)</f>
        <v>27614</v>
      </c>
      <c r="C13151" s="9">
        <f>IFERROR(__xludf.DUMMYFUNCTION("""COMPUTED_VALUE"""),8.4)</f>
        <v>8.4</v>
      </c>
      <c r="H13151" s="17"/>
      <c r="K13151" s="17"/>
      <c r="N13151" s="17"/>
    </row>
    <row r="13152">
      <c r="B13152" s="11">
        <f>IFERROR(__xludf.DUMMYFUNCTION("""COMPUTED_VALUE"""),27613.0)</f>
        <v>27613</v>
      </c>
      <c r="C13152" s="9">
        <f>IFERROR(__xludf.DUMMYFUNCTION("""COMPUTED_VALUE"""),8.48)</f>
        <v>8.48</v>
      </c>
      <c r="H13152" s="17"/>
      <c r="K13152" s="17"/>
      <c r="N13152" s="17"/>
    </row>
    <row r="13153">
      <c r="B13153" s="11">
        <f>IFERROR(__xludf.DUMMYFUNCTION("""COMPUTED_VALUE"""),27612.0)</f>
        <v>27612</v>
      </c>
      <c r="C13153" s="9">
        <f>IFERROR(__xludf.DUMMYFUNCTION("""COMPUTED_VALUE"""),8.4)</f>
        <v>8.4</v>
      </c>
      <c r="H13153" s="17"/>
      <c r="K13153" s="17"/>
      <c r="N13153" s="17"/>
    </row>
    <row r="13154">
      <c r="B13154" s="11">
        <f>IFERROR(__xludf.DUMMYFUNCTION("""COMPUTED_VALUE"""),27611.0)</f>
        <v>27611</v>
      </c>
      <c r="C13154" s="9">
        <f>IFERROR(__xludf.DUMMYFUNCTION("""COMPUTED_VALUE"""),8.37)</f>
        <v>8.37</v>
      </c>
      <c r="H13154" s="17"/>
      <c r="K13154" s="17"/>
      <c r="N13154" s="17"/>
    </row>
    <row r="13155">
      <c r="B13155" s="11">
        <f>IFERROR(__xludf.DUMMYFUNCTION("""COMPUTED_VALUE"""),27610.0)</f>
        <v>27610</v>
      </c>
      <c r="C13155" s="9">
        <f>IFERROR(__xludf.DUMMYFUNCTION("""COMPUTED_VALUE"""),8.37)</f>
        <v>8.37</v>
      </c>
      <c r="H13155" s="17"/>
      <c r="K13155" s="17"/>
      <c r="N13155" s="17"/>
    </row>
    <row r="13156">
      <c r="B13156" s="11">
        <f>IFERROR(__xludf.DUMMYFUNCTION("""COMPUTED_VALUE"""),27607.0)</f>
        <v>27607</v>
      </c>
      <c r="C13156" s="9">
        <f>IFERROR(__xludf.DUMMYFUNCTION("""COMPUTED_VALUE"""),8.26)</f>
        <v>8.26</v>
      </c>
      <c r="H13156" s="17"/>
      <c r="K13156" s="17"/>
      <c r="N13156" s="17"/>
    </row>
    <row r="13157">
      <c r="B13157" s="11">
        <f>IFERROR(__xludf.DUMMYFUNCTION("""COMPUTED_VALUE"""),27606.0)</f>
        <v>27606</v>
      </c>
      <c r="C13157" s="9">
        <f>IFERROR(__xludf.DUMMYFUNCTION("""COMPUTED_VALUE"""),8.2)</f>
        <v>8.2</v>
      </c>
      <c r="H13157" s="17"/>
      <c r="K13157" s="17"/>
      <c r="N13157" s="17"/>
    </row>
    <row r="13158">
      <c r="B13158" s="11">
        <f>IFERROR(__xludf.DUMMYFUNCTION("""COMPUTED_VALUE"""),27605.0)</f>
        <v>27605</v>
      </c>
      <c r="C13158" s="9">
        <f>IFERROR(__xludf.DUMMYFUNCTION("""COMPUTED_VALUE"""),8.16)</f>
        <v>8.16</v>
      </c>
      <c r="H13158" s="17"/>
      <c r="K13158" s="17"/>
      <c r="N13158" s="17"/>
    </row>
    <row r="13159">
      <c r="B13159" s="11">
        <f>IFERROR(__xludf.DUMMYFUNCTION("""COMPUTED_VALUE"""),27604.0)</f>
        <v>27604</v>
      </c>
      <c r="C13159" s="9">
        <f>IFERROR(__xludf.DUMMYFUNCTION("""COMPUTED_VALUE"""),8.13)</f>
        <v>8.13</v>
      </c>
      <c r="H13159" s="17"/>
      <c r="K13159" s="17"/>
      <c r="N13159" s="17"/>
    </row>
    <row r="13160">
      <c r="B13160" s="11">
        <f>IFERROR(__xludf.DUMMYFUNCTION("""COMPUTED_VALUE"""),27603.0)</f>
        <v>27603</v>
      </c>
      <c r="C13160" s="9">
        <f>IFERROR(__xludf.DUMMYFUNCTION("""COMPUTED_VALUE"""),8.12)</f>
        <v>8.12</v>
      </c>
      <c r="H13160" s="17"/>
      <c r="K13160" s="17"/>
      <c r="N13160" s="17"/>
    </row>
    <row r="13161">
      <c r="B13161" s="11">
        <f>IFERROR(__xludf.DUMMYFUNCTION("""COMPUTED_VALUE"""),27600.0)</f>
        <v>27600</v>
      </c>
      <c r="C13161" s="9">
        <f>IFERROR(__xludf.DUMMYFUNCTION("""COMPUTED_VALUE"""),8.12)</f>
        <v>8.12</v>
      </c>
      <c r="H13161" s="17"/>
      <c r="K13161" s="17"/>
      <c r="N13161" s="17"/>
    </row>
    <row r="13162">
      <c r="B13162" s="11">
        <f>IFERROR(__xludf.DUMMYFUNCTION("""COMPUTED_VALUE"""),27599.0)</f>
        <v>27599</v>
      </c>
      <c r="C13162" s="9">
        <f>IFERROR(__xludf.DUMMYFUNCTION("""COMPUTED_VALUE"""),8.09)</f>
        <v>8.09</v>
      </c>
      <c r="H13162" s="17"/>
      <c r="K13162" s="17"/>
      <c r="N13162" s="17"/>
    </row>
    <row r="13163">
      <c r="B13163" s="11">
        <f>IFERROR(__xludf.DUMMYFUNCTION("""COMPUTED_VALUE"""),27598.0)</f>
        <v>27598</v>
      </c>
      <c r="C13163" s="9">
        <f>IFERROR(__xludf.DUMMYFUNCTION("""COMPUTED_VALUE"""),8.09)</f>
        <v>8.09</v>
      </c>
      <c r="H13163" s="17"/>
      <c r="K13163" s="17"/>
      <c r="N13163" s="17"/>
    </row>
    <row r="13164">
      <c r="B13164" s="11">
        <f>IFERROR(__xludf.DUMMYFUNCTION("""COMPUTED_VALUE"""),27597.0)</f>
        <v>27597</v>
      </c>
      <c r="C13164" s="9">
        <f>IFERROR(__xludf.DUMMYFUNCTION("""COMPUTED_VALUE"""),8.1)</f>
        <v>8.1</v>
      </c>
      <c r="H13164" s="17"/>
      <c r="K13164" s="17"/>
      <c r="N13164" s="17"/>
    </row>
    <row r="13165">
      <c r="B13165" s="11">
        <f>IFERROR(__xludf.DUMMYFUNCTION("""COMPUTED_VALUE"""),27596.0)</f>
        <v>27596</v>
      </c>
      <c r="C13165" s="9">
        <f>IFERROR(__xludf.DUMMYFUNCTION("""COMPUTED_VALUE"""),8.07)</f>
        <v>8.07</v>
      </c>
      <c r="H13165" s="17"/>
      <c r="K13165" s="17"/>
      <c r="N13165" s="17"/>
    </row>
    <row r="13166">
      <c r="B13166" s="11">
        <f>IFERROR(__xludf.DUMMYFUNCTION("""COMPUTED_VALUE"""),27593.0)</f>
        <v>27593</v>
      </c>
      <c r="C13166" s="9">
        <f>IFERROR(__xludf.DUMMYFUNCTION("""COMPUTED_VALUE"""),8.06)</f>
        <v>8.06</v>
      </c>
      <c r="H13166" s="17"/>
      <c r="K13166" s="17"/>
      <c r="N13166" s="17"/>
    </row>
    <row r="13167">
      <c r="B13167" s="11">
        <f>IFERROR(__xludf.DUMMYFUNCTION("""COMPUTED_VALUE"""),27592.0)</f>
        <v>27592</v>
      </c>
      <c r="C13167" s="9">
        <f>IFERROR(__xludf.DUMMYFUNCTION("""COMPUTED_VALUE"""),8.04)</f>
        <v>8.04</v>
      </c>
      <c r="H13167" s="17"/>
      <c r="K13167" s="17"/>
      <c r="N13167" s="17"/>
    </row>
    <row r="13168">
      <c r="B13168" s="11">
        <f>IFERROR(__xludf.DUMMYFUNCTION("""COMPUTED_VALUE"""),27591.0)</f>
        <v>27591</v>
      </c>
      <c r="C13168" s="9">
        <f>IFERROR(__xludf.DUMMYFUNCTION("""COMPUTED_VALUE"""),8.03)</f>
        <v>8.03</v>
      </c>
      <c r="H13168" s="17"/>
      <c r="K13168" s="17"/>
      <c r="N13168" s="17"/>
    </row>
    <row r="13169">
      <c r="B13169" s="11">
        <f>IFERROR(__xludf.DUMMYFUNCTION("""COMPUTED_VALUE"""),27590.0)</f>
        <v>27590</v>
      </c>
      <c r="C13169" s="9">
        <f>IFERROR(__xludf.DUMMYFUNCTION("""COMPUTED_VALUE"""),7.98)</f>
        <v>7.98</v>
      </c>
      <c r="H13169" s="17"/>
      <c r="K13169" s="17"/>
      <c r="N13169" s="17"/>
    </row>
    <row r="13170">
      <c r="B13170" s="11">
        <f>IFERROR(__xludf.DUMMYFUNCTION("""COMPUTED_VALUE"""),27589.0)</f>
        <v>27589</v>
      </c>
      <c r="C13170" s="9">
        <f>IFERROR(__xludf.DUMMYFUNCTION("""COMPUTED_VALUE"""),7.99)</f>
        <v>7.99</v>
      </c>
      <c r="H13170" s="17"/>
      <c r="K13170" s="17"/>
      <c r="N13170" s="17"/>
    </row>
    <row r="13171">
      <c r="B13171" s="11">
        <f>IFERROR(__xludf.DUMMYFUNCTION("""COMPUTED_VALUE"""),27586.0)</f>
        <v>27586</v>
      </c>
      <c r="C13171" s="9">
        <f>IFERROR(__xludf.DUMMYFUNCTION("""COMPUTED_VALUE"""),7.99)</f>
        <v>7.99</v>
      </c>
      <c r="H13171" s="17"/>
      <c r="K13171" s="17"/>
      <c r="N13171" s="17"/>
    </row>
    <row r="13172">
      <c r="B13172" s="11">
        <f>IFERROR(__xludf.DUMMYFUNCTION("""COMPUTED_VALUE"""),27585.0)</f>
        <v>27585</v>
      </c>
      <c r="C13172" s="9">
        <f>IFERROR(__xludf.DUMMYFUNCTION("""COMPUTED_VALUE"""),8.02)</f>
        <v>8.02</v>
      </c>
      <c r="H13172" s="17"/>
      <c r="K13172" s="17"/>
      <c r="N13172" s="17"/>
    </row>
    <row r="13173">
      <c r="B13173" s="11">
        <f>IFERROR(__xludf.DUMMYFUNCTION("""COMPUTED_VALUE"""),27584.0)</f>
        <v>27584</v>
      </c>
      <c r="C13173" s="9">
        <f>IFERROR(__xludf.DUMMYFUNCTION("""COMPUTED_VALUE"""),8.02)</f>
        <v>8.02</v>
      </c>
      <c r="H13173" s="17"/>
      <c r="K13173" s="17"/>
      <c r="N13173" s="17"/>
    </row>
    <row r="13174">
      <c r="B13174" s="11">
        <f>IFERROR(__xludf.DUMMYFUNCTION("""COMPUTED_VALUE"""),27583.0)</f>
        <v>27583</v>
      </c>
      <c r="C13174" s="9">
        <f>IFERROR(__xludf.DUMMYFUNCTION("""COMPUTED_VALUE"""),8.01)</f>
        <v>8.01</v>
      </c>
      <c r="H13174" s="17"/>
      <c r="K13174" s="17"/>
      <c r="N13174" s="17"/>
    </row>
    <row r="13175">
      <c r="B13175" s="11">
        <f>IFERROR(__xludf.DUMMYFUNCTION("""COMPUTED_VALUE"""),27582.0)</f>
        <v>27582</v>
      </c>
      <c r="C13175" s="9">
        <f>IFERROR(__xludf.DUMMYFUNCTION("""COMPUTED_VALUE"""),8.06)</f>
        <v>8.06</v>
      </c>
      <c r="H13175" s="17"/>
      <c r="K13175" s="17"/>
      <c r="N13175" s="17"/>
    </row>
    <row r="13176">
      <c r="B13176" s="11">
        <f>IFERROR(__xludf.DUMMYFUNCTION("""COMPUTED_VALUE"""),27579.0)</f>
        <v>27579</v>
      </c>
      <c r="C13176" s="9"/>
      <c r="H13176" s="17"/>
      <c r="K13176" s="17"/>
      <c r="N13176" s="17"/>
    </row>
    <row r="13177">
      <c r="B13177" s="11">
        <f>IFERROR(__xludf.DUMMYFUNCTION("""COMPUTED_VALUE"""),27578.0)</f>
        <v>27578</v>
      </c>
      <c r="C13177" s="9">
        <f>IFERROR(__xludf.DUMMYFUNCTION("""COMPUTED_VALUE"""),8.05)</f>
        <v>8.05</v>
      </c>
      <c r="H13177" s="17"/>
      <c r="K13177" s="17"/>
      <c r="N13177" s="17"/>
    </row>
    <row r="13178">
      <c r="B13178" s="11">
        <f>IFERROR(__xludf.DUMMYFUNCTION("""COMPUTED_VALUE"""),27577.0)</f>
        <v>27577</v>
      </c>
      <c r="C13178" s="9">
        <f>IFERROR(__xludf.DUMMYFUNCTION("""COMPUTED_VALUE"""),8.05)</f>
        <v>8.05</v>
      </c>
      <c r="H13178" s="17"/>
      <c r="K13178" s="17"/>
      <c r="N13178" s="17"/>
    </row>
    <row r="13179">
      <c r="B13179" s="11">
        <f>IFERROR(__xludf.DUMMYFUNCTION("""COMPUTED_VALUE"""),27576.0)</f>
        <v>27576</v>
      </c>
      <c r="C13179" s="9">
        <f>IFERROR(__xludf.DUMMYFUNCTION("""COMPUTED_VALUE"""),7.97)</f>
        <v>7.97</v>
      </c>
      <c r="H13179" s="17"/>
      <c r="K13179" s="17"/>
      <c r="N13179" s="17"/>
    </row>
    <row r="13180">
      <c r="B13180" s="11">
        <f>IFERROR(__xludf.DUMMYFUNCTION("""COMPUTED_VALUE"""),27575.0)</f>
        <v>27575</v>
      </c>
      <c r="C13180" s="9">
        <f>IFERROR(__xludf.DUMMYFUNCTION("""COMPUTED_VALUE"""),7.96)</f>
        <v>7.96</v>
      </c>
      <c r="H13180" s="17"/>
      <c r="K13180" s="17"/>
      <c r="N13180" s="17"/>
    </row>
    <row r="13181">
      <c r="B13181" s="11">
        <f>IFERROR(__xludf.DUMMYFUNCTION("""COMPUTED_VALUE"""),27572.0)</f>
        <v>27572</v>
      </c>
      <c r="C13181" s="9">
        <f>IFERROR(__xludf.DUMMYFUNCTION("""COMPUTED_VALUE"""),7.95)</f>
        <v>7.95</v>
      </c>
      <c r="H13181" s="17"/>
      <c r="K13181" s="17"/>
      <c r="N13181" s="17"/>
    </row>
    <row r="13182">
      <c r="B13182" s="11">
        <f>IFERROR(__xludf.DUMMYFUNCTION("""COMPUTED_VALUE"""),27571.0)</f>
        <v>27571</v>
      </c>
      <c r="C13182" s="9">
        <f>IFERROR(__xludf.DUMMYFUNCTION("""COMPUTED_VALUE"""),7.98)</f>
        <v>7.98</v>
      </c>
      <c r="H13182" s="17"/>
      <c r="K13182" s="17"/>
      <c r="N13182" s="17"/>
    </row>
    <row r="13183">
      <c r="B13183" s="11">
        <f>IFERROR(__xludf.DUMMYFUNCTION("""COMPUTED_VALUE"""),27570.0)</f>
        <v>27570</v>
      </c>
      <c r="C13183" s="9">
        <f>IFERROR(__xludf.DUMMYFUNCTION("""COMPUTED_VALUE"""),8.02)</f>
        <v>8.02</v>
      </c>
      <c r="H13183" s="17"/>
      <c r="K13183" s="17"/>
      <c r="N13183" s="17"/>
    </row>
    <row r="13184">
      <c r="B13184" s="11">
        <f>IFERROR(__xludf.DUMMYFUNCTION("""COMPUTED_VALUE"""),27569.0)</f>
        <v>27569</v>
      </c>
      <c r="C13184" s="9">
        <f>IFERROR(__xludf.DUMMYFUNCTION("""COMPUTED_VALUE"""),7.9)</f>
        <v>7.9</v>
      </c>
      <c r="H13184" s="17"/>
      <c r="K13184" s="17"/>
      <c r="N13184" s="17"/>
    </row>
    <row r="13185">
      <c r="B13185" s="11">
        <f>IFERROR(__xludf.DUMMYFUNCTION("""COMPUTED_VALUE"""),27568.0)</f>
        <v>27568</v>
      </c>
      <c r="C13185" s="9">
        <f>IFERROR(__xludf.DUMMYFUNCTION("""COMPUTED_VALUE"""),7.9)</f>
        <v>7.9</v>
      </c>
      <c r="H13185" s="17"/>
      <c r="K13185" s="17"/>
      <c r="N13185" s="17"/>
    </row>
    <row r="13186">
      <c r="B13186" s="11">
        <f>IFERROR(__xludf.DUMMYFUNCTION("""COMPUTED_VALUE"""),27565.0)</f>
        <v>27565</v>
      </c>
      <c r="C13186" s="9">
        <f>IFERROR(__xludf.DUMMYFUNCTION("""COMPUTED_VALUE"""),7.94)</f>
        <v>7.94</v>
      </c>
      <c r="H13186" s="17"/>
      <c r="K13186" s="17"/>
      <c r="N13186" s="17"/>
    </row>
    <row r="13187">
      <c r="B13187" s="11">
        <f>IFERROR(__xludf.DUMMYFUNCTION("""COMPUTED_VALUE"""),27564.0)</f>
        <v>27564</v>
      </c>
      <c r="C13187" s="9">
        <f>IFERROR(__xludf.DUMMYFUNCTION("""COMPUTED_VALUE"""),7.8)</f>
        <v>7.8</v>
      </c>
      <c r="H13187" s="17"/>
      <c r="K13187" s="17"/>
      <c r="N13187" s="17"/>
    </row>
    <row r="13188">
      <c r="B13188" s="11">
        <f>IFERROR(__xludf.DUMMYFUNCTION("""COMPUTED_VALUE"""),27563.0)</f>
        <v>27563</v>
      </c>
      <c r="C13188" s="9">
        <f>IFERROR(__xludf.DUMMYFUNCTION("""COMPUTED_VALUE"""),7.83)</f>
        <v>7.83</v>
      </c>
      <c r="H13188" s="17"/>
      <c r="K13188" s="17"/>
      <c r="N13188" s="17"/>
    </row>
    <row r="13189">
      <c r="B13189" s="11">
        <f>IFERROR(__xludf.DUMMYFUNCTION("""COMPUTED_VALUE"""),27562.0)</f>
        <v>27562</v>
      </c>
      <c r="C13189" s="9">
        <f>IFERROR(__xludf.DUMMYFUNCTION("""COMPUTED_VALUE"""),7.72)</f>
        <v>7.72</v>
      </c>
      <c r="H13189" s="17"/>
      <c r="K13189" s="17"/>
      <c r="N13189" s="17"/>
    </row>
    <row r="13190">
      <c r="B13190" s="11">
        <f>IFERROR(__xludf.DUMMYFUNCTION("""COMPUTED_VALUE"""),27561.0)</f>
        <v>27561</v>
      </c>
      <c r="C13190" s="9">
        <f>IFERROR(__xludf.DUMMYFUNCTION("""COMPUTED_VALUE"""),7.66)</f>
        <v>7.66</v>
      </c>
      <c r="H13190" s="17"/>
      <c r="K13190" s="17"/>
      <c r="N13190" s="17"/>
    </row>
    <row r="13191">
      <c r="B13191" s="11">
        <f>IFERROR(__xludf.DUMMYFUNCTION("""COMPUTED_VALUE"""),27558.0)</f>
        <v>27558</v>
      </c>
      <c r="C13191" s="9">
        <f>IFERROR(__xludf.DUMMYFUNCTION("""COMPUTED_VALUE"""),7.69)</f>
        <v>7.69</v>
      </c>
      <c r="H13191" s="17"/>
      <c r="K13191" s="17"/>
      <c r="N13191" s="17"/>
    </row>
    <row r="13192">
      <c r="B13192" s="11">
        <f>IFERROR(__xludf.DUMMYFUNCTION("""COMPUTED_VALUE"""),27557.0)</f>
        <v>27557</v>
      </c>
      <c r="C13192" s="9">
        <f>IFERROR(__xludf.DUMMYFUNCTION("""COMPUTED_VALUE"""),7.67)</f>
        <v>7.67</v>
      </c>
      <c r="H13192" s="17"/>
      <c r="K13192" s="17"/>
      <c r="N13192" s="17"/>
    </row>
    <row r="13193">
      <c r="B13193" s="11">
        <f>IFERROR(__xludf.DUMMYFUNCTION("""COMPUTED_VALUE"""),27556.0)</f>
        <v>27556</v>
      </c>
      <c r="C13193" s="9">
        <f>IFERROR(__xludf.DUMMYFUNCTION("""COMPUTED_VALUE"""),7.65)</f>
        <v>7.65</v>
      </c>
      <c r="H13193" s="17"/>
      <c r="K13193" s="17"/>
      <c r="N13193" s="17"/>
    </row>
    <row r="13194">
      <c r="B13194" s="11">
        <f>IFERROR(__xludf.DUMMYFUNCTION("""COMPUTED_VALUE"""),27555.0)</f>
        <v>27555</v>
      </c>
      <c r="C13194" s="9">
        <f>IFERROR(__xludf.DUMMYFUNCTION("""COMPUTED_VALUE"""),7.77)</f>
        <v>7.77</v>
      </c>
      <c r="H13194" s="17"/>
      <c r="K13194" s="17"/>
      <c r="N13194" s="17"/>
    </row>
    <row r="13195">
      <c r="B13195" s="11">
        <f>IFERROR(__xludf.DUMMYFUNCTION("""COMPUTED_VALUE"""),27554.0)</f>
        <v>27554</v>
      </c>
      <c r="C13195" s="9">
        <f>IFERROR(__xludf.DUMMYFUNCTION("""COMPUTED_VALUE"""),7.78)</f>
        <v>7.78</v>
      </c>
      <c r="H13195" s="17"/>
      <c r="K13195" s="17"/>
      <c r="N13195" s="17"/>
    </row>
    <row r="13196">
      <c r="B13196" s="11">
        <f>IFERROR(__xludf.DUMMYFUNCTION("""COMPUTED_VALUE"""),27551.0)</f>
        <v>27551</v>
      </c>
      <c r="C13196" s="9">
        <f>IFERROR(__xludf.DUMMYFUNCTION("""COMPUTED_VALUE"""),7.88)</f>
        <v>7.88</v>
      </c>
      <c r="H13196" s="17"/>
      <c r="K13196" s="17"/>
      <c r="N13196" s="17"/>
    </row>
    <row r="13197">
      <c r="B13197" s="11">
        <f>IFERROR(__xludf.DUMMYFUNCTION("""COMPUTED_VALUE"""),27550.0)</f>
        <v>27550</v>
      </c>
      <c r="C13197" s="9">
        <f>IFERROR(__xludf.DUMMYFUNCTION("""COMPUTED_VALUE"""),7.97)</f>
        <v>7.97</v>
      </c>
      <c r="H13197" s="17"/>
      <c r="K13197" s="17"/>
      <c r="N13197" s="17"/>
    </row>
    <row r="13198">
      <c r="B13198" s="11">
        <f>IFERROR(__xludf.DUMMYFUNCTION("""COMPUTED_VALUE"""),27549.0)</f>
        <v>27549</v>
      </c>
      <c r="C13198" s="9">
        <f>IFERROR(__xludf.DUMMYFUNCTION("""COMPUTED_VALUE"""),7.99)</f>
        <v>7.99</v>
      </c>
      <c r="H13198" s="17"/>
      <c r="K13198" s="17"/>
      <c r="N13198" s="17"/>
    </row>
    <row r="13199">
      <c r="B13199" s="11">
        <f>IFERROR(__xludf.DUMMYFUNCTION("""COMPUTED_VALUE"""),27548.0)</f>
        <v>27548</v>
      </c>
      <c r="C13199" s="9">
        <f>IFERROR(__xludf.DUMMYFUNCTION("""COMPUTED_VALUE"""),8.0)</f>
        <v>8</v>
      </c>
      <c r="H13199" s="17"/>
      <c r="K13199" s="17"/>
      <c r="N13199" s="17"/>
    </row>
    <row r="13200">
      <c r="B13200" s="11">
        <f>IFERROR(__xludf.DUMMYFUNCTION("""COMPUTED_VALUE"""),27547.0)</f>
        <v>27547</v>
      </c>
      <c r="C13200" s="9">
        <f>IFERROR(__xludf.DUMMYFUNCTION("""COMPUTED_VALUE"""),8.02)</f>
        <v>8.02</v>
      </c>
      <c r="H13200" s="17"/>
      <c r="K13200" s="17"/>
      <c r="N13200" s="17"/>
    </row>
    <row r="13201">
      <c r="B13201" s="11">
        <f>IFERROR(__xludf.DUMMYFUNCTION("""COMPUTED_VALUE"""),27544.0)</f>
        <v>27544</v>
      </c>
      <c r="C13201" s="9">
        <f>IFERROR(__xludf.DUMMYFUNCTION("""COMPUTED_VALUE"""),8.04)</f>
        <v>8.04</v>
      </c>
      <c r="H13201" s="17"/>
      <c r="K13201" s="17"/>
      <c r="N13201" s="17"/>
    </row>
    <row r="13202">
      <c r="B13202" s="11">
        <f>IFERROR(__xludf.DUMMYFUNCTION("""COMPUTED_VALUE"""),27543.0)</f>
        <v>27543</v>
      </c>
      <c r="C13202" s="9">
        <f>IFERROR(__xludf.DUMMYFUNCTION("""COMPUTED_VALUE"""),8.18)</f>
        <v>8.18</v>
      </c>
      <c r="H13202" s="17"/>
      <c r="K13202" s="17"/>
      <c r="N13202" s="17"/>
    </row>
    <row r="13203">
      <c r="B13203" s="11">
        <f>IFERROR(__xludf.DUMMYFUNCTION("""COMPUTED_VALUE"""),27542.0)</f>
        <v>27542</v>
      </c>
      <c r="C13203" s="9">
        <f>IFERROR(__xludf.DUMMYFUNCTION("""COMPUTED_VALUE"""),8.02)</f>
        <v>8.02</v>
      </c>
      <c r="H13203" s="17"/>
      <c r="K13203" s="17"/>
      <c r="N13203" s="17"/>
    </row>
    <row r="13204">
      <c r="B13204" s="11">
        <f>IFERROR(__xludf.DUMMYFUNCTION("""COMPUTED_VALUE"""),27541.0)</f>
        <v>27541</v>
      </c>
      <c r="C13204" s="9">
        <f>IFERROR(__xludf.DUMMYFUNCTION("""COMPUTED_VALUE"""),7.98)</f>
        <v>7.98</v>
      </c>
      <c r="H13204" s="17"/>
      <c r="K13204" s="17"/>
      <c r="N13204" s="17"/>
    </row>
    <row r="13205">
      <c r="B13205" s="11">
        <f>IFERROR(__xludf.DUMMYFUNCTION("""COMPUTED_VALUE"""),27540.0)</f>
        <v>27540</v>
      </c>
      <c r="C13205" s="9"/>
      <c r="H13205" s="17"/>
      <c r="K13205" s="17"/>
      <c r="N13205" s="17"/>
    </row>
    <row r="13206">
      <c r="B13206" s="11">
        <f>IFERROR(__xludf.DUMMYFUNCTION("""COMPUTED_VALUE"""),27537.0)</f>
        <v>27537</v>
      </c>
      <c r="C13206" s="9">
        <f>IFERROR(__xludf.DUMMYFUNCTION("""COMPUTED_VALUE"""),8.02)</f>
        <v>8.02</v>
      </c>
      <c r="H13206" s="17"/>
      <c r="K13206" s="17"/>
      <c r="N13206" s="17"/>
    </row>
    <row r="13207">
      <c r="B13207" s="11">
        <f>IFERROR(__xludf.DUMMYFUNCTION("""COMPUTED_VALUE"""),27536.0)</f>
        <v>27536</v>
      </c>
      <c r="C13207" s="9">
        <f>IFERROR(__xludf.DUMMYFUNCTION("""COMPUTED_VALUE"""),8.02)</f>
        <v>8.02</v>
      </c>
      <c r="H13207" s="17"/>
      <c r="K13207" s="17"/>
      <c r="N13207" s="17"/>
    </row>
    <row r="13208">
      <c r="B13208" s="11">
        <f>IFERROR(__xludf.DUMMYFUNCTION("""COMPUTED_VALUE"""),27535.0)</f>
        <v>27535</v>
      </c>
      <c r="C13208" s="9">
        <f>IFERROR(__xludf.DUMMYFUNCTION("""COMPUTED_VALUE"""),7.98)</f>
        <v>7.98</v>
      </c>
      <c r="H13208" s="17"/>
      <c r="K13208" s="17"/>
      <c r="N13208" s="17"/>
    </row>
    <row r="13209">
      <c r="B13209" s="11">
        <f>IFERROR(__xludf.DUMMYFUNCTION("""COMPUTED_VALUE"""),27534.0)</f>
        <v>27534</v>
      </c>
      <c r="C13209" s="9">
        <f>IFERROR(__xludf.DUMMYFUNCTION("""COMPUTED_VALUE"""),7.98)</f>
        <v>7.98</v>
      </c>
      <c r="H13209" s="17"/>
      <c r="K13209" s="17"/>
      <c r="N13209" s="17"/>
    </row>
    <row r="13210">
      <c r="B13210" s="11">
        <f>IFERROR(__xludf.DUMMYFUNCTION("""COMPUTED_VALUE"""),27533.0)</f>
        <v>27533</v>
      </c>
      <c r="C13210" s="9">
        <f>IFERROR(__xludf.DUMMYFUNCTION("""COMPUTED_VALUE"""),8.0)</f>
        <v>8</v>
      </c>
      <c r="H13210" s="17"/>
      <c r="K13210" s="17"/>
      <c r="N13210" s="17"/>
    </row>
    <row r="13211">
      <c r="B13211" s="11">
        <f>IFERROR(__xludf.DUMMYFUNCTION("""COMPUTED_VALUE"""),27530.0)</f>
        <v>27530</v>
      </c>
      <c r="C13211" s="9">
        <f>IFERROR(__xludf.DUMMYFUNCTION("""COMPUTED_VALUE"""),8.01)</f>
        <v>8.01</v>
      </c>
      <c r="H13211" s="17"/>
      <c r="K13211" s="17"/>
      <c r="N13211" s="17"/>
    </row>
    <row r="13212">
      <c r="B13212" s="11">
        <f>IFERROR(__xludf.DUMMYFUNCTION("""COMPUTED_VALUE"""),27529.0)</f>
        <v>27529</v>
      </c>
      <c r="C13212" s="9">
        <f>IFERROR(__xludf.DUMMYFUNCTION("""COMPUTED_VALUE"""),8.02)</f>
        <v>8.02</v>
      </c>
      <c r="H13212" s="17"/>
      <c r="K13212" s="17"/>
      <c r="N13212" s="17"/>
    </row>
    <row r="13213">
      <c r="B13213" s="11">
        <f>IFERROR(__xludf.DUMMYFUNCTION("""COMPUTED_VALUE"""),27528.0)</f>
        <v>27528</v>
      </c>
      <c r="C13213" s="9">
        <f>IFERROR(__xludf.DUMMYFUNCTION("""COMPUTED_VALUE"""),8.02)</f>
        <v>8.02</v>
      </c>
      <c r="H13213" s="17"/>
      <c r="K13213" s="17"/>
      <c r="N13213" s="17"/>
    </row>
    <row r="13214">
      <c r="B13214" s="11">
        <f>IFERROR(__xludf.DUMMYFUNCTION("""COMPUTED_VALUE"""),27527.0)</f>
        <v>27527</v>
      </c>
      <c r="C13214" s="9">
        <f>IFERROR(__xludf.DUMMYFUNCTION("""COMPUTED_VALUE"""),8.06)</f>
        <v>8.06</v>
      </c>
      <c r="H13214" s="17"/>
      <c r="K13214" s="17"/>
      <c r="N13214" s="17"/>
    </row>
    <row r="13215">
      <c r="B13215" s="11">
        <f>IFERROR(__xludf.DUMMYFUNCTION("""COMPUTED_VALUE"""),27526.0)</f>
        <v>27526</v>
      </c>
      <c r="C13215" s="9">
        <f>IFERROR(__xludf.DUMMYFUNCTION("""COMPUTED_VALUE"""),8.07)</f>
        <v>8.07</v>
      </c>
      <c r="H13215" s="17"/>
      <c r="K13215" s="17"/>
      <c r="N13215" s="17"/>
    </row>
    <row r="13216">
      <c r="B13216" s="11">
        <f>IFERROR(__xludf.DUMMYFUNCTION("""COMPUTED_VALUE"""),27523.0)</f>
        <v>27523</v>
      </c>
      <c r="C13216" s="9">
        <f>IFERROR(__xludf.DUMMYFUNCTION("""COMPUTED_VALUE"""),8.08)</f>
        <v>8.08</v>
      </c>
      <c r="H13216" s="17"/>
      <c r="K13216" s="17"/>
      <c r="N13216" s="17"/>
    </row>
    <row r="13217">
      <c r="B13217" s="11">
        <f>IFERROR(__xludf.DUMMYFUNCTION("""COMPUTED_VALUE"""),27522.0)</f>
        <v>27522</v>
      </c>
      <c r="C13217" s="9">
        <f>IFERROR(__xludf.DUMMYFUNCTION("""COMPUTED_VALUE"""),8.09)</f>
        <v>8.09</v>
      </c>
      <c r="H13217" s="17"/>
      <c r="K13217" s="17"/>
      <c r="N13217" s="17"/>
    </row>
    <row r="13218">
      <c r="B13218" s="11">
        <f>IFERROR(__xludf.DUMMYFUNCTION("""COMPUTED_VALUE"""),27521.0)</f>
        <v>27521</v>
      </c>
      <c r="C13218" s="9">
        <f>IFERROR(__xludf.DUMMYFUNCTION("""COMPUTED_VALUE"""),8.07)</f>
        <v>8.07</v>
      </c>
      <c r="H13218" s="17"/>
      <c r="K13218" s="17"/>
      <c r="N13218" s="17"/>
    </row>
    <row r="13219">
      <c r="B13219" s="11">
        <f>IFERROR(__xludf.DUMMYFUNCTION("""COMPUTED_VALUE"""),27520.0)</f>
        <v>27520</v>
      </c>
      <c r="C13219" s="9">
        <f>IFERROR(__xludf.DUMMYFUNCTION("""COMPUTED_VALUE"""),8.11)</f>
        <v>8.11</v>
      </c>
      <c r="H13219" s="17"/>
      <c r="K13219" s="17"/>
      <c r="N13219" s="17"/>
    </row>
    <row r="13220">
      <c r="B13220" s="11">
        <f>IFERROR(__xludf.DUMMYFUNCTION("""COMPUTED_VALUE"""),27519.0)</f>
        <v>27519</v>
      </c>
      <c r="C13220" s="9">
        <f>IFERROR(__xludf.DUMMYFUNCTION("""COMPUTED_VALUE"""),8.08)</f>
        <v>8.08</v>
      </c>
      <c r="H13220" s="17"/>
      <c r="K13220" s="17"/>
      <c r="N13220" s="17"/>
    </row>
    <row r="13221">
      <c r="B13221" s="11">
        <f>IFERROR(__xludf.DUMMYFUNCTION("""COMPUTED_VALUE"""),27516.0)</f>
        <v>27516</v>
      </c>
      <c r="C13221" s="9">
        <f>IFERROR(__xludf.DUMMYFUNCTION("""COMPUTED_VALUE"""),8.11)</f>
        <v>8.11</v>
      </c>
      <c r="H13221" s="17"/>
      <c r="K13221" s="17"/>
      <c r="N13221" s="17"/>
    </row>
    <row r="13222">
      <c r="B13222" s="11">
        <f>IFERROR(__xludf.DUMMYFUNCTION("""COMPUTED_VALUE"""),27515.0)</f>
        <v>27515</v>
      </c>
      <c r="C13222" s="9">
        <f>IFERROR(__xludf.DUMMYFUNCTION("""COMPUTED_VALUE"""),8.31)</f>
        <v>8.31</v>
      </c>
      <c r="H13222" s="17"/>
      <c r="K13222" s="17"/>
      <c r="N13222" s="17"/>
    </row>
    <row r="13223">
      <c r="B13223" s="11">
        <f>IFERROR(__xludf.DUMMYFUNCTION("""COMPUTED_VALUE"""),27514.0)</f>
        <v>27514</v>
      </c>
      <c r="C13223" s="9">
        <f>IFERROR(__xludf.DUMMYFUNCTION("""COMPUTED_VALUE"""),8.31)</f>
        <v>8.31</v>
      </c>
      <c r="H13223" s="17"/>
      <c r="K13223" s="17"/>
      <c r="N13223" s="17"/>
    </row>
    <row r="13224">
      <c r="B13224" s="11">
        <f>IFERROR(__xludf.DUMMYFUNCTION("""COMPUTED_VALUE"""),27513.0)</f>
        <v>27513</v>
      </c>
      <c r="C13224" s="9">
        <f>IFERROR(__xludf.DUMMYFUNCTION("""COMPUTED_VALUE"""),8.34)</f>
        <v>8.34</v>
      </c>
      <c r="H13224" s="17"/>
      <c r="K13224" s="17"/>
      <c r="N13224" s="17"/>
    </row>
    <row r="13225">
      <c r="B13225" s="11">
        <f>IFERROR(__xludf.DUMMYFUNCTION("""COMPUTED_VALUE"""),27512.0)</f>
        <v>27512</v>
      </c>
      <c r="C13225" s="9">
        <f>IFERROR(__xludf.DUMMYFUNCTION("""COMPUTED_VALUE"""),8.35)</f>
        <v>8.35</v>
      </c>
      <c r="H13225" s="17"/>
      <c r="K13225" s="17"/>
      <c r="N13225" s="17"/>
    </row>
    <row r="13226">
      <c r="B13226" s="11">
        <f>IFERROR(__xludf.DUMMYFUNCTION("""COMPUTED_VALUE"""),27509.0)</f>
        <v>27509</v>
      </c>
      <c r="C13226" s="9">
        <f>IFERROR(__xludf.DUMMYFUNCTION("""COMPUTED_VALUE"""),8.25)</f>
        <v>8.25</v>
      </c>
      <c r="H13226" s="17"/>
      <c r="K13226" s="17"/>
      <c r="N13226" s="17"/>
    </row>
    <row r="13227">
      <c r="B13227" s="11">
        <f>IFERROR(__xludf.DUMMYFUNCTION("""COMPUTED_VALUE"""),27508.0)</f>
        <v>27508</v>
      </c>
      <c r="C13227" s="9">
        <f>IFERROR(__xludf.DUMMYFUNCTION("""COMPUTED_VALUE"""),8.25)</f>
        <v>8.25</v>
      </c>
      <c r="H13227" s="17"/>
      <c r="K13227" s="17"/>
      <c r="N13227" s="17"/>
    </row>
    <row r="13228">
      <c r="B13228" s="11">
        <f>IFERROR(__xludf.DUMMYFUNCTION("""COMPUTED_VALUE"""),27507.0)</f>
        <v>27507</v>
      </c>
      <c r="C13228" s="9">
        <f>IFERROR(__xludf.DUMMYFUNCTION("""COMPUTED_VALUE"""),8.27)</f>
        <v>8.27</v>
      </c>
      <c r="H13228" s="17"/>
      <c r="K13228" s="17"/>
      <c r="N13228" s="17"/>
    </row>
    <row r="13229">
      <c r="B13229" s="11">
        <f>IFERROR(__xludf.DUMMYFUNCTION("""COMPUTED_VALUE"""),27506.0)</f>
        <v>27506</v>
      </c>
      <c r="C13229" s="9">
        <f>IFERROR(__xludf.DUMMYFUNCTION("""COMPUTED_VALUE"""),8.32)</f>
        <v>8.32</v>
      </c>
      <c r="H13229" s="17"/>
      <c r="K13229" s="17"/>
      <c r="N13229" s="17"/>
    </row>
    <row r="13230">
      <c r="B13230" s="11">
        <f>IFERROR(__xludf.DUMMYFUNCTION("""COMPUTED_VALUE"""),27505.0)</f>
        <v>27505</v>
      </c>
      <c r="C13230" s="9">
        <f>IFERROR(__xludf.DUMMYFUNCTION("""COMPUTED_VALUE"""),8.32)</f>
        <v>8.32</v>
      </c>
      <c r="H13230" s="17"/>
      <c r="K13230" s="17"/>
      <c r="N13230" s="17"/>
    </row>
    <row r="13231">
      <c r="B13231" s="11">
        <f>IFERROR(__xludf.DUMMYFUNCTION("""COMPUTED_VALUE"""),27502.0)</f>
        <v>27502</v>
      </c>
      <c r="C13231" s="9">
        <f>IFERROR(__xludf.DUMMYFUNCTION("""COMPUTED_VALUE"""),8.27)</f>
        <v>8.27</v>
      </c>
      <c r="H13231" s="17"/>
      <c r="K13231" s="17"/>
      <c r="N13231" s="17"/>
    </row>
    <row r="13232">
      <c r="B13232" s="11">
        <f>IFERROR(__xludf.DUMMYFUNCTION("""COMPUTED_VALUE"""),27501.0)</f>
        <v>27501</v>
      </c>
      <c r="C13232" s="9">
        <f>IFERROR(__xludf.DUMMYFUNCTION("""COMPUTED_VALUE"""),8.21)</f>
        <v>8.21</v>
      </c>
      <c r="H13232" s="17"/>
      <c r="K13232" s="17"/>
      <c r="N13232" s="17"/>
    </row>
    <row r="13233">
      <c r="B13233" s="11">
        <f>IFERROR(__xludf.DUMMYFUNCTION("""COMPUTED_VALUE"""),27500.0)</f>
        <v>27500</v>
      </c>
      <c r="C13233" s="9">
        <f>IFERROR(__xludf.DUMMYFUNCTION("""COMPUTED_VALUE"""),8.15)</f>
        <v>8.15</v>
      </c>
      <c r="H13233" s="17"/>
      <c r="K13233" s="17"/>
      <c r="N13233" s="17"/>
    </row>
    <row r="13234">
      <c r="B13234" s="11">
        <f>IFERROR(__xludf.DUMMYFUNCTION("""COMPUTED_VALUE"""),27499.0)</f>
        <v>27499</v>
      </c>
      <c r="C13234" s="9">
        <f>IFERROR(__xludf.DUMMYFUNCTION("""COMPUTED_VALUE"""),8.16)</f>
        <v>8.16</v>
      </c>
      <c r="H13234" s="17"/>
      <c r="K13234" s="17"/>
      <c r="N13234" s="17"/>
    </row>
    <row r="13235">
      <c r="B13235" s="11">
        <f>IFERROR(__xludf.DUMMYFUNCTION("""COMPUTED_VALUE"""),27498.0)</f>
        <v>27498</v>
      </c>
      <c r="C13235" s="9">
        <f>IFERROR(__xludf.DUMMYFUNCTION("""COMPUTED_VALUE"""),8.16)</f>
        <v>8.16</v>
      </c>
      <c r="H13235" s="17"/>
      <c r="K13235" s="17"/>
      <c r="N13235" s="17"/>
    </row>
    <row r="13236">
      <c r="B13236" s="11">
        <f>IFERROR(__xludf.DUMMYFUNCTION("""COMPUTED_VALUE"""),27495.0)</f>
        <v>27495</v>
      </c>
      <c r="C13236" s="9">
        <f>IFERROR(__xludf.DUMMYFUNCTION("""COMPUTED_VALUE"""),8.22)</f>
        <v>8.22</v>
      </c>
      <c r="H13236" s="17"/>
      <c r="K13236" s="17"/>
      <c r="N13236" s="17"/>
    </row>
    <row r="13237">
      <c r="B13237" s="11">
        <f>IFERROR(__xludf.DUMMYFUNCTION("""COMPUTED_VALUE"""),27494.0)</f>
        <v>27494</v>
      </c>
      <c r="C13237" s="9">
        <f>IFERROR(__xludf.DUMMYFUNCTION("""COMPUTED_VALUE"""),8.19)</f>
        <v>8.19</v>
      </c>
      <c r="H13237" s="17"/>
      <c r="K13237" s="17"/>
      <c r="N13237" s="17"/>
    </row>
    <row r="13238">
      <c r="B13238" s="11">
        <f>IFERROR(__xludf.DUMMYFUNCTION("""COMPUTED_VALUE"""),27493.0)</f>
        <v>27493</v>
      </c>
      <c r="C13238" s="9">
        <f>IFERROR(__xludf.DUMMYFUNCTION("""COMPUTED_VALUE"""),8.17)</f>
        <v>8.17</v>
      </c>
      <c r="H13238" s="17"/>
      <c r="K13238" s="17"/>
      <c r="N13238" s="17"/>
    </row>
    <row r="13239">
      <c r="B13239" s="11">
        <f>IFERROR(__xludf.DUMMYFUNCTION("""COMPUTED_VALUE"""),27492.0)</f>
        <v>27492</v>
      </c>
      <c r="C13239" s="9">
        <f>IFERROR(__xludf.DUMMYFUNCTION("""COMPUTED_VALUE"""),8.21)</f>
        <v>8.21</v>
      </c>
      <c r="H13239" s="17"/>
      <c r="K13239" s="17"/>
      <c r="N13239" s="17"/>
    </row>
    <row r="13240">
      <c r="B13240" s="11">
        <f>IFERROR(__xludf.DUMMYFUNCTION("""COMPUTED_VALUE"""),27491.0)</f>
        <v>27491</v>
      </c>
      <c r="C13240" s="9">
        <f>IFERROR(__xludf.DUMMYFUNCTION("""COMPUTED_VALUE"""),8.26)</f>
        <v>8.26</v>
      </c>
      <c r="H13240" s="17"/>
      <c r="K13240" s="17"/>
      <c r="N13240" s="17"/>
    </row>
    <row r="13241">
      <c r="B13241" s="11">
        <f>IFERROR(__xludf.DUMMYFUNCTION("""COMPUTED_VALUE"""),27488.0)</f>
        <v>27488</v>
      </c>
      <c r="C13241" s="9">
        <f>IFERROR(__xludf.DUMMYFUNCTION("""COMPUTED_VALUE"""),8.15)</f>
        <v>8.15</v>
      </c>
      <c r="H13241" s="17"/>
      <c r="K13241" s="17"/>
      <c r="N13241" s="17"/>
    </row>
    <row r="13242">
      <c r="B13242" s="11">
        <f>IFERROR(__xludf.DUMMYFUNCTION("""COMPUTED_VALUE"""),27487.0)</f>
        <v>27487</v>
      </c>
      <c r="C13242" s="9">
        <f>IFERROR(__xludf.DUMMYFUNCTION("""COMPUTED_VALUE"""),8.13)</f>
        <v>8.13</v>
      </c>
      <c r="H13242" s="17"/>
      <c r="K13242" s="17"/>
      <c r="N13242" s="17"/>
    </row>
    <row r="13243">
      <c r="B13243" s="11">
        <f>IFERROR(__xludf.DUMMYFUNCTION("""COMPUTED_VALUE"""),27486.0)</f>
        <v>27486</v>
      </c>
      <c r="C13243" s="9">
        <f>IFERROR(__xludf.DUMMYFUNCTION("""COMPUTED_VALUE"""),8.22)</f>
        <v>8.22</v>
      </c>
      <c r="H13243" s="17"/>
      <c r="K13243" s="17"/>
      <c r="N13243" s="17"/>
    </row>
    <row r="13244">
      <c r="B13244" s="11">
        <f>IFERROR(__xludf.DUMMYFUNCTION("""COMPUTED_VALUE"""),27485.0)</f>
        <v>27485</v>
      </c>
      <c r="C13244" s="9">
        <f>IFERROR(__xludf.DUMMYFUNCTION("""COMPUTED_VALUE"""),8.08)</f>
        <v>8.08</v>
      </c>
      <c r="H13244" s="17"/>
      <c r="K13244" s="17"/>
      <c r="N13244" s="17"/>
    </row>
    <row r="13245">
      <c r="B13245" s="11">
        <f>IFERROR(__xludf.DUMMYFUNCTION("""COMPUTED_VALUE"""),27484.0)</f>
        <v>27484</v>
      </c>
      <c r="C13245" s="9">
        <f>IFERROR(__xludf.DUMMYFUNCTION("""COMPUTED_VALUE"""),8.01)</f>
        <v>8.01</v>
      </c>
      <c r="H13245" s="17"/>
      <c r="K13245" s="17"/>
      <c r="N13245" s="17"/>
    </row>
    <row r="13246">
      <c r="B13246" s="11">
        <f>IFERROR(__xludf.DUMMYFUNCTION("""COMPUTED_VALUE"""),27481.0)</f>
        <v>27481</v>
      </c>
      <c r="C13246" s="9"/>
      <c r="H13246" s="17"/>
      <c r="K13246" s="17"/>
      <c r="N13246" s="17"/>
    </row>
    <row r="13247">
      <c r="B13247" s="11">
        <f>IFERROR(__xludf.DUMMYFUNCTION("""COMPUTED_VALUE"""),27480.0)</f>
        <v>27480</v>
      </c>
      <c r="C13247" s="9">
        <f>IFERROR(__xludf.DUMMYFUNCTION("""COMPUTED_VALUE"""),8.08)</f>
        <v>8.08</v>
      </c>
      <c r="H13247" s="17"/>
      <c r="K13247" s="17"/>
      <c r="N13247" s="17"/>
    </row>
    <row r="13248">
      <c r="B13248" s="11">
        <f>IFERROR(__xludf.DUMMYFUNCTION("""COMPUTED_VALUE"""),27479.0)</f>
        <v>27479</v>
      </c>
      <c r="C13248" s="9">
        <f>IFERROR(__xludf.DUMMYFUNCTION("""COMPUTED_VALUE"""),8.02)</f>
        <v>8.02</v>
      </c>
      <c r="H13248" s="17"/>
      <c r="K13248" s="17"/>
      <c r="N13248" s="17"/>
    </row>
    <row r="13249">
      <c r="B13249" s="11">
        <f>IFERROR(__xludf.DUMMYFUNCTION("""COMPUTED_VALUE"""),27478.0)</f>
        <v>27478</v>
      </c>
      <c r="C13249" s="9">
        <f>IFERROR(__xludf.DUMMYFUNCTION("""COMPUTED_VALUE"""),8.03)</f>
        <v>8.03</v>
      </c>
      <c r="H13249" s="17"/>
      <c r="K13249" s="17"/>
      <c r="N13249" s="17"/>
    </row>
    <row r="13250">
      <c r="B13250" s="11">
        <f>IFERROR(__xludf.DUMMYFUNCTION("""COMPUTED_VALUE"""),27477.0)</f>
        <v>27477</v>
      </c>
      <c r="C13250" s="9">
        <f>IFERROR(__xludf.DUMMYFUNCTION("""COMPUTED_VALUE"""),8.05)</f>
        <v>8.05</v>
      </c>
      <c r="H13250" s="17"/>
      <c r="K13250" s="17"/>
      <c r="N13250" s="17"/>
    </row>
    <row r="13251">
      <c r="B13251" s="11">
        <f>IFERROR(__xludf.DUMMYFUNCTION("""COMPUTED_VALUE"""),27474.0)</f>
        <v>27474</v>
      </c>
      <c r="C13251" s="9">
        <f>IFERROR(__xludf.DUMMYFUNCTION("""COMPUTED_VALUE"""),7.84)</f>
        <v>7.84</v>
      </c>
      <c r="H13251" s="17"/>
      <c r="K13251" s="17"/>
      <c r="N13251" s="17"/>
    </row>
    <row r="13252">
      <c r="B13252" s="11">
        <f>IFERROR(__xludf.DUMMYFUNCTION("""COMPUTED_VALUE"""),27473.0)</f>
        <v>27473</v>
      </c>
      <c r="C13252" s="9">
        <f>IFERROR(__xludf.DUMMYFUNCTION("""COMPUTED_VALUE"""),7.95)</f>
        <v>7.95</v>
      </c>
      <c r="H13252" s="17"/>
      <c r="K13252" s="17"/>
      <c r="N13252" s="17"/>
    </row>
    <row r="13253">
      <c r="B13253" s="11">
        <f>IFERROR(__xludf.DUMMYFUNCTION("""COMPUTED_VALUE"""),27472.0)</f>
        <v>27472</v>
      </c>
      <c r="C13253" s="9">
        <f>IFERROR(__xludf.DUMMYFUNCTION("""COMPUTED_VALUE"""),7.8)</f>
        <v>7.8</v>
      </c>
      <c r="H13253" s="17"/>
      <c r="K13253" s="17"/>
      <c r="N13253" s="17"/>
    </row>
    <row r="13254">
      <c r="B13254" s="11">
        <f>IFERROR(__xludf.DUMMYFUNCTION("""COMPUTED_VALUE"""),27471.0)</f>
        <v>27471</v>
      </c>
      <c r="C13254" s="9">
        <f>IFERROR(__xludf.DUMMYFUNCTION("""COMPUTED_VALUE"""),7.7)</f>
        <v>7.7</v>
      </c>
      <c r="H13254" s="17"/>
      <c r="K13254" s="17"/>
      <c r="N13254" s="17"/>
    </row>
    <row r="13255">
      <c r="B13255" s="11">
        <f>IFERROR(__xludf.DUMMYFUNCTION("""COMPUTED_VALUE"""),27470.0)</f>
        <v>27470</v>
      </c>
      <c r="C13255" s="9">
        <f>IFERROR(__xludf.DUMMYFUNCTION("""COMPUTED_VALUE"""),7.7)</f>
        <v>7.7</v>
      </c>
      <c r="H13255" s="17"/>
      <c r="K13255" s="17"/>
      <c r="N13255" s="17"/>
    </row>
    <row r="13256">
      <c r="B13256" s="11">
        <f>IFERROR(__xludf.DUMMYFUNCTION("""COMPUTED_VALUE"""),27467.0)</f>
        <v>27467</v>
      </c>
      <c r="C13256" s="9">
        <f>IFERROR(__xludf.DUMMYFUNCTION("""COMPUTED_VALUE"""),7.58)</f>
        <v>7.58</v>
      </c>
      <c r="H13256" s="17"/>
      <c r="K13256" s="17"/>
      <c r="N13256" s="17"/>
    </row>
    <row r="13257">
      <c r="B13257" s="11">
        <f>IFERROR(__xludf.DUMMYFUNCTION("""COMPUTED_VALUE"""),27466.0)</f>
        <v>27466</v>
      </c>
      <c r="C13257" s="9">
        <f>IFERROR(__xludf.DUMMYFUNCTION("""COMPUTED_VALUE"""),7.56)</f>
        <v>7.56</v>
      </c>
      <c r="H13257" s="17"/>
      <c r="K13257" s="17"/>
      <c r="N13257" s="17"/>
    </row>
    <row r="13258">
      <c r="B13258" s="11">
        <f>IFERROR(__xludf.DUMMYFUNCTION("""COMPUTED_VALUE"""),27465.0)</f>
        <v>27465</v>
      </c>
      <c r="C13258" s="9">
        <f>IFERROR(__xludf.DUMMYFUNCTION("""COMPUTED_VALUE"""),7.58)</f>
        <v>7.58</v>
      </c>
      <c r="H13258" s="17"/>
      <c r="K13258" s="17"/>
      <c r="N13258" s="17"/>
    </row>
    <row r="13259">
      <c r="B13259" s="11">
        <f>IFERROR(__xludf.DUMMYFUNCTION("""COMPUTED_VALUE"""),27464.0)</f>
        <v>27464</v>
      </c>
      <c r="C13259" s="9">
        <f>IFERROR(__xludf.DUMMYFUNCTION("""COMPUTED_VALUE"""),7.58)</f>
        <v>7.58</v>
      </c>
      <c r="H13259" s="17"/>
      <c r="K13259" s="17"/>
      <c r="N13259" s="17"/>
    </row>
    <row r="13260">
      <c r="B13260" s="11">
        <f>IFERROR(__xludf.DUMMYFUNCTION("""COMPUTED_VALUE"""),27463.0)</f>
        <v>27463</v>
      </c>
      <c r="C13260" s="9">
        <f>IFERROR(__xludf.DUMMYFUNCTION("""COMPUTED_VALUE"""),7.56)</f>
        <v>7.56</v>
      </c>
      <c r="H13260" s="17"/>
      <c r="K13260" s="17"/>
      <c r="N13260" s="17"/>
    </row>
    <row r="13261">
      <c r="B13261" s="11">
        <f>IFERROR(__xludf.DUMMYFUNCTION("""COMPUTED_VALUE"""),27460.0)</f>
        <v>27460</v>
      </c>
      <c r="C13261" s="9">
        <f>IFERROR(__xludf.DUMMYFUNCTION("""COMPUTED_VALUE"""),7.52)</f>
        <v>7.52</v>
      </c>
      <c r="H13261" s="17"/>
      <c r="K13261" s="17"/>
      <c r="N13261" s="17"/>
    </row>
    <row r="13262">
      <c r="B13262" s="11">
        <f>IFERROR(__xludf.DUMMYFUNCTION("""COMPUTED_VALUE"""),27459.0)</f>
        <v>27459</v>
      </c>
      <c r="C13262" s="9">
        <f>IFERROR(__xludf.DUMMYFUNCTION("""COMPUTED_VALUE"""),7.49)</f>
        <v>7.49</v>
      </c>
      <c r="H13262" s="17"/>
      <c r="K13262" s="17"/>
      <c r="N13262" s="17"/>
    </row>
    <row r="13263">
      <c r="B13263" s="11">
        <f>IFERROR(__xludf.DUMMYFUNCTION("""COMPUTED_VALUE"""),27458.0)</f>
        <v>27458</v>
      </c>
      <c r="C13263" s="9">
        <f>IFERROR(__xludf.DUMMYFUNCTION("""COMPUTED_VALUE"""),7.48)</f>
        <v>7.48</v>
      </c>
      <c r="H13263" s="17"/>
      <c r="K13263" s="17"/>
      <c r="N13263" s="17"/>
    </row>
    <row r="13264">
      <c r="B13264" s="11">
        <f>IFERROR(__xludf.DUMMYFUNCTION("""COMPUTED_VALUE"""),27457.0)</f>
        <v>27457</v>
      </c>
      <c r="C13264" s="9">
        <f>IFERROR(__xludf.DUMMYFUNCTION("""COMPUTED_VALUE"""),7.53)</f>
        <v>7.53</v>
      </c>
      <c r="H13264" s="17"/>
      <c r="K13264" s="17"/>
      <c r="N13264" s="17"/>
    </row>
    <row r="13265">
      <c r="B13265" s="11">
        <f>IFERROR(__xludf.DUMMYFUNCTION("""COMPUTED_VALUE"""),27456.0)</f>
        <v>27456</v>
      </c>
      <c r="C13265" s="9">
        <f>IFERROR(__xludf.DUMMYFUNCTION("""COMPUTED_VALUE"""),7.5)</f>
        <v>7.5</v>
      </c>
      <c r="H13265" s="17"/>
      <c r="K13265" s="17"/>
      <c r="N13265" s="17"/>
    </row>
    <row r="13266">
      <c r="B13266" s="11">
        <f>IFERROR(__xludf.DUMMYFUNCTION("""COMPUTED_VALUE"""),27453.0)</f>
        <v>27453</v>
      </c>
      <c r="C13266" s="9">
        <f>IFERROR(__xludf.DUMMYFUNCTION("""COMPUTED_VALUE"""),7.46)</f>
        <v>7.46</v>
      </c>
      <c r="H13266" s="17"/>
      <c r="K13266" s="17"/>
      <c r="N13266" s="17"/>
    </row>
    <row r="13267">
      <c r="B13267" s="11">
        <f>IFERROR(__xludf.DUMMYFUNCTION("""COMPUTED_VALUE"""),27452.0)</f>
        <v>27452</v>
      </c>
      <c r="C13267" s="9">
        <f>IFERROR(__xludf.DUMMYFUNCTION("""COMPUTED_VALUE"""),7.47)</f>
        <v>7.47</v>
      </c>
      <c r="H13267" s="17"/>
      <c r="K13267" s="17"/>
      <c r="N13267" s="17"/>
    </row>
    <row r="13268">
      <c r="B13268" s="11">
        <f>IFERROR(__xludf.DUMMYFUNCTION("""COMPUTED_VALUE"""),27451.0)</f>
        <v>27451</v>
      </c>
      <c r="C13268" s="9">
        <f>IFERROR(__xludf.DUMMYFUNCTION("""COMPUTED_VALUE"""),7.5)</f>
        <v>7.5</v>
      </c>
      <c r="H13268" s="17"/>
      <c r="K13268" s="17"/>
      <c r="N13268" s="17"/>
    </row>
    <row r="13269">
      <c r="B13269" s="11">
        <f>IFERROR(__xludf.DUMMYFUNCTION("""COMPUTED_VALUE"""),27450.0)</f>
        <v>27450</v>
      </c>
      <c r="C13269" s="9">
        <f>IFERROR(__xludf.DUMMYFUNCTION("""COMPUTED_VALUE"""),7.43)</f>
        <v>7.43</v>
      </c>
      <c r="H13269" s="17"/>
      <c r="K13269" s="17"/>
      <c r="N13269" s="17"/>
    </row>
    <row r="13270">
      <c r="B13270" s="11">
        <f>IFERROR(__xludf.DUMMYFUNCTION("""COMPUTED_VALUE"""),27449.0)</f>
        <v>27449</v>
      </c>
      <c r="C13270" s="9">
        <f>IFERROR(__xludf.DUMMYFUNCTION("""COMPUTED_VALUE"""),7.36)</f>
        <v>7.36</v>
      </c>
      <c r="H13270" s="17"/>
      <c r="K13270" s="17"/>
      <c r="N13270" s="17"/>
    </row>
    <row r="13271">
      <c r="B13271" s="11">
        <f>IFERROR(__xludf.DUMMYFUNCTION("""COMPUTED_VALUE"""),27446.0)</f>
        <v>27446</v>
      </c>
      <c r="C13271" s="9">
        <f>IFERROR(__xludf.DUMMYFUNCTION("""COMPUTED_VALUE"""),7.22)</f>
        <v>7.22</v>
      </c>
      <c r="H13271" s="17"/>
      <c r="K13271" s="17"/>
      <c r="N13271" s="17"/>
    </row>
    <row r="13272">
      <c r="B13272" s="11">
        <f>IFERROR(__xludf.DUMMYFUNCTION("""COMPUTED_VALUE"""),27445.0)</f>
        <v>27445</v>
      </c>
      <c r="C13272" s="9">
        <f>IFERROR(__xludf.DUMMYFUNCTION("""COMPUTED_VALUE"""),7.3)</f>
        <v>7.3</v>
      </c>
      <c r="H13272" s="17"/>
      <c r="K13272" s="17"/>
      <c r="N13272" s="17"/>
    </row>
    <row r="13273">
      <c r="B13273" s="11">
        <f>IFERROR(__xludf.DUMMYFUNCTION("""COMPUTED_VALUE"""),27444.0)</f>
        <v>27444</v>
      </c>
      <c r="C13273" s="9">
        <f>IFERROR(__xludf.DUMMYFUNCTION("""COMPUTED_VALUE"""),7.26)</f>
        <v>7.26</v>
      </c>
      <c r="H13273" s="17"/>
      <c r="K13273" s="17"/>
      <c r="N13273" s="17"/>
    </row>
    <row r="13274">
      <c r="B13274" s="11">
        <f>IFERROR(__xludf.DUMMYFUNCTION("""COMPUTED_VALUE"""),27443.0)</f>
        <v>27443</v>
      </c>
      <c r="C13274" s="9">
        <f>IFERROR(__xludf.DUMMYFUNCTION("""COMPUTED_VALUE"""),7.28)</f>
        <v>7.28</v>
      </c>
      <c r="H13274" s="17"/>
      <c r="K13274" s="17"/>
      <c r="N13274" s="17"/>
    </row>
    <row r="13275">
      <c r="B13275" s="11">
        <f>IFERROR(__xludf.DUMMYFUNCTION("""COMPUTED_VALUE"""),27442.0)</f>
        <v>27442</v>
      </c>
      <c r="C13275" s="9"/>
      <c r="H13275" s="17"/>
      <c r="K13275" s="17"/>
      <c r="N13275" s="17"/>
    </row>
    <row r="13276">
      <c r="B13276" s="11">
        <f>IFERROR(__xludf.DUMMYFUNCTION("""COMPUTED_VALUE"""),27439.0)</f>
        <v>27439</v>
      </c>
      <c r="C13276" s="9">
        <f>IFERROR(__xludf.DUMMYFUNCTION("""COMPUTED_VALUE"""),7.35)</f>
        <v>7.35</v>
      </c>
      <c r="H13276" s="17"/>
      <c r="K13276" s="17"/>
      <c r="N13276" s="17"/>
    </row>
    <row r="13277">
      <c r="B13277" s="11">
        <f>IFERROR(__xludf.DUMMYFUNCTION("""COMPUTED_VALUE"""),27438.0)</f>
        <v>27438</v>
      </c>
      <c r="C13277" s="9">
        <f>IFERROR(__xludf.DUMMYFUNCTION("""COMPUTED_VALUE"""),7.44)</f>
        <v>7.44</v>
      </c>
      <c r="H13277" s="17"/>
      <c r="K13277" s="17"/>
      <c r="N13277" s="17"/>
    </row>
    <row r="13278">
      <c r="B13278" s="11">
        <f>IFERROR(__xludf.DUMMYFUNCTION("""COMPUTED_VALUE"""),27437.0)</f>
        <v>27437</v>
      </c>
      <c r="C13278" s="9"/>
      <c r="H13278" s="17"/>
      <c r="K13278" s="17"/>
      <c r="N13278" s="17"/>
    </row>
    <row r="13279">
      <c r="B13279" s="11">
        <f>IFERROR(__xludf.DUMMYFUNCTION("""COMPUTED_VALUE"""),27436.0)</f>
        <v>27436</v>
      </c>
      <c r="C13279" s="9">
        <f>IFERROR(__xludf.DUMMYFUNCTION("""COMPUTED_VALUE"""),7.42)</f>
        <v>7.42</v>
      </c>
      <c r="H13279" s="17"/>
      <c r="K13279" s="17"/>
      <c r="N13279" s="17"/>
    </row>
    <row r="13280">
      <c r="B13280" s="11">
        <f>IFERROR(__xludf.DUMMYFUNCTION("""COMPUTED_VALUE"""),27435.0)</f>
        <v>27435</v>
      </c>
      <c r="C13280" s="9">
        <f>IFERROR(__xludf.DUMMYFUNCTION("""COMPUTED_VALUE"""),7.45)</f>
        <v>7.45</v>
      </c>
      <c r="H13280" s="17"/>
      <c r="K13280" s="17"/>
      <c r="N13280" s="17"/>
    </row>
    <row r="13281">
      <c r="B13281" s="11">
        <f>IFERROR(__xludf.DUMMYFUNCTION("""COMPUTED_VALUE"""),27432.0)</f>
        <v>27432</v>
      </c>
      <c r="C13281" s="9">
        <f>IFERROR(__xludf.DUMMYFUNCTION("""COMPUTED_VALUE"""),7.38)</f>
        <v>7.38</v>
      </c>
      <c r="H13281" s="17"/>
      <c r="K13281" s="17"/>
      <c r="N13281" s="17"/>
    </row>
    <row r="13282">
      <c r="B13282" s="11">
        <f>IFERROR(__xludf.DUMMYFUNCTION("""COMPUTED_VALUE"""),27431.0)</f>
        <v>27431</v>
      </c>
      <c r="C13282" s="9">
        <f>IFERROR(__xludf.DUMMYFUNCTION("""COMPUTED_VALUE"""),7.43)</f>
        <v>7.43</v>
      </c>
      <c r="H13282" s="17"/>
      <c r="K13282" s="17"/>
      <c r="N13282" s="17"/>
    </row>
    <row r="13283">
      <c r="B13283" s="11">
        <f>IFERROR(__xludf.DUMMYFUNCTION("""COMPUTED_VALUE"""),27430.0)</f>
        <v>27430</v>
      </c>
      <c r="C13283" s="9">
        <f>IFERROR(__xludf.DUMMYFUNCTION("""COMPUTED_VALUE"""),7.35)</f>
        <v>7.35</v>
      </c>
      <c r="H13283" s="17"/>
      <c r="K13283" s="17"/>
      <c r="N13283" s="17"/>
    </row>
    <row r="13284">
      <c r="B13284" s="11">
        <f>IFERROR(__xludf.DUMMYFUNCTION("""COMPUTED_VALUE"""),27429.0)</f>
        <v>27429</v>
      </c>
      <c r="C13284" s="9">
        <f>IFERROR(__xludf.DUMMYFUNCTION("""COMPUTED_VALUE"""),7.47)</f>
        <v>7.47</v>
      </c>
      <c r="H13284" s="17"/>
      <c r="K13284" s="17"/>
      <c r="N13284" s="17"/>
    </row>
    <row r="13285">
      <c r="B13285" s="11">
        <f>IFERROR(__xludf.DUMMYFUNCTION("""COMPUTED_VALUE"""),27428.0)</f>
        <v>27428</v>
      </c>
      <c r="C13285" s="9">
        <f>IFERROR(__xludf.DUMMYFUNCTION("""COMPUTED_VALUE"""),7.49)</f>
        <v>7.49</v>
      </c>
      <c r="H13285" s="17"/>
      <c r="K13285" s="17"/>
      <c r="N13285" s="17"/>
    </row>
    <row r="13286">
      <c r="B13286" s="11">
        <f>IFERROR(__xludf.DUMMYFUNCTION("""COMPUTED_VALUE"""),27425.0)</f>
        <v>27425</v>
      </c>
      <c r="C13286" s="9">
        <f>IFERROR(__xludf.DUMMYFUNCTION("""COMPUTED_VALUE"""),7.53)</f>
        <v>7.53</v>
      </c>
      <c r="H13286" s="17"/>
      <c r="K13286" s="17"/>
      <c r="N13286" s="17"/>
    </row>
    <row r="13287">
      <c r="B13287" s="11">
        <f>IFERROR(__xludf.DUMMYFUNCTION("""COMPUTED_VALUE"""),27424.0)</f>
        <v>27424</v>
      </c>
      <c r="C13287" s="9">
        <f>IFERROR(__xludf.DUMMYFUNCTION("""COMPUTED_VALUE"""),7.54)</f>
        <v>7.54</v>
      </c>
      <c r="H13287" s="17"/>
      <c r="K13287" s="17"/>
      <c r="N13287" s="17"/>
    </row>
    <row r="13288">
      <c r="B13288" s="11">
        <f>IFERROR(__xludf.DUMMYFUNCTION("""COMPUTED_VALUE"""),27423.0)</f>
        <v>27423</v>
      </c>
      <c r="C13288" s="9">
        <f>IFERROR(__xludf.DUMMYFUNCTION("""COMPUTED_VALUE"""),7.59)</f>
        <v>7.59</v>
      </c>
      <c r="H13288" s="17"/>
      <c r="K13288" s="17"/>
      <c r="N13288" s="17"/>
    </row>
    <row r="13289">
      <c r="B13289" s="11">
        <f>IFERROR(__xludf.DUMMYFUNCTION("""COMPUTED_VALUE"""),27422.0)</f>
        <v>27422</v>
      </c>
      <c r="C13289" s="9">
        <f>IFERROR(__xludf.DUMMYFUNCTION("""COMPUTED_VALUE"""),7.61)</f>
        <v>7.61</v>
      </c>
      <c r="H13289" s="17"/>
      <c r="K13289" s="17"/>
      <c r="N13289" s="17"/>
    </row>
    <row r="13290">
      <c r="B13290" s="11">
        <f>IFERROR(__xludf.DUMMYFUNCTION("""COMPUTED_VALUE"""),27421.0)</f>
        <v>27421</v>
      </c>
      <c r="C13290" s="9">
        <f>IFERROR(__xludf.DUMMYFUNCTION("""COMPUTED_VALUE"""),7.61)</f>
        <v>7.61</v>
      </c>
      <c r="H13290" s="17"/>
      <c r="K13290" s="17"/>
      <c r="N13290" s="17"/>
    </row>
    <row r="13291">
      <c r="B13291" s="11">
        <f>IFERROR(__xludf.DUMMYFUNCTION("""COMPUTED_VALUE"""),27418.0)</f>
        <v>27418</v>
      </c>
      <c r="C13291" s="9">
        <f>IFERROR(__xludf.DUMMYFUNCTION("""COMPUTED_VALUE"""),7.64)</f>
        <v>7.64</v>
      </c>
      <c r="H13291" s="17"/>
      <c r="K13291" s="17"/>
      <c r="N13291" s="17"/>
    </row>
    <row r="13292">
      <c r="B13292" s="11">
        <f>IFERROR(__xludf.DUMMYFUNCTION("""COMPUTED_VALUE"""),27417.0)</f>
        <v>27417</v>
      </c>
      <c r="C13292" s="9">
        <f>IFERROR(__xludf.DUMMYFUNCTION("""COMPUTED_VALUE"""),7.57)</f>
        <v>7.57</v>
      </c>
      <c r="H13292" s="17"/>
      <c r="K13292" s="17"/>
      <c r="N13292" s="17"/>
    </row>
    <row r="13293">
      <c r="B13293" s="11">
        <f>IFERROR(__xludf.DUMMYFUNCTION("""COMPUTED_VALUE"""),27416.0)</f>
        <v>27416</v>
      </c>
      <c r="C13293" s="9">
        <f>IFERROR(__xludf.DUMMYFUNCTION("""COMPUTED_VALUE"""),7.51)</f>
        <v>7.51</v>
      </c>
      <c r="H13293" s="17"/>
      <c r="K13293" s="17"/>
      <c r="N13293" s="17"/>
    </row>
    <row r="13294">
      <c r="B13294" s="11">
        <f>IFERROR(__xludf.DUMMYFUNCTION("""COMPUTED_VALUE"""),27415.0)</f>
        <v>27415</v>
      </c>
      <c r="C13294" s="9">
        <f>IFERROR(__xludf.DUMMYFUNCTION("""COMPUTED_VALUE"""),7.55)</f>
        <v>7.55</v>
      </c>
      <c r="H13294" s="17"/>
      <c r="K13294" s="17"/>
      <c r="N13294" s="17"/>
    </row>
    <row r="13295">
      <c r="B13295" s="11">
        <f>IFERROR(__xludf.DUMMYFUNCTION("""COMPUTED_VALUE"""),27414.0)</f>
        <v>27414</v>
      </c>
      <c r="C13295" s="9">
        <f>IFERROR(__xludf.DUMMYFUNCTION("""COMPUTED_VALUE"""),7.59)</f>
        <v>7.59</v>
      </c>
      <c r="H13295" s="17"/>
      <c r="K13295" s="17"/>
      <c r="N13295" s="17"/>
    </row>
    <row r="13296">
      <c r="B13296" s="11">
        <f>IFERROR(__xludf.DUMMYFUNCTION("""COMPUTED_VALUE"""),27411.0)</f>
        <v>27411</v>
      </c>
      <c r="C13296" s="9">
        <f>IFERROR(__xludf.DUMMYFUNCTION("""COMPUTED_VALUE"""),7.53)</f>
        <v>7.53</v>
      </c>
      <c r="H13296" s="17"/>
      <c r="K13296" s="17"/>
      <c r="N13296" s="17"/>
    </row>
    <row r="13297">
      <c r="B13297" s="11">
        <f>IFERROR(__xludf.DUMMYFUNCTION("""COMPUTED_VALUE"""),27410.0)</f>
        <v>27410</v>
      </c>
      <c r="C13297" s="9">
        <f>IFERROR(__xludf.DUMMYFUNCTION("""COMPUTED_VALUE"""),7.54)</f>
        <v>7.54</v>
      </c>
      <c r="H13297" s="17"/>
      <c r="K13297" s="17"/>
      <c r="N13297" s="17"/>
    </row>
    <row r="13298">
      <c r="B13298" s="11">
        <f>IFERROR(__xludf.DUMMYFUNCTION("""COMPUTED_VALUE"""),27409.0)</f>
        <v>27409</v>
      </c>
      <c r="C13298" s="9">
        <f>IFERROR(__xludf.DUMMYFUNCTION("""COMPUTED_VALUE"""),7.54)</f>
        <v>7.54</v>
      </c>
      <c r="H13298" s="17"/>
      <c r="K13298" s="17"/>
      <c r="N13298" s="17"/>
    </row>
    <row r="13299">
      <c r="B13299" s="11">
        <f>IFERROR(__xludf.DUMMYFUNCTION("""COMPUTED_VALUE"""),27408.0)</f>
        <v>27408</v>
      </c>
      <c r="C13299" s="9">
        <f>IFERROR(__xludf.DUMMYFUNCTION("""COMPUTED_VALUE"""),7.49)</f>
        <v>7.49</v>
      </c>
      <c r="H13299" s="17"/>
      <c r="K13299" s="17"/>
      <c r="N13299" s="17"/>
    </row>
    <row r="13300">
      <c r="B13300" s="11">
        <f>IFERROR(__xludf.DUMMYFUNCTION("""COMPUTED_VALUE"""),27407.0)</f>
        <v>27407</v>
      </c>
      <c r="C13300" s="9">
        <f>IFERROR(__xludf.DUMMYFUNCTION("""COMPUTED_VALUE"""),7.46)</f>
        <v>7.46</v>
      </c>
      <c r="H13300" s="17"/>
      <c r="K13300" s="17"/>
      <c r="N13300" s="17"/>
    </row>
    <row r="13301">
      <c r="B13301" s="11">
        <f>IFERROR(__xludf.DUMMYFUNCTION("""COMPUTED_VALUE"""),27404.0)</f>
        <v>27404</v>
      </c>
      <c r="C13301" s="9">
        <f>IFERROR(__xludf.DUMMYFUNCTION("""COMPUTED_VALUE"""),7.37)</f>
        <v>7.37</v>
      </c>
      <c r="H13301" s="17"/>
      <c r="K13301" s="17"/>
      <c r="N13301" s="17"/>
    </row>
    <row r="13302">
      <c r="B13302" s="11">
        <f>IFERROR(__xludf.DUMMYFUNCTION("""COMPUTED_VALUE"""),27403.0)</f>
        <v>27403</v>
      </c>
      <c r="C13302" s="9">
        <f>IFERROR(__xludf.DUMMYFUNCTION("""COMPUTED_VALUE"""),7.35)</f>
        <v>7.35</v>
      </c>
      <c r="H13302" s="17"/>
      <c r="K13302" s="17"/>
      <c r="N13302" s="17"/>
    </row>
    <row r="13303">
      <c r="B13303" s="11">
        <f>IFERROR(__xludf.DUMMYFUNCTION("""COMPUTED_VALUE"""),27402.0)</f>
        <v>27402</v>
      </c>
      <c r="C13303" s="9">
        <f>IFERROR(__xludf.DUMMYFUNCTION("""COMPUTED_VALUE"""),7.39)</f>
        <v>7.39</v>
      </c>
      <c r="H13303" s="17"/>
      <c r="K13303" s="17"/>
      <c r="N13303" s="17"/>
    </row>
    <row r="13304">
      <c r="B13304" s="11">
        <f>IFERROR(__xludf.DUMMYFUNCTION("""COMPUTED_VALUE"""),27401.0)</f>
        <v>27401</v>
      </c>
      <c r="C13304" s="9">
        <f>IFERROR(__xludf.DUMMYFUNCTION("""COMPUTED_VALUE"""),7.38)</f>
        <v>7.38</v>
      </c>
      <c r="H13304" s="17"/>
      <c r="K13304" s="17"/>
      <c r="N13304" s="17"/>
    </row>
    <row r="13305">
      <c r="B13305" s="11">
        <f>IFERROR(__xludf.DUMMYFUNCTION("""COMPUTED_VALUE"""),27400.0)</f>
        <v>27400</v>
      </c>
      <c r="C13305" s="9">
        <f>IFERROR(__xludf.DUMMYFUNCTION("""COMPUTED_VALUE"""),7.39)</f>
        <v>7.39</v>
      </c>
      <c r="H13305" s="17"/>
      <c r="K13305" s="17"/>
      <c r="N13305" s="17"/>
    </row>
    <row r="13306">
      <c r="B13306" s="11">
        <f>IFERROR(__xludf.DUMMYFUNCTION("""COMPUTED_VALUE"""),27397.0)</f>
        <v>27397</v>
      </c>
      <c r="C13306" s="9">
        <f>IFERROR(__xludf.DUMMYFUNCTION("""COMPUTED_VALUE"""),7.43)</f>
        <v>7.43</v>
      </c>
      <c r="H13306" s="17"/>
      <c r="K13306" s="17"/>
      <c r="N13306" s="17"/>
    </row>
    <row r="13307">
      <c r="B13307" s="11">
        <f>IFERROR(__xludf.DUMMYFUNCTION("""COMPUTED_VALUE"""),27396.0)</f>
        <v>27396</v>
      </c>
      <c r="C13307" s="9">
        <f>IFERROR(__xludf.DUMMYFUNCTION("""COMPUTED_VALUE"""),7.42)</f>
        <v>7.42</v>
      </c>
      <c r="H13307" s="17"/>
      <c r="K13307" s="17"/>
      <c r="N13307" s="17"/>
    </row>
    <row r="13308">
      <c r="B13308" s="11">
        <f>IFERROR(__xludf.DUMMYFUNCTION("""COMPUTED_VALUE"""),27395.0)</f>
        <v>27395</v>
      </c>
      <c r="C13308" s="9"/>
      <c r="H13308" s="17"/>
      <c r="K13308" s="17"/>
      <c r="N13308" s="17"/>
    </row>
    <row r="13309">
      <c r="B13309" s="11">
        <f>IFERROR(__xludf.DUMMYFUNCTION("""COMPUTED_VALUE"""),27394.0)</f>
        <v>27394</v>
      </c>
      <c r="C13309" s="9">
        <f>IFERROR(__xludf.DUMMYFUNCTION("""COMPUTED_VALUE"""),7.4)</f>
        <v>7.4</v>
      </c>
      <c r="H13309" s="17"/>
      <c r="K13309" s="17"/>
      <c r="N13309" s="17"/>
    </row>
    <row r="13310">
      <c r="B13310" s="11">
        <f>IFERROR(__xludf.DUMMYFUNCTION("""COMPUTED_VALUE"""),27393.0)</f>
        <v>27393</v>
      </c>
      <c r="C13310" s="9">
        <f>IFERROR(__xludf.DUMMYFUNCTION("""COMPUTED_VALUE"""),7.39)</f>
        <v>7.39</v>
      </c>
      <c r="H13310" s="17"/>
      <c r="K13310" s="17"/>
      <c r="N13310" s="17"/>
    </row>
    <row r="13311">
      <c r="B13311" s="11">
        <f>IFERROR(__xludf.DUMMYFUNCTION("""COMPUTED_VALUE"""),27390.0)</f>
        <v>27390</v>
      </c>
      <c r="C13311" s="9">
        <f>IFERROR(__xludf.DUMMYFUNCTION("""COMPUTED_VALUE"""),7.39)</f>
        <v>7.39</v>
      </c>
      <c r="H13311" s="17"/>
      <c r="K13311" s="17"/>
      <c r="N13311" s="17"/>
    </row>
    <row r="13312">
      <c r="B13312" s="11">
        <f>IFERROR(__xludf.DUMMYFUNCTION("""COMPUTED_VALUE"""),27389.0)</f>
        <v>27389</v>
      </c>
      <c r="C13312" s="9">
        <f>IFERROR(__xludf.DUMMYFUNCTION("""COMPUTED_VALUE"""),7.37)</f>
        <v>7.37</v>
      </c>
      <c r="H13312" s="17"/>
      <c r="K13312" s="17"/>
      <c r="N13312" s="17"/>
    </row>
    <row r="13313">
      <c r="B13313" s="11">
        <f>IFERROR(__xludf.DUMMYFUNCTION("""COMPUTED_VALUE"""),27388.0)</f>
        <v>27388</v>
      </c>
      <c r="C13313" s="9"/>
      <c r="H13313" s="17"/>
      <c r="K13313" s="17"/>
      <c r="N13313" s="17"/>
    </row>
    <row r="13314">
      <c r="B13314" s="11">
        <f>IFERROR(__xludf.DUMMYFUNCTION("""COMPUTED_VALUE"""),27387.0)</f>
        <v>27387</v>
      </c>
      <c r="C13314" s="9">
        <f>IFERROR(__xludf.DUMMYFUNCTION("""COMPUTED_VALUE"""),7.43)</f>
        <v>7.43</v>
      </c>
      <c r="H13314" s="17"/>
      <c r="K13314" s="17"/>
      <c r="N13314" s="17"/>
    </row>
    <row r="13315">
      <c r="B13315" s="11">
        <f>IFERROR(__xludf.DUMMYFUNCTION("""COMPUTED_VALUE"""),27386.0)</f>
        <v>27386</v>
      </c>
      <c r="C13315" s="9">
        <f>IFERROR(__xludf.DUMMYFUNCTION("""COMPUTED_VALUE"""),7.41)</f>
        <v>7.41</v>
      </c>
      <c r="H13315" s="17"/>
      <c r="K13315" s="17"/>
      <c r="N13315" s="17"/>
    </row>
    <row r="13316">
      <c r="B13316" s="11">
        <f>IFERROR(__xludf.DUMMYFUNCTION("""COMPUTED_VALUE"""),27383.0)</f>
        <v>27383</v>
      </c>
      <c r="C13316" s="9">
        <f>IFERROR(__xludf.DUMMYFUNCTION("""COMPUTED_VALUE"""),7.27)</f>
        <v>7.27</v>
      </c>
      <c r="H13316" s="17"/>
      <c r="K13316" s="17"/>
      <c r="N13316" s="17"/>
    </row>
    <row r="13317">
      <c r="B13317" s="11">
        <f>IFERROR(__xludf.DUMMYFUNCTION("""COMPUTED_VALUE"""),27382.0)</f>
        <v>27382</v>
      </c>
      <c r="C13317" s="9">
        <f>IFERROR(__xludf.DUMMYFUNCTION("""COMPUTED_VALUE"""),7.25)</f>
        <v>7.25</v>
      </c>
      <c r="H13317" s="17"/>
      <c r="K13317" s="17"/>
      <c r="N13317" s="17"/>
    </row>
    <row r="13318">
      <c r="B13318" s="11">
        <f>IFERROR(__xludf.DUMMYFUNCTION("""COMPUTED_VALUE"""),27381.0)</f>
        <v>27381</v>
      </c>
      <c r="C13318" s="9">
        <f>IFERROR(__xludf.DUMMYFUNCTION("""COMPUTED_VALUE"""),7.25)</f>
        <v>7.25</v>
      </c>
      <c r="H13318" s="17"/>
      <c r="K13318" s="17"/>
      <c r="N13318" s="17"/>
    </row>
    <row r="13319">
      <c r="B13319" s="11">
        <f>IFERROR(__xludf.DUMMYFUNCTION("""COMPUTED_VALUE"""),27380.0)</f>
        <v>27380</v>
      </c>
      <c r="C13319" s="9">
        <f>IFERROR(__xludf.DUMMYFUNCTION("""COMPUTED_VALUE"""),7.28)</f>
        <v>7.28</v>
      </c>
      <c r="H13319" s="17"/>
      <c r="K13319" s="17"/>
      <c r="N13319" s="17"/>
    </row>
    <row r="13320">
      <c r="B13320" s="11">
        <f>IFERROR(__xludf.DUMMYFUNCTION("""COMPUTED_VALUE"""),27379.0)</f>
        <v>27379</v>
      </c>
      <c r="C13320" s="9">
        <f>IFERROR(__xludf.DUMMYFUNCTION("""COMPUTED_VALUE"""),7.34)</f>
        <v>7.34</v>
      </c>
      <c r="H13320" s="17"/>
      <c r="K13320" s="17"/>
      <c r="N13320" s="17"/>
    </row>
    <row r="13321">
      <c r="B13321" s="11">
        <f>IFERROR(__xludf.DUMMYFUNCTION("""COMPUTED_VALUE"""),27376.0)</f>
        <v>27376</v>
      </c>
      <c r="C13321" s="9">
        <f>IFERROR(__xludf.DUMMYFUNCTION("""COMPUTED_VALUE"""),7.38)</f>
        <v>7.38</v>
      </c>
      <c r="H13321" s="17"/>
      <c r="K13321" s="17"/>
      <c r="N13321" s="17"/>
    </row>
    <row r="13322">
      <c r="B13322" s="11">
        <f>IFERROR(__xludf.DUMMYFUNCTION("""COMPUTED_VALUE"""),27375.0)</f>
        <v>27375</v>
      </c>
      <c r="C13322" s="9">
        <f>IFERROR(__xludf.DUMMYFUNCTION("""COMPUTED_VALUE"""),7.39)</f>
        <v>7.39</v>
      </c>
      <c r="H13322" s="17"/>
      <c r="K13322" s="17"/>
      <c r="N13322" s="17"/>
    </row>
    <row r="13323">
      <c r="B13323" s="11">
        <f>IFERROR(__xludf.DUMMYFUNCTION("""COMPUTED_VALUE"""),27374.0)</f>
        <v>27374</v>
      </c>
      <c r="C13323" s="9">
        <f>IFERROR(__xludf.DUMMYFUNCTION("""COMPUTED_VALUE"""),7.38)</f>
        <v>7.38</v>
      </c>
      <c r="H13323" s="17"/>
      <c r="K13323" s="17"/>
      <c r="N13323" s="17"/>
    </row>
    <row r="13324">
      <c r="B13324" s="11">
        <f>IFERROR(__xludf.DUMMYFUNCTION("""COMPUTED_VALUE"""),27373.0)</f>
        <v>27373</v>
      </c>
      <c r="C13324" s="9">
        <f>IFERROR(__xludf.DUMMYFUNCTION("""COMPUTED_VALUE"""),7.42)</f>
        <v>7.42</v>
      </c>
      <c r="H13324" s="17"/>
      <c r="K13324" s="17"/>
      <c r="N13324" s="17"/>
    </row>
    <row r="13325">
      <c r="B13325" s="11">
        <f>IFERROR(__xludf.DUMMYFUNCTION("""COMPUTED_VALUE"""),27372.0)</f>
        <v>27372</v>
      </c>
      <c r="C13325" s="9">
        <f>IFERROR(__xludf.DUMMYFUNCTION("""COMPUTED_VALUE"""),7.4)</f>
        <v>7.4</v>
      </c>
      <c r="H13325" s="17"/>
      <c r="K13325" s="17"/>
      <c r="N13325" s="17"/>
    </row>
    <row r="13326">
      <c r="B13326" s="11">
        <f>IFERROR(__xludf.DUMMYFUNCTION("""COMPUTED_VALUE"""),27369.0)</f>
        <v>27369</v>
      </c>
      <c r="C13326" s="9">
        <f>IFERROR(__xludf.DUMMYFUNCTION("""COMPUTED_VALUE"""),7.59)</f>
        <v>7.59</v>
      </c>
      <c r="H13326" s="17"/>
      <c r="K13326" s="17"/>
      <c r="N13326" s="17"/>
    </row>
    <row r="13327">
      <c r="B13327" s="11">
        <f>IFERROR(__xludf.DUMMYFUNCTION("""COMPUTED_VALUE"""),27368.0)</f>
        <v>27368</v>
      </c>
      <c r="C13327" s="9">
        <f>IFERROR(__xludf.DUMMYFUNCTION("""COMPUTED_VALUE"""),7.64)</f>
        <v>7.64</v>
      </c>
      <c r="H13327" s="17"/>
      <c r="K13327" s="17"/>
      <c r="N13327" s="17"/>
    </row>
    <row r="13328">
      <c r="B13328" s="11">
        <f>IFERROR(__xludf.DUMMYFUNCTION("""COMPUTED_VALUE"""),27367.0)</f>
        <v>27367</v>
      </c>
      <c r="C13328" s="9">
        <f>IFERROR(__xludf.DUMMYFUNCTION("""COMPUTED_VALUE"""),7.68)</f>
        <v>7.68</v>
      </c>
      <c r="H13328" s="17"/>
      <c r="K13328" s="17"/>
      <c r="N13328" s="17"/>
    </row>
    <row r="13329">
      <c r="B13329" s="11">
        <f>IFERROR(__xludf.DUMMYFUNCTION("""COMPUTED_VALUE"""),27366.0)</f>
        <v>27366</v>
      </c>
      <c r="C13329" s="9">
        <f>IFERROR(__xludf.DUMMYFUNCTION("""COMPUTED_VALUE"""),7.74)</f>
        <v>7.74</v>
      </c>
      <c r="H13329" s="17"/>
      <c r="K13329" s="17"/>
      <c r="N13329" s="17"/>
    </row>
    <row r="13330">
      <c r="B13330" s="11">
        <f>IFERROR(__xludf.DUMMYFUNCTION("""COMPUTED_VALUE"""),27365.0)</f>
        <v>27365</v>
      </c>
      <c r="C13330" s="9">
        <f>IFERROR(__xludf.DUMMYFUNCTION("""COMPUTED_VALUE"""),7.71)</f>
        <v>7.71</v>
      </c>
      <c r="H13330" s="17"/>
      <c r="K13330" s="17"/>
      <c r="N13330" s="17"/>
    </row>
    <row r="13331">
      <c r="B13331" s="11">
        <f>IFERROR(__xludf.DUMMYFUNCTION("""COMPUTED_VALUE"""),27362.0)</f>
        <v>27362</v>
      </c>
      <c r="C13331" s="9">
        <f>IFERROR(__xludf.DUMMYFUNCTION("""COMPUTED_VALUE"""),7.64)</f>
        <v>7.64</v>
      </c>
      <c r="H13331" s="17"/>
      <c r="K13331" s="17"/>
      <c r="N13331" s="17"/>
    </row>
    <row r="13332">
      <c r="B13332" s="11">
        <f>IFERROR(__xludf.DUMMYFUNCTION("""COMPUTED_VALUE"""),27361.0)</f>
        <v>27361</v>
      </c>
      <c r="C13332" s="9"/>
      <c r="H13332" s="17"/>
      <c r="K13332" s="17"/>
      <c r="N13332" s="17"/>
    </row>
    <row r="13333">
      <c r="B13333" s="11">
        <f>IFERROR(__xludf.DUMMYFUNCTION("""COMPUTED_VALUE"""),27360.0)</f>
        <v>27360</v>
      </c>
      <c r="C13333" s="9">
        <f>IFERROR(__xludf.DUMMYFUNCTION("""COMPUTED_VALUE"""),7.64)</f>
        <v>7.64</v>
      </c>
      <c r="H13333" s="17"/>
      <c r="K13333" s="17"/>
      <c r="N13333" s="17"/>
    </row>
    <row r="13334">
      <c r="B13334" s="11">
        <f>IFERROR(__xludf.DUMMYFUNCTION("""COMPUTED_VALUE"""),27359.0)</f>
        <v>27359</v>
      </c>
      <c r="C13334" s="9">
        <f>IFERROR(__xludf.DUMMYFUNCTION("""COMPUTED_VALUE"""),7.63)</f>
        <v>7.63</v>
      </c>
      <c r="H13334" s="17"/>
      <c r="K13334" s="17"/>
      <c r="N13334" s="17"/>
    </row>
    <row r="13335">
      <c r="B13335" s="11">
        <f>IFERROR(__xludf.DUMMYFUNCTION("""COMPUTED_VALUE"""),27358.0)</f>
        <v>27358</v>
      </c>
      <c r="C13335" s="9">
        <f>IFERROR(__xludf.DUMMYFUNCTION("""COMPUTED_VALUE"""),7.62)</f>
        <v>7.62</v>
      </c>
      <c r="H13335" s="17"/>
      <c r="K13335" s="17"/>
      <c r="N13335" s="17"/>
    </row>
    <row r="13336">
      <c r="B13336" s="11">
        <f>IFERROR(__xludf.DUMMYFUNCTION("""COMPUTED_VALUE"""),27355.0)</f>
        <v>27355</v>
      </c>
      <c r="C13336" s="9">
        <f>IFERROR(__xludf.DUMMYFUNCTION("""COMPUTED_VALUE"""),7.6)</f>
        <v>7.6</v>
      </c>
      <c r="H13336" s="17"/>
      <c r="K13336" s="17"/>
      <c r="N13336" s="17"/>
    </row>
    <row r="13337">
      <c r="B13337" s="11">
        <f>IFERROR(__xludf.DUMMYFUNCTION("""COMPUTED_VALUE"""),27354.0)</f>
        <v>27354</v>
      </c>
      <c r="C13337" s="9">
        <f>IFERROR(__xludf.DUMMYFUNCTION("""COMPUTED_VALUE"""),7.6)</f>
        <v>7.6</v>
      </c>
      <c r="H13337" s="17"/>
      <c r="K13337" s="17"/>
      <c r="N13337" s="17"/>
    </row>
    <row r="13338">
      <c r="B13338" s="11">
        <f>IFERROR(__xludf.DUMMYFUNCTION("""COMPUTED_VALUE"""),27353.0)</f>
        <v>27353</v>
      </c>
      <c r="C13338" s="9">
        <f>IFERROR(__xludf.DUMMYFUNCTION("""COMPUTED_VALUE"""),7.59)</f>
        <v>7.59</v>
      </c>
      <c r="H13338" s="17"/>
      <c r="K13338" s="17"/>
      <c r="N13338" s="17"/>
    </row>
    <row r="13339">
      <c r="B13339" s="11">
        <f>IFERROR(__xludf.DUMMYFUNCTION("""COMPUTED_VALUE"""),27352.0)</f>
        <v>27352</v>
      </c>
      <c r="C13339" s="9">
        <f>IFERROR(__xludf.DUMMYFUNCTION("""COMPUTED_VALUE"""),7.63)</f>
        <v>7.63</v>
      </c>
      <c r="H13339" s="17"/>
      <c r="K13339" s="17"/>
      <c r="N13339" s="17"/>
    </row>
    <row r="13340">
      <c r="B13340" s="11">
        <f>IFERROR(__xludf.DUMMYFUNCTION("""COMPUTED_VALUE"""),27351.0)</f>
        <v>27351</v>
      </c>
      <c r="C13340" s="9">
        <f>IFERROR(__xludf.DUMMYFUNCTION("""COMPUTED_VALUE"""),7.63)</f>
        <v>7.63</v>
      </c>
      <c r="H13340" s="17"/>
      <c r="K13340" s="17"/>
      <c r="N13340" s="17"/>
    </row>
    <row r="13341">
      <c r="B13341" s="11">
        <f>IFERROR(__xludf.DUMMYFUNCTION("""COMPUTED_VALUE"""),27348.0)</f>
        <v>27348</v>
      </c>
      <c r="C13341" s="9">
        <f>IFERROR(__xludf.DUMMYFUNCTION("""COMPUTED_VALUE"""),7.61)</f>
        <v>7.61</v>
      </c>
      <c r="H13341" s="17"/>
      <c r="K13341" s="17"/>
      <c r="N13341" s="17"/>
    </row>
    <row r="13342">
      <c r="B13342" s="11">
        <f>IFERROR(__xludf.DUMMYFUNCTION("""COMPUTED_VALUE"""),27347.0)</f>
        <v>27347</v>
      </c>
      <c r="C13342" s="9">
        <f>IFERROR(__xludf.DUMMYFUNCTION("""COMPUTED_VALUE"""),7.72)</f>
        <v>7.72</v>
      </c>
      <c r="H13342" s="17"/>
      <c r="K13342" s="17"/>
      <c r="N13342" s="17"/>
    </row>
    <row r="13343">
      <c r="B13343" s="11">
        <f>IFERROR(__xludf.DUMMYFUNCTION("""COMPUTED_VALUE"""),27346.0)</f>
        <v>27346</v>
      </c>
      <c r="C13343" s="9">
        <f>IFERROR(__xludf.DUMMYFUNCTION("""COMPUTED_VALUE"""),7.75)</f>
        <v>7.75</v>
      </c>
      <c r="H13343" s="17"/>
      <c r="K13343" s="17"/>
      <c r="N13343" s="17"/>
    </row>
    <row r="13344">
      <c r="B13344" s="11">
        <f>IFERROR(__xludf.DUMMYFUNCTION("""COMPUTED_VALUE"""),27345.0)</f>
        <v>27345</v>
      </c>
      <c r="C13344" s="9">
        <f>IFERROR(__xludf.DUMMYFUNCTION("""COMPUTED_VALUE"""),7.78)</f>
        <v>7.78</v>
      </c>
      <c r="H13344" s="17"/>
      <c r="K13344" s="17"/>
      <c r="N13344" s="17"/>
    </row>
    <row r="13345">
      <c r="B13345" s="11">
        <f>IFERROR(__xludf.DUMMYFUNCTION("""COMPUTED_VALUE"""),27344.0)</f>
        <v>27344</v>
      </c>
      <c r="C13345" s="9"/>
      <c r="H13345" s="17"/>
      <c r="K13345" s="17"/>
      <c r="N13345" s="17"/>
    </row>
    <row r="13346">
      <c r="B13346" s="11">
        <f>IFERROR(__xludf.DUMMYFUNCTION("""COMPUTED_VALUE"""),27341.0)</f>
        <v>27341</v>
      </c>
      <c r="C13346" s="9">
        <f>IFERROR(__xludf.DUMMYFUNCTION("""COMPUTED_VALUE"""),7.72)</f>
        <v>7.72</v>
      </c>
      <c r="H13346" s="17"/>
      <c r="K13346" s="17"/>
      <c r="N13346" s="17"/>
    </row>
    <row r="13347">
      <c r="B13347" s="11">
        <f>IFERROR(__xludf.DUMMYFUNCTION("""COMPUTED_VALUE"""),27340.0)</f>
        <v>27340</v>
      </c>
      <c r="C13347" s="9">
        <f>IFERROR(__xludf.DUMMYFUNCTION("""COMPUTED_VALUE"""),7.74)</f>
        <v>7.74</v>
      </c>
      <c r="H13347" s="17"/>
      <c r="K13347" s="17"/>
      <c r="N13347" s="17"/>
    </row>
    <row r="13348">
      <c r="B13348" s="11">
        <f>IFERROR(__xludf.DUMMYFUNCTION("""COMPUTED_VALUE"""),27339.0)</f>
        <v>27339</v>
      </c>
      <c r="C13348" s="9">
        <f>IFERROR(__xludf.DUMMYFUNCTION("""COMPUTED_VALUE"""),7.76)</f>
        <v>7.76</v>
      </c>
      <c r="H13348" s="17"/>
      <c r="K13348" s="17"/>
      <c r="N13348" s="17"/>
    </row>
    <row r="13349">
      <c r="B13349" s="11">
        <f>IFERROR(__xludf.DUMMYFUNCTION("""COMPUTED_VALUE"""),27338.0)</f>
        <v>27338</v>
      </c>
      <c r="C13349" s="9"/>
      <c r="H13349" s="17"/>
      <c r="K13349" s="17"/>
      <c r="N13349" s="17"/>
    </row>
    <row r="13350">
      <c r="B13350" s="11">
        <f>IFERROR(__xludf.DUMMYFUNCTION("""COMPUTED_VALUE"""),27337.0)</f>
        <v>27337</v>
      </c>
      <c r="C13350" s="9">
        <f>IFERROR(__xludf.DUMMYFUNCTION("""COMPUTED_VALUE"""),7.8)</f>
        <v>7.8</v>
      </c>
      <c r="H13350" s="17"/>
      <c r="K13350" s="17"/>
      <c r="N13350" s="17"/>
    </row>
    <row r="13351">
      <c r="B13351" s="11">
        <f>IFERROR(__xludf.DUMMYFUNCTION("""COMPUTED_VALUE"""),27334.0)</f>
        <v>27334</v>
      </c>
      <c r="C13351" s="9">
        <f>IFERROR(__xludf.DUMMYFUNCTION("""COMPUTED_VALUE"""),7.8)</f>
        <v>7.8</v>
      </c>
      <c r="H13351" s="17"/>
      <c r="K13351" s="17"/>
      <c r="N13351" s="17"/>
    </row>
    <row r="13352">
      <c r="B13352" s="11">
        <f>IFERROR(__xludf.DUMMYFUNCTION("""COMPUTED_VALUE"""),27333.0)</f>
        <v>27333</v>
      </c>
      <c r="C13352" s="9">
        <f>IFERROR(__xludf.DUMMYFUNCTION("""COMPUTED_VALUE"""),7.79)</f>
        <v>7.79</v>
      </c>
      <c r="H13352" s="17"/>
      <c r="K13352" s="17"/>
      <c r="N13352" s="17"/>
    </row>
    <row r="13353">
      <c r="B13353" s="11">
        <f>IFERROR(__xludf.DUMMYFUNCTION("""COMPUTED_VALUE"""),27332.0)</f>
        <v>27332</v>
      </c>
      <c r="C13353" s="9">
        <f>IFERROR(__xludf.DUMMYFUNCTION("""COMPUTED_VALUE"""),7.81)</f>
        <v>7.81</v>
      </c>
      <c r="H13353" s="17"/>
      <c r="K13353" s="17"/>
      <c r="N13353" s="17"/>
    </row>
    <row r="13354">
      <c r="B13354" s="11">
        <f>IFERROR(__xludf.DUMMYFUNCTION("""COMPUTED_VALUE"""),27331.0)</f>
        <v>27331</v>
      </c>
      <c r="C13354" s="9">
        <f>IFERROR(__xludf.DUMMYFUNCTION("""COMPUTED_VALUE"""),7.84)</f>
        <v>7.84</v>
      </c>
      <c r="H13354" s="17"/>
      <c r="K13354" s="17"/>
      <c r="N13354" s="17"/>
    </row>
    <row r="13355">
      <c r="B13355" s="11">
        <f>IFERROR(__xludf.DUMMYFUNCTION("""COMPUTED_VALUE"""),27330.0)</f>
        <v>27330</v>
      </c>
      <c r="C13355" s="9">
        <f>IFERROR(__xludf.DUMMYFUNCTION("""COMPUTED_VALUE"""),7.88)</f>
        <v>7.88</v>
      </c>
      <c r="H13355" s="17"/>
      <c r="K13355" s="17"/>
      <c r="N13355" s="17"/>
    </row>
    <row r="13356">
      <c r="B13356" s="11">
        <f>IFERROR(__xludf.DUMMYFUNCTION("""COMPUTED_VALUE"""),27327.0)</f>
        <v>27327</v>
      </c>
      <c r="C13356" s="9">
        <f>IFERROR(__xludf.DUMMYFUNCTION("""COMPUTED_VALUE"""),7.86)</f>
        <v>7.86</v>
      </c>
      <c r="H13356" s="17"/>
      <c r="K13356" s="17"/>
      <c r="N13356" s="17"/>
    </row>
    <row r="13357">
      <c r="B13357" s="11">
        <f>IFERROR(__xludf.DUMMYFUNCTION("""COMPUTED_VALUE"""),27326.0)</f>
        <v>27326</v>
      </c>
      <c r="C13357" s="9">
        <f>IFERROR(__xludf.DUMMYFUNCTION("""COMPUTED_VALUE"""),7.87)</f>
        <v>7.87</v>
      </c>
      <c r="H13357" s="17"/>
      <c r="K13357" s="17"/>
      <c r="N13357" s="17"/>
    </row>
    <row r="13358">
      <c r="B13358" s="11">
        <f>IFERROR(__xludf.DUMMYFUNCTION("""COMPUTED_VALUE"""),27325.0)</f>
        <v>27325</v>
      </c>
      <c r="C13358" s="9">
        <f>IFERROR(__xludf.DUMMYFUNCTION("""COMPUTED_VALUE"""),7.85)</f>
        <v>7.85</v>
      </c>
      <c r="H13358" s="17"/>
      <c r="K13358" s="17"/>
      <c r="N13358" s="17"/>
    </row>
    <row r="13359">
      <c r="B13359" s="11">
        <f>IFERROR(__xludf.DUMMYFUNCTION("""COMPUTED_VALUE"""),27324.0)</f>
        <v>27324</v>
      </c>
      <c r="C13359" s="9">
        <f>IFERROR(__xludf.DUMMYFUNCTION("""COMPUTED_VALUE"""),7.81)</f>
        <v>7.81</v>
      </c>
      <c r="H13359" s="17"/>
      <c r="K13359" s="17"/>
      <c r="N13359" s="17"/>
    </row>
    <row r="13360">
      <c r="B13360" s="11">
        <f>IFERROR(__xludf.DUMMYFUNCTION("""COMPUTED_VALUE"""),27323.0)</f>
        <v>27323</v>
      </c>
      <c r="C13360" s="9">
        <f>IFERROR(__xludf.DUMMYFUNCTION("""COMPUTED_VALUE"""),7.81)</f>
        <v>7.81</v>
      </c>
      <c r="H13360" s="17"/>
      <c r="K13360" s="17"/>
      <c r="N13360" s="17"/>
    </row>
    <row r="13361">
      <c r="B13361" s="11">
        <f>IFERROR(__xludf.DUMMYFUNCTION("""COMPUTED_VALUE"""),27320.0)</f>
        <v>27320</v>
      </c>
      <c r="C13361" s="9">
        <f>IFERROR(__xludf.DUMMYFUNCTION("""COMPUTED_VALUE"""),7.86)</f>
        <v>7.86</v>
      </c>
      <c r="H13361" s="17"/>
      <c r="K13361" s="17"/>
      <c r="N13361" s="17"/>
    </row>
    <row r="13362">
      <c r="B13362" s="11">
        <f>IFERROR(__xludf.DUMMYFUNCTION("""COMPUTED_VALUE"""),27319.0)</f>
        <v>27319</v>
      </c>
      <c r="C13362" s="9">
        <f>IFERROR(__xludf.DUMMYFUNCTION("""COMPUTED_VALUE"""),7.88)</f>
        <v>7.88</v>
      </c>
      <c r="H13362" s="17"/>
      <c r="K13362" s="17"/>
      <c r="N13362" s="17"/>
    </row>
    <row r="13363">
      <c r="B13363" s="11">
        <f>IFERROR(__xludf.DUMMYFUNCTION("""COMPUTED_VALUE"""),27318.0)</f>
        <v>27318</v>
      </c>
      <c r="C13363" s="9">
        <f>IFERROR(__xludf.DUMMYFUNCTION("""COMPUTED_VALUE"""),7.87)</f>
        <v>7.87</v>
      </c>
      <c r="H13363" s="17"/>
      <c r="K13363" s="17"/>
      <c r="N13363" s="17"/>
    </row>
    <row r="13364">
      <c r="B13364" s="11">
        <f>IFERROR(__xludf.DUMMYFUNCTION("""COMPUTED_VALUE"""),27317.0)</f>
        <v>27317</v>
      </c>
      <c r="C13364" s="9">
        <f>IFERROR(__xludf.DUMMYFUNCTION("""COMPUTED_VALUE"""),7.87)</f>
        <v>7.87</v>
      </c>
      <c r="H13364" s="17"/>
      <c r="K13364" s="17"/>
      <c r="N13364" s="17"/>
    </row>
    <row r="13365">
      <c r="B13365" s="11">
        <f>IFERROR(__xludf.DUMMYFUNCTION("""COMPUTED_VALUE"""),27316.0)</f>
        <v>27316</v>
      </c>
      <c r="C13365" s="9"/>
      <c r="H13365" s="17"/>
      <c r="K13365" s="17"/>
      <c r="N13365" s="17"/>
    </row>
    <row r="13366">
      <c r="B13366" s="11">
        <f>IFERROR(__xludf.DUMMYFUNCTION("""COMPUTED_VALUE"""),27313.0)</f>
        <v>27313</v>
      </c>
      <c r="C13366" s="9">
        <f>IFERROR(__xludf.DUMMYFUNCTION("""COMPUTED_VALUE"""),7.88)</f>
        <v>7.88</v>
      </c>
      <c r="H13366" s="17"/>
      <c r="K13366" s="17"/>
      <c r="N13366" s="17"/>
    </row>
    <row r="13367">
      <c r="B13367" s="11">
        <f>IFERROR(__xludf.DUMMYFUNCTION("""COMPUTED_VALUE"""),27312.0)</f>
        <v>27312</v>
      </c>
      <c r="C13367" s="9">
        <f>IFERROR(__xludf.DUMMYFUNCTION("""COMPUTED_VALUE"""),7.93)</f>
        <v>7.93</v>
      </c>
      <c r="H13367" s="17"/>
      <c r="K13367" s="17"/>
      <c r="N13367" s="17"/>
    </row>
    <row r="13368">
      <c r="B13368" s="11">
        <f>IFERROR(__xludf.DUMMYFUNCTION("""COMPUTED_VALUE"""),27311.0)</f>
        <v>27311</v>
      </c>
      <c r="C13368" s="9">
        <f>IFERROR(__xludf.DUMMYFUNCTION("""COMPUTED_VALUE"""),7.95)</f>
        <v>7.95</v>
      </c>
      <c r="H13368" s="17"/>
      <c r="K13368" s="17"/>
      <c r="N13368" s="17"/>
    </row>
    <row r="13369">
      <c r="B13369" s="11">
        <f>IFERROR(__xludf.DUMMYFUNCTION("""COMPUTED_VALUE"""),27310.0)</f>
        <v>27310</v>
      </c>
      <c r="C13369" s="9">
        <f>IFERROR(__xludf.DUMMYFUNCTION("""COMPUTED_VALUE"""),7.95)</f>
        <v>7.95</v>
      </c>
      <c r="H13369" s="17"/>
      <c r="K13369" s="17"/>
      <c r="N13369" s="17"/>
    </row>
    <row r="13370">
      <c r="B13370" s="11">
        <f>IFERROR(__xludf.DUMMYFUNCTION("""COMPUTED_VALUE"""),27309.0)</f>
        <v>27309</v>
      </c>
      <c r="C13370" s="9">
        <f>IFERROR(__xludf.DUMMYFUNCTION("""COMPUTED_VALUE"""),8.01)</f>
        <v>8.01</v>
      </c>
      <c r="H13370" s="17"/>
      <c r="K13370" s="17"/>
      <c r="N13370" s="17"/>
    </row>
    <row r="13371">
      <c r="B13371" s="11">
        <f>IFERROR(__xludf.DUMMYFUNCTION("""COMPUTED_VALUE"""),27306.0)</f>
        <v>27306</v>
      </c>
      <c r="C13371" s="9">
        <f>IFERROR(__xludf.DUMMYFUNCTION("""COMPUTED_VALUE"""),8.02)</f>
        <v>8.02</v>
      </c>
      <c r="H13371" s="17"/>
      <c r="K13371" s="17"/>
      <c r="N13371" s="17"/>
    </row>
    <row r="13372">
      <c r="B13372" s="11">
        <f>IFERROR(__xludf.DUMMYFUNCTION("""COMPUTED_VALUE"""),27305.0)</f>
        <v>27305</v>
      </c>
      <c r="C13372" s="9">
        <f>IFERROR(__xludf.DUMMYFUNCTION("""COMPUTED_VALUE"""),8.04)</f>
        <v>8.04</v>
      </c>
      <c r="H13372" s="17"/>
      <c r="K13372" s="17"/>
      <c r="N13372" s="17"/>
    </row>
    <row r="13373">
      <c r="B13373" s="11">
        <f>IFERROR(__xludf.DUMMYFUNCTION("""COMPUTED_VALUE"""),27304.0)</f>
        <v>27304</v>
      </c>
      <c r="C13373" s="9">
        <f>IFERROR(__xludf.DUMMYFUNCTION("""COMPUTED_VALUE"""),7.98)</f>
        <v>7.98</v>
      </c>
      <c r="H13373" s="17"/>
      <c r="K13373" s="17"/>
      <c r="N13373" s="17"/>
    </row>
    <row r="13374">
      <c r="B13374" s="11">
        <f>IFERROR(__xludf.DUMMYFUNCTION("""COMPUTED_VALUE"""),27303.0)</f>
        <v>27303</v>
      </c>
      <c r="C13374" s="9">
        <f>IFERROR(__xludf.DUMMYFUNCTION("""COMPUTED_VALUE"""),7.97)</f>
        <v>7.97</v>
      </c>
      <c r="H13374" s="17"/>
      <c r="K13374" s="17"/>
      <c r="N13374" s="17"/>
    </row>
    <row r="13375">
      <c r="B13375" s="11">
        <f>IFERROR(__xludf.DUMMYFUNCTION("""COMPUTED_VALUE"""),27302.0)</f>
        <v>27302</v>
      </c>
      <c r="C13375" s="9">
        <f>IFERROR(__xludf.DUMMYFUNCTION("""COMPUTED_VALUE"""),7.94)</f>
        <v>7.94</v>
      </c>
      <c r="H13375" s="17"/>
      <c r="K13375" s="17"/>
      <c r="N13375" s="17"/>
    </row>
    <row r="13376">
      <c r="B13376" s="11">
        <f>IFERROR(__xludf.DUMMYFUNCTION("""COMPUTED_VALUE"""),27299.0)</f>
        <v>27299</v>
      </c>
      <c r="C13376" s="9">
        <f>IFERROR(__xludf.DUMMYFUNCTION("""COMPUTED_VALUE"""),7.94)</f>
        <v>7.94</v>
      </c>
      <c r="H13376" s="17"/>
      <c r="K13376" s="17"/>
      <c r="N13376" s="17"/>
    </row>
    <row r="13377">
      <c r="B13377" s="11">
        <f>IFERROR(__xludf.DUMMYFUNCTION("""COMPUTED_VALUE"""),27298.0)</f>
        <v>27298</v>
      </c>
      <c r="C13377" s="9">
        <f>IFERROR(__xludf.DUMMYFUNCTION("""COMPUTED_VALUE"""),7.96)</f>
        <v>7.96</v>
      </c>
      <c r="H13377" s="17"/>
      <c r="K13377" s="17"/>
      <c r="N13377" s="17"/>
    </row>
    <row r="13378">
      <c r="B13378" s="11">
        <f>IFERROR(__xludf.DUMMYFUNCTION("""COMPUTED_VALUE"""),27297.0)</f>
        <v>27297</v>
      </c>
      <c r="C13378" s="9">
        <f>IFERROR(__xludf.DUMMYFUNCTION("""COMPUTED_VALUE"""),7.94)</f>
        <v>7.94</v>
      </c>
      <c r="H13378" s="17"/>
      <c r="K13378" s="17"/>
      <c r="N13378" s="17"/>
    </row>
    <row r="13379">
      <c r="B13379" s="11">
        <f>IFERROR(__xludf.DUMMYFUNCTION("""COMPUTED_VALUE"""),27296.0)</f>
        <v>27296</v>
      </c>
      <c r="C13379" s="9">
        <f>IFERROR(__xludf.DUMMYFUNCTION("""COMPUTED_VALUE"""),7.94)</f>
        <v>7.94</v>
      </c>
      <c r="H13379" s="17"/>
      <c r="K13379" s="17"/>
      <c r="N13379" s="17"/>
    </row>
    <row r="13380">
      <c r="B13380" s="11">
        <f>IFERROR(__xludf.DUMMYFUNCTION("""COMPUTED_VALUE"""),27295.0)</f>
        <v>27295</v>
      </c>
      <c r="C13380" s="9">
        <f>IFERROR(__xludf.DUMMYFUNCTION("""COMPUTED_VALUE"""),7.91)</f>
        <v>7.91</v>
      </c>
      <c r="H13380" s="17"/>
      <c r="K13380" s="17"/>
      <c r="N13380" s="17"/>
    </row>
    <row r="13381">
      <c r="B13381" s="11">
        <f>IFERROR(__xludf.DUMMYFUNCTION("""COMPUTED_VALUE"""),27292.0)</f>
        <v>27292</v>
      </c>
      <c r="C13381" s="9">
        <f>IFERROR(__xludf.DUMMYFUNCTION("""COMPUTED_VALUE"""),8.02)</f>
        <v>8.02</v>
      </c>
      <c r="H13381" s="17"/>
      <c r="K13381" s="17"/>
      <c r="N13381" s="17"/>
    </row>
    <row r="13382">
      <c r="B13382" s="11">
        <f>IFERROR(__xludf.DUMMYFUNCTION("""COMPUTED_VALUE"""),27291.0)</f>
        <v>27291</v>
      </c>
      <c r="C13382" s="9">
        <f>IFERROR(__xludf.DUMMYFUNCTION("""COMPUTED_VALUE"""),8.04)</f>
        <v>8.04</v>
      </c>
      <c r="H13382" s="17"/>
      <c r="K13382" s="17"/>
      <c r="N13382" s="17"/>
    </row>
    <row r="13383">
      <c r="B13383" s="11">
        <f>IFERROR(__xludf.DUMMYFUNCTION("""COMPUTED_VALUE"""),27290.0)</f>
        <v>27290</v>
      </c>
      <c r="C13383" s="9">
        <f>IFERROR(__xludf.DUMMYFUNCTION("""COMPUTED_VALUE"""),8.08)</f>
        <v>8.08</v>
      </c>
      <c r="H13383" s="17"/>
      <c r="K13383" s="17"/>
      <c r="N13383" s="17"/>
    </row>
    <row r="13384">
      <c r="B13384" s="11">
        <f>IFERROR(__xludf.DUMMYFUNCTION("""COMPUTED_VALUE"""),27289.0)</f>
        <v>27289</v>
      </c>
      <c r="C13384" s="9">
        <f>IFERROR(__xludf.DUMMYFUNCTION("""COMPUTED_VALUE"""),8.09)</f>
        <v>8.09</v>
      </c>
      <c r="H13384" s="17"/>
      <c r="K13384" s="17"/>
      <c r="N13384" s="17"/>
    </row>
    <row r="13385">
      <c r="B13385" s="11">
        <f>IFERROR(__xludf.DUMMYFUNCTION("""COMPUTED_VALUE"""),27288.0)</f>
        <v>27288</v>
      </c>
      <c r="C13385" s="9">
        <f>IFERROR(__xludf.DUMMYFUNCTION("""COMPUTED_VALUE"""),8.1)</f>
        <v>8.1</v>
      </c>
      <c r="H13385" s="17"/>
      <c r="K13385" s="17"/>
      <c r="N13385" s="17"/>
    </row>
    <row r="13386">
      <c r="B13386" s="11">
        <f>IFERROR(__xludf.DUMMYFUNCTION("""COMPUTED_VALUE"""),27285.0)</f>
        <v>27285</v>
      </c>
      <c r="C13386" s="9">
        <f>IFERROR(__xludf.DUMMYFUNCTION("""COMPUTED_VALUE"""),8.13)</f>
        <v>8.13</v>
      </c>
      <c r="H13386" s="17"/>
      <c r="K13386" s="17"/>
      <c r="N13386" s="17"/>
    </row>
    <row r="13387">
      <c r="B13387" s="11">
        <f>IFERROR(__xludf.DUMMYFUNCTION("""COMPUTED_VALUE"""),27284.0)</f>
        <v>27284</v>
      </c>
      <c r="C13387" s="9">
        <f>IFERROR(__xludf.DUMMYFUNCTION("""COMPUTED_VALUE"""),8.13)</f>
        <v>8.13</v>
      </c>
      <c r="H13387" s="17"/>
      <c r="K13387" s="17"/>
      <c r="N13387" s="17"/>
    </row>
    <row r="13388">
      <c r="B13388" s="11">
        <f>IFERROR(__xludf.DUMMYFUNCTION("""COMPUTED_VALUE"""),27283.0)</f>
        <v>27283</v>
      </c>
      <c r="C13388" s="9">
        <f>IFERROR(__xludf.DUMMYFUNCTION("""COMPUTED_VALUE"""),8.05)</f>
        <v>8.05</v>
      </c>
      <c r="H13388" s="17"/>
      <c r="K13388" s="17"/>
      <c r="N13388" s="17"/>
    </row>
    <row r="13389">
      <c r="B13389" s="11">
        <f>IFERROR(__xludf.DUMMYFUNCTION("""COMPUTED_VALUE"""),27282.0)</f>
        <v>27282</v>
      </c>
      <c r="C13389" s="9">
        <f>IFERROR(__xludf.DUMMYFUNCTION("""COMPUTED_VALUE"""),8.04)</f>
        <v>8.04</v>
      </c>
      <c r="H13389" s="17"/>
      <c r="K13389" s="17"/>
      <c r="N13389" s="17"/>
    </row>
    <row r="13390">
      <c r="B13390" s="11">
        <f>IFERROR(__xludf.DUMMYFUNCTION("""COMPUTED_VALUE"""),27281.0)</f>
        <v>27281</v>
      </c>
      <c r="C13390" s="9">
        <f>IFERROR(__xludf.DUMMYFUNCTION("""COMPUTED_VALUE"""),8.02)</f>
        <v>8.02</v>
      </c>
      <c r="H13390" s="17"/>
      <c r="K13390" s="17"/>
      <c r="N13390" s="17"/>
    </row>
    <row r="13391">
      <c r="B13391" s="11">
        <f>IFERROR(__xludf.DUMMYFUNCTION("""COMPUTED_VALUE"""),27278.0)</f>
        <v>27278</v>
      </c>
      <c r="C13391" s="9">
        <f>IFERROR(__xludf.DUMMYFUNCTION("""COMPUTED_VALUE"""),8.09)</f>
        <v>8.09</v>
      </c>
      <c r="H13391" s="17"/>
      <c r="K13391" s="17"/>
      <c r="N13391" s="17"/>
    </row>
    <row r="13392">
      <c r="B13392" s="11">
        <f>IFERROR(__xludf.DUMMYFUNCTION("""COMPUTED_VALUE"""),27277.0)</f>
        <v>27277</v>
      </c>
      <c r="C13392" s="9">
        <f>IFERROR(__xludf.DUMMYFUNCTION("""COMPUTED_VALUE"""),8.1)</f>
        <v>8.1</v>
      </c>
      <c r="H13392" s="17"/>
      <c r="K13392" s="17"/>
      <c r="N13392" s="17"/>
    </row>
    <row r="13393">
      <c r="B13393" s="11">
        <f>IFERROR(__xludf.DUMMYFUNCTION("""COMPUTED_VALUE"""),27276.0)</f>
        <v>27276</v>
      </c>
      <c r="C13393" s="9">
        <f>IFERROR(__xludf.DUMMYFUNCTION("""COMPUTED_VALUE"""),8.12)</f>
        <v>8.12</v>
      </c>
      <c r="H13393" s="17"/>
      <c r="K13393" s="17"/>
      <c r="N13393" s="17"/>
    </row>
    <row r="13394">
      <c r="B13394" s="11">
        <f>IFERROR(__xludf.DUMMYFUNCTION("""COMPUTED_VALUE"""),27275.0)</f>
        <v>27275</v>
      </c>
      <c r="C13394" s="9">
        <f>IFERROR(__xludf.DUMMYFUNCTION("""COMPUTED_VALUE"""),8.11)</f>
        <v>8.11</v>
      </c>
      <c r="H13394" s="17"/>
      <c r="K13394" s="17"/>
      <c r="N13394" s="17"/>
    </row>
    <row r="13395">
      <c r="B13395" s="11">
        <f>IFERROR(__xludf.DUMMYFUNCTION("""COMPUTED_VALUE"""),27274.0)</f>
        <v>27274</v>
      </c>
      <c r="C13395" s="9"/>
      <c r="H13395" s="17"/>
      <c r="K13395" s="17"/>
      <c r="N13395" s="17"/>
    </row>
    <row r="13396">
      <c r="B13396" s="11">
        <f>IFERROR(__xludf.DUMMYFUNCTION("""COMPUTED_VALUE"""),27271.0)</f>
        <v>27271</v>
      </c>
      <c r="C13396" s="9">
        <f>IFERROR(__xludf.DUMMYFUNCTION("""COMPUTED_VALUE"""),8.11)</f>
        <v>8.11</v>
      </c>
      <c r="H13396" s="17"/>
      <c r="K13396" s="17"/>
      <c r="N13396" s="17"/>
    </row>
    <row r="13397">
      <c r="B13397" s="11">
        <f>IFERROR(__xludf.DUMMYFUNCTION("""COMPUTED_VALUE"""),27270.0)</f>
        <v>27270</v>
      </c>
      <c r="C13397" s="9">
        <f>IFERROR(__xludf.DUMMYFUNCTION("""COMPUTED_VALUE"""),8.15)</f>
        <v>8.15</v>
      </c>
      <c r="H13397" s="17"/>
      <c r="K13397" s="17"/>
      <c r="N13397" s="17"/>
    </row>
    <row r="13398">
      <c r="B13398" s="11">
        <f>IFERROR(__xludf.DUMMYFUNCTION("""COMPUTED_VALUE"""),27269.0)</f>
        <v>27269</v>
      </c>
      <c r="C13398" s="9">
        <f>IFERROR(__xludf.DUMMYFUNCTION("""COMPUTED_VALUE"""),8.15)</f>
        <v>8.15</v>
      </c>
      <c r="H13398" s="17"/>
      <c r="K13398" s="17"/>
      <c r="N13398" s="17"/>
    </row>
    <row r="13399">
      <c r="B13399" s="11">
        <f>IFERROR(__xludf.DUMMYFUNCTION("""COMPUTED_VALUE"""),27268.0)</f>
        <v>27268</v>
      </c>
      <c r="C13399" s="9">
        <f>IFERROR(__xludf.DUMMYFUNCTION("""COMPUTED_VALUE"""),8.15)</f>
        <v>8.15</v>
      </c>
      <c r="H13399" s="17"/>
      <c r="K13399" s="17"/>
      <c r="N13399" s="17"/>
    </row>
    <row r="13400">
      <c r="B13400" s="11">
        <f>IFERROR(__xludf.DUMMYFUNCTION("""COMPUTED_VALUE"""),27267.0)</f>
        <v>27267</v>
      </c>
      <c r="C13400" s="9">
        <f>IFERROR(__xludf.DUMMYFUNCTION("""COMPUTED_VALUE"""),8.16)</f>
        <v>8.16</v>
      </c>
      <c r="H13400" s="17"/>
      <c r="K13400" s="17"/>
      <c r="N13400" s="17"/>
    </row>
    <row r="13401">
      <c r="B13401" s="11">
        <f>IFERROR(__xludf.DUMMYFUNCTION("""COMPUTED_VALUE"""),27264.0)</f>
        <v>27264</v>
      </c>
      <c r="C13401" s="9">
        <f>IFERROR(__xludf.DUMMYFUNCTION("""COMPUTED_VALUE"""),8.15)</f>
        <v>8.15</v>
      </c>
      <c r="H13401" s="17"/>
      <c r="K13401" s="17"/>
      <c r="N13401" s="17"/>
    </row>
    <row r="13402">
      <c r="B13402" s="11">
        <f>IFERROR(__xludf.DUMMYFUNCTION("""COMPUTED_VALUE"""),27263.0)</f>
        <v>27263</v>
      </c>
      <c r="C13402" s="9">
        <f>IFERROR(__xludf.DUMMYFUNCTION("""COMPUTED_VALUE"""),8.09)</f>
        <v>8.09</v>
      </c>
      <c r="H13402" s="17"/>
      <c r="K13402" s="17"/>
      <c r="N13402" s="17"/>
    </row>
    <row r="13403">
      <c r="B13403" s="11">
        <f>IFERROR(__xludf.DUMMYFUNCTION("""COMPUTED_VALUE"""),27262.0)</f>
        <v>27262</v>
      </c>
      <c r="C13403" s="9">
        <f>IFERROR(__xludf.DUMMYFUNCTION("""COMPUTED_VALUE"""),8.05)</f>
        <v>8.05</v>
      </c>
      <c r="H13403" s="17"/>
      <c r="K13403" s="17"/>
      <c r="N13403" s="17"/>
    </row>
    <row r="13404">
      <c r="B13404" s="11">
        <f>IFERROR(__xludf.DUMMYFUNCTION("""COMPUTED_VALUE"""),27261.0)</f>
        <v>27261</v>
      </c>
      <c r="C13404" s="9">
        <f>IFERROR(__xludf.DUMMYFUNCTION("""COMPUTED_VALUE"""),7.99)</f>
        <v>7.99</v>
      </c>
      <c r="H13404" s="17"/>
      <c r="K13404" s="17"/>
      <c r="N13404" s="17"/>
    </row>
    <row r="13405">
      <c r="B13405" s="11">
        <f>IFERROR(__xludf.DUMMYFUNCTION("""COMPUTED_VALUE"""),27260.0)</f>
        <v>27260</v>
      </c>
      <c r="C13405" s="9">
        <f>IFERROR(__xludf.DUMMYFUNCTION("""COMPUTED_VALUE"""),7.98)</f>
        <v>7.98</v>
      </c>
      <c r="H13405" s="17"/>
      <c r="K13405" s="17"/>
      <c r="N13405" s="17"/>
    </row>
    <row r="13406">
      <c r="B13406" s="11">
        <f>IFERROR(__xludf.DUMMYFUNCTION("""COMPUTED_VALUE"""),27257.0)</f>
        <v>27257</v>
      </c>
      <c r="C13406" s="9">
        <f>IFERROR(__xludf.DUMMYFUNCTION("""COMPUTED_VALUE"""),8.0)</f>
        <v>8</v>
      </c>
      <c r="H13406" s="17"/>
      <c r="K13406" s="17"/>
      <c r="N13406" s="17"/>
    </row>
    <row r="13407">
      <c r="B13407" s="11">
        <f>IFERROR(__xludf.DUMMYFUNCTION("""COMPUTED_VALUE"""),27256.0)</f>
        <v>27256</v>
      </c>
      <c r="C13407" s="9">
        <f>IFERROR(__xludf.DUMMYFUNCTION("""COMPUTED_VALUE"""),8.02)</f>
        <v>8.02</v>
      </c>
      <c r="H13407" s="17"/>
      <c r="K13407" s="17"/>
      <c r="N13407" s="17"/>
    </row>
    <row r="13408">
      <c r="B13408" s="11">
        <f>IFERROR(__xludf.DUMMYFUNCTION("""COMPUTED_VALUE"""),27255.0)</f>
        <v>27255</v>
      </c>
      <c r="C13408" s="9">
        <f>IFERROR(__xludf.DUMMYFUNCTION("""COMPUTED_VALUE"""),8.05)</f>
        <v>8.05</v>
      </c>
      <c r="H13408" s="17"/>
      <c r="K13408" s="17"/>
      <c r="N13408" s="17"/>
    </row>
    <row r="13409">
      <c r="B13409" s="11">
        <f>IFERROR(__xludf.DUMMYFUNCTION("""COMPUTED_VALUE"""),27254.0)</f>
        <v>27254</v>
      </c>
      <c r="C13409" s="9">
        <f>IFERROR(__xludf.DUMMYFUNCTION("""COMPUTED_VALUE"""),8.06)</f>
        <v>8.06</v>
      </c>
      <c r="H13409" s="17"/>
      <c r="K13409" s="17"/>
      <c r="N13409" s="17"/>
    </row>
    <row r="13410">
      <c r="B13410" s="11">
        <f>IFERROR(__xludf.DUMMYFUNCTION("""COMPUTED_VALUE"""),27253.0)</f>
        <v>27253</v>
      </c>
      <c r="C13410" s="9">
        <f>IFERROR(__xludf.DUMMYFUNCTION("""COMPUTED_VALUE"""),8.05)</f>
        <v>8.05</v>
      </c>
      <c r="H13410" s="17"/>
      <c r="K13410" s="17"/>
      <c r="N13410" s="17"/>
    </row>
    <row r="13411">
      <c r="B13411" s="11">
        <f>IFERROR(__xludf.DUMMYFUNCTION("""COMPUTED_VALUE"""),27250.0)</f>
        <v>27250</v>
      </c>
      <c r="C13411" s="9">
        <f>IFERROR(__xludf.DUMMYFUNCTION("""COMPUTED_VALUE"""),8.03)</f>
        <v>8.03</v>
      </c>
      <c r="H13411" s="17"/>
      <c r="K13411" s="17"/>
      <c r="N13411" s="17"/>
    </row>
    <row r="13412">
      <c r="B13412" s="11">
        <f>IFERROR(__xludf.DUMMYFUNCTION("""COMPUTED_VALUE"""),27249.0)</f>
        <v>27249</v>
      </c>
      <c r="C13412" s="9">
        <f>IFERROR(__xludf.DUMMYFUNCTION("""COMPUTED_VALUE"""),7.97)</f>
        <v>7.97</v>
      </c>
      <c r="H13412" s="17"/>
      <c r="K13412" s="17"/>
      <c r="N13412" s="17"/>
    </row>
    <row r="13413">
      <c r="B13413" s="11">
        <f>IFERROR(__xludf.DUMMYFUNCTION("""COMPUTED_VALUE"""),27248.0)</f>
        <v>27248</v>
      </c>
      <c r="C13413" s="9">
        <f>IFERROR(__xludf.DUMMYFUNCTION("""COMPUTED_VALUE"""),7.97)</f>
        <v>7.97</v>
      </c>
      <c r="H13413" s="17"/>
      <c r="K13413" s="17"/>
      <c r="N13413" s="17"/>
    </row>
    <row r="13414">
      <c r="B13414" s="11">
        <f>IFERROR(__xludf.DUMMYFUNCTION("""COMPUTED_VALUE"""),27247.0)</f>
        <v>27247</v>
      </c>
      <c r="C13414" s="9">
        <f>IFERROR(__xludf.DUMMYFUNCTION("""COMPUTED_VALUE"""),7.97)</f>
        <v>7.97</v>
      </c>
      <c r="H13414" s="17"/>
      <c r="K13414" s="17"/>
      <c r="N13414" s="17"/>
    </row>
    <row r="13415">
      <c r="B13415" s="11">
        <f>IFERROR(__xludf.DUMMYFUNCTION("""COMPUTED_VALUE"""),27246.0)</f>
        <v>27246</v>
      </c>
      <c r="C13415" s="9">
        <f>IFERROR(__xludf.DUMMYFUNCTION("""COMPUTED_VALUE"""),7.99)</f>
        <v>7.99</v>
      </c>
      <c r="H13415" s="17"/>
      <c r="K13415" s="17"/>
      <c r="N13415" s="17"/>
    </row>
    <row r="13416">
      <c r="B13416" s="11">
        <f>IFERROR(__xludf.DUMMYFUNCTION("""COMPUTED_VALUE"""),27243.0)</f>
        <v>27243</v>
      </c>
      <c r="C13416" s="9">
        <f>IFERROR(__xludf.DUMMYFUNCTION("""COMPUTED_VALUE"""),7.96)</f>
        <v>7.96</v>
      </c>
      <c r="H13416" s="17"/>
      <c r="K13416" s="17"/>
      <c r="N13416" s="17"/>
    </row>
    <row r="13417">
      <c r="B13417" s="11">
        <f>IFERROR(__xludf.DUMMYFUNCTION("""COMPUTED_VALUE"""),27242.0)</f>
        <v>27242</v>
      </c>
      <c r="C13417" s="9">
        <f>IFERROR(__xludf.DUMMYFUNCTION("""COMPUTED_VALUE"""),7.92)</f>
        <v>7.92</v>
      </c>
      <c r="H13417" s="17"/>
      <c r="K13417" s="17"/>
      <c r="N13417" s="17"/>
    </row>
    <row r="13418">
      <c r="B13418" s="11">
        <f>IFERROR(__xludf.DUMMYFUNCTION("""COMPUTED_VALUE"""),27241.0)</f>
        <v>27241</v>
      </c>
      <c r="C13418" s="9">
        <f>IFERROR(__xludf.DUMMYFUNCTION("""COMPUTED_VALUE"""),7.89)</f>
        <v>7.89</v>
      </c>
      <c r="H13418" s="17"/>
      <c r="K13418" s="17"/>
      <c r="N13418" s="17"/>
    </row>
    <row r="13419">
      <c r="B13419" s="11">
        <f>IFERROR(__xludf.DUMMYFUNCTION("""COMPUTED_VALUE"""),27240.0)</f>
        <v>27240</v>
      </c>
      <c r="C13419" s="9">
        <f>IFERROR(__xludf.DUMMYFUNCTION("""COMPUTED_VALUE"""),7.89)</f>
        <v>7.89</v>
      </c>
      <c r="H13419" s="17"/>
      <c r="K13419" s="17"/>
      <c r="N13419" s="17"/>
    </row>
    <row r="13420">
      <c r="B13420" s="11">
        <f>IFERROR(__xludf.DUMMYFUNCTION("""COMPUTED_VALUE"""),27239.0)</f>
        <v>27239</v>
      </c>
      <c r="C13420" s="9">
        <f>IFERROR(__xludf.DUMMYFUNCTION("""COMPUTED_VALUE"""),7.85)</f>
        <v>7.85</v>
      </c>
      <c r="H13420" s="17"/>
      <c r="K13420" s="17"/>
      <c r="N13420" s="17"/>
    </row>
    <row r="13421">
      <c r="B13421" s="11">
        <f>IFERROR(__xludf.DUMMYFUNCTION("""COMPUTED_VALUE"""),27236.0)</f>
        <v>27236</v>
      </c>
      <c r="C13421" s="9">
        <f>IFERROR(__xludf.DUMMYFUNCTION("""COMPUTED_VALUE"""),7.79)</f>
        <v>7.79</v>
      </c>
      <c r="H13421" s="17"/>
      <c r="K13421" s="17"/>
      <c r="N13421" s="17"/>
    </row>
    <row r="13422">
      <c r="B13422" s="11">
        <f>IFERROR(__xludf.DUMMYFUNCTION("""COMPUTED_VALUE"""),27235.0)</f>
        <v>27235</v>
      </c>
      <c r="C13422" s="9">
        <f>IFERROR(__xludf.DUMMYFUNCTION("""COMPUTED_VALUE"""),7.75)</f>
        <v>7.75</v>
      </c>
      <c r="H13422" s="17"/>
      <c r="K13422" s="17"/>
      <c r="N13422" s="17"/>
    </row>
    <row r="13423">
      <c r="B13423" s="11">
        <f>IFERROR(__xludf.DUMMYFUNCTION("""COMPUTED_VALUE"""),27234.0)</f>
        <v>27234</v>
      </c>
      <c r="C13423" s="9">
        <f>IFERROR(__xludf.DUMMYFUNCTION("""COMPUTED_VALUE"""),7.76)</f>
        <v>7.76</v>
      </c>
      <c r="H13423" s="17"/>
      <c r="K13423" s="17"/>
      <c r="N13423" s="17"/>
    </row>
    <row r="13424">
      <c r="B13424" s="11">
        <f>IFERROR(__xludf.DUMMYFUNCTION("""COMPUTED_VALUE"""),27233.0)</f>
        <v>27233</v>
      </c>
      <c r="C13424" s="9">
        <f>IFERROR(__xludf.DUMMYFUNCTION("""COMPUTED_VALUE"""),7.79)</f>
        <v>7.79</v>
      </c>
      <c r="H13424" s="17"/>
      <c r="K13424" s="17"/>
      <c r="N13424" s="17"/>
    </row>
    <row r="13425">
      <c r="B13425" s="11">
        <f>IFERROR(__xludf.DUMMYFUNCTION("""COMPUTED_VALUE"""),27232.0)</f>
        <v>27232</v>
      </c>
      <c r="C13425" s="9">
        <f>IFERROR(__xludf.DUMMYFUNCTION("""COMPUTED_VALUE"""),7.77)</f>
        <v>7.77</v>
      </c>
      <c r="H13425" s="17"/>
      <c r="K13425" s="17"/>
      <c r="N13425" s="17"/>
    </row>
    <row r="13426">
      <c r="B13426" s="11">
        <f>IFERROR(__xludf.DUMMYFUNCTION("""COMPUTED_VALUE"""),27229.0)</f>
        <v>27229</v>
      </c>
      <c r="C13426" s="9">
        <f>IFERROR(__xludf.DUMMYFUNCTION("""COMPUTED_VALUE"""),7.87)</f>
        <v>7.87</v>
      </c>
      <c r="H13426" s="17"/>
      <c r="K13426" s="17"/>
      <c r="N13426" s="17"/>
    </row>
    <row r="13427">
      <c r="B13427" s="11">
        <f>IFERROR(__xludf.DUMMYFUNCTION("""COMPUTED_VALUE"""),27228.0)</f>
        <v>27228</v>
      </c>
      <c r="C13427" s="9">
        <f>IFERROR(__xludf.DUMMYFUNCTION("""COMPUTED_VALUE"""),7.9)</f>
        <v>7.9</v>
      </c>
      <c r="H13427" s="17"/>
      <c r="K13427" s="17"/>
      <c r="N13427" s="17"/>
    </row>
    <row r="13428">
      <c r="B13428" s="11">
        <f>IFERROR(__xludf.DUMMYFUNCTION("""COMPUTED_VALUE"""),27227.0)</f>
        <v>27227</v>
      </c>
      <c r="C13428" s="9">
        <f>IFERROR(__xludf.DUMMYFUNCTION("""COMPUTED_VALUE"""),7.91)</f>
        <v>7.91</v>
      </c>
      <c r="H13428" s="17"/>
      <c r="K13428" s="17"/>
      <c r="N13428" s="17"/>
    </row>
    <row r="13429">
      <c r="B13429" s="11">
        <f>IFERROR(__xludf.DUMMYFUNCTION("""COMPUTED_VALUE"""),27226.0)</f>
        <v>27226</v>
      </c>
      <c r="C13429" s="9">
        <f>IFERROR(__xludf.DUMMYFUNCTION("""COMPUTED_VALUE"""),7.88)</f>
        <v>7.88</v>
      </c>
      <c r="H13429" s="17"/>
      <c r="K13429" s="17"/>
      <c r="N13429" s="17"/>
    </row>
    <row r="13430">
      <c r="B13430" s="11">
        <f>IFERROR(__xludf.DUMMYFUNCTION("""COMPUTED_VALUE"""),27225.0)</f>
        <v>27225</v>
      </c>
      <c r="C13430" s="9">
        <f>IFERROR(__xludf.DUMMYFUNCTION("""COMPUTED_VALUE"""),7.86)</f>
        <v>7.86</v>
      </c>
      <c r="H13430" s="17"/>
      <c r="K13430" s="17"/>
      <c r="N13430" s="17"/>
    </row>
    <row r="13431">
      <c r="B13431" s="11">
        <f>IFERROR(__xludf.DUMMYFUNCTION("""COMPUTED_VALUE"""),27222.0)</f>
        <v>27222</v>
      </c>
      <c r="C13431" s="9">
        <f>IFERROR(__xludf.DUMMYFUNCTION("""COMPUTED_VALUE"""),7.85)</f>
        <v>7.85</v>
      </c>
      <c r="H13431" s="17"/>
      <c r="K13431" s="17"/>
      <c r="N13431" s="17"/>
    </row>
    <row r="13432">
      <c r="B13432" s="11">
        <f>IFERROR(__xludf.DUMMYFUNCTION("""COMPUTED_VALUE"""),27221.0)</f>
        <v>27221</v>
      </c>
      <c r="C13432" s="9">
        <f>IFERROR(__xludf.DUMMYFUNCTION("""COMPUTED_VALUE"""),7.84)</f>
        <v>7.84</v>
      </c>
      <c r="H13432" s="17"/>
      <c r="K13432" s="17"/>
      <c r="N13432" s="17"/>
    </row>
    <row r="13433">
      <c r="B13433" s="11">
        <f>IFERROR(__xludf.DUMMYFUNCTION("""COMPUTED_VALUE"""),27220.0)</f>
        <v>27220</v>
      </c>
      <c r="C13433" s="9">
        <f>IFERROR(__xludf.DUMMYFUNCTION("""COMPUTED_VALUE"""),7.82)</f>
        <v>7.82</v>
      </c>
      <c r="H13433" s="17"/>
      <c r="K13433" s="17"/>
      <c r="N13433" s="17"/>
    </row>
    <row r="13434">
      <c r="B13434" s="11">
        <f>IFERROR(__xludf.DUMMYFUNCTION("""COMPUTED_VALUE"""),27219.0)</f>
        <v>27219</v>
      </c>
      <c r="C13434" s="9">
        <f>IFERROR(__xludf.DUMMYFUNCTION("""COMPUTED_VALUE"""),7.81)</f>
        <v>7.81</v>
      </c>
      <c r="H13434" s="17"/>
      <c r="K13434" s="17"/>
      <c r="N13434" s="17"/>
    </row>
    <row r="13435">
      <c r="B13435" s="11">
        <f>IFERROR(__xludf.DUMMYFUNCTION("""COMPUTED_VALUE"""),27218.0)</f>
        <v>27218</v>
      </c>
      <c r="C13435" s="9">
        <f>IFERROR(__xludf.DUMMYFUNCTION("""COMPUTED_VALUE"""),7.77)</f>
        <v>7.77</v>
      </c>
      <c r="H13435" s="17"/>
      <c r="K13435" s="17"/>
      <c r="N13435" s="17"/>
    </row>
    <row r="13436">
      <c r="B13436" s="11">
        <f>IFERROR(__xludf.DUMMYFUNCTION("""COMPUTED_VALUE"""),27215.0)</f>
        <v>27215</v>
      </c>
      <c r="C13436" s="9">
        <f>IFERROR(__xludf.DUMMYFUNCTION("""COMPUTED_VALUE"""),7.71)</f>
        <v>7.71</v>
      </c>
      <c r="H13436" s="17"/>
      <c r="K13436" s="17"/>
      <c r="N13436" s="17"/>
    </row>
    <row r="13437">
      <c r="B13437" s="11">
        <f>IFERROR(__xludf.DUMMYFUNCTION("""COMPUTED_VALUE"""),27214.0)</f>
        <v>27214</v>
      </c>
      <c r="C13437" s="9"/>
      <c r="H13437" s="17"/>
      <c r="K13437" s="17"/>
      <c r="N13437" s="17"/>
    </row>
    <row r="13438">
      <c r="B13438" s="11">
        <f>IFERROR(__xludf.DUMMYFUNCTION("""COMPUTED_VALUE"""),27213.0)</f>
        <v>27213</v>
      </c>
      <c r="C13438" s="9">
        <f>IFERROR(__xludf.DUMMYFUNCTION("""COMPUTED_VALUE"""),7.7)</f>
        <v>7.7</v>
      </c>
      <c r="H13438" s="17"/>
      <c r="K13438" s="17"/>
      <c r="N13438" s="17"/>
    </row>
    <row r="13439">
      <c r="B13439" s="11">
        <f>IFERROR(__xludf.DUMMYFUNCTION("""COMPUTED_VALUE"""),27212.0)</f>
        <v>27212</v>
      </c>
      <c r="C13439" s="9">
        <f>IFERROR(__xludf.DUMMYFUNCTION("""COMPUTED_VALUE"""),7.65)</f>
        <v>7.65</v>
      </c>
      <c r="H13439" s="17"/>
      <c r="K13439" s="17"/>
      <c r="N13439" s="17"/>
    </row>
    <row r="13440">
      <c r="B13440" s="11">
        <f>IFERROR(__xludf.DUMMYFUNCTION("""COMPUTED_VALUE"""),27211.0)</f>
        <v>27211</v>
      </c>
      <c r="C13440" s="9">
        <f>IFERROR(__xludf.DUMMYFUNCTION("""COMPUTED_VALUE"""),7.65)</f>
        <v>7.65</v>
      </c>
      <c r="H13440" s="17"/>
      <c r="K13440" s="17"/>
      <c r="N13440" s="17"/>
    </row>
    <row r="13441">
      <c r="B13441" s="11">
        <f>IFERROR(__xludf.DUMMYFUNCTION("""COMPUTED_VALUE"""),27208.0)</f>
        <v>27208</v>
      </c>
      <c r="C13441" s="9">
        <f>IFERROR(__xludf.DUMMYFUNCTION("""COMPUTED_VALUE"""),7.64)</f>
        <v>7.64</v>
      </c>
      <c r="H13441" s="17"/>
      <c r="K13441" s="17"/>
      <c r="N13441" s="17"/>
    </row>
    <row r="13442">
      <c r="B13442" s="11">
        <f>IFERROR(__xludf.DUMMYFUNCTION("""COMPUTED_VALUE"""),27207.0)</f>
        <v>27207</v>
      </c>
      <c r="C13442" s="9">
        <f>IFERROR(__xludf.DUMMYFUNCTION("""COMPUTED_VALUE"""),7.64)</f>
        <v>7.64</v>
      </c>
      <c r="H13442" s="17"/>
      <c r="K13442" s="17"/>
      <c r="N13442" s="17"/>
    </row>
    <row r="13443">
      <c r="B13443" s="11">
        <f>IFERROR(__xludf.DUMMYFUNCTION("""COMPUTED_VALUE"""),27206.0)</f>
        <v>27206</v>
      </c>
      <c r="C13443" s="9">
        <f>IFERROR(__xludf.DUMMYFUNCTION("""COMPUTED_VALUE"""),7.62)</f>
        <v>7.62</v>
      </c>
      <c r="H13443" s="17"/>
      <c r="K13443" s="17"/>
      <c r="N13443" s="17"/>
    </row>
    <row r="13444">
      <c r="B13444" s="11">
        <f>IFERROR(__xludf.DUMMYFUNCTION("""COMPUTED_VALUE"""),27205.0)</f>
        <v>27205</v>
      </c>
      <c r="C13444" s="9">
        <f>IFERROR(__xludf.DUMMYFUNCTION("""COMPUTED_VALUE"""),7.62)</f>
        <v>7.62</v>
      </c>
      <c r="H13444" s="17"/>
      <c r="K13444" s="17"/>
      <c r="N13444" s="17"/>
    </row>
    <row r="13445">
      <c r="B13445" s="11">
        <f>IFERROR(__xludf.DUMMYFUNCTION("""COMPUTED_VALUE"""),27204.0)</f>
        <v>27204</v>
      </c>
      <c r="C13445" s="9">
        <f>IFERROR(__xludf.DUMMYFUNCTION("""COMPUTED_VALUE"""),7.58)</f>
        <v>7.58</v>
      </c>
      <c r="H13445" s="17"/>
      <c r="K13445" s="17"/>
      <c r="N13445" s="17"/>
    </row>
    <row r="13446">
      <c r="B13446" s="11">
        <f>IFERROR(__xludf.DUMMYFUNCTION("""COMPUTED_VALUE"""),27201.0)</f>
        <v>27201</v>
      </c>
      <c r="C13446" s="9">
        <f>IFERROR(__xludf.DUMMYFUNCTION("""COMPUTED_VALUE"""),7.55)</f>
        <v>7.55</v>
      </c>
      <c r="H13446" s="17"/>
      <c r="K13446" s="17"/>
      <c r="N13446" s="17"/>
    </row>
    <row r="13447">
      <c r="B13447" s="11">
        <f>IFERROR(__xludf.DUMMYFUNCTION("""COMPUTED_VALUE"""),27200.0)</f>
        <v>27200</v>
      </c>
      <c r="C13447" s="9">
        <f>IFERROR(__xludf.DUMMYFUNCTION("""COMPUTED_VALUE"""),7.55)</f>
        <v>7.55</v>
      </c>
      <c r="H13447" s="17"/>
      <c r="K13447" s="17"/>
      <c r="N13447" s="17"/>
    </row>
    <row r="13448">
      <c r="B13448" s="11">
        <f>IFERROR(__xludf.DUMMYFUNCTION("""COMPUTED_VALUE"""),27199.0)</f>
        <v>27199</v>
      </c>
      <c r="C13448" s="9">
        <f>IFERROR(__xludf.DUMMYFUNCTION("""COMPUTED_VALUE"""),7.52)</f>
        <v>7.52</v>
      </c>
      <c r="H13448" s="17"/>
      <c r="K13448" s="17"/>
      <c r="N13448" s="17"/>
    </row>
    <row r="13449">
      <c r="B13449" s="11">
        <f>IFERROR(__xludf.DUMMYFUNCTION("""COMPUTED_VALUE"""),27198.0)</f>
        <v>27198</v>
      </c>
      <c r="C13449" s="9">
        <f>IFERROR(__xludf.DUMMYFUNCTION("""COMPUTED_VALUE"""),7.52)</f>
        <v>7.52</v>
      </c>
      <c r="H13449" s="17"/>
      <c r="K13449" s="17"/>
      <c r="N13449" s="17"/>
    </row>
    <row r="13450">
      <c r="B13450" s="11">
        <f>IFERROR(__xludf.DUMMYFUNCTION("""COMPUTED_VALUE"""),27197.0)</f>
        <v>27197</v>
      </c>
      <c r="C13450" s="9">
        <f>IFERROR(__xludf.DUMMYFUNCTION("""COMPUTED_VALUE"""),7.49)</f>
        <v>7.49</v>
      </c>
      <c r="H13450" s="17"/>
      <c r="K13450" s="17"/>
      <c r="N13450" s="17"/>
    </row>
    <row r="13451">
      <c r="B13451" s="11">
        <f>IFERROR(__xludf.DUMMYFUNCTION("""COMPUTED_VALUE"""),27194.0)</f>
        <v>27194</v>
      </c>
      <c r="C13451" s="9">
        <f>IFERROR(__xludf.DUMMYFUNCTION("""COMPUTED_VALUE"""),7.5)</f>
        <v>7.5</v>
      </c>
      <c r="H13451" s="17"/>
      <c r="K13451" s="17"/>
      <c r="N13451" s="17"/>
    </row>
    <row r="13452">
      <c r="B13452" s="11">
        <f>IFERROR(__xludf.DUMMYFUNCTION("""COMPUTED_VALUE"""),27193.0)</f>
        <v>27193</v>
      </c>
      <c r="C13452" s="9">
        <f>IFERROR(__xludf.DUMMYFUNCTION("""COMPUTED_VALUE"""),7.5)</f>
        <v>7.5</v>
      </c>
      <c r="H13452" s="17"/>
      <c r="K13452" s="17"/>
      <c r="N13452" s="17"/>
    </row>
    <row r="13453">
      <c r="B13453" s="11">
        <f>IFERROR(__xludf.DUMMYFUNCTION("""COMPUTED_VALUE"""),27192.0)</f>
        <v>27192</v>
      </c>
      <c r="C13453" s="9">
        <f>IFERROR(__xludf.DUMMYFUNCTION("""COMPUTED_VALUE"""),7.5)</f>
        <v>7.5</v>
      </c>
      <c r="H13453" s="17"/>
      <c r="K13453" s="17"/>
      <c r="N13453" s="17"/>
    </row>
    <row r="13454">
      <c r="B13454" s="11">
        <f>IFERROR(__xludf.DUMMYFUNCTION("""COMPUTED_VALUE"""),27191.0)</f>
        <v>27191</v>
      </c>
      <c r="C13454" s="9">
        <f>IFERROR(__xludf.DUMMYFUNCTION("""COMPUTED_VALUE"""),7.48)</f>
        <v>7.48</v>
      </c>
      <c r="H13454" s="17"/>
      <c r="K13454" s="17"/>
      <c r="N13454" s="17"/>
    </row>
    <row r="13455">
      <c r="B13455" s="11">
        <f>IFERROR(__xludf.DUMMYFUNCTION("""COMPUTED_VALUE"""),27190.0)</f>
        <v>27190</v>
      </c>
      <c r="C13455" s="9">
        <f>IFERROR(__xludf.DUMMYFUNCTION("""COMPUTED_VALUE"""),7.47)</f>
        <v>7.47</v>
      </c>
      <c r="H13455" s="17"/>
      <c r="K13455" s="17"/>
      <c r="N13455" s="17"/>
    </row>
    <row r="13456">
      <c r="B13456" s="11">
        <f>IFERROR(__xludf.DUMMYFUNCTION("""COMPUTED_VALUE"""),27187.0)</f>
        <v>27187</v>
      </c>
      <c r="C13456" s="9">
        <f>IFERROR(__xludf.DUMMYFUNCTION("""COMPUTED_VALUE"""),7.46)</f>
        <v>7.46</v>
      </c>
      <c r="H13456" s="17"/>
      <c r="K13456" s="17"/>
      <c r="N13456" s="17"/>
    </row>
    <row r="13457">
      <c r="B13457" s="11">
        <f>IFERROR(__xludf.DUMMYFUNCTION("""COMPUTED_VALUE"""),27186.0)</f>
        <v>27186</v>
      </c>
      <c r="C13457" s="9">
        <f>IFERROR(__xludf.DUMMYFUNCTION("""COMPUTED_VALUE"""),7.5)</f>
        <v>7.5</v>
      </c>
      <c r="H13457" s="17"/>
      <c r="K13457" s="17"/>
      <c r="N13457" s="17"/>
    </row>
    <row r="13458">
      <c r="B13458" s="11">
        <f>IFERROR(__xludf.DUMMYFUNCTION("""COMPUTED_VALUE"""),27185.0)</f>
        <v>27185</v>
      </c>
      <c r="C13458" s="9">
        <f>IFERROR(__xludf.DUMMYFUNCTION("""COMPUTED_VALUE"""),7.52)</f>
        <v>7.52</v>
      </c>
      <c r="H13458" s="17"/>
      <c r="K13458" s="17"/>
      <c r="N13458" s="17"/>
    </row>
    <row r="13459">
      <c r="B13459" s="11">
        <f>IFERROR(__xludf.DUMMYFUNCTION("""COMPUTED_VALUE"""),27184.0)</f>
        <v>27184</v>
      </c>
      <c r="C13459" s="9">
        <f>IFERROR(__xludf.DUMMYFUNCTION("""COMPUTED_VALUE"""),7.52)</f>
        <v>7.52</v>
      </c>
      <c r="H13459" s="17"/>
      <c r="K13459" s="17"/>
      <c r="N13459" s="17"/>
    </row>
    <row r="13460">
      <c r="B13460" s="11">
        <f>IFERROR(__xludf.DUMMYFUNCTION("""COMPUTED_VALUE"""),27183.0)</f>
        <v>27183</v>
      </c>
      <c r="C13460" s="9">
        <f>IFERROR(__xludf.DUMMYFUNCTION("""COMPUTED_VALUE"""),7.53)</f>
        <v>7.53</v>
      </c>
      <c r="H13460" s="17"/>
      <c r="K13460" s="17"/>
      <c r="N13460" s="17"/>
    </row>
    <row r="13461">
      <c r="B13461" s="11">
        <f>IFERROR(__xludf.DUMMYFUNCTION("""COMPUTED_VALUE"""),27180.0)</f>
        <v>27180</v>
      </c>
      <c r="C13461" s="9">
        <f>IFERROR(__xludf.DUMMYFUNCTION("""COMPUTED_VALUE"""),7.52)</f>
        <v>7.52</v>
      </c>
      <c r="H13461" s="17"/>
      <c r="K13461" s="17"/>
      <c r="N13461" s="17"/>
    </row>
    <row r="13462">
      <c r="B13462" s="11">
        <f>IFERROR(__xludf.DUMMYFUNCTION("""COMPUTED_VALUE"""),27179.0)</f>
        <v>27179</v>
      </c>
      <c r="C13462" s="9">
        <f>IFERROR(__xludf.DUMMYFUNCTION("""COMPUTED_VALUE"""),7.51)</f>
        <v>7.51</v>
      </c>
      <c r="H13462" s="17"/>
      <c r="K13462" s="17"/>
      <c r="N13462" s="17"/>
    </row>
    <row r="13463">
      <c r="B13463" s="11">
        <f>IFERROR(__xludf.DUMMYFUNCTION("""COMPUTED_VALUE"""),27178.0)</f>
        <v>27178</v>
      </c>
      <c r="C13463" s="9">
        <f>IFERROR(__xludf.DUMMYFUNCTION("""COMPUTED_VALUE"""),7.52)</f>
        <v>7.52</v>
      </c>
      <c r="H13463" s="17"/>
      <c r="K13463" s="17"/>
      <c r="N13463" s="17"/>
    </row>
    <row r="13464">
      <c r="B13464" s="11">
        <f>IFERROR(__xludf.DUMMYFUNCTION("""COMPUTED_VALUE"""),27177.0)</f>
        <v>27177</v>
      </c>
      <c r="C13464" s="9">
        <f>IFERROR(__xludf.DUMMYFUNCTION("""COMPUTED_VALUE"""),7.5)</f>
        <v>7.5</v>
      </c>
      <c r="H13464" s="17"/>
      <c r="K13464" s="17"/>
      <c r="N13464" s="17"/>
    </row>
    <row r="13465">
      <c r="B13465" s="11">
        <f>IFERROR(__xludf.DUMMYFUNCTION("""COMPUTED_VALUE"""),27176.0)</f>
        <v>27176</v>
      </c>
      <c r="C13465" s="9"/>
      <c r="H13465" s="17"/>
      <c r="K13465" s="17"/>
      <c r="N13465" s="17"/>
    </row>
    <row r="13466">
      <c r="B13466" s="11">
        <f>IFERROR(__xludf.DUMMYFUNCTION("""COMPUTED_VALUE"""),27173.0)</f>
        <v>27173</v>
      </c>
      <c r="C13466" s="9">
        <f>IFERROR(__xludf.DUMMYFUNCTION("""COMPUTED_VALUE"""),7.49)</f>
        <v>7.49</v>
      </c>
      <c r="H13466" s="17"/>
      <c r="K13466" s="17"/>
      <c r="N13466" s="17"/>
    </row>
    <row r="13467">
      <c r="B13467" s="11">
        <f>IFERROR(__xludf.DUMMYFUNCTION("""COMPUTED_VALUE"""),27172.0)</f>
        <v>27172</v>
      </c>
      <c r="C13467" s="9">
        <f>IFERROR(__xludf.DUMMYFUNCTION("""COMPUTED_VALUE"""),7.52)</f>
        <v>7.52</v>
      </c>
      <c r="H13467" s="17"/>
      <c r="K13467" s="17"/>
      <c r="N13467" s="17"/>
    </row>
    <row r="13468">
      <c r="B13468" s="11">
        <f>IFERROR(__xludf.DUMMYFUNCTION("""COMPUTED_VALUE"""),27171.0)</f>
        <v>27171</v>
      </c>
      <c r="C13468" s="9">
        <f>IFERROR(__xludf.DUMMYFUNCTION("""COMPUTED_VALUE"""),7.56)</f>
        <v>7.56</v>
      </c>
      <c r="H13468" s="17"/>
      <c r="K13468" s="17"/>
      <c r="N13468" s="17"/>
    </row>
    <row r="13469">
      <c r="B13469" s="11">
        <f>IFERROR(__xludf.DUMMYFUNCTION("""COMPUTED_VALUE"""),27170.0)</f>
        <v>27170</v>
      </c>
      <c r="C13469" s="9">
        <f>IFERROR(__xludf.DUMMYFUNCTION("""COMPUTED_VALUE"""),7.57)</f>
        <v>7.57</v>
      </c>
      <c r="H13469" s="17"/>
      <c r="K13469" s="17"/>
      <c r="N13469" s="17"/>
    </row>
    <row r="13470">
      <c r="B13470" s="11">
        <f>IFERROR(__xludf.DUMMYFUNCTION("""COMPUTED_VALUE"""),27169.0)</f>
        <v>27169</v>
      </c>
      <c r="C13470" s="9">
        <f>IFERROR(__xludf.DUMMYFUNCTION("""COMPUTED_VALUE"""),7.58)</f>
        <v>7.58</v>
      </c>
      <c r="H13470" s="17"/>
      <c r="K13470" s="17"/>
      <c r="N13470" s="17"/>
    </row>
    <row r="13471">
      <c r="B13471" s="11">
        <f>IFERROR(__xludf.DUMMYFUNCTION("""COMPUTED_VALUE"""),27166.0)</f>
        <v>27166</v>
      </c>
      <c r="C13471" s="9">
        <f>IFERROR(__xludf.DUMMYFUNCTION("""COMPUTED_VALUE"""),7.57)</f>
        <v>7.57</v>
      </c>
      <c r="H13471" s="17"/>
      <c r="K13471" s="17"/>
      <c r="N13471" s="17"/>
    </row>
    <row r="13472">
      <c r="B13472" s="11">
        <f>IFERROR(__xludf.DUMMYFUNCTION("""COMPUTED_VALUE"""),27165.0)</f>
        <v>27165</v>
      </c>
      <c r="C13472" s="9">
        <f>IFERROR(__xludf.DUMMYFUNCTION("""COMPUTED_VALUE"""),7.54)</f>
        <v>7.54</v>
      </c>
      <c r="H13472" s="17"/>
      <c r="K13472" s="17"/>
      <c r="N13472" s="17"/>
    </row>
    <row r="13473">
      <c r="B13473" s="11">
        <f>IFERROR(__xludf.DUMMYFUNCTION("""COMPUTED_VALUE"""),27164.0)</f>
        <v>27164</v>
      </c>
      <c r="C13473" s="9">
        <f>IFERROR(__xludf.DUMMYFUNCTION("""COMPUTED_VALUE"""),7.55)</f>
        <v>7.55</v>
      </c>
      <c r="H13473" s="17"/>
      <c r="K13473" s="17"/>
      <c r="N13473" s="17"/>
    </row>
    <row r="13474">
      <c r="B13474" s="11">
        <f>IFERROR(__xludf.DUMMYFUNCTION("""COMPUTED_VALUE"""),27163.0)</f>
        <v>27163</v>
      </c>
      <c r="C13474" s="9">
        <f>IFERROR(__xludf.DUMMYFUNCTION("""COMPUTED_VALUE"""),7.57)</f>
        <v>7.57</v>
      </c>
      <c r="H13474" s="17"/>
      <c r="K13474" s="17"/>
      <c r="N13474" s="17"/>
    </row>
    <row r="13475">
      <c r="B13475" s="11">
        <f>IFERROR(__xludf.DUMMYFUNCTION("""COMPUTED_VALUE"""),27162.0)</f>
        <v>27162</v>
      </c>
      <c r="C13475" s="9">
        <f>IFERROR(__xludf.DUMMYFUNCTION("""COMPUTED_VALUE"""),7.54)</f>
        <v>7.54</v>
      </c>
      <c r="H13475" s="17"/>
      <c r="K13475" s="17"/>
      <c r="N13475" s="17"/>
    </row>
    <row r="13476">
      <c r="B13476" s="11">
        <f>IFERROR(__xludf.DUMMYFUNCTION("""COMPUTED_VALUE"""),27159.0)</f>
        <v>27159</v>
      </c>
      <c r="C13476" s="9">
        <f>IFERROR(__xludf.DUMMYFUNCTION("""COMPUTED_VALUE"""),7.63)</f>
        <v>7.63</v>
      </c>
      <c r="H13476" s="17"/>
      <c r="K13476" s="17"/>
      <c r="N13476" s="17"/>
    </row>
    <row r="13477">
      <c r="B13477" s="11">
        <f>IFERROR(__xludf.DUMMYFUNCTION("""COMPUTED_VALUE"""),27158.0)</f>
        <v>27158</v>
      </c>
      <c r="C13477" s="9">
        <f>IFERROR(__xludf.DUMMYFUNCTION("""COMPUTED_VALUE"""),7.7)</f>
        <v>7.7</v>
      </c>
      <c r="H13477" s="17"/>
      <c r="K13477" s="17"/>
      <c r="N13477" s="17"/>
    </row>
    <row r="13478">
      <c r="B13478" s="11">
        <f>IFERROR(__xludf.DUMMYFUNCTION("""COMPUTED_VALUE"""),27157.0)</f>
        <v>27157</v>
      </c>
      <c r="C13478" s="9">
        <f>IFERROR(__xludf.DUMMYFUNCTION("""COMPUTED_VALUE"""),7.65)</f>
        <v>7.65</v>
      </c>
      <c r="H13478" s="17"/>
      <c r="K13478" s="17"/>
      <c r="N13478" s="17"/>
    </row>
    <row r="13479">
      <c r="B13479" s="11">
        <f>IFERROR(__xludf.DUMMYFUNCTION("""COMPUTED_VALUE"""),27156.0)</f>
        <v>27156</v>
      </c>
      <c r="C13479" s="9">
        <f>IFERROR(__xludf.DUMMYFUNCTION("""COMPUTED_VALUE"""),7.65)</f>
        <v>7.65</v>
      </c>
      <c r="H13479" s="17"/>
      <c r="K13479" s="17"/>
      <c r="N13479" s="17"/>
    </row>
    <row r="13480">
      <c r="B13480" s="11">
        <f>IFERROR(__xludf.DUMMYFUNCTION("""COMPUTED_VALUE"""),27155.0)</f>
        <v>27155</v>
      </c>
      <c r="C13480" s="9">
        <f>IFERROR(__xludf.DUMMYFUNCTION("""COMPUTED_VALUE"""),7.65)</f>
        <v>7.65</v>
      </c>
      <c r="H13480" s="17"/>
      <c r="K13480" s="17"/>
      <c r="N13480" s="17"/>
    </row>
    <row r="13481">
      <c r="B13481" s="11">
        <f>IFERROR(__xludf.DUMMYFUNCTION("""COMPUTED_VALUE"""),27152.0)</f>
        <v>27152</v>
      </c>
      <c r="C13481" s="9">
        <f>IFERROR(__xludf.DUMMYFUNCTION("""COMPUTED_VALUE"""),7.65)</f>
        <v>7.65</v>
      </c>
      <c r="H13481" s="17"/>
      <c r="K13481" s="17"/>
      <c r="N13481" s="17"/>
    </row>
    <row r="13482">
      <c r="B13482" s="11">
        <f>IFERROR(__xludf.DUMMYFUNCTION("""COMPUTED_VALUE"""),27151.0)</f>
        <v>27151</v>
      </c>
      <c r="C13482" s="9">
        <f>IFERROR(__xludf.DUMMYFUNCTION("""COMPUTED_VALUE"""),7.58)</f>
        <v>7.58</v>
      </c>
      <c r="H13482" s="17"/>
      <c r="K13482" s="17"/>
      <c r="N13482" s="17"/>
    </row>
    <row r="13483">
      <c r="B13483" s="11">
        <f>IFERROR(__xludf.DUMMYFUNCTION("""COMPUTED_VALUE"""),27150.0)</f>
        <v>27150</v>
      </c>
      <c r="C13483" s="9">
        <f>IFERROR(__xludf.DUMMYFUNCTION("""COMPUTED_VALUE"""),7.62)</f>
        <v>7.62</v>
      </c>
      <c r="H13483" s="17"/>
      <c r="K13483" s="17"/>
      <c r="N13483" s="17"/>
    </row>
    <row r="13484">
      <c r="B13484" s="11">
        <f>IFERROR(__xludf.DUMMYFUNCTION("""COMPUTED_VALUE"""),27149.0)</f>
        <v>27149</v>
      </c>
      <c r="C13484" s="9">
        <f>IFERROR(__xludf.DUMMYFUNCTION("""COMPUTED_VALUE"""),7.66)</f>
        <v>7.66</v>
      </c>
      <c r="H13484" s="17"/>
      <c r="K13484" s="17"/>
      <c r="N13484" s="17"/>
    </row>
    <row r="13485">
      <c r="B13485" s="11">
        <f>IFERROR(__xludf.DUMMYFUNCTION("""COMPUTED_VALUE"""),27148.0)</f>
        <v>27148</v>
      </c>
      <c r="C13485" s="9">
        <f>IFERROR(__xludf.DUMMYFUNCTION("""COMPUTED_VALUE"""),7.65)</f>
        <v>7.65</v>
      </c>
      <c r="H13485" s="17"/>
      <c r="K13485" s="17"/>
      <c r="N13485" s="17"/>
    </row>
    <row r="13486">
      <c r="B13486" s="11">
        <f>IFERROR(__xludf.DUMMYFUNCTION("""COMPUTED_VALUE"""),27145.0)</f>
        <v>27145</v>
      </c>
      <c r="C13486" s="9">
        <f>IFERROR(__xludf.DUMMYFUNCTION("""COMPUTED_VALUE"""),7.64)</f>
        <v>7.64</v>
      </c>
      <c r="H13486" s="17"/>
      <c r="K13486" s="17"/>
      <c r="N13486" s="17"/>
    </row>
    <row r="13487">
      <c r="B13487" s="11">
        <f>IFERROR(__xludf.DUMMYFUNCTION("""COMPUTED_VALUE"""),27144.0)</f>
        <v>27144</v>
      </c>
      <c r="C13487" s="9">
        <f>IFERROR(__xludf.DUMMYFUNCTION("""COMPUTED_VALUE"""),7.63)</f>
        <v>7.63</v>
      </c>
      <c r="H13487" s="17"/>
      <c r="K13487" s="17"/>
      <c r="N13487" s="17"/>
    </row>
    <row r="13488">
      <c r="B13488" s="11">
        <f>IFERROR(__xludf.DUMMYFUNCTION("""COMPUTED_VALUE"""),27143.0)</f>
        <v>27143</v>
      </c>
      <c r="C13488" s="9">
        <f>IFERROR(__xludf.DUMMYFUNCTION("""COMPUTED_VALUE"""),7.58)</f>
        <v>7.58</v>
      </c>
      <c r="H13488" s="17"/>
      <c r="K13488" s="17"/>
      <c r="N13488" s="17"/>
    </row>
    <row r="13489">
      <c r="B13489" s="11">
        <f>IFERROR(__xludf.DUMMYFUNCTION("""COMPUTED_VALUE"""),27142.0)</f>
        <v>27142</v>
      </c>
      <c r="C13489" s="9">
        <f>IFERROR(__xludf.DUMMYFUNCTION("""COMPUTED_VALUE"""),7.54)</f>
        <v>7.54</v>
      </c>
      <c r="H13489" s="17"/>
      <c r="K13489" s="17"/>
      <c r="N13489" s="17"/>
    </row>
    <row r="13490">
      <c r="B13490" s="11">
        <f>IFERROR(__xludf.DUMMYFUNCTION("""COMPUTED_VALUE"""),27141.0)</f>
        <v>27141</v>
      </c>
      <c r="C13490" s="9">
        <f>IFERROR(__xludf.DUMMYFUNCTION("""COMPUTED_VALUE"""),7.52)</f>
        <v>7.52</v>
      </c>
      <c r="H13490" s="17"/>
      <c r="K13490" s="17"/>
      <c r="N13490" s="17"/>
    </row>
    <row r="13491">
      <c r="B13491" s="11">
        <f>IFERROR(__xludf.DUMMYFUNCTION("""COMPUTED_VALUE"""),27138.0)</f>
        <v>27138</v>
      </c>
      <c r="C13491" s="9">
        <f>IFERROR(__xludf.DUMMYFUNCTION("""COMPUTED_VALUE"""),7.51)</f>
        <v>7.51</v>
      </c>
      <c r="H13491" s="17"/>
      <c r="K13491" s="17"/>
      <c r="N13491" s="17"/>
    </row>
    <row r="13492">
      <c r="B13492" s="11">
        <f>IFERROR(__xludf.DUMMYFUNCTION("""COMPUTED_VALUE"""),27137.0)</f>
        <v>27137</v>
      </c>
      <c r="C13492" s="9">
        <f>IFERROR(__xludf.DUMMYFUNCTION("""COMPUTED_VALUE"""),7.5)</f>
        <v>7.5</v>
      </c>
      <c r="H13492" s="17"/>
      <c r="K13492" s="17"/>
      <c r="N13492" s="17"/>
    </row>
    <row r="13493">
      <c r="B13493" s="11">
        <f>IFERROR(__xludf.DUMMYFUNCTION("""COMPUTED_VALUE"""),27136.0)</f>
        <v>27136</v>
      </c>
      <c r="C13493" s="9">
        <f>IFERROR(__xludf.DUMMYFUNCTION("""COMPUTED_VALUE"""),7.45)</f>
        <v>7.45</v>
      </c>
      <c r="H13493" s="17"/>
      <c r="K13493" s="17"/>
      <c r="N13493" s="17"/>
    </row>
    <row r="13494">
      <c r="B13494" s="11">
        <f>IFERROR(__xludf.DUMMYFUNCTION("""COMPUTED_VALUE"""),27135.0)</f>
        <v>27135</v>
      </c>
      <c r="C13494" s="9">
        <f>IFERROR(__xludf.DUMMYFUNCTION("""COMPUTED_VALUE"""),7.43)</f>
        <v>7.43</v>
      </c>
      <c r="H13494" s="17"/>
      <c r="K13494" s="17"/>
      <c r="N13494" s="17"/>
    </row>
    <row r="13495">
      <c r="B13495" s="11">
        <f>IFERROR(__xludf.DUMMYFUNCTION("""COMPUTED_VALUE"""),27134.0)</f>
        <v>27134</v>
      </c>
      <c r="C13495" s="9">
        <f>IFERROR(__xludf.DUMMYFUNCTION("""COMPUTED_VALUE"""),7.42)</f>
        <v>7.42</v>
      </c>
      <c r="H13495" s="17"/>
      <c r="K13495" s="17"/>
      <c r="N13495" s="17"/>
    </row>
    <row r="13496">
      <c r="B13496" s="11">
        <f>IFERROR(__xludf.DUMMYFUNCTION("""COMPUTED_VALUE"""),27131.0)</f>
        <v>27131</v>
      </c>
      <c r="C13496" s="9"/>
      <c r="H13496" s="17"/>
      <c r="K13496" s="17"/>
      <c r="N13496" s="17"/>
    </row>
    <row r="13497">
      <c r="B13497" s="11">
        <f>IFERROR(__xludf.DUMMYFUNCTION("""COMPUTED_VALUE"""),27130.0)</f>
        <v>27130</v>
      </c>
      <c r="C13497" s="9">
        <f>IFERROR(__xludf.DUMMYFUNCTION("""COMPUTED_VALUE"""),7.45)</f>
        <v>7.45</v>
      </c>
      <c r="H13497" s="17"/>
      <c r="K13497" s="17"/>
      <c r="N13497" s="17"/>
    </row>
    <row r="13498">
      <c r="B13498" s="11">
        <f>IFERROR(__xludf.DUMMYFUNCTION("""COMPUTED_VALUE"""),27129.0)</f>
        <v>27129</v>
      </c>
      <c r="C13498" s="9">
        <f>IFERROR(__xludf.DUMMYFUNCTION("""COMPUTED_VALUE"""),7.46)</f>
        <v>7.46</v>
      </c>
      <c r="H13498" s="17"/>
      <c r="K13498" s="17"/>
      <c r="N13498" s="17"/>
    </row>
    <row r="13499">
      <c r="B13499" s="11">
        <f>IFERROR(__xludf.DUMMYFUNCTION("""COMPUTED_VALUE"""),27128.0)</f>
        <v>27128</v>
      </c>
      <c r="C13499" s="9">
        <f>IFERROR(__xludf.DUMMYFUNCTION("""COMPUTED_VALUE"""),7.49)</f>
        <v>7.49</v>
      </c>
      <c r="H13499" s="17"/>
      <c r="K13499" s="17"/>
      <c r="N13499" s="17"/>
    </row>
    <row r="13500">
      <c r="B13500" s="11">
        <f>IFERROR(__xludf.DUMMYFUNCTION("""COMPUTED_VALUE"""),27127.0)</f>
        <v>27127</v>
      </c>
      <c r="C13500" s="9">
        <f>IFERROR(__xludf.DUMMYFUNCTION("""COMPUTED_VALUE"""),7.5)</f>
        <v>7.5</v>
      </c>
      <c r="H13500" s="17"/>
      <c r="K13500" s="17"/>
      <c r="N13500" s="17"/>
    </row>
    <row r="13501">
      <c r="B13501" s="11">
        <f>IFERROR(__xludf.DUMMYFUNCTION("""COMPUTED_VALUE"""),27124.0)</f>
        <v>27124</v>
      </c>
      <c r="C13501" s="9">
        <f>IFERROR(__xludf.DUMMYFUNCTION("""COMPUTED_VALUE"""),7.54)</f>
        <v>7.54</v>
      </c>
      <c r="H13501" s="17"/>
      <c r="K13501" s="17"/>
      <c r="N13501" s="17"/>
    </row>
    <row r="13502">
      <c r="B13502" s="11">
        <f>IFERROR(__xludf.DUMMYFUNCTION("""COMPUTED_VALUE"""),27123.0)</f>
        <v>27123</v>
      </c>
      <c r="C13502" s="9">
        <f>IFERROR(__xludf.DUMMYFUNCTION("""COMPUTED_VALUE"""),7.51)</f>
        <v>7.51</v>
      </c>
      <c r="H13502" s="17"/>
      <c r="K13502" s="17"/>
      <c r="N13502" s="17"/>
    </row>
    <row r="13503">
      <c r="B13503" s="11">
        <f>IFERROR(__xludf.DUMMYFUNCTION("""COMPUTED_VALUE"""),27122.0)</f>
        <v>27122</v>
      </c>
      <c r="C13503" s="9">
        <f>IFERROR(__xludf.DUMMYFUNCTION("""COMPUTED_VALUE"""),7.43)</f>
        <v>7.43</v>
      </c>
      <c r="H13503" s="17"/>
      <c r="K13503" s="17"/>
      <c r="N13503" s="17"/>
    </row>
    <row r="13504">
      <c r="B13504" s="11">
        <f>IFERROR(__xludf.DUMMYFUNCTION("""COMPUTED_VALUE"""),27121.0)</f>
        <v>27121</v>
      </c>
      <c r="C13504" s="9">
        <f>IFERROR(__xludf.DUMMYFUNCTION("""COMPUTED_VALUE"""),7.43)</f>
        <v>7.43</v>
      </c>
      <c r="H13504" s="17"/>
      <c r="K13504" s="17"/>
      <c r="N13504" s="17"/>
    </row>
    <row r="13505">
      <c r="B13505" s="11">
        <f>IFERROR(__xludf.DUMMYFUNCTION("""COMPUTED_VALUE"""),27120.0)</f>
        <v>27120</v>
      </c>
      <c r="C13505" s="9">
        <f>IFERROR(__xludf.DUMMYFUNCTION("""COMPUTED_VALUE"""),7.42)</f>
        <v>7.42</v>
      </c>
      <c r="H13505" s="17"/>
      <c r="K13505" s="17"/>
      <c r="N13505" s="17"/>
    </row>
    <row r="13506">
      <c r="B13506" s="11">
        <f>IFERROR(__xludf.DUMMYFUNCTION("""COMPUTED_VALUE"""),27117.0)</f>
        <v>27117</v>
      </c>
      <c r="C13506" s="9">
        <f>IFERROR(__xludf.DUMMYFUNCTION("""COMPUTED_VALUE"""),7.41)</f>
        <v>7.41</v>
      </c>
      <c r="H13506" s="17"/>
      <c r="K13506" s="17"/>
      <c r="N13506" s="17"/>
    </row>
    <row r="13507">
      <c r="B13507" s="11">
        <f>IFERROR(__xludf.DUMMYFUNCTION("""COMPUTED_VALUE"""),27116.0)</f>
        <v>27116</v>
      </c>
      <c r="C13507" s="9">
        <f>IFERROR(__xludf.DUMMYFUNCTION("""COMPUTED_VALUE"""),7.38)</f>
        <v>7.38</v>
      </c>
      <c r="H13507" s="17"/>
      <c r="K13507" s="17"/>
      <c r="N13507" s="17"/>
    </row>
    <row r="13508">
      <c r="B13508" s="11">
        <f>IFERROR(__xludf.DUMMYFUNCTION("""COMPUTED_VALUE"""),27115.0)</f>
        <v>27115</v>
      </c>
      <c r="C13508" s="9">
        <f>IFERROR(__xludf.DUMMYFUNCTION("""COMPUTED_VALUE"""),7.35)</f>
        <v>7.35</v>
      </c>
      <c r="H13508" s="17"/>
      <c r="K13508" s="17"/>
      <c r="N13508" s="17"/>
    </row>
    <row r="13509">
      <c r="B13509" s="11">
        <f>IFERROR(__xludf.DUMMYFUNCTION("""COMPUTED_VALUE"""),27114.0)</f>
        <v>27114</v>
      </c>
      <c r="C13509" s="9">
        <f>IFERROR(__xludf.DUMMYFUNCTION("""COMPUTED_VALUE"""),7.38)</f>
        <v>7.38</v>
      </c>
      <c r="H13509" s="17"/>
      <c r="K13509" s="17"/>
      <c r="N13509" s="17"/>
    </row>
    <row r="13510">
      <c r="B13510" s="11">
        <f>IFERROR(__xludf.DUMMYFUNCTION("""COMPUTED_VALUE"""),27113.0)</f>
        <v>27113</v>
      </c>
      <c r="C13510" s="9">
        <f>IFERROR(__xludf.DUMMYFUNCTION("""COMPUTED_VALUE"""),7.39)</f>
        <v>7.39</v>
      </c>
      <c r="H13510" s="17"/>
      <c r="K13510" s="17"/>
      <c r="N13510" s="17"/>
    </row>
    <row r="13511">
      <c r="B13511" s="11">
        <f>IFERROR(__xludf.DUMMYFUNCTION("""COMPUTED_VALUE"""),27110.0)</f>
        <v>27110</v>
      </c>
      <c r="C13511" s="9">
        <f>IFERROR(__xludf.DUMMYFUNCTION("""COMPUTED_VALUE"""),7.35)</f>
        <v>7.35</v>
      </c>
      <c r="H13511" s="17"/>
      <c r="K13511" s="17"/>
      <c r="N13511" s="17"/>
    </row>
    <row r="13512">
      <c r="B13512" s="11">
        <f>IFERROR(__xludf.DUMMYFUNCTION("""COMPUTED_VALUE"""),27109.0)</f>
        <v>27109</v>
      </c>
      <c r="C13512" s="9">
        <f>IFERROR(__xludf.DUMMYFUNCTION("""COMPUTED_VALUE"""),7.3)</f>
        <v>7.3</v>
      </c>
      <c r="H13512" s="17"/>
      <c r="K13512" s="17"/>
      <c r="N13512" s="17"/>
    </row>
    <row r="13513">
      <c r="B13513" s="11">
        <f>IFERROR(__xludf.DUMMYFUNCTION("""COMPUTED_VALUE"""),27108.0)</f>
        <v>27108</v>
      </c>
      <c r="C13513" s="9">
        <f>IFERROR(__xludf.DUMMYFUNCTION("""COMPUTED_VALUE"""),7.27)</f>
        <v>7.27</v>
      </c>
      <c r="H13513" s="17"/>
      <c r="K13513" s="17"/>
      <c r="N13513" s="17"/>
    </row>
    <row r="13514">
      <c r="B13514" s="11">
        <f>IFERROR(__xludf.DUMMYFUNCTION("""COMPUTED_VALUE"""),27107.0)</f>
        <v>27107</v>
      </c>
      <c r="C13514" s="9">
        <f>IFERROR(__xludf.DUMMYFUNCTION("""COMPUTED_VALUE"""),7.24)</f>
        <v>7.24</v>
      </c>
      <c r="H13514" s="17"/>
      <c r="K13514" s="17"/>
      <c r="N13514" s="17"/>
    </row>
    <row r="13515">
      <c r="B13515" s="11">
        <f>IFERROR(__xludf.DUMMYFUNCTION("""COMPUTED_VALUE"""),27106.0)</f>
        <v>27106</v>
      </c>
      <c r="C13515" s="9">
        <f>IFERROR(__xludf.DUMMYFUNCTION("""COMPUTED_VALUE"""),7.23)</f>
        <v>7.23</v>
      </c>
      <c r="H13515" s="17"/>
      <c r="K13515" s="17"/>
      <c r="N13515" s="17"/>
    </row>
    <row r="13516">
      <c r="B13516" s="11">
        <f>IFERROR(__xludf.DUMMYFUNCTION("""COMPUTED_VALUE"""),27103.0)</f>
        <v>27103</v>
      </c>
      <c r="C13516" s="9">
        <f>IFERROR(__xludf.DUMMYFUNCTION("""COMPUTED_VALUE"""),7.18)</f>
        <v>7.18</v>
      </c>
      <c r="H13516" s="17"/>
      <c r="K13516" s="17"/>
      <c r="N13516" s="17"/>
    </row>
    <row r="13517">
      <c r="B13517" s="11">
        <f>IFERROR(__xludf.DUMMYFUNCTION("""COMPUTED_VALUE"""),27102.0)</f>
        <v>27102</v>
      </c>
      <c r="C13517" s="9">
        <f>IFERROR(__xludf.DUMMYFUNCTION("""COMPUTED_VALUE"""),7.13)</f>
        <v>7.13</v>
      </c>
      <c r="H13517" s="17"/>
      <c r="K13517" s="17"/>
      <c r="N13517" s="17"/>
    </row>
    <row r="13518">
      <c r="B13518" s="11">
        <f>IFERROR(__xludf.DUMMYFUNCTION("""COMPUTED_VALUE"""),27101.0)</f>
        <v>27101</v>
      </c>
      <c r="C13518" s="9">
        <f>IFERROR(__xludf.DUMMYFUNCTION("""COMPUTED_VALUE"""),7.13)</f>
        <v>7.13</v>
      </c>
      <c r="H13518" s="17"/>
      <c r="K13518" s="17"/>
      <c r="N13518" s="17"/>
    </row>
    <row r="13519">
      <c r="B13519" s="11">
        <f>IFERROR(__xludf.DUMMYFUNCTION("""COMPUTED_VALUE"""),27100.0)</f>
        <v>27100</v>
      </c>
      <c r="C13519" s="9">
        <f>IFERROR(__xludf.DUMMYFUNCTION("""COMPUTED_VALUE"""),7.09)</f>
        <v>7.09</v>
      </c>
      <c r="H13519" s="17"/>
      <c r="K13519" s="17"/>
      <c r="N13519" s="17"/>
    </row>
    <row r="13520">
      <c r="B13520" s="11">
        <f>IFERROR(__xludf.DUMMYFUNCTION("""COMPUTED_VALUE"""),27099.0)</f>
        <v>27099</v>
      </c>
      <c r="C13520" s="9">
        <f>IFERROR(__xludf.DUMMYFUNCTION("""COMPUTED_VALUE"""),7.08)</f>
        <v>7.08</v>
      </c>
      <c r="H13520" s="17"/>
      <c r="K13520" s="17"/>
      <c r="N13520" s="17"/>
    </row>
    <row r="13521">
      <c r="B13521" s="11">
        <f>IFERROR(__xludf.DUMMYFUNCTION("""COMPUTED_VALUE"""),27096.0)</f>
        <v>27096</v>
      </c>
      <c r="C13521" s="9">
        <f>IFERROR(__xludf.DUMMYFUNCTION("""COMPUTED_VALUE"""),7.06)</f>
        <v>7.06</v>
      </c>
      <c r="H13521" s="17"/>
      <c r="K13521" s="17"/>
      <c r="N13521" s="17"/>
    </row>
    <row r="13522">
      <c r="B13522" s="11">
        <f>IFERROR(__xludf.DUMMYFUNCTION("""COMPUTED_VALUE"""),27095.0)</f>
        <v>27095</v>
      </c>
      <c r="C13522" s="9">
        <f>IFERROR(__xludf.DUMMYFUNCTION("""COMPUTED_VALUE"""),7.06)</f>
        <v>7.06</v>
      </c>
      <c r="H13522" s="17"/>
      <c r="K13522" s="17"/>
      <c r="N13522" s="17"/>
    </row>
    <row r="13523">
      <c r="B13523" s="11">
        <f>IFERROR(__xludf.DUMMYFUNCTION("""COMPUTED_VALUE"""),27094.0)</f>
        <v>27094</v>
      </c>
      <c r="C13523" s="9">
        <f>IFERROR(__xludf.DUMMYFUNCTION("""COMPUTED_VALUE"""),7.09)</f>
        <v>7.09</v>
      </c>
      <c r="H13523" s="17"/>
      <c r="K13523" s="17"/>
      <c r="N13523" s="17"/>
    </row>
    <row r="13524">
      <c r="B13524" s="11">
        <f>IFERROR(__xludf.DUMMYFUNCTION("""COMPUTED_VALUE"""),27093.0)</f>
        <v>27093</v>
      </c>
      <c r="C13524" s="9">
        <f>IFERROR(__xludf.DUMMYFUNCTION("""COMPUTED_VALUE"""),7.1)</f>
        <v>7.1</v>
      </c>
      <c r="H13524" s="17"/>
      <c r="K13524" s="17"/>
      <c r="N13524" s="17"/>
    </row>
    <row r="13525">
      <c r="B13525" s="11">
        <f>IFERROR(__xludf.DUMMYFUNCTION("""COMPUTED_VALUE"""),27092.0)</f>
        <v>27092</v>
      </c>
      <c r="C13525" s="9">
        <f>IFERROR(__xludf.DUMMYFUNCTION("""COMPUTED_VALUE"""),7.09)</f>
        <v>7.09</v>
      </c>
      <c r="H13525" s="17"/>
      <c r="K13525" s="17"/>
      <c r="N13525" s="17"/>
    </row>
    <row r="13526">
      <c r="B13526" s="11">
        <f>IFERROR(__xludf.DUMMYFUNCTION("""COMPUTED_VALUE"""),27089.0)</f>
        <v>27089</v>
      </c>
      <c r="C13526" s="9">
        <f>IFERROR(__xludf.DUMMYFUNCTION("""COMPUTED_VALUE"""),7.08)</f>
        <v>7.08</v>
      </c>
      <c r="H13526" s="17"/>
      <c r="K13526" s="17"/>
      <c r="N13526" s="17"/>
    </row>
    <row r="13527">
      <c r="B13527" s="11">
        <f>IFERROR(__xludf.DUMMYFUNCTION("""COMPUTED_VALUE"""),27088.0)</f>
        <v>27088</v>
      </c>
      <c r="C13527" s="9">
        <f>IFERROR(__xludf.DUMMYFUNCTION("""COMPUTED_VALUE"""),7.01)</f>
        <v>7.01</v>
      </c>
      <c r="H13527" s="17"/>
      <c r="K13527" s="17"/>
      <c r="N13527" s="17"/>
    </row>
    <row r="13528">
      <c r="B13528" s="11">
        <f>IFERROR(__xludf.DUMMYFUNCTION("""COMPUTED_VALUE"""),27087.0)</f>
        <v>27087</v>
      </c>
      <c r="C13528" s="9">
        <f>IFERROR(__xludf.DUMMYFUNCTION("""COMPUTED_VALUE"""),7.0)</f>
        <v>7</v>
      </c>
      <c r="H13528" s="17"/>
      <c r="K13528" s="17"/>
      <c r="N13528" s="17"/>
    </row>
    <row r="13529">
      <c r="B13529" s="11">
        <f>IFERROR(__xludf.DUMMYFUNCTION("""COMPUTED_VALUE"""),27086.0)</f>
        <v>27086</v>
      </c>
      <c r="C13529" s="9">
        <f>IFERROR(__xludf.DUMMYFUNCTION("""COMPUTED_VALUE"""),6.98)</f>
        <v>6.98</v>
      </c>
      <c r="H13529" s="17"/>
      <c r="K13529" s="17"/>
      <c r="N13529" s="17"/>
    </row>
    <row r="13530">
      <c r="B13530" s="11">
        <f>IFERROR(__xludf.DUMMYFUNCTION("""COMPUTED_VALUE"""),27085.0)</f>
        <v>27085</v>
      </c>
      <c r="C13530" s="9">
        <f>IFERROR(__xludf.DUMMYFUNCTION("""COMPUTED_VALUE"""),6.96)</f>
        <v>6.96</v>
      </c>
      <c r="H13530" s="17"/>
      <c r="K13530" s="17"/>
      <c r="N13530" s="17"/>
    </row>
    <row r="13531">
      <c r="B13531" s="11">
        <f>IFERROR(__xludf.DUMMYFUNCTION("""COMPUTED_VALUE"""),27082.0)</f>
        <v>27082</v>
      </c>
      <c r="C13531" s="9">
        <f>IFERROR(__xludf.DUMMYFUNCTION("""COMPUTED_VALUE"""),6.97)</f>
        <v>6.97</v>
      </c>
      <c r="H13531" s="17"/>
      <c r="K13531" s="17"/>
      <c r="N13531" s="17"/>
    </row>
    <row r="13532">
      <c r="B13532" s="11">
        <f>IFERROR(__xludf.DUMMYFUNCTION("""COMPUTED_VALUE"""),27081.0)</f>
        <v>27081</v>
      </c>
      <c r="C13532" s="9">
        <f>IFERROR(__xludf.DUMMYFUNCTION("""COMPUTED_VALUE"""),6.98)</f>
        <v>6.98</v>
      </c>
      <c r="H13532" s="17"/>
      <c r="K13532" s="17"/>
      <c r="N13532" s="17"/>
    </row>
    <row r="13533">
      <c r="B13533" s="11">
        <f>IFERROR(__xludf.DUMMYFUNCTION("""COMPUTED_VALUE"""),27080.0)</f>
        <v>27080</v>
      </c>
      <c r="C13533" s="9">
        <f>IFERROR(__xludf.DUMMYFUNCTION("""COMPUTED_VALUE"""),6.96)</f>
        <v>6.96</v>
      </c>
      <c r="H13533" s="17"/>
      <c r="K13533" s="17"/>
      <c r="N13533" s="17"/>
    </row>
    <row r="13534">
      <c r="B13534" s="11">
        <f>IFERROR(__xludf.DUMMYFUNCTION("""COMPUTED_VALUE"""),27079.0)</f>
        <v>27079</v>
      </c>
      <c r="C13534" s="9">
        <f>IFERROR(__xludf.DUMMYFUNCTION("""COMPUTED_VALUE"""),6.93)</f>
        <v>6.93</v>
      </c>
      <c r="H13534" s="17"/>
      <c r="K13534" s="17"/>
      <c r="N13534" s="17"/>
    </row>
    <row r="13535">
      <c r="B13535" s="11">
        <f>IFERROR(__xludf.DUMMYFUNCTION("""COMPUTED_VALUE"""),27078.0)</f>
        <v>27078</v>
      </c>
      <c r="C13535" s="9"/>
      <c r="H13535" s="17"/>
      <c r="K13535" s="17"/>
      <c r="N13535" s="17"/>
    </row>
    <row r="13536">
      <c r="B13536" s="11">
        <f>IFERROR(__xludf.DUMMYFUNCTION("""COMPUTED_VALUE"""),27075.0)</f>
        <v>27075</v>
      </c>
      <c r="C13536" s="9">
        <f>IFERROR(__xludf.DUMMYFUNCTION("""COMPUTED_VALUE"""),6.93)</f>
        <v>6.93</v>
      </c>
      <c r="H13536" s="17"/>
      <c r="K13536" s="17"/>
      <c r="N13536" s="17"/>
    </row>
    <row r="13537">
      <c r="B13537" s="11">
        <f>IFERROR(__xludf.DUMMYFUNCTION("""COMPUTED_VALUE"""),27074.0)</f>
        <v>27074</v>
      </c>
      <c r="C13537" s="9">
        <f>IFERROR(__xludf.DUMMYFUNCTION("""COMPUTED_VALUE"""),6.93)</f>
        <v>6.93</v>
      </c>
      <c r="H13537" s="17"/>
      <c r="K13537" s="17"/>
      <c r="N13537" s="17"/>
    </row>
    <row r="13538">
      <c r="B13538" s="11">
        <f>IFERROR(__xludf.DUMMYFUNCTION("""COMPUTED_VALUE"""),27073.0)</f>
        <v>27073</v>
      </c>
      <c r="C13538" s="9">
        <f>IFERROR(__xludf.DUMMYFUNCTION("""COMPUTED_VALUE"""),6.93)</f>
        <v>6.93</v>
      </c>
      <c r="H13538" s="17"/>
      <c r="K13538" s="17"/>
      <c r="N13538" s="17"/>
    </row>
    <row r="13539">
      <c r="B13539" s="11">
        <f>IFERROR(__xludf.DUMMYFUNCTION("""COMPUTED_VALUE"""),27072.0)</f>
        <v>27072</v>
      </c>
      <c r="C13539" s="9"/>
      <c r="H13539" s="17"/>
      <c r="K13539" s="17"/>
      <c r="N13539" s="17"/>
    </row>
    <row r="13540">
      <c r="B13540" s="11">
        <f>IFERROR(__xludf.DUMMYFUNCTION("""COMPUTED_VALUE"""),27071.0)</f>
        <v>27071</v>
      </c>
      <c r="C13540" s="9">
        <f>IFERROR(__xludf.DUMMYFUNCTION("""COMPUTED_VALUE"""),6.93)</f>
        <v>6.93</v>
      </c>
      <c r="H13540" s="17"/>
      <c r="K13540" s="17"/>
      <c r="N13540" s="17"/>
    </row>
    <row r="13541">
      <c r="B13541" s="11">
        <f>IFERROR(__xludf.DUMMYFUNCTION("""COMPUTED_VALUE"""),27068.0)</f>
        <v>27068</v>
      </c>
      <c r="C13541" s="9">
        <f>IFERROR(__xludf.DUMMYFUNCTION("""COMPUTED_VALUE"""),6.93)</f>
        <v>6.93</v>
      </c>
      <c r="H13541" s="17"/>
      <c r="K13541" s="17"/>
      <c r="N13541" s="17"/>
    </row>
    <row r="13542">
      <c r="B13542" s="11">
        <f>IFERROR(__xludf.DUMMYFUNCTION("""COMPUTED_VALUE"""),27067.0)</f>
        <v>27067</v>
      </c>
      <c r="C13542" s="9">
        <f>IFERROR(__xludf.DUMMYFUNCTION("""COMPUTED_VALUE"""),6.93)</f>
        <v>6.93</v>
      </c>
      <c r="H13542" s="17"/>
      <c r="K13542" s="17"/>
      <c r="N13542" s="17"/>
    </row>
    <row r="13543">
      <c r="B13543" s="11">
        <f>IFERROR(__xludf.DUMMYFUNCTION("""COMPUTED_VALUE"""),27066.0)</f>
        <v>27066</v>
      </c>
      <c r="C13543" s="9">
        <f>IFERROR(__xludf.DUMMYFUNCTION("""COMPUTED_VALUE"""),6.93)</f>
        <v>6.93</v>
      </c>
      <c r="H13543" s="17"/>
      <c r="K13543" s="17"/>
      <c r="N13543" s="17"/>
    </row>
    <row r="13544">
      <c r="B13544" s="11">
        <f>IFERROR(__xludf.DUMMYFUNCTION("""COMPUTED_VALUE"""),27065.0)</f>
        <v>27065</v>
      </c>
      <c r="C13544" s="9">
        <f>IFERROR(__xludf.DUMMYFUNCTION("""COMPUTED_VALUE"""),6.95)</f>
        <v>6.95</v>
      </c>
      <c r="H13544" s="17"/>
      <c r="K13544" s="17"/>
      <c r="N13544" s="17"/>
    </row>
    <row r="13545">
      <c r="B13545" s="11">
        <f>IFERROR(__xludf.DUMMYFUNCTION("""COMPUTED_VALUE"""),27064.0)</f>
        <v>27064</v>
      </c>
      <c r="C13545" s="9">
        <f>IFERROR(__xludf.DUMMYFUNCTION("""COMPUTED_VALUE"""),6.98)</f>
        <v>6.98</v>
      </c>
      <c r="H13545" s="17"/>
      <c r="K13545" s="17"/>
      <c r="N13545" s="17"/>
    </row>
    <row r="13546">
      <c r="B13546" s="11">
        <f>IFERROR(__xludf.DUMMYFUNCTION("""COMPUTED_VALUE"""),27061.0)</f>
        <v>27061</v>
      </c>
      <c r="C13546" s="9">
        <f>IFERROR(__xludf.DUMMYFUNCTION("""COMPUTED_VALUE"""),7.0)</f>
        <v>7</v>
      </c>
      <c r="H13546" s="17"/>
      <c r="K13546" s="17"/>
      <c r="N13546" s="17"/>
    </row>
    <row r="13547">
      <c r="B13547" s="11">
        <f>IFERROR(__xludf.DUMMYFUNCTION("""COMPUTED_VALUE"""),27060.0)</f>
        <v>27060</v>
      </c>
      <c r="C13547" s="9">
        <f>IFERROR(__xludf.DUMMYFUNCTION("""COMPUTED_VALUE"""),7.0)</f>
        <v>7</v>
      </c>
      <c r="H13547" s="17"/>
      <c r="K13547" s="17"/>
      <c r="N13547" s="17"/>
    </row>
    <row r="13548">
      <c r="B13548" s="11">
        <f>IFERROR(__xludf.DUMMYFUNCTION("""COMPUTED_VALUE"""),27059.0)</f>
        <v>27059</v>
      </c>
      <c r="C13548" s="9">
        <f>IFERROR(__xludf.DUMMYFUNCTION("""COMPUTED_VALUE"""),7.01)</f>
        <v>7.01</v>
      </c>
      <c r="H13548" s="17"/>
      <c r="K13548" s="17"/>
      <c r="N13548" s="17"/>
    </row>
    <row r="13549">
      <c r="B13549" s="11">
        <f>IFERROR(__xludf.DUMMYFUNCTION("""COMPUTED_VALUE"""),27058.0)</f>
        <v>27058</v>
      </c>
      <c r="C13549" s="9">
        <f>IFERROR(__xludf.DUMMYFUNCTION("""COMPUTED_VALUE"""),7.02)</f>
        <v>7.02</v>
      </c>
      <c r="H13549" s="17"/>
      <c r="K13549" s="17"/>
      <c r="N13549" s="17"/>
    </row>
    <row r="13550">
      <c r="B13550" s="11">
        <f>IFERROR(__xludf.DUMMYFUNCTION("""COMPUTED_VALUE"""),27057.0)</f>
        <v>27057</v>
      </c>
      <c r="C13550" s="9">
        <f>IFERROR(__xludf.DUMMYFUNCTION("""COMPUTED_VALUE"""),7.01)</f>
        <v>7.01</v>
      </c>
      <c r="H13550" s="17"/>
      <c r="K13550" s="17"/>
      <c r="N13550" s="17"/>
    </row>
    <row r="13551">
      <c r="B13551" s="11">
        <f>IFERROR(__xludf.DUMMYFUNCTION("""COMPUTED_VALUE"""),27054.0)</f>
        <v>27054</v>
      </c>
      <c r="C13551" s="9">
        <f>IFERROR(__xludf.DUMMYFUNCTION("""COMPUTED_VALUE"""),7.02)</f>
        <v>7.02</v>
      </c>
      <c r="H13551" s="17"/>
      <c r="K13551" s="17"/>
      <c r="N13551" s="17"/>
    </row>
    <row r="13552">
      <c r="B13552" s="11">
        <f>IFERROR(__xludf.DUMMYFUNCTION("""COMPUTED_VALUE"""),27053.0)</f>
        <v>27053</v>
      </c>
      <c r="C13552" s="9">
        <f>IFERROR(__xludf.DUMMYFUNCTION("""COMPUTED_VALUE"""),7.02)</f>
        <v>7.02</v>
      </c>
      <c r="H13552" s="17"/>
      <c r="K13552" s="17"/>
      <c r="N13552" s="17"/>
    </row>
    <row r="13553">
      <c r="B13553" s="11">
        <f>IFERROR(__xludf.DUMMYFUNCTION("""COMPUTED_VALUE"""),27052.0)</f>
        <v>27052</v>
      </c>
      <c r="C13553" s="9">
        <f>IFERROR(__xludf.DUMMYFUNCTION("""COMPUTED_VALUE"""),7.01)</f>
        <v>7.01</v>
      </c>
      <c r="H13553" s="17"/>
      <c r="K13553" s="17"/>
      <c r="N13553" s="17"/>
    </row>
    <row r="13554">
      <c r="B13554" s="11">
        <f>IFERROR(__xludf.DUMMYFUNCTION("""COMPUTED_VALUE"""),27051.0)</f>
        <v>27051</v>
      </c>
      <c r="C13554" s="9">
        <f>IFERROR(__xludf.DUMMYFUNCTION("""COMPUTED_VALUE"""),7.0)</f>
        <v>7</v>
      </c>
      <c r="H13554" s="17"/>
      <c r="K13554" s="17"/>
      <c r="N13554" s="17"/>
    </row>
    <row r="13555">
      <c r="B13555" s="11">
        <f>IFERROR(__xludf.DUMMYFUNCTION("""COMPUTED_VALUE"""),27050.0)</f>
        <v>27050</v>
      </c>
      <c r="C13555" s="9">
        <f>IFERROR(__xludf.DUMMYFUNCTION("""COMPUTED_VALUE"""),6.99)</f>
        <v>6.99</v>
      </c>
      <c r="H13555" s="17"/>
      <c r="K13555" s="17"/>
      <c r="N13555" s="17"/>
    </row>
    <row r="13556">
      <c r="B13556" s="11">
        <f>IFERROR(__xludf.DUMMYFUNCTION("""COMPUTED_VALUE"""),27047.0)</f>
        <v>27047</v>
      </c>
      <c r="C13556" s="9">
        <f>IFERROR(__xludf.DUMMYFUNCTION("""COMPUTED_VALUE"""),6.98)</f>
        <v>6.98</v>
      </c>
      <c r="H13556" s="17"/>
      <c r="K13556" s="17"/>
      <c r="N13556" s="17"/>
    </row>
    <row r="13557">
      <c r="B13557" s="11">
        <f>IFERROR(__xludf.DUMMYFUNCTION("""COMPUTED_VALUE"""),27046.0)</f>
        <v>27046</v>
      </c>
      <c r="C13557" s="9">
        <f>IFERROR(__xludf.DUMMYFUNCTION("""COMPUTED_VALUE"""),6.97)</f>
        <v>6.97</v>
      </c>
      <c r="H13557" s="17"/>
      <c r="K13557" s="17"/>
      <c r="N13557" s="17"/>
    </row>
    <row r="13558">
      <c r="B13558" s="11">
        <f>IFERROR(__xludf.DUMMYFUNCTION("""COMPUTED_VALUE"""),27045.0)</f>
        <v>27045</v>
      </c>
      <c r="C13558" s="9">
        <f>IFERROR(__xludf.DUMMYFUNCTION("""COMPUTED_VALUE"""),6.99)</f>
        <v>6.99</v>
      </c>
      <c r="H13558" s="17"/>
      <c r="K13558" s="17"/>
      <c r="N13558" s="17"/>
    </row>
    <row r="13559">
      <c r="B13559" s="11">
        <f>IFERROR(__xludf.DUMMYFUNCTION("""COMPUTED_VALUE"""),27044.0)</f>
        <v>27044</v>
      </c>
      <c r="C13559" s="9">
        <f>IFERROR(__xludf.DUMMYFUNCTION("""COMPUTED_VALUE"""),6.99)</f>
        <v>6.99</v>
      </c>
      <c r="H13559" s="17"/>
      <c r="K13559" s="17"/>
      <c r="N13559" s="17"/>
    </row>
    <row r="13560">
      <c r="B13560" s="11">
        <f>IFERROR(__xludf.DUMMYFUNCTION("""COMPUTED_VALUE"""),27043.0)</f>
        <v>27043</v>
      </c>
      <c r="C13560" s="9">
        <f>IFERROR(__xludf.DUMMYFUNCTION("""COMPUTED_VALUE"""),7.01)</f>
        <v>7.01</v>
      </c>
      <c r="H13560" s="17"/>
      <c r="K13560" s="17"/>
      <c r="N13560" s="17"/>
    </row>
    <row r="13561">
      <c r="B13561" s="11">
        <f>IFERROR(__xludf.DUMMYFUNCTION("""COMPUTED_VALUE"""),27040.0)</f>
        <v>27040</v>
      </c>
      <c r="C13561" s="9">
        <f>IFERROR(__xludf.DUMMYFUNCTION("""COMPUTED_VALUE"""),7.01)</f>
        <v>7.01</v>
      </c>
      <c r="H13561" s="17"/>
      <c r="K13561" s="17"/>
      <c r="N13561" s="17"/>
    </row>
    <row r="13562">
      <c r="B13562" s="11">
        <f>IFERROR(__xludf.DUMMYFUNCTION("""COMPUTED_VALUE"""),27039.0)</f>
        <v>27039</v>
      </c>
      <c r="C13562" s="9">
        <f>IFERROR(__xludf.DUMMYFUNCTION("""COMPUTED_VALUE"""),7.0)</f>
        <v>7</v>
      </c>
      <c r="H13562" s="17"/>
      <c r="K13562" s="17"/>
      <c r="N13562" s="17"/>
    </row>
    <row r="13563">
      <c r="B13563" s="11">
        <f>IFERROR(__xludf.DUMMYFUNCTION("""COMPUTED_VALUE"""),27038.0)</f>
        <v>27038</v>
      </c>
      <c r="C13563" s="9">
        <f>IFERROR(__xludf.DUMMYFUNCTION("""COMPUTED_VALUE"""),6.96)</f>
        <v>6.96</v>
      </c>
      <c r="H13563" s="17"/>
      <c r="K13563" s="17"/>
      <c r="N13563" s="17"/>
    </row>
    <row r="13564">
      <c r="B13564" s="11">
        <f>IFERROR(__xludf.DUMMYFUNCTION("""COMPUTED_VALUE"""),27037.0)</f>
        <v>27037</v>
      </c>
      <c r="C13564" s="9">
        <f>IFERROR(__xludf.DUMMYFUNCTION("""COMPUTED_VALUE"""),6.96)</f>
        <v>6.96</v>
      </c>
      <c r="H13564" s="17"/>
      <c r="K13564" s="17"/>
      <c r="N13564" s="17"/>
    </row>
    <row r="13565">
      <c r="B13565" s="11">
        <f>IFERROR(__xludf.DUMMYFUNCTION("""COMPUTED_VALUE"""),27036.0)</f>
        <v>27036</v>
      </c>
      <c r="C13565" s="9">
        <f>IFERROR(__xludf.DUMMYFUNCTION("""COMPUTED_VALUE"""),6.96)</f>
        <v>6.96</v>
      </c>
      <c r="H13565" s="17"/>
      <c r="K13565" s="17"/>
      <c r="N13565" s="17"/>
    </row>
    <row r="13566">
      <c r="B13566" s="11">
        <f>IFERROR(__xludf.DUMMYFUNCTION("""COMPUTED_VALUE"""),27033.0)</f>
        <v>27033</v>
      </c>
      <c r="C13566" s="9">
        <f>IFERROR(__xludf.DUMMYFUNCTION("""COMPUTED_VALUE"""),6.94)</f>
        <v>6.94</v>
      </c>
      <c r="H13566" s="17"/>
      <c r="K13566" s="17"/>
      <c r="N13566" s="17"/>
    </row>
    <row r="13567">
      <c r="B13567" s="11">
        <f>IFERROR(__xludf.DUMMYFUNCTION("""COMPUTED_VALUE"""),27032.0)</f>
        <v>27032</v>
      </c>
      <c r="C13567" s="9">
        <f>IFERROR(__xludf.DUMMYFUNCTION("""COMPUTED_VALUE"""),6.96)</f>
        <v>6.96</v>
      </c>
      <c r="H13567" s="17"/>
      <c r="K13567" s="17"/>
      <c r="N13567" s="17"/>
    </row>
    <row r="13568">
      <c r="B13568" s="11">
        <f>IFERROR(__xludf.DUMMYFUNCTION("""COMPUTED_VALUE"""),27031.0)</f>
        <v>27031</v>
      </c>
      <c r="C13568" s="9">
        <f>IFERROR(__xludf.DUMMYFUNCTION("""COMPUTED_VALUE"""),6.94)</f>
        <v>6.94</v>
      </c>
      <c r="H13568" s="17"/>
      <c r="K13568" s="17"/>
      <c r="N13568" s="17"/>
    </row>
    <row r="13569">
      <c r="B13569" s="11">
        <f>IFERROR(__xludf.DUMMYFUNCTION("""COMPUTED_VALUE"""),27030.0)</f>
        <v>27030</v>
      </c>
      <c r="C13569" s="9"/>
      <c r="H13569" s="17"/>
      <c r="K13569" s="17"/>
      <c r="N13569" s="17"/>
    </row>
    <row r="13570">
      <c r="B13570" s="11">
        <f>IFERROR(__xludf.DUMMYFUNCTION("""COMPUTED_VALUE"""),27029.0)</f>
        <v>27029</v>
      </c>
      <c r="C13570" s="9">
        <f>IFERROR(__xludf.DUMMYFUNCTION("""COMPUTED_VALUE"""),6.9)</f>
        <v>6.9</v>
      </c>
      <c r="H13570" s="17"/>
      <c r="K13570" s="17"/>
      <c r="N13570" s="17"/>
    </row>
    <row r="13571">
      <c r="B13571" s="11">
        <f>IFERROR(__xludf.DUMMYFUNCTION("""COMPUTED_VALUE"""),27026.0)</f>
        <v>27026</v>
      </c>
      <c r="C13571" s="9">
        <f>IFERROR(__xludf.DUMMYFUNCTION("""COMPUTED_VALUE"""),6.91)</f>
        <v>6.91</v>
      </c>
      <c r="H13571" s="17"/>
      <c r="K13571" s="17"/>
      <c r="N13571" s="17"/>
    </row>
    <row r="13572">
      <c r="B13572" s="11">
        <f>IFERROR(__xludf.DUMMYFUNCTION("""COMPUTED_VALUE"""),27025.0)</f>
        <v>27025</v>
      </c>
      <c r="C13572" s="9">
        <f>IFERROR(__xludf.DUMMYFUNCTION("""COMPUTED_VALUE"""),6.88)</f>
        <v>6.88</v>
      </c>
      <c r="H13572" s="17"/>
      <c r="K13572" s="17"/>
      <c r="N13572" s="17"/>
    </row>
    <row r="13573">
      <c r="B13573" s="11">
        <f>IFERROR(__xludf.DUMMYFUNCTION("""COMPUTED_VALUE"""),27024.0)</f>
        <v>27024</v>
      </c>
      <c r="C13573" s="9">
        <f>IFERROR(__xludf.DUMMYFUNCTION("""COMPUTED_VALUE"""),6.83)</f>
        <v>6.83</v>
      </c>
      <c r="H13573" s="17"/>
      <c r="K13573" s="17"/>
      <c r="N13573" s="17"/>
    </row>
    <row r="13574">
      <c r="B13574" s="11">
        <f>IFERROR(__xludf.DUMMYFUNCTION("""COMPUTED_VALUE"""),27023.0)</f>
        <v>27023</v>
      </c>
      <c r="C13574" s="9"/>
      <c r="H13574" s="17"/>
      <c r="K13574" s="17"/>
      <c r="N13574" s="17"/>
    </row>
    <row r="13575">
      <c r="B13575" s="11">
        <f>IFERROR(__xludf.DUMMYFUNCTION("""COMPUTED_VALUE"""),27022.0)</f>
        <v>27022</v>
      </c>
      <c r="C13575" s="9"/>
      <c r="H13575" s="17"/>
      <c r="K13575" s="17"/>
      <c r="N13575" s="17"/>
    </row>
    <row r="13576">
      <c r="B13576" s="11">
        <f>IFERROR(__xludf.DUMMYFUNCTION("""COMPUTED_VALUE"""),27019.0)</f>
        <v>27019</v>
      </c>
      <c r="C13576" s="9">
        <f>IFERROR(__xludf.DUMMYFUNCTION("""COMPUTED_VALUE"""),6.78)</f>
        <v>6.78</v>
      </c>
      <c r="H13576" s="17"/>
      <c r="K13576" s="17"/>
      <c r="N13576" s="17"/>
    </row>
    <row r="13577">
      <c r="B13577" s="11">
        <f>IFERROR(__xludf.DUMMYFUNCTION("""COMPUTED_VALUE"""),27018.0)</f>
        <v>27018</v>
      </c>
      <c r="C13577" s="9">
        <f>IFERROR(__xludf.DUMMYFUNCTION("""COMPUTED_VALUE"""),6.73)</f>
        <v>6.73</v>
      </c>
      <c r="H13577" s="17"/>
      <c r="K13577" s="17"/>
      <c r="N13577" s="17"/>
    </row>
    <row r="13578">
      <c r="B13578" s="11">
        <f>IFERROR(__xludf.DUMMYFUNCTION("""COMPUTED_VALUE"""),27017.0)</f>
        <v>27017</v>
      </c>
      <c r="C13578" s="9">
        <f>IFERROR(__xludf.DUMMYFUNCTION("""COMPUTED_VALUE"""),6.71)</f>
        <v>6.71</v>
      </c>
      <c r="H13578" s="17"/>
      <c r="K13578" s="17"/>
      <c r="N13578" s="17"/>
    </row>
    <row r="13579">
      <c r="B13579" s="11">
        <f>IFERROR(__xludf.DUMMYFUNCTION("""COMPUTED_VALUE"""),27016.0)</f>
        <v>27016</v>
      </c>
      <c r="C13579" s="9">
        <f>IFERROR(__xludf.DUMMYFUNCTION("""COMPUTED_VALUE"""),6.68)</f>
        <v>6.68</v>
      </c>
      <c r="H13579" s="17"/>
      <c r="K13579" s="17"/>
      <c r="N13579" s="17"/>
    </row>
    <row r="13580">
      <c r="B13580" s="11">
        <f>IFERROR(__xludf.DUMMYFUNCTION("""COMPUTED_VALUE"""),27015.0)</f>
        <v>27015</v>
      </c>
      <c r="C13580" s="9">
        <f>IFERROR(__xludf.DUMMYFUNCTION("""COMPUTED_VALUE"""),6.67)</f>
        <v>6.67</v>
      </c>
      <c r="H13580" s="17"/>
      <c r="K13580" s="17"/>
      <c r="N13580" s="17"/>
    </row>
    <row r="13581">
      <c r="B13581" s="11">
        <f>IFERROR(__xludf.DUMMYFUNCTION("""COMPUTED_VALUE"""),27012.0)</f>
        <v>27012</v>
      </c>
      <c r="C13581" s="9">
        <f>IFERROR(__xludf.DUMMYFUNCTION("""COMPUTED_VALUE"""),6.68)</f>
        <v>6.68</v>
      </c>
      <c r="H13581" s="17"/>
      <c r="K13581" s="17"/>
      <c r="N13581" s="17"/>
    </row>
    <row r="13582">
      <c r="B13582" s="11">
        <f>IFERROR(__xludf.DUMMYFUNCTION("""COMPUTED_VALUE"""),27011.0)</f>
        <v>27011</v>
      </c>
      <c r="C13582" s="9">
        <f>IFERROR(__xludf.DUMMYFUNCTION("""COMPUTED_VALUE"""),6.68)</f>
        <v>6.68</v>
      </c>
      <c r="H13582" s="17"/>
      <c r="K13582" s="17"/>
      <c r="N13582" s="17"/>
    </row>
    <row r="13583">
      <c r="B13583" s="11">
        <f>IFERROR(__xludf.DUMMYFUNCTION("""COMPUTED_VALUE"""),27010.0)</f>
        <v>27010</v>
      </c>
      <c r="C13583" s="9">
        <f>IFERROR(__xludf.DUMMYFUNCTION("""COMPUTED_VALUE"""),6.69)</f>
        <v>6.69</v>
      </c>
      <c r="H13583" s="17"/>
      <c r="K13583" s="17"/>
      <c r="N13583" s="17"/>
    </row>
    <row r="13584">
      <c r="B13584" s="11">
        <f>IFERROR(__xludf.DUMMYFUNCTION("""COMPUTED_VALUE"""),27009.0)</f>
        <v>27009</v>
      </c>
      <c r="C13584" s="9">
        <f>IFERROR(__xludf.DUMMYFUNCTION("""COMPUTED_VALUE"""),6.69)</f>
        <v>6.69</v>
      </c>
      <c r="H13584" s="17"/>
      <c r="K13584" s="17"/>
      <c r="N13584" s="17"/>
    </row>
    <row r="13585">
      <c r="B13585" s="11">
        <f>IFERROR(__xludf.DUMMYFUNCTION("""COMPUTED_VALUE"""),27008.0)</f>
        <v>27008</v>
      </c>
      <c r="C13585" s="9">
        <f>IFERROR(__xludf.DUMMYFUNCTION("""COMPUTED_VALUE"""),6.71)</f>
        <v>6.71</v>
      </c>
      <c r="H13585" s="17"/>
      <c r="K13585" s="17"/>
      <c r="N13585" s="17"/>
    </row>
    <row r="13586">
      <c r="B13586" s="11">
        <f>IFERROR(__xludf.DUMMYFUNCTION("""COMPUTED_VALUE"""),27005.0)</f>
        <v>27005</v>
      </c>
      <c r="C13586" s="9">
        <f>IFERROR(__xludf.DUMMYFUNCTION("""COMPUTED_VALUE"""),6.74)</f>
        <v>6.74</v>
      </c>
      <c r="H13586" s="17"/>
      <c r="K13586" s="17"/>
      <c r="N13586" s="17"/>
    </row>
    <row r="13587">
      <c r="B13587" s="11">
        <f>IFERROR(__xludf.DUMMYFUNCTION("""COMPUTED_VALUE"""),27004.0)</f>
        <v>27004</v>
      </c>
      <c r="C13587" s="9">
        <f>IFERROR(__xludf.DUMMYFUNCTION("""COMPUTED_VALUE"""),6.75)</f>
        <v>6.75</v>
      </c>
      <c r="H13587" s="17"/>
      <c r="K13587" s="17"/>
      <c r="N13587" s="17"/>
    </row>
    <row r="13588">
      <c r="B13588" s="11">
        <f>IFERROR(__xludf.DUMMYFUNCTION("""COMPUTED_VALUE"""),27003.0)</f>
        <v>27003</v>
      </c>
      <c r="C13588" s="9">
        <f>IFERROR(__xludf.DUMMYFUNCTION("""COMPUTED_VALUE"""),6.72)</f>
        <v>6.72</v>
      </c>
      <c r="H13588" s="17"/>
      <c r="K13588" s="17"/>
      <c r="N13588" s="17"/>
    </row>
    <row r="13589">
      <c r="B13589" s="11">
        <f>IFERROR(__xludf.DUMMYFUNCTION("""COMPUTED_VALUE"""),27002.0)</f>
        <v>27002</v>
      </c>
      <c r="C13589" s="9">
        <f>IFERROR(__xludf.DUMMYFUNCTION("""COMPUTED_VALUE"""),6.69)</f>
        <v>6.69</v>
      </c>
      <c r="H13589" s="17"/>
      <c r="K13589" s="17"/>
      <c r="N13589" s="17"/>
    </row>
    <row r="13590">
      <c r="B13590" s="11">
        <f>IFERROR(__xludf.DUMMYFUNCTION("""COMPUTED_VALUE"""),27001.0)</f>
        <v>27001</v>
      </c>
      <c r="C13590" s="9">
        <f>IFERROR(__xludf.DUMMYFUNCTION("""COMPUTED_VALUE"""),6.69)</f>
        <v>6.69</v>
      </c>
      <c r="H13590" s="17"/>
      <c r="K13590" s="17"/>
      <c r="N13590" s="17"/>
    </row>
    <row r="13591">
      <c r="B13591" s="11">
        <f>IFERROR(__xludf.DUMMYFUNCTION("""COMPUTED_VALUE"""),26998.0)</f>
        <v>26998</v>
      </c>
      <c r="C13591" s="9">
        <f>IFERROR(__xludf.DUMMYFUNCTION("""COMPUTED_VALUE"""),6.69)</f>
        <v>6.69</v>
      </c>
      <c r="H13591" s="17"/>
      <c r="K13591" s="17"/>
      <c r="N13591" s="17"/>
    </row>
    <row r="13592">
      <c r="B13592" s="11">
        <f>IFERROR(__xludf.DUMMYFUNCTION("""COMPUTED_VALUE"""),26997.0)</f>
        <v>26997</v>
      </c>
      <c r="C13592" s="9">
        <f>IFERROR(__xludf.DUMMYFUNCTION("""COMPUTED_VALUE"""),6.7)</f>
        <v>6.7</v>
      </c>
      <c r="H13592" s="17"/>
      <c r="K13592" s="17"/>
      <c r="N13592" s="17"/>
    </row>
    <row r="13593">
      <c r="B13593" s="11">
        <f>IFERROR(__xludf.DUMMYFUNCTION("""COMPUTED_VALUE"""),26996.0)</f>
        <v>26996</v>
      </c>
      <c r="C13593" s="9">
        <f>IFERROR(__xludf.DUMMYFUNCTION("""COMPUTED_VALUE"""),6.7)</f>
        <v>6.7</v>
      </c>
      <c r="H13593" s="17"/>
      <c r="K13593" s="17"/>
      <c r="N13593" s="17"/>
    </row>
    <row r="13594">
      <c r="B13594" s="11">
        <f>IFERROR(__xludf.DUMMYFUNCTION("""COMPUTED_VALUE"""),26995.0)</f>
        <v>26995</v>
      </c>
      <c r="C13594" s="9">
        <f>IFERROR(__xludf.DUMMYFUNCTION("""COMPUTED_VALUE"""),6.7)</f>
        <v>6.7</v>
      </c>
      <c r="H13594" s="17"/>
      <c r="K13594" s="17"/>
      <c r="N13594" s="17"/>
    </row>
    <row r="13595">
      <c r="B13595" s="11">
        <f>IFERROR(__xludf.DUMMYFUNCTION("""COMPUTED_VALUE"""),26994.0)</f>
        <v>26994</v>
      </c>
      <c r="C13595" s="9">
        <f>IFERROR(__xludf.DUMMYFUNCTION("""COMPUTED_VALUE"""),6.69)</f>
        <v>6.69</v>
      </c>
      <c r="H13595" s="17"/>
      <c r="K13595" s="17"/>
      <c r="N13595" s="17"/>
    </row>
    <row r="13596">
      <c r="B13596" s="11">
        <f>IFERROR(__xludf.DUMMYFUNCTION("""COMPUTED_VALUE"""),26991.0)</f>
        <v>26991</v>
      </c>
      <c r="C13596" s="9">
        <f>IFERROR(__xludf.DUMMYFUNCTION("""COMPUTED_VALUE"""),6.7)</f>
        <v>6.7</v>
      </c>
      <c r="H13596" s="17"/>
      <c r="K13596" s="17"/>
      <c r="N13596" s="17"/>
    </row>
    <row r="13597">
      <c r="B13597" s="11">
        <f>IFERROR(__xludf.DUMMYFUNCTION("""COMPUTED_VALUE"""),26990.0)</f>
        <v>26990</v>
      </c>
      <c r="C13597" s="9"/>
      <c r="H13597" s="17"/>
      <c r="K13597" s="17"/>
      <c r="N13597" s="17"/>
    </row>
    <row r="13598">
      <c r="B13598" s="11">
        <f>IFERROR(__xludf.DUMMYFUNCTION("""COMPUTED_VALUE"""),26989.0)</f>
        <v>26989</v>
      </c>
      <c r="C13598" s="9">
        <f>IFERROR(__xludf.DUMMYFUNCTION("""COMPUTED_VALUE"""),6.71)</f>
        <v>6.71</v>
      </c>
      <c r="H13598" s="17"/>
      <c r="K13598" s="17"/>
      <c r="N13598" s="17"/>
    </row>
    <row r="13599">
      <c r="B13599" s="11">
        <f>IFERROR(__xludf.DUMMYFUNCTION("""COMPUTED_VALUE"""),26988.0)</f>
        <v>26988</v>
      </c>
      <c r="C13599" s="9">
        <f>IFERROR(__xludf.DUMMYFUNCTION("""COMPUTED_VALUE"""),6.72)</f>
        <v>6.72</v>
      </c>
      <c r="H13599" s="17"/>
      <c r="K13599" s="17"/>
      <c r="N13599" s="17"/>
    </row>
    <row r="13600">
      <c r="B13600" s="11">
        <f>IFERROR(__xludf.DUMMYFUNCTION("""COMPUTED_VALUE"""),26987.0)</f>
        <v>26987</v>
      </c>
      <c r="C13600" s="9">
        <f>IFERROR(__xludf.DUMMYFUNCTION("""COMPUTED_VALUE"""),6.71)</f>
        <v>6.71</v>
      </c>
      <c r="H13600" s="17"/>
      <c r="K13600" s="17"/>
      <c r="N13600" s="17"/>
    </row>
    <row r="13601">
      <c r="B13601" s="11">
        <f>IFERROR(__xludf.DUMMYFUNCTION("""COMPUTED_VALUE"""),26984.0)</f>
        <v>26984</v>
      </c>
      <c r="C13601" s="9">
        <f>IFERROR(__xludf.DUMMYFUNCTION("""COMPUTED_VALUE"""),6.72)</f>
        <v>6.72</v>
      </c>
      <c r="H13601" s="17"/>
      <c r="K13601" s="17"/>
      <c r="N13601" s="17"/>
    </row>
    <row r="13602">
      <c r="B13602" s="11">
        <f>IFERROR(__xludf.DUMMYFUNCTION("""COMPUTED_VALUE"""),26983.0)</f>
        <v>26983</v>
      </c>
      <c r="C13602" s="9">
        <f>IFERROR(__xludf.DUMMYFUNCTION("""COMPUTED_VALUE"""),6.76)</f>
        <v>6.76</v>
      </c>
      <c r="H13602" s="17"/>
      <c r="K13602" s="17"/>
      <c r="N13602" s="17"/>
    </row>
    <row r="13603">
      <c r="B13603" s="11">
        <f>IFERROR(__xludf.DUMMYFUNCTION("""COMPUTED_VALUE"""),26982.0)</f>
        <v>26982</v>
      </c>
      <c r="C13603" s="9">
        <f>IFERROR(__xludf.DUMMYFUNCTION("""COMPUTED_VALUE"""),6.79)</f>
        <v>6.79</v>
      </c>
      <c r="H13603" s="17"/>
      <c r="K13603" s="17"/>
      <c r="N13603" s="17"/>
    </row>
    <row r="13604">
      <c r="B13604" s="11">
        <f>IFERROR(__xludf.DUMMYFUNCTION("""COMPUTED_VALUE"""),26981.0)</f>
        <v>26981</v>
      </c>
      <c r="C13604" s="9">
        <f>IFERROR(__xludf.DUMMYFUNCTION("""COMPUTED_VALUE"""),6.76)</f>
        <v>6.76</v>
      </c>
      <c r="H13604" s="17"/>
      <c r="K13604" s="17"/>
      <c r="N13604" s="17"/>
    </row>
    <row r="13605">
      <c r="B13605" s="11">
        <f>IFERROR(__xludf.DUMMYFUNCTION("""COMPUTED_VALUE"""),26980.0)</f>
        <v>26980</v>
      </c>
      <c r="C13605" s="9">
        <f>IFERROR(__xludf.DUMMYFUNCTION("""COMPUTED_VALUE"""),6.76)</f>
        <v>6.76</v>
      </c>
      <c r="H13605" s="17"/>
      <c r="K13605" s="17"/>
      <c r="N13605" s="17"/>
    </row>
    <row r="13606">
      <c r="B13606" s="11">
        <f>IFERROR(__xludf.DUMMYFUNCTION("""COMPUTED_VALUE"""),26977.0)</f>
        <v>26977</v>
      </c>
      <c r="C13606" s="9">
        <f>IFERROR(__xludf.DUMMYFUNCTION("""COMPUTED_VALUE"""),6.76)</f>
        <v>6.76</v>
      </c>
      <c r="H13606" s="17"/>
      <c r="K13606" s="17"/>
      <c r="N13606" s="17"/>
    </row>
    <row r="13607">
      <c r="B13607" s="11">
        <f>IFERROR(__xludf.DUMMYFUNCTION("""COMPUTED_VALUE"""),26976.0)</f>
        <v>26976</v>
      </c>
      <c r="C13607" s="9">
        <f>IFERROR(__xludf.DUMMYFUNCTION("""COMPUTED_VALUE"""),6.77)</f>
        <v>6.77</v>
      </c>
      <c r="H13607" s="17"/>
      <c r="K13607" s="17"/>
      <c r="N13607" s="17"/>
    </row>
    <row r="13608">
      <c r="B13608" s="11">
        <f>IFERROR(__xludf.DUMMYFUNCTION("""COMPUTED_VALUE"""),26975.0)</f>
        <v>26975</v>
      </c>
      <c r="C13608" s="9">
        <f>IFERROR(__xludf.DUMMYFUNCTION("""COMPUTED_VALUE"""),6.76)</f>
        <v>6.76</v>
      </c>
      <c r="H13608" s="17"/>
      <c r="K13608" s="17"/>
      <c r="N13608" s="17"/>
    </row>
    <row r="13609">
      <c r="B13609" s="11">
        <f>IFERROR(__xludf.DUMMYFUNCTION("""COMPUTED_VALUE"""),26974.0)</f>
        <v>26974</v>
      </c>
      <c r="C13609" s="9"/>
      <c r="H13609" s="17"/>
      <c r="K13609" s="17"/>
      <c r="N13609" s="17"/>
    </row>
    <row r="13610">
      <c r="B13610" s="11">
        <f>IFERROR(__xludf.DUMMYFUNCTION("""COMPUTED_VALUE"""),26973.0)</f>
        <v>26973</v>
      </c>
      <c r="C13610" s="9">
        <f>IFERROR(__xludf.DUMMYFUNCTION("""COMPUTED_VALUE"""),6.74)</f>
        <v>6.74</v>
      </c>
      <c r="H13610" s="17"/>
      <c r="K13610" s="17"/>
      <c r="N13610" s="17"/>
    </row>
    <row r="13611">
      <c r="B13611" s="11">
        <f>IFERROR(__xludf.DUMMYFUNCTION("""COMPUTED_VALUE"""),26970.0)</f>
        <v>26970</v>
      </c>
      <c r="C13611" s="9">
        <f>IFERROR(__xludf.DUMMYFUNCTION("""COMPUTED_VALUE"""),6.72)</f>
        <v>6.72</v>
      </c>
      <c r="H13611" s="17"/>
      <c r="K13611" s="17"/>
      <c r="N13611" s="17"/>
    </row>
    <row r="13612">
      <c r="B13612" s="11">
        <f>IFERROR(__xludf.DUMMYFUNCTION("""COMPUTED_VALUE"""),26969.0)</f>
        <v>26969</v>
      </c>
      <c r="C13612" s="9">
        <f>IFERROR(__xludf.DUMMYFUNCTION("""COMPUTED_VALUE"""),6.71)</f>
        <v>6.71</v>
      </c>
      <c r="H13612" s="17"/>
      <c r="K13612" s="17"/>
      <c r="N13612" s="17"/>
    </row>
    <row r="13613">
      <c r="B13613" s="11">
        <f>IFERROR(__xludf.DUMMYFUNCTION("""COMPUTED_VALUE"""),26968.0)</f>
        <v>26968</v>
      </c>
      <c r="C13613" s="9">
        <f>IFERROR(__xludf.DUMMYFUNCTION("""COMPUTED_VALUE"""),6.71)</f>
        <v>6.71</v>
      </c>
      <c r="H13613" s="17"/>
      <c r="K13613" s="17"/>
      <c r="N13613" s="17"/>
    </row>
    <row r="13614">
      <c r="B13614" s="11">
        <f>IFERROR(__xludf.DUMMYFUNCTION("""COMPUTED_VALUE"""),26967.0)</f>
        <v>26967</v>
      </c>
      <c r="C13614" s="9">
        <f>IFERROR(__xludf.DUMMYFUNCTION("""COMPUTED_VALUE"""),6.72)</f>
        <v>6.72</v>
      </c>
      <c r="H13614" s="17"/>
      <c r="K13614" s="17"/>
      <c r="N13614" s="17"/>
    </row>
    <row r="13615">
      <c r="B13615" s="11">
        <f>IFERROR(__xludf.DUMMYFUNCTION("""COMPUTED_VALUE"""),26966.0)</f>
        <v>26966</v>
      </c>
      <c r="C13615" s="9">
        <f>IFERROR(__xludf.DUMMYFUNCTION("""COMPUTED_VALUE"""),6.72)</f>
        <v>6.72</v>
      </c>
      <c r="H13615" s="17"/>
      <c r="K13615" s="17"/>
      <c r="N13615" s="17"/>
    </row>
    <row r="13616">
      <c r="B13616" s="11">
        <f>IFERROR(__xludf.DUMMYFUNCTION("""COMPUTED_VALUE"""),26963.0)</f>
        <v>26963</v>
      </c>
      <c r="C13616" s="9">
        <f>IFERROR(__xludf.DUMMYFUNCTION("""COMPUTED_VALUE"""),6.72)</f>
        <v>6.72</v>
      </c>
      <c r="H13616" s="17"/>
      <c r="K13616" s="17"/>
      <c r="N13616" s="17"/>
    </row>
    <row r="13617">
      <c r="B13617" s="11">
        <f>IFERROR(__xludf.DUMMYFUNCTION("""COMPUTED_VALUE"""),26962.0)</f>
        <v>26962</v>
      </c>
      <c r="C13617" s="9">
        <f>IFERROR(__xludf.DUMMYFUNCTION("""COMPUTED_VALUE"""),6.73)</f>
        <v>6.73</v>
      </c>
      <c r="H13617" s="17"/>
      <c r="K13617" s="17"/>
      <c r="N13617" s="17"/>
    </row>
    <row r="13618">
      <c r="B13618" s="11">
        <f>IFERROR(__xludf.DUMMYFUNCTION("""COMPUTED_VALUE"""),26961.0)</f>
        <v>26961</v>
      </c>
      <c r="C13618" s="9">
        <f>IFERROR(__xludf.DUMMYFUNCTION("""COMPUTED_VALUE"""),6.75)</f>
        <v>6.75</v>
      </c>
      <c r="H13618" s="17"/>
      <c r="K13618" s="17"/>
      <c r="N13618" s="17"/>
    </row>
    <row r="13619">
      <c r="B13619" s="11">
        <f>IFERROR(__xludf.DUMMYFUNCTION("""COMPUTED_VALUE"""),26960.0)</f>
        <v>26960</v>
      </c>
      <c r="C13619" s="9">
        <f>IFERROR(__xludf.DUMMYFUNCTION("""COMPUTED_VALUE"""),6.8)</f>
        <v>6.8</v>
      </c>
      <c r="H13619" s="17"/>
      <c r="K13619" s="17"/>
      <c r="N13619" s="17"/>
    </row>
    <row r="13620">
      <c r="B13620" s="11">
        <f>IFERROR(__xludf.DUMMYFUNCTION("""COMPUTED_VALUE"""),26959.0)</f>
        <v>26959</v>
      </c>
      <c r="C13620" s="9"/>
      <c r="H13620" s="17"/>
      <c r="K13620" s="17"/>
      <c r="N13620" s="17"/>
    </row>
    <row r="13621">
      <c r="B13621" s="11">
        <f>IFERROR(__xludf.DUMMYFUNCTION("""COMPUTED_VALUE"""),26956.0)</f>
        <v>26956</v>
      </c>
      <c r="C13621" s="9">
        <f>IFERROR(__xludf.DUMMYFUNCTION("""COMPUTED_VALUE"""),6.8)</f>
        <v>6.8</v>
      </c>
      <c r="H13621" s="17"/>
      <c r="K13621" s="17"/>
      <c r="N13621" s="17"/>
    </row>
    <row r="13622">
      <c r="B13622" s="11">
        <f>IFERROR(__xludf.DUMMYFUNCTION("""COMPUTED_VALUE"""),26955.0)</f>
        <v>26955</v>
      </c>
      <c r="C13622" s="9">
        <f>IFERROR(__xludf.DUMMYFUNCTION("""COMPUTED_VALUE"""),6.81)</f>
        <v>6.81</v>
      </c>
      <c r="H13622" s="17"/>
      <c r="K13622" s="17"/>
      <c r="N13622" s="17"/>
    </row>
    <row r="13623">
      <c r="B13623" s="11">
        <f>IFERROR(__xludf.DUMMYFUNCTION("""COMPUTED_VALUE"""),26954.0)</f>
        <v>26954</v>
      </c>
      <c r="C13623" s="9">
        <f>IFERROR(__xludf.DUMMYFUNCTION("""COMPUTED_VALUE"""),6.82)</f>
        <v>6.82</v>
      </c>
      <c r="H13623" s="17"/>
      <c r="K13623" s="17"/>
      <c r="N13623" s="17"/>
    </row>
    <row r="13624">
      <c r="B13624" s="11">
        <f>IFERROR(__xludf.DUMMYFUNCTION("""COMPUTED_VALUE"""),26953.0)</f>
        <v>26953</v>
      </c>
      <c r="C13624" s="9">
        <f>IFERROR(__xludf.DUMMYFUNCTION("""COMPUTED_VALUE"""),6.81)</f>
        <v>6.81</v>
      </c>
      <c r="H13624" s="17"/>
      <c r="K13624" s="17"/>
      <c r="N13624" s="17"/>
    </row>
    <row r="13625">
      <c r="B13625" s="11">
        <f>IFERROR(__xludf.DUMMYFUNCTION("""COMPUTED_VALUE"""),26952.0)</f>
        <v>26952</v>
      </c>
      <c r="C13625" s="9">
        <f>IFERROR(__xludf.DUMMYFUNCTION("""COMPUTED_VALUE"""),6.77)</f>
        <v>6.77</v>
      </c>
      <c r="H13625" s="17"/>
      <c r="K13625" s="17"/>
      <c r="N13625" s="17"/>
    </row>
    <row r="13626">
      <c r="B13626" s="11">
        <f>IFERROR(__xludf.DUMMYFUNCTION("""COMPUTED_VALUE"""),26949.0)</f>
        <v>26949</v>
      </c>
      <c r="C13626" s="9">
        <f>IFERROR(__xludf.DUMMYFUNCTION("""COMPUTED_VALUE"""),6.75)</f>
        <v>6.75</v>
      </c>
      <c r="H13626" s="17"/>
      <c r="K13626" s="17"/>
      <c r="N13626" s="17"/>
    </row>
    <row r="13627">
      <c r="B13627" s="11">
        <f>IFERROR(__xludf.DUMMYFUNCTION("""COMPUTED_VALUE"""),26948.0)</f>
        <v>26948</v>
      </c>
      <c r="C13627" s="9">
        <f>IFERROR(__xludf.DUMMYFUNCTION("""COMPUTED_VALUE"""),6.78)</f>
        <v>6.78</v>
      </c>
      <c r="H13627" s="17"/>
      <c r="K13627" s="17"/>
      <c r="N13627" s="17"/>
    </row>
    <row r="13628">
      <c r="B13628" s="11">
        <f>IFERROR(__xludf.DUMMYFUNCTION("""COMPUTED_VALUE"""),26947.0)</f>
        <v>26947</v>
      </c>
      <c r="C13628" s="9">
        <f>IFERROR(__xludf.DUMMYFUNCTION("""COMPUTED_VALUE"""),6.77)</f>
        <v>6.77</v>
      </c>
      <c r="H13628" s="17"/>
      <c r="K13628" s="17"/>
      <c r="N13628" s="17"/>
    </row>
    <row r="13629">
      <c r="B13629" s="11">
        <f>IFERROR(__xludf.DUMMYFUNCTION("""COMPUTED_VALUE"""),26946.0)</f>
        <v>26946</v>
      </c>
      <c r="C13629" s="9">
        <f>IFERROR(__xludf.DUMMYFUNCTION("""COMPUTED_VALUE"""),6.78)</f>
        <v>6.78</v>
      </c>
      <c r="H13629" s="17"/>
      <c r="K13629" s="17"/>
      <c r="N13629" s="17"/>
    </row>
    <row r="13630">
      <c r="B13630" s="11">
        <f>IFERROR(__xludf.DUMMYFUNCTION("""COMPUTED_VALUE"""),26945.0)</f>
        <v>26945</v>
      </c>
      <c r="C13630" s="9"/>
      <c r="H13630" s="17"/>
      <c r="K13630" s="17"/>
      <c r="N13630" s="17"/>
    </row>
    <row r="13631">
      <c r="B13631" s="11">
        <f>IFERROR(__xludf.DUMMYFUNCTION("""COMPUTED_VALUE"""),26942.0)</f>
        <v>26942</v>
      </c>
      <c r="C13631" s="9">
        <f>IFERROR(__xludf.DUMMYFUNCTION("""COMPUTED_VALUE"""),6.86)</f>
        <v>6.86</v>
      </c>
      <c r="H13631" s="17"/>
      <c r="K13631" s="17"/>
      <c r="N13631" s="17"/>
    </row>
    <row r="13632">
      <c r="B13632" s="11">
        <f>IFERROR(__xludf.DUMMYFUNCTION("""COMPUTED_VALUE"""),26941.0)</f>
        <v>26941</v>
      </c>
      <c r="C13632" s="9">
        <f>IFERROR(__xludf.DUMMYFUNCTION("""COMPUTED_VALUE"""),6.88)</f>
        <v>6.88</v>
      </c>
      <c r="H13632" s="17"/>
      <c r="K13632" s="17"/>
      <c r="N13632" s="17"/>
    </row>
    <row r="13633">
      <c r="B13633" s="11">
        <f>IFERROR(__xludf.DUMMYFUNCTION("""COMPUTED_VALUE"""),26940.0)</f>
        <v>26940</v>
      </c>
      <c r="C13633" s="9">
        <f>IFERROR(__xludf.DUMMYFUNCTION("""COMPUTED_VALUE"""),6.9)</f>
        <v>6.9</v>
      </c>
      <c r="H13633" s="17"/>
      <c r="K13633" s="17"/>
      <c r="N13633" s="17"/>
    </row>
    <row r="13634">
      <c r="B13634" s="11">
        <f>IFERROR(__xludf.DUMMYFUNCTION("""COMPUTED_VALUE"""),26939.0)</f>
        <v>26939</v>
      </c>
      <c r="C13634" s="9">
        <f>IFERROR(__xludf.DUMMYFUNCTION("""COMPUTED_VALUE"""),6.89)</f>
        <v>6.89</v>
      </c>
      <c r="H13634" s="17"/>
      <c r="K13634" s="17"/>
      <c r="N13634" s="17"/>
    </row>
    <row r="13635">
      <c r="B13635" s="11">
        <f>IFERROR(__xludf.DUMMYFUNCTION("""COMPUTED_VALUE"""),26938.0)</f>
        <v>26938</v>
      </c>
      <c r="C13635" s="9">
        <f>IFERROR(__xludf.DUMMYFUNCTION("""COMPUTED_VALUE"""),6.91)</f>
        <v>6.91</v>
      </c>
      <c r="H13635" s="17"/>
      <c r="K13635" s="17"/>
      <c r="N13635" s="17"/>
    </row>
    <row r="13636">
      <c r="B13636" s="11">
        <f>IFERROR(__xludf.DUMMYFUNCTION("""COMPUTED_VALUE"""),26935.0)</f>
        <v>26935</v>
      </c>
      <c r="C13636" s="9">
        <f>IFERROR(__xludf.DUMMYFUNCTION("""COMPUTED_VALUE"""),6.9)</f>
        <v>6.9</v>
      </c>
      <c r="H13636" s="17"/>
      <c r="K13636" s="17"/>
      <c r="N13636" s="17"/>
    </row>
    <row r="13637">
      <c r="B13637" s="11">
        <f>IFERROR(__xludf.DUMMYFUNCTION("""COMPUTED_VALUE"""),26934.0)</f>
        <v>26934</v>
      </c>
      <c r="C13637" s="9">
        <f>IFERROR(__xludf.DUMMYFUNCTION("""COMPUTED_VALUE"""),6.94)</f>
        <v>6.94</v>
      </c>
      <c r="H13637" s="17"/>
      <c r="K13637" s="17"/>
      <c r="N13637" s="17"/>
    </row>
    <row r="13638">
      <c r="B13638" s="11">
        <f>IFERROR(__xludf.DUMMYFUNCTION("""COMPUTED_VALUE"""),26933.0)</f>
        <v>26933</v>
      </c>
      <c r="C13638" s="9">
        <f>IFERROR(__xludf.DUMMYFUNCTION("""COMPUTED_VALUE"""),6.97)</f>
        <v>6.97</v>
      </c>
      <c r="H13638" s="17"/>
      <c r="K13638" s="17"/>
      <c r="N13638" s="17"/>
    </row>
    <row r="13639">
      <c r="B13639" s="11">
        <f>IFERROR(__xludf.DUMMYFUNCTION("""COMPUTED_VALUE"""),26932.0)</f>
        <v>26932</v>
      </c>
      <c r="C13639" s="9">
        <f>IFERROR(__xludf.DUMMYFUNCTION("""COMPUTED_VALUE"""),6.96)</f>
        <v>6.96</v>
      </c>
      <c r="H13639" s="17"/>
      <c r="K13639" s="17"/>
      <c r="N13639" s="17"/>
    </row>
    <row r="13640">
      <c r="B13640" s="11">
        <f>IFERROR(__xludf.DUMMYFUNCTION("""COMPUTED_VALUE"""),26931.0)</f>
        <v>26931</v>
      </c>
      <c r="C13640" s="9">
        <f>IFERROR(__xludf.DUMMYFUNCTION("""COMPUTED_VALUE"""),7.0)</f>
        <v>7</v>
      </c>
      <c r="H13640" s="17"/>
      <c r="K13640" s="17"/>
      <c r="N13640" s="17"/>
    </row>
    <row r="13641">
      <c r="B13641" s="11">
        <f>IFERROR(__xludf.DUMMYFUNCTION("""COMPUTED_VALUE"""),26928.0)</f>
        <v>26928</v>
      </c>
      <c r="C13641" s="9">
        <f>IFERROR(__xludf.DUMMYFUNCTION("""COMPUTED_VALUE"""),7.02)</f>
        <v>7.02</v>
      </c>
      <c r="H13641" s="17"/>
      <c r="K13641" s="17"/>
      <c r="N13641" s="17"/>
    </row>
    <row r="13642">
      <c r="B13642" s="11">
        <f>IFERROR(__xludf.DUMMYFUNCTION("""COMPUTED_VALUE"""),26927.0)</f>
        <v>26927</v>
      </c>
      <c r="C13642" s="9">
        <f>IFERROR(__xludf.DUMMYFUNCTION("""COMPUTED_VALUE"""),7.09)</f>
        <v>7.09</v>
      </c>
      <c r="H13642" s="17"/>
      <c r="K13642" s="17"/>
      <c r="N13642" s="17"/>
    </row>
    <row r="13643">
      <c r="B13643" s="11">
        <f>IFERROR(__xludf.DUMMYFUNCTION("""COMPUTED_VALUE"""),26926.0)</f>
        <v>26926</v>
      </c>
      <c r="C13643" s="9">
        <f>IFERROR(__xludf.DUMMYFUNCTION("""COMPUTED_VALUE"""),7.1)</f>
        <v>7.1</v>
      </c>
      <c r="H13643" s="17"/>
      <c r="K13643" s="17"/>
      <c r="N13643" s="17"/>
    </row>
    <row r="13644">
      <c r="B13644" s="11">
        <f>IFERROR(__xludf.DUMMYFUNCTION("""COMPUTED_VALUE"""),26925.0)</f>
        <v>26925</v>
      </c>
      <c r="C13644" s="9">
        <f>IFERROR(__xludf.DUMMYFUNCTION("""COMPUTED_VALUE"""),7.08)</f>
        <v>7.08</v>
      </c>
      <c r="H13644" s="17"/>
      <c r="K13644" s="17"/>
      <c r="N13644" s="17"/>
    </row>
    <row r="13645">
      <c r="B13645" s="11">
        <f>IFERROR(__xludf.DUMMYFUNCTION("""COMPUTED_VALUE"""),26924.0)</f>
        <v>26924</v>
      </c>
      <c r="C13645" s="9">
        <f>IFERROR(__xludf.DUMMYFUNCTION("""COMPUTED_VALUE"""),7.16)</f>
        <v>7.16</v>
      </c>
      <c r="H13645" s="17"/>
      <c r="K13645" s="17"/>
      <c r="N13645" s="17"/>
    </row>
    <row r="13646">
      <c r="B13646" s="11">
        <f>IFERROR(__xludf.DUMMYFUNCTION("""COMPUTED_VALUE"""),26921.0)</f>
        <v>26921</v>
      </c>
      <c r="C13646" s="9">
        <f>IFERROR(__xludf.DUMMYFUNCTION("""COMPUTED_VALUE"""),7.21)</f>
        <v>7.21</v>
      </c>
      <c r="H13646" s="17"/>
      <c r="K13646" s="17"/>
      <c r="N13646" s="17"/>
    </row>
    <row r="13647">
      <c r="B13647" s="11">
        <f>IFERROR(__xludf.DUMMYFUNCTION("""COMPUTED_VALUE"""),26920.0)</f>
        <v>26920</v>
      </c>
      <c r="C13647" s="9">
        <f>IFERROR(__xludf.DUMMYFUNCTION("""COMPUTED_VALUE"""),7.21)</f>
        <v>7.21</v>
      </c>
      <c r="H13647" s="17"/>
      <c r="K13647" s="17"/>
      <c r="N13647" s="17"/>
    </row>
    <row r="13648">
      <c r="B13648" s="11">
        <f>IFERROR(__xludf.DUMMYFUNCTION("""COMPUTED_VALUE"""),26919.0)</f>
        <v>26919</v>
      </c>
      <c r="C13648" s="9">
        <f>IFERROR(__xludf.DUMMYFUNCTION("""COMPUTED_VALUE"""),7.2)</f>
        <v>7.2</v>
      </c>
      <c r="H13648" s="17"/>
      <c r="K13648" s="17"/>
      <c r="N13648" s="17"/>
    </row>
    <row r="13649">
      <c r="B13649" s="11">
        <f>IFERROR(__xludf.DUMMYFUNCTION("""COMPUTED_VALUE"""),26918.0)</f>
        <v>26918</v>
      </c>
      <c r="C13649" s="9">
        <f>IFERROR(__xludf.DUMMYFUNCTION("""COMPUTED_VALUE"""),7.19)</f>
        <v>7.19</v>
      </c>
      <c r="H13649" s="17"/>
      <c r="K13649" s="17"/>
      <c r="N13649" s="17"/>
    </row>
    <row r="13650">
      <c r="B13650" s="11">
        <f>IFERROR(__xludf.DUMMYFUNCTION("""COMPUTED_VALUE"""),26917.0)</f>
        <v>26917</v>
      </c>
      <c r="C13650" s="9">
        <f>IFERROR(__xludf.DUMMYFUNCTION("""COMPUTED_VALUE"""),7.16)</f>
        <v>7.16</v>
      </c>
      <c r="H13650" s="17"/>
      <c r="K13650" s="17"/>
      <c r="N13650" s="17"/>
    </row>
    <row r="13651">
      <c r="B13651" s="11">
        <f>IFERROR(__xludf.DUMMYFUNCTION("""COMPUTED_VALUE"""),26914.0)</f>
        <v>26914</v>
      </c>
      <c r="C13651" s="9">
        <f>IFERROR(__xludf.DUMMYFUNCTION("""COMPUTED_VALUE"""),7.11)</f>
        <v>7.11</v>
      </c>
      <c r="H13651" s="17"/>
      <c r="K13651" s="17"/>
      <c r="N13651" s="17"/>
    </row>
    <row r="13652">
      <c r="B13652" s="11">
        <f>IFERROR(__xludf.DUMMYFUNCTION("""COMPUTED_VALUE"""),26913.0)</f>
        <v>26913</v>
      </c>
      <c r="C13652" s="9">
        <f>IFERROR(__xludf.DUMMYFUNCTION("""COMPUTED_VALUE"""),7.1)</f>
        <v>7.1</v>
      </c>
      <c r="H13652" s="17"/>
      <c r="K13652" s="17"/>
      <c r="N13652" s="17"/>
    </row>
    <row r="13653">
      <c r="B13653" s="11">
        <f>IFERROR(__xludf.DUMMYFUNCTION("""COMPUTED_VALUE"""),26912.0)</f>
        <v>26912</v>
      </c>
      <c r="C13653" s="9">
        <f>IFERROR(__xludf.DUMMYFUNCTION("""COMPUTED_VALUE"""),7.11)</f>
        <v>7.11</v>
      </c>
      <c r="H13653" s="17"/>
      <c r="K13653" s="17"/>
      <c r="N13653" s="17"/>
    </row>
    <row r="13654">
      <c r="B13654" s="11">
        <f>IFERROR(__xludf.DUMMYFUNCTION("""COMPUTED_VALUE"""),26911.0)</f>
        <v>26911</v>
      </c>
      <c r="C13654" s="9">
        <f>IFERROR(__xludf.DUMMYFUNCTION("""COMPUTED_VALUE"""),7.21)</f>
        <v>7.21</v>
      </c>
      <c r="H13654" s="17"/>
      <c r="K13654" s="17"/>
      <c r="N13654" s="17"/>
    </row>
    <row r="13655">
      <c r="B13655" s="11">
        <f>IFERROR(__xludf.DUMMYFUNCTION("""COMPUTED_VALUE"""),26910.0)</f>
        <v>26910</v>
      </c>
      <c r="C13655" s="9"/>
      <c r="H13655" s="17"/>
      <c r="K13655" s="17"/>
      <c r="N13655" s="17"/>
    </row>
    <row r="13656">
      <c r="B13656" s="11">
        <f>IFERROR(__xludf.DUMMYFUNCTION("""COMPUTED_VALUE"""),26907.0)</f>
        <v>26907</v>
      </c>
      <c r="C13656" s="9">
        <f>IFERROR(__xludf.DUMMYFUNCTION("""COMPUTED_VALUE"""),7.25)</f>
        <v>7.25</v>
      </c>
      <c r="H13656" s="17"/>
      <c r="K13656" s="17"/>
      <c r="N13656" s="17"/>
    </row>
    <row r="13657">
      <c r="B13657" s="11">
        <f>IFERROR(__xludf.DUMMYFUNCTION("""COMPUTED_VALUE"""),26906.0)</f>
        <v>26906</v>
      </c>
      <c r="C13657" s="9">
        <f>IFERROR(__xludf.DUMMYFUNCTION("""COMPUTED_VALUE"""),7.25)</f>
        <v>7.25</v>
      </c>
      <c r="H13657" s="17"/>
      <c r="K13657" s="17"/>
      <c r="N13657" s="17"/>
    </row>
    <row r="13658">
      <c r="B13658" s="11">
        <f>IFERROR(__xludf.DUMMYFUNCTION("""COMPUTED_VALUE"""),26905.0)</f>
        <v>26905</v>
      </c>
      <c r="C13658" s="9">
        <f>IFERROR(__xludf.DUMMYFUNCTION("""COMPUTED_VALUE"""),7.26)</f>
        <v>7.26</v>
      </c>
      <c r="H13658" s="17"/>
      <c r="K13658" s="17"/>
      <c r="N13658" s="17"/>
    </row>
    <row r="13659">
      <c r="B13659" s="11">
        <f>IFERROR(__xludf.DUMMYFUNCTION("""COMPUTED_VALUE"""),26904.0)</f>
        <v>26904</v>
      </c>
      <c r="C13659" s="9">
        <f>IFERROR(__xludf.DUMMYFUNCTION("""COMPUTED_VALUE"""),7.29)</f>
        <v>7.29</v>
      </c>
      <c r="H13659" s="17"/>
      <c r="K13659" s="17"/>
      <c r="N13659" s="17"/>
    </row>
    <row r="13660">
      <c r="B13660" s="11">
        <f>IFERROR(__xludf.DUMMYFUNCTION("""COMPUTED_VALUE"""),26903.0)</f>
        <v>26903</v>
      </c>
      <c r="C13660" s="9">
        <f>IFERROR(__xludf.DUMMYFUNCTION("""COMPUTED_VALUE"""),7.26)</f>
        <v>7.26</v>
      </c>
      <c r="H13660" s="17"/>
      <c r="K13660" s="17"/>
      <c r="N13660" s="17"/>
    </row>
    <row r="13661">
      <c r="B13661" s="11">
        <f>IFERROR(__xludf.DUMMYFUNCTION("""COMPUTED_VALUE"""),26900.0)</f>
        <v>26900</v>
      </c>
      <c r="C13661" s="9">
        <f>IFERROR(__xludf.DUMMYFUNCTION("""COMPUTED_VALUE"""),7.23)</f>
        <v>7.23</v>
      </c>
      <c r="H13661" s="17"/>
      <c r="K13661" s="17"/>
      <c r="N13661" s="17"/>
    </row>
    <row r="13662">
      <c r="B13662" s="11">
        <f>IFERROR(__xludf.DUMMYFUNCTION("""COMPUTED_VALUE"""),26899.0)</f>
        <v>26899</v>
      </c>
      <c r="C13662" s="9">
        <f>IFERROR(__xludf.DUMMYFUNCTION("""COMPUTED_VALUE"""),7.31)</f>
        <v>7.31</v>
      </c>
      <c r="H13662" s="17"/>
      <c r="K13662" s="17"/>
      <c r="N13662" s="17"/>
    </row>
    <row r="13663">
      <c r="B13663" s="11">
        <f>IFERROR(__xludf.DUMMYFUNCTION("""COMPUTED_VALUE"""),26898.0)</f>
        <v>26898</v>
      </c>
      <c r="C13663" s="9">
        <f>IFERROR(__xludf.DUMMYFUNCTION("""COMPUTED_VALUE"""),7.39)</f>
        <v>7.39</v>
      </c>
      <c r="H13663" s="17"/>
      <c r="K13663" s="17"/>
      <c r="N13663" s="17"/>
    </row>
    <row r="13664">
      <c r="B13664" s="11">
        <f>IFERROR(__xludf.DUMMYFUNCTION("""COMPUTED_VALUE"""),26897.0)</f>
        <v>26897</v>
      </c>
      <c r="C13664" s="9">
        <f>IFERROR(__xludf.DUMMYFUNCTION("""COMPUTED_VALUE"""),7.36)</f>
        <v>7.36</v>
      </c>
      <c r="H13664" s="17"/>
      <c r="K13664" s="17"/>
      <c r="N13664" s="17"/>
    </row>
    <row r="13665">
      <c r="B13665" s="11">
        <f>IFERROR(__xludf.DUMMYFUNCTION("""COMPUTED_VALUE"""),26896.0)</f>
        <v>26896</v>
      </c>
      <c r="C13665" s="9">
        <f>IFERROR(__xludf.DUMMYFUNCTION("""COMPUTED_VALUE"""),7.38)</f>
        <v>7.38</v>
      </c>
      <c r="H13665" s="17"/>
      <c r="K13665" s="17"/>
      <c r="N13665" s="17"/>
    </row>
    <row r="13666">
      <c r="B13666" s="11">
        <f>IFERROR(__xludf.DUMMYFUNCTION("""COMPUTED_VALUE"""),26893.0)</f>
        <v>26893</v>
      </c>
      <c r="C13666" s="9">
        <f>IFERROR(__xludf.DUMMYFUNCTION("""COMPUTED_VALUE"""),7.28)</f>
        <v>7.28</v>
      </c>
      <c r="H13666" s="17"/>
      <c r="K13666" s="17"/>
      <c r="N13666" s="17"/>
    </row>
    <row r="13667">
      <c r="B13667" s="11">
        <f>IFERROR(__xludf.DUMMYFUNCTION("""COMPUTED_VALUE"""),26892.0)</f>
        <v>26892</v>
      </c>
      <c r="C13667" s="9">
        <f>IFERROR(__xludf.DUMMYFUNCTION("""COMPUTED_VALUE"""),7.37)</f>
        <v>7.37</v>
      </c>
      <c r="H13667" s="17"/>
      <c r="K13667" s="17"/>
      <c r="N13667" s="17"/>
    </row>
    <row r="13668">
      <c r="B13668" s="11">
        <f>IFERROR(__xludf.DUMMYFUNCTION("""COMPUTED_VALUE"""),26891.0)</f>
        <v>26891</v>
      </c>
      <c r="C13668" s="9">
        <f>IFERROR(__xludf.DUMMYFUNCTION("""COMPUTED_VALUE"""),7.45)</f>
        <v>7.45</v>
      </c>
      <c r="H13668" s="17"/>
      <c r="K13668" s="17"/>
      <c r="N13668" s="17"/>
    </row>
    <row r="13669">
      <c r="B13669" s="11">
        <f>IFERROR(__xludf.DUMMYFUNCTION("""COMPUTED_VALUE"""),26890.0)</f>
        <v>26890</v>
      </c>
      <c r="C13669" s="9">
        <f>IFERROR(__xludf.DUMMYFUNCTION("""COMPUTED_VALUE"""),7.46)</f>
        <v>7.46</v>
      </c>
      <c r="H13669" s="17"/>
      <c r="K13669" s="17"/>
      <c r="N13669" s="17"/>
    </row>
    <row r="13670">
      <c r="B13670" s="11">
        <f>IFERROR(__xludf.DUMMYFUNCTION("""COMPUTED_VALUE"""),26889.0)</f>
        <v>26889</v>
      </c>
      <c r="C13670" s="9">
        <f>IFERROR(__xludf.DUMMYFUNCTION("""COMPUTED_VALUE"""),7.47)</f>
        <v>7.47</v>
      </c>
      <c r="H13670" s="17"/>
      <c r="K13670" s="17"/>
      <c r="N13670" s="17"/>
    </row>
    <row r="13671">
      <c r="B13671" s="11">
        <f>IFERROR(__xludf.DUMMYFUNCTION("""COMPUTED_VALUE"""),26886.0)</f>
        <v>26886</v>
      </c>
      <c r="C13671" s="9">
        <f>IFERROR(__xludf.DUMMYFUNCTION("""COMPUTED_VALUE"""),7.52)</f>
        <v>7.52</v>
      </c>
      <c r="H13671" s="17"/>
      <c r="K13671" s="17"/>
      <c r="N13671" s="17"/>
    </row>
    <row r="13672">
      <c r="B13672" s="11">
        <f>IFERROR(__xludf.DUMMYFUNCTION("""COMPUTED_VALUE"""),26885.0)</f>
        <v>26885</v>
      </c>
      <c r="C13672" s="9">
        <f>IFERROR(__xludf.DUMMYFUNCTION("""COMPUTED_VALUE"""),7.54)</f>
        <v>7.54</v>
      </c>
      <c r="H13672" s="17"/>
      <c r="K13672" s="17"/>
      <c r="N13672" s="17"/>
    </row>
    <row r="13673">
      <c r="B13673" s="11">
        <f>IFERROR(__xludf.DUMMYFUNCTION("""COMPUTED_VALUE"""),26884.0)</f>
        <v>26884</v>
      </c>
      <c r="C13673" s="9">
        <f>IFERROR(__xludf.DUMMYFUNCTION("""COMPUTED_VALUE"""),7.52)</f>
        <v>7.52</v>
      </c>
      <c r="H13673" s="17"/>
      <c r="K13673" s="17"/>
      <c r="N13673" s="17"/>
    </row>
    <row r="13674">
      <c r="B13674" s="11">
        <f>IFERROR(__xludf.DUMMYFUNCTION("""COMPUTED_VALUE"""),26883.0)</f>
        <v>26883</v>
      </c>
      <c r="C13674" s="9">
        <f>IFERROR(__xludf.DUMMYFUNCTION("""COMPUTED_VALUE"""),7.58)</f>
        <v>7.58</v>
      </c>
      <c r="H13674" s="17"/>
      <c r="K13674" s="17"/>
      <c r="N13674" s="17"/>
    </row>
    <row r="13675">
      <c r="B13675" s="11">
        <f>IFERROR(__xludf.DUMMYFUNCTION("""COMPUTED_VALUE"""),26882.0)</f>
        <v>26882</v>
      </c>
      <c r="C13675" s="9">
        <f>IFERROR(__xludf.DUMMYFUNCTION("""COMPUTED_VALUE"""),7.54)</f>
        <v>7.54</v>
      </c>
      <c r="H13675" s="17"/>
      <c r="K13675" s="17"/>
      <c r="N13675" s="17"/>
    </row>
    <row r="13676">
      <c r="B13676" s="11">
        <f>IFERROR(__xludf.DUMMYFUNCTION("""COMPUTED_VALUE"""),26879.0)</f>
        <v>26879</v>
      </c>
      <c r="C13676" s="9">
        <f>IFERROR(__xludf.DUMMYFUNCTION("""COMPUTED_VALUE"""),7.53)</f>
        <v>7.53</v>
      </c>
      <c r="H13676" s="17"/>
      <c r="K13676" s="17"/>
      <c r="N13676" s="17"/>
    </row>
    <row r="13677">
      <c r="B13677" s="11">
        <f>IFERROR(__xludf.DUMMYFUNCTION("""COMPUTED_VALUE"""),26878.0)</f>
        <v>26878</v>
      </c>
      <c r="C13677" s="9">
        <f>IFERROR(__xludf.DUMMYFUNCTION("""COMPUTED_VALUE"""),7.52)</f>
        <v>7.52</v>
      </c>
      <c r="H13677" s="17"/>
      <c r="K13677" s="17"/>
      <c r="N13677" s="17"/>
    </row>
    <row r="13678">
      <c r="B13678" s="11">
        <f>IFERROR(__xludf.DUMMYFUNCTION("""COMPUTED_VALUE"""),26877.0)</f>
        <v>26877</v>
      </c>
      <c r="C13678" s="9">
        <f>IFERROR(__xludf.DUMMYFUNCTION("""COMPUTED_VALUE"""),7.55)</f>
        <v>7.55</v>
      </c>
      <c r="H13678" s="17"/>
      <c r="K13678" s="17"/>
      <c r="N13678" s="17"/>
    </row>
    <row r="13679">
      <c r="B13679" s="11">
        <f>IFERROR(__xludf.DUMMYFUNCTION("""COMPUTED_VALUE"""),26876.0)</f>
        <v>26876</v>
      </c>
      <c r="C13679" s="9">
        <f>IFERROR(__xludf.DUMMYFUNCTION("""COMPUTED_VALUE"""),7.43)</f>
        <v>7.43</v>
      </c>
      <c r="H13679" s="17"/>
      <c r="K13679" s="17"/>
      <c r="N13679" s="17"/>
    </row>
    <row r="13680">
      <c r="B13680" s="11">
        <f>IFERROR(__xludf.DUMMYFUNCTION("""COMPUTED_VALUE"""),26875.0)</f>
        <v>26875</v>
      </c>
      <c r="C13680" s="9">
        <f>IFERROR(__xludf.DUMMYFUNCTION("""COMPUTED_VALUE"""),7.37)</f>
        <v>7.37</v>
      </c>
      <c r="H13680" s="17"/>
      <c r="K13680" s="17"/>
      <c r="N13680" s="17"/>
    </row>
    <row r="13681">
      <c r="B13681" s="11">
        <f>IFERROR(__xludf.DUMMYFUNCTION("""COMPUTED_VALUE"""),26872.0)</f>
        <v>26872</v>
      </c>
      <c r="C13681" s="9">
        <f>IFERROR(__xludf.DUMMYFUNCTION("""COMPUTED_VALUE"""),7.35)</f>
        <v>7.35</v>
      </c>
      <c r="H13681" s="17"/>
      <c r="K13681" s="17"/>
      <c r="N13681" s="17"/>
    </row>
    <row r="13682">
      <c r="B13682" s="11">
        <f>IFERROR(__xludf.DUMMYFUNCTION("""COMPUTED_VALUE"""),26871.0)</f>
        <v>26871</v>
      </c>
      <c r="C13682" s="9">
        <f>IFERROR(__xludf.DUMMYFUNCTION("""COMPUTED_VALUE"""),7.28)</f>
        <v>7.28</v>
      </c>
      <c r="H13682" s="17"/>
      <c r="K13682" s="17"/>
      <c r="N13682" s="17"/>
    </row>
    <row r="13683">
      <c r="B13683" s="11">
        <f>IFERROR(__xludf.DUMMYFUNCTION("""COMPUTED_VALUE"""),26870.0)</f>
        <v>26870</v>
      </c>
      <c r="C13683" s="9">
        <f>IFERROR(__xludf.DUMMYFUNCTION("""COMPUTED_VALUE"""),7.19)</f>
        <v>7.19</v>
      </c>
      <c r="H13683" s="17"/>
      <c r="K13683" s="17"/>
      <c r="N13683" s="17"/>
    </row>
    <row r="13684">
      <c r="B13684" s="11">
        <f>IFERROR(__xludf.DUMMYFUNCTION("""COMPUTED_VALUE"""),26869.0)</f>
        <v>26869</v>
      </c>
      <c r="C13684" s="9">
        <f>IFERROR(__xludf.DUMMYFUNCTION("""COMPUTED_VALUE"""),7.19)</f>
        <v>7.19</v>
      </c>
      <c r="H13684" s="17"/>
      <c r="K13684" s="17"/>
      <c r="N13684" s="17"/>
    </row>
    <row r="13685">
      <c r="B13685" s="11">
        <f>IFERROR(__xludf.DUMMYFUNCTION("""COMPUTED_VALUE"""),26868.0)</f>
        <v>26868</v>
      </c>
      <c r="C13685" s="9">
        <f>IFERROR(__xludf.DUMMYFUNCTION("""COMPUTED_VALUE"""),7.17)</f>
        <v>7.17</v>
      </c>
      <c r="H13685" s="17"/>
      <c r="K13685" s="17"/>
      <c r="N13685" s="17"/>
    </row>
    <row r="13686">
      <c r="B13686" s="11">
        <f>IFERROR(__xludf.DUMMYFUNCTION("""COMPUTED_VALUE"""),26865.0)</f>
        <v>26865</v>
      </c>
      <c r="C13686" s="9">
        <f>IFERROR(__xludf.DUMMYFUNCTION("""COMPUTED_VALUE"""),7.17)</f>
        <v>7.17</v>
      </c>
      <c r="H13686" s="17"/>
      <c r="K13686" s="17"/>
      <c r="N13686" s="17"/>
    </row>
    <row r="13687">
      <c r="B13687" s="11">
        <f>IFERROR(__xludf.DUMMYFUNCTION("""COMPUTED_VALUE"""),26864.0)</f>
        <v>26864</v>
      </c>
      <c r="C13687" s="9">
        <f>IFERROR(__xludf.DUMMYFUNCTION("""COMPUTED_VALUE"""),7.11)</f>
        <v>7.11</v>
      </c>
      <c r="H13687" s="17"/>
      <c r="K13687" s="17"/>
      <c r="N13687" s="17"/>
    </row>
    <row r="13688">
      <c r="B13688" s="11">
        <f>IFERROR(__xludf.DUMMYFUNCTION("""COMPUTED_VALUE"""),26863.0)</f>
        <v>26863</v>
      </c>
      <c r="C13688" s="9">
        <f>IFERROR(__xludf.DUMMYFUNCTION("""COMPUTED_VALUE"""),7.07)</f>
        <v>7.07</v>
      </c>
      <c r="H13688" s="17"/>
      <c r="K13688" s="17"/>
      <c r="N13688" s="17"/>
    </row>
    <row r="13689">
      <c r="B13689" s="11">
        <f>IFERROR(__xludf.DUMMYFUNCTION("""COMPUTED_VALUE"""),26862.0)</f>
        <v>26862</v>
      </c>
      <c r="C13689" s="9">
        <f>IFERROR(__xludf.DUMMYFUNCTION("""COMPUTED_VALUE"""),7.06)</f>
        <v>7.06</v>
      </c>
      <c r="H13689" s="17"/>
      <c r="K13689" s="17"/>
      <c r="N13689" s="17"/>
    </row>
    <row r="13690">
      <c r="B13690" s="11">
        <f>IFERROR(__xludf.DUMMYFUNCTION("""COMPUTED_VALUE"""),26861.0)</f>
        <v>26861</v>
      </c>
      <c r="C13690" s="9">
        <f>IFERROR(__xludf.DUMMYFUNCTION("""COMPUTED_VALUE"""),7.06)</f>
        <v>7.06</v>
      </c>
      <c r="H13690" s="17"/>
      <c r="K13690" s="17"/>
      <c r="N13690" s="17"/>
    </row>
    <row r="13691">
      <c r="B13691" s="11">
        <f>IFERROR(__xludf.DUMMYFUNCTION("""COMPUTED_VALUE"""),26858.0)</f>
        <v>26858</v>
      </c>
      <c r="C13691" s="9">
        <f>IFERROR(__xludf.DUMMYFUNCTION("""COMPUTED_VALUE"""),7.05)</f>
        <v>7.05</v>
      </c>
      <c r="H13691" s="17"/>
      <c r="K13691" s="17"/>
      <c r="N13691" s="17"/>
    </row>
    <row r="13692">
      <c r="B13692" s="11">
        <f>IFERROR(__xludf.DUMMYFUNCTION("""COMPUTED_VALUE"""),26857.0)</f>
        <v>26857</v>
      </c>
      <c r="C13692" s="9">
        <f>IFERROR(__xludf.DUMMYFUNCTION("""COMPUTED_VALUE"""),7.04)</f>
        <v>7.04</v>
      </c>
      <c r="H13692" s="17"/>
      <c r="K13692" s="17"/>
      <c r="N13692" s="17"/>
    </row>
    <row r="13693">
      <c r="B13693" s="11">
        <f>IFERROR(__xludf.DUMMYFUNCTION("""COMPUTED_VALUE"""),26856.0)</f>
        <v>26856</v>
      </c>
      <c r="C13693" s="9">
        <f>IFERROR(__xludf.DUMMYFUNCTION("""COMPUTED_VALUE"""),7.05)</f>
        <v>7.05</v>
      </c>
      <c r="H13693" s="17"/>
      <c r="K13693" s="17"/>
      <c r="N13693" s="17"/>
    </row>
    <row r="13694">
      <c r="B13694" s="11">
        <f>IFERROR(__xludf.DUMMYFUNCTION("""COMPUTED_VALUE"""),26855.0)</f>
        <v>26855</v>
      </c>
      <c r="C13694" s="9">
        <f>IFERROR(__xludf.DUMMYFUNCTION("""COMPUTED_VALUE"""),7.05)</f>
        <v>7.05</v>
      </c>
      <c r="H13694" s="17"/>
      <c r="K13694" s="17"/>
      <c r="N13694" s="17"/>
    </row>
    <row r="13695">
      <c r="B13695" s="11">
        <f>IFERROR(__xludf.DUMMYFUNCTION("""COMPUTED_VALUE"""),26854.0)</f>
        <v>26854</v>
      </c>
      <c r="C13695" s="9">
        <f>IFERROR(__xludf.DUMMYFUNCTION("""COMPUTED_VALUE"""),7.05)</f>
        <v>7.05</v>
      </c>
      <c r="H13695" s="17"/>
      <c r="K13695" s="17"/>
      <c r="N13695" s="17"/>
    </row>
    <row r="13696">
      <c r="B13696" s="11">
        <f>IFERROR(__xludf.DUMMYFUNCTION("""COMPUTED_VALUE"""),26851.0)</f>
        <v>26851</v>
      </c>
      <c r="C13696" s="9">
        <f>IFERROR(__xludf.DUMMYFUNCTION("""COMPUTED_VALUE"""),7.03)</f>
        <v>7.03</v>
      </c>
      <c r="H13696" s="17"/>
      <c r="K13696" s="17"/>
      <c r="N13696" s="17"/>
    </row>
    <row r="13697">
      <c r="B13697" s="11">
        <f>IFERROR(__xludf.DUMMYFUNCTION("""COMPUTED_VALUE"""),26850.0)</f>
        <v>26850</v>
      </c>
      <c r="C13697" s="9">
        <f>IFERROR(__xludf.DUMMYFUNCTION("""COMPUTED_VALUE"""),7.01)</f>
        <v>7.01</v>
      </c>
      <c r="H13697" s="17"/>
      <c r="K13697" s="17"/>
      <c r="N13697" s="17"/>
    </row>
    <row r="13698">
      <c r="B13698" s="11">
        <f>IFERROR(__xludf.DUMMYFUNCTION("""COMPUTED_VALUE"""),26849.0)</f>
        <v>26849</v>
      </c>
      <c r="C13698" s="9"/>
      <c r="H13698" s="17"/>
      <c r="K13698" s="17"/>
      <c r="N13698" s="17"/>
    </row>
    <row r="13699">
      <c r="B13699" s="11">
        <f>IFERROR(__xludf.DUMMYFUNCTION("""COMPUTED_VALUE"""),26848.0)</f>
        <v>26848</v>
      </c>
      <c r="C13699" s="9">
        <f>IFERROR(__xludf.DUMMYFUNCTION("""COMPUTED_VALUE"""),7.01)</f>
        <v>7.01</v>
      </c>
      <c r="H13699" s="17"/>
      <c r="K13699" s="17"/>
      <c r="N13699" s="17"/>
    </row>
    <row r="13700">
      <c r="B13700" s="11">
        <f>IFERROR(__xludf.DUMMYFUNCTION("""COMPUTED_VALUE"""),26847.0)</f>
        <v>26847</v>
      </c>
      <c r="C13700" s="9">
        <f>IFERROR(__xludf.DUMMYFUNCTION("""COMPUTED_VALUE"""),7.01)</f>
        <v>7.01</v>
      </c>
      <c r="H13700" s="17"/>
      <c r="K13700" s="17"/>
      <c r="N13700" s="17"/>
    </row>
    <row r="13701">
      <c r="B13701" s="11">
        <f>IFERROR(__xludf.DUMMYFUNCTION("""COMPUTED_VALUE"""),26844.0)</f>
        <v>26844</v>
      </c>
      <c r="C13701" s="9">
        <f>IFERROR(__xludf.DUMMYFUNCTION("""COMPUTED_VALUE"""),6.94)</f>
        <v>6.94</v>
      </c>
      <c r="H13701" s="17"/>
      <c r="K13701" s="17"/>
      <c r="N13701" s="17"/>
    </row>
    <row r="13702">
      <c r="B13702" s="11">
        <f>IFERROR(__xludf.DUMMYFUNCTION("""COMPUTED_VALUE"""),26843.0)</f>
        <v>26843</v>
      </c>
      <c r="C13702" s="9">
        <f>IFERROR(__xludf.DUMMYFUNCTION("""COMPUTED_VALUE"""),6.92)</f>
        <v>6.92</v>
      </c>
      <c r="H13702" s="17"/>
      <c r="K13702" s="17"/>
      <c r="N13702" s="17"/>
    </row>
    <row r="13703">
      <c r="B13703" s="11">
        <f>IFERROR(__xludf.DUMMYFUNCTION("""COMPUTED_VALUE"""),26842.0)</f>
        <v>26842</v>
      </c>
      <c r="C13703" s="9">
        <f>IFERROR(__xludf.DUMMYFUNCTION("""COMPUTED_VALUE"""),6.92)</f>
        <v>6.92</v>
      </c>
      <c r="H13703" s="17"/>
      <c r="K13703" s="17"/>
      <c r="N13703" s="17"/>
    </row>
    <row r="13704">
      <c r="B13704" s="11">
        <f>IFERROR(__xludf.DUMMYFUNCTION("""COMPUTED_VALUE"""),26841.0)</f>
        <v>26841</v>
      </c>
      <c r="C13704" s="9">
        <f>IFERROR(__xludf.DUMMYFUNCTION("""COMPUTED_VALUE"""),6.93)</f>
        <v>6.93</v>
      </c>
      <c r="H13704" s="17"/>
      <c r="K13704" s="17"/>
      <c r="N13704" s="17"/>
    </row>
    <row r="13705">
      <c r="B13705" s="11">
        <f>IFERROR(__xludf.DUMMYFUNCTION("""COMPUTED_VALUE"""),26840.0)</f>
        <v>26840</v>
      </c>
      <c r="C13705" s="9">
        <f>IFERROR(__xludf.DUMMYFUNCTION("""COMPUTED_VALUE"""),6.93)</f>
        <v>6.93</v>
      </c>
      <c r="H13705" s="17"/>
      <c r="K13705" s="17"/>
      <c r="N13705" s="17"/>
    </row>
    <row r="13706">
      <c r="B13706" s="11">
        <f>IFERROR(__xludf.DUMMYFUNCTION("""COMPUTED_VALUE"""),26837.0)</f>
        <v>26837</v>
      </c>
      <c r="C13706" s="9">
        <f>IFERROR(__xludf.DUMMYFUNCTION("""COMPUTED_VALUE"""),6.91)</f>
        <v>6.91</v>
      </c>
      <c r="H13706" s="17"/>
      <c r="K13706" s="17"/>
      <c r="N13706" s="17"/>
    </row>
    <row r="13707">
      <c r="B13707" s="11">
        <f>IFERROR(__xludf.DUMMYFUNCTION("""COMPUTED_VALUE"""),26836.0)</f>
        <v>26836</v>
      </c>
      <c r="C13707" s="9">
        <f>IFERROR(__xludf.DUMMYFUNCTION("""COMPUTED_VALUE"""),6.89)</f>
        <v>6.89</v>
      </c>
      <c r="H13707" s="17"/>
      <c r="K13707" s="17"/>
      <c r="N13707" s="17"/>
    </row>
    <row r="13708">
      <c r="B13708" s="11">
        <f>IFERROR(__xludf.DUMMYFUNCTION("""COMPUTED_VALUE"""),26835.0)</f>
        <v>26835</v>
      </c>
      <c r="C13708" s="9">
        <f>IFERROR(__xludf.DUMMYFUNCTION("""COMPUTED_VALUE"""),6.89)</f>
        <v>6.89</v>
      </c>
      <c r="H13708" s="17"/>
      <c r="K13708" s="17"/>
      <c r="N13708" s="17"/>
    </row>
    <row r="13709">
      <c r="B13709" s="11">
        <f>IFERROR(__xludf.DUMMYFUNCTION("""COMPUTED_VALUE"""),26834.0)</f>
        <v>26834</v>
      </c>
      <c r="C13709" s="9">
        <f>IFERROR(__xludf.DUMMYFUNCTION("""COMPUTED_VALUE"""),6.87)</f>
        <v>6.87</v>
      </c>
      <c r="H13709" s="17"/>
      <c r="K13709" s="17"/>
      <c r="N13709" s="17"/>
    </row>
    <row r="13710">
      <c r="B13710" s="11">
        <f>IFERROR(__xludf.DUMMYFUNCTION("""COMPUTED_VALUE"""),26833.0)</f>
        <v>26833</v>
      </c>
      <c r="C13710" s="9">
        <f>IFERROR(__xludf.DUMMYFUNCTION("""COMPUTED_VALUE"""),6.87)</f>
        <v>6.87</v>
      </c>
      <c r="H13710" s="17"/>
      <c r="K13710" s="17"/>
      <c r="N13710" s="17"/>
    </row>
    <row r="13711">
      <c r="B13711" s="11">
        <f>IFERROR(__xludf.DUMMYFUNCTION("""COMPUTED_VALUE"""),26830.0)</f>
        <v>26830</v>
      </c>
      <c r="C13711" s="9">
        <f>IFERROR(__xludf.DUMMYFUNCTION("""COMPUTED_VALUE"""),6.86)</f>
        <v>6.86</v>
      </c>
      <c r="H13711" s="17"/>
      <c r="K13711" s="17"/>
      <c r="N13711" s="17"/>
    </row>
    <row r="13712">
      <c r="B13712" s="11">
        <f>IFERROR(__xludf.DUMMYFUNCTION("""COMPUTED_VALUE"""),26829.0)</f>
        <v>26829</v>
      </c>
      <c r="C13712" s="9">
        <f>IFERROR(__xludf.DUMMYFUNCTION("""COMPUTED_VALUE"""),6.85)</f>
        <v>6.85</v>
      </c>
      <c r="H13712" s="17"/>
      <c r="K13712" s="17"/>
      <c r="N13712" s="17"/>
    </row>
    <row r="13713">
      <c r="B13713" s="11">
        <f>IFERROR(__xludf.DUMMYFUNCTION("""COMPUTED_VALUE"""),26828.0)</f>
        <v>26828</v>
      </c>
      <c r="C13713" s="9">
        <f>IFERROR(__xludf.DUMMYFUNCTION("""COMPUTED_VALUE"""),6.85)</f>
        <v>6.85</v>
      </c>
      <c r="H13713" s="17"/>
      <c r="K13713" s="17"/>
      <c r="N13713" s="17"/>
    </row>
    <row r="13714">
      <c r="B13714" s="11">
        <f>IFERROR(__xludf.DUMMYFUNCTION("""COMPUTED_VALUE"""),26827.0)</f>
        <v>26827</v>
      </c>
      <c r="C13714" s="9">
        <f>IFERROR(__xludf.DUMMYFUNCTION("""COMPUTED_VALUE"""),6.86)</f>
        <v>6.86</v>
      </c>
      <c r="H13714" s="17"/>
      <c r="K13714" s="17"/>
      <c r="N13714" s="17"/>
    </row>
    <row r="13715">
      <c r="B13715" s="11">
        <f>IFERROR(__xludf.DUMMYFUNCTION("""COMPUTED_VALUE"""),26826.0)</f>
        <v>26826</v>
      </c>
      <c r="C13715" s="9">
        <f>IFERROR(__xludf.DUMMYFUNCTION("""COMPUTED_VALUE"""),6.87)</f>
        <v>6.87</v>
      </c>
      <c r="H13715" s="17"/>
      <c r="K13715" s="17"/>
      <c r="N13715" s="17"/>
    </row>
    <row r="13716">
      <c r="B13716" s="11">
        <f>IFERROR(__xludf.DUMMYFUNCTION("""COMPUTED_VALUE"""),26823.0)</f>
        <v>26823</v>
      </c>
      <c r="C13716" s="9">
        <f>IFERROR(__xludf.DUMMYFUNCTION("""COMPUTED_VALUE"""),6.87)</f>
        <v>6.87</v>
      </c>
      <c r="H13716" s="17"/>
      <c r="K13716" s="17"/>
      <c r="N13716" s="17"/>
    </row>
    <row r="13717">
      <c r="B13717" s="11">
        <f>IFERROR(__xludf.DUMMYFUNCTION("""COMPUTED_VALUE"""),26822.0)</f>
        <v>26822</v>
      </c>
      <c r="C13717" s="9">
        <f>IFERROR(__xludf.DUMMYFUNCTION("""COMPUTED_VALUE"""),6.89)</f>
        <v>6.89</v>
      </c>
      <c r="H13717" s="17"/>
      <c r="K13717" s="17"/>
      <c r="N13717" s="17"/>
    </row>
    <row r="13718">
      <c r="B13718" s="11">
        <f>IFERROR(__xludf.DUMMYFUNCTION("""COMPUTED_VALUE"""),26821.0)</f>
        <v>26821</v>
      </c>
      <c r="C13718" s="9">
        <f>IFERROR(__xludf.DUMMYFUNCTION("""COMPUTED_VALUE"""),6.89)</f>
        <v>6.89</v>
      </c>
      <c r="H13718" s="17"/>
      <c r="K13718" s="17"/>
      <c r="N13718" s="17"/>
    </row>
    <row r="13719">
      <c r="B13719" s="11">
        <f>IFERROR(__xludf.DUMMYFUNCTION("""COMPUTED_VALUE"""),26820.0)</f>
        <v>26820</v>
      </c>
      <c r="C13719" s="9">
        <f>IFERROR(__xludf.DUMMYFUNCTION("""COMPUTED_VALUE"""),6.95)</f>
        <v>6.95</v>
      </c>
      <c r="H13719" s="17"/>
      <c r="K13719" s="17"/>
      <c r="N13719" s="17"/>
    </row>
    <row r="13720">
      <c r="B13720" s="11">
        <f>IFERROR(__xludf.DUMMYFUNCTION("""COMPUTED_VALUE"""),26819.0)</f>
        <v>26819</v>
      </c>
      <c r="C13720" s="9">
        <f>IFERROR(__xludf.DUMMYFUNCTION("""COMPUTED_VALUE"""),6.98)</f>
        <v>6.98</v>
      </c>
      <c r="H13720" s="17"/>
      <c r="K13720" s="17"/>
      <c r="N13720" s="17"/>
    </row>
    <row r="13721">
      <c r="B13721" s="11">
        <f>IFERROR(__xludf.DUMMYFUNCTION("""COMPUTED_VALUE"""),26816.0)</f>
        <v>26816</v>
      </c>
      <c r="C13721" s="9">
        <f>IFERROR(__xludf.DUMMYFUNCTION("""COMPUTED_VALUE"""),6.96)</f>
        <v>6.96</v>
      </c>
      <c r="H13721" s="17"/>
      <c r="K13721" s="17"/>
      <c r="N13721" s="17"/>
    </row>
    <row r="13722">
      <c r="B13722" s="11">
        <f>IFERROR(__xludf.DUMMYFUNCTION("""COMPUTED_VALUE"""),26815.0)</f>
        <v>26815</v>
      </c>
      <c r="C13722" s="9">
        <f>IFERROR(__xludf.DUMMYFUNCTION("""COMPUTED_VALUE"""),6.93)</f>
        <v>6.93</v>
      </c>
      <c r="H13722" s="17"/>
      <c r="K13722" s="17"/>
      <c r="N13722" s="17"/>
    </row>
    <row r="13723">
      <c r="B13723" s="11">
        <f>IFERROR(__xludf.DUMMYFUNCTION("""COMPUTED_VALUE"""),26814.0)</f>
        <v>26814</v>
      </c>
      <c r="C13723" s="9">
        <f>IFERROR(__xludf.DUMMYFUNCTION("""COMPUTED_VALUE"""),6.93)</f>
        <v>6.93</v>
      </c>
      <c r="H13723" s="17"/>
      <c r="K13723" s="17"/>
      <c r="N13723" s="17"/>
    </row>
    <row r="13724">
      <c r="B13724" s="11">
        <f>IFERROR(__xludf.DUMMYFUNCTION("""COMPUTED_VALUE"""),26813.0)</f>
        <v>26813</v>
      </c>
      <c r="C13724" s="9">
        <f>IFERROR(__xludf.DUMMYFUNCTION("""COMPUTED_VALUE"""),6.93)</f>
        <v>6.93</v>
      </c>
      <c r="H13724" s="17"/>
      <c r="K13724" s="17"/>
      <c r="N13724" s="17"/>
    </row>
    <row r="13725">
      <c r="B13725" s="11">
        <f>IFERROR(__xludf.DUMMYFUNCTION("""COMPUTED_VALUE"""),26812.0)</f>
        <v>26812</v>
      </c>
      <c r="C13725" s="9"/>
      <c r="H13725" s="17"/>
      <c r="K13725" s="17"/>
      <c r="N13725" s="17"/>
    </row>
    <row r="13726">
      <c r="B13726" s="11">
        <f>IFERROR(__xludf.DUMMYFUNCTION("""COMPUTED_VALUE"""),26809.0)</f>
        <v>26809</v>
      </c>
      <c r="C13726" s="9">
        <f>IFERROR(__xludf.DUMMYFUNCTION("""COMPUTED_VALUE"""),6.91)</f>
        <v>6.91</v>
      </c>
      <c r="H13726" s="17"/>
      <c r="K13726" s="17"/>
      <c r="N13726" s="17"/>
    </row>
    <row r="13727">
      <c r="B13727" s="11">
        <f>IFERROR(__xludf.DUMMYFUNCTION("""COMPUTED_VALUE"""),26808.0)</f>
        <v>26808</v>
      </c>
      <c r="C13727" s="9">
        <f>IFERROR(__xludf.DUMMYFUNCTION("""COMPUTED_VALUE"""),6.91)</f>
        <v>6.91</v>
      </c>
      <c r="H13727" s="17"/>
      <c r="K13727" s="17"/>
      <c r="N13727" s="17"/>
    </row>
    <row r="13728">
      <c r="B13728" s="11">
        <f>IFERROR(__xludf.DUMMYFUNCTION("""COMPUTED_VALUE"""),26807.0)</f>
        <v>26807</v>
      </c>
      <c r="C13728" s="9">
        <f>IFERROR(__xludf.DUMMYFUNCTION("""COMPUTED_VALUE"""),6.92)</f>
        <v>6.92</v>
      </c>
      <c r="H13728" s="17"/>
      <c r="K13728" s="17"/>
      <c r="N13728" s="17"/>
    </row>
    <row r="13729">
      <c r="B13729" s="11">
        <f>IFERROR(__xludf.DUMMYFUNCTION("""COMPUTED_VALUE"""),26806.0)</f>
        <v>26806</v>
      </c>
      <c r="C13729" s="9">
        <f>IFERROR(__xludf.DUMMYFUNCTION("""COMPUTED_VALUE"""),6.9)</f>
        <v>6.9</v>
      </c>
      <c r="H13729" s="17"/>
      <c r="K13729" s="17"/>
      <c r="N13729" s="17"/>
    </row>
    <row r="13730">
      <c r="B13730" s="11">
        <f>IFERROR(__xludf.DUMMYFUNCTION("""COMPUTED_VALUE"""),26805.0)</f>
        <v>26805</v>
      </c>
      <c r="C13730" s="9">
        <f>IFERROR(__xludf.DUMMYFUNCTION("""COMPUTED_VALUE"""),6.89)</f>
        <v>6.89</v>
      </c>
      <c r="H13730" s="17"/>
      <c r="K13730" s="17"/>
      <c r="N13730" s="17"/>
    </row>
    <row r="13731">
      <c r="B13731" s="11">
        <f>IFERROR(__xludf.DUMMYFUNCTION("""COMPUTED_VALUE"""),26802.0)</f>
        <v>26802</v>
      </c>
      <c r="C13731" s="9">
        <f>IFERROR(__xludf.DUMMYFUNCTION("""COMPUTED_VALUE"""),6.86)</f>
        <v>6.86</v>
      </c>
      <c r="H13731" s="17"/>
      <c r="K13731" s="17"/>
      <c r="N13731" s="17"/>
    </row>
    <row r="13732">
      <c r="B13732" s="11">
        <f>IFERROR(__xludf.DUMMYFUNCTION("""COMPUTED_VALUE"""),26801.0)</f>
        <v>26801</v>
      </c>
      <c r="C13732" s="9">
        <f>IFERROR(__xludf.DUMMYFUNCTION("""COMPUTED_VALUE"""),6.85)</f>
        <v>6.85</v>
      </c>
      <c r="H13732" s="17"/>
      <c r="K13732" s="17"/>
      <c r="N13732" s="17"/>
    </row>
    <row r="13733">
      <c r="B13733" s="11">
        <f>IFERROR(__xludf.DUMMYFUNCTION("""COMPUTED_VALUE"""),26800.0)</f>
        <v>26800</v>
      </c>
      <c r="C13733" s="9">
        <f>IFERROR(__xludf.DUMMYFUNCTION("""COMPUTED_VALUE"""),6.84)</f>
        <v>6.84</v>
      </c>
      <c r="H13733" s="17"/>
      <c r="K13733" s="17"/>
      <c r="N13733" s="17"/>
    </row>
    <row r="13734">
      <c r="B13734" s="11">
        <f>IFERROR(__xludf.DUMMYFUNCTION("""COMPUTED_VALUE"""),26799.0)</f>
        <v>26799</v>
      </c>
      <c r="C13734" s="9">
        <f>IFERROR(__xludf.DUMMYFUNCTION("""COMPUTED_VALUE"""),6.86)</f>
        <v>6.86</v>
      </c>
      <c r="H13734" s="17"/>
      <c r="K13734" s="17"/>
      <c r="N13734" s="17"/>
    </row>
    <row r="13735">
      <c r="B13735" s="11">
        <f>IFERROR(__xludf.DUMMYFUNCTION("""COMPUTED_VALUE"""),26798.0)</f>
        <v>26798</v>
      </c>
      <c r="C13735" s="9">
        <f>IFERROR(__xludf.DUMMYFUNCTION("""COMPUTED_VALUE"""),6.83)</f>
        <v>6.83</v>
      </c>
      <c r="H13735" s="17"/>
      <c r="K13735" s="17"/>
      <c r="N13735" s="17"/>
    </row>
    <row r="13736">
      <c r="B13736" s="11">
        <f>IFERROR(__xludf.DUMMYFUNCTION("""COMPUTED_VALUE"""),26795.0)</f>
        <v>26795</v>
      </c>
      <c r="C13736" s="9">
        <f>IFERROR(__xludf.DUMMYFUNCTION("""COMPUTED_VALUE"""),6.82)</f>
        <v>6.82</v>
      </c>
      <c r="H13736" s="17"/>
      <c r="K13736" s="17"/>
      <c r="N13736" s="17"/>
    </row>
    <row r="13737">
      <c r="B13737" s="11">
        <f>IFERROR(__xludf.DUMMYFUNCTION("""COMPUTED_VALUE"""),26794.0)</f>
        <v>26794</v>
      </c>
      <c r="C13737" s="9">
        <f>IFERROR(__xludf.DUMMYFUNCTION("""COMPUTED_VALUE"""),6.81)</f>
        <v>6.81</v>
      </c>
      <c r="H13737" s="17"/>
      <c r="K13737" s="17"/>
      <c r="N13737" s="17"/>
    </row>
    <row r="13738">
      <c r="B13738" s="11">
        <f>IFERROR(__xludf.DUMMYFUNCTION("""COMPUTED_VALUE"""),26793.0)</f>
        <v>26793</v>
      </c>
      <c r="C13738" s="9">
        <f>IFERROR(__xludf.DUMMYFUNCTION("""COMPUTED_VALUE"""),6.8)</f>
        <v>6.8</v>
      </c>
      <c r="H13738" s="17"/>
      <c r="K13738" s="17"/>
      <c r="N13738" s="17"/>
    </row>
    <row r="13739">
      <c r="B13739" s="11">
        <f>IFERROR(__xludf.DUMMYFUNCTION("""COMPUTED_VALUE"""),26792.0)</f>
        <v>26792</v>
      </c>
      <c r="C13739" s="9">
        <f>IFERROR(__xludf.DUMMYFUNCTION("""COMPUTED_VALUE"""),6.8)</f>
        <v>6.8</v>
      </c>
      <c r="H13739" s="17"/>
      <c r="K13739" s="17"/>
      <c r="N13739" s="17"/>
    </row>
    <row r="13740">
      <c r="B13740" s="11">
        <f>IFERROR(__xludf.DUMMYFUNCTION("""COMPUTED_VALUE"""),26791.0)</f>
        <v>26791</v>
      </c>
      <c r="C13740" s="9">
        <f>IFERROR(__xludf.DUMMYFUNCTION("""COMPUTED_VALUE"""),6.81)</f>
        <v>6.81</v>
      </c>
      <c r="H13740" s="17"/>
      <c r="K13740" s="17"/>
      <c r="N13740" s="17"/>
    </row>
    <row r="13741">
      <c r="B13741" s="11">
        <f>IFERROR(__xludf.DUMMYFUNCTION("""COMPUTED_VALUE"""),26788.0)</f>
        <v>26788</v>
      </c>
      <c r="C13741" s="9">
        <f>IFERROR(__xludf.DUMMYFUNCTION("""COMPUTED_VALUE"""),6.79)</f>
        <v>6.79</v>
      </c>
      <c r="H13741" s="17"/>
      <c r="K13741" s="17"/>
      <c r="N13741" s="17"/>
    </row>
    <row r="13742">
      <c r="B13742" s="11">
        <f>IFERROR(__xludf.DUMMYFUNCTION("""COMPUTED_VALUE"""),26787.0)</f>
        <v>26787</v>
      </c>
      <c r="C13742" s="9">
        <f>IFERROR(__xludf.DUMMYFUNCTION("""COMPUTED_VALUE"""),6.77)</f>
        <v>6.77</v>
      </c>
      <c r="H13742" s="17"/>
      <c r="K13742" s="17"/>
      <c r="N13742" s="17"/>
    </row>
    <row r="13743">
      <c r="B13743" s="11">
        <f>IFERROR(__xludf.DUMMYFUNCTION("""COMPUTED_VALUE"""),26786.0)</f>
        <v>26786</v>
      </c>
      <c r="C13743" s="9">
        <f>IFERROR(__xludf.DUMMYFUNCTION("""COMPUTED_VALUE"""),6.76)</f>
        <v>6.76</v>
      </c>
      <c r="H13743" s="17"/>
      <c r="K13743" s="17"/>
      <c r="N13743" s="17"/>
    </row>
    <row r="13744">
      <c r="B13744" s="11">
        <f>IFERROR(__xludf.DUMMYFUNCTION("""COMPUTED_VALUE"""),26785.0)</f>
        <v>26785</v>
      </c>
      <c r="C13744" s="9">
        <f>IFERROR(__xludf.DUMMYFUNCTION("""COMPUTED_VALUE"""),6.72)</f>
        <v>6.72</v>
      </c>
      <c r="H13744" s="17"/>
      <c r="K13744" s="17"/>
      <c r="N13744" s="17"/>
    </row>
    <row r="13745">
      <c r="B13745" s="11">
        <f>IFERROR(__xludf.DUMMYFUNCTION("""COMPUTED_VALUE"""),26784.0)</f>
        <v>26784</v>
      </c>
      <c r="C13745" s="9">
        <f>IFERROR(__xludf.DUMMYFUNCTION("""COMPUTED_VALUE"""),6.7)</f>
        <v>6.7</v>
      </c>
      <c r="H13745" s="17"/>
      <c r="K13745" s="17"/>
      <c r="N13745" s="17"/>
    </row>
    <row r="13746">
      <c r="B13746" s="11">
        <f>IFERROR(__xludf.DUMMYFUNCTION("""COMPUTED_VALUE"""),26781.0)</f>
        <v>26781</v>
      </c>
      <c r="C13746" s="9">
        <f>IFERROR(__xludf.DUMMYFUNCTION("""COMPUTED_VALUE"""),6.69)</f>
        <v>6.69</v>
      </c>
      <c r="H13746" s="17"/>
      <c r="K13746" s="17"/>
      <c r="N13746" s="17"/>
    </row>
    <row r="13747">
      <c r="B13747" s="11">
        <f>IFERROR(__xludf.DUMMYFUNCTION("""COMPUTED_VALUE"""),26780.0)</f>
        <v>26780</v>
      </c>
      <c r="C13747" s="9">
        <f>IFERROR(__xludf.DUMMYFUNCTION("""COMPUTED_VALUE"""),6.68)</f>
        <v>6.68</v>
      </c>
      <c r="H13747" s="17"/>
      <c r="K13747" s="17"/>
      <c r="N13747" s="17"/>
    </row>
    <row r="13748">
      <c r="B13748" s="11">
        <f>IFERROR(__xludf.DUMMYFUNCTION("""COMPUTED_VALUE"""),26779.0)</f>
        <v>26779</v>
      </c>
      <c r="C13748" s="9">
        <f>IFERROR(__xludf.DUMMYFUNCTION("""COMPUTED_VALUE"""),6.66)</f>
        <v>6.66</v>
      </c>
      <c r="H13748" s="17"/>
      <c r="K13748" s="17"/>
      <c r="N13748" s="17"/>
    </row>
    <row r="13749">
      <c r="B13749" s="11">
        <f>IFERROR(__xludf.DUMMYFUNCTION("""COMPUTED_VALUE"""),26778.0)</f>
        <v>26778</v>
      </c>
      <c r="C13749" s="9">
        <f>IFERROR(__xludf.DUMMYFUNCTION("""COMPUTED_VALUE"""),6.66)</f>
        <v>6.66</v>
      </c>
      <c r="H13749" s="17"/>
      <c r="K13749" s="17"/>
      <c r="N13749" s="17"/>
    </row>
    <row r="13750">
      <c r="B13750" s="11">
        <f>IFERROR(__xludf.DUMMYFUNCTION("""COMPUTED_VALUE"""),26777.0)</f>
        <v>26777</v>
      </c>
      <c r="C13750" s="9">
        <f>IFERROR(__xludf.DUMMYFUNCTION("""COMPUTED_VALUE"""),6.73)</f>
        <v>6.73</v>
      </c>
      <c r="H13750" s="17"/>
      <c r="K13750" s="17"/>
      <c r="N13750" s="17"/>
    </row>
    <row r="13751">
      <c r="B13751" s="11">
        <f>IFERROR(__xludf.DUMMYFUNCTION("""COMPUTED_VALUE"""),26774.0)</f>
        <v>26774</v>
      </c>
      <c r="C13751" s="9"/>
      <c r="H13751" s="17"/>
      <c r="K13751" s="17"/>
      <c r="N13751" s="17"/>
    </row>
    <row r="13752">
      <c r="B13752" s="11">
        <f>IFERROR(__xludf.DUMMYFUNCTION("""COMPUTED_VALUE"""),26773.0)</f>
        <v>26773</v>
      </c>
      <c r="C13752" s="9">
        <f>IFERROR(__xludf.DUMMYFUNCTION("""COMPUTED_VALUE"""),6.66)</f>
        <v>6.66</v>
      </c>
      <c r="H13752" s="17"/>
      <c r="K13752" s="17"/>
      <c r="N13752" s="17"/>
    </row>
    <row r="13753">
      <c r="B13753" s="11">
        <f>IFERROR(__xludf.DUMMYFUNCTION("""COMPUTED_VALUE"""),26772.0)</f>
        <v>26772</v>
      </c>
      <c r="C13753" s="9">
        <f>IFERROR(__xludf.DUMMYFUNCTION("""COMPUTED_VALUE"""),6.64)</f>
        <v>6.64</v>
      </c>
      <c r="H13753" s="17"/>
      <c r="K13753" s="17"/>
      <c r="N13753" s="17"/>
    </row>
    <row r="13754">
      <c r="B13754" s="11">
        <f>IFERROR(__xludf.DUMMYFUNCTION("""COMPUTED_VALUE"""),26771.0)</f>
        <v>26771</v>
      </c>
      <c r="C13754" s="9">
        <f>IFERROR(__xludf.DUMMYFUNCTION("""COMPUTED_VALUE"""),6.64)</f>
        <v>6.64</v>
      </c>
      <c r="H13754" s="17"/>
      <c r="K13754" s="17"/>
      <c r="N13754" s="17"/>
    </row>
    <row r="13755">
      <c r="B13755" s="11">
        <f>IFERROR(__xludf.DUMMYFUNCTION("""COMPUTED_VALUE"""),26770.0)</f>
        <v>26770</v>
      </c>
      <c r="C13755" s="9">
        <f>IFERROR(__xludf.DUMMYFUNCTION("""COMPUTED_VALUE"""),6.62)</f>
        <v>6.62</v>
      </c>
      <c r="H13755" s="17"/>
      <c r="K13755" s="17"/>
      <c r="N13755" s="17"/>
    </row>
    <row r="13756">
      <c r="B13756" s="11">
        <f>IFERROR(__xludf.DUMMYFUNCTION("""COMPUTED_VALUE"""),26767.0)</f>
        <v>26767</v>
      </c>
      <c r="C13756" s="9">
        <f>IFERROR(__xludf.DUMMYFUNCTION("""COMPUTED_VALUE"""),6.63)</f>
        <v>6.63</v>
      </c>
      <c r="H13756" s="17"/>
      <c r="K13756" s="17"/>
      <c r="N13756" s="17"/>
    </row>
    <row r="13757">
      <c r="B13757" s="11">
        <f>IFERROR(__xludf.DUMMYFUNCTION("""COMPUTED_VALUE"""),26766.0)</f>
        <v>26766</v>
      </c>
      <c r="C13757" s="9">
        <f>IFERROR(__xludf.DUMMYFUNCTION("""COMPUTED_VALUE"""),6.66)</f>
        <v>6.66</v>
      </c>
      <c r="H13757" s="17"/>
      <c r="K13757" s="17"/>
      <c r="N13757" s="17"/>
    </row>
    <row r="13758">
      <c r="B13758" s="11">
        <f>IFERROR(__xludf.DUMMYFUNCTION("""COMPUTED_VALUE"""),26765.0)</f>
        <v>26765</v>
      </c>
      <c r="C13758" s="9">
        <f>IFERROR(__xludf.DUMMYFUNCTION("""COMPUTED_VALUE"""),6.65)</f>
        <v>6.65</v>
      </c>
      <c r="H13758" s="17"/>
      <c r="K13758" s="17"/>
      <c r="N13758" s="17"/>
    </row>
    <row r="13759">
      <c r="B13759" s="11">
        <f>IFERROR(__xludf.DUMMYFUNCTION("""COMPUTED_VALUE"""),26764.0)</f>
        <v>26764</v>
      </c>
      <c r="C13759" s="9">
        <f>IFERROR(__xludf.DUMMYFUNCTION("""COMPUTED_VALUE"""),6.64)</f>
        <v>6.64</v>
      </c>
      <c r="H13759" s="17"/>
      <c r="K13759" s="17"/>
      <c r="N13759" s="17"/>
    </row>
    <row r="13760">
      <c r="B13760" s="11">
        <f>IFERROR(__xludf.DUMMYFUNCTION("""COMPUTED_VALUE"""),26763.0)</f>
        <v>26763</v>
      </c>
      <c r="C13760" s="9">
        <f>IFERROR(__xludf.DUMMYFUNCTION("""COMPUTED_VALUE"""),6.62)</f>
        <v>6.62</v>
      </c>
      <c r="H13760" s="17"/>
      <c r="K13760" s="17"/>
      <c r="N13760" s="17"/>
    </row>
    <row r="13761">
      <c r="B13761" s="11">
        <f>IFERROR(__xludf.DUMMYFUNCTION("""COMPUTED_VALUE"""),26760.0)</f>
        <v>26760</v>
      </c>
      <c r="C13761" s="9">
        <f>IFERROR(__xludf.DUMMYFUNCTION("""COMPUTED_VALUE"""),6.64)</f>
        <v>6.64</v>
      </c>
      <c r="H13761" s="17"/>
      <c r="K13761" s="17"/>
      <c r="N13761" s="17"/>
    </row>
    <row r="13762">
      <c r="B13762" s="11">
        <f>IFERROR(__xludf.DUMMYFUNCTION("""COMPUTED_VALUE"""),26759.0)</f>
        <v>26759</v>
      </c>
      <c r="C13762" s="9">
        <f>IFERROR(__xludf.DUMMYFUNCTION("""COMPUTED_VALUE"""),6.68)</f>
        <v>6.68</v>
      </c>
      <c r="H13762" s="17"/>
      <c r="K13762" s="17"/>
      <c r="N13762" s="17"/>
    </row>
    <row r="13763">
      <c r="B13763" s="11">
        <f>IFERROR(__xludf.DUMMYFUNCTION("""COMPUTED_VALUE"""),26758.0)</f>
        <v>26758</v>
      </c>
      <c r="C13763" s="9">
        <f>IFERROR(__xludf.DUMMYFUNCTION("""COMPUTED_VALUE"""),6.7)</f>
        <v>6.7</v>
      </c>
      <c r="H13763" s="17"/>
      <c r="K13763" s="17"/>
      <c r="N13763" s="17"/>
    </row>
    <row r="13764">
      <c r="B13764" s="11">
        <f>IFERROR(__xludf.DUMMYFUNCTION("""COMPUTED_VALUE"""),26757.0)</f>
        <v>26757</v>
      </c>
      <c r="C13764" s="9">
        <f>IFERROR(__xludf.DUMMYFUNCTION("""COMPUTED_VALUE"""),6.73)</f>
        <v>6.73</v>
      </c>
      <c r="H13764" s="17"/>
      <c r="K13764" s="17"/>
      <c r="N13764" s="17"/>
    </row>
    <row r="13765">
      <c r="B13765" s="11">
        <f>IFERROR(__xludf.DUMMYFUNCTION("""COMPUTED_VALUE"""),26756.0)</f>
        <v>26756</v>
      </c>
      <c r="C13765" s="9">
        <f>IFERROR(__xludf.DUMMYFUNCTION("""COMPUTED_VALUE"""),6.74)</f>
        <v>6.74</v>
      </c>
      <c r="H13765" s="17"/>
      <c r="K13765" s="17"/>
      <c r="N13765" s="17"/>
    </row>
    <row r="13766">
      <c r="B13766" s="11">
        <f>IFERROR(__xludf.DUMMYFUNCTION("""COMPUTED_VALUE"""),26753.0)</f>
        <v>26753</v>
      </c>
      <c r="C13766" s="9">
        <f>IFERROR(__xludf.DUMMYFUNCTION("""COMPUTED_VALUE"""),6.73)</f>
        <v>6.73</v>
      </c>
      <c r="H13766" s="17"/>
      <c r="K13766" s="17"/>
      <c r="N13766" s="17"/>
    </row>
    <row r="13767">
      <c r="B13767" s="11">
        <f>IFERROR(__xludf.DUMMYFUNCTION("""COMPUTED_VALUE"""),26752.0)</f>
        <v>26752</v>
      </c>
      <c r="C13767" s="9">
        <f>IFERROR(__xludf.DUMMYFUNCTION("""COMPUTED_VALUE"""),6.68)</f>
        <v>6.68</v>
      </c>
      <c r="H13767" s="17"/>
      <c r="K13767" s="17"/>
      <c r="N13767" s="17"/>
    </row>
    <row r="13768">
      <c r="B13768" s="11">
        <f>IFERROR(__xludf.DUMMYFUNCTION("""COMPUTED_VALUE"""),26751.0)</f>
        <v>26751</v>
      </c>
      <c r="C13768" s="9">
        <f>IFERROR(__xludf.DUMMYFUNCTION("""COMPUTED_VALUE"""),6.67)</f>
        <v>6.67</v>
      </c>
      <c r="H13768" s="17"/>
      <c r="K13768" s="17"/>
      <c r="N13768" s="17"/>
    </row>
    <row r="13769">
      <c r="B13769" s="11">
        <f>IFERROR(__xludf.DUMMYFUNCTION("""COMPUTED_VALUE"""),26750.0)</f>
        <v>26750</v>
      </c>
      <c r="C13769" s="9">
        <f>IFERROR(__xludf.DUMMYFUNCTION("""COMPUTED_VALUE"""),6.72)</f>
        <v>6.72</v>
      </c>
      <c r="H13769" s="17"/>
      <c r="K13769" s="17"/>
      <c r="N13769" s="17"/>
    </row>
    <row r="13770">
      <c r="B13770" s="11">
        <f>IFERROR(__xludf.DUMMYFUNCTION("""COMPUTED_VALUE"""),26749.0)</f>
        <v>26749</v>
      </c>
      <c r="C13770" s="9">
        <f>IFERROR(__xludf.DUMMYFUNCTION("""COMPUTED_VALUE"""),6.73)</f>
        <v>6.73</v>
      </c>
      <c r="H13770" s="17"/>
      <c r="K13770" s="17"/>
      <c r="N13770" s="17"/>
    </row>
    <row r="13771">
      <c r="B13771" s="11">
        <f>IFERROR(__xludf.DUMMYFUNCTION("""COMPUTED_VALUE"""),26746.0)</f>
        <v>26746</v>
      </c>
      <c r="C13771" s="9">
        <f>IFERROR(__xludf.DUMMYFUNCTION("""COMPUTED_VALUE"""),6.76)</f>
        <v>6.76</v>
      </c>
      <c r="H13771" s="17"/>
      <c r="K13771" s="17"/>
      <c r="N13771" s="17"/>
    </row>
    <row r="13772">
      <c r="B13772" s="11">
        <f>IFERROR(__xludf.DUMMYFUNCTION("""COMPUTED_VALUE"""),26745.0)</f>
        <v>26745</v>
      </c>
      <c r="C13772" s="9">
        <f>IFERROR(__xludf.DUMMYFUNCTION("""COMPUTED_VALUE"""),6.76)</f>
        <v>6.76</v>
      </c>
      <c r="H13772" s="17"/>
      <c r="K13772" s="17"/>
      <c r="N13772" s="17"/>
    </row>
    <row r="13773">
      <c r="B13773" s="11">
        <f>IFERROR(__xludf.DUMMYFUNCTION("""COMPUTED_VALUE"""),26744.0)</f>
        <v>26744</v>
      </c>
      <c r="C13773" s="9">
        <f>IFERROR(__xludf.DUMMYFUNCTION("""COMPUTED_VALUE"""),6.76)</f>
        <v>6.76</v>
      </c>
      <c r="H13773" s="17"/>
      <c r="K13773" s="17"/>
      <c r="N13773" s="17"/>
    </row>
    <row r="13774">
      <c r="B13774" s="11">
        <f>IFERROR(__xludf.DUMMYFUNCTION("""COMPUTED_VALUE"""),26743.0)</f>
        <v>26743</v>
      </c>
      <c r="C13774" s="9">
        <f>IFERROR(__xludf.DUMMYFUNCTION("""COMPUTED_VALUE"""),6.76)</f>
        <v>6.76</v>
      </c>
      <c r="H13774" s="17"/>
      <c r="K13774" s="17"/>
      <c r="N13774" s="17"/>
    </row>
    <row r="13775">
      <c r="B13775" s="11">
        <f>IFERROR(__xludf.DUMMYFUNCTION("""COMPUTED_VALUE"""),26742.0)</f>
        <v>26742</v>
      </c>
      <c r="C13775" s="9">
        <f>IFERROR(__xludf.DUMMYFUNCTION("""COMPUTED_VALUE"""),6.75)</f>
        <v>6.75</v>
      </c>
      <c r="H13775" s="17"/>
      <c r="K13775" s="17"/>
      <c r="N13775" s="17"/>
    </row>
    <row r="13776">
      <c r="B13776" s="11">
        <f>IFERROR(__xludf.DUMMYFUNCTION("""COMPUTED_VALUE"""),26739.0)</f>
        <v>26739</v>
      </c>
      <c r="C13776" s="9">
        <f>IFERROR(__xludf.DUMMYFUNCTION("""COMPUTED_VALUE"""),6.77)</f>
        <v>6.77</v>
      </c>
      <c r="H13776" s="17"/>
      <c r="K13776" s="17"/>
      <c r="N13776" s="17"/>
    </row>
    <row r="13777">
      <c r="B13777" s="11">
        <f>IFERROR(__xludf.DUMMYFUNCTION("""COMPUTED_VALUE"""),26738.0)</f>
        <v>26738</v>
      </c>
      <c r="C13777" s="9">
        <f>IFERROR(__xludf.DUMMYFUNCTION("""COMPUTED_VALUE"""),6.73)</f>
        <v>6.73</v>
      </c>
      <c r="H13777" s="17"/>
      <c r="K13777" s="17"/>
      <c r="N13777" s="17"/>
    </row>
    <row r="13778">
      <c r="B13778" s="11">
        <f>IFERROR(__xludf.DUMMYFUNCTION("""COMPUTED_VALUE"""),26737.0)</f>
        <v>26737</v>
      </c>
      <c r="C13778" s="9">
        <f>IFERROR(__xludf.DUMMYFUNCTION("""COMPUTED_VALUE"""),6.71)</f>
        <v>6.71</v>
      </c>
      <c r="H13778" s="17"/>
      <c r="K13778" s="17"/>
      <c r="N13778" s="17"/>
    </row>
    <row r="13779">
      <c r="B13779" s="11">
        <f>IFERROR(__xludf.DUMMYFUNCTION("""COMPUTED_VALUE"""),26736.0)</f>
        <v>26736</v>
      </c>
      <c r="C13779" s="9">
        <f>IFERROR(__xludf.DUMMYFUNCTION("""COMPUTED_VALUE"""),6.7)</f>
        <v>6.7</v>
      </c>
      <c r="H13779" s="17"/>
      <c r="K13779" s="17"/>
      <c r="N13779" s="17"/>
    </row>
    <row r="13780">
      <c r="B13780" s="11">
        <f>IFERROR(__xludf.DUMMYFUNCTION("""COMPUTED_VALUE"""),26735.0)</f>
        <v>26735</v>
      </c>
      <c r="C13780" s="9">
        <f>IFERROR(__xludf.DUMMYFUNCTION("""COMPUTED_VALUE"""),6.68)</f>
        <v>6.68</v>
      </c>
      <c r="H13780" s="17"/>
      <c r="K13780" s="17"/>
      <c r="N13780" s="17"/>
    </row>
    <row r="13781">
      <c r="B13781" s="11">
        <f>IFERROR(__xludf.DUMMYFUNCTION("""COMPUTED_VALUE"""),26732.0)</f>
        <v>26732</v>
      </c>
      <c r="C13781" s="9">
        <f>IFERROR(__xludf.DUMMYFUNCTION("""COMPUTED_VALUE"""),6.68)</f>
        <v>6.68</v>
      </c>
      <c r="H13781" s="17"/>
      <c r="K13781" s="17"/>
      <c r="N13781" s="17"/>
    </row>
    <row r="13782">
      <c r="B13782" s="11">
        <f>IFERROR(__xludf.DUMMYFUNCTION("""COMPUTED_VALUE"""),26731.0)</f>
        <v>26731</v>
      </c>
      <c r="C13782" s="9">
        <f>IFERROR(__xludf.DUMMYFUNCTION("""COMPUTED_VALUE"""),6.67)</f>
        <v>6.67</v>
      </c>
      <c r="H13782" s="17"/>
      <c r="K13782" s="17"/>
      <c r="N13782" s="17"/>
    </row>
    <row r="13783">
      <c r="B13783" s="11">
        <f>IFERROR(__xludf.DUMMYFUNCTION("""COMPUTED_VALUE"""),26730.0)</f>
        <v>26730</v>
      </c>
      <c r="C13783" s="9">
        <f>IFERROR(__xludf.DUMMYFUNCTION("""COMPUTED_VALUE"""),6.66)</f>
        <v>6.66</v>
      </c>
      <c r="H13783" s="17"/>
      <c r="K13783" s="17"/>
      <c r="N13783" s="17"/>
    </row>
    <row r="13784">
      <c r="B13784" s="11">
        <f>IFERROR(__xludf.DUMMYFUNCTION("""COMPUTED_VALUE"""),26729.0)</f>
        <v>26729</v>
      </c>
      <c r="C13784" s="9">
        <f>IFERROR(__xludf.DUMMYFUNCTION("""COMPUTED_VALUE"""),6.68)</f>
        <v>6.68</v>
      </c>
      <c r="H13784" s="17"/>
      <c r="K13784" s="17"/>
      <c r="N13784" s="17"/>
    </row>
    <row r="13785">
      <c r="B13785" s="11">
        <f>IFERROR(__xludf.DUMMYFUNCTION("""COMPUTED_VALUE"""),26728.0)</f>
        <v>26728</v>
      </c>
      <c r="C13785" s="9">
        <f>IFERROR(__xludf.DUMMYFUNCTION("""COMPUTED_VALUE"""),6.68)</f>
        <v>6.68</v>
      </c>
      <c r="H13785" s="17"/>
      <c r="K13785" s="17"/>
      <c r="N13785" s="17"/>
    </row>
    <row r="13786">
      <c r="B13786" s="11">
        <f>IFERROR(__xludf.DUMMYFUNCTION("""COMPUTED_VALUE"""),26725.0)</f>
        <v>26725</v>
      </c>
      <c r="C13786" s="9">
        <f>IFERROR(__xludf.DUMMYFUNCTION("""COMPUTED_VALUE"""),6.67)</f>
        <v>6.67</v>
      </c>
      <c r="H13786" s="17"/>
      <c r="K13786" s="17"/>
      <c r="N13786" s="17"/>
    </row>
    <row r="13787">
      <c r="B13787" s="11">
        <f>IFERROR(__xludf.DUMMYFUNCTION("""COMPUTED_VALUE"""),26724.0)</f>
        <v>26724</v>
      </c>
      <c r="C13787" s="9">
        <f>IFERROR(__xludf.DUMMYFUNCTION("""COMPUTED_VALUE"""),6.65)</f>
        <v>6.65</v>
      </c>
      <c r="H13787" s="17"/>
      <c r="K13787" s="17"/>
      <c r="N13787" s="17"/>
    </row>
    <row r="13788">
      <c r="B13788" s="11">
        <f>IFERROR(__xludf.DUMMYFUNCTION("""COMPUTED_VALUE"""),26723.0)</f>
        <v>26723</v>
      </c>
      <c r="C13788" s="9">
        <f>IFERROR(__xludf.DUMMYFUNCTION("""COMPUTED_VALUE"""),6.64)</f>
        <v>6.64</v>
      </c>
      <c r="H13788" s="17"/>
      <c r="K13788" s="17"/>
      <c r="N13788" s="17"/>
    </row>
    <row r="13789">
      <c r="B13789" s="11">
        <f>IFERROR(__xludf.DUMMYFUNCTION("""COMPUTED_VALUE"""),26722.0)</f>
        <v>26722</v>
      </c>
      <c r="C13789" s="9">
        <f>IFERROR(__xludf.DUMMYFUNCTION("""COMPUTED_VALUE"""),6.64)</f>
        <v>6.64</v>
      </c>
      <c r="H13789" s="17"/>
      <c r="K13789" s="17"/>
      <c r="N13789" s="17"/>
    </row>
    <row r="13790">
      <c r="B13790" s="11">
        <f>IFERROR(__xludf.DUMMYFUNCTION("""COMPUTED_VALUE"""),26721.0)</f>
        <v>26721</v>
      </c>
      <c r="C13790" s="9">
        <f>IFERROR(__xludf.DUMMYFUNCTION("""COMPUTED_VALUE"""),6.65)</f>
        <v>6.65</v>
      </c>
      <c r="H13790" s="17"/>
      <c r="K13790" s="17"/>
      <c r="N13790" s="17"/>
    </row>
    <row r="13791">
      <c r="B13791" s="11">
        <f>IFERROR(__xludf.DUMMYFUNCTION("""COMPUTED_VALUE"""),26718.0)</f>
        <v>26718</v>
      </c>
      <c r="C13791" s="9">
        <f>IFERROR(__xludf.DUMMYFUNCTION("""COMPUTED_VALUE"""),6.61)</f>
        <v>6.61</v>
      </c>
      <c r="H13791" s="17"/>
      <c r="K13791" s="17"/>
      <c r="N13791" s="17"/>
    </row>
    <row r="13792">
      <c r="B13792" s="11">
        <f>IFERROR(__xludf.DUMMYFUNCTION("""COMPUTED_VALUE"""),26717.0)</f>
        <v>26717</v>
      </c>
      <c r="C13792" s="9">
        <f>IFERROR(__xludf.DUMMYFUNCTION("""COMPUTED_VALUE"""),6.65)</f>
        <v>6.65</v>
      </c>
      <c r="H13792" s="17"/>
      <c r="K13792" s="17"/>
      <c r="N13792" s="17"/>
    </row>
    <row r="13793">
      <c r="B13793" s="11">
        <f>IFERROR(__xludf.DUMMYFUNCTION("""COMPUTED_VALUE"""),26716.0)</f>
        <v>26716</v>
      </c>
      <c r="C13793" s="9">
        <f>IFERROR(__xludf.DUMMYFUNCTION("""COMPUTED_VALUE"""),6.66)</f>
        <v>6.66</v>
      </c>
      <c r="H13793" s="17"/>
      <c r="K13793" s="17"/>
      <c r="N13793" s="17"/>
    </row>
    <row r="13794">
      <c r="B13794" s="11">
        <f>IFERROR(__xludf.DUMMYFUNCTION("""COMPUTED_VALUE"""),26715.0)</f>
        <v>26715</v>
      </c>
      <c r="C13794" s="9">
        <f>IFERROR(__xludf.DUMMYFUNCTION("""COMPUTED_VALUE"""),6.66)</f>
        <v>6.66</v>
      </c>
      <c r="H13794" s="17"/>
      <c r="K13794" s="17"/>
      <c r="N13794" s="17"/>
    </row>
    <row r="13795">
      <c r="B13795" s="11">
        <f>IFERROR(__xludf.DUMMYFUNCTION("""COMPUTED_VALUE"""),26714.0)</f>
        <v>26714</v>
      </c>
      <c r="C13795" s="9"/>
      <c r="H13795" s="17"/>
      <c r="K13795" s="17"/>
      <c r="N13795" s="17"/>
    </row>
    <row r="13796">
      <c r="B13796" s="11">
        <f>IFERROR(__xludf.DUMMYFUNCTION("""COMPUTED_VALUE"""),26711.0)</f>
        <v>26711</v>
      </c>
      <c r="C13796" s="9">
        <f>IFERROR(__xludf.DUMMYFUNCTION("""COMPUTED_VALUE"""),6.63)</f>
        <v>6.63</v>
      </c>
      <c r="H13796" s="17"/>
      <c r="K13796" s="17"/>
      <c r="N13796" s="17"/>
    </row>
    <row r="13797">
      <c r="B13797" s="11">
        <f>IFERROR(__xludf.DUMMYFUNCTION("""COMPUTED_VALUE"""),26710.0)</f>
        <v>26710</v>
      </c>
      <c r="C13797" s="9">
        <f>IFERROR(__xludf.DUMMYFUNCTION("""COMPUTED_VALUE"""),6.62)</f>
        <v>6.62</v>
      </c>
      <c r="H13797" s="17"/>
      <c r="K13797" s="17"/>
      <c r="N13797" s="17"/>
    </row>
    <row r="13798">
      <c r="B13798" s="11">
        <f>IFERROR(__xludf.DUMMYFUNCTION("""COMPUTED_VALUE"""),26709.0)</f>
        <v>26709</v>
      </c>
      <c r="C13798" s="9">
        <f>IFERROR(__xludf.DUMMYFUNCTION("""COMPUTED_VALUE"""),6.62)</f>
        <v>6.62</v>
      </c>
      <c r="H13798" s="17"/>
      <c r="K13798" s="17"/>
      <c r="N13798" s="17"/>
    </row>
    <row r="13799">
      <c r="B13799" s="11">
        <f>IFERROR(__xludf.DUMMYFUNCTION("""COMPUTED_VALUE"""),26708.0)</f>
        <v>26708</v>
      </c>
      <c r="C13799" s="9">
        <f>IFERROR(__xludf.DUMMYFUNCTION("""COMPUTED_VALUE"""),6.61)</f>
        <v>6.61</v>
      </c>
      <c r="H13799" s="17"/>
      <c r="K13799" s="17"/>
      <c r="N13799" s="17"/>
    </row>
    <row r="13800">
      <c r="B13800" s="11">
        <f>IFERROR(__xludf.DUMMYFUNCTION("""COMPUTED_VALUE"""),26707.0)</f>
        <v>26707</v>
      </c>
      <c r="C13800" s="9"/>
      <c r="H13800" s="17"/>
      <c r="K13800" s="17"/>
      <c r="N13800" s="17"/>
    </row>
    <row r="13801">
      <c r="B13801" s="11">
        <f>IFERROR(__xludf.DUMMYFUNCTION("""COMPUTED_VALUE"""),26704.0)</f>
        <v>26704</v>
      </c>
      <c r="C13801" s="9">
        <f>IFERROR(__xludf.DUMMYFUNCTION("""COMPUTED_VALUE"""),6.63)</f>
        <v>6.63</v>
      </c>
      <c r="H13801" s="17"/>
      <c r="K13801" s="17"/>
      <c r="N13801" s="17"/>
    </row>
    <row r="13802">
      <c r="B13802" s="11">
        <f>IFERROR(__xludf.DUMMYFUNCTION("""COMPUTED_VALUE"""),26703.0)</f>
        <v>26703</v>
      </c>
      <c r="C13802" s="9">
        <f>IFERROR(__xludf.DUMMYFUNCTION("""COMPUTED_VALUE"""),6.66)</f>
        <v>6.66</v>
      </c>
      <c r="H13802" s="17"/>
      <c r="K13802" s="17"/>
      <c r="N13802" s="17"/>
    </row>
    <row r="13803">
      <c r="B13803" s="11">
        <f>IFERROR(__xludf.DUMMYFUNCTION("""COMPUTED_VALUE"""),26702.0)</f>
        <v>26702</v>
      </c>
      <c r="C13803" s="9">
        <f>IFERROR(__xludf.DUMMYFUNCTION("""COMPUTED_VALUE"""),6.64)</f>
        <v>6.64</v>
      </c>
      <c r="H13803" s="17"/>
      <c r="K13803" s="17"/>
      <c r="N13803" s="17"/>
    </row>
    <row r="13804">
      <c r="B13804" s="11">
        <f>IFERROR(__xludf.DUMMYFUNCTION("""COMPUTED_VALUE"""),26701.0)</f>
        <v>26701</v>
      </c>
      <c r="C13804" s="9">
        <f>IFERROR(__xludf.DUMMYFUNCTION("""COMPUTED_VALUE"""),6.64)</f>
        <v>6.64</v>
      </c>
      <c r="H13804" s="17"/>
      <c r="K13804" s="17"/>
      <c r="N13804" s="17"/>
    </row>
    <row r="13805">
      <c r="B13805" s="11">
        <f>IFERROR(__xludf.DUMMYFUNCTION("""COMPUTED_VALUE"""),26700.0)</f>
        <v>26700</v>
      </c>
      <c r="C13805" s="9">
        <f>IFERROR(__xludf.DUMMYFUNCTION("""COMPUTED_VALUE"""),6.64)</f>
        <v>6.64</v>
      </c>
      <c r="H13805" s="17"/>
      <c r="K13805" s="17"/>
      <c r="N13805" s="17"/>
    </row>
    <row r="13806">
      <c r="B13806" s="11">
        <f>IFERROR(__xludf.DUMMYFUNCTION("""COMPUTED_VALUE"""),26697.0)</f>
        <v>26697</v>
      </c>
      <c r="C13806" s="9">
        <f>IFERROR(__xludf.DUMMYFUNCTION("""COMPUTED_VALUE"""),6.64)</f>
        <v>6.64</v>
      </c>
      <c r="H13806" s="17"/>
      <c r="K13806" s="17"/>
      <c r="N13806" s="17"/>
    </row>
    <row r="13807">
      <c r="B13807" s="11">
        <f>IFERROR(__xludf.DUMMYFUNCTION("""COMPUTED_VALUE"""),26696.0)</f>
        <v>26696</v>
      </c>
      <c r="C13807" s="9">
        <f>IFERROR(__xludf.DUMMYFUNCTION("""COMPUTED_VALUE"""),6.6)</f>
        <v>6.6</v>
      </c>
      <c r="H13807" s="17"/>
      <c r="K13807" s="17"/>
      <c r="N13807" s="17"/>
    </row>
    <row r="13808">
      <c r="B13808" s="11">
        <f>IFERROR(__xludf.DUMMYFUNCTION("""COMPUTED_VALUE"""),26695.0)</f>
        <v>26695</v>
      </c>
      <c r="C13808" s="9">
        <f>IFERROR(__xludf.DUMMYFUNCTION("""COMPUTED_VALUE"""),6.54)</f>
        <v>6.54</v>
      </c>
      <c r="H13808" s="17"/>
      <c r="K13808" s="17"/>
      <c r="N13808" s="17"/>
    </row>
    <row r="13809">
      <c r="B13809" s="11">
        <f>IFERROR(__xludf.DUMMYFUNCTION("""COMPUTED_VALUE"""),26694.0)</f>
        <v>26694</v>
      </c>
      <c r="C13809" s="9">
        <f>IFERROR(__xludf.DUMMYFUNCTION("""COMPUTED_VALUE"""),6.52)</f>
        <v>6.52</v>
      </c>
      <c r="H13809" s="17"/>
      <c r="K13809" s="17"/>
      <c r="N13809" s="17"/>
    </row>
    <row r="13810">
      <c r="B13810" s="11">
        <f>IFERROR(__xludf.DUMMYFUNCTION("""COMPUTED_VALUE"""),26693.0)</f>
        <v>26693</v>
      </c>
      <c r="C13810" s="9">
        <f>IFERROR(__xludf.DUMMYFUNCTION("""COMPUTED_VALUE"""),6.55)</f>
        <v>6.55</v>
      </c>
      <c r="H13810" s="17"/>
      <c r="K13810" s="17"/>
      <c r="N13810" s="17"/>
    </row>
    <row r="13811">
      <c r="B13811" s="11">
        <f>IFERROR(__xludf.DUMMYFUNCTION("""COMPUTED_VALUE"""),26690.0)</f>
        <v>26690</v>
      </c>
      <c r="C13811" s="9">
        <f>IFERROR(__xludf.DUMMYFUNCTION("""COMPUTED_VALUE"""),6.53)</f>
        <v>6.53</v>
      </c>
      <c r="H13811" s="17"/>
      <c r="K13811" s="17"/>
      <c r="N13811" s="17"/>
    </row>
    <row r="13812">
      <c r="B13812" s="11">
        <f>IFERROR(__xludf.DUMMYFUNCTION("""COMPUTED_VALUE"""),26689.0)</f>
        <v>26689</v>
      </c>
      <c r="C13812" s="9">
        <f>IFERROR(__xludf.DUMMYFUNCTION("""COMPUTED_VALUE"""),6.51)</f>
        <v>6.51</v>
      </c>
      <c r="H13812" s="17"/>
      <c r="K13812" s="17"/>
      <c r="N13812" s="17"/>
    </row>
    <row r="13813">
      <c r="B13813" s="11">
        <f>IFERROR(__xludf.DUMMYFUNCTION("""COMPUTED_VALUE"""),26688.0)</f>
        <v>26688</v>
      </c>
      <c r="C13813" s="9">
        <f>IFERROR(__xludf.DUMMYFUNCTION("""COMPUTED_VALUE"""),6.49)</f>
        <v>6.49</v>
      </c>
      <c r="H13813" s="17"/>
      <c r="K13813" s="17"/>
      <c r="N13813" s="17"/>
    </row>
    <row r="13814">
      <c r="B13814" s="11">
        <f>IFERROR(__xludf.DUMMYFUNCTION("""COMPUTED_VALUE"""),26687.0)</f>
        <v>26687</v>
      </c>
      <c r="C13814" s="9">
        <f>IFERROR(__xludf.DUMMYFUNCTION("""COMPUTED_VALUE"""),6.48)</f>
        <v>6.48</v>
      </c>
      <c r="H13814" s="17"/>
      <c r="K13814" s="17"/>
      <c r="N13814" s="17"/>
    </row>
    <row r="13815">
      <c r="B13815" s="11">
        <f>IFERROR(__xludf.DUMMYFUNCTION("""COMPUTED_VALUE"""),26686.0)</f>
        <v>26686</v>
      </c>
      <c r="C13815" s="9">
        <f>IFERROR(__xludf.DUMMYFUNCTION("""COMPUTED_VALUE"""),6.5)</f>
        <v>6.5</v>
      </c>
      <c r="H13815" s="17"/>
      <c r="K13815" s="17"/>
      <c r="N13815" s="17"/>
    </row>
    <row r="13816">
      <c r="B13816" s="11">
        <f>IFERROR(__xludf.DUMMYFUNCTION("""COMPUTED_VALUE"""),26683.0)</f>
        <v>26683</v>
      </c>
      <c r="C13816" s="9">
        <f>IFERROR(__xludf.DUMMYFUNCTION("""COMPUTED_VALUE"""),6.49)</f>
        <v>6.49</v>
      </c>
      <c r="H13816" s="17"/>
      <c r="K13816" s="17"/>
      <c r="N13816" s="17"/>
    </row>
    <row r="13817">
      <c r="B13817" s="11">
        <f>IFERROR(__xludf.DUMMYFUNCTION("""COMPUTED_VALUE"""),26682.0)</f>
        <v>26682</v>
      </c>
      <c r="C13817" s="9">
        <f>IFERROR(__xludf.DUMMYFUNCTION("""COMPUTED_VALUE"""),6.46)</f>
        <v>6.46</v>
      </c>
      <c r="H13817" s="17"/>
      <c r="K13817" s="17"/>
      <c r="N13817" s="17"/>
    </row>
    <row r="13818">
      <c r="B13818" s="11">
        <f>IFERROR(__xludf.DUMMYFUNCTION("""COMPUTED_VALUE"""),26681.0)</f>
        <v>26681</v>
      </c>
      <c r="C13818" s="9">
        <f>IFERROR(__xludf.DUMMYFUNCTION("""COMPUTED_VALUE"""),6.45)</f>
        <v>6.45</v>
      </c>
      <c r="H13818" s="17"/>
      <c r="K13818" s="17"/>
      <c r="N13818" s="17"/>
    </row>
    <row r="13819">
      <c r="B13819" s="11">
        <f>IFERROR(__xludf.DUMMYFUNCTION("""COMPUTED_VALUE"""),26680.0)</f>
        <v>26680</v>
      </c>
      <c r="C13819" s="9">
        <f>IFERROR(__xludf.DUMMYFUNCTION("""COMPUTED_VALUE"""),6.44)</f>
        <v>6.44</v>
      </c>
      <c r="H13819" s="17"/>
      <c r="K13819" s="17"/>
      <c r="N13819" s="17"/>
    </row>
    <row r="13820">
      <c r="B13820" s="11">
        <f>IFERROR(__xludf.DUMMYFUNCTION("""COMPUTED_VALUE"""),26679.0)</f>
        <v>26679</v>
      </c>
      <c r="C13820" s="9">
        <f>IFERROR(__xludf.DUMMYFUNCTION("""COMPUTED_VALUE"""),6.44)</f>
        <v>6.44</v>
      </c>
      <c r="H13820" s="17"/>
      <c r="K13820" s="17"/>
      <c r="N13820" s="17"/>
    </row>
    <row r="13821">
      <c r="B13821" s="11">
        <f>IFERROR(__xludf.DUMMYFUNCTION("""COMPUTED_VALUE"""),26676.0)</f>
        <v>26676</v>
      </c>
      <c r="C13821" s="9">
        <f>IFERROR(__xludf.DUMMYFUNCTION("""COMPUTED_VALUE"""),6.44)</f>
        <v>6.44</v>
      </c>
      <c r="H13821" s="17"/>
      <c r="K13821" s="17"/>
      <c r="N13821" s="17"/>
    </row>
    <row r="13822">
      <c r="B13822" s="11">
        <f>IFERROR(__xludf.DUMMYFUNCTION("""COMPUTED_VALUE"""),26675.0)</f>
        <v>26675</v>
      </c>
      <c r="C13822" s="9">
        <f>IFERROR(__xludf.DUMMYFUNCTION("""COMPUTED_VALUE"""),6.43)</f>
        <v>6.43</v>
      </c>
      <c r="H13822" s="17"/>
      <c r="K13822" s="17"/>
      <c r="N13822" s="17"/>
    </row>
    <row r="13823">
      <c r="B13823" s="11">
        <f>IFERROR(__xludf.DUMMYFUNCTION("""COMPUTED_VALUE"""),26674.0)</f>
        <v>26674</v>
      </c>
      <c r="C13823" s="9">
        <f>IFERROR(__xludf.DUMMYFUNCTION("""COMPUTED_VALUE"""),6.43)</f>
        <v>6.43</v>
      </c>
      <c r="H13823" s="17"/>
      <c r="K13823" s="17"/>
      <c r="N13823" s="17"/>
    </row>
    <row r="13824">
      <c r="B13824" s="11">
        <f>IFERROR(__xludf.DUMMYFUNCTION("""COMPUTED_VALUE"""),26673.0)</f>
        <v>26673</v>
      </c>
      <c r="C13824" s="9">
        <f>IFERROR(__xludf.DUMMYFUNCTION("""COMPUTED_VALUE"""),6.42)</f>
        <v>6.42</v>
      </c>
      <c r="H13824" s="17"/>
      <c r="K13824" s="17"/>
      <c r="N13824" s="17"/>
    </row>
    <row r="13825">
      <c r="B13825" s="11">
        <f>IFERROR(__xludf.DUMMYFUNCTION("""COMPUTED_VALUE"""),26672.0)</f>
        <v>26672</v>
      </c>
      <c r="C13825" s="9">
        <f>IFERROR(__xludf.DUMMYFUNCTION("""COMPUTED_VALUE"""),6.43)</f>
        <v>6.43</v>
      </c>
      <c r="H13825" s="17"/>
      <c r="K13825" s="17"/>
      <c r="N13825" s="17"/>
    </row>
    <row r="13826">
      <c r="B13826" s="11">
        <f>IFERROR(__xludf.DUMMYFUNCTION("""COMPUTED_VALUE"""),26669.0)</f>
        <v>26669</v>
      </c>
      <c r="C13826" s="9">
        <f>IFERROR(__xludf.DUMMYFUNCTION("""COMPUTED_VALUE"""),6.42)</f>
        <v>6.42</v>
      </c>
      <c r="H13826" s="17"/>
      <c r="K13826" s="17"/>
      <c r="N13826" s="17"/>
    </row>
    <row r="13827">
      <c r="B13827" s="11">
        <f>IFERROR(__xludf.DUMMYFUNCTION("""COMPUTED_VALUE"""),26668.0)</f>
        <v>26668</v>
      </c>
      <c r="C13827" s="9">
        <f>IFERROR(__xludf.DUMMYFUNCTION("""COMPUTED_VALUE"""),6.4)</f>
        <v>6.4</v>
      </c>
      <c r="H13827" s="17"/>
      <c r="K13827" s="17"/>
      <c r="N13827" s="17"/>
    </row>
    <row r="13828">
      <c r="B13828" s="11">
        <f>IFERROR(__xludf.DUMMYFUNCTION("""COMPUTED_VALUE"""),26667.0)</f>
        <v>26667</v>
      </c>
      <c r="C13828" s="9">
        <f>IFERROR(__xludf.DUMMYFUNCTION("""COMPUTED_VALUE"""),6.42)</f>
        <v>6.42</v>
      </c>
      <c r="H13828" s="17"/>
      <c r="K13828" s="17"/>
      <c r="N13828" s="17"/>
    </row>
    <row r="13829">
      <c r="B13829" s="11">
        <f>IFERROR(__xludf.DUMMYFUNCTION("""COMPUTED_VALUE"""),26666.0)</f>
        <v>26666</v>
      </c>
      <c r="C13829" s="9">
        <f>IFERROR(__xludf.DUMMYFUNCTION("""COMPUTED_VALUE"""),6.43)</f>
        <v>6.43</v>
      </c>
      <c r="H13829" s="17"/>
      <c r="K13829" s="17"/>
      <c r="N13829" s="17"/>
    </row>
    <row r="13830">
      <c r="B13830" s="11">
        <f>IFERROR(__xludf.DUMMYFUNCTION("""COMPUTED_VALUE"""),26665.0)</f>
        <v>26665</v>
      </c>
      <c r="C13830" s="9"/>
      <c r="H13830" s="17"/>
      <c r="K13830" s="17"/>
      <c r="N13830" s="17"/>
    </row>
    <row r="13831">
      <c r="B13831" s="11">
        <f>IFERROR(__xludf.DUMMYFUNCTION("""COMPUTED_VALUE"""),26662.0)</f>
        <v>26662</v>
      </c>
      <c r="C13831" s="9">
        <f>IFERROR(__xludf.DUMMYFUNCTION("""COMPUTED_VALUE"""),6.41)</f>
        <v>6.41</v>
      </c>
      <c r="H13831" s="17"/>
      <c r="K13831" s="17"/>
      <c r="N13831" s="17"/>
    </row>
    <row r="13832">
      <c r="B13832" s="11">
        <f>IFERROR(__xludf.DUMMYFUNCTION("""COMPUTED_VALUE"""),26661.0)</f>
        <v>26661</v>
      </c>
      <c r="C13832" s="9">
        <f>IFERROR(__xludf.DUMMYFUNCTION("""COMPUTED_VALUE"""),6.41)</f>
        <v>6.41</v>
      </c>
      <c r="H13832" s="17"/>
      <c r="K13832" s="17"/>
      <c r="N13832" s="17"/>
    </row>
    <row r="13833">
      <c r="B13833" s="11">
        <f>IFERROR(__xludf.DUMMYFUNCTION("""COMPUTED_VALUE"""),26660.0)</f>
        <v>26660</v>
      </c>
      <c r="C13833" s="9">
        <f>IFERROR(__xludf.DUMMYFUNCTION("""COMPUTED_VALUE"""),6.4)</f>
        <v>6.4</v>
      </c>
      <c r="H13833" s="17"/>
      <c r="K13833" s="17"/>
      <c r="N13833" s="17"/>
    </row>
    <row r="13834">
      <c r="B13834" s="11">
        <f>IFERROR(__xludf.DUMMYFUNCTION("""COMPUTED_VALUE"""),26659.0)</f>
        <v>26659</v>
      </c>
      <c r="C13834" s="9">
        <f>IFERROR(__xludf.DUMMYFUNCTION("""COMPUTED_VALUE"""),6.39)</f>
        <v>6.39</v>
      </c>
      <c r="H13834" s="17"/>
      <c r="K13834" s="17"/>
      <c r="N13834" s="17"/>
    </row>
    <row r="13835">
      <c r="B13835" s="11">
        <f>IFERROR(__xludf.DUMMYFUNCTION("""COMPUTED_VALUE"""),26658.0)</f>
        <v>26658</v>
      </c>
      <c r="C13835" s="9"/>
      <c r="H13835" s="17"/>
      <c r="K13835" s="17"/>
      <c r="N13835" s="17"/>
    </row>
    <row r="13836">
      <c r="B13836" s="11">
        <f>IFERROR(__xludf.DUMMYFUNCTION("""COMPUTED_VALUE"""),26655.0)</f>
        <v>26655</v>
      </c>
      <c r="C13836" s="9">
        <f>IFERROR(__xludf.DUMMYFUNCTION("""COMPUTED_VALUE"""),6.4)</f>
        <v>6.4</v>
      </c>
      <c r="H13836" s="17"/>
      <c r="K13836" s="17"/>
      <c r="N13836" s="17"/>
    </row>
    <row r="13837">
      <c r="B13837" s="11">
        <f>IFERROR(__xludf.DUMMYFUNCTION("""COMPUTED_VALUE"""),26654.0)</f>
        <v>26654</v>
      </c>
      <c r="C13837" s="9">
        <f>IFERROR(__xludf.DUMMYFUNCTION("""COMPUTED_VALUE"""),6.4)</f>
        <v>6.4</v>
      </c>
      <c r="H13837" s="17"/>
      <c r="K13837" s="17"/>
      <c r="N13837" s="17"/>
    </row>
    <row r="13838">
      <c r="B13838" s="11">
        <f>IFERROR(__xludf.DUMMYFUNCTION("""COMPUTED_VALUE"""),26653.0)</f>
        <v>26653</v>
      </c>
      <c r="C13838" s="9">
        <f>IFERROR(__xludf.DUMMYFUNCTION("""COMPUTED_VALUE"""),6.4)</f>
        <v>6.4</v>
      </c>
      <c r="H13838" s="17"/>
      <c r="K13838" s="17"/>
      <c r="N13838" s="17"/>
    </row>
    <row r="13839">
      <c r="B13839" s="11">
        <f>IFERROR(__xludf.DUMMYFUNCTION("""COMPUTED_VALUE"""),26652.0)</f>
        <v>26652</v>
      </c>
      <c r="C13839" s="9">
        <f>IFERROR(__xludf.DUMMYFUNCTION("""COMPUTED_VALUE"""),6.4)</f>
        <v>6.4</v>
      </c>
      <c r="H13839" s="17"/>
      <c r="K13839" s="17"/>
      <c r="N13839" s="17"/>
    </row>
    <row r="13840">
      <c r="B13840" s="11">
        <f>IFERROR(__xludf.DUMMYFUNCTION("""COMPUTED_VALUE"""),26651.0)</f>
        <v>26651</v>
      </c>
      <c r="C13840" s="9">
        <f>IFERROR(__xludf.DUMMYFUNCTION("""COMPUTED_VALUE"""),6.38)</f>
        <v>6.38</v>
      </c>
      <c r="H13840" s="17"/>
      <c r="K13840" s="17"/>
      <c r="N13840" s="17"/>
    </row>
    <row r="13841">
      <c r="B13841" s="11">
        <f>IFERROR(__xludf.DUMMYFUNCTION("""COMPUTED_VALUE"""),26648.0)</f>
        <v>26648</v>
      </c>
      <c r="C13841" s="9">
        <f>IFERROR(__xludf.DUMMYFUNCTION("""COMPUTED_VALUE"""),6.35)</f>
        <v>6.35</v>
      </c>
      <c r="H13841" s="17"/>
      <c r="K13841" s="17"/>
      <c r="N13841" s="17"/>
    </row>
    <row r="13842">
      <c r="B13842" s="11">
        <f>IFERROR(__xludf.DUMMYFUNCTION("""COMPUTED_VALUE"""),26647.0)</f>
        <v>26647</v>
      </c>
      <c r="C13842" s="9">
        <f>IFERROR(__xludf.DUMMYFUNCTION("""COMPUTED_VALUE"""),6.35)</f>
        <v>6.35</v>
      </c>
      <c r="H13842" s="17"/>
      <c r="K13842" s="17"/>
      <c r="N13842" s="17"/>
    </row>
    <row r="13843">
      <c r="B13843" s="11">
        <f>IFERROR(__xludf.DUMMYFUNCTION("""COMPUTED_VALUE"""),26646.0)</f>
        <v>26646</v>
      </c>
      <c r="C13843" s="9">
        <f>IFERROR(__xludf.DUMMYFUNCTION("""COMPUTED_VALUE"""),6.35)</f>
        <v>6.35</v>
      </c>
      <c r="H13843" s="17"/>
      <c r="K13843" s="17"/>
      <c r="N13843" s="17"/>
    </row>
    <row r="13844">
      <c r="B13844" s="11">
        <f>IFERROR(__xludf.DUMMYFUNCTION("""COMPUTED_VALUE"""),26645.0)</f>
        <v>26645</v>
      </c>
      <c r="C13844" s="9">
        <f>IFERROR(__xludf.DUMMYFUNCTION("""COMPUTED_VALUE"""),6.35)</f>
        <v>6.35</v>
      </c>
      <c r="H13844" s="17"/>
      <c r="K13844" s="17"/>
      <c r="N13844" s="17"/>
    </row>
    <row r="13845">
      <c r="B13845" s="11">
        <f>IFERROR(__xludf.DUMMYFUNCTION("""COMPUTED_VALUE"""),26644.0)</f>
        <v>26644</v>
      </c>
      <c r="C13845" s="9">
        <f>IFERROR(__xludf.DUMMYFUNCTION("""COMPUTED_VALUE"""),6.34)</f>
        <v>6.34</v>
      </c>
      <c r="H13845" s="17"/>
      <c r="K13845" s="17"/>
      <c r="N13845" s="17"/>
    </row>
    <row r="13846">
      <c r="B13846" s="11">
        <f>IFERROR(__xludf.DUMMYFUNCTION("""COMPUTED_VALUE"""),26641.0)</f>
        <v>26641</v>
      </c>
      <c r="C13846" s="9">
        <f>IFERROR(__xludf.DUMMYFUNCTION("""COMPUTED_VALUE"""),6.32)</f>
        <v>6.32</v>
      </c>
      <c r="H13846" s="17"/>
      <c r="K13846" s="17"/>
      <c r="N13846" s="17"/>
    </row>
    <row r="13847">
      <c r="B13847" s="11">
        <f>IFERROR(__xludf.DUMMYFUNCTION("""COMPUTED_VALUE"""),26640.0)</f>
        <v>26640</v>
      </c>
      <c r="C13847" s="9">
        <f>IFERROR(__xludf.DUMMYFUNCTION("""COMPUTED_VALUE"""),6.31)</f>
        <v>6.31</v>
      </c>
      <c r="H13847" s="17"/>
      <c r="K13847" s="17"/>
      <c r="N13847" s="17"/>
    </row>
    <row r="13848">
      <c r="B13848" s="11">
        <f>IFERROR(__xludf.DUMMYFUNCTION("""COMPUTED_VALUE"""),26639.0)</f>
        <v>26639</v>
      </c>
      <c r="C13848" s="9">
        <f>IFERROR(__xludf.DUMMYFUNCTION("""COMPUTED_VALUE"""),6.31)</f>
        <v>6.31</v>
      </c>
      <c r="H13848" s="17"/>
      <c r="K13848" s="17"/>
      <c r="N13848" s="17"/>
    </row>
    <row r="13849">
      <c r="B13849" s="11">
        <f>IFERROR(__xludf.DUMMYFUNCTION("""COMPUTED_VALUE"""),26638.0)</f>
        <v>26638</v>
      </c>
      <c r="C13849" s="9">
        <f>IFERROR(__xludf.DUMMYFUNCTION("""COMPUTED_VALUE"""),6.31)</f>
        <v>6.31</v>
      </c>
      <c r="H13849" s="17"/>
      <c r="K13849" s="17"/>
      <c r="N13849" s="17"/>
    </row>
    <row r="13850">
      <c r="B13850" s="11">
        <f>IFERROR(__xludf.DUMMYFUNCTION("""COMPUTED_VALUE"""),26637.0)</f>
        <v>26637</v>
      </c>
      <c r="C13850" s="9">
        <f>IFERROR(__xludf.DUMMYFUNCTION("""COMPUTED_VALUE"""),6.3)</f>
        <v>6.3</v>
      </c>
      <c r="H13850" s="17"/>
      <c r="K13850" s="17"/>
      <c r="N13850" s="17"/>
    </row>
    <row r="13851">
      <c r="B13851" s="11">
        <f>IFERROR(__xludf.DUMMYFUNCTION("""COMPUTED_VALUE"""),26634.0)</f>
        <v>26634</v>
      </c>
      <c r="C13851" s="9">
        <f>IFERROR(__xludf.DUMMYFUNCTION("""COMPUTED_VALUE"""),6.29)</f>
        <v>6.29</v>
      </c>
      <c r="H13851" s="17"/>
      <c r="K13851" s="17"/>
      <c r="N13851" s="17"/>
    </row>
    <row r="13852">
      <c r="B13852" s="11">
        <f>IFERROR(__xludf.DUMMYFUNCTION("""COMPUTED_VALUE"""),26633.0)</f>
        <v>26633</v>
      </c>
      <c r="C13852" s="9">
        <f>IFERROR(__xludf.DUMMYFUNCTION("""COMPUTED_VALUE"""),6.28)</f>
        <v>6.28</v>
      </c>
      <c r="H13852" s="17"/>
      <c r="K13852" s="17"/>
      <c r="N13852" s="17"/>
    </row>
    <row r="13853">
      <c r="B13853" s="11">
        <f>IFERROR(__xludf.DUMMYFUNCTION("""COMPUTED_VALUE"""),26632.0)</f>
        <v>26632</v>
      </c>
      <c r="C13853" s="9">
        <f>IFERROR(__xludf.DUMMYFUNCTION("""COMPUTED_VALUE"""),6.27)</f>
        <v>6.27</v>
      </c>
      <c r="H13853" s="17"/>
      <c r="K13853" s="17"/>
      <c r="N13853" s="17"/>
    </row>
    <row r="13854">
      <c r="B13854" s="11">
        <f>IFERROR(__xludf.DUMMYFUNCTION("""COMPUTED_VALUE"""),26631.0)</f>
        <v>26631</v>
      </c>
      <c r="C13854" s="9">
        <f>IFERROR(__xludf.DUMMYFUNCTION("""COMPUTED_VALUE"""),6.29)</f>
        <v>6.29</v>
      </c>
      <c r="H13854" s="17"/>
      <c r="K13854" s="17"/>
      <c r="N13854" s="17"/>
    </row>
    <row r="13855">
      <c r="B13855" s="11">
        <f>IFERROR(__xludf.DUMMYFUNCTION("""COMPUTED_VALUE"""),26630.0)</f>
        <v>26630</v>
      </c>
      <c r="C13855" s="9">
        <f>IFERROR(__xludf.DUMMYFUNCTION("""COMPUTED_VALUE"""),6.3)</f>
        <v>6.3</v>
      </c>
      <c r="H13855" s="17"/>
      <c r="K13855" s="17"/>
      <c r="N13855" s="17"/>
    </row>
    <row r="13856">
      <c r="B13856" s="11">
        <f>IFERROR(__xludf.DUMMYFUNCTION("""COMPUTED_VALUE"""),26627.0)</f>
        <v>26627</v>
      </c>
      <c r="C13856" s="9">
        <f>IFERROR(__xludf.DUMMYFUNCTION("""COMPUTED_VALUE"""),6.27)</f>
        <v>6.27</v>
      </c>
      <c r="H13856" s="17"/>
      <c r="K13856" s="17"/>
      <c r="N13856" s="17"/>
    </row>
    <row r="13857">
      <c r="B13857" s="11">
        <f>IFERROR(__xludf.DUMMYFUNCTION("""COMPUTED_VALUE"""),26626.0)</f>
        <v>26626</v>
      </c>
      <c r="C13857" s="9"/>
      <c r="H13857" s="17"/>
      <c r="K13857" s="17"/>
      <c r="N13857" s="17"/>
    </row>
    <row r="13858">
      <c r="B13858" s="11">
        <f>IFERROR(__xludf.DUMMYFUNCTION("""COMPUTED_VALUE"""),26625.0)</f>
        <v>26625</v>
      </c>
      <c r="C13858" s="9">
        <f>IFERROR(__xludf.DUMMYFUNCTION("""COMPUTED_VALUE"""),6.27)</f>
        <v>6.27</v>
      </c>
      <c r="H13858" s="17"/>
      <c r="K13858" s="17"/>
      <c r="N13858" s="17"/>
    </row>
    <row r="13859">
      <c r="B13859" s="11">
        <f>IFERROR(__xludf.DUMMYFUNCTION("""COMPUTED_VALUE"""),26624.0)</f>
        <v>26624</v>
      </c>
      <c r="C13859" s="9">
        <f>IFERROR(__xludf.DUMMYFUNCTION("""COMPUTED_VALUE"""),6.26)</f>
        <v>6.26</v>
      </c>
      <c r="H13859" s="17"/>
      <c r="K13859" s="17"/>
      <c r="N13859" s="17"/>
    </row>
    <row r="13860">
      <c r="B13860" s="11">
        <f>IFERROR(__xludf.DUMMYFUNCTION("""COMPUTED_VALUE"""),26623.0)</f>
        <v>26623</v>
      </c>
      <c r="C13860" s="9">
        <f>IFERROR(__xludf.DUMMYFUNCTION("""COMPUTED_VALUE"""),6.23)</f>
        <v>6.23</v>
      </c>
      <c r="H13860" s="17"/>
      <c r="K13860" s="17"/>
      <c r="N13860" s="17"/>
    </row>
    <row r="13861">
      <c r="B13861" s="11">
        <f>IFERROR(__xludf.DUMMYFUNCTION("""COMPUTED_VALUE"""),26620.0)</f>
        <v>26620</v>
      </c>
      <c r="C13861" s="9">
        <f>IFERROR(__xludf.DUMMYFUNCTION("""COMPUTED_VALUE"""),6.24)</f>
        <v>6.24</v>
      </c>
      <c r="H13861" s="17"/>
      <c r="K13861" s="17"/>
      <c r="N13861" s="17"/>
    </row>
    <row r="13862">
      <c r="B13862" s="11">
        <f>IFERROR(__xludf.DUMMYFUNCTION("""COMPUTED_VALUE"""),26619.0)</f>
        <v>26619</v>
      </c>
      <c r="C13862" s="9">
        <f>IFERROR(__xludf.DUMMYFUNCTION("""COMPUTED_VALUE"""),6.24)</f>
        <v>6.24</v>
      </c>
      <c r="H13862" s="17"/>
      <c r="K13862" s="17"/>
      <c r="N13862" s="17"/>
    </row>
    <row r="13863">
      <c r="B13863" s="11">
        <f>IFERROR(__xludf.DUMMYFUNCTION("""COMPUTED_VALUE"""),26618.0)</f>
        <v>26618</v>
      </c>
      <c r="C13863" s="9">
        <f>IFERROR(__xludf.DUMMYFUNCTION("""COMPUTED_VALUE"""),6.23)</f>
        <v>6.23</v>
      </c>
      <c r="H13863" s="17"/>
      <c r="K13863" s="17"/>
      <c r="N13863" s="17"/>
    </row>
    <row r="13864">
      <c r="B13864" s="11">
        <f>IFERROR(__xludf.DUMMYFUNCTION("""COMPUTED_VALUE"""),26617.0)</f>
        <v>26617</v>
      </c>
      <c r="C13864" s="9">
        <f>IFERROR(__xludf.DUMMYFUNCTION("""COMPUTED_VALUE"""),6.26)</f>
        <v>6.26</v>
      </c>
      <c r="H13864" s="17"/>
      <c r="K13864" s="17"/>
      <c r="N13864" s="17"/>
    </row>
    <row r="13865">
      <c r="B13865" s="11">
        <f>IFERROR(__xludf.DUMMYFUNCTION("""COMPUTED_VALUE"""),26616.0)</f>
        <v>26616</v>
      </c>
      <c r="C13865" s="9">
        <f>IFERROR(__xludf.DUMMYFUNCTION("""COMPUTED_VALUE"""),6.27)</f>
        <v>6.27</v>
      </c>
      <c r="H13865" s="17"/>
      <c r="K13865" s="17"/>
      <c r="N13865" s="17"/>
    </row>
    <row r="13866">
      <c r="B13866" s="11">
        <f>IFERROR(__xludf.DUMMYFUNCTION("""COMPUTED_VALUE"""),26613.0)</f>
        <v>26613</v>
      </c>
      <c r="C13866" s="9">
        <f>IFERROR(__xludf.DUMMYFUNCTION("""COMPUTED_VALUE"""),6.3)</f>
        <v>6.3</v>
      </c>
      <c r="H13866" s="17"/>
      <c r="K13866" s="17"/>
      <c r="N13866" s="17"/>
    </row>
    <row r="13867">
      <c r="B13867" s="11">
        <f>IFERROR(__xludf.DUMMYFUNCTION("""COMPUTED_VALUE"""),26612.0)</f>
        <v>26612</v>
      </c>
      <c r="C13867" s="9">
        <f>IFERROR(__xludf.DUMMYFUNCTION("""COMPUTED_VALUE"""),6.3)</f>
        <v>6.3</v>
      </c>
      <c r="H13867" s="17"/>
      <c r="K13867" s="17"/>
      <c r="N13867" s="17"/>
    </row>
    <row r="13868">
      <c r="B13868" s="11">
        <f>IFERROR(__xludf.DUMMYFUNCTION("""COMPUTED_VALUE"""),26611.0)</f>
        <v>26611</v>
      </c>
      <c r="C13868" s="9">
        <f>IFERROR(__xludf.DUMMYFUNCTION("""COMPUTED_VALUE"""),6.3)</f>
        <v>6.3</v>
      </c>
      <c r="H13868" s="17"/>
      <c r="K13868" s="17"/>
      <c r="N13868" s="17"/>
    </row>
    <row r="13869">
      <c r="B13869" s="11">
        <f>IFERROR(__xludf.DUMMYFUNCTION("""COMPUTED_VALUE"""),26610.0)</f>
        <v>26610</v>
      </c>
      <c r="C13869" s="9"/>
      <c r="H13869" s="17"/>
      <c r="K13869" s="17"/>
      <c r="N13869" s="17"/>
    </row>
    <row r="13870">
      <c r="B13870" s="11">
        <f>IFERROR(__xludf.DUMMYFUNCTION("""COMPUTED_VALUE"""),26609.0)</f>
        <v>26609</v>
      </c>
      <c r="C13870" s="9">
        <f>IFERROR(__xludf.DUMMYFUNCTION("""COMPUTED_VALUE"""),6.27)</f>
        <v>6.27</v>
      </c>
      <c r="H13870" s="17"/>
      <c r="K13870" s="17"/>
      <c r="N13870" s="17"/>
    </row>
    <row r="13871">
      <c r="B13871" s="11">
        <f>IFERROR(__xludf.DUMMYFUNCTION("""COMPUTED_VALUE"""),26606.0)</f>
        <v>26606</v>
      </c>
      <c r="C13871" s="9">
        <f>IFERROR(__xludf.DUMMYFUNCTION("""COMPUTED_VALUE"""),6.3)</f>
        <v>6.3</v>
      </c>
      <c r="H13871" s="17"/>
      <c r="K13871" s="17"/>
      <c r="N13871" s="17"/>
    </row>
    <row r="13872">
      <c r="B13872" s="11">
        <f>IFERROR(__xludf.DUMMYFUNCTION("""COMPUTED_VALUE"""),26605.0)</f>
        <v>26605</v>
      </c>
      <c r="C13872" s="9">
        <f>IFERROR(__xludf.DUMMYFUNCTION("""COMPUTED_VALUE"""),6.34)</f>
        <v>6.34</v>
      </c>
      <c r="H13872" s="17"/>
      <c r="K13872" s="17"/>
      <c r="N13872" s="17"/>
    </row>
    <row r="13873">
      <c r="B13873" s="11">
        <f>IFERROR(__xludf.DUMMYFUNCTION("""COMPUTED_VALUE"""),26604.0)</f>
        <v>26604</v>
      </c>
      <c r="C13873" s="9">
        <f>IFERROR(__xludf.DUMMYFUNCTION("""COMPUTED_VALUE"""),6.39)</f>
        <v>6.39</v>
      </c>
      <c r="H13873" s="17"/>
      <c r="K13873" s="17"/>
      <c r="N13873" s="17"/>
    </row>
    <row r="13874">
      <c r="B13874" s="11">
        <f>IFERROR(__xludf.DUMMYFUNCTION("""COMPUTED_VALUE"""),26603.0)</f>
        <v>26603</v>
      </c>
      <c r="C13874" s="9">
        <f>IFERROR(__xludf.DUMMYFUNCTION("""COMPUTED_VALUE"""),6.41)</f>
        <v>6.41</v>
      </c>
      <c r="H13874" s="17"/>
      <c r="K13874" s="17"/>
      <c r="N13874" s="17"/>
    </row>
    <row r="13875">
      <c r="B13875" s="11">
        <f>IFERROR(__xludf.DUMMYFUNCTION("""COMPUTED_VALUE"""),26602.0)</f>
        <v>26602</v>
      </c>
      <c r="C13875" s="9">
        <f>IFERROR(__xludf.DUMMYFUNCTION("""COMPUTED_VALUE"""),6.42)</f>
        <v>6.42</v>
      </c>
      <c r="H13875" s="17"/>
      <c r="K13875" s="17"/>
      <c r="N13875" s="17"/>
    </row>
    <row r="13876">
      <c r="B13876" s="11">
        <f>IFERROR(__xludf.DUMMYFUNCTION("""COMPUTED_VALUE"""),26599.0)</f>
        <v>26599</v>
      </c>
      <c r="C13876" s="9">
        <f>IFERROR(__xludf.DUMMYFUNCTION("""COMPUTED_VALUE"""),6.42)</f>
        <v>6.42</v>
      </c>
      <c r="H13876" s="17"/>
      <c r="K13876" s="17"/>
      <c r="N13876" s="17"/>
    </row>
    <row r="13877">
      <c r="B13877" s="11">
        <f>IFERROR(__xludf.DUMMYFUNCTION("""COMPUTED_VALUE"""),26598.0)</f>
        <v>26598</v>
      </c>
      <c r="C13877" s="9">
        <f>IFERROR(__xludf.DUMMYFUNCTION("""COMPUTED_VALUE"""),6.42)</f>
        <v>6.42</v>
      </c>
      <c r="H13877" s="17"/>
      <c r="K13877" s="17"/>
      <c r="N13877" s="17"/>
    </row>
    <row r="13878">
      <c r="B13878" s="11">
        <f>IFERROR(__xludf.DUMMYFUNCTION("""COMPUTED_VALUE"""),26597.0)</f>
        <v>26597</v>
      </c>
      <c r="C13878" s="9">
        <f>IFERROR(__xludf.DUMMYFUNCTION("""COMPUTED_VALUE"""),6.44)</f>
        <v>6.44</v>
      </c>
      <c r="H13878" s="17"/>
      <c r="K13878" s="17"/>
      <c r="N13878" s="17"/>
    </row>
    <row r="13879">
      <c r="B13879" s="11">
        <f>IFERROR(__xludf.DUMMYFUNCTION("""COMPUTED_VALUE"""),26596.0)</f>
        <v>26596</v>
      </c>
      <c r="C13879" s="9">
        <f>IFERROR(__xludf.DUMMYFUNCTION("""COMPUTED_VALUE"""),6.45)</f>
        <v>6.45</v>
      </c>
      <c r="H13879" s="17"/>
      <c r="K13879" s="17"/>
      <c r="N13879" s="17"/>
    </row>
    <row r="13880">
      <c r="B13880" s="11">
        <f>IFERROR(__xludf.DUMMYFUNCTION("""COMPUTED_VALUE"""),26595.0)</f>
        <v>26595</v>
      </c>
      <c r="C13880" s="9"/>
      <c r="H13880" s="17"/>
      <c r="K13880" s="17"/>
      <c r="N13880" s="17"/>
    </row>
    <row r="13881">
      <c r="B13881" s="11">
        <f>IFERROR(__xludf.DUMMYFUNCTION("""COMPUTED_VALUE"""),26592.0)</f>
        <v>26592</v>
      </c>
      <c r="C13881" s="9">
        <f>IFERROR(__xludf.DUMMYFUNCTION("""COMPUTED_VALUE"""),6.47)</f>
        <v>6.47</v>
      </c>
      <c r="H13881" s="17"/>
      <c r="K13881" s="17"/>
      <c r="N13881" s="17"/>
    </row>
    <row r="13882">
      <c r="B13882" s="11">
        <f>IFERROR(__xludf.DUMMYFUNCTION("""COMPUTED_VALUE"""),26591.0)</f>
        <v>26591</v>
      </c>
      <c r="C13882" s="9">
        <f>IFERROR(__xludf.DUMMYFUNCTION("""COMPUTED_VALUE"""),6.48)</f>
        <v>6.48</v>
      </c>
      <c r="H13882" s="17"/>
      <c r="K13882" s="17"/>
      <c r="N13882" s="17"/>
    </row>
    <row r="13883">
      <c r="B13883" s="11">
        <f>IFERROR(__xludf.DUMMYFUNCTION("""COMPUTED_VALUE"""),26590.0)</f>
        <v>26590</v>
      </c>
      <c r="C13883" s="9">
        <f>IFERROR(__xludf.DUMMYFUNCTION("""COMPUTED_VALUE"""),6.49)</f>
        <v>6.49</v>
      </c>
      <c r="H13883" s="17"/>
      <c r="K13883" s="17"/>
      <c r="N13883" s="17"/>
    </row>
    <row r="13884">
      <c r="B13884" s="11">
        <f>IFERROR(__xludf.DUMMYFUNCTION("""COMPUTED_VALUE"""),26589.0)</f>
        <v>26589</v>
      </c>
      <c r="C13884" s="9">
        <f>IFERROR(__xludf.DUMMYFUNCTION("""COMPUTED_VALUE"""),6.49)</f>
        <v>6.49</v>
      </c>
      <c r="H13884" s="17"/>
      <c r="K13884" s="17"/>
      <c r="N13884" s="17"/>
    </row>
    <row r="13885">
      <c r="B13885" s="11">
        <f>IFERROR(__xludf.DUMMYFUNCTION("""COMPUTED_VALUE"""),26588.0)</f>
        <v>26588</v>
      </c>
      <c r="C13885" s="9">
        <f>IFERROR(__xludf.DUMMYFUNCTION("""COMPUTED_VALUE"""),6.49)</f>
        <v>6.49</v>
      </c>
      <c r="H13885" s="17"/>
      <c r="K13885" s="17"/>
      <c r="N13885" s="17"/>
    </row>
    <row r="13886">
      <c r="B13886" s="11">
        <f>IFERROR(__xludf.DUMMYFUNCTION("""COMPUTED_VALUE"""),26585.0)</f>
        <v>26585</v>
      </c>
      <c r="C13886" s="9">
        <f>IFERROR(__xludf.DUMMYFUNCTION("""COMPUTED_VALUE"""),6.5)</f>
        <v>6.5</v>
      </c>
      <c r="H13886" s="17"/>
      <c r="K13886" s="17"/>
      <c r="N13886" s="17"/>
    </row>
    <row r="13887">
      <c r="B13887" s="11">
        <f>IFERROR(__xludf.DUMMYFUNCTION("""COMPUTED_VALUE"""),26584.0)</f>
        <v>26584</v>
      </c>
      <c r="C13887" s="9">
        <f>IFERROR(__xludf.DUMMYFUNCTION("""COMPUTED_VALUE"""),6.5)</f>
        <v>6.5</v>
      </c>
      <c r="H13887" s="17"/>
      <c r="K13887" s="17"/>
      <c r="N13887" s="17"/>
    </row>
    <row r="13888">
      <c r="B13888" s="11">
        <f>IFERROR(__xludf.DUMMYFUNCTION("""COMPUTED_VALUE"""),26583.0)</f>
        <v>26583</v>
      </c>
      <c r="C13888" s="9">
        <f>IFERROR(__xludf.DUMMYFUNCTION("""COMPUTED_VALUE"""),6.47)</f>
        <v>6.47</v>
      </c>
      <c r="H13888" s="17"/>
      <c r="K13888" s="17"/>
      <c r="N13888" s="17"/>
    </row>
    <row r="13889">
      <c r="B13889" s="11">
        <f>IFERROR(__xludf.DUMMYFUNCTION("""COMPUTED_VALUE"""),26582.0)</f>
        <v>26582</v>
      </c>
      <c r="C13889" s="9">
        <f>IFERROR(__xludf.DUMMYFUNCTION("""COMPUTED_VALUE"""),6.48)</f>
        <v>6.48</v>
      </c>
      <c r="H13889" s="17"/>
      <c r="K13889" s="17"/>
      <c r="N13889" s="17"/>
    </row>
    <row r="13890">
      <c r="B13890" s="11">
        <f>IFERROR(__xludf.DUMMYFUNCTION("""COMPUTED_VALUE"""),26581.0)</f>
        <v>26581</v>
      </c>
      <c r="C13890" s="9"/>
      <c r="H13890" s="17"/>
      <c r="K13890" s="17"/>
      <c r="N13890" s="17"/>
    </row>
    <row r="13891">
      <c r="B13891" s="11">
        <f>IFERROR(__xludf.DUMMYFUNCTION("""COMPUTED_VALUE"""),26578.0)</f>
        <v>26578</v>
      </c>
      <c r="C13891" s="9">
        <f>IFERROR(__xludf.DUMMYFUNCTION("""COMPUTED_VALUE"""),6.52)</f>
        <v>6.52</v>
      </c>
      <c r="H13891" s="17"/>
      <c r="K13891" s="17"/>
      <c r="N13891" s="17"/>
    </row>
    <row r="13892">
      <c r="B13892" s="11">
        <f>IFERROR(__xludf.DUMMYFUNCTION("""COMPUTED_VALUE"""),26577.0)</f>
        <v>26577</v>
      </c>
      <c r="C13892" s="9">
        <f>IFERROR(__xludf.DUMMYFUNCTION("""COMPUTED_VALUE"""),6.53)</f>
        <v>6.53</v>
      </c>
      <c r="H13892" s="17"/>
      <c r="K13892" s="17"/>
      <c r="N13892" s="17"/>
    </row>
    <row r="13893">
      <c r="B13893" s="11">
        <f>IFERROR(__xludf.DUMMYFUNCTION("""COMPUTED_VALUE"""),26576.0)</f>
        <v>26576</v>
      </c>
      <c r="C13893" s="9">
        <f>IFERROR(__xludf.DUMMYFUNCTION("""COMPUTED_VALUE"""),6.53)</f>
        <v>6.53</v>
      </c>
      <c r="H13893" s="17"/>
      <c r="K13893" s="17"/>
      <c r="N13893" s="17"/>
    </row>
    <row r="13894">
      <c r="B13894" s="11">
        <f>IFERROR(__xludf.DUMMYFUNCTION("""COMPUTED_VALUE"""),26575.0)</f>
        <v>26575</v>
      </c>
      <c r="C13894" s="9">
        <f>IFERROR(__xludf.DUMMYFUNCTION("""COMPUTED_VALUE"""),6.54)</f>
        <v>6.54</v>
      </c>
      <c r="H13894" s="17"/>
      <c r="K13894" s="17"/>
      <c r="N13894" s="17"/>
    </row>
    <row r="13895">
      <c r="B13895" s="11">
        <f>IFERROR(__xludf.DUMMYFUNCTION("""COMPUTED_VALUE"""),26574.0)</f>
        <v>26574</v>
      </c>
      <c r="C13895" s="9">
        <f>IFERROR(__xludf.DUMMYFUNCTION("""COMPUTED_VALUE"""),6.54)</f>
        <v>6.54</v>
      </c>
      <c r="H13895" s="17"/>
      <c r="K13895" s="17"/>
      <c r="N13895" s="17"/>
    </row>
    <row r="13896">
      <c r="B13896" s="11">
        <f>IFERROR(__xludf.DUMMYFUNCTION("""COMPUTED_VALUE"""),26571.0)</f>
        <v>26571</v>
      </c>
      <c r="C13896" s="9">
        <f>IFERROR(__xludf.DUMMYFUNCTION("""COMPUTED_VALUE"""),6.54)</f>
        <v>6.54</v>
      </c>
      <c r="H13896" s="17"/>
      <c r="K13896" s="17"/>
      <c r="N13896" s="17"/>
    </row>
    <row r="13897">
      <c r="B13897" s="11">
        <f>IFERROR(__xludf.DUMMYFUNCTION("""COMPUTED_VALUE"""),26570.0)</f>
        <v>26570</v>
      </c>
      <c r="C13897" s="9">
        <f>IFERROR(__xludf.DUMMYFUNCTION("""COMPUTED_VALUE"""),6.56)</f>
        <v>6.56</v>
      </c>
      <c r="H13897" s="17"/>
      <c r="K13897" s="17"/>
      <c r="N13897" s="17"/>
    </row>
    <row r="13898">
      <c r="B13898" s="11">
        <f>IFERROR(__xludf.DUMMYFUNCTION("""COMPUTED_VALUE"""),26569.0)</f>
        <v>26569</v>
      </c>
      <c r="C13898" s="9">
        <f>IFERROR(__xludf.DUMMYFUNCTION("""COMPUTED_VALUE"""),6.59)</f>
        <v>6.59</v>
      </c>
      <c r="H13898" s="17"/>
      <c r="K13898" s="17"/>
      <c r="N13898" s="17"/>
    </row>
    <row r="13899">
      <c r="B13899" s="11">
        <f>IFERROR(__xludf.DUMMYFUNCTION("""COMPUTED_VALUE"""),26568.0)</f>
        <v>26568</v>
      </c>
      <c r="C13899" s="9">
        <f>IFERROR(__xludf.DUMMYFUNCTION("""COMPUTED_VALUE"""),6.6)</f>
        <v>6.6</v>
      </c>
      <c r="H13899" s="17"/>
      <c r="K13899" s="17"/>
      <c r="N13899" s="17"/>
    </row>
    <row r="13900">
      <c r="B13900" s="11">
        <f>IFERROR(__xludf.DUMMYFUNCTION("""COMPUTED_VALUE"""),26567.0)</f>
        <v>26567</v>
      </c>
      <c r="C13900" s="9">
        <f>IFERROR(__xludf.DUMMYFUNCTION("""COMPUTED_VALUE"""),6.62)</f>
        <v>6.62</v>
      </c>
      <c r="H13900" s="17"/>
      <c r="K13900" s="17"/>
      <c r="N13900" s="17"/>
    </row>
    <row r="13901">
      <c r="B13901" s="11">
        <f>IFERROR(__xludf.DUMMYFUNCTION("""COMPUTED_VALUE"""),26564.0)</f>
        <v>26564</v>
      </c>
      <c r="C13901" s="9">
        <f>IFERROR(__xludf.DUMMYFUNCTION("""COMPUTED_VALUE"""),6.62)</f>
        <v>6.62</v>
      </c>
      <c r="H13901" s="17"/>
      <c r="K13901" s="17"/>
      <c r="N13901" s="17"/>
    </row>
    <row r="13902">
      <c r="B13902" s="11">
        <f>IFERROR(__xludf.DUMMYFUNCTION("""COMPUTED_VALUE"""),26563.0)</f>
        <v>26563</v>
      </c>
      <c r="C13902" s="9">
        <f>IFERROR(__xludf.DUMMYFUNCTION("""COMPUTED_VALUE"""),6.59)</f>
        <v>6.59</v>
      </c>
      <c r="H13902" s="17"/>
      <c r="K13902" s="17"/>
      <c r="N13902" s="17"/>
    </row>
    <row r="13903">
      <c r="B13903" s="11">
        <f>IFERROR(__xludf.DUMMYFUNCTION("""COMPUTED_VALUE"""),26562.0)</f>
        <v>26562</v>
      </c>
      <c r="C13903" s="9">
        <f>IFERROR(__xludf.DUMMYFUNCTION("""COMPUTED_VALUE"""),6.56)</f>
        <v>6.56</v>
      </c>
      <c r="H13903" s="17"/>
      <c r="K13903" s="17"/>
      <c r="N13903" s="17"/>
    </row>
    <row r="13904">
      <c r="B13904" s="11">
        <f>IFERROR(__xludf.DUMMYFUNCTION("""COMPUTED_VALUE"""),26561.0)</f>
        <v>26561</v>
      </c>
      <c r="C13904" s="9">
        <f>IFERROR(__xludf.DUMMYFUNCTION("""COMPUTED_VALUE"""),6.55)</f>
        <v>6.55</v>
      </c>
      <c r="H13904" s="17"/>
      <c r="K13904" s="17"/>
      <c r="N13904" s="17"/>
    </row>
    <row r="13905">
      <c r="B13905" s="11">
        <f>IFERROR(__xludf.DUMMYFUNCTION("""COMPUTED_VALUE"""),26560.0)</f>
        <v>26560</v>
      </c>
      <c r="C13905" s="9">
        <f>IFERROR(__xludf.DUMMYFUNCTION("""COMPUTED_VALUE"""),6.55)</f>
        <v>6.55</v>
      </c>
      <c r="H13905" s="17"/>
      <c r="K13905" s="17"/>
      <c r="N13905" s="17"/>
    </row>
    <row r="13906">
      <c r="B13906" s="11">
        <f>IFERROR(__xludf.DUMMYFUNCTION("""COMPUTED_VALUE"""),26557.0)</f>
        <v>26557</v>
      </c>
      <c r="C13906" s="9">
        <f>IFERROR(__xludf.DUMMYFUNCTION("""COMPUTED_VALUE"""),6.56)</f>
        <v>6.56</v>
      </c>
      <c r="H13906" s="17"/>
      <c r="K13906" s="17"/>
      <c r="N13906" s="17"/>
    </row>
    <row r="13907">
      <c r="B13907" s="11">
        <f>IFERROR(__xludf.DUMMYFUNCTION("""COMPUTED_VALUE"""),26556.0)</f>
        <v>26556</v>
      </c>
      <c r="C13907" s="9">
        <f>IFERROR(__xludf.DUMMYFUNCTION("""COMPUTED_VALUE"""),6.57)</f>
        <v>6.57</v>
      </c>
      <c r="H13907" s="17"/>
      <c r="K13907" s="17"/>
      <c r="N13907" s="17"/>
    </row>
    <row r="13908">
      <c r="B13908" s="11">
        <f>IFERROR(__xludf.DUMMYFUNCTION("""COMPUTED_VALUE"""),26555.0)</f>
        <v>26555</v>
      </c>
      <c r="C13908" s="9">
        <f>IFERROR(__xludf.DUMMYFUNCTION("""COMPUTED_VALUE"""),6.54)</f>
        <v>6.54</v>
      </c>
      <c r="H13908" s="17"/>
      <c r="K13908" s="17"/>
      <c r="N13908" s="17"/>
    </row>
    <row r="13909">
      <c r="B13909" s="11">
        <f>IFERROR(__xludf.DUMMYFUNCTION("""COMPUTED_VALUE"""),26554.0)</f>
        <v>26554</v>
      </c>
      <c r="C13909" s="9">
        <f>IFERROR(__xludf.DUMMYFUNCTION("""COMPUTED_VALUE"""),6.54)</f>
        <v>6.54</v>
      </c>
      <c r="H13909" s="17"/>
      <c r="K13909" s="17"/>
      <c r="N13909" s="17"/>
    </row>
    <row r="13910">
      <c r="B13910" s="11">
        <f>IFERROR(__xludf.DUMMYFUNCTION("""COMPUTED_VALUE"""),26553.0)</f>
        <v>26553</v>
      </c>
      <c r="C13910" s="9">
        <f>IFERROR(__xludf.DUMMYFUNCTION("""COMPUTED_VALUE"""),6.54)</f>
        <v>6.54</v>
      </c>
      <c r="H13910" s="17"/>
      <c r="K13910" s="17"/>
      <c r="N13910" s="17"/>
    </row>
    <row r="13911">
      <c r="B13911" s="11">
        <f>IFERROR(__xludf.DUMMYFUNCTION("""COMPUTED_VALUE"""),26550.0)</f>
        <v>26550</v>
      </c>
      <c r="C13911" s="9">
        <f>IFERROR(__xludf.DUMMYFUNCTION("""COMPUTED_VALUE"""),6.56)</f>
        <v>6.56</v>
      </c>
      <c r="H13911" s="17"/>
      <c r="K13911" s="17"/>
      <c r="N13911" s="17"/>
    </row>
    <row r="13912">
      <c r="B13912" s="11">
        <f>IFERROR(__xludf.DUMMYFUNCTION("""COMPUTED_VALUE"""),26549.0)</f>
        <v>26549</v>
      </c>
      <c r="C13912" s="9">
        <f>IFERROR(__xludf.DUMMYFUNCTION("""COMPUTED_VALUE"""),6.52)</f>
        <v>6.52</v>
      </c>
      <c r="H13912" s="17"/>
      <c r="K13912" s="17"/>
      <c r="N13912" s="17"/>
    </row>
    <row r="13913">
      <c r="B13913" s="11">
        <f>IFERROR(__xludf.DUMMYFUNCTION("""COMPUTED_VALUE"""),26548.0)</f>
        <v>26548</v>
      </c>
      <c r="C13913" s="9">
        <f>IFERROR(__xludf.DUMMYFUNCTION("""COMPUTED_VALUE"""),6.49)</f>
        <v>6.49</v>
      </c>
      <c r="H13913" s="17"/>
      <c r="K13913" s="17"/>
      <c r="N13913" s="17"/>
    </row>
    <row r="13914">
      <c r="B13914" s="11">
        <f>IFERROR(__xludf.DUMMYFUNCTION("""COMPUTED_VALUE"""),26547.0)</f>
        <v>26547</v>
      </c>
      <c r="C13914" s="9">
        <f>IFERROR(__xludf.DUMMYFUNCTION("""COMPUTED_VALUE"""),6.46)</f>
        <v>6.46</v>
      </c>
      <c r="H13914" s="17"/>
      <c r="K13914" s="17"/>
      <c r="N13914" s="17"/>
    </row>
    <row r="13915">
      <c r="B13915" s="11">
        <f>IFERROR(__xludf.DUMMYFUNCTION("""COMPUTED_VALUE"""),26546.0)</f>
        <v>26546</v>
      </c>
      <c r="C13915" s="9"/>
      <c r="H13915" s="17"/>
      <c r="K13915" s="17"/>
      <c r="N13915" s="17"/>
    </row>
    <row r="13916">
      <c r="B13916" s="11">
        <f>IFERROR(__xludf.DUMMYFUNCTION("""COMPUTED_VALUE"""),26543.0)</f>
        <v>26543</v>
      </c>
      <c r="C13916" s="9">
        <f>IFERROR(__xludf.DUMMYFUNCTION("""COMPUTED_VALUE"""),6.43)</f>
        <v>6.43</v>
      </c>
      <c r="H13916" s="17"/>
      <c r="K13916" s="17"/>
      <c r="N13916" s="17"/>
    </row>
    <row r="13917">
      <c r="B13917" s="11">
        <f>IFERROR(__xludf.DUMMYFUNCTION("""COMPUTED_VALUE"""),26542.0)</f>
        <v>26542</v>
      </c>
      <c r="C13917" s="9">
        <f>IFERROR(__xludf.DUMMYFUNCTION("""COMPUTED_VALUE"""),6.42)</f>
        <v>6.42</v>
      </c>
      <c r="H13917" s="17"/>
      <c r="K13917" s="17"/>
      <c r="N13917" s="17"/>
    </row>
    <row r="13918">
      <c r="B13918" s="11">
        <f>IFERROR(__xludf.DUMMYFUNCTION("""COMPUTED_VALUE"""),26541.0)</f>
        <v>26541</v>
      </c>
      <c r="C13918" s="9">
        <f>IFERROR(__xludf.DUMMYFUNCTION("""COMPUTED_VALUE"""),6.42)</f>
        <v>6.42</v>
      </c>
      <c r="H13918" s="17"/>
      <c r="K13918" s="17"/>
      <c r="N13918" s="17"/>
    </row>
    <row r="13919">
      <c r="B13919" s="11">
        <f>IFERROR(__xludf.DUMMYFUNCTION("""COMPUTED_VALUE"""),26540.0)</f>
        <v>26540</v>
      </c>
      <c r="C13919" s="9">
        <f>IFERROR(__xludf.DUMMYFUNCTION("""COMPUTED_VALUE"""),6.34)</f>
        <v>6.34</v>
      </c>
      <c r="H13919" s="17"/>
      <c r="K13919" s="17"/>
      <c r="N13919" s="17"/>
    </row>
    <row r="13920">
      <c r="B13920" s="11">
        <f>IFERROR(__xludf.DUMMYFUNCTION("""COMPUTED_VALUE"""),26539.0)</f>
        <v>26539</v>
      </c>
      <c r="C13920" s="9">
        <f>IFERROR(__xludf.DUMMYFUNCTION("""COMPUTED_VALUE"""),6.3)</f>
        <v>6.3</v>
      </c>
      <c r="H13920" s="17"/>
      <c r="K13920" s="17"/>
      <c r="N13920" s="17"/>
    </row>
    <row r="13921">
      <c r="B13921" s="11">
        <f>IFERROR(__xludf.DUMMYFUNCTION("""COMPUTED_VALUE"""),26536.0)</f>
        <v>26536</v>
      </c>
      <c r="C13921" s="9">
        <f>IFERROR(__xludf.DUMMYFUNCTION("""COMPUTED_VALUE"""),6.26)</f>
        <v>6.26</v>
      </c>
      <c r="H13921" s="17"/>
      <c r="K13921" s="17"/>
      <c r="N13921" s="17"/>
    </row>
    <row r="13922">
      <c r="B13922" s="11">
        <f>IFERROR(__xludf.DUMMYFUNCTION("""COMPUTED_VALUE"""),26535.0)</f>
        <v>26535</v>
      </c>
      <c r="C13922" s="9">
        <f>IFERROR(__xludf.DUMMYFUNCTION("""COMPUTED_VALUE"""),6.23)</f>
        <v>6.23</v>
      </c>
      <c r="H13922" s="17"/>
      <c r="K13922" s="17"/>
      <c r="N13922" s="17"/>
    </row>
    <row r="13923">
      <c r="B13923" s="11">
        <f>IFERROR(__xludf.DUMMYFUNCTION("""COMPUTED_VALUE"""),26534.0)</f>
        <v>26534</v>
      </c>
      <c r="C13923" s="9">
        <f>IFERROR(__xludf.DUMMYFUNCTION("""COMPUTED_VALUE"""),6.22)</f>
        <v>6.22</v>
      </c>
      <c r="H13923" s="17"/>
      <c r="K13923" s="17"/>
      <c r="N13923" s="17"/>
    </row>
    <row r="13924">
      <c r="B13924" s="11">
        <f>IFERROR(__xludf.DUMMYFUNCTION("""COMPUTED_VALUE"""),26533.0)</f>
        <v>26533</v>
      </c>
      <c r="C13924" s="9">
        <f>IFERROR(__xludf.DUMMYFUNCTION("""COMPUTED_VALUE"""),6.2)</f>
        <v>6.2</v>
      </c>
      <c r="H13924" s="17"/>
      <c r="K13924" s="17"/>
      <c r="N13924" s="17"/>
    </row>
    <row r="13925">
      <c r="B13925" s="11">
        <f>IFERROR(__xludf.DUMMYFUNCTION("""COMPUTED_VALUE"""),26532.0)</f>
        <v>26532</v>
      </c>
      <c r="C13925" s="9">
        <f>IFERROR(__xludf.DUMMYFUNCTION("""COMPUTED_VALUE"""),6.21)</f>
        <v>6.21</v>
      </c>
      <c r="H13925" s="17"/>
      <c r="K13925" s="17"/>
      <c r="N13925" s="17"/>
    </row>
    <row r="13926">
      <c r="B13926" s="11">
        <f>IFERROR(__xludf.DUMMYFUNCTION("""COMPUTED_VALUE"""),26529.0)</f>
        <v>26529</v>
      </c>
      <c r="C13926" s="9">
        <f>IFERROR(__xludf.DUMMYFUNCTION("""COMPUTED_VALUE"""),6.21)</f>
        <v>6.21</v>
      </c>
      <c r="H13926" s="17"/>
      <c r="K13926" s="17"/>
      <c r="N13926" s="17"/>
    </row>
    <row r="13927">
      <c r="B13927" s="11">
        <f>IFERROR(__xludf.DUMMYFUNCTION("""COMPUTED_VALUE"""),26528.0)</f>
        <v>26528</v>
      </c>
      <c r="C13927" s="9">
        <f>IFERROR(__xludf.DUMMYFUNCTION("""COMPUTED_VALUE"""),6.2)</f>
        <v>6.2</v>
      </c>
      <c r="H13927" s="17"/>
      <c r="K13927" s="17"/>
      <c r="N13927" s="17"/>
    </row>
    <row r="13928">
      <c r="B13928" s="11">
        <f>IFERROR(__xludf.DUMMYFUNCTION("""COMPUTED_VALUE"""),26527.0)</f>
        <v>26527</v>
      </c>
      <c r="C13928" s="9">
        <f>IFERROR(__xludf.DUMMYFUNCTION("""COMPUTED_VALUE"""),6.18)</f>
        <v>6.18</v>
      </c>
      <c r="H13928" s="17"/>
      <c r="K13928" s="17"/>
      <c r="N13928" s="17"/>
    </row>
    <row r="13929">
      <c r="B13929" s="11">
        <f>IFERROR(__xludf.DUMMYFUNCTION("""COMPUTED_VALUE"""),26526.0)</f>
        <v>26526</v>
      </c>
      <c r="C13929" s="9">
        <f>IFERROR(__xludf.DUMMYFUNCTION("""COMPUTED_VALUE"""),6.17)</f>
        <v>6.17</v>
      </c>
      <c r="H13929" s="17"/>
      <c r="K13929" s="17"/>
      <c r="N13929" s="17"/>
    </row>
    <row r="13930">
      <c r="B13930" s="11">
        <f>IFERROR(__xludf.DUMMYFUNCTION("""COMPUTED_VALUE"""),26525.0)</f>
        <v>26525</v>
      </c>
      <c r="C13930" s="9">
        <f>IFERROR(__xludf.DUMMYFUNCTION("""COMPUTED_VALUE"""),6.16)</f>
        <v>6.16</v>
      </c>
      <c r="H13930" s="17"/>
      <c r="K13930" s="17"/>
      <c r="N13930" s="17"/>
    </row>
    <row r="13931">
      <c r="B13931" s="11">
        <f>IFERROR(__xludf.DUMMYFUNCTION("""COMPUTED_VALUE"""),26522.0)</f>
        <v>26522</v>
      </c>
      <c r="C13931" s="9">
        <f>IFERROR(__xludf.DUMMYFUNCTION("""COMPUTED_VALUE"""),6.14)</f>
        <v>6.14</v>
      </c>
      <c r="H13931" s="17"/>
      <c r="K13931" s="17"/>
      <c r="N13931" s="17"/>
    </row>
    <row r="13932">
      <c r="B13932" s="11">
        <f>IFERROR(__xludf.DUMMYFUNCTION("""COMPUTED_VALUE"""),26521.0)</f>
        <v>26521</v>
      </c>
      <c r="C13932" s="9">
        <f>IFERROR(__xludf.DUMMYFUNCTION("""COMPUTED_VALUE"""),6.14)</f>
        <v>6.14</v>
      </c>
      <c r="H13932" s="17"/>
      <c r="K13932" s="17"/>
      <c r="N13932" s="17"/>
    </row>
    <row r="13933">
      <c r="B13933" s="11">
        <f>IFERROR(__xludf.DUMMYFUNCTION("""COMPUTED_VALUE"""),26520.0)</f>
        <v>26520</v>
      </c>
      <c r="C13933" s="9">
        <f>IFERROR(__xludf.DUMMYFUNCTION("""COMPUTED_VALUE"""),6.14)</f>
        <v>6.14</v>
      </c>
      <c r="H13933" s="17"/>
      <c r="K13933" s="17"/>
      <c r="N13933" s="17"/>
    </row>
    <row r="13934">
      <c r="B13934" s="11">
        <f>IFERROR(__xludf.DUMMYFUNCTION("""COMPUTED_VALUE"""),26519.0)</f>
        <v>26519</v>
      </c>
      <c r="C13934" s="9">
        <f>IFERROR(__xludf.DUMMYFUNCTION("""COMPUTED_VALUE"""),6.15)</f>
        <v>6.15</v>
      </c>
      <c r="H13934" s="17"/>
      <c r="K13934" s="17"/>
      <c r="N13934" s="17"/>
    </row>
    <row r="13935">
      <c r="B13935" s="11">
        <f>IFERROR(__xludf.DUMMYFUNCTION("""COMPUTED_VALUE"""),26518.0)</f>
        <v>26518</v>
      </c>
      <c r="C13935" s="9">
        <f>IFERROR(__xludf.DUMMYFUNCTION("""COMPUTED_VALUE"""),6.16)</f>
        <v>6.16</v>
      </c>
      <c r="H13935" s="17"/>
      <c r="K13935" s="17"/>
      <c r="N13935" s="17"/>
    </row>
    <row r="13936">
      <c r="B13936" s="11">
        <f>IFERROR(__xludf.DUMMYFUNCTION("""COMPUTED_VALUE"""),26515.0)</f>
        <v>26515</v>
      </c>
      <c r="C13936" s="9">
        <f>IFERROR(__xludf.DUMMYFUNCTION("""COMPUTED_VALUE"""),6.16)</f>
        <v>6.16</v>
      </c>
      <c r="H13936" s="17"/>
      <c r="K13936" s="17"/>
      <c r="N13936" s="17"/>
    </row>
    <row r="13937">
      <c r="B13937" s="11">
        <f>IFERROR(__xludf.DUMMYFUNCTION("""COMPUTED_VALUE"""),26514.0)</f>
        <v>26514</v>
      </c>
      <c r="C13937" s="9">
        <f>IFERROR(__xludf.DUMMYFUNCTION("""COMPUTED_VALUE"""),6.15)</f>
        <v>6.15</v>
      </c>
      <c r="H13937" s="17"/>
      <c r="K13937" s="17"/>
      <c r="N13937" s="17"/>
    </row>
    <row r="13938">
      <c r="B13938" s="11">
        <f>IFERROR(__xludf.DUMMYFUNCTION("""COMPUTED_VALUE"""),26513.0)</f>
        <v>26513</v>
      </c>
      <c r="C13938" s="9">
        <f>IFERROR(__xludf.DUMMYFUNCTION("""COMPUTED_VALUE"""),6.14)</f>
        <v>6.14</v>
      </c>
      <c r="H13938" s="17"/>
      <c r="K13938" s="17"/>
      <c r="N13938" s="17"/>
    </row>
    <row r="13939">
      <c r="B13939" s="11">
        <f>IFERROR(__xludf.DUMMYFUNCTION("""COMPUTED_VALUE"""),26512.0)</f>
        <v>26512</v>
      </c>
      <c r="C13939" s="9">
        <f>IFERROR(__xludf.DUMMYFUNCTION("""COMPUTED_VALUE"""),6.14)</f>
        <v>6.14</v>
      </c>
      <c r="H13939" s="17"/>
      <c r="K13939" s="17"/>
      <c r="N13939" s="17"/>
    </row>
    <row r="13940">
      <c r="B13940" s="11">
        <f>IFERROR(__xludf.DUMMYFUNCTION("""COMPUTED_VALUE"""),26511.0)</f>
        <v>26511</v>
      </c>
      <c r="C13940" s="9">
        <f>IFERROR(__xludf.DUMMYFUNCTION("""COMPUTED_VALUE"""),6.12)</f>
        <v>6.12</v>
      </c>
      <c r="H13940" s="17"/>
      <c r="K13940" s="17"/>
      <c r="N13940" s="17"/>
    </row>
    <row r="13941">
      <c r="B13941" s="11">
        <f>IFERROR(__xludf.DUMMYFUNCTION("""COMPUTED_VALUE"""),26508.0)</f>
        <v>26508</v>
      </c>
      <c r="C13941" s="9">
        <f>IFERROR(__xludf.DUMMYFUNCTION("""COMPUTED_VALUE"""),6.12)</f>
        <v>6.12</v>
      </c>
      <c r="H13941" s="17"/>
      <c r="K13941" s="17"/>
      <c r="N13941" s="17"/>
    </row>
    <row r="13942">
      <c r="B13942" s="11">
        <f>IFERROR(__xludf.DUMMYFUNCTION("""COMPUTED_VALUE"""),26507.0)</f>
        <v>26507</v>
      </c>
      <c r="C13942" s="9">
        <f>IFERROR(__xludf.DUMMYFUNCTION("""COMPUTED_VALUE"""),6.13)</f>
        <v>6.13</v>
      </c>
      <c r="H13942" s="17"/>
      <c r="K13942" s="17"/>
      <c r="N13942" s="17"/>
    </row>
    <row r="13943">
      <c r="B13943" s="11">
        <f>IFERROR(__xludf.DUMMYFUNCTION("""COMPUTED_VALUE"""),26506.0)</f>
        <v>26506</v>
      </c>
      <c r="C13943" s="9">
        <f>IFERROR(__xludf.DUMMYFUNCTION("""COMPUTED_VALUE"""),6.08)</f>
        <v>6.08</v>
      </c>
      <c r="H13943" s="17"/>
      <c r="K13943" s="17"/>
      <c r="N13943" s="17"/>
    </row>
    <row r="13944">
      <c r="B13944" s="11">
        <f>IFERROR(__xludf.DUMMYFUNCTION("""COMPUTED_VALUE"""),26505.0)</f>
        <v>26505</v>
      </c>
      <c r="C13944" s="9">
        <f>IFERROR(__xludf.DUMMYFUNCTION("""COMPUTED_VALUE"""),6.09)</f>
        <v>6.09</v>
      </c>
      <c r="H13944" s="17"/>
      <c r="K13944" s="17"/>
      <c r="N13944" s="17"/>
    </row>
    <row r="13945">
      <c r="B13945" s="11">
        <f>IFERROR(__xludf.DUMMYFUNCTION("""COMPUTED_VALUE"""),26504.0)</f>
        <v>26504</v>
      </c>
      <c r="C13945" s="9">
        <f>IFERROR(__xludf.DUMMYFUNCTION("""COMPUTED_VALUE"""),6.1)</f>
        <v>6.1</v>
      </c>
      <c r="H13945" s="17"/>
      <c r="K13945" s="17"/>
      <c r="N13945" s="17"/>
    </row>
    <row r="13946">
      <c r="B13946" s="11">
        <f>IFERROR(__xludf.DUMMYFUNCTION("""COMPUTED_VALUE"""),26501.0)</f>
        <v>26501</v>
      </c>
      <c r="C13946" s="9">
        <f>IFERROR(__xludf.DUMMYFUNCTION("""COMPUTED_VALUE"""),6.1)</f>
        <v>6.1</v>
      </c>
      <c r="H13946" s="17"/>
      <c r="K13946" s="17"/>
      <c r="N13946" s="17"/>
    </row>
    <row r="13947">
      <c r="B13947" s="11">
        <f>IFERROR(__xludf.DUMMYFUNCTION("""COMPUTED_VALUE"""),26500.0)</f>
        <v>26500</v>
      </c>
      <c r="C13947" s="9">
        <f>IFERROR(__xludf.DUMMYFUNCTION("""COMPUTED_VALUE"""),6.09)</f>
        <v>6.09</v>
      </c>
      <c r="H13947" s="17"/>
      <c r="K13947" s="17"/>
      <c r="N13947" s="17"/>
    </row>
    <row r="13948">
      <c r="B13948" s="11">
        <f>IFERROR(__xludf.DUMMYFUNCTION("""COMPUTED_VALUE"""),26499.0)</f>
        <v>26499</v>
      </c>
      <c r="C13948" s="9">
        <f>IFERROR(__xludf.DUMMYFUNCTION("""COMPUTED_VALUE"""),6.09)</f>
        <v>6.09</v>
      </c>
      <c r="H13948" s="17"/>
      <c r="K13948" s="17"/>
      <c r="N13948" s="17"/>
    </row>
    <row r="13949">
      <c r="B13949" s="11">
        <f>IFERROR(__xludf.DUMMYFUNCTION("""COMPUTED_VALUE"""),26498.0)</f>
        <v>26498</v>
      </c>
      <c r="C13949" s="9">
        <f>IFERROR(__xludf.DUMMYFUNCTION("""COMPUTED_VALUE"""),6.11)</f>
        <v>6.11</v>
      </c>
      <c r="H13949" s="17"/>
      <c r="K13949" s="17"/>
      <c r="N13949" s="17"/>
    </row>
    <row r="13950">
      <c r="B13950" s="11">
        <f>IFERROR(__xludf.DUMMYFUNCTION("""COMPUTED_VALUE"""),26497.0)</f>
        <v>26497</v>
      </c>
      <c r="C13950" s="9">
        <f>IFERROR(__xludf.DUMMYFUNCTION("""COMPUTED_VALUE"""),6.11)</f>
        <v>6.11</v>
      </c>
      <c r="H13950" s="17"/>
      <c r="K13950" s="17"/>
      <c r="N13950" s="17"/>
    </row>
    <row r="13951">
      <c r="B13951" s="11">
        <f>IFERROR(__xludf.DUMMYFUNCTION("""COMPUTED_VALUE"""),26494.0)</f>
        <v>26494</v>
      </c>
      <c r="C13951" s="9">
        <f>IFERROR(__xludf.DUMMYFUNCTION("""COMPUTED_VALUE"""),6.1)</f>
        <v>6.1</v>
      </c>
      <c r="H13951" s="17"/>
      <c r="K13951" s="17"/>
      <c r="N13951" s="17"/>
    </row>
    <row r="13952">
      <c r="B13952" s="11">
        <f>IFERROR(__xludf.DUMMYFUNCTION("""COMPUTED_VALUE"""),26493.0)</f>
        <v>26493</v>
      </c>
      <c r="C13952" s="9">
        <f>IFERROR(__xludf.DUMMYFUNCTION("""COMPUTED_VALUE"""),6.11)</f>
        <v>6.11</v>
      </c>
      <c r="H13952" s="17"/>
      <c r="K13952" s="17"/>
      <c r="N13952" s="17"/>
    </row>
    <row r="13953">
      <c r="B13953" s="11">
        <f>IFERROR(__xludf.DUMMYFUNCTION("""COMPUTED_VALUE"""),26492.0)</f>
        <v>26492</v>
      </c>
      <c r="C13953" s="9">
        <f>IFERROR(__xludf.DUMMYFUNCTION("""COMPUTED_VALUE"""),6.12)</f>
        <v>6.12</v>
      </c>
      <c r="H13953" s="17"/>
      <c r="K13953" s="17"/>
      <c r="N13953" s="17"/>
    </row>
    <row r="13954">
      <c r="B13954" s="11">
        <f>IFERROR(__xludf.DUMMYFUNCTION("""COMPUTED_VALUE"""),26491.0)</f>
        <v>26491</v>
      </c>
      <c r="C13954" s="9">
        <f>IFERROR(__xludf.DUMMYFUNCTION("""COMPUTED_VALUE"""),6.13)</f>
        <v>6.13</v>
      </c>
      <c r="H13954" s="17"/>
      <c r="K13954" s="17"/>
      <c r="N13954" s="17"/>
    </row>
    <row r="13955">
      <c r="B13955" s="11">
        <f>IFERROR(__xludf.DUMMYFUNCTION("""COMPUTED_VALUE"""),26490.0)</f>
        <v>26490</v>
      </c>
      <c r="C13955" s="9">
        <f>IFERROR(__xludf.DUMMYFUNCTION("""COMPUTED_VALUE"""),6.13)</f>
        <v>6.13</v>
      </c>
      <c r="H13955" s="17"/>
      <c r="K13955" s="17"/>
      <c r="N13955" s="17"/>
    </row>
    <row r="13956">
      <c r="B13956" s="11">
        <f>IFERROR(__xludf.DUMMYFUNCTION("""COMPUTED_VALUE"""),26487.0)</f>
        <v>26487</v>
      </c>
      <c r="C13956" s="9">
        <f>IFERROR(__xludf.DUMMYFUNCTION("""COMPUTED_VALUE"""),6.13)</f>
        <v>6.13</v>
      </c>
      <c r="H13956" s="17"/>
      <c r="K13956" s="17"/>
      <c r="N13956" s="17"/>
    </row>
    <row r="13957">
      <c r="B13957" s="11">
        <f>IFERROR(__xludf.DUMMYFUNCTION("""COMPUTED_VALUE"""),26486.0)</f>
        <v>26486</v>
      </c>
      <c r="C13957" s="9">
        <f>IFERROR(__xludf.DUMMYFUNCTION("""COMPUTED_VALUE"""),6.13)</f>
        <v>6.13</v>
      </c>
      <c r="H13957" s="17"/>
      <c r="K13957" s="17"/>
      <c r="N13957" s="17"/>
    </row>
    <row r="13958">
      <c r="B13958" s="11">
        <f>IFERROR(__xludf.DUMMYFUNCTION("""COMPUTED_VALUE"""),26485.0)</f>
        <v>26485</v>
      </c>
      <c r="C13958" s="9">
        <f>IFERROR(__xludf.DUMMYFUNCTION("""COMPUTED_VALUE"""),6.13)</f>
        <v>6.13</v>
      </c>
      <c r="H13958" s="17"/>
      <c r="K13958" s="17"/>
      <c r="N13958" s="17"/>
    </row>
    <row r="13959">
      <c r="B13959" s="11">
        <f>IFERROR(__xludf.DUMMYFUNCTION("""COMPUTED_VALUE"""),26484.0)</f>
        <v>26484</v>
      </c>
      <c r="C13959" s="9"/>
      <c r="H13959" s="17"/>
      <c r="K13959" s="17"/>
      <c r="N13959" s="17"/>
    </row>
    <row r="13960">
      <c r="B13960" s="11">
        <f>IFERROR(__xludf.DUMMYFUNCTION("""COMPUTED_VALUE"""),26483.0)</f>
        <v>26483</v>
      </c>
      <c r="C13960" s="9">
        <f>IFERROR(__xludf.DUMMYFUNCTION("""COMPUTED_VALUE"""),6.14)</f>
        <v>6.14</v>
      </c>
      <c r="H13960" s="17"/>
      <c r="K13960" s="17"/>
      <c r="N13960" s="17"/>
    </row>
    <row r="13961">
      <c r="B13961" s="11">
        <f>IFERROR(__xludf.DUMMYFUNCTION("""COMPUTED_VALUE"""),26480.0)</f>
        <v>26480</v>
      </c>
      <c r="C13961" s="9">
        <f>IFERROR(__xludf.DUMMYFUNCTION("""COMPUTED_VALUE"""),6.15)</f>
        <v>6.15</v>
      </c>
      <c r="H13961" s="17"/>
      <c r="K13961" s="17"/>
      <c r="N13961" s="17"/>
    </row>
    <row r="13962">
      <c r="B13962" s="11">
        <f>IFERROR(__xludf.DUMMYFUNCTION("""COMPUTED_VALUE"""),26479.0)</f>
        <v>26479</v>
      </c>
      <c r="C13962" s="9">
        <f>IFERROR(__xludf.DUMMYFUNCTION("""COMPUTED_VALUE"""),6.14)</f>
        <v>6.14</v>
      </c>
      <c r="H13962" s="17"/>
      <c r="K13962" s="17"/>
      <c r="N13962" s="17"/>
    </row>
    <row r="13963">
      <c r="B13963" s="11">
        <f>IFERROR(__xludf.DUMMYFUNCTION("""COMPUTED_VALUE"""),26478.0)</f>
        <v>26478</v>
      </c>
      <c r="C13963" s="9">
        <f>IFERROR(__xludf.DUMMYFUNCTION("""COMPUTED_VALUE"""),6.12)</f>
        <v>6.12</v>
      </c>
      <c r="H13963" s="17"/>
      <c r="K13963" s="17"/>
      <c r="N13963" s="17"/>
    </row>
    <row r="13964">
      <c r="B13964" s="11">
        <f>IFERROR(__xludf.DUMMYFUNCTION("""COMPUTED_VALUE"""),26477.0)</f>
        <v>26477</v>
      </c>
      <c r="C13964" s="9">
        <f>IFERROR(__xludf.DUMMYFUNCTION("""COMPUTED_VALUE"""),6.12)</f>
        <v>6.12</v>
      </c>
      <c r="H13964" s="17"/>
      <c r="K13964" s="17"/>
      <c r="N13964" s="17"/>
    </row>
    <row r="13965">
      <c r="B13965" s="11">
        <f>IFERROR(__xludf.DUMMYFUNCTION("""COMPUTED_VALUE"""),26476.0)</f>
        <v>26476</v>
      </c>
      <c r="C13965" s="9">
        <f>IFERROR(__xludf.DUMMYFUNCTION("""COMPUTED_VALUE"""),6.12)</f>
        <v>6.12</v>
      </c>
      <c r="H13965" s="17"/>
      <c r="K13965" s="17"/>
      <c r="N13965" s="17"/>
    </row>
    <row r="13966">
      <c r="B13966" s="11">
        <f>IFERROR(__xludf.DUMMYFUNCTION("""COMPUTED_VALUE"""),26473.0)</f>
        <v>26473</v>
      </c>
      <c r="C13966" s="9">
        <f>IFERROR(__xludf.DUMMYFUNCTION("""COMPUTED_VALUE"""),6.1)</f>
        <v>6.1</v>
      </c>
      <c r="H13966" s="17"/>
      <c r="K13966" s="17"/>
      <c r="N13966" s="17"/>
    </row>
    <row r="13967">
      <c r="B13967" s="11">
        <f>IFERROR(__xludf.DUMMYFUNCTION("""COMPUTED_VALUE"""),26472.0)</f>
        <v>26472</v>
      </c>
      <c r="C13967" s="9">
        <f>IFERROR(__xludf.DUMMYFUNCTION("""COMPUTED_VALUE"""),6.11)</f>
        <v>6.11</v>
      </c>
      <c r="H13967" s="17"/>
      <c r="K13967" s="17"/>
      <c r="N13967" s="17"/>
    </row>
    <row r="13968">
      <c r="B13968" s="11">
        <f>IFERROR(__xludf.DUMMYFUNCTION("""COMPUTED_VALUE"""),26471.0)</f>
        <v>26471</v>
      </c>
      <c r="C13968" s="9">
        <f>IFERROR(__xludf.DUMMYFUNCTION("""COMPUTED_VALUE"""),6.09)</f>
        <v>6.09</v>
      </c>
      <c r="H13968" s="17"/>
      <c r="K13968" s="17"/>
      <c r="N13968" s="17"/>
    </row>
    <row r="13969">
      <c r="B13969" s="11">
        <f>IFERROR(__xludf.DUMMYFUNCTION("""COMPUTED_VALUE"""),26470.0)</f>
        <v>26470</v>
      </c>
      <c r="C13969" s="9">
        <f>IFERROR(__xludf.DUMMYFUNCTION("""COMPUTED_VALUE"""),6.08)</f>
        <v>6.08</v>
      </c>
      <c r="H13969" s="17"/>
      <c r="K13969" s="17"/>
      <c r="N13969" s="17"/>
    </row>
    <row r="13970">
      <c r="B13970" s="11">
        <f>IFERROR(__xludf.DUMMYFUNCTION("""COMPUTED_VALUE"""),26469.0)</f>
        <v>26469</v>
      </c>
      <c r="C13970" s="9">
        <f>IFERROR(__xludf.DUMMYFUNCTION("""COMPUTED_VALUE"""),6.08)</f>
        <v>6.08</v>
      </c>
      <c r="H13970" s="17"/>
      <c r="K13970" s="17"/>
      <c r="N13970" s="17"/>
    </row>
    <row r="13971">
      <c r="B13971" s="11">
        <f>IFERROR(__xludf.DUMMYFUNCTION("""COMPUTED_VALUE"""),26466.0)</f>
        <v>26466</v>
      </c>
      <c r="C13971" s="9">
        <f>IFERROR(__xludf.DUMMYFUNCTION("""COMPUTED_VALUE"""),6.1)</f>
        <v>6.1</v>
      </c>
      <c r="H13971" s="17"/>
      <c r="K13971" s="17"/>
      <c r="N13971" s="17"/>
    </row>
    <row r="13972">
      <c r="B13972" s="11">
        <f>IFERROR(__xludf.DUMMYFUNCTION("""COMPUTED_VALUE"""),26465.0)</f>
        <v>26465</v>
      </c>
      <c r="C13972" s="9">
        <f>IFERROR(__xludf.DUMMYFUNCTION("""COMPUTED_VALUE"""),6.1)</f>
        <v>6.1</v>
      </c>
      <c r="H13972" s="17"/>
      <c r="K13972" s="17"/>
      <c r="N13972" s="17"/>
    </row>
    <row r="13973">
      <c r="B13973" s="11">
        <f>IFERROR(__xludf.DUMMYFUNCTION("""COMPUTED_VALUE"""),26464.0)</f>
        <v>26464</v>
      </c>
      <c r="C13973" s="9">
        <f>IFERROR(__xludf.DUMMYFUNCTION("""COMPUTED_VALUE"""),6.1)</f>
        <v>6.1</v>
      </c>
      <c r="H13973" s="17"/>
      <c r="K13973" s="17"/>
      <c r="N13973" s="17"/>
    </row>
    <row r="13974">
      <c r="B13974" s="11">
        <f>IFERROR(__xludf.DUMMYFUNCTION("""COMPUTED_VALUE"""),26463.0)</f>
        <v>26463</v>
      </c>
      <c r="C13974" s="9">
        <f>IFERROR(__xludf.DUMMYFUNCTION("""COMPUTED_VALUE"""),6.1)</f>
        <v>6.1</v>
      </c>
      <c r="H13974" s="17"/>
      <c r="K13974" s="17"/>
      <c r="N13974" s="17"/>
    </row>
    <row r="13975">
      <c r="B13975" s="11">
        <f>IFERROR(__xludf.DUMMYFUNCTION("""COMPUTED_VALUE"""),26462.0)</f>
        <v>26462</v>
      </c>
      <c r="C13975" s="9">
        <f>IFERROR(__xludf.DUMMYFUNCTION("""COMPUTED_VALUE"""),6.1)</f>
        <v>6.1</v>
      </c>
      <c r="H13975" s="17"/>
      <c r="K13975" s="17"/>
      <c r="N13975" s="17"/>
    </row>
    <row r="13976">
      <c r="B13976" s="11">
        <f>IFERROR(__xludf.DUMMYFUNCTION("""COMPUTED_VALUE"""),26459.0)</f>
        <v>26459</v>
      </c>
      <c r="C13976" s="9">
        <f>IFERROR(__xludf.DUMMYFUNCTION("""COMPUTED_VALUE"""),6.11)</f>
        <v>6.11</v>
      </c>
      <c r="H13976" s="17"/>
      <c r="K13976" s="17"/>
      <c r="N13976" s="17"/>
    </row>
    <row r="13977">
      <c r="B13977" s="11">
        <f>IFERROR(__xludf.DUMMYFUNCTION("""COMPUTED_VALUE"""),26458.0)</f>
        <v>26458</v>
      </c>
      <c r="C13977" s="9">
        <f>IFERROR(__xludf.DUMMYFUNCTION("""COMPUTED_VALUE"""),6.12)</f>
        <v>6.12</v>
      </c>
      <c r="H13977" s="17"/>
      <c r="K13977" s="17"/>
      <c r="N13977" s="17"/>
    </row>
    <row r="13978">
      <c r="B13978" s="11">
        <f>IFERROR(__xludf.DUMMYFUNCTION("""COMPUTED_VALUE"""),26457.0)</f>
        <v>26457</v>
      </c>
      <c r="C13978" s="9">
        <f>IFERROR(__xludf.DUMMYFUNCTION("""COMPUTED_VALUE"""),6.12)</f>
        <v>6.12</v>
      </c>
      <c r="H13978" s="17"/>
      <c r="K13978" s="17"/>
      <c r="N13978" s="17"/>
    </row>
    <row r="13979">
      <c r="B13979" s="11">
        <f>IFERROR(__xludf.DUMMYFUNCTION("""COMPUTED_VALUE"""),26456.0)</f>
        <v>26456</v>
      </c>
      <c r="C13979" s="9">
        <f>IFERROR(__xludf.DUMMYFUNCTION("""COMPUTED_VALUE"""),6.13)</f>
        <v>6.13</v>
      </c>
      <c r="H13979" s="17"/>
      <c r="K13979" s="17"/>
      <c r="N13979" s="17"/>
    </row>
    <row r="13980">
      <c r="B13980" s="11">
        <f>IFERROR(__xludf.DUMMYFUNCTION("""COMPUTED_VALUE"""),26455.0)</f>
        <v>26455</v>
      </c>
      <c r="C13980" s="9">
        <f>IFERROR(__xludf.DUMMYFUNCTION("""COMPUTED_VALUE"""),6.1)</f>
        <v>6.1</v>
      </c>
      <c r="H13980" s="17"/>
      <c r="K13980" s="17"/>
      <c r="N13980" s="17"/>
    </row>
    <row r="13981">
      <c r="B13981" s="11">
        <f>IFERROR(__xludf.DUMMYFUNCTION("""COMPUTED_VALUE"""),26452.0)</f>
        <v>26452</v>
      </c>
      <c r="C13981" s="9">
        <f>IFERROR(__xludf.DUMMYFUNCTION("""COMPUTED_VALUE"""),6.09)</f>
        <v>6.09</v>
      </c>
      <c r="H13981" s="17"/>
      <c r="K13981" s="17"/>
      <c r="N13981" s="17"/>
    </row>
    <row r="13982">
      <c r="B13982" s="11">
        <f>IFERROR(__xludf.DUMMYFUNCTION("""COMPUTED_VALUE"""),26451.0)</f>
        <v>26451</v>
      </c>
      <c r="C13982" s="9">
        <f>IFERROR(__xludf.DUMMYFUNCTION("""COMPUTED_VALUE"""),6.07)</f>
        <v>6.07</v>
      </c>
      <c r="H13982" s="17"/>
      <c r="K13982" s="17"/>
      <c r="N13982" s="17"/>
    </row>
    <row r="13983">
      <c r="B13983" s="11">
        <f>IFERROR(__xludf.DUMMYFUNCTION("""COMPUTED_VALUE"""),26450.0)</f>
        <v>26450</v>
      </c>
      <c r="C13983" s="9">
        <f>IFERROR(__xludf.DUMMYFUNCTION("""COMPUTED_VALUE"""),6.05)</f>
        <v>6.05</v>
      </c>
      <c r="H13983" s="17"/>
      <c r="K13983" s="17"/>
      <c r="N13983" s="17"/>
    </row>
    <row r="13984">
      <c r="B13984" s="11">
        <f>IFERROR(__xludf.DUMMYFUNCTION("""COMPUTED_VALUE"""),26449.0)</f>
        <v>26449</v>
      </c>
      <c r="C13984" s="9">
        <f>IFERROR(__xludf.DUMMYFUNCTION("""COMPUTED_VALUE"""),6.05)</f>
        <v>6.05</v>
      </c>
      <c r="H13984" s="17"/>
      <c r="K13984" s="17"/>
      <c r="N13984" s="17"/>
    </row>
    <row r="13985">
      <c r="B13985" s="11">
        <f>IFERROR(__xludf.DUMMYFUNCTION("""COMPUTED_VALUE"""),26448.0)</f>
        <v>26448</v>
      </c>
      <c r="C13985" s="9"/>
      <c r="H13985" s="17"/>
      <c r="K13985" s="17"/>
      <c r="N13985" s="17"/>
    </row>
    <row r="13986">
      <c r="B13986" s="11">
        <f>IFERROR(__xludf.DUMMYFUNCTION("""COMPUTED_VALUE"""),26445.0)</f>
        <v>26445</v>
      </c>
      <c r="C13986" s="9">
        <f>IFERROR(__xludf.DUMMYFUNCTION("""COMPUTED_VALUE"""),6.04)</f>
        <v>6.04</v>
      </c>
      <c r="H13986" s="17"/>
      <c r="K13986" s="17"/>
      <c r="N13986" s="17"/>
    </row>
    <row r="13987">
      <c r="B13987" s="11">
        <f>IFERROR(__xludf.DUMMYFUNCTION("""COMPUTED_VALUE"""),26444.0)</f>
        <v>26444</v>
      </c>
      <c r="C13987" s="9">
        <f>IFERROR(__xludf.DUMMYFUNCTION("""COMPUTED_VALUE"""),6.04)</f>
        <v>6.04</v>
      </c>
      <c r="H13987" s="17"/>
      <c r="K13987" s="17"/>
      <c r="N13987" s="17"/>
    </row>
    <row r="13988">
      <c r="B13988" s="11">
        <f>IFERROR(__xludf.DUMMYFUNCTION("""COMPUTED_VALUE"""),26443.0)</f>
        <v>26443</v>
      </c>
      <c r="C13988" s="9">
        <f>IFERROR(__xludf.DUMMYFUNCTION("""COMPUTED_VALUE"""),6.06)</f>
        <v>6.06</v>
      </c>
      <c r="H13988" s="17"/>
      <c r="K13988" s="17"/>
      <c r="N13988" s="17"/>
    </row>
    <row r="13989">
      <c r="B13989" s="11">
        <f>IFERROR(__xludf.DUMMYFUNCTION("""COMPUTED_VALUE"""),26442.0)</f>
        <v>26442</v>
      </c>
      <c r="C13989" s="9">
        <f>IFERROR(__xludf.DUMMYFUNCTION("""COMPUTED_VALUE"""),6.05)</f>
        <v>6.05</v>
      </c>
      <c r="H13989" s="17"/>
      <c r="K13989" s="17"/>
      <c r="N13989" s="17"/>
    </row>
    <row r="13990">
      <c r="B13990" s="11">
        <f>IFERROR(__xludf.DUMMYFUNCTION("""COMPUTED_VALUE"""),26441.0)</f>
        <v>26441</v>
      </c>
      <c r="C13990" s="9">
        <f>IFERROR(__xludf.DUMMYFUNCTION("""COMPUTED_VALUE"""),6.07)</f>
        <v>6.07</v>
      </c>
      <c r="H13990" s="17"/>
      <c r="K13990" s="17"/>
      <c r="N13990" s="17"/>
    </row>
    <row r="13991">
      <c r="B13991" s="11">
        <f>IFERROR(__xludf.DUMMYFUNCTION("""COMPUTED_VALUE"""),26438.0)</f>
        <v>26438</v>
      </c>
      <c r="C13991" s="9">
        <f>IFERROR(__xludf.DUMMYFUNCTION("""COMPUTED_VALUE"""),6.1)</f>
        <v>6.1</v>
      </c>
      <c r="H13991" s="17"/>
      <c r="K13991" s="17"/>
      <c r="N13991" s="17"/>
    </row>
    <row r="13992">
      <c r="B13992" s="11">
        <f>IFERROR(__xludf.DUMMYFUNCTION("""COMPUTED_VALUE"""),26437.0)</f>
        <v>26437</v>
      </c>
      <c r="C13992" s="9">
        <f>IFERROR(__xludf.DUMMYFUNCTION("""COMPUTED_VALUE"""),6.13)</f>
        <v>6.13</v>
      </c>
      <c r="H13992" s="17"/>
      <c r="K13992" s="17"/>
      <c r="N13992" s="17"/>
    </row>
    <row r="13993">
      <c r="B13993" s="11">
        <f>IFERROR(__xludf.DUMMYFUNCTION("""COMPUTED_VALUE"""),26436.0)</f>
        <v>26436</v>
      </c>
      <c r="C13993" s="9">
        <f>IFERROR(__xludf.DUMMYFUNCTION("""COMPUTED_VALUE"""),6.15)</f>
        <v>6.15</v>
      </c>
      <c r="H13993" s="17"/>
      <c r="K13993" s="17"/>
      <c r="N13993" s="17"/>
    </row>
    <row r="13994">
      <c r="B13994" s="11">
        <f>IFERROR(__xludf.DUMMYFUNCTION("""COMPUTED_VALUE"""),26435.0)</f>
        <v>26435</v>
      </c>
      <c r="C13994" s="9">
        <f>IFERROR(__xludf.DUMMYFUNCTION("""COMPUTED_VALUE"""),6.16)</f>
        <v>6.16</v>
      </c>
      <c r="H13994" s="17"/>
      <c r="K13994" s="17"/>
      <c r="N13994" s="17"/>
    </row>
    <row r="13995">
      <c r="B13995" s="11">
        <f>IFERROR(__xludf.DUMMYFUNCTION("""COMPUTED_VALUE"""),26434.0)</f>
        <v>26434</v>
      </c>
      <c r="C13995" s="9">
        <f>IFERROR(__xludf.DUMMYFUNCTION("""COMPUTED_VALUE"""),6.16)</f>
        <v>6.16</v>
      </c>
      <c r="H13995" s="17"/>
      <c r="K13995" s="17"/>
      <c r="N13995" s="17"/>
    </row>
    <row r="13996">
      <c r="B13996" s="11">
        <f>IFERROR(__xludf.DUMMYFUNCTION("""COMPUTED_VALUE"""),26431.0)</f>
        <v>26431</v>
      </c>
      <c r="C13996" s="9">
        <f>IFERROR(__xludf.DUMMYFUNCTION("""COMPUTED_VALUE"""),6.16)</f>
        <v>6.16</v>
      </c>
      <c r="H13996" s="17"/>
      <c r="K13996" s="17"/>
      <c r="N13996" s="17"/>
    </row>
    <row r="13997">
      <c r="B13997" s="11">
        <f>IFERROR(__xludf.DUMMYFUNCTION("""COMPUTED_VALUE"""),26430.0)</f>
        <v>26430</v>
      </c>
      <c r="C13997" s="9">
        <f>IFERROR(__xludf.DUMMYFUNCTION("""COMPUTED_VALUE"""),6.19)</f>
        <v>6.19</v>
      </c>
      <c r="H13997" s="17"/>
      <c r="K13997" s="17"/>
      <c r="N13997" s="17"/>
    </row>
    <row r="13998">
      <c r="B13998" s="11">
        <f>IFERROR(__xludf.DUMMYFUNCTION("""COMPUTED_VALUE"""),26429.0)</f>
        <v>26429</v>
      </c>
      <c r="C13998" s="9">
        <f>IFERROR(__xludf.DUMMYFUNCTION("""COMPUTED_VALUE"""),6.19)</f>
        <v>6.19</v>
      </c>
      <c r="H13998" s="17"/>
      <c r="K13998" s="17"/>
      <c r="N13998" s="17"/>
    </row>
    <row r="13999">
      <c r="B13999" s="11">
        <f>IFERROR(__xludf.DUMMYFUNCTION("""COMPUTED_VALUE"""),26428.0)</f>
        <v>26428</v>
      </c>
      <c r="C13999" s="9">
        <f>IFERROR(__xludf.DUMMYFUNCTION("""COMPUTED_VALUE"""),6.2)</f>
        <v>6.2</v>
      </c>
      <c r="H13999" s="17"/>
      <c r="K13999" s="17"/>
      <c r="N13999" s="17"/>
    </row>
    <row r="14000">
      <c r="B14000" s="11">
        <f>IFERROR(__xludf.DUMMYFUNCTION("""COMPUTED_VALUE"""),26427.0)</f>
        <v>26427</v>
      </c>
      <c r="C14000" s="9">
        <f>IFERROR(__xludf.DUMMYFUNCTION("""COMPUTED_VALUE"""),6.17)</f>
        <v>6.17</v>
      </c>
      <c r="H14000" s="17"/>
      <c r="K14000" s="17"/>
      <c r="N14000" s="17"/>
    </row>
    <row r="14001">
      <c r="B14001" s="11">
        <f>IFERROR(__xludf.DUMMYFUNCTION("""COMPUTED_VALUE"""),26424.0)</f>
        <v>26424</v>
      </c>
      <c r="C14001" s="9">
        <f>IFERROR(__xludf.DUMMYFUNCTION("""COMPUTED_VALUE"""),6.17)</f>
        <v>6.17</v>
      </c>
      <c r="H14001" s="17"/>
      <c r="K14001" s="17"/>
      <c r="N14001" s="17"/>
    </row>
    <row r="14002">
      <c r="B14002" s="11">
        <f>IFERROR(__xludf.DUMMYFUNCTION("""COMPUTED_VALUE"""),26423.0)</f>
        <v>26423</v>
      </c>
      <c r="C14002" s="9">
        <f>IFERROR(__xludf.DUMMYFUNCTION("""COMPUTED_VALUE"""),6.17)</f>
        <v>6.17</v>
      </c>
      <c r="H14002" s="17"/>
      <c r="K14002" s="17"/>
      <c r="N14002" s="17"/>
    </row>
    <row r="14003">
      <c r="B14003" s="11">
        <f>IFERROR(__xludf.DUMMYFUNCTION("""COMPUTED_VALUE"""),26422.0)</f>
        <v>26422</v>
      </c>
      <c r="C14003" s="9">
        <f>IFERROR(__xludf.DUMMYFUNCTION("""COMPUTED_VALUE"""),6.17)</f>
        <v>6.17</v>
      </c>
      <c r="H14003" s="17"/>
      <c r="K14003" s="17"/>
      <c r="N14003" s="17"/>
    </row>
    <row r="14004">
      <c r="B14004" s="11">
        <f>IFERROR(__xludf.DUMMYFUNCTION("""COMPUTED_VALUE"""),26421.0)</f>
        <v>26421</v>
      </c>
      <c r="C14004" s="9">
        <f>IFERROR(__xludf.DUMMYFUNCTION("""COMPUTED_VALUE"""),6.16)</f>
        <v>6.16</v>
      </c>
      <c r="H14004" s="17"/>
      <c r="K14004" s="17"/>
      <c r="N14004" s="17"/>
    </row>
    <row r="14005">
      <c r="B14005" s="11">
        <f>IFERROR(__xludf.DUMMYFUNCTION("""COMPUTED_VALUE"""),26420.0)</f>
        <v>26420</v>
      </c>
      <c r="C14005" s="9">
        <f>IFERROR(__xludf.DUMMYFUNCTION("""COMPUTED_VALUE"""),6.14)</f>
        <v>6.14</v>
      </c>
      <c r="H14005" s="17"/>
      <c r="K14005" s="17"/>
      <c r="N14005" s="17"/>
    </row>
    <row r="14006">
      <c r="B14006" s="11">
        <f>IFERROR(__xludf.DUMMYFUNCTION("""COMPUTED_VALUE"""),26417.0)</f>
        <v>26417</v>
      </c>
      <c r="C14006" s="9">
        <f>IFERROR(__xludf.DUMMYFUNCTION("""COMPUTED_VALUE"""),6.14)</f>
        <v>6.14</v>
      </c>
      <c r="H14006" s="17"/>
      <c r="K14006" s="17"/>
      <c r="N14006" s="17"/>
    </row>
    <row r="14007">
      <c r="B14007" s="11">
        <f>IFERROR(__xludf.DUMMYFUNCTION("""COMPUTED_VALUE"""),26416.0)</f>
        <v>26416</v>
      </c>
      <c r="C14007" s="9">
        <f>IFERROR(__xludf.DUMMYFUNCTION("""COMPUTED_VALUE"""),6.11)</f>
        <v>6.11</v>
      </c>
      <c r="H14007" s="17"/>
      <c r="K14007" s="17"/>
      <c r="N14007" s="17"/>
    </row>
    <row r="14008">
      <c r="B14008" s="11">
        <f>IFERROR(__xludf.DUMMYFUNCTION("""COMPUTED_VALUE"""),26415.0)</f>
        <v>26415</v>
      </c>
      <c r="C14008" s="9">
        <f>IFERROR(__xludf.DUMMYFUNCTION("""COMPUTED_VALUE"""),6.19)</f>
        <v>6.19</v>
      </c>
      <c r="H14008" s="17"/>
      <c r="K14008" s="17"/>
      <c r="N14008" s="17"/>
    </row>
    <row r="14009">
      <c r="B14009" s="11">
        <f>IFERROR(__xludf.DUMMYFUNCTION("""COMPUTED_VALUE"""),26414.0)</f>
        <v>26414</v>
      </c>
      <c r="C14009" s="9">
        <f>IFERROR(__xludf.DUMMYFUNCTION("""COMPUTED_VALUE"""),6.21)</f>
        <v>6.21</v>
      </c>
      <c r="H14009" s="17"/>
      <c r="K14009" s="17"/>
      <c r="N14009" s="17"/>
    </row>
    <row r="14010">
      <c r="B14010" s="11">
        <f>IFERROR(__xludf.DUMMYFUNCTION("""COMPUTED_VALUE"""),26413.0)</f>
        <v>26413</v>
      </c>
      <c r="C14010" s="9">
        <f>IFERROR(__xludf.DUMMYFUNCTION("""COMPUTED_VALUE"""),6.21)</f>
        <v>6.21</v>
      </c>
      <c r="H14010" s="17"/>
      <c r="K14010" s="17"/>
      <c r="N14010" s="17"/>
    </row>
    <row r="14011">
      <c r="B14011" s="11">
        <f>IFERROR(__xludf.DUMMYFUNCTION("""COMPUTED_VALUE"""),26410.0)</f>
        <v>26410</v>
      </c>
      <c r="C14011" s="9">
        <f>IFERROR(__xludf.DUMMYFUNCTION("""COMPUTED_VALUE"""),6.2)</f>
        <v>6.2</v>
      </c>
      <c r="H14011" s="17"/>
      <c r="K14011" s="17"/>
      <c r="N14011" s="17"/>
    </row>
    <row r="14012">
      <c r="B14012" s="11">
        <f>IFERROR(__xludf.DUMMYFUNCTION("""COMPUTED_VALUE"""),26409.0)</f>
        <v>26409</v>
      </c>
      <c r="C14012" s="9">
        <f>IFERROR(__xludf.DUMMYFUNCTION("""COMPUTED_VALUE"""),6.21)</f>
        <v>6.21</v>
      </c>
      <c r="H14012" s="17"/>
      <c r="K14012" s="17"/>
      <c r="N14012" s="17"/>
    </row>
    <row r="14013">
      <c r="B14013" s="11">
        <f>IFERROR(__xludf.DUMMYFUNCTION("""COMPUTED_VALUE"""),26408.0)</f>
        <v>26408</v>
      </c>
      <c r="C14013" s="9">
        <f>IFERROR(__xludf.DUMMYFUNCTION("""COMPUTED_VALUE"""),6.22)</f>
        <v>6.22</v>
      </c>
      <c r="H14013" s="17"/>
      <c r="K14013" s="17"/>
      <c r="N14013" s="17"/>
    </row>
    <row r="14014">
      <c r="B14014" s="11">
        <f>IFERROR(__xludf.DUMMYFUNCTION("""COMPUTED_VALUE"""),26407.0)</f>
        <v>26407</v>
      </c>
      <c r="C14014" s="9">
        <f>IFERROR(__xludf.DUMMYFUNCTION("""COMPUTED_VALUE"""),6.24)</f>
        <v>6.24</v>
      </c>
      <c r="H14014" s="17"/>
      <c r="K14014" s="17"/>
      <c r="N14014" s="17"/>
    </row>
    <row r="14015">
      <c r="B14015" s="11">
        <f>IFERROR(__xludf.DUMMYFUNCTION("""COMPUTED_VALUE"""),26406.0)</f>
        <v>26406</v>
      </c>
      <c r="C14015" s="9">
        <f>IFERROR(__xludf.DUMMYFUNCTION("""COMPUTED_VALUE"""),6.24)</f>
        <v>6.24</v>
      </c>
      <c r="H14015" s="17"/>
      <c r="K14015" s="17"/>
      <c r="N14015" s="17"/>
    </row>
    <row r="14016">
      <c r="B14016" s="11">
        <f>IFERROR(__xludf.DUMMYFUNCTION("""COMPUTED_VALUE"""),26403.0)</f>
        <v>26403</v>
      </c>
      <c r="C14016" s="9">
        <f>IFERROR(__xludf.DUMMYFUNCTION("""COMPUTED_VALUE"""),6.25)</f>
        <v>6.25</v>
      </c>
      <c r="H14016" s="17"/>
      <c r="K14016" s="17"/>
      <c r="N14016" s="17"/>
    </row>
    <row r="14017">
      <c r="B14017" s="11">
        <f>IFERROR(__xludf.DUMMYFUNCTION("""COMPUTED_VALUE"""),26402.0)</f>
        <v>26402</v>
      </c>
      <c r="C14017" s="9">
        <f>IFERROR(__xludf.DUMMYFUNCTION("""COMPUTED_VALUE"""),6.25)</f>
        <v>6.25</v>
      </c>
      <c r="H14017" s="17"/>
      <c r="K14017" s="17"/>
      <c r="N14017" s="17"/>
    </row>
    <row r="14018">
      <c r="B14018" s="11">
        <f>IFERROR(__xludf.DUMMYFUNCTION("""COMPUTED_VALUE"""),26401.0)</f>
        <v>26401</v>
      </c>
      <c r="C14018" s="9">
        <f>IFERROR(__xludf.DUMMYFUNCTION("""COMPUTED_VALUE"""),6.21)</f>
        <v>6.21</v>
      </c>
      <c r="H14018" s="17"/>
      <c r="K14018" s="17"/>
      <c r="N14018" s="17"/>
    </row>
    <row r="14019">
      <c r="B14019" s="11">
        <f>IFERROR(__xludf.DUMMYFUNCTION("""COMPUTED_VALUE"""),26400.0)</f>
        <v>26400</v>
      </c>
      <c r="C14019" s="9">
        <f>IFERROR(__xludf.DUMMYFUNCTION("""COMPUTED_VALUE"""),6.18)</f>
        <v>6.18</v>
      </c>
      <c r="H14019" s="17"/>
      <c r="K14019" s="17"/>
      <c r="N14019" s="17"/>
    </row>
    <row r="14020">
      <c r="B14020" s="11">
        <f>IFERROR(__xludf.DUMMYFUNCTION("""COMPUTED_VALUE"""),26399.0)</f>
        <v>26399</v>
      </c>
      <c r="C14020" s="9">
        <f>IFERROR(__xludf.DUMMYFUNCTION("""COMPUTED_VALUE"""),6.17)</f>
        <v>6.17</v>
      </c>
      <c r="H14020" s="17"/>
      <c r="K14020" s="17"/>
      <c r="N14020" s="17"/>
    </row>
    <row r="14021">
      <c r="B14021" s="11">
        <f>IFERROR(__xludf.DUMMYFUNCTION("""COMPUTED_VALUE"""),26396.0)</f>
        <v>26396</v>
      </c>
      <c r="C14021" s="9">
        <f>IFERROR(__xludf.DUMMYFUNCTION("""COMPUTED_VALUE"""),6.18)</f>
        <v>6.18</v>
      </c>
      <c r="H14021" s="17"/>
      <c r="K14021" s="17"/>
      <c r="N14021" s="17"/>
    </row>
    <row r="14022">
      <c r="B14022" s="11">
        <f>IFERROR(__xludf.DUMMYFUNCTION("""COMPUTED_VALUE"""),26395.0)</f>
        <v>26395</v>
      </c>
      <c r="C14022" s="9">
        <f>IFERROR(__xludf.DUMMYFUNCTION("""COMPUTED_VALUE"""),6.18)</f>
        <v>6.18</v>
      </c>
      <c r="H14022" s="17"/>
      <c r="K14022" s="17"/>
      <c r="N14022" s="17"/>
    </row>
    <row r="14023">
      <c r="B14023" s="11">
        <f>IFERROR(__xludf.DUMMYFUNCTION("""COMPUTED_VALUE"""),26394.0)</f>
        <v>26394</v>
      </c>
      <c r="C14023" s="9">
        <f>IFERROR(__xludf.DUMMYFUNCTION("""COMPUTED_VALUE"""),6.18)</f>
        <v>6.18</v>
      </c>
      <c r="H14023" s="17"/>
      <c r="K14023" s="17"/>
      <c r="N14023" s="17"/>
    </row>
    <row r="14024">
      <c r="B14024" s="11">
        <f>IFERROR(__xludf.DUMMYFUNCTION("""COMPUTED_VALUE"""),26393.0)</f>
        <v>26393</v>
      </c>
      <c r="C14024" s="9">
        <f>IFERROR(__xludf.DUMMYFUNCTION("""COMPUTED_VALUE"""),6.18)</f>
        <v>6.18</v>
      </c>
      <c r="H14024" s="17"/>
      <c r="K14024" s="17"/>
      <c r="N14024" s="17"/>
    </row>
    <row r="14025">
      <c r="B14025" s="11">
        <f>IFERROR(__xludf.DUMMYFUNCTION("""COMPUTED_VALUE"""),26392.0)</f>
        <v>26392</v>
      </c>
      <c r="C14025" s="9">
        <f>IFERROR(__xludf.DUMMYFUNCTION("""COMPUTED_VALUE"""),6.14)</f>
        <v>6.14</v>
      </c>
      <c r="H14025" s="17"/>
      <c r="K14025" s="17"/>
      <c r="N14025" s="17"/>
    </row>
    <row r="14026">
      <c r="B14026" s="11">
        <f>IFERROR(__xludf.DUMMYFUNCTION("""COMPUTED_VALUE"""),26389.0)</f>
        <v>26389</v>
      </c>
      <c r="C14026" s="9"/>
      <c r="H14026" s="17"/>
      <c r="K14026" s="17"/>
      <c r="N14026" s="17"/>
    </row>
    <row r="14027">
      <c r="B14027" s="11">
        <f>IFERROR(__xludf.DUMMYFUNCTION("""COMPUTED_VALUE"""),26388.0)</f>
        <v>26388</v>
      </c>
      <c r="C14027" s="9">
        <f>IFERROR(__xludf.DUMMYFUNCTION("""COMPUTED_VALUE"""),6.12)</f>
        <v>6.12</v>
      </c>
      <c r="H14027" s="17"/>
      <c r="K14027" s="17"/>
      <c r="N14027" s="17"/>
    </row>
    <row r="14028">
      <c r="B14028" s="11">
        <f>IFERROR(__xludf.DUMMYFUNCTION("""COMPUTED_VALUE"""),26387.0)</f>
        <v>26387</v>
      </c>
      <c r="C14028" s="9">
        <f>IFERROR(__xludf.DUMMYFUNCTION("""COMPUTED_VALUE"""),6.12)</f>
        <v>6.12</v>
      </c>
      <c r="H14028" s="17"/>
      <c r="K14028" s="17"/>
      <c r="N14028" s="17"/>
    </row>
    <row r="14029">
      <c r="B14029" s="11">
        <f>IFERROR(__xludf.DUMMYFUNCTION("""COMPUTED_VALUE"""),26386.0)</f>
        <v>26386</v>
      </c>
      <c r="C14029" s="9">
        <f>IFERROR(__xludf.DUMMYFUNCTION("""COMPUTED_VALUE"""),6.11)</f>
        <v>6.11</v>
      </c>
      <c r="H14029" s="17"/>
      <c r="K14029" s="17"/>
      <c r="N14029" s="17"/>
    </row>
    <row r="14030">
      <c r="B14030" s="11">
        <f>IFERROR(__xludf.DUMMYFUNCTION("""COMPUTED_VALUE"""),26385.0)</f>
        <v>26385</v>
      </c>
      <c r="C14030" s="9">
        <f>IFERROR(__xludf.DUMMYFUNCTION("""COMPUTED_VALUE"""),6.1)</f>
        <v>6.1</v>
      </c>
      <c r="H14030" s="17"/>
      <c r="K14030" s="17"/>
      <c r="N14030" s="17"/>
    </row>
    <row r="14031">
      <c r="B14031" s="11">
        <f>IFERROR(__xludf.DUMMYFUNCTION("""COMPUTED_VALUE"""),26382.0)</f>
        <v>26382</v>
      </c>
      <c r="C14031" s="9">
        <f>IFERROR(__xludf.DUMMYFUNCTION("""COMPUTED_VALUE"""),6.12)</f>
        <v>6.12</v>
      </c>
      <c r="H14031" s="17"/>
      <c r="K14031" s="17"/>
      <c r="N14031" s="17"/>
    </row>
    <row r="14032">
      <c r="B14032" s="11">
        <f>IFERROR(__xludf.DUMMYFUNCTION("""COMPUTED_VALUE"""),26381.0)</f>
        <v>26381</v>
      </c>
      <c r="C14032" s="9">
        <f>IFERROR(__xludf.DUMMYFUNCTION("""COMPUTED_VALUE"""),6.1)</f>
        <v>6.1</v>
      </c>
      <c r="H14032" s="17"/>
      <c r="K14032" s="17"/>
      <c r="N14032" s="17"/>
    </row>
    <row r="14033">
      <c r="B14033" s="11">
        <f>IFERROR(__xludf.DUMMYFUNCTION("""COMPUTED_VALUE"""),26380.0)</f>
        <v>26380</v>
      </c>
      <c r="C14033" s="9">
        <f>IFERROR(__xludf.DUMMYFUNCTION("""COMPUTED_VALUE"""),6.08)</f>
        <v>6.08</v>
      </c>
      <c r="H14033" s="17"/>
      <c r="K14033" s="17"/>
      <c r="N14033" s="17"/>
    </row>
    <row r="14034">
      <c r="B14034" s="11">
        <f>IFERROR(__xludf.DUMMYFUNCTION("""COMPUTED_VALUE"""),26379.0)</f>
        <v>26379</v>
      </c>
      <c r="C14034" s="9">
        <f>IFERROR(__xludf.DUMMYFUNCTION("""COMPUTED_VALUE"""),6.08)</f>
        <v>6.08</v>
      </c>
      <c r="H14034" s="17"/>
      <c r="K14034" s="17"/>
      <c r="N14034" s="17"/>
    </row>
    <row r="14035">
      <c r="B14035" s="11">
        <f>IFERROR(__xludf.DUMMYFUNCTION("""COMPUTED_VALUE"""),26378.0)</f>
        <v>26378</v>
      </c>
      <c r="C14035" s="9">
        <f>IFERROR(__xludf.DUMMYFUNCTION("""COMPUTED_VALUE"""),6.09)</f>
        <v>6.09</v>
      </c>
      <c r="H14035" s="17"/>
      <c r="K14035" s="17"/>
      <c r="N14035" s="17"/>
    </row>
    <row r="14036">
      <c r="B14036" s="11">
        <f>IFERROR(__xludf.DUMMYFUNCTION("""COMPUTED_VALUE"""),26375.0)</f>
        <v>26375</v>
      </c>
      <c r="C14036" s="9">
        <f>IFERROR(__xludf.DUMMYFUNCTION("""COMPUTED_VALUE"""),6.08)</f>
        <v>6.08</v>
      </c>
      <c r="H14036" s="17"/>
      <c r="K14036" s="17"/>
      <c r="N14036" s="17"/>
    </row>
    <row r="14037">
      <c r="B14037" s="11">
        <f>IFERROR(__xludf.DUMMYFUNCTION("""COMPUTED_VALUE"""),26374.0)</f>
        <v>26374</v>
      </c>
      <c r="C14037" s="9">
        <f>IFERROR(__xludf.DUMMYFUNCTION("""COMPUTED_VALUE"""),6.08)</f>
        <v>6.08</v>
      </c>
      <c r="H14037" s="17"/>
      <c r="K14037" s="17"/>
      <c r="N14037" s="17"/>
    </row>
    <row r="14038">
      <c r="B14038" s="11">
        <f>IFERROR(__xludf.DUMMYFUNCTION("""COMPUTED_VALUE"""),26373.0)</f>
        <v>26373</v>
      </c>
      <c r="C14038" s="9">
        <f>IFERROR(__xludf.DUMMYFUNCTION("""COMPUTED_VALUE"""),6.11)</f>
        <v>6.11</v>
      </c>
      <c r="H14038" s="17"/>
      <c r="K14038" s="17"/>
      <c r="N14038" s="17"/>
    </row>
    <row r="14039">
      <c r="B14039" s="11">
        <f>IFERROR(__xludf.DUMMYFUNCTION("""COMPUTED_VALUE"""),26372.0)</f>
        <v>26372</v>
      </c>
      <c r="C14039" s="9">
        <f>IFERROR(__xludf.DUMMYFUNCTION("""COMPUTED_VALUE"""),6.06)</f>
        <v>6.06</v>
      </c>
      <c r="H14039" s="17"/>
      <c r="K14039" s="17"/>
      <c r="N14039" s="17"/>
    </row>
    <row r="14040">
      <c r="B14040" s="11">
        <f>IFERROR(__xludf.DUMMYFUNCTION("""COMPUTED_VALUE"""),26371.0)</f>
        <v>26371</v>
      </c>
      <c r="C14040" s="9">
        <f>IFERROR(__xludf.DUMMYFUNCTION("""COMPUTED_VALUE"""),6.07)</f>
        <v>6.07</v>
      </c>
      <c r="H14040" s="17"/>
      <c r="K14040" s="17"/>
      <c r="N14040" s="17"/>
    </row>
    <row r="14041">
      <c r="B14041" s="11">
        <f>IFERROR(__xludf.DUMMYFUNCTION("""COMPUTED_VALUE"""),26368.0)</f>
        <v>26368</v>
      </c>
      <c r="C14041" s="9">
        <f>IFERROR(__xludf.DUMMYFUNCTION("""COMPUTED_VALUE"""),6.03)</f>
        <v>6.03</v>
      </c>
      <c r="H14041" s="17"/>
      <c r="K14041" s="17"/>
      <c r="N14041" s="17"/>
    </row>
    <row r="14042">
      <c r="B14042" s="11">
        <f>IFERROR(__xludf.DUMMYFUNCTION("""COMPUTED_VALUE"""),26367.0)</f>
        <v>26367</v>
      </c>
      <c r="C14042" s="9">
        <f>IFERROR(__xludf.DUMMYFUNCTION("""COMPUTED_VALUE"""),6.02)</f>
        <v>6.02</v>
      </c>
      <c r="H14042" s="17"/>
      <c r="K14042" s="17"/>
      <c r="N14042" s="17"/>
    </row>
    <row r="14043">
      <c r="B14043" s="11">
        <f>IFERROR(__xludf.DUMMYFUNCTION("""COMPUTED_VALUE"""),26366.0)</f>
        <v>26366</v>
      </c>
      <c r="C14043" s="9">
        <f>IFERROR(__xludf.DUMMYFUNCTION("""COMPUTED_VALUE"""),6.02)</f>
        <v>6.02</v>
      </c>
      <c r="H14043" s="17"/>
      <c r="K14043" s="17"/>
      <c r="N14043" s="17"/>
    </row>
    <row r="14044">
      <c r="B14044" s="11">
        <f>IFERROR(__xludf.DUMMYFUNCTION("""COMPUTED_VALUE"""),26365.0)</f>
        <v>26365</v>
      </c>
      <c r="C14044" s="9">
        <f>IFERROR(__xludf.DUMMYFUNCTION("""COMPUTED_VALUE"""),6.02)</f>
        <v>6.02</v>
      </c>
      <c r="H14044" s="17"/>
      <c r="K14044" s="17"/>
      <c r="N14044" s="17"/>
    </row>
    <row r="14045">
      <c r="B14045" s="11">
        <f>IFERROR(__xludf.DUMMYFUNCTION("""COMPUTED_VALUE"""),26364.0)</f>
        <v>26364</v>
      </c>
      <c r="C14045" s="9">
        <f>IFERROR(__xludf.DUMMYFUNCTION("""COMPUTED_VALUE"""),6.01)</f>
        <v>6.01</v>
      </c>
      <c r="H14045" s="17"/>
      <c r="K14045" s="17"/>
      <c r="N14045" s="17"/>
    </row>
    <row r="14046">
      <c r="B14046" s="11">
        <f>IFERROR(__xludf.DUMMYFUNCTION("""COMPUTED_VALUE"""),26361.0)</f>
        <v>26361</v>
      </c>
      <c r="C14046" s="9">
        <f>IFERROR(__xludf.DUMMYFUNCTION("""COMPUTED_VALUE"""),6.02)</f>
        <v>6.02</v>
      </c>
      <c r="H14046" s="17"/>
      <c r="K14046" s="17"/>
      <c r="N14046" s="17"/>
    </row>
    <row r="14047">
      <c r="B14047" s="11">
        <f>IFERROR(__xludf.DUMMYFUNCTION("""COMPUTED_VALUE"""),26360.0)</f>
        <v>26360</v>
      </c>
      <c r="C14047" s="9">
        <f>IFERROR(__xludf.DUMMYFUNCTION("""COMPUTED_VALUE"""),6.03)</f>
        <v>6.03</v>
      </c>
      <c r="H14047" s="17"/>
      <c r="K14047" s="17"/>
      <c r="N14047" s="17"/>
    </row>
    <row r="14048">
      <c r="B14048" s="11">
        <f>IFERROR(__xludf.DUMMYFUNCTION("""COMPUTED_VALUE"""),26359.0)</f>
        <v>26359</v>
      </c>
      <c r="C14048" s="9">
        <f>IFERROR(__xludf.DUMMYFUNCTION("""COMPUTED_VALUE"""),6.04)</f>
        <v>6.04</v>
      </c>
      <c r="H14048" s="17"/>
      <c r="K14048" s="17"/>
      <c r="N14048" s="17"/>
    </row>
    <row r="14049">
      <c r="B14049" s="11">
        <f>IFERROR(__xludf.DUMMYFUNCTION("""COMPUTED_VALUE"""),26358.0)</f>
        <v>26358</v>
      </c>
      <c r="C14049" s="9">
        <f>IFERROR(__xludf.DUMMYFUNCTION("""COMPUTED_VALUE"""),6.04)</f>
        <v>6.04</v>
      </c>
      <c r="H14049" s="17"/>
      <c r="K14049" s="17"/>
      <c r="N14049" s="17"/>
    </row>
    <row r="14050">
      <c r="B14050" s="11">
        <f>IFERROR(__xludf.DUMMYFUNCTION("""COMPUTED_VALUE"""),26357.0)</f>
        <v>26357</v>
      </c>
      <c r="C14050" s="9">
        <f>IFERROR(__xludf.DUMMYFUNCTION("""COMPUTED_VALUE"""),6.04)</f>
        <v>6.04</v>
      </c>
      <c r="H14050" s="17"/>
      <c r="K14050" s="17"/>
      <c r="N14050" s="17"/>
    </row>
    <row r="14051">
      <c r="B14051" s="11">
        <f>IFERROR(__xludf.DUMMYFUNCTION("""COMPUTED_VALUE"""),26354.0)</f>
        <v>26354</v>
      </c>
      <c r="C14051" s="9">
        <f>IFERROR(__xludf.DUMMYFUNCTION("""COMPUTED_VALUE"""),6.06)</f>
        <v>6.06</v>
      </c>
      <c r="H14051" s="17"/>
      <c r="K14051" s="17"/>
      <c r="N14051" s="17"/>
    </row>
    <row r="14052">
      <c r="B14052" s="11">
        <f>IFERROR(__xludf.DUMMYFUNCTION("""COMPUTED_VALUE"""),26353.0)</f>
        <v>26353</v>
      </c>
      <c r="C14052" s="9">
        <f>IFERROR(__xludf.DUMMYFUNCTION("""COMPUTED_VALUE"""),6.07)</f>
        <v>6.07</v>
      </c>
      <c r="H14052" s="17"/>
      <c r="K14052" s="17"/>
      <c r="N14052" s="17"/>
    </row>
    <row r="14053">
      <c r="B14053" s="11">
        <f>IFERROR(__xludf.DUMMYFUNCTION("""COMPUTED_VALUE"""),26352.0)</f>
        <v>26352</v>
      </c>
      <c r="C14053" s="9">
        <f>IFERROR(__xludf.DUMMYFUNCTION("""COMPUTED_VALUE"""),6.07)</f>
        <v>6.07</v>
      </c>
      <c r="H14053" s="17"/>
      <c r="K14053" s="17"/>
      <c r="N14053" s="17"/>
    </row>
    <row r="14054">
      <c r="B14054" s="11">
        <f>IFERROR(__xludf.DUMMYFUNCTION("""COMPUTED_VALUE"""),26351.0)</f>
        <v>26351</v>
      </c>
      <c r="C14054" s="9">
        <f>IFERROR(__xludf.DUMMYFUNCTION("""COMPUTED_VALUE"""),6.06)</f>
        <v>6.06</v>
      </c>
      <c r="H14054" s="17"/>
      <c r="K14054" s="17"/>
      <c r="N14054" s="17"/>
    </row>
    <row r="14055">
      <c r="B14055" s="11">
        <f>IFERROR(__xludf.DUMMYFUNCTION("""COMPUTED_VALUE"""),26350.0)</f>
        <v>26350</v>
      </c>
      <c r="C14055" s="9"/>
      <c r="H14055" s="17"/>
      <c r="K14055" s="17"/>
      <c r="N14055" s="17"/>
    </row>
    <row r="14056">
      <c r="B14056" s="11">
        <f>IFERROR(__xludf.DUMMYFUNCTION("""COMPUTED_VALUE"""),26347.0)</f>
        <v>26347</v>
      </c>
      <c r="C14056" s="9">
        <f>IFERROR(__xludf.DUMMYFUNCTION("""COMPUTED_VALUE"""),6.06)</f>
        <v>6.06</v>
      </c>
      <c r="H14056" s="17"/>
      <c r="K14056" s="17"/>
      <c r="N14056" s="17"/>
    </row>
    <row r="14057">
      <c r="B14057" s="11">
        <f>IFERROR(__xludf.DUMMYFUNCTION("""COMPUTED_VALUE"""),26346.0)</f>
        <v>26346</v>
      </c>
      <c r="C14057" s="9">
        <f>IFERROR(__xludf.DUMMYFUNCTION("""COMPUTED_VALUE"""),6.06)</f>
        <v>6.06</v>
      </c>
      <c r="H14057" s="17"/>
      <c r="K14057" s="17"/>
      <c r="N14057" s="17"/>
    </row>
    <row r="14058">
      <c r="B14058" s="11">
        <f>IFERROR(__xludf.DUMMYFUNCTION("""COMPUTED_VALUE"""),26345.0)</f>
        <v>26345</v>
      </c>
      <c r="C14058" s="9">
        <f>IFERROR(__xludf.DUMMYFUNCTION("""COMPUTED_VALUE"""),6.08)</f>
        <v>6.08</v>
      </c>
      <c r="H14058" s="17"/>
      <c r="K14058" s="17"/>
      <c r="N14058" s="17"/>
    </row>
    <row r="14059">
      <c r="B14059" s="11">
        <f>IFERROR(__xludf.DUMMYFUNCTION("""COMPUTED_VALUE"""),26344.0)</f>
        <v>26344</v>
      </c>
      <c r="C14059" s="9">
        <f>IFERROR(__xludf.DUMMYFUNCTION("""COMPUTED_VALUE"""),6.1)</f>
        <v>6.1</v>
      </c>
      <c r="H14059" s="17"/>
      <c r="K14059" s="17"/>
      <c r="N14059" s="17"/>
    </row>
    <row r="14060">
      <c r="B14060" s="11">
        <f>IFERROR(__xludf.DUMMYFUNCTION("""COMPUTED_VALUE"""),26343.0)</f>
        <v>26343</v>
      </c>
      <c r="C14060" s="9">
        <f>IFERROR(__xludf.DUMMYFUNCTION("""COMPUTED_VALUE"""),6.1)</f>
        <v>6.1</v>
      </c>
      <c r="H14060" s="17"/>
      <c r="K14060" s="17"/>
      <c r="N14060" s="17"/>
    </row>
    <row r="14061">
      <c r="B14061" s="11">
        <f>IFERROR(__xludf.DUMMYFUNCTION("""COMPUTED_VALUE"""),26340.0)</f>
        <v>26340</v>
      </c>
      <c r="C14061" s="9">
        <f>IFERROR(__xludf.DUMMYFUNCTION("""COMPUTED_VALUE"""),6.12)</f>
        <v>6.12</v>
      </c>
      <c r="H14061" s="17"/>
      <c r="K14061" s="17"/>
      <c r="N14061" s="17"/>
    </row>
    <row r="14062">
      <c r="B14062" s="11">
        <f>IFERROR(__xludf.DUMMYFUNCTION("""COMPUTED_VALUE"""),26339.0)</f>
        <v>26339</v>
      </c>
      <c r="C14062" s="9">
        <f>IFERROR(__xludf.DUMMYFUNCTION("""COMPUTED_VALUE"""),6.11)</f>
        <v>6.11</v>
      </c>
      <c r="H14062" s="17"/>
      <c r="K14062" s="17"/>
      <c r="N14062" s="17"/>
    </row>
    <row r="14063">
      <c r="B14063" s="11">
        <f>IFERROR(__xludf.DUMMYFUNCTION("""COMPUTED_VALUE"""),26338.0)</f>
        <v>26338</v>
      </c>
      <c r="C14063" s="9">
        <f>IFERROR(__xludf.DUMMYFUNCTION("""COMPUTED_VALUE"""),6.12)</f>
        <v>6.12</v>
      </c>
      <c r="H14063" s="17"/>
      <c r="K14063" s="17"/>
      <c r="N14063" s="17"/>
    </row>
    <row r="14064">
      <c r="B14064" s="11">
        <f>IFERROR(__xludf.DUMMYFUNCTION("""COMPUTED_VALUE"""),26337.0)</f>
        <v>26337</v>
      </c>
      <c r="C14064" s="9">
        <f>IFERROR(__xludf.DUMMYFUNCTION("""COMPUTED_VALUE"""),6.11)</f>
        <v>6.11</v>
      </c>
      <c r="H14064" s="17"/>
      <c r="K14064" s="17"/>
      <c r="N14064" s="17"/>
    </row>
    <row r="14065">
      <c r="B14065" s="11">
        <f>IFERROR(__xludf.DUMMYFUNCTION("""COMPUTED_VALUE"""),26336.0)</f>
        <v>26336</v>
      </c>
      <c r="C14065" s="9">
        <f>IFERROR(__xludf.DUMMYFUNCTION("""COMPUTED_VALUE"""),6.09)</f>
        <v>6.09</v>
      </c>
      <c r="H14065" s="17"/>
      <c r="K14065" s="17"/>
      <c r="N14065" s="17"/>
    </row>
    <row r="14066">
      <c r="B14066" s="11">
        <f>IFERROR(__xludf.DUMMYFUNCTION("""COMPUTED_VALUE"""),26333.0)</f>
        <v>26333</v>
      </c>
      <c r="C14066" s="9">
        <f>IFERROR(__xludf.DUMMYFUNCTION("""COMPUTED_VALUE"""),6.08)</f>
        <v>6.08</v>
      </c>
      <c r="H14066" s="17"/>
      <c r="K14066" s="17"/>
      <c r="N14066" s="17"/>
    </row>
    <row r="14067">
      <c r="B14067" s="11">
        <f>IFERROR(__xludf.DUMMYFUNCTION("""COMPUTED_VALUE"""),26332.0)</f>
        <v>26332</v>
      </c>
      <c r="C14067" s="9">
        <f>IFERROR(__xludf.DUMMYFUNCTION("""COMPUTED_VALUE"""),6.08)</f>
        <v>6.08</v>
      </c>
      <c r="H14067" s="17"/>
      <c r="K14067" s="17"/>
      <c r="N14067" s="17"/>
    </row>
    <row r="14068">
      <c r="B14068" s="11">
        <f>IFERROR(__xludf.DUMMYFUNCTION("""COMPUTED_VALUE"""),26331.0)</f>
        <v>26331</v>
      </c>
      <c r="C14068" s="9">
        <f>IFERROR(__xludf.DUMMYFUNCTION("""COMPUTED_VALUE"""),6.08)</f>
        <v>6.08</v>
      </c>
      <c r="H14068" s="17"/>
      <c r="K14068" s="17"/>
      <c r="N14068" s="17"/>
    </row>
    <row r="14069">
      <c r="B14069" s="11">
        <f>IFERROR(__xludf.DUMMYFUNCTION("""COMPUTED_VALUE"""),26330.0)</f>
        <v>26330</v>
      </c>
      <c r="C14069" s="9">
        <f>IFERROR(__xludf.DUMMYFUNCTION("""COMPUTED_VALUE"""),6.09)</f>
        <v>6.09</v>
      </c>
      <c r="H14069" s="17"/>
      <c r="K14069" s="17"/>
      <c r="N14069" s="17"/>
    </row>
    <row r="14070">
      <c r="B14070" s="11">
        <f>IFERROR(__xludf.DUMMYFUNCTION("""COMPUTED_VALUE"""),26329.0)</f>
        <v>26329</v>
      </c>
      <c r="C14070" s="9">
        <f>IFERROR(__xludf.DUMMYFUNCTION("""COMPUTED_VALUE"""),6.09)</f>
        <v>6.09</v>
      </c>
      <c r="H14070" s="17"/>
      <c r="K14070" s="17"/>
      <c r="N14070" s="17"/>
    </row>
    <row r="14071">
      <c r="B14071" s="11">
        <f>IFERROR(__xludf.DUMMYFUNCTION("""COMPUTED_VALUE"""),26326.0)</f>
        <v>26326</v>
      </c>
      <c r="C14071" s="9">
        <f>IFERROR(__xludf.DUMMYFUNCTION("""COMPUTED_VALUE"""),6.08)</f>
        <v>6.08</v>
      </c>
      <c r="H14071" s="17"/>
      <c r="K14071" s="17"/>
      <c r="N14071" s="17"/>
    </row>
    <row r="14072">
      <c r="B14072" s="11">
        <f>IFERROR(__xludf.DUMMYFUNCTION("""COMPUTED_VALUE"""),26325.0)</f>
        <v>26325</v>
      </c>
      <c r="C14072" s="9">
        <f>IFERROR(__xludf.DUMMYFUNCTION("""COMPUTED_VALUE"""),6.05)</f>
        <v>6.05</v>
      </c>
      <c r="H14072" s="17"/>
      <c r="K14072" s="17"/>
      <c r="N14072" s="17"/>
    </row>
    <row r="14073">
      <c r="B14073" s="11">
        <f>IFERROR(__xludf.DUMMYFUNCTION("""COMPUTED_VALUE"""),26324.0)</f>
        <v>26324</v>
      </c>
      <c r="C14073" s="9">
        <f>IFERROR(__xludf.DUMMYFUNCTION("""COMPUTED_VALUE"""),6.01)</f>
        <v>6.01</v>
      </c>
      <c r="H14073" s="17"/>
      <c r="K14073" s="17"/>
      <c r="N14073" s="17"/>
    </row>
    <row r="14074">
      <c r="B14074" s="11">
        <f>IFERROR(__xludf.DUMMYFUNCTION("""COMPUTED_VALUE"""),26323.0)</f>
        <v>26323</v>
      </c>
      <c r="C14074" s="9">
        <f>IFERROR(__xludf.DUMMYFUNCTION("""COMPUTED_VALUE"""),6.02)</f>
        <v>6.02</v>
      </c>
      <c r="H14074" s="17"/>
      <c r="K14074" s="17"/>
      <c r="N14074" s="17"/>
    </row>
    <row r="14075">
      <c r="B14075" s="11">
        <f>IFERROR(__xludf.DUMMYFUNCTION("""COMPUTED_VALUE"""),26322.0)</f>
        <v>26322</v>
      </c>
      <c r="C14075" s="9">
        <f>IFERROR(__xludf.DUMMYFUNCTION("""COMPUTED_VALUE"""),6.02)</f>
        <v>6.02</v>
      </c>
      <c r="H14075" s="17"/>
      <c r="K14075" s="17"/>
      <c r="N14075" s="17"/>
    </row>
    <row r="14076">
      <c r="B14076" s="11">
        <f>IFERROR(__xludf.DUMMYFUNCTION("""COMPUTED_VALUE"""),26319.0)</f>
        <v>26319</v>
      </c>
      <c r="C14076" s="9">
        <f>IFERROR(__xludf.DUMMYFUNCTION("""COMPUTED_VALUE"""),5.99)</f>
        <v>5.99</v>
      </c>
      <c r="H14076" s="17"/>
      <c r="K14076" s="17"/>
      <c r="N14076" s="17"/>
    </row>
    <row r="14077">
      <c r="B14077" s="11">
        <f>IFERROR(__xludf.DUMMYFUNCTION("""COMPUTED_VALUE"""),26318.0)</f>
        <v>26318</v>
      </c>
      <c r="C14077" s="9">
        <f>IFERROR(__xludf.DUMMYFUNCTION("""COMPUTED_VALUE"""),5.98)</f>
        <v>5.98</v>
      </c>
      <c r="H14077" s="17"/>
      <c r="K14077" s="17"/>
      <c r="N14077" s="17"/>
    </row>
    <row r="14078">
      <c r="B14078" s="11">
        <f>IFERROR(__xludf.DUMMYFUNCTION("""COMPUTED_VALUE"""),26317.0)</f>
        <v>26317</v>
      </c>
      <c r="C14078" s="9">
        <f>IFERROR(__xludf.DUMMYFUNCTION("""COMPUTED_VALUE"""),5.96)</f>
        <v>5.96</v>
      </c>
      <c r="H14078" s="17"/>
      <c r="K14078" s="17"/>
      <c r="N14078" s="17"/>
    </row>
    <row r="14079">
      <c r="B14079" s="11">
        <f>IFERROR(__xludf.DUMMYFUNCTION("""COMPUTED_VALUE"""),26316.0)</f>
        <v>26316</v>
      </c>
      <c r="C14079" s="9">
        <f>IFERROR(__xludf.DUMMYFUNCTION("""COMPUTED_VALUE"""),5.92)</f>
        <v>5.92</v>
      </c>
      <c r="H14079" s="17"/>
      <c r="K14079" s="17"/>
      <c r="N14079" s="17"/>
    </row>
    <row r="14080">
      <c r="B14080" s="11">
        <f>IFERROR(__xludf.DUMMYFUNCTION("""COMPUTED_VALUE"""),26315.0)</f>
        <v>26315</v>
      </c>
      <c r="C14080" s="9">
        <f>IFERROR(__xludf.DUMMYFUNCTION("""COMPUTED_VALUE"""),5.89)</f>
        <v>5.89</v>
      </c>
      <c r="H14080" s="17"/>
      <c r="K14080" s="17"/>
      <c r="N14080" s="17"/>
    </row>
    <row r="14081">
      <c r="B14081" s="11">
        <f>IFERROR(__xludf.DUMMYFUNCTION("""COMPUTED_VALUE"""),26312.0)</f>
        <v>26312</v>
      </c>
      <c r="C14081" s="9">
        <f>IFERROR(__xludf.DUMMYFUNCTION("""COMPUTED_VALUE"""),5.85)</f>
        <v>5.85</v>
      </c>
      <c r="H14081" s="17"/>
      <c r="K14081" s="17"/>
      <c r="N14081" s="17"/>
    </row>
    <row r="14082">
      <c r="B14082" s="11">
        <f>IFERROR(__xludf.DUMMYFUNCTION("""COMPUTED_VALUE"""),26311.0)</f>
        <v>26311</v>
      </c>
      <c r="C14082" s="9">
        <f>IFERROR(__xludf.DUMMYFUNCTION("""COMPUTED_VALUE"""),5.86)</f>
        <v>5.86</v>
      </c>
      <c r="H14082" s="17"/>
      <c r="K14082" s="17"/>
      <c r="N14082" s="17"/>
    </row>
    <row r="14083">
      <c r="B14083" s="11">
        <f>IFERROR(__xludf.DUMMYFUNCTION("""COMPUTED_VALUE"""),26310.0)</f>
        <v>26310</v>
      </c>
      <c r="C14083" s="9">
        <f>IFERROR(__xludf.DUMMYFUNCTION("""COMPUTED_VALUE"""),5.88)</f>
        <v>5.88</v>
      </c>
      <c r="H14083" s="17"/>
      <c r="K14083" s="17"/>
      <c r="N14083" s="17"/>
    </row>
    <row r="14084">
      <c r="B14084" s="11">
        <f>IFERROR(__xludf.DUMMYFUNCTION("""COMPUTED_VALUE"""),26309.0)</f>
        <v>26309</v>
      </c>
      <c r="C14084" s="9">
        <f>IFERROR(__xludf.DUMMYFUNCTION("""COMPUTED_VALUE"""),5.88)</f>
        <v>5.88</v>
      </c>
      <c r="H14084" s="17"/>
      <c r="K14084" s="17"/>
      <c r="N14084" s="17"/>
    </row>
    <row r="14085">
      <c r="B14085" s="11">
        <f>IFERROR(__xludf.DUMMYFUNCTION("""COMPUTED_VALUE"""),26308.0)</f>
        <v>26308</v>
      </c>
      <c r="C14085" s="9">
        <f>IFERROR(__xludf.DUMMYFUNCTION("""COMPUTED_VALUE"""),5.86)</f>
        <v>5.86</v>
      </c>
      <c r="H14085" s="17"/>
      <c r="K14085" s="17"/>
      <c r="N14085" s="17"/>
    </row>
    <row r="14086">
      <c r="B14086" s="11">
        <f>IFERROR(__xludf.DUMMYFUNCTION("""COMPUTED_VALUE"""),26305.0)</f>
        <v>26305</v>
      </c>
      <c r="C14086" s="9">
        <f>IFERROR(__xludf.DUMMYFUNCTION("""COMPUTED_VALUE"""),5.88)</f>
        <v>5.88</v>
      </c>
      <c r="H14086" s="17"/>
      <c r="K14086" s="17"/>
      <c r="N14086" s="17"/>
    </row>
    <row r="14087">
      <c r="B14087" s="11">
        <f>IFERROR(__xludf.DUMMYFUNCTION("""COMPUTED_VALUE"""),26304.0)</f>
        <v>26304</v>
      </c>
      <c r="C14087" s="9">
        <f>IFERROR(__xludf.DUMMYFUNCTION("""COMPUTED_VALUE"""),5.9)</f>
        <v>5.9</v>
      </c>
      <c r="H14087" s="17"/>
      <c r="K14087" s="17"/>
      <c r="N14087" s="17"/>
    </row>
    <row r="14088">
      <c r="B14088" s="11">
        <f>IFERROR(__xludf.DUMMYFUNCTION("""COMPUTED_VALUE"""),26303.0)</f>
        <v>26303</v>
      </c>
      <c r="C14088" s="9">
        <f>IFERROR(__xludf.DUMMYFUNCTION("""COMPUTED_VALUE"""),5.91)</f>
        <v>5.91</v>
      </c>
      <c r="H14088" s="17"/>
      <c r="K14088" s="17"/>
      <c r="N14088" s="17"/>
    </row>
    <row r="14089">
      <c r="B14089" s="11">
        <f>IFERROR(__xludf.DUMMYFUNCTION("""COMPUTED_VALUE"""),26302.0)</f>
        <v>26302</v>
      </c>
      <c r="C14089" s="9">
        <f>IFERROR(__xludf.DUMMYFUNCTION("""COMPUTED_VALUE"""),5.93)</f>
        <v>5.93</v>
      </c>
      <c r="H14089" s="17"/>
      <c r="K14089" s="17"/>
      <c r="N14089" s="17"/>
    </row>
    <row r="14090">
      <c r="B14090" s="11">
        <f>IFERROR(__xludf.DUMMYFUNCTION("""COMPUTED_VALUE"""),26301.0)</f>
        <v>26301</v>
      </c>
      <c r="C14090" s="9">
        <f>IFERROR(__xludf.DUMMYFUNCTION("""COMPUTED_VALUE"""),5.94)</f>
        <v>5.94</v>
      </c>
      <c r="H14090" s="17"/>
      <c r="K14090" s="17"/>
      <c r="N14090" s="17"/>
    </row>
    <row r="14091">
      <c r="B14091" s="11">
        <f>IFERROR(__xludf.DUMMYFUNCTION("""COMPUTED_VALUE"""),26298.0)</f>
        <v>26298</v>
      </c>
      <c r="C14091" s="9">
        <f>IFERROR(__xludf.DUMMYFUNCTION("""COMPUTED_VALUE"""),5.89)</f>
        <v>5.89</v>
      </c>
      <c r="H14091" s="17"/>
      <c r="K14091" s="17"/>
      <c r="N14091" s="17"/>
    </row>
    <row r="14092">
      <c r="B14092" s="11">
        <f>IFERROR(__xludf.DUMMYFUNCTION("""COMPUTED_VALUE"""),26297.0)</f>
        <v>26297</v>
      </c>
      <c r="C14092" s="9">
        <f>IFERROR(__xludf.DUMMYFUNCTION("""COMPUTED_VALUE"""),5.9)</f>
        <v>5.9</v>
      </c>
      <c r="H14092" s="17"/>
      <c r="K14092" s="17"/>
      <c r="N14092" s="17"/>
    </row>
    <row r="14093">
      <c r="B14093" s="11">
        <f>IFERROR(__xludf.DUMMYFUNCTION("""COMPUTED_VALUE"""),26296.0)</f>
        <v>26296</v>
      </c>
      <c r="C14093" s="9">
        <f>IFERROR(__xludf.DUMMYFUNCTION("""COMPUTED_VALUE"""),5.9)</f>
        <v>5.9</v>
      </c>
      <c r="H14093" s="17"/>
      <c r="K14093" s="17"/>
      <c r="N14093" s="17"/>
    </row>
    <row r="14094">
      <c r="B14094" s="11">
        <f>IFERROR(__xludf.DUMMYFUNCTION("""COMPUTED_VALUE"""),26295.0)</f>
        <v>26295</v>
      </c>
      <c r="C14094" s="9">
        <f>IFERROR(__xludf.DUMMYFUNCTION("""COMPUTED_VALUE"""),5.86)</f>
        <v>5.86</v>
      </c>
      <c r="H14094" s="17"/>
      <c r="K14094" s="17"/>
      <c r="N14094" s="17"/>
    </row>
    <row r="14095">
      <c r="B14095" s="11">
        <f>IFERROR(__xludf.DUMMYFUNCTION("""COMPUTED_VALUE"""),26294.0)</f>
        <v>26294</v>
      </c>
      <c r="C14095" s="9">
        <f>IFERROR(__xludf.DUMMYFUNCTION("""COMPUTED_VALUE"""),5.91)</f>
        <v>5.91</v>
      </c>
      <c r="H14095" s="17"/>
      <c r="K14095" s="17"/>
      <c r="N14095" s="17"/>
    </row>
    <row r="14096">
      <c r="B14096" s="11">
        <f>IFERROR(__xludf.DUMMYFUNCTION("""COMPUTED_VALUE"""),26291.0)</f>
        <v>26291</v>
      </c>
      <c r="C14096" s="9"/>
      <c r="H14096" s="17"/>
      <c r="K14096" s="17"/>
      <c r="N14096" s="17"/>
    </row>
    <row r="14097">
      <c r="B14097" s="11">
        <f>IFERROR(__xludf.DUMMYFUNCTION("""COMPUTED_VALUE"""),26290.0)</f>
        <v>26290</v>
      </c>
      <c r="C14097" s="9">
        <f>IFERROR(__xludf.DUMMYFUNCTION("""COMPUTED_VALUE"""),5.97)</f>
        <v>5.97</v>
      </c>
      <c r="H14097" s="17"/>
      <c r="K14097" s="17"/>
      <c r="N14097" s="17"/>
    </row>
    <row r="14098">
      <c r="B14098" s="11">
        <f>IFERROR(__xludf.DUMMYFUNCTION("""COMPUTED_VALUE"""),26289.0)</f>
        <v>26289</v>
      </c>
      <c r="C14098" s="9">
        <f>IFERROR(__xludf.DUMMYFUNCTION("""COMPUTED_VALUE"""),6.01)</f>
        <v>6.01</v>
      </c>
      <c r="H14098" s="17"/>
      <c r="K14098" s="17"/>
      <c r="N14098" s="17"/>
    </row>
    <row r="14099">
      <c r="B14099" s="11">
        <f>IFERROR(__xludf.DUMMYFUNCTION("""COMPUTED_VALUE"""),26288.0)</f>
        <v>26288</v>
      </c>
      <c r="C14099" s="9">
        <f>IFERROR(__xludf.DUMMYFUNCTION("""COMPUTED_VALUE"""),6.0)</f>
        <v>6</v>
      </c>
      <c r="H14099" s="17"/>
      <c r="K14099" s="17"/>
      <c r="N14099" s="17"/>
    </row>
    <row r="14100">
      <c r="B14100" s="11">
        <f>IFERROR(__xludf.DUMMYFUNCTION("""COMPUTED_VALUE"""),26287.0)</f>
        <v>26287</v>
      </c>
      <c r="C14100" s="9">
        <f>IFERROR(__xludf.DUMMYFUNCTION("""COMPUTED_VALUE"""),5.97)</f>
        <v>5.97</v>
      </c>
      <c r="H14100" s="17"/>
      <c r="K14100" s="17"/>
      <c r="N14100" s="17"/>
    </row>
    <row r="14101">
      <c r="B14101" s="11">
        <f>IFERROR(__xludf.DUMMYFUNCTION("""COMPUTED_VALUE"""),26284.0)</f>
        <v>26284</v>
      </c>
      <c r="C14101" s="9">
        <f>IFERROR(__xludf.DUMMYFUNCTION("""COMPUTED_VALUE"""),5.93)</f>
        <v>5.93</v>
      </c>
      <c r="H14101" s="17"/>
      <c r="K14101" s="17"/>
      <c r="N14101" s="17"/>
    </row>
    <row r="14102">
      <c r="B14102" s="11">
        <f>IFERROR(__xludf.DUMMYFUNCTION("""COMPUTED_VALUE"""),26283.0)</f>
        <v>26283</v>
      </c>
      <c r="C14102" s="9">
        <f>IFERROR(__xludf.DUMMYFUNCTION("""COMPUTED_VALUE"""),5.95)</f>
        <v>5.95</v>
      </c>
      <c r="H14102" s="17"/>
      <c r="K14102" s="17"/>
      <c r="N14102" s="17"/>
    </row>
    <row r="14103">
      <c r="B14103" s="11">
        <f>IFERROR(__xludf.DUMMYFUNCTION("""COMPUTED_VALUE"""),26282.0)</f>
        <v>26282</v>
      </c>
      <c r="C14103" s="9">
        <f>IFERROR(__xludf.DUMMYFUNCTION("""COMPUTED_VALUE"""),5.96)</f>
        <v>5.96</v>
      </c>
      <c r="H14103" s="17"/>
      <c r="K14103" s="17"/>
      <c r="N14103" s="17"/>
    </row>
    <row r="14104">
      <c r="B14104" s="11">
        <f>IFERROR(__xludf.DUMMYFUNCTION("""COMPUTED_VALUE"""),26281.0)</f>
        <v>26281</v>
      </c>
      <c r="C14104" s="9">
        <f>IFERROR(__xludf.DUMMYFUNCTION("""COMPUTED_VALUE"""),5.94)</f>
        <v>5.94</v>
      </c>
      <c r="H14104" s="17"/>
      <c r="K14104" s="17"/>
      <c r="N14104" s="17"/>
    </row>
    <row r="14105">
      <c r="B14105" s="11">
        <f>IFERROR(__xludf.DUMMYFUNCTION("""COMPUTED_VALUE"""),26280.0)</f>
        <v>26280</v>
      </c>
      <c r="C14105" s="9">
        <f>IFERROR(__xludf.DUMMYFUNCTION("""COMPUTED_VALUE"""),5.9)</f>
        <v>5.9</v>
      </c>
      <c r="H14105" s="17"/>
      <c r="K14105" s="17"/>
      <c r="N14105" s="17"/>
    </row>
    <row r="14106">
      <c r="B14106" s="11">
        <f>IFERROR(__xludf.DUMMYFUNCTION("""COMPUTED_VALUE"""),26277.0)</f>
        <v>26277</v>
      </c>
      <c r="C14106" s="9">
        <f>IFERROR(__xludf.DUMMYFUNCTION("""COMPUTED_VALUE"""),5.93)</f>
        <v>5.93</v>
      </c>
      <c r="H14106" s="17"/>
      <c r="K14106" s="17"/>
      <c r="N14106" s="17"/>
    </row>
    <row r="14107">
      <c r="B14107" s="11">
        <f>IFERROR(__xludf.DUMMYFUNCTION("""COMPUTED_VALUE"""),26276.0)</f>
        <v>26276</v>
      </c>
      <c r="C14107" s="9">
        <f>IFERROR(__xludf.DUMMYFUNCTION("""COMPUTED_VALUE"""),5.94)</f>
        <v>5.94</v>
      </c>
      <c r="H14107" s="17"/>
      <c r="K14107" s="17"/>
      <c r="N14107" s="17"/>
    </row>
    <row r="14108">
      <c r="B14108" s="11">
        <f>IFERROR(__xludf.DUMMYFUNCTION("""COMPUTED_VALUE"""),26275.0)</f>
        <v>26275</v>
      </c>
      <c r="C14108" s="9">
        <f>IFERROR(__xludf.DUMMYFUNCTION("""COMPUTED_VALUE"""),5.92)</f>
        <v>5.92</v>
      </c>
      <c r="H14108" s="17"/>
      <c r="K14108" s="17"/>
      <c r="N14108" s="17"/>
    </row>
    <row r="14109">
      <c r="B14109" s="11">
        <f>IFERROR(__xludf.DUMMYFUNCTION("""COMPUTED_VALUE"""),26274.0)</f>
        <v>26274</v>
      </c>
      <c r="C14109" s="9">
        <f>IFERROR(__xludf.DUMMYFUNCTION("""COMPUTED_VALUE"""),5.92)</f>
        <v>5.92</v>
      </c>
      <c r="H14109" s="17"/>
      <c r="K14109" s="17"/>
      <c r="N14109" s="17"/>
    </row>
    <row r="14110">
      <c r="B14110" s="11">
        <f>IFERROR(__xludf.DUMMYFUNCTION("""COMPUTED_VALUE"""),26273.0)</f>
        <v>26273</v>
      </c>
      <c r="C14110" s="9">
        <f>IFERROR(__xludf.DUMMYFUNCTION("""COMPUTED_VALUE"""),5.88)</f>
        <v>5.88</v>
      </c>
      <c r="H14110" s="17"/>
      <c r="K14110" s="17"/>
      <c r="N14110" s="17"/>
    </row>
    <row r="14111">
      <c r="B14111" s="11">
        <f>IFERROR(__xludf.DUMMYFUNCTION("""COMPUTED_VALUE"""),26270.0)</f>
        <v>26270</v>
      </c>
      <c r="C14111" s="9">
        <f>IFERROR(__xludf.DUMMYFUNCTION("""COMPUTED_VALUE"""),5.88)</f>
        <v>5.88</v>
      </c>
      <c r="H14111" s="17"/>
      <c r="K14111" s="17"/>
      <c r="N14111" s="17"/>
    </row>
    <row r="14112">
      <c r="B14112" s="11">
        <f>IFERROR(__xludf.DUMMYFUNCTION("""COMPUTED_VALUE"""),26269.0)</f>
        <v>26269</v>
      </c>
      <c r="C14112" s="9">
        <f>IFERROR(__xludf.DUMMYFUNCTION("""COMPUTED_VALUE"""),5.9)</f>
        <v>5.9</v>
      </c>
      <c r="H14112" s="17"/>
      <c r="K14112" s="17"/>
      <c r="N14112" s="17"/>
    </row>
    <row r="14113">
      <c r="B14113" s="11">
        <f>IFERROR(__xludf.DUMMYFUNCTION("""COMPUTED_VALUE"""),26268.0)</f>
        <v>26268</v>
      </c>
      <c r="C14113" s="9">
        <f>IFERROR(__xludf.DUMMYFUNCTION("""COMPUTED_VALUE"""),5.92)</f>
        <v>5.92</v>
      </c>
      <c r="H14113" s="17"/>
      <c r="K14113" s="17"/>
      <c r="N14113" s="17"/>
    </row>
    <row r="14114">
      <c r="B14114" s="11">
        <f>IFERROR(__xludf.DUMMYFUNCTION("""COMPUTED_VALUE"""),26267.0)</f>
        <v>26267</v>
      </c>
      <c r="C14114" s="9">
        <f>IFERROR(__xludf.DUMMYFUNCTION("""COMPUTED_VALUE"""),5.93)</f>
        <v>5.93</v>
      </c>
      <c r="H14114" s="17"/>
      <c r="K14114" s="17"/>
      <c r="N14114" s="17"/>
    </row>
    <row r="14115">
      <c r="B14115" s="11">
        <f>IFERROR(__xludf.DUMMYFUNCTION("""COMPUTED_VALUE"""),26266.0)</f>
        <v>26266</v>
      </c>
      <c r="C14115" s="9">
        <f>IFERROR(__xludf.DUMMYFUNCTION("""COMPUTED_VALUE"""),5.95)</f>
        <v>5.95</v>
      </c>
      <c r="H14115" s="17"/>
      <c r="K14115" s="17"/>
      <c r="N14115" s="17"/>
    </row>
    <row r="14116">
      <c r="B14116" s="11">
        <f>IFERROR(__xludf.DUMMYFUNCTION("""COMPUTED_VALUE"""),26263.0)</f>
        <v>26263</v>
      </c>
      <c r="C14116" s="9">
        <f>IFERROR(__xludf.DUMMYFUNCTION("""COMPUTED_VALUE"""),5.94)</f>
        <v>5.94</v>
      </c>
      <c r="H14116" s="17"/>
      <c r="K14116" s="17"/>
      <c r="N14116" s="17"/>
    </row>
    <row r="14117">
      <c r="B14117" s="11">
        <f>IFERROR(__xludf.DUMMYFUNCTION("""COMPUTED_VALUE"""),26262.0)</f>
        <v>26262</v>
      </c>
      <c r="C14117" s="9"/>
      <c r="H14117" s="17"/>
      <c r="K14117" s="17"/>
      <c r="N14117" s="17"/>
    </row>
    <row r="14118">
      <c r="B14118" s="11">
        <f>IFERROR(__xludf.DUMMYFUNCTION("""COMPUTED_VALUE"""),26261.0)</f>
        <v>26261</v>
      </c>
      <c r="C14118" s="9">
        <f>IFERROR(__xludf.DUMMYFUNCTION("""COMPUTED_VALUE"""),5.95)</f>
        <v>5.95</v>
      </c>
      <c r="H14118" s="17"/>
      <c r="K14118" s="17"/>
      <c r="N14118" s="17"/>
    </row>
    <row r="14119">
      <c r="B14119" s="11">
        <f>IFERROR(__xludf.DUMMYFUNCTION("""COMPUTED_VALUE"""),26260.0)</f>
        <v>26260</v>
      </c>
      <c r="C14119" s="9">
        <f>IFERROR(__xludf.DUMMYFUNCTION("""COMPUTED_VALUE"""),5.89)</f>
        <v>5.89</v>
      </c>
      <c r="H14119" s="17"/>
      <c r="K14119" s="17"/>
      <c r="N14119" s="17"/>
    </row>
    <row r="14120">
      <c r="B14120" s="11">
        <f>IFERROR(__xludf.DUMMYFUNCTION("""COMPUTED_VALUE"""),26259.0)</f>
        <v>26259</v>
      </c>
      <c r="C14120" s="9">
        <f>IFERROR(__xludf.DUMMYFUNCTION("""COMPUTED_VALUE"""),5.82)</f>
        <v>5.82</v>
      </c>
      <c r="H14120" s="17"/>
      <c r="K14120" s="17"/>
      <c r="N14120" s="17"/>
    </row>
    <row r="14121">
      <c r="B14121" s="11">
        <f>IFERROR(__xludf.DUMMYFUNCTION("""COMPUTED_VALUE"""),26256.0)</f>
        <v>26256</v>
      </c>
      <c r="C14121" s="9">
        <f>IFERROR(__xludf.DUMMYFUNCTION("""COMPUTED_VALUE"""),5.79)</f>
        <v>5.79</v>
      </c>
      <c r="H14121" s="17"/>
      <c r="K14121" s="17"/>
      <c r="N14121" s="17"/>
    </row>
    <row r="14122">
      <c r="B14122" s="11">
        <f>IFERROR(__xludf.DUMMYFUNCTION("""COMPUTED_VALUE"""),26255.0)</f>
        <v>26255</v>
      </c>
      <c r="C14122" s="9">
        <f>IFERROR(__xludf.DUMMYFUNCTION("""COMPUTED_VALUE"""),5.77)</f>
        <v>5.77</v>
      </c>
      <c r="H14122" s="17"/>
      <c r="K14122" s="17"/>
      <c r="N14122" s="17"/>
    </row>
    <row r="14123">
      <c r="B14123" s="11">
        <f>IFERROR(__xludf.DUMMYFUNCTION("""COMPUTED_VALUE"""),26254.0)</f>
        <v>26254</v>
      </c>
      <c r="C14123" s="9">
        <f>IFERROR(__xludf.DUMMYFUNCTION("""COMPUTED_VALUE"""),5.75)</f>
        <v>5.75</v>
      </c>
      <c r="H14123" s="17"/>
      <c r="K14123" s="17"/>
      <c r="N14123" s="17"/>
    </row>
    <row r="14124">
      <c r="B14124" s="11">
        <f>IFERROR(__xludf.DUMMYFUNCTION("""COMPUTED_VALUE"""),26253.0)</f>
        <v>26253</v>
      </c>
      <c r="C14124" s="9">
        <f>IFERROR(__xludf.DUMMYFUNCTION("""COMPUTED_VALUE"""),5.76)</f>
        <v>5.76</v>
      </c>
      <c r="H14124" s="17"/>
      <c r="K14124" s="17"/>
      <c r="N14124" s="17"/>
    </row>
    <row r="14125">
      <c r="B14125" s="11">
        <f>IFERROR(__xludf.DUMMYFUNCTION("""COMPUTED_VALUE"""),26252.0)</f>
        <v>26252</v>
      </c>
      <c r="C14125" s="9">
        <f>IFERROR(__xludf.DUMMYFUNCTION("""COMPUTED_VALUE"""),5.77)</f>
        <v>5.77</v>
      </c>
      <c r="H14125" s="17"/>
      <c r="K14125" s="17"/>
      <c r="N14125" s="17"/>
    </row>
    <row r="14126">
      <c r="B14126" s="11">
        <f>IFERROR(__xludf.DUMMYFUNCTION("""COMPUTED_VALUE"""),26249.0)</f>
        <v>26249</v>
      </c>
      <c r="C14126" s="9">
        <f>IFERROR(__xludf.DUMMYFUNCTION("""COMPUTED_VALUE"""),5.77)</f>
        <v>5.77</v>
      </c>
      <c r="H14126" s="17"/>
      <c r="K14126" s="17"/>
      <c r="N14126" s="17"/>
    </row>
    <row r="14127">
      <c r="B14127" s="11">
        <f>IFERROR(__xludf.DUMMYFUNCTION("""COMPUTED_VALUE"""),26248.0)</f>
        <v>26248</v>
      </c>
      <c r="C14127" s="9">
        <f>IFERROR(__xludf.DUMMYFUNCTION("""COMPUTED_VALUE"""),5.79)</f>
        <v>5.79</v>
      </c>
      <c r="H14127" s="17"/>
      <c r="K14127" s="17"/>
      <c r="N14127" s="17"/>
    </row>
    <row r="14128">
      <c r="B14128" s="11">
        <f>IFERROR(__xludf.DUMMYFUNCTION("""COMPUTED_VALUE"""),26247.0)</f>
        <v>26247</v>
      </c>
      <c r="C14128" s="9">
        <f>IFERROR(__xludf.DUMMYFUNCTION("""COMPUTED_VALUE"""),5.82)</f>
        <v>5.82</v>
      </c>
      <c r="H14128" s="17"/>
      <c r="K14128" s="17"/>
      <c r="N14128" s="17"/>
    </row>
    <row r="14129">
      <c r="B14129" s="11">
        <f>IFERROR(__xludf.DUMMYFUNCTION("""COMPUTED_VALUE"""),26246.0)</f>
        <v>26246</v>
      </c>
      <c r="C14129" s="9">
        <f>IFERROR(__xludf.DUMMYFUNCTION("""COMPUTED_VALUE"""),5.77)</f>
        <v>5.77</v>
      </c>
      <c r="H14129" s="17"/>
      <c r="K14129" s="17"/>
      <c r="N14129" s="17"/>
    </row>
    <row r="14130">
      <c r="B14130" s="11">
        <f>IFERROR(__xludf.DUMMYFUNCTION("""COMPUTED_VALUE"""),26245.0)</f>
        <v>26245</v>
      </c>
      <c r="C14130" s="9">
        <f>IFERROR(__xludf.DUMMYFUNCTION("""COMPUTED_VALUE"""),5.77)</f>
        <v>5.77</v>
      </c>
      <c r="H14130" s="17"/>
      <c r="K14130" s="17"/>
      <c r="N14130" s="17"/>
    </row>
    <row r="14131">
      <c r="B14131" s="11">
        <f>IFERROR(__xludf.DUMMYFUNCTION("""COMPUTED_VALUE"""),26242.0)</f>
        <v>26242</v>
      </c>
      <c r="C14131" s="9">
        <f>IFERROR(__xludf.DUMMYFUNCTION("""COMPUTED_VALUE"""),5.72)</f>
        <v>5.72</v>
      </c>
      <c r="H14131" s="17"/>
      <c r="K14131" s="17"/>
      <c r="N14131" s="17"/>
    </row>
    <row r="14132">
      <c r="B14132" s="11">
        <f>IFERROR(__xludf.DUMMYFUNCTION("""COMPUTED_VALUE"""),26241.0)</f>
        <v>26241</v>
      </c>
      <c r="C14132" s="9">
        <f>IFERROR(__xludf.DUMMYFUNCTION("""COMPUTED_VALUE"""),5.72)</f>
        <v>5.72</v>
      </c>
      <c r="H14132" s="17"/>
      <c r="K14132" s="17"/>
      <c r="N14132" s="17"/>
    </row>
    <row r="14133">
      <c r="B14133" s="11">
        <f>IFERROR(__xludf.DUMMYFUNCTION("""COMPUTED_VALUE"""),26240.0)</f>
        <v>26240</v>
      </c>
      <c r="C14133" s="9">
        <f>IFERROR(__xludf.DUMMYFUNCTION("""COMPUTED_VALUE"""),5.72)</f>
        <v>5.72</v>
      </c>
      <c r="H14133" s="17"/>
      <c r="K14133" s="17"/>
      <c r="N14133" s="17"/>
    </row>
    <row r="14134">
      <c r="B14134" s="11">
        <f>IFERROR(__xludf.DUMMYFUNCTION("""COMPUTED_VALUE"""),26239.0)</f>
        <v>26239</v>
      </c>
      <c r="C14134" s="9"/>
      <c r="H14134" s="17"/>
      <c r="K14134" s="17"/>
      <c r="N14134" s="17"/>
    </row>
    <row r="14135">
      <c r="B14135" s="11">
        <f>IFERROR(__xludf.DUMMYFUNCTION("""COMPUTED_VALUE"""),26238.0)</f>
        <v>26238</v>
      </c>
      <c r="C14135" s="9">
        <f>IFERROR(__xludf.DUMMYFUNCTION("""COMPUTED_VALUE"""),5.8)</f>
        <v>5.8</v>
      </c>
      <c r="H14135" s="17"/>
      <c r="K14135" s="17"/>
      <c r="N14135" s="17"/>
    </row>
    <row r="14136">
      <c r="B14136" s="11">
        <f>IFERROR(__xludf.DUMMYFUNCTION("""COMPUTED_VALUE"""),26235.0)</f>
        <v>26235</v>
      </c>
      <c r="C14136" s="9">
        <f>IFERROR(__xludf.DUMMYFUNCTION("""COMPUTED_VALUE"""),5.87)</f>
        <v>5.87</v>
      </c>
      <c r="H14136" s="17"/>
      <c r="K14136" s="17"/>
      <c r="N14136" s="17"/>
    </row>
    <row r="14137">
      <c r="B14137" s="11">
        <f>IFERROR(__xludf.DUMMYFUNCTION("""COMPUTED_VALUE"""),26234.0)</f>
        <v>26234</v>
      </c>
      <c r="C14137" s="9">
        <f>IFERROR(__xludf.DUMMYFUNCTION("""COMPUTED_VALUE"""),5.9)</f>
        <v>5.9</v>
      </c>
      <c r="H14137" s="17"/>
      <c r="K14137" s="17"/>
      <c r="N14137" s="17"/>
    </row>
    <row r="14138">
      <c r="B14138" s="11">
        <f>IFERROR(__xludf.DUMMYFUNCTION("""COMPUTED_VALUE"""),26233.0)</f>
        <v>26233</v>
      </c>
      <c r="C14138" s="9">
        <f>IFERROR(__xludf.DUMMYFUNCTION("""COMPUTED_VALUE"""),5.92)</f>
        <v>5.92</v>
      </c>
      <c r="H14138" s="17"/>
      <c r="K14138" s="17"/>
      <c r="N14138" s="17"/>
    </row>
    <row r="14139">
      <c r="B14139" s="11">
        <f>IFERROR(__xludf.DUMMYFUNCTION("""COMPUTED_VALUE"""),26232.0)</f>
        <v>26232</v>
      </c>
      <c r="C14139" s="9">
        <f>IFERROR(__xludf.DUMMYFUNCTION("""COMPUTED_VALUE"""),5.89)</f>
        <v>5.89</v>
      </c>
      <c r="H14139" s="17"/>
      <c r="K14139" s="17"/>
      <c r="N14139" s="17"/>
    </row>
    <row r="14140">
      <c r="B14140" s="11">
        <f>IFERROR(__xludf.DUMMYFUNCTION("""COMPUTED_VALUE"""),26231.0)</f>
        <v>26231</v>
      </c>
      <c r="C14140" s="9"/>
      <c r="H14140" s="17"/>
      <c r="K14140" s="17"/>
      <c r="N14140" s="17"/>
    </row>
    <row r="14141">
      <c r="B14141" s="11">
        <f>IFERROR(__xludf.DUMMYFUNCTION("""COMPUTED_VALUE"""),26228.0)</f>
        <v>26228</v>
      </c>
      <c r="C14141" s="9">
        <f>IFERROR(__xludf.DUMMYFUNCTION("""COMPUTED_VALUE"""),5.9)</f>
        <v>5.9</v>
      </c>
      <c r="H14141" s="17"/>
      <c r="K14141" s="17"/>
      <c r="N14141" s="17"/>
    </row>
    <row r="14142">
      <c r="B14142" s="11">
        <f>IFERROR(__xludf.DUMMYFUNCTION("""COMPUTED_VALUE"""),26227.0)</f>
        <v>26227</v>
      </c>
      <c r="C14142" s="9">
        <f>IFERROR(__xludf.DUMMYFUNCTION("""COMPUTED_VALUE"""),5.88)</f>
        <v>5.88</v>
      </c>
      <c r="H14142" s="17"/>
      <c r="K14142" s="17"/>
      <c r="N14142" s="17"/>
    </row>
    <row r="14143">
      <c r="B14143" s="11">
        <f>IFERROR(__xludf.DUMMYFUNCTION("""COMPUTED_VALUE"""),26226.0)</f>
        <v>26226</v>
      </c>
      <c r="C14143" s="9">
        <f>IFERROR(__xludf.DUMMYFUNCTION("""COMPUTED_VALUE"""),5.92)</f>
        <v>5.92</v>
      </c>
      <c r="H14143" s="17"/>
      <c r="K14143" s="17"/>
      <c r="N14143" s="17"/>
    </row>
    <row r="14144">
      <c r="B14144" s="11">
        <f>IFERROR(__xludf.DUMMYFUNCTION("""COMPUTED_VALUE"""),26225.0)</f>
        <v>26225</v>
      </c>
      <c r="C14144" s="9">
        <f>IFERROR(__xludf.DUMMYFUNCTION("""COMPUTED_VALUE"""),5.96)</f>
        <v>5.96</v>
      </c>
      <c r="H14144" s="17"/>
      <c r="K14144" s="17"/>
      <c r="N14144" s="17"/>
    </row>
    <row r="14145">
      <c r="B14145" s="11">
        <f>IFERROR(__xludf.DUMMYFUNCTION("""COMPUTED_VALUE"""),26224.0)</f>
        <v>26224</v>
      </c>
      <c r="C14145" s="9">
        <f>IFERROR(__xludf.DUMMYFUNCTION("""COMPUTED_VALUE"""),5.95)</f>
        <v>5.95</v>
      </c>
      <c r="H14145" s="17"/>
      <c r="K14145" s="17"/>
      <c r="N14145" s="17"/>
    </row>
    <row r="14146">
      <c r="B14146" s="11">
        <f>IFERROR(__xludf.DUMMYFUNCTION("""COMPUTED_VALUE"""),26221.0)</f>
        <v>26221</v>
      </c>
      <c r="C14146" s="9">
        <f>IFERROR(__xludf.DUMMYFUNCTION("""COMPUTED_VALUE"""),5.9)</f>
        <v>5.9</v>
      </c>
      <c r="H14146" s="17"/>
      <c r="K14146" s="17"/>
      <c r="N14146" s="17"/>
    </row>
    <row r="14147">
      <c r="B14147" s="11">
        <f>IFERROR(__xludf.DUMMYFUNCTION("""COMPUTED_VALUE"""),26220.0)</f>
        <v>26220</v>
      </c>
      <c r="C14147" s="9">
        <f>IFERROR(__xludf.DUMMYFUNCTION("""COMPUTED_VALUE"""),5.88)</f>
        <v>5.88</v>
      </c>
      <c r="H14147" s="17"/>
      <c r="K14147" s="17"/>
      <c r="N14147" s="17"/>
    </row>
    <row r="14148">
      <c r="B14148" s="11">
        <f>IFERROR(__xludf.DUMMYFUNCTION("""COMPUTED_VALUE"""),26219.0)</f>
        <v>26219</v>
      </c>
      <c r="C14148" s="9">
        <f>IFERROR(__xludf.DUMMYFUNCTION("""COMPUTED_VALUE"""),5.86)</f>
        <v>5.86</v>
      </c>
      <c r="H14148" s="17"/>
      <c r="K14148" s="17"/>
      <c r="N14148" s="17"/>
    </row>
    <row r="14149">
      <c r="B14149" s="11">
        <f>IFERROR(__xludf.DUMMYFUNCTION("""COMPUTED_VALUE"""),26218.0)</f>
        <v>26218</v>
      </c>
      <c r="C14149" s="9">
        <f>IFERROR(__xludf.DUMMYFUNCTION("""COMPUTED_VALUE"""),5.88)</f>
        <v>5.88</v>
      </c>
      <c r="H14149" s="17"/>
      <c r="K14149" s="17"/>
      <c r="N14149" s="17"/>
    </row>
    <row r="14150">
      <c r="B14150" s="11">
        <f>IFERROR(__xludf.DUMMYFUNCTION("""COMPUTED_VALUE"""),26217.0)</f>
        <v>26217</v>
      </c>
      <c r="C14150" s="9"/>
      <c r="H14150" s="17"/>
      <c r="K14150" s="17"/>
      <c r="N14150" s="17"/>
    </row>
    <row r="14151">
      <c r="B14151" s="11">
        <f>IFERROR(__xludf.DUMMYFUNCTION("""COMPUTED_VALUE"""),26214.0)</f>
        <v>26214</v>
      </c>
      <c r="C14151" s="9">
        <f>IFERROR(__xludf.DUMMYFUNCTION("""COMPUTED_VALUE"""),5.94)</f>
        <v>5.94</v>
      </c>
      <c r="H14151" s="17"/>
      <c r="K14151" s="17"/>
      <c r="N14151" s="17"/>
    </row>
    <row r="14152">
      <c r="B14152" s="11">
        <f>IFERROR(__xludf.DUMMYFUNCTION("""COMPUTED_VALUE"""),26213.0)</f>
        <v>26213</v>
      </c>
      <c r="C14152" s="9">
        <f>IFERROR(__xludf.DUMMYFUNCTION("""COMPUTED_VALUE"""),5.97)</f>
        <v>5.97</v>
      </c>
      <c r="H14152" s="17"/>
      <c r="K14152" s="17"/>
      <c r="N14152" s="17"/>
    </row>
    <row r="14153">
      <c r="B14153" s="11">
        <f>IFERROR(__xludf.DUMMYFUNCTION("""COMPUTED_VALUE"""),26212.0)</f>
        <v>26212</v>
      </c>
      <c r="C14153" s="9">
        <f>IFERROR(__xludf.DUMMYFUNCTION("""COMPUTED_VALUE"""),5.98)</f>
        <v>5.98</v>
      </c>
      <c r="H14153" s="17"/>
      <c r="K14153" s="17"/>
      <c r="N14153" s="17"/>
    </row>
    <row r="14154">
      <c r="B14154" s="11">
        <f>IFERROR(__xludf.DUMMYFUNCTION("""COMPUTED_VALUE"""),26211.0)</f>
        <v>26211</v>
      </c>
      <c r="C14154" s="9">
        <f>IFERROR(__xludf.DUMMYFUNCTION("""COMPUTED_VALUE"""),6.01)</f>
        <v>6.01</v>
      </c>
      <c r="H14154" s="17"/>
      <c r="K14154" s="17"/>
      <c r="N14154" s="17"/>
    </row>
    <row r="14155">
      <c r="B14155" s="11">
        <f>IFERROR(__xludf.DUMMYFUNCTION("""COMPUTED_VALUE"""),26210.0)</f>
        <v>26210</v>
      </c>
      <c r="C14155" s="9">
        <f>IFERROR(__xludf.DUMMYFUNCTION("""COMPUTED_VALUE"""),5.98)</f>
        <v>5.98</v>
      </c>
      <c r="H14155" s="17"/>
      <c r="K14155" s="17"/>
      <c r="N14155" s="17"/>
    </row>
    <row r="14156">
      <c r="B14156" s="11">
        <f>IFERROR(__xludf.DUMMYFUNCTION("""COMPUTED_VALUE"""),26207.0)</f>
        <v>26207</v>
      </c>
      <c r="C14156" s="9">
        <f>IFERROR(__xludf.DUMMYFUNCTION("""COMPUTED_VALUE"""),6.0)</f>
        <v>6</v>
      </c>
      <c r="H14156" s="17"/>
      <c r="K14156" s="17"/>
      <c r="N14156" s="17"/>
    </row>
    <row r="14157">
      <c r="B14157" s="11">
        <f>IFERROR(__xludf.DUMMYFUNCTION("""COMPUTED_VALUE"""),26206.0)</f>
        <v>26206</v>
      </c>
      <c r="C14157" s="9">
        <f>IFERROR(__xludf.DUMMYFUNCTION("""COMPUTED_VALUE"""),6.0)</f>
        <v>6</v>
      </c>
      <c r="H14157" s="17"/>
      <c r="K14157" s="17"/>
      <c r="N14157" s="17"/>
    </row>
    <row r="14158">
      <c r="B14158" s="11">
        <f>IFERROR(__xludf.DUMMYFUNCTION("""COMPUTED_VALUE"""),26205.0)</f>
        <v>26205</v>
      </c>
      <c r="C14158" s="9">
        <f>IFERROR(__xludf.DUMMYFUNCTION("""COMPUTED_VALUE"""),6.08)</f>
        <v>6.08</v>
      </c>
      <c r="H14158" s="17"/>
      <c r="K14158" s="17"/>
      <c r="N14158" s="17"/>
    </row>
    <row r="14159">
      <c r="B14159" s="11">
        <f>IFERROR(__xludf.DUMMYFUNCTION("""COMPUTED_VALUE"""),26204.0)</f>
        <v>26204</v>
      </c>
      <c r="C14159" s="9">
        <f>IFERROR(__xludf.DUMMYFUNCTION("""COMPUTED_VALUE"""),6.12)</f>
        <v>6.12</v>
      </c>
      <c r="H14159" s="17"/>
      <c r="K14159" s="17"/>
      <c r="N14159" s="17"/>
    </row>
    <row r="14160">
      <c r="B14160" s="11">
        <f>IFERROR(__xludf.DUMMYFUNCTION("""COMPUTED_VALUE"""),26203.0)</f>
        <v>26203</v>
      </c>
      <c r="C14160" s="9">
        <f>IFERROR(__xludf.DUMMYFUNCTION("""COMPUTED_VALUE"""),6.13)</f>
        <v>6.13</v>
      </c>
      <c r="H14160" s="17"/>
      <c r="K14160" s="17"/>
      <c r="N14160" s="17"/>
    </row>
    <row r="14161">
      <c r="B14161" s="11">
        <f>IFERROR(__xludf.DUMMYFUNCTION("""COMPUTED_VALUE"""),26200.0)</f>
        <v>26200</v>
      </c>
      <c r="C14161" s="9">
        <f>IFERROR(__xludf.DUMMYFUNCTION("""COMPUTED_VALUE"""),6.16)</f>
        <v>6.16</v>
      </c>
      <c r="H14161" s="17"/>
      <c r="K14161" s="17"/>
      <c r="N14161" s="17"/>
    </row>
    <row r="14162">
      <c r="B14162" s="11">
        <f>IFERROR(__xludf.DUMMYFUNCTION("""COMPUTED_VALUE"""),26199.0)</f>
        <v>26199</v>
      </c>
      <c r="C14162" s="9">
        <f>IFERROR(__xludf.DUMMYFUNCTION("""COMPUTED_VALUE"""),6.2)</f>
        <v>6.2</v>
      </c>
      <c r="H14162" s="17"/>
      <c r="K14162" s="17"/>
      <c r="N14162" s="17"/>
    </row>
    <row r="14163">
      <c r="B14163" s="11">
        <f>IFERROR(__xludf.DUMMYFUNCTION("""COMPUTED_VALUE"""),26198.0)</f>
        <v>26198</v>
      </c>
      <c r="C14163" s="9">
        <f>IFERROR(__xludf.DUMMYFUNCTION("""COMPUTED_VALUE"""),6.19)</f>
        <v>6.19</v>
      </c>
      <c r="H14163" s="17"/>
      <c r="K14163" s="17"/>
      <c r="N14163" s="17"/>
    </row>
    <row r="14164">
      <c r="B14164" s="11">
        <f>IFERROR(__xludf.DUMMYFUNCTION("""COMPUTED_VALUE"""),26197.0)</f>
        <v>26197</v>
      </c>
      <c r="C14164" s="9">
        <f>IFERROR(__xludf.DUMMYFUNCTION("""COMPUTED_VALUE"""),6.17)</f>
        <v>6.17</v>
      </c>
      <c r="H14164" s="17"/>
      <c r="K14164" s="17"/>
      <c r="N14164" s="17"/>
    </row>
    <row r="14165">
      <c r="B14165" s="11">
        <f>IFERROR(__xludf.DUMMYFUNCTION("""COMPUTED_VALUE"""),26196.0)</f>
        <v>26196</v>
      </c>
      <c r="C14165" s="9">
        <f>IFERROR(__xludf.DUMMYFUNCTION("""COMPUTED_VALUE"""),6.15)</f>
        <v>6.15</v>
      </c>
      <c r="H14165" s="17"/>
      <c r="K14165" s="17"/>
      <c r="N14165" s="17"/>
    </row>
    <row r="14166">
      <c r="B14166" s="11">
        <f>IFERROR(__xludf.DUMMYFUNCTION("""COMPUTED_VALUE"""),26193.0)</f>
        <v>26193</v>
      </c>
      <c r="C14166" s="9">
        <f>IFERROR(__xludf.DUMMYFUNCTION("""COMPUTED_VALUE"""),6.13)</f>
        <v>6.13</v>
      </c>
      <c r="H14166" s="17"/>
      <c r="K14166" s="17"/>
      <c r="N14166" s="17"/>
    </row>
    <row r="14167">
      <c r="B14167" s="11">
        <f>IFERROR(__xludf.DUMMYFUNCTION("""COMPUTED_VALUE"""),26192.0)</f>
        <v>26192</v>
      </c>
      <c r="C14167" s="9">
        <f>IFERROR(__xludf.DUMMYFUNCTION("""COMPUTED_VALUE"""),6.14)</f>
        <v>6.14</v>
      </c>
      <c r="H14167" s="17"/>
      <c r="K14167" s="17"/>
      <c r="N14167" s="17"/>
    </row>
    <row r="14168">
      <c r="B14168" s="11">
        <f>IFERROR(__xludf.DUMMYFUNCTION("""COMPUTED_VALUE"""),26191.0)</f>
        <v>26191</v>
      </c>
      <c r="C14168" s="9">
        <f>IFERROR(__xludf.DUMMYFUNCTION("""COMPUTED_VALUE"""),6.17)</f>
        <v>6.17</v>
      </c>
      <c r="H14168" s="17"/>
      <c r="K14168" s="17"/>
      <c r="N14168" s="17"/>
    </row>
    <row r="14169">
      <c r="B14169" s="11">
        <f>IFERROR(__xludf.DUMMYFUNCTION("""COMPUTED_VALUE"""),26190.0)</f>
        <v>26190</v>
      </c>
      <c r="C14169" s="9">
        <f>IFERROR(__xludf.DUMMYFUNCTION("""COMPUTED_VALUE"""),6.18)</f>
        <v>6.18</v>
      </c>
      <c r="H14169" s="17"/>
      <c r="K14169" s="17"/>
      <c r="N14169" s="17"/>
    </row>
    <row r="14170">
      <c r="B14170" s="11">
        <f>IFERROR(__xludf.DUMMYFUNCTION("""COMPUTED_VALUE"""),26189.0)</f>
        <v>26189</v>
      </c>
      <c r="C14170" s="9">
        <f>IFERROR(__xludf.DUMMYFUNCTION("""COMPUTED_VALUE"""),6.2)</f>
        <v>6.2</v>
      </c>
      <c r="H14170" s="17"/>
      <c r="K14170" s="17"/>
      <c r="N14170" s="17"/>
    </row>
    <row r="14171">
      <c r="B14171" s="11">
        <f>IFERROR(__xludf.DUMMYFUNCTION("""COMPUTED_VALUE"""),26186.0)</f>
        <v>26186</v>
      </c>
      <c r="C14171" s="9">
        <f>IFERROR(__xludf.DUMMYFUNCTION("""COMPUTED_VALUE"""),6.12)</f>
        <v>6.12</v>
      </c>
      <c r="H14171" s="17"/>
      <c r="K14171" s="17"/>
      <c r="N14171" s="17"/>
    </row>
    <row r="14172">
      <c r="B14172" s="11">
        <f>IFERROR(__xludf.DUMMYFUNCTION("""COMPUTED_VALUE"""),26185.0)</f>
        <v>26185</v>
      </c>
      <c r="C14172" s="9">
        <f>IFERROR(__xludf.DUMMYFUNCTION("""COMPUTED_VALUE"""),6.13)</f>
        <v>6.13</v>
      </c>
      <c r="H14172" s="17"/>
      <c r="K14172" s="17"/>
      <c r="N14172" s="17"/>
    </row>
    <row r="14173">
      <c r="B14173" s="11">
        <f>IFERROR(__xludf.DUMMYFUNCTION("""COMPUTED_VALUE"""),26184.0)</f>
        <v>26184</v>
      </c>
      <c r="C14173" s="9">
        <f>IFERROR(__xludf.DUMMYFUNCTION("""COMPUTED_VALUE"""),6.08)</f>
        <v>6.08</v>
      </c>
      <c r="H14173" s="17"/>
      <c r="K14173" s="17"/>
      <c r="N14173" s="17"/>
    </row>
    <row r="14174">
      <c r="B14174" s="11">
        <f>IFERROR(__xludf.DUMMYFUNCTION("""COMPUTED_VALUE"""),26183.0)</f>
        <v>26183</v>
      </c>
      <c r="C14174" s="9">
        <f>IFERROR(__xludf.DUMMYFUNCTION("""COMPUTED_VALUE"""),6.07)</f>
        <v>6.07</v>
      </c>
      <c r="H14174" s="17"/>
      <c r="K14174" s="17"/>
      <c r="N14174" s="17"/>
    </row>
    <row r="14175">
      <c r="B14175" s="11">
        <f>IFERROR(__xludf.DUMMYFUNCTION("""COMPUTED_VALUE"""),26182.0)</f>
        <v>26182</v>
      </c>
      <c r="C14175" s="9"/>
      <c r="H14175" s="17"/>
      <c r="K14175" s="17"/>
      <c r="N14175" s="17"/>
    </row>
    <row r="14176">
      <c r="B14176" s="11">
        <f>IFERROR(__xludf.DUMMYFUNCTION("""COMPUTED_VALUE"""),26179.0)</f>
        <v>26179</v>
      </c>
      <c r="C14176" s="9">
        <f>IFERROR(__xludf.DUMMYFUNCTION("""COMPUTED_VALUE"""),6.12)</f>
        <v>6.12</v>
      </c>
      <c r="H14176" s="17"/>
      <c r="K14176" s="17"/>
      <c r="N14176" s="17"/>
    </row>
    <row r="14177">
      <c r="B14177" s="11">
        <f>IFERROR(__xludf.DUMMYFUNCTION("""COMPUTED_VALUE"""),26178.0)</f>
        <v>26178</v>
      </c>
      <c r="C14177" s="9">
        <f>IFERROR(__xludf.DUMMYFUNCTION("""COMPUTED_VALUE"""),6.17)</f>
        <v>6.17</v>
      </c>
      <c r="H14177" s="17"/>
      <c r="K14177" s="17"/>
      <c r="N14177" s="17"/>
    </row>
    <row r="14178">
      <c r="B14178" s="11">
        <f>IFERROR(__xludf.DUMMYFUNCTION("""COMPUTED_VALUE"""),26177.0)</f>
        <v>26177</v>
      </c>
      <c r="C14178" s="9">
        <f>IFERROR(__xludf.DUMMYFUNCTION("""COMPUTED_VALUE"""),6.22)</f>
        <v>6.22</v>
      </c>
      <c r="H14178" s="17"/>
      <c r="K14178" s="17"/>
      <c r="N14178" s="17"/>
    </row>
    <row r="14179">
      <c r="B14179" s="11">
        <f>IFERROR(__xludf.DUMMYFUNCTION("""COMPUTED_VALUE"""),26176.0)</f>
        <v>26176</v>
      </c>
      <c r="C14179" s="9">
        <f>IFERROR(__xludf.DUMMYFUNCTION("""COMPUTED_VALUE"""),6.28)</f>
        <v>6.28</v>
      </c>
      <c r="H14179" s="17"/>
      <c r="K14179" s="17"/>
      <c r="N14179" s="17"/>
    </row>
    <row r="14180">
      <c r="B14180" s="11">
        <f>IFERROR(__xludf.DUMMYFUNCTION("""COMPUTED_VALUE"""),26175.0)</f>
        <v>26175</v>
      </c>
      <c r="C14180" s="9">
        <f>IFERROR(__xludf.DUMMYFUNCTION("""COMPUTED_VALUE"""),6.32)</f>
        <v>6.32</v>
      </c>
      <c r="H14180" s="17"/>
      <c r="K14180" s="17"/>
      <c r="N14180" s="17"/>
    </row>
    <row r="14181">
      <c r="B14181" s="11">
        <f>IFERROR(__xludf.DUMMYFUNCTION("""COMPUTED_VALUE"""),26172.0)</f>
        <v>26172</v>
      </c>
      <c r="C14181" s="9">
        <f>IFERROR(__xludf.DUMMYFUNCTION("""COMPUTED_VALUE"""),6.33)</f>
        <v>6.33</v>
      </c>
      <c r="H14181" s="17"/>
      <c r="K14181" s="17"/>
      <c r="N14181" s="17"/>
    </row>
    <row r="14182">
      <c r="B14182" s="11">
        <f>IFERROR(__xludf.DUMMYFUNCTION("""COMPUTED_VALUE"""),26171.0)</f>
        <v>26171</v>
      </c>
      <c r="C14182" s="9">
        <f>IFERROR(__xludf.DUMMYFUNCTION("""COMPUTED_VALUE"""),6.37)</f>
        <v>6.37</v>
      </c>
      <c r="H14182" s="17"/>
      <c r="K14182" s="17"/>
      <c r="N14182" s="17"/>
    </row>
    <row r="14183">
      <c r="B14183" s="11">
        <f>IFERROR(__xludf.DUMMYFUNCTION("""COMPUTED_VALUE"""),26170.0)</f>
        <v>26170</v>
      </c>
      <c r="C14183" s="9">
        <f>IFERROR(__xludf.DUMMYFUNCTION("""COMPUTED_VALUE"""),6.4)</f>
        <v>6.4</v>
      </c>
      <c r="H14183" s="17"/>
      <c r="K14183" s="17"/>
      <c r="N14183" s="17"/>
    </row>
    <row r="14184">
      <c r="B14184" s="11">
        <f>IFERROR(__xludf.DUMMYFUNCTION("""COMPUTED_VALUE"""),26169.0)</f>
        <v>26169</v>
      </c>
      <c r="C14184" s="9">
        <f>IFERROR(__xludf.DUMMYFUNCTION("""COMPUTED_VALUE"""),6.38)</f>
        <v>6.38</v>
      </c>
      <c r="H14184" s="17"/>
      <c r="K14184" s="17"/>
      <c r="N14184" s="17"/>
    </row>
    <row r="14185">
      <c r="B14185" s="11">
        <f>IFERROR(__xludf.DUMMYFUNCTION("""COMPUTED_VALUE"""),26168.0)</f>
        <v>26168</v>
      </c>
      <c r="C14185" s="9">
        <f>IFERROR(__xludf.DUMMYFUNCTION("""COMPUTED_VALUE"""),6.48)</f>
        <v>6.48</v>
      </c>
      <c r="H14185" s="17"/>
      <c r="K14185" s="17"/>
      <c r="N14185" s="17"/>
    </row>
    <row r="14186">
      <c r="B14186" s="11">
        <f>IFERROR(__xludf.DUMMYFUNCTION("""COMPUTED_VALUE"""),26165.0)</f>
        <v>26165</v>
      </c>
      <c r="C14186" s="9">
        <f>IFERROR(__xludf.DUMMYFUNCTION("""COMPUTED_VALUE"""),6.37)</f>
        <v>6.37</v>
      </c>
      <c r="H14186" s="17"/>
      <c r="K14186" s="17"/>
      <c r="N14186" s="17"/>
    </row>
    <row r="14187">
      <c r="B14187" s="11">
        <f>IFERROR(__xludf.DUMMYFUNCTION("""COMPUTED_VALUE"""),26164.0)</f>
        <v>26164</v>
      </c>
      <c r="C14187" s="9">
        <f>IFERROR(__xludf.DUMMYFUNCTION("""COMPUTED_VALUE"""),6.34)</f>
        <v>6.34</v>
      </c>
      <c r="H14187" s="17"/>
      <c r="K14187" s="17"/>
      <c r="N14187" s="17"/>
    </row>
    <row r="14188">
      <c r="B14188" s="11">
        <f>IFERROR(__xludf.DUMMYFUNCTION("""COMPUTED_VALUE"""),26163.0)</f>
        <v>26163</v>
      </c>
      <c r="C14188" s="9">
        <f>IFERROR(__xludf.DUMMYFUNCTION("""COMPUTED_VALUE"""),6.35)</f>
        <v>6.35</v>
      </c>
      <c r="H14188" s="17"/>
      <c r="K14188" s="17"/>
      <c r="N14188" s="17"/>
    </row>
    <row r="14189">
      <c r="B14189" s="11">
        <f>IFERROR(__xludf.DUMMYFUNCTION("""COMPUTED_VALUE"""),26162.0)</f>
        <v>26162</v>
      </c>
      <c r="C14189" s="9">
        <f>IFERROR(__xludf.DUMMYFUNCTION("""COMPUTED_VALUE"""),6.3)</f>
        <v>6.3</v>
      </c>
      <c r="H14189" s="17"/>
      <c r="K14189" s="17"/>
      <c r="N14189" s="17"/>
    </row>
    <row r="14190">
      <c r="B14190" s="11">
        <f>IFERROR(__xludf.DUMMYFUNCTION("""COMPUTED_VALUE"""),26161.0)</f>
        <v>26161</v>
      </c>
      <c r="C14190" s="9">
        <f>IFERROR(__xludf.DUMMYFUNCTION("""COMPUTED_VALUE"""),6.41)</f>
        <v>6.41</v>
      </c>
      <c r="H14190" s="17"/>
      <c r="K14190" s="17"/>
      <c r="N14190" s="17"/>
    </row>
    <row r="14191">
      <c r="B14191" s="11">
        <f>IFERROR(__xludf.DUMMYFUNCTION("""COMPUTED_VALUE"""),26158.0)</f>
        <v>26158</v>
      </c>
      <c r="C14191" s="9">
        <f>IFERROR(__xludf.DUMMYFUNCTION("""COMPUTED_VALUE"""),6.68)</f>
        <v>6.68</v>
      </c>
      <c r="H14191" s="17"/>
      <c r="K14191" s="17"/>
      <c r="N14191" s="17"/>
    </row>
    <row r="14192">
      <c r="B14192" s="11">
        <f>IFERROR(__xludf.DUMMYFUNCTION("""COMPUTED_VALUE"""),26157.0)</f>
        <v>26157</v>
      </c>
      <c r="C14192" s="9">
        <f>IFERROR(__xludf.DUMMYFUNCTION("""COMPUTED_VALUE"""),6.8)</f>
        <v>6.8</v>
      </c>
      <c r="H14192" s="17"/>
      <c r="K14192" s="17"/>
      <c r="N14192" s="17"/>
    </row>
    <row r="14193">
      <c r="B14193" s="11">
        <f>IFERROR(__xludf.DUMMYFUNCTION("""COMPUTED_VALUE"""),26156.0)</f>
        <v>26156</v>
      </c>
      <c r="C14193" s="9">
        <f>IFERROR(__xludf.DUMMYFUNCTION("""COMPUTED_VALUE"""),6.86)</f>
        <v>6.86</v>
      </c>
      <c r="H14193" s="17"/>
      <c r="K14193" s="17"/>
      <c r="N14193" s="17"/>
    </row>
    <row r="14194">
      <c r="B14194" s="11">
        <f>IFERROR(__xludf.DUMMYFUNCTION("""COMPUTED_VALUE"""),26155.0)</f>
        <v>26155</v>
      </c>
      <c r="C14194" s="9">
        <f>IFERROR(__xludf.DUMMYFUNCTION("""COMPUTED_VALUE"""),6.89)</f>
        <v>6.89</v>
      </c>
      <c r="H14194" s="17"/>
      <c r="K14194" s="17"/>
      <c r="N14194" s="17"/>
    </row>
    <row r="14195">
      <c r="B14195" s="11">
        <f>IFERROR(__xludf.DUMMYFUNCTION("""COMPUTED_VALUE"""),26154.0)</f>
        <v>26154</v>
      </c>
      <c r="C14195" s="9">
        <f>IFERROR(__xludf.DUMMYFUNCTION("""COMPUTED_VALUE"""),6.88)</f>
        <v>6.88</v>
      </c>
      <c r="H14195" s="17"/>
      <c r="K14195" s="17"/>
      <c r="N14195" s="17"/>
    </row>
    <row r="14196">
      <c r="B14196" s="11">
        <f>IFERROR(__xludf.DUMMYFUNCTION("""COMPUTED_VALUE"""),26151.0)</f>
        <v>26151</v>
      </c>
      <c r="C14196" s="9">
        <f>IFERROR(__xludf.DUMMYFUNCTION("""COMPUTED_VALUE"""),6.86)</f>
        <v>6.86</v>
      </c>
      <c r="H14196" s="17"/>
      <c r="K14196" s="17"/>
      <c r="N14196" s="17"/>
    </row>
    <row r="14197">
      <c r="B14197" s="11">
        <f>IFERROR(__xludf.DUMMYFUNCTION("""COMPUTED_VALUE"""),26150.0)</f>
        <v>26150</v>
      </c>
      <c r="C14197" s="9">
        <f>IFERROR(__xludf.DUMMYFUNCTION("""COMPUTED_VALUE"""),6.86)</f>
        <v>6.86</v>
      </c>
      <c r="H14197" s="17"/>
      <c r="K14197" s="17"/>
      <c r="N14197" s="17"/>
    </row>
    <row r="14198">
      <c r="B14198" s="11">
        <f>IFERROR(__xludf.DUMMYFUNCTION("""COMPUTED_VALUE"""),26149.0)</f>
        <v>26149</v>
      </c>
      <c r="C14198" s="9">
        <f>IFERROR(__xludf.DUMMYFUNCTION("""COMPUTED_VALUE"""),6.89)</f>
        <v>6.89</v>
      </c>
      <c r="H14198" s="17"/>
      <c r="K14198" s="17"/>
      <c r="N14198" s="17"/>
    </row>
    <row r="14199">
      <c r="B14199" s="11">
        <f>IFERROR(__xludf.DUMMYFUNCTION("""COMPUTED_VALUE"""),26148.0)</f>
        <v>26148</v>
      </c>
      <c r="C14199" s="9">
        <f>IFERROR(__xludf.DUMMYFUNCTION("""COMPUTED_VALUE"""),6.91)</f>
        <v>6.91</v>
      </c>
      <c r="H14199" s="17"/>
      <c r="K14199" s="17"/>
      <c r="N14199" s="17"/>
    </row>
    <row r="14200">
      <c r="B14200" s="11">
        <f>IFERROR(__xludf.DUMMYFUNCTION("""COMPUTED_VALUE"""),26147.0)</f>
        <v>26147</v>
      </c>
      <c r="C14200" s="9">
        <f>IFERROR(__xludf.DUMMYFUNCTION("""COMPUTED_VALUE"""),6.86)</f>
        <v>6.86</v>
      </c>
      <c r="H14200" s="17"/>
      <c r="K14200" s="17"/>
      <c r="N14200" s="17"/>
    </row>
    <row r="14201">
      <c r="B14201" s="11">
        <f>IFERROR(__xludf.DUMMYFUNCTION("""COMPUTED_VALUE"""),26144.0)</f>
        <v>26144</v>
      </c>
      <c r="C14201" s="9">
        <f>IFERROR(__xludf.DUMMYFUNCTION("""COMPUTED_VALUE"""),6.85)</f>
        <v>6.85</v>
      </c>
      <c r="H14201" s="17"/>
      <c r="K14201" s="17"/>
      <c r="N14201" s="17"/>
    </row>
    <row r="14202">
      <c r="B14202" s="11">
        <f>IFERROR(__xludf.DUMMYFUNCTION("""COMPUTED_VALUE"""),26143.0)</f>
        <v>26143</v>
      </c>
      <c r="C14202" s="9">
        <f>IFERROR(__xludf.DUMMYFUNCTION("""COMPUTED_VALUE"""),6.88)</f>
        <v>6.88</v>
      </c>
      <c r="H14202" s="17"/>
      <c r="K14202" s="17"/>
      <c r="N14202" s="17"/>
    </row>
    <row r="14203">
      <c r="B14203" s="11">
        <f>IFERROR(__xludf.DUMMYFUNCTION("""COMPUTED_VALUE"""),26142.0)</f>
        <v>26142</v>
      </c>
      <c r="C14203" s="9">
        <f>IFERROR(__xludf.DUMMYFUNCTION("""COMPUTED_VALUE"""),6.95)</f>
        <v>6.95</v>
      </c>
      <c r="H14203" s="17"/>
      <c r="K14203" s="17"/>
      <c r="N14203" s="17"/>
    </row>
    <row r="14204">
      <c r="B14204" s="11">
        <f>IFERROR(__xludf.DUMMYFUNCTION("""COMPUTED_VALUE"""),26141.0)</f>
        <v>26141</v>
      </c>
      <c r="C14204" s="9">
        <f>IFERROR(__xludf.DUMMYFUNCTION("""COMPUTED_VALUE"""),6.91)</f>
        <v>6.91</v>
      </c>
      <c r="H14204" s="17"/>
      <c r="K14204" s="17"/>
      <c r="N14204" s="17"/>
    </row>
    <row r="14205">
      <c r="B14205" s="11">
        <f>IFERROR(__xludf.DUMMYFUNCTION("""COMPUTED_VALUE"""),26140.0)</f>
        <v>26140</v>
      </c>
      <c r="C14205" s="9">
        <f>IFERROR(__xludf.DUMMYFUNCTION("""COMPUTED_VALUE"""),6.86)</f>
        <v>6.86</v>
      </c>
      <c r="H14205" s="17"/>
      <c r="K14205" s="17"/>
      <c r="N14205" s="17"/>
    </row>
    <row r="14206">
      <c r="B14206" s="11">
        <f>IFERROR(__xludf.DUMMYFUNCTION("""COMPUTED_VALUE"""),26137.0)</f>
        <v>26137</v>
      </c>
      <c r="C14206" s="9">
        <f>IFERROR(__xludf.DUMMYFUNCTION("""COMPUTED_VALUE"""),6.84)</f>
        <v>6.84</v>
      </c>
      <c r="H14206" s="17"/>
      <c r="K14206" s="17"/>
      <c r="N14206" s="17"/>
    </row>
    <row r="14207">
      <c r="B14207" s="11">
        <f>IFERROR(__xludf.DUMMYFUNCTION("""COMPUTED_VALUE"""),26136.0)</f>
        <v>26136</v>
      </c>
      <c r="C14207" s="9">
        <f>IFERROR(__xludf.DUMMYFUNCTION("""COMPUTED_VALUE"""),6.79)</f>
        <v>6.79</v>
      </c>
      <c r="H14207" s="17"/>
      <c r="K14207" s="17"/>
      <c r="N14207" s="17"/>
    </row>
    <row r="14208">
      <c r="B14208" s="11">
        <f>IFERROR(__xludf.DUMMYFUNCTION("""COMPUTED_VALUE"""),26135.0)</f>
        <v>26135</v>
      </c>
      <c r="C14208" s="9">
        <f>IFERROR(__xludf.DUMMYFUNCTION("""COMPUTED_VALUE"""),6.7)</f>
        <v>6.7</v>
      </c>
      <c r="H14208" s="17"/>
      <c r="K14208" s="17"/>
      <c r="N14208" s="17"/>
    </row>
    <row r="14209">
      <c r="B14209" s="11">
        <f>IFERROR(__xludf.DUMMYFUNCTION("""COMPUTED_VALUE"""),26134.0)</f>
        <v>26134</v>
      </c>
      <c r="C14209" s="9">
        <f>IFERROR(__xludf.DUMMYFUNCTION("""COMPUTED_VALUE"""),6.7)</f>
        <v>6.7</v>
      </c>
      <c r="H14209" s="17"/>
      <c r="K14209" s="17"/>
      <c r="N14209" s="17"/>
    </row>
    <row r="14210">
      <c r="B14210" s="11">
        <f>IFERROR(__xludf.DUMMYFUNCTION("""COMPUTED_VALUE"""),26133.0)</f>
        <v>26133</v>
      </c>
      <c r="C14210" s="9">
        <f>IFERROR(__xludf.DUMMYFUNCTION("""COMPUTED_VALUE"""),6.71)</f>
        <v>6.71</v>
      </c>
      <c r="H14210" s="17"/>
      <c r="K14210" s="17"/>
      <c r="N14210" s="17"/>
    </row>
    <row r="14211">
      <c r="B14211" s="11">
        <f>IFERROR(__xludf.DUMMYFUNCTION("""COMPUTED_VALUE"""),26130.0)</f>
        <v>26130</v>
      </c>
      <c r="C14211" s="9">
        <f>IFERROR(__xludf.DUMMYFUNCTION("""COMPUTED_VALUE"""),6.66)</f>
        <v>6.66</v>
      </c>
      <c r="H14211" s="17"/>
      <c r="K14211" s="17"/>
      <c r="N14211" s="17"/>
    </row>
    <row r="14212">
      <c r="B14212" s="11">
        <f>IFERROR(__xludf.DUMMYFUNCTION("""COMPUTED_VALUE"""),26129.0)</f>
        <v>26129</v>
      </c>
      <c r="C14212" s="9">
        <f>IFERROR(__xludf.DUMMYFUNCTION("""COMPUTED_VALUE"""),6.59)</f>
        <v>6.59</v>
      </c>
      <c r="H14212" s="17"/>
      <c r="K14212" s="17"/>
      <c r="N14212" s="17"/>
    </row>
    <row r="14213">
      <c r="B14213" s="11">
        <f>IFERROR(__xludf.DUMMYFUNCTION("""COMPUTED_VALUE"""),26128.0)</f>
        <v>26128</v>
      </c>
      <c r="C14213" s="9">
        <f>IFERROR(__xludf.DUMMYFUNCTION("""COMPUTED_VALUE"""),6.6)</f>
        <v>6.6</v>
      </c>
      <c r="H14213" s="17"/>
      <c r="K14213" s="17"/>
      <c r="N14213" s="17"/>
    </row>
    <row r="14214">
      <c r="B14214" s="11">
        <f>IFERROR(__xludf.DUMMYFUNCTION("""COMPUTED_VALUE"""),26127.0)</f>
        <v>26127</v>
      </c>
      <c r="C14214" s="9">
        <f>IFERROR(__xludf.DUMMYFUNCTION("""COMPUTED_VALUE"""),6.61)</f>
        <v>6.61</v>
      </c>
      <c r="H14214" s="17"/>
      <c r="K14214" s="17"/>
      <c r="N14214" s="17"/>
    </row>
    <row r="14215">
      <c r="B14215" s="11">
        <f>IFERROR(__xludf.DUMMYFUNCTION("""COMPUTED_VALUE"""),26126.0)</f>
        <v>26126</v>
      </c>
      <c r="C14215" s="9">
        <f>IFERROR(__xludf.DUMMYFUNCTION("""COMPUTED_VALUE"""),6.6)</f>
        <v>6.6</v>
      </c>
      <c r="H14215" s="17"/>
      <c r="K14215" s="17"/>
      <c r="N14215" s="17"/>
    </row>
    <row r="14216">
      <c r="B14216" s="11">
        <f>IFERROR(__xludf.DUMMYFUNCTION("""COMPUTED_VALUE"""),26123.0)</f>
        <v>26123</v>
      </c>
      <c r="C14216" s="9">
        <f>IFERROR(__xludf.DUMMYFUNCTION("""COMPUTED_VALUE"""),6.68)</f>
        <v>6.68</v>
      </c>
      <c r="H14216" s="17"/>
      <c r="K14216" s="17"/>
      <c r="N14216" s="17"/>
    </row>
    <row r="14217">
      <c r="B14217" s="11">
        <f>IFERROR(__xludf.DUMMYFUNCTION("""COMPUTED_VALUE"""),26122.0)</f>
        <v>26122</v>
      </c>
      <c r="C14217" s="9">
        <f>IFERROR(__xludf.DUMMYFUNCTION("""COMPUTED_VALUE"""),6.67)</f>
        <v>6.67</v>
      </c>
      <c r="H14217" s="17"/>
      <c r="K14217" s="17"/>
      <c r="N14217" s="17"/>
    </row>
    <row r="14218">
      <c r="B14218" s="11">
        <f>IFERROR(__xludf.DUMMYFUNCTION("""COMPUTED_VALUE"""),26121.0)</f>
        <v>26121</v>
      </c>
      <c r="C14218" s="9">
        <f>IFERROR(__xludf.DUMMYFUNCTION("""COMPUTED_VALUE"""),6.66)</f>
        <v>6.66</v>
      </c>
      <c r="H14218" s="17"/>
      <c r="K14218" s="17"/>
      <c r="N14218" s="17"/>
    </row>
    <row r="14219">
      <c r="B14219" s="11">
        <f>IFERROR(__xludf.DUMMYFUNCTION("""COMPUTED_VALUE"""),26120.0)</f>
        <v>26120</v>
      </c>
      <c r="C14219" s="9">
        <f>IFERROR(__xludf.DUMMYFUNCTION("""COMPUTED_VALUE"""),6.68)</f>
        <v>6.68</v>
      </c>
      <c r="H14219" s="17"/>
      <c r="K14219" s="17"/>
      <c r="N14219" s="17"/>
    </row>
    <row r="14220">
      <c r="B14220" s="11">
        <f>IFERROR(__xludf.DUMMYFUNCTION("""COMPUTED_VALUE"""),26119.0)</f>
        <v>26119</v>
      </c>
      <c r="C14220" s="9"/>
      <c r="H14220" s="17"/>
      <c r="K14220" s="17"/>
      <c r="N14220" s="17"/>
    </row>
    <row r="14221">
      <c r="B14221" s="11">
        <f>IFERROR(__xludf.DUMMYFUNCTION("""COMPUTED_VALUE"""),26116.0)</f>
        <v>26116</v>
      </c>
      <c r="C14221" s="9">
        <f>IFERROR(__xludf.DUMMYFUNCTION("""COMPUTED_VALUE"""),6.69)</f>
        <v>6.69</v>
      </c>
      <c r="H14221" s="17"/>
      <c r="K14221" s="17"/>
      <c r="N14221" s="17"/>
    </row>
    <row r="14222">
      <c r="B14222" s="11">
        <f>IFERROR(__xludf.DUMMYFUNCTION("""COMPUTED_VALUE"""),26115.0)</f>
        <v>26115</v>
      </c>
      <c r="C14222" s="9">
        <f>IFERROR(__xludf.DUMMYFUNCTION("""COMPUTED_VALUE"""),6.69)</f>
        <v>6.69</v>
      </c>
      <c r="H14222" s="17"/>
      <c r="K14222" s="17"/>
      <c r="N14222" s="17"/>
    </row>
    <row r="14223">
      <c r="B14223" s="11">
        <f>IFERROR(__xludf.DUMMYFUNCTION("""COMPUTED_VALUE"""),26114.0)</f>
        <v>26114</v>
      </c>
      <c r="C14223" s="9">
        <f>IFERROR(__xludf.DUMMYFUNCTION("""COMPUTED_VALUE"""),6.7)</f>
        <v>6.7</v>
      </c>
      <c r="H14223" s="17"/>
      <c r="K14223" s="17"/>
      <c r="N14223" s="17"/>
    </row>
    <row r="14224">
      <c r="B14224" s="11">
        <f>IFERROR(__xludf.DUMMYFUNCTION("""COMPUTED_VALUE"""),26113.0)</f>
        <v>26113</v>
      </c>
      <c r="C14224" s="9">
        <f>IFERROR(__xludf.DUMMYFUNCTION("""COMPUTED_VALUE"""),6.67)</f>
        <v>6.67</v>
      </c>
      <c r="H14224" s="17"/>
      <c r="K14224" s="17"/>
      <c r="N14224" s="17"/>
    </row>
    <row r="14225">
      <c r="B14225" s="11">
        <f>IFERROR(__xludf.DUMMYFUNCTION("""COMPUTED_VALUE"""),26112.0)</f>
        <v>26112</v>
      </c>
      <c r="C14225" s="9">
        <f>IFERROR(__xludf.DUMMYFUNCTION("""COMPUTED_VALUE"""),6.64)</f>
        <v>6.64</v>
      </c>
      <c r="H14225" s="17"/>
      <c r="K14225" s="17"/>
      <c r="N14225" s="17"/>
    </row>
    <row r="14226">
      <c r="B14226" s="11">
        <f>IFERROR(__xludf.DUMMYFUNCTION("""COMPUTED_VALUE"""),26109.0)</f>
        <v>26109</v>
      </c>
      <c r="C14226" s="9">
        <f>IFERROR(__xludf.DUMMYFUNCTION("""COMPUTED_VALUE"""),6.62)</f>
        <v>6.62</v>
      </c>
      <c r="H14226" s="17"/>
      <c r="K14226" s="17"/>
      <c r="N14226" s="17"/>
    </row>
    <row r="14227">
      <c r="B14227" s="11">
        <f>IFERROR(__xludf.DUMMYFUNCTION("""COMPUTED_VALUE"""),26108.0)</f>
        <v>26108</v>
      </c>
      <c r="C14227" s="9">
        <f>IFERROR(__xludf.DUMMYFUNCTION("""COMPUTED_VALUE"""),6.61)</f>
        <v>6.61</v>
      </c>
      <c r="H14227" s="17"/>
      <c r="K14227" s="17"/>
      <c r="N14227" s="17"/>
    </row>
    <row r="14228">
      <c r="B14228" s="11">
        <f>IFERROR(__xludf.DUMMYFUNCTION("""COMPUTED_VALUE"""),26107.0)</f>
        <v>26107</v>
      </c>
      <c r="C14228" s="9">
        <f>IFERROR(__xludf.DUMMYFUNCTION("""COMPUTED_VALUE"""),6.61)</f>
        <v>6.61</v>
      </c>
      <c r="H14228" s="17"/>
      <c r="K14228" s="17"/>
      <c r="N14228" s="17"/>
    </row>
    <row r="14229">
      <c r="B14229" s="11">
        <f>IFERROR(__xludf.DUMMYFUNCTION("""COMPUTED_VALUE"""),26106.0)</f>
        <v>26106</v>
      </c>
      <c r="C14229" s="9">
        <f>IFERROR(__xludf.DUMMYFUNCTION("""COMPUTED_VALUE"""),6.62)</f>
        <v>6.62</v>
      </c>
      <c r="H14229" s="17"/>
      <c r="K14229" s="17"/>
      <c r="N14229" s="17"/>
    </row>
    <row r="14230">
      <c r="B14230" s="11">
        <f>IFERROR(__xludf.DUMMYFUNCTION("""COMPUTED_VALUE"""),26105.0)</f>
        <v>26105</v>
      </c>
      <c r="C14230" s="9">
        <f>IFERROR(__xludf.DUMMYFUNCTION("""COMPUTED_VALUE"""),6.53)</f>
        <v>6.53</v>
      </c>
      <c r="H14230" s="17"/>
      <c r="K14230" s="17"/>
      <c r="N14230" s="17"/>
    </row>
    <row r="14231">
      <c r="B14231" s="11">
        <f>IFERROR(__xludf.DUMMYFUNCTION("""COMPUTED_VALUE"""),26102.0)</f>
        <v>26102</v>
      </c>
      <c r="C14231" s="9">
        <f>IFERROR(__xludf.DUMMYFUNCTION("""COMPUTED_VALUE"""),6.58)</f>
        <v>6.58</v>
      </c>
      <c r="H14231" s="17"/>
      <c r="K14231" s="17"/>
      <c r="N14231" s="17"/>
    </row>
    <row r="14232">
      <c r="B14232" s="11">
        <f>IFERROR(__xludf.DUMMYFUNCTION("""COMPUTED_VALUE"""),26101.0)</f>
        <v>26101</v>
      </c>
      <c r="C14232" s="9">
        <f>IFERROR(__xludf.DUMMYFUNCTION("""COMPUTED_VALUE"""),6.68)</f>
        <v>6.68</v>
      </c>
      <c r="H14232" s="17"/>
      <c r="K14232" s="17"/>
      <c r="N14232" s="17"/>
    </row>
    <row r="14233">
      <c r="B14233" s="11">
        <f>IFERROR(__xludf.DUMMYFUNCTION("""COMPUTED_VALUE"""),26100.0)</f>
        <v>26100</v>
      </c>
      <c r="C14233" s="9">
        <f>IFERROR(__xludf.DUMMYFUNCTION("""COMPUTED_VALUE"""),6.68)</f>
        <v>6.68</v>
      </c>
      <c r="H14233" s="17"/>
      <c r="K14233" s="17"/>
      <c r="N14233" s="17"/>
    </row>
    <row r="14234">
      <c r="B14234" s="11">
        <f>IFERROR(__xludf.DUMMYFUNCTION("""COMPUTED_VALUE"""),26099.0)</f>
        <v>26099</v>
      </c>
      <c r="C14234" s="9">
        <f>IFERROR(__xludf.DUMMYFUNCTION("""COMPUTED_VALUE"""),6.73)</f>
        <v>6.73</v>
      </c>
      <c r="H14234" s="17"/>
      <c r="K14234" s="17"/>
      <c r="N14234" s="17"/>
    </row>
    <row r="14235">
      <c r="B14235" s="11">
        <f>IFERROR(__xludf.DUMMYFUNCTION("""COMPUTED_VALUE"""),26098.0)</f>
        <v>26098</v>
      </c>
      <c r="C14235" s="9">
        <f>IFERROR(__xludf.DUMMYFUNCTION("""COMPUTED_VALUE"""),6.63)</f>
        <v>6.63</v>
      </c>
      <c r="H14235" s="17"/>
      <c r="K14235" s="17"/>
      <c r="N14235" s="17"/>
    </row>
    <row r="14236">
      <c r="B14236" s="11">
        <f>IFERROR(__xludf.DUMMYFUNCTION("""COMPUTED_VALUE"""),26095.0)</f>
        <v>26095</v>
      </c>
      <c r="C14236" s="9">
        <f>IFERROR(__xludf.DUMMYFUNCTION("""COMPUTED_VALUE"""),6.5)</f>
        <v>6.5</v>
      </c>
      <c r="H14236" s="17"/>
      <c r="K14236" s="17"/>
      <c r="N14236" s="17"/>
    </row>
    <row r="14237">
      <c r="B14237" s="11">
        <f>IFERROR(__xludf.DUMMYFUNCTION("""COMPUTED_VALUE"""),26094.0)</f>
        <v>26094</v>
      </c>
      <c r="C14237" s="9">
        <f>IFERROR(__xludf.DUMMYFUNCTION("""COMPUTED_VALUE"""),6.48)</f>
        <v>6.48</v>
      </c>
      <c r="H14237" s="17"/>
      <c r="K14237" s="17"/>
      <c r="N14237" s="17"/>
    </row>
    <row r="14238">
      <c r="B14238" s="11">
        <f>IFERROR(__xludf.DUMMYFUNCTION("""COMPUTED_VALUE"""),26093.0)</f>
        <v>26093</v>
      </c>
      <c r="C14238" s="9">
        <f>IFERROR(__xludf.DUMMYFUNCTION("""COMPUTED_VALUE"""),6.44)</f>
        <v>6.44</v>
      </c>
      <c r="H14238" s="17"/>
      <c r="K14238" s="17"/>
      <c r="N14238" s="17"/>
    </row>
    <row r="14239">
      <c r="B14239" s="11">
        <f>IFERROR(__xludf.DUMMYFUNCTION("""COMPUTED_VALUE"""),26092.0)</f>
        <v>26092</v>
      </c>
      <c r="C14239" s="9">
        <f>IFERROR(__xludf.DUMMYFUNCTION("""COMPUTED_VALUE"""),6.38)</f>
        <v>6.38</v>
      </c>
      <c r="H14239" s="17"/>
      <c r="K14239" s="17"/>
      <c r="N14239" s="17"/>
    </row>
    <row r="14240">
      <c r="B14240" s="11">
        <f>IFERROR(__xludf.DUMMYFUNCTION("""COMPUTED_VALUE"""),26091.0)</f>
        <v>26091</v>
      </c>
      <c r="C14240" s="9">
        <f>IFERROR(__xludf.DUMMYFUNCTION("""COMPUTED_VALUE"""),6.34)</f>
        <v>6.34</v>
      </c>
      <c r="H14240" s="17"/>
      <c r="K14240" s="17"/>
      <c r="N14240" s="17"/>
    </row>
    <row r="14241">
      <c r="B14241" s="11">
        <f>IFERROR(__xludf.DUMMYFUNCTION("""COMPUTED_VALUE"""),26088.0)</f>
        <v>26088</v>
      </c>
      <c r="C14241" s="9">
        <f>IFERROR(__xludf.DUMMYFUNCTION("""COMPUTED_VALUE"""),6.26)</f>
        <v>6.26</v>
      </c>
      <c r="H14241" s="17"/>
      <c r="K14241" s="17"/>
      <c r="N14241" s="17"/>
    </row>
    <row r="14242">
      <c r="B14242" s="11">
        <f>IFERROR(__xludf.DUMMYFUNCTION("""COMPUTED_VALUE"""),26087.0)</f>
        <v>26087</v>
      </c>
      <c r="C14242" s="9">
        <f>IFERROR(__xludf.DUMMYFUNCTION("""COMPUTED_VALUE"""),6.19)</f>
        <v>6.19</v>
      </c>
      <c r="H14242" s="17"/>
      <c r="K14242" s="17"/>
      <c r="N14242" s="17"/>
    </row>
    <row r="14243">
      <c r="B14243" s="11">
        <f>IFERROR(__xludf.DUMMYFUNCTION("""COMPUTED_VALUE"""),26086.0)</f>
        <v>26086</v>
      </c>
      <c r="C14243" s="9">
        <f>IFERROR(__xludf.DUMMYFUNCTION("""COMPUTED_VALUE"""),6.24)</f>
        <v>6.24</v>
      </c>
      <c r="H14243" s="17"/>
      <c r="K14243" s="17"/>
      <c r="N14243" s="17"/>
    </row>
    <row r="14244">
      <c r="B14244" s="11">
        <f>IFERROR(__xludf.DUMMYFUNCTION("""COMPUTED_VALUE"""),26085.0)</f>
        <v>26085</v>
      </c>
      <c r="C14244" s="9">
        <f>IFERROR(__xludf.DUMMYFUNCTION("""COMPUTED_VALUE"""),6.36)</f>
        <v>6.36</v>
      </c>
      <c r="H14244" s="17"/>
      <c r="K14244" s="17"/>
      <c r="N14244" s="17"/>
    </row>
    <row r="14245">
      <c r="B14245" s="11">
        <f>IFERROR(__xludf.DUMMYFUNCTION("""COMPUTED_VALUE"""),26084.0)</f>
        <v>26084</v>
      </c>
      <c r="C14245" s="9"/>
      <c r="H14245" s="17"/>
      <c r="K14245" s="17"/>
      <c r="N14245" s="17"/>
    </row>
    <row r="14246">
      <c r="B14246" s="11">
        <f>IFERROR(__xludf.DUMMYFUNCTION("""COMPUTED_VALUE"""),26081.0)</f>
        <v>26081</v>
      </c>
      <c r="C14246" s="9">
        <f>IFERROR(__xludf.DUMMYFUNCTION("""COMPUTED_VALUE"""),6.38)</f>
        <v>6.38</v>
      </c>
      <c r="H14246" s="17"/>
      <c r="K14246" s="17"/>
      <c r="N14246" s="17"/>
    </row>
    <row r="14247">
      <c r="B14247" s="11">
        <f>IFERROR(__xludf.DUMMYFUNCTION("""COMPUTED_VALUE"""),26080.0)</f>
        <v>26080</v>
      </c>
      <c r="C14247" s="9">
        <f>IFERROR(__xludf.DUMMYFUNCTION("""COMPUTED_VALUE"""),6.35)</f>
        <v>6.35</v>
      </c>
      <c r="H14247" s="17"/>
      <c r="K14247" s="17"/>
      <c r="N14247" s="17"/>
    </row>
    <row r="14248">
      <c r="B14248" s="11">
        <f>IFERROR(__xludf.DUMMYFUNCTION("""COMPUTED_VALUE"""),26079.0)</f>
        <v>26079</v>
      </c>
      <c r="C14248" s="9">
        <f>IFERROR(__xludf.DUMMYFUNCTION("""COMPUTED_VALUE"""),6.37)</f>
        <v>6.37</v>
      </c>
      <c r="H14248" s="17"/>
      <c r="K14248" s="17"/>
      <c r="N14248" s="17"/>
    </row>
    <row r="14249">
      <c r="B14249" s="11">
        <f>IFERROR(__xludf.DUMMYFUNCTION("""COMPUTED_VALUE"""),26078.0)</f>
        <v>26078</v>
      </c>
      <c r="C14249" s="9">
        <f>IFERROR(__xludf.DUMMYFUNCTION("""COMPUTED_VALUE"""),6.44)</f>
        <v>6.44</v>
      </c>
      <c r="H14249" s="17"/>
      <c r="K14249" s="17"/>
      <c r="N14249" s="17"/>
    </row>
    <row r="14250">
      <c r="B14250" s="11">
        <f>IFERROR(__xludf.DUMMYFUNCTION("""COMPUTED_VALUE"""),26077.0)</f>
        <v>26077</v>
      </c>
      <c r="C14250" s="9">
        <f>IFERROR(__xludf.DUMMYFUNCTION("""COMPUTED_VALUE"""),6.49)</f>
        <v>6.49</v>
      </c>
      <c r="H14250" s="17"/>
      <c r="K14250" s="17"/>
      <c r="N14250" s="17"/>
    </row>
    <row r="14251">
      <c r="B14251" s="11">
        <f>IFERROR(__xludf.DUMMYFUNCTION("""COMPUTED_VALUE"""),26074.0)</f>
        <v>26074</v>
      </c>
      <c r="C14251" s="9">
        <f>IFERROR(__xludf.DUMMYFUNCTION("""COMPUTED_VALUE"""),6.53)</f>
        <v>6.53</v>
      </c>
      <c r="H14251" s="17"/>
      <c r="K14251" s="17"/>
      <c r="N14251" s="17"/>
    </row>
    <row r="14252">
      <c r="B14252" s="11">
        <f>IFERROR(__xludf.DUMMYFUNCTION("""COMPUTED_VALUE"""),26073.0)</f>
        <v>26073</v>
      </c>
      <c r="C14252" s="9">
        <f>IFERROR(__xludf.DUMMYFUNCTION("""COMPUTED_VALUE"""),6.49)</f>
        <v>6.49</v>
      </c>
      <c r="H14252" s="17"/>
      <c r="K14252" s="17"/>
      <c r="N14252" s="17"/>
    </row>
    <row r="14253">
      <c r="B14253" s="11">
        <f>IFERROR(__xludf.DUMMYFUNCTION("""COMPUTED_VALUE"""),26072.0)</f>
        <v>26072</v>
      </c>
      <c r="C14253" s="9">
        <f>IFERROR(__xludf.DUMMYFUNCTION("""COMPUTED_VALUE"""),6.6)</f>
        <v>6.6</v>
      </c>
      <c r="H14253" s="17"/>
      <c r="K14253" s="17"/>
      <c r="N14253" s="17"/>
    </row>
    <row r="14254">
      <c r="B14254" s="11">
        <f>IFERROR(__xludf.DUMMYFUNCTION("""COMPUTED_VALUE"""),26071.0)</f>
        <v>26071</v>
      </c>
      <c r="C14254" s="9">
        <f>IFERROR(__xludf.DUMMYFUNCTION("""COMPUTED_VALUE"""),6.65)</f>
        <v>6.65</v>
      </c>
      <c r="H14254" s="17"/>
      <c r="K14254" s="17"/>
      <c r="N14254" s="17"/>
    </row>
    <row r="14255">
      <c r="B14255" s="11">
        <f>IFERROR(__xludf.DUMMYFUNCTION("""COMPUTED_VALUE"""),26070.0)</f>
        <v>26070</v>
      </c>
      <c r="C14255" s="9">
        <f>IFERROR(__xludf.DUMMYFUNCTION("""COMPUTED_VALUE"""),6.57)</f>
        <v>6.57</v>
      </c>
      <c r="H14255" s="17"/>
      <c r="K14255" s="17"/>
      <c r="N14255" s="17"/>
    </row>
    <row r="14256">
      <c r="B14256" s="11">
        <f>IFERROR(__xludf.DUMMYFUNCTION("""COMPUTED_VALUE"""),26067.0)</f>
        <v>26067</v>
      </c>
      <c r="C14256" s="9">
        <f>IFERROR(__xludf.DUMMYFUNCTION("""COMPUTED_VALUE"""),6.49)</f>
        <v>6.49</v>
      </c>
      <c r="H14256" s="17"/>
      <c r="K14256" s="17"/>
      <c r="N14256" s="17"/>
    </row>
    <row r="14257">
      <c r="B14257" s="11">
        <f>IFERROR(__xludf.DUMMYFUNCTION("""COMPUTED_VALUE"""),26066.0)</f>
        <v>26066</v>
      </c>
      <c r="C14257" s="9">
        <f>IFERROR(__xludf.DUMMYFUNCTION("""COMPUTED_VALUE"""),6.47)</f>
        <v>6.47</v>
      </c>
      <c r="H14257" s="17"/>
      <c r="K14257" s="17"/>
      <c r="N14257" s="17"/>
    </row>
    <row r="14258">
      <c r="B14258" s="11">
        <f>IFERROR(__xludf.DUMMYFUNCTION("""COMPUTED_VALUE"""),26065.0)</f>
        <v>26065</v>
      </c>
      <c r="C14258" s="9">
        <f>IFERROR(__xludf.DUMMYFUNCTION("""COMPUTED_VALUE"""),6.35)</f>
        <v>6.35</v>
      </c>
      <c r="H14258" s="17"/>
      <c r="K14258" s="17"/>
      <c r="N14258" s="17"/>
    </row>
    <row r="14259">
      <c r="B14259" s="11">
        <f>IFERROR(__xludf.DUMMYFUNCTION("""COMPUTED_VALUE"""),26064.0)</f>
        <v>26064</v>
      </c>
      <c r="C14259" s="9">
        <f>IFERROR(__xludf.DUMMYFUNCTION("""COMPUTED_VALUE"""),6.26)</f>
        <v>6.26</v>
      </c>
      <c r="H14259" s="17"/>
      <c r="K14259" s="17"/>
      <c r="N14259" s="17"/>
    </row>
    <row r="14260">
      <c r="B14260" s="11">
        <f>IFERROR(__xludf.DUMMYFUNCTION("""COMPUTED_VALUE"""),26063.0)</f>
        <v>26063</v>
      </c>
      <c r="C14260" s="9">
        <f>IFERROR(__xludf.DUMMYFUNCTION("""COMPUTED_VALUE"""),6.22)</f>
        <v>6.22</v>
      </c>
      <c r="H14260" s="17"/>
      <c r="K14260" s="17"/>
      <c r="N14260" s="17"/>
    </row>
    <row r="14261">
      <c r="B14261" s="11">
        <f>IFERROR(__xludf.DUMMYFUNCTION("""COMPUTED_VALUE"""),26060.0)</f>
        <v>26060</v>
      </c>
      <c r="C14261" s="9">
        <f>IFERROR(__xludf.DUMMYFUNCTION("""COMPUTED_VALUE"""),6.25)</f>
        <v>6.25</v>
      </c>
      <c r="H14261" s="17"/>
      <c r="K14261" s="17"/>
      <c r="N14261" s="17"/>
    </row>
    <row r="14262">
      <c r="B14262" s="11">
        <f>IFERROR(__xludf.DUMMYFUNCTION("""COMPUTED_VALUE"""),26059.0)</f>
        <v>26059</v>
      </c>
      <c r="C14262" s="9">
        <f>IFERROR(__xludf.DUMMYFUNCTION("""COMPUTED_VALUE"""),6.28)</f>
        <v>6.28</v>
      </c>
      <c r="H14262" s="17"/>
      <c r="K14262" s="17"/>
      <c r="N14262" s="17"/>
    </row>
    <row r="14263">
      <c r="B14263" s="11">
        <f>IFERROR(__xludf.DUMMYFUNCTION("""COMPUTED_VALUE"""),26058.0)</f>
        <v>26058</v>
      </c>
      <c r="C14263" s="9">
        <f>IFERROR(__xludf.DUMMYFUNCTION("""COMPUTED_VALUE"""),6.26)</f>
        <v>6.26</v>
      </c>
      <c r="H14263" s="17"/>
      <c r="K14263" s="17"/>
      <c r="N14263" s="17"/>
    </row>
    <row r="14264">
      <c r="B14264" s="11">
        <f>IFERROR(__xludf.DUMMYFUNCTION("""COMPUTED_VALUE"""),26057.0)</f>
        <v>26057</v>
      </c>
      <c r="C14264" s="9">
        <f>IFERROR(__xludf.DUMMYFUNCTION("""COMPUTED_VALUE"""),6.25)</f>
        <v>6.25</v>
      </c>
      <c r="H14264" s="17"/>
      <c r="K14264" s="17"/>
      <c r="N14264" s="17"/>
    </row>
    <row r="14265">
      <c r="B14265" s="11">
        <f>IFERROR(__xludf.DUMMYFUNCTION("""COMPUTED_VALUE"""),26056.0)</f>
        <v>26056</v>
      </c>
      <c r="C14265" s="9">
        <f>IFERROR(__xludf.DUMMYFUNCTION("""COMPUTED_VALUE"""),6.15)</f>
        <v>6.15</v>
      </c>
      <c r="H14265" s="17"/>
      <c r="K14265" s="17"/>
      <c r="N14265" s="17"/>
    </row>
    <row r="14266">
      <c r="B14266" s="11">
        <f>IFERROR(__xludf.DUMMYFUNCTION("""COMPUTED_VALUE"""),26053.0)</f>
        <v>26053</v>
      </c>
      <c r="C14266" s="9">
        <f>IFERROR(__xludf.DUMMYFUNCTION("""COMPUTED_VALUE"""),6.08)</f>
        <v>6.08</v>
      </c>
      <c r="H14266" s="17"/>
      <c r="K14266" s="17"/>
      <c r="N14266" s="17"/>
    </row>
    <row r="14267">
      <c r="B14267" s="11">
        <f>IFERROR(__xludf.DUMMYFUNCTION("""COMPUTED_VALUE"""),26052.0)</f>
        <v>26052</v>
      </c>
      <c r="C14267" s="9">
        <f>IFERROR(__xludf.DUMMYFUNCTION("""COMPUTED_VALUE"""),6.07)</f>
        <v>6.07</v>
      </c>
      <c r="H14267" s="17"/>
      <c r="K14267" s="17"/>
      <c r="N14267" s="17"/>
    </row>
    <row r="14268">
      <c r="B14268" s="11">
        <f>IFERROR(__xludf.DUMMYFUNCTION("""COMPUTED_VALUE"""),26051.0)</f>
        <v>26051</v>
      </c>
      <c r="C14268" s="9">
        <f>IFERROR(__xludf.DUMMYFUNCTION("""COMPUTED_VALUE"""),5.99)</f>
        <v>5.99</v>
      </c>
      <c r="H14268" s="17"/>
      <c r="K14268" s="17"/>
      <c r="N14268" s="17"/>
    </row>
    <row r="14269">
      <c r="B14269" s="11">
        <f>IFERROR(__xludf.DUMMYFUNCTION("""COMPUTED_VALUE"""),26050.0)</f>
        <v>26050</v>
      </c>
      <c r="C14269" s="9">
        <f>IFERROR(__xludf.DUMMYFUNCTION("""COMPUTED_VALUE"""),6.0)</f>
        <v>6</v>
      </c>
      <c r="H14269" s="17"/>
      <c r="K14269" s="17"/>
      <c r="N14269" s="17"/>
    </row>
    <row r="14270">
      <c r="B14270" s="11">
        <f>IFERROR(__xludf.DUMMYFUNCTION("""COMPUTED_VALUE"""),26049.0)</f>
        <v>26049</v>
      </c>
      <c r="C14270" s="9">
        <f>IFERROR(__xludf.DUMMYFUNCTION("""COMPUTED_VALUE"""),6.0)</f>
        <v>6</v>
      </c>
      <c r="H14270" s="17"/>
      <c r="K14270" s="17"/>
      <c r="N14270" s="17"/>
    </row>
    <row r="14271">
      <c r="B14271" s="11">
        <f>IFERROR(__xludf.DUMMYFUNCTION("""COMPUTED_VALUE"""),26046.0)</f>
        <v>26046</v>
      </c>
      <c r="C14271" s="9">
        <f>IFERROR(__xludf.DUMMYFUNCTION("""COMPUTED_VALUE"""),6.01)</f>
        <v>6.01</v>
      </c>
      <c r="H14271" s="17"/>
      <c r="K14271" s="17"/>
      <c r="N14271" s="17"/>
    </row>
    <row r="14272">
      <c r="B14272" s="11">
        <f>IFERROR(__xludf.DUMMYFUNCTION("""COMPUTED_VALUE"""),26045.0)</f>
        <v>26045</v>
      </c>
      <c r="C14272" s="9">
        <f>IFERROR(__xludf.DUMMYFUNCTION("""COMPUTED_VALUE"""),6.02)</f>
        <v>6.02</v>
      </c>
      <c r="H14272" s="17"/>
      <c r="K14272" s="17"/>
      <c r="N14272" s="17"/>
    </row>
    <row r="14273">
      <c r="B14273" s="11">
        <f>IFERROR(__xludf.DUMMYFUNCTION("""COMPUTED_VALUE"""),26044.0)</f>
        <v>26044</v>
      </c>
      <c r="C14273" s="9">
        <f>IFERROR(__xludf.DUMMYFUNCTION("""COMPUTED_VALUE"""),6.04)</f>
        <v>6.04</v>
      </c>
      <c r="H14273" s="17"/>
      <c r="K14273" s="17"/>
      <c r="N14273" s="17"/>
    </row>
    <row r="14274">
      <c r="B14274" s="11">
        <f>IFERROR(__xludf.DUMMYFUNCTION("""COMPUTED_VALUE"""),26043.0)</f>
        <v>26043</v>
      </c>
      <c r="C14274" s="9">
        <f>IFERROR(__xludf.DUMMYFUNCTION("""COMPUTED_VALUE"""),5.97)</f>
        <v>5.97</v>
      </c>
      <c r="H14274" s="17"/>
      <c r="K14274" s="17"/>
      <c r="N14274" s="17"/>
    </row>
    <row r="14275">
      <c r="B14275" s="11">
        <f>IFERROR(__xludf.DUMMYFUNCTION("""COMPUTED_VALUE"""),26042.0)</f>
        <v>26042</v>
      </c>
      <c r="C14275" s="9">
        <f>IFERROR(__xludf.DUMMYFUNCTION("""COMPUTED_VALUE"""),5.88)</f>
        <v>5.88</v>
      </c>
      <c r="H14275" s="17"/>
      <c r="K14275" s="17"/>
      <c r="N14275" s="17"/>
    </row>
    <row r="14276">
      <c r="B14276" s="11">
        <f>IFERROR(__xludf.DUMMYFUNCTION("""COMPUTED_VALUE"""),26039.0)</f>
        <v>26039</v>
      </c>
      <c r="C14276" s="9">
        <f>IFERROR(__xludf.DUMMYFUNCTION("""COMPUTED_VALUE"""),5.82)</f>
        <v>5.82</v>
      </c>
      <c r="H14276" s="17"/>
      <c r="K14276" s="17"/>
      <c r="N14276" s="17"/>
    </row>
    <row r="14277">
      <c r="B14277" s="11">
        <f>IFERROR(__xludf.DUMMYFUNCTION("""COMPUTED_VALUE"""),26038.0)</f>
        <v>26038</v>
      </c>
      <c r="C14277" s="9">
        <f>IFERROR(__xludf.DUMMYFUNCTION("""COMPUTED_VALUE"""),5.8)</f>
        <v>5.8</v>
      </c>
      <c r="H14277" s="17"/>
      <c r="K14277" s="17"/>
      <c r="N14277" s="17"/>
    </row>
    <row r="14278">
      <c r="B14278" s="11">
        <f>IFERROR(__xludf.DUMMYFUNCTION("""COMPUTED_VALUE"""),26037.0)</f>
        <v>26037</v>
      </c>
      <c r="C14278" s="9">
        <f>IFERROR(__xludf.DUMMYFUNCTION("""COMPUTED_VALUE"""),5.77)</f>
        <v>5.77</v>
      </c>
      <c r="H14278" s="17"/>
      <c r="K14278" s="17"/>
      <c r="N14278" s="17"/>
    </row>
    <row r="14279">
      <c r="B14279" s="11">
        <f>IFERROR(__xludf.DUMMYFUNCTION("""COMPUTED_VALUE"""),26036.0)</f>
        <v>26036</v>
      </c>
      <c r="C14279" s="9">
        <f>IFERROR(__xludf.DUMMYFUNCTION("""COMPUTED_VALUE"""),5.72)</f>
        <v>5.72</v>
      </c>
      <c r="H14279" s="17"/>
      <c r="K14279" s="17"/>
      <c r="N14279" s="17"/>
    </row>
    <row r="14280">
      <c r="B14280" s="11">
        <f>IFERROR(__xludf.DUMMYFUNCTION("""COMPUTED_VALUE"""),26035.0)</f>
        <v>26035</v>
      </c>
      <c r="C14280" s="9">
        <f>IFERROR(__xludf.DUMMYFUNCTION("""COMPUTED_VALUE"""),5.73)</f>
        <v>5.73</v>
      </c>
      <c r="H14280" s="17"/>
      <c r="K14280" s="17"/>
      <c r="N14280" s="17"/>
    </row>
    <row r="14281">
      <c r="B14281" s="11">
        <f>IFERROR(__xludf.DUMMYFUNCTION("""COMPUTED_VALUE"""),26032.0)</f>
        <v>26032</v>
      </c>
      <c r="C14281" s="9"/>
      <c r="H14281" s="17"/>
      <c r="K14281" s="17"/>
      <c r="N14281" s="17"/>
    </row>
    <row r="14282">
      <c r="B14282" s="11">
        <f>IFERROR(__xludf.DUMMYFUNCTION("""COMPUTED_VALUE"""),26031.0)</f>
        <v>26031</v>
      </c>
      <c r="C14282" s="9">
        <f>IFERROR(__xludf.DUMMYFUNCTION("""COMPUTED_VALUE"""),5.62)</f>
        <v>5.62</v>
      </c>
      <c r="H14282" s="17"/>
      <c r="K14282" s="17"/>
      <c r="N14282" s="17"/>
    </row>
    <row r="14283">
      <c r="B14283" s="11">
        <f>IFERROR(__xludf.DUMMYFUNCTION("""COMPUTED_VALUE"""),26030.0)</f>
        <v>26030</v>
      </c>
      <c r="C14283" s="9">
        <f>IFERROR(__xludf.DUMMYFUNCTION("""COMPUTED_VALUE"""),5.58)</f>
        <v>5.58</v>
      </c>
      <c r="H14283" s="17"/>
      <c r="K14283" s="17"/>
      <c r="N14283" s="17"/>
    </row>
    <row r="14284">
      <c r="B14284" s="11">
        <f>IFERROR(__xludf.DUMMYFUNCTION("""COMPUTED_VALUE"""),26029.0)</f>
        <v>26029</v>
      </c>
      <c r="C14284" s="9">
        <f>IFERROR(__xludf.DUMMYFUNCTION("""COMPUTED_VALUE"""),5.6)</f>
        <v>5.6</v>
      </c>
      <c r="H14284" s="17"/>
      <c r="K14284" s="17"/>
      <c r="N14284" s="17"/>
    </row>
    <row r="14285">
      <c r="B14285" s="11">
        <f>IFERROR(__xludf.DUMMYFUNCTION("""COMPUTED_VALUE"""),26028.0)</f>
        <v>26028</v>
      </c>
      <c r="C14285" s="9">
        <f>IFERROR(__xludf.DUMMYFUNCTION("""COMPUTED_VALUE"""),5.63)</f>
        <v>5.63</v>
      </c>
      <c r="H14285" s="17"/>
      <c r="K14285" s="17"/>
      <c r="N14285" s="17"/>
    </row>
    <row r="14286">
      <c r="B14286" s="11">
        <f>IFERROR(__xludf.DUMMYFUNCTION("""COMPUTED_VALUE"""),26025.0)</f>
        <v>26025</v>
      </c>
      <c r="C14286" s="9">
        <f>IFERROR(__xludf.DUMMYFUNCTION("""COMPUTED_VALUE"""),5.6)</f>
        <v>5.6</v>
      </c>
      <c r="H14286" s="17"/>
      <c r="K14286" s="17"/>
      <c r="N14286" s="17"/>
    </row>
    <row r="14287">
      <c r="B14287" s="11">
        <f>IFERROR(__xludf.DUMMYFUNCTION("""COMPUTED_VALUE"""),26024.0)</f>
        <v>26024</v>
      </c>
      <c r="C14287" s="9">
        <f>IFERROR(__xludf.DUMMYFUNCTION("""COMPUTED_VALUE"""),5.58)</f>
        <v>5.58</v>
      </c>
      <c r="H14287" s="17"/>
      <c r="K14287" s="17"/>
      <c r="N14287" s="17"/>
    </row>
    <row r="14288">
      <c r="B14288" s="11">
        <f>IFERROR(__xludf.DUMMYFUNCTION("""COMPUTED_VALUE"""),26023.0)</f>
        <v>26023</v>
      </c>
      <c r="C14288" s="9">
        <f>IFERROR(__xludf.DUMMYFUNCTION("""COMPUTED_VALUE"""),5.53)</f>
        <v>5.53</v>
      </c>
      <c r="H14288" s="17"/>
      <c r="K14288" s="17"/>
      <c r="N14288" s="17"/>
    </row>
    <row r="14289">
      <c r="B14289" s="11">
        <f>IFERROR(__xludf.DUMMYFUNCTION("""COMPUTED_VALUE"""),26022.0)</f>
        <v>26022</v>
      </c>
      <c r="C14289" s="9">
        <f>IFERROR(__xludf.DUMMYFUNCTION("""COMPUTED_VALUE"""),5.5)</f>
        <v>5.5</v>
      </c>
      <c r="H14289" s="17"/>
      <c r="K14289" s="17"/>
      <c r="N14289" s="17"/>
    </row>
    <row r="14290">
      <c r="B14290" s="11">
        <f>IFERROR(__xludf.DUMMYFUNCTION("""COMPUTED_VALUE"""),26021.0)</f>
        <v>26021</v>
      </c>
      <c r="C14290" s="9">
        <f>IFERROR(__xludf.DUMMYFUNCTION("""COMPUTED_VALUE"""),5.54)</f>
        <v>5.54</v>
      </c>
      <c r="H14290" s="17"/>
      <c r="K14290" s="17"/>
      <c r="N14290" s="17"/>
    </row>
    <row r="14291">
      <c r="B14291" s="11">
        <f>IFERROR(__xludf.DUMMYFUNCTION("""COMPUTED_VALUE"""),26018.0)</f>
        <v>26018</v>
      </c>
      <c r="C14291" s="9">
        <f>IFERROR(__xludf.DUMMYFUNCTION("""COMPUTED_VALUE"""),5.48)</f>
        <v>5.48</v>
      </c>
      <c r="H14291" s="17"/>
      <c r="K14291" s="17"/>
      <c r="N14291" s="17"/>
    </row>
    <row r="14292">
      <c r="B14292" s="11">
        <f>IFERROR(__xludf.DUMMYFUNCTION("""COMPUTED_VALUE"""),26017.0)</f>
        <v>26017</v>
      </c>
      <c r="C14292" s="9">
        <f>IFERROR(__xludf.DUMMYFUNCTION("""COMPUTED_VALUE"""),5.43)</f>
        <v>5.43</v>
      </c>
      <c r="H14292" s="17"/>
      <c r="K14292" s="17"/>
      <c r="N14292" s="17"/>
    </row>
    <row r="14293">
      <c r="B14293" s="11">
        <f>IFERROR(__xludf.DUMMYFUNCTION("""COMPUTED_VALUE"""),26016.0)</f>
        <v>26016</v>
      </c>
      <c r="C14293" s="9">
        <f>IFERROR(__xludf.DUMMYFUNCTION("""COMPUTED_VALUE"""),5.41)</f>
        <v>5.41</v>
      </c>
      <c r="H14293" s="17"/>
      <c r="K14293" s="17"/>
      <c r="N14293" s="17"/>
    </row>
    <row r="14294">
      <c r="B14294" s="11">
        <f>IFERROR(__xludf.DUMMYFUNCTION("""COMPUTED_VALUE"""),26015.0)</f>
        <v>26015</v>
      </c>
      <c r="C14294" s="9">
        <f>IFERROR(__xludf.DUMMYFUNCTION("""COMPUTED_VALUE"""),5.38)</f>
        <v>5.38</v>
      </c>
      <c r="H14294" s="17"/>
      <c r="K14294" s="17"/>
      <c r="N14294" s="17"/>
    </row>
    <row r="14295">
      <c r="B14295" s="11">
        <f>IFERROR(__xludf.DUMMYFUNCTION("""COMPUTED_VALUE"""),26014.0)</f>
        <v>26014</v>
      </c>
      <c r="C14295" s="9">
        <f>IFERROR(__xludf.DUMMYFUNCTION("""COMPUTED_VALUE"""),5.42)</f>
        <v>5.42</v>
      </c>
      <c r="H14295" s="17"/>
      <c r="K14295" s="17"/>
      <c r="N14295" s="17"/>
    </row>
    <row r="14296">
      <c r="B14296" s="11">
        <f>IFERROR(__xludf.DUMMYFUNCTION("""COMPUTED_VALUE"""),26011.0)</f>
        <v>26011</v>
      </c>
      <c r="C14296" s="9">
        <f>IFERROR(__xludf.DUMMYFUNCTION("""COMPUTED_VALUE"""),5.51)</f>
        <v>5.51</v>
      </c>
      <c r="H14296" s="17"/>
      <c r="K14296" s="17"/>
      <c r="N14296" s="17"/>
    </row>
    <row r="14297">
      <c r="B14297" s="11">
        <f>IFERROR(__xludf.DUMMYFUNCTION("""COMPUTED_VALUE"""),26010.0)</f>
        <v>26010</v>
      </c>
      <c r="C14297" s="9">
        <f>IFERROR(__xludf.DUMMYFUNCTION("""COMPUTED_VALUE"""),5.55)</f>
        <v>5.55</v>
      </c>
      <c r="H14297" s="17"/>
      <c r="K14297" s="17"/>
      <c r="N14297" s="17"/>
    </row>
    <row r="14298">
      <c r="B14298" s="11">
        <f>IFERROR(__xludf.DUMMYFUNCTION("""COMPUTED_VALUE"""),26009.0)</f>
        <v>26009</v>
      </c>
      <c r="C14298" s="9">
        <f>IFERROR(__xludf.DUMMYFUNCTION("""COMPUTED_VALUE"""),5.61)</f>
        <v>5.61</v>
      </c>
      <c r="H14298" s="17"/>
      <c r="K14298" s="17"/>
      <c r="N14298" s="17"/>
    </row>
    <row r="14299">
      <c r="B14299" s="11">
        <f>IFERROR(__xludf.DUMMYFUNCTION("""COMPUTED_VALUE"""),26008.0)</f>
        <v>26008</v>
      </c>
      <c r="C14299" s="9">
        <f>IFERROR(__xludf.DUMMYFUNCTION("""COMPUTED_VALUE"""),5.68)</f>
        <v>5.68</v>
      </c>
      <c r="H14299" s="17"/>
      <c r="K14299" s="17"/>
      <c r="N14299" s="17"/>
    </row>
    <row r="14300">
      <c r="B14300" s="11">
        <f>IFERROR(__xludf.DUMMYFUNCTION("""COMPUTED_VALUE"""),26007.0)</f>
        <v>26007</v>
      </c>
      <c r="C14300" s="9">
        <f>IFERROR(__xludf.DUMMYFUNCTION("""COMPUTED_VALUE"""),5.7)</f>
        <v>5.7</v>
      </c>
      <c r="H14300" s="17"/>
      <c r="K14300" s="17"/>
      <c r="N14300" s="17"/>
    </row>
    <row r="14301">
      <c r="B14301" s="11">
        <f>IFERROR(__xludf.DUMMYFUNCTION("""COMPUTED_VALUE"""),26004.0)</f>
        <v>26004</v>
      </c>
      <c r="C14301" s="9">
        <f>IFERROR(__xludf.DUMMYFUNCTION("""COMPUTED_VALUE"""),5.72)</f>
        <v>5.72</v>
      </c>
      <c r="H14301" s="17"/>
      <c r="K14301" s="17"/>
      <c r="N14301" s="17"/>
    </row>
    <row r="14302">
      <c r="B14302" s="11">
        <f>IFERROR(__xludf.DUMMYFUNCTION("""COMPUTED_VALUE"""),26003.0)</f>
        <v>26003</v>
      </c>
      <c r="C14302" s="9">
        <f>IFERROR(__xludf.DUMMYFUNCTION("""COMPUTED_VALUE"""),5.69)</f>
        <v>5.69</v>
      </c>
      <c r="H14302" s="17"/>
      <c r="K14302" s="17"/>
      <c r="N14302" s="17"/>
    </row>
    <row r="14303">
      <c r="B14303" s="11">
        <f>IFERROR(__xludf.DUMMYFUNCTION("""COMPUTED_VALUE"""),26002.0)</f>
        <v>26002</v>
      </c>
      <c r="C14303" s="9">
        <f>IFERROR(__xludf.DUMMYFUNCTION("""COMPUTED_VALUE"""),5.8)</f>
        <v>5.8</v>
      </c>
      <c r="H14303" s="17"/>
      <c r="K14303" s="17"/>
      <c r="N14303" s="17"/>
    </row>
    <row r="14304">
      <c r="B14304" s="11">
        <f>IFERROR(__xludf.DUMMYFUNCTION("""COMPUTED_VALUE"""),26001.0)</f>
        <v>26001</v>
      </c>
      <c r="C14304" s="9">
        <f>IFERROR(__xludf.DUMMYFUNCTION("""COMPUTED_VALUE"""),5.9)</f>
        <v>5.9</v>
      </c>
      <c r="H14304" s="17"/>
      <c r="K14304" s="17"/>
      <c r="N14304" s="17"/>
    </row>
    <row r="14305">
      <c r="B14305" s="11">
        <f>IFERROR(__xludf.DUMMYFUNCTION("""COMPUTED_VALUE"""),26000.0)</f>
        <v>26000</v>
      </c>
      <c r="C14305" s="9">
        <f>IFERROR(__xludf.DUMMYFUNCTION("""COMPUTED_VALUE"""),5.99)</f>
        <v>5.99</v>
      </c>
      <c r="H14305" s="17"/>
      <c r="K14305" s="17"/>
      <c r="N14305" s="17"/>
    </row>
    <row r="14306">
      <c r="B14306" s="11">
        <f>IFERROR(__xludf.DUMMYFUNCTION("""COMPUTED_VALUE"""),25997.0)</f>
        <v>25997</v>
      </c>
      <c r="C14306" s="9">
        <f>IFERROR(__xludf.DUMMYFUNCTION("""COMPUTED_VALUE"""),6.03)</f>
        <v>6.03</v>
      </c>
      <c r="H14306" s="17"/>
      <c r="K14306" s="17"/>
      <c r="N14306" s="17"/>
    </row>
    <row r="14307">
      <c r="B14307" s="11">
        <f>IFERROR(__xludf.DUMMYFUNCTION("""COMPUTED_VALUE"""),25996.0)</f>
        <v>25996</v>
      </c>
      <c r="C14307" s="9">
        <f>IFERROR(__xludf.DUMMYFUNCTION("""COMPUTED_VALUE"""),6.05)</f>
        <v>6.05</v>
      </c>
      <c r="H14307" s="17"/>
      <c r="K14307" s="17"/>
      <c r="N14307" s="17"/>
    </row>
    <row r="14308">
      <c r="B14308" s="11">
        <f>IFERROR(__xludf.DUMMYFUNCTION("""COMPUTED_VALUE"""),25995.0)</f>
        <v>25995</v>
      </c>
      <c r="C14308" s="9">
        <f>IFERROR(__xludf.DUMMYFUNCTION("""COMPUTED_VALUE"""),6.05)</f>
        <v>6.05</v>
      </c>
      <c r="H14308" s="17"/>
      <c r="K14308" s="17"/>
      <c r="N14308" s="17"/>
    </row>
    <row r="14309">
      <c r="B14309" s="11">
        <f>IFERROR(__xludf.DUMMYFUNCTION("""COMPUTED_VALUE"""),25994.0)</f>
        <v>25994</v>
      </c>
      <c r="C14309" s="9">
        <f>IFERROR(__xludf.DUMMYFUNCTION("""COMPUTED_VALUE"""),6.09)</f>
        <v>6.09</v>
      </c>
      <c r="H14309" s="17"/>
      <c r="K14309" s="17"/>
      <c r="N14309" s="17"/>
    </row>
    <row r="14310">
      <c r="B14310" s="11">
        <f>IFERROR(__xludf.DUMMYFUNCTION("""COMPUTED_VALUE"""),25993.0)</f>
        <v>25993</v>
      </c>
      <c r="C14310" s="9">
        <f>IFERROR(__xludf.DUMMYFUNCTION("""COMPUTED_VALUE"""),6.12)</f>
        <v>6.12</v>
      </c>
      <c r="H14310" s="17"/>
      <c r="K14310" s="17"/>
      <c r="N14310" s="17"/>
    </row>
    <row r="14311">
      <c r="B14311" s="11">
        <f>IFERROR(__xludf.DUMMYFUNCTION("""COMPUTED_VALUE"""),25990.0)</f>
        <v>25990</v>
      </c>
      <c r="C14311" s="9">
        <f>IFERROR(__xludf.DUMMYFUNCTION("""COMPUTED_VALUE"""),6.14)</f>
        <v>6.14</v>
      </c>
      <c r="H14311" s="17"/>
      <c r="K14311" s="17"/>
      <c r="N14311" s="17"/>
    </row>
    <row r="14312">
      <c r="B14312" s="11">
        <f>IFERROR(__xludf.DUMMYFUNCTION("""COMPUTED_VALUE"""),25989.0)</f>
        <v>25989</v>
      </c>
      <c r="C14312" s="9">
        <f>IFERROR(__xludf.DUMMYFUNCTION("""COMPUTED_VALUE"""),6.11)</f>
        <v>6.11</v>
      </c>
      <c r="H14312" s="17"/>
      <c r="K14312" s="17"/>
      <c r="N14312" s="17"/>
    </row>
    <row r="14313">
      <c r="B14313" s="11">
        <f>IFERROR(__xludf.DUMMYFUNCTION("""COMPUTED_VALUE"""),25988.0)</f>
        <v>25988</v>
      </c>
      <c r="C14313" s="9">
        <f>IFERROR(__xludf.DUMMYFUNCTION("""COMPUTED_VALUE"""),6.16)</f>
        <v>6.16</v>
      </c>
      <c r="H14313" s="17"/>
      <c r="K14313" s="17"/>
      <c r="N14313" s="17"/>
    </row>
    <row r="14314">
      <c r="B14314" s="11">
        <f>IFERROR(__xludf.DUMMYFUNCTION("""COMPUTED_VALUE"""),25987.0)</f>
        <v>25987</v>
      </c>
      <c r="C14314" s="9">
        <f>IFERROR(__xludf.DUMMYFUNCTION("""COMPUTED_VALUE"""),6.18)</f>
        <v>6.18</v>
      </c>
      <c r="H14314" s="17"/>
      <c r="K14314" s="17"/>
      <c r="N14314" s="17"/>
    </row>
    <row r="14315">
      <c r="B14315" s="11">
        <f>IFERROR(__xludf.DUMMYFUNCTION("""COMPUTED_VALUE"""),25986.0)</f>
        <v>25986</v>
      </c>
      <c r="C14315" s="9">
        <f>IFERROR(__xludf.DUMMYFUNCTION("""COMPUTED_VALUE"""),6.15)</f>
        <v>6.15</v>
      </c>
      <c r="H14315" s="17"/>
      <c r="K14315" s="17"/>
      <c r="N14315" s="17"/>
    </row>
    <row r="14316">
      <c r="B14316" s="11">
        <f>IFERROR(__xludf.DUMMYFUNCTION("""COMPUTED_VALUE"""),25983.0)</f>
        <v>25983</v>
      </c>
      <c r="C14316" s="9">
        <f>IFERROR(__xludf.DUMMYFUNCTION("""COMPUTED_VALUE"""),6.12)</f>
        <v>6.12</v>
      </c>
      <c r="H14316" s="17"/>
      <c r="K14316" s="17"/>
      <c r="N14316" s="17"/>
    </row>
    <row r="14317">
      <c r="B14317" s="11">
        <f>IFERROR(__xludf.DUMMYFUNCTION("""COMPUTED_VALUE"""),25982.0)</f>
        <v>25982</v>
      </c>
      <c r="C14317" s="9">
        <f>IFERROR(__xludf.DUMMYFUNCTION("""COMPUTED_VALUE"""),6.11)</f>
        <v>6.11</v>
      </c>
      <c r="H14317" s="17"/>
      <c r="K14317" s="17"/>
      <c r="N14317" s="17"/>
    </row>
    <row r="14318">
      <c r="B14318" s="11">
        <f>IFERROR(__xludf.DUMMYFUNCTION("""COMPUTED_VALUE"""),25981.0)</f>
        <v>25981</v>
      </c>
      <c r="C14318" s="9">
        <f>IFERROR(__xludf.DUMMYFUNCTION("""COMPUTED_VALUE"""),6.11)</f>
        <v>6.11</v>
      </c>
      <c r="H14318" s="17"/>
      <c r="K14318" s="17"/>
      <c r="N14318" s="17"/>
    </row>
    <row r="14319">
      <c r="B14319" s="11">
        <f>IFERROR(__xludf.DUMMYFUNCTION("""COMPUTED_VALUE"""),25980.0)</f>
        <v>25980</v>
      </c>
      <c r="C14319" s="9">
        <f>IFERROR(__xludf.DUMMYFUNCTION("""COMPUTED_VALUE"""),6.11)</f>
        <v>6.11</v>
      </c>
      <c r="H14319" s="17"/>
      <c r="K14319" s="17"/>
      <c r="N14319" s="17"/>
    </row>
    <row r="14320">
      <c r="B14320" s="11">
        <f>IFERROR(__xludf.DUMMYFUNCTION("""COMPUTED_VALUE"""),25979.0)</f>
        <v>25979</v>
      </c>
      <c r="C14320" s="9"/>
      <c r="H14320" s="17"/>
      <c r="K14320" s="17"/>
      <c r="N14320" s="17"/>
    </row>
    <row r="14321">
      <c r="B14321" s="11">
        <f>IFERROR(__xludf.DUMMYFUNCTION("""COMPUTED_VALUE"""),25976.0)</f>
        <v>25976</v>
      </c>
      <c r="C14321" s="9"/>
      <c r="H14321" s="17"/>
      <c r="K14321" s="17"/>
      <c r="N14321" s="17"/>
    </row>
    <row r="14322">
      <c r="B14322" s="11">
        <f>IFERROR(__xludf.DUMMYFUNCTION("""COMPUTED_VALUE"""),25975.0)</f>
        <v>25975</v>
      </c>
      <c r="C14322" s="9">
        <f>IFERROR(__xludf.DUMMYFUNCTION("""COMPUTED_VALUE"""),6.08)</f>
        <v>6.08</v>
      </c>
      <c r="H14322" s="17"/>
      <c r="K14322" s="17"/>
      <c r="N14322" s="17"/>
    </row>
    <row r="14323">
      <c r="B14323" s="11">
        <f>IFERROR(__xludf.DUMMYFUNCTION("""COMPUTED_VALUE"""),25974.0)</f>
        <v>25974</v>
      </c>
      <c r="C14323" s="9">
        <f>IFERROR(__xludf.DUMMYFUNCTION("""COMPUTED_VALUE"""),6.08)</f>
        <v>6.08</v>
      </c>
      <c r="H14323" s="17"/>
      <c r="K14323" s="17"/>
      <c r="N14323" s="17"/>
    </row>
    <row r="14324">
      <c r="B14324" s="11">
        <f>IFERROR(__xludf.DUMMYFUNCTION("""COMPUTED_VALUE"""),25973.0)</f>
        <v>25973</v>
      </c>
      <c r="C14324" s="9">
        <f>IFERROR(__xludf.DUMMYFUNCTION("""COMPUTED_VALUE"""),6.07)</f>
        <v>6.07</v>
      </c>
      <c r="H14324" s="17"/>
      <c r="K14324" s="17"/>
      <c r="N14324" s="17"/>
    </row>
    <row r="14325">
      <c r="B14325" s="11">
        <f>IFERROR(__xludf.DUMMYFUNCTION("""COMPUTED_VALUE"""),25972.0)</f>
        <v>25972</v>
      </c>
      <c r="C14325" s="9">
        <f>IFERROR(__xludf.DUMMYFUNCTION("""COMPUTED_VALUE"""),6.09)</f>
        <v>6.09</v>
      </c>
      <c r="H14325" s="17"/>
      <c r="K14325" s="17"/>
      <c r="N14325" s="17"/>
    </row>
    <row r="14326">
      <c r="B14326" s="11">
        <f>IFERROR(__xludf.DUMMYFUNCTION("""COMPUTED_VALUE"""),25969.0)</f>
        <v>25969</v>
      </c>
      <c r="C14326" s="9">
        <f>IFERROR(__xludf.DUMMYFUNCTION("""COMPUTED_VALUE"""),6.1)</f>
        <v>6.1</v>
      </c>
      <c r="H14326" s="17"/>
      <c r="K14326" s="17"/>
      <c r="N14326" s="17"/>
    </row>
    <row r="14327">
      <c r="B14327" s="11">
        <f>IFERROR(__xludf.DUMMYFUNCTION("""COMPUTED_VALUE"""),25968.0)</f>
        <v>25968</v>
      </c>
      <c r="C14327" s="9">
        <f>IFERROR(__xludf.DUMMYFUNCTION("""COMPUTED_VALUE"""),6.1)</f>
        <v>6.1</v>
      </c>
      <c r="H14327" s="17"/>
      <c r="K14327" s="17"/>
      <c r="N14327" s="17"/>
    </row>
    <row r="14328">
      <c r="B14328" s="11">
        <f>IFERROR(__xludf.DUMMYFUNCTION("""COMPUTED_VALUE"""),25967.0)</f>
        <v>25967</v>
      </c>
      <c r="C14328" s="9">
        <f>IFERROR(__xludf.DUMMYFUNCTION("""COMPUTED_VALUE"""),6.11)</f>
        <v>6.11</v>
      </c>
      <c r="H14328" s="17"/>
      <c r="K14328" s="17"/>
      <c r="N14328" s="17"/>
    </row>
    <row r="14329">
      <c r="B14329" s="11">
        <f>IFERROR(__xludf.DUMMYFUNCTION("""COMPUTED_VALUE"""),25966.0)</f>
        <v>25966</v>
      </c>
      <c r="C14329" s="9">
        <f>IFERROR(__xludf.DUMMYFUNCTION("""COMPUTED_VALUE"""),6.11)</f>
        <v>6.11</v>
      </c>
      <c r="H14329" s="17"/>
      <c r="K14329" s="17"/>
      <c r="N14329" s="17"/>
    </row>
    <row r="14330">
      <c r="B14330" s="11">
        <f>IFERROR(__xludf.DUMMYFUNCTION("""COMPUTED_VALUE"""),25965.0)</f>
        <v>25965</v>
      </c>
      <c r="C14330" s="9">
        <f>IFERROR(__xludf.DUMMYFUNCTION("""COMPUTED_VALUE"""),6.09)</f>
        <v>6.09</v>
      </c>
      <c r="H14330" s="17"/>
      <c r="K14330" s="17"/>
      <c r="N14330" s="17"/>
    </row>
    <row r="14331">
      <c r="B14331" s="11">
        <f>IFERROR(__xludf.DUMMYFUNCTION("""COMPUTED_VALUE"""),25962.0)</f>
        <v>25962</v>
      </c>
      <c r="C14331" s="9">
        <f>IFERROR(__xludf.DUMMYFUNCTION("""COMPUTED_VALUE"""),6.09)</f>
        <v>6.09</v>
      </c>
      <c r="H14331" s="17"/>
      <c r="K14331" s="17"/>
      <c r="N14331" s="17"/>
    </row>
    <row r="14332">
      <c r="B14332" s="11">
        <f>IFERROR(__xludf.DUMMYFUNCTION("""COMPUTED_VALUE"""),25961.0)</f>
        <v>25961</v>
      </c>
      <c r="C14332" s="9">
        <f>IFERROR(__xludf.DUMMYFUNCTION("""COMPUTED_VALUE"""),6.08)</f>
        <v>6.08</v>
      </c>
      <c r="H14332" s="17"/>
      <c r="K14332" s="17"/>
      <c r="N14332" s="17"/>
    </row>
    <row r="14333">
      <c r="B14333" s="11">
        <f>IFERROR(__xludf.DUMMYFUNCTION("""COMPUTED_VALUE"""),25960.0)</f>
        <v>25960</v>
      </c>
      <c r="C14333" s="9">
        <f>IFERROR(__xludf.DUMMYFUNCTION("""COMPUTED_VALUE"""),6.09)</f>
        <v>6.09</v>
      </c>
      <c r="H14333" s="17"/>
      <c r="K14333" s="17"/>
      <c r="N14333" s="17"/>
    </row>
    <row r="14334">
      <c r="B14334" s="11">
        <f>IFERROR(__xludf.DUMMYFUNCTION("""COMPUTED_VALUE"""),25959.0)</f>
        <v>25959</v>
      </c>
      <c r="C14334" s="9">
        <f>IFERROR(__xludf.DUMMYFUNCTION("""COMPUTED_VALUE"""),6.07)</f>
        <v>6.07</v>
      </c>
      <c r="H14334" s="17"/>
      <c r="K14334" s="17"/>
      <c r="N14334" s="17"/>
    </row>
    <row r="14335">
      <c r="B14335" s="11">
        <f>IFERROR(__xludf.DUMMYFUNCTION("""COMPUTED_VALUE"""),25958.0)</f>
        <v>25958</v>
      </c>
      <c r="C14335" s="9">
        <f>IFERROR(__xludf.DUMMYFUNCTION("""COMPUTED_VALUE"""),6.05)</f>
        <v>6.05</v>
      </c>
      <c r="H14335" s="17"/>
      <c r="K14335" s="17"/>
      <c r="N14335" s="17"/>
    </row>
    <row r="14336">
      <c r="B14336" s="11">
        <f>IFERROR(__xludf.DUMMYFUNCTION("""COMPUTED_VALUE"""),25955.0)</f>
        <v>25955</v>
      </c>
      <c r="C14336" s="9">
        <f>IFERROR(__xludf.DUMMYFUNCTION("""COMPUTED_VALUE"""),6.06)</f>
        <v>6.06</v>
      </c>
      <c r="H14336" s="17"/>
      <c r="K14336" s="17"/>
      <c r="N14336" s="17"/>
    </row>
    <row r="14337">
      <c r="B14337" s="11">
        <f>IFERROR(__xludf.DUMMYFUNCTION("""COMPUTED_VALUE"""),25954.0)</f>
        <v>25954</v>
      </c>
      <c r="C14337" s="9">
        <f>IFERROR(__xludf.DUMMYFUNCTION("""COMPUTED_VALUE"""),6.09)</f>
        <v>6.09</v>
      </c>
      <c r="H14337" s="17"/>
      <c r="K14337" s="17"/>
      <c r="N14337" s="17"/>
    </row>
    <row r="14338">
      <c r="B14338" s="11">
        <f>IFERROR(__xludf.DUMMYFUNCTION("""COMPUTED_VALUE"""),25953.0)</f>
        <v>25953</v>
      </c>
      <c r="C14338" s="9">
        <f>IFERROR(__xludf.DUMMYFUNCTION("""COMPUTED_VALUE"""),6.15)</f>
        <v>6.15</v>
      </c>
      <c r="H14338" s="17"/>
      <c r="K14338" s="17"/>
      <c r="N14338" s="17"/>
    </row>
    <row r="14339">
      <c r="B14339" s="11">
        <f>IFERROR(__xludf.DUMMYFUNCTION("""COMPUTED_VALUE"""),25952.0)</f>
        <v>25952</v>
      </c>
      <c r="C14339" s="9">
        <f>IFERROR(__xludf.DUMMYFUNCTION("""COMPUTED_VALUE"""),6.17)</f>
        <v>6.17</v>
      </c>
      <c r="H14339" s="17"/>
      <c r="K14339" s="17"/>
      <c r="N14339" s="17"/>
    </row>
    <row r="14340">
      <c r="B14340" s="11">
        <f>IFERROR(__xludf.DUMMYFUNCTION("""COMPUTED_VALUE"""),25951.0)</f>
        <v>25951</v>
      </c>
      <c r="C14340" s="9">
        <f>IFERROR(__xludf.DUMMYFUNCTION("""COMPUTED_VALUE"""),6.16)</f>
        <v>6.16</v>
      </c>
      <c r="H14340" s="17"/>
      <c r="K14340" s="17"/>
      <c r="N14340" s="17"/>
    </row>
    <row r="14341">
      <c r="B14341" s="11">
        <f>IFERROR(__xludf.DUMMYFUNCTION("""COMPUTED_VALUE"""),25948.0)</f>
        <v>25948</v>
      </c>
      <c r="C14341" s="9">
        <f>IFERROR(__xludf.DUMMYFUNCTION("""COMPUTED_VALUE"""),6.22)</f>
        <v>6.22</v>
      </c>
      <c r="H14341" s="17"/>
      <c r="K14341" s="17"/>
      <c r="N14341" s="17"/>
    </row>
    <row r="14342">
      <c r="B14342" s="11">
        <f>IFERROR(__xludf.DUMMYFUNCTION("""COMPUTED_VALUE"""),25947.0)</f>
        <v>25947</v>
      </c>
      <c r="C14342" s="9">
        <f>IFERROR(__xludf.DUMMYFUNCTION("""COMPUTED_VALUE"""),6.22)</f>
        <v>6.22</v>
      </c>
      <c r="H14342" s="17"/>
      <c r="K14342" s="17"/>
      <c r="N14342" s="17"/>
    </row>
    <row r="14343">
      <c r="B14343" s="11">
        <f>IFERROR(__xludf.DUMMYFUNCTION("""COMPUTED_VALUE"""),25946.0)</f>
        <v>25946</v>
      </c>
      <c r="C14343" s="9">
        <f>IFERROR(__xludf.DUMMYFUNCTION("""COMPUTED_VALUE"""),6.29)</f>
        <v>6.29</v>
      </c>
      <c r="H14343" s="17"/>
      <c r="K14343" s="17"/>
      <c r="N14343" s="17"/>
    </row>
    <row r="14344">
      <c r="B14344" s="11">
        <f>IFERROR(__xludf.DUMMYFUNCTION("""COMPUTED_VALUE"""),25945.0)</f>
        <v>25945</v>
      </c>
      <c r="C14344" s="9">
        <f>IFERROR(__xludf.DUMMYFUNCTION("""COMPUTED_VALUE"""),6.35)</f>
        <v>6.35</v>
      </c>
      <c r="H14344" s="17"/>
      <c r="K14344" s="17"/>
      <c r="N14344" s="17"/>
    </row>
    <row r="14345">
      <c r="B14345" s="11">
        <f>IFERROR(__xludf.DUMMYFUNCTION("""COMPUTED_VALUE"""),25944.0)</f>
        <v>25944</v>
      </c>
      <c r="C14345" s="9">
        <f>IFERROR(__xludf.DUMMYFUNCTION("""COMPUTED_VALUE"""),6.39)</f>
        <v>6.39</v>
      </c>
      <c r="H14345" s="17"/>
      <c r="K14345" s="17"/>
      <c r="N14345" s="17"/>
    </row>
    <row r="14346">
      <c r="B14346" s="11">
        <f>IFERROR(__xludf.DUMMYFUNCTION("""COMPUTED_VALUE"""),25941.0)</f>
        <v>25941</v>
      </c>
      <c r="C14346" s="9">
        <f>IFERROR(__xludf.DUMMYFUNCTION("""COMPUTED_VALUE"""),6.44)</f>
        <v>6.44</v>
      </c>
      <c r="H14346" s="17"/>
      <c r="K14346" s="17"/>
      <c r="N14346" s="17"/>
    </row>
    <row r="14347">
      <c r="B14347" s="11">
        <f>IFERROR(__xludf.DUMMYFUNCTION("""COMPUTED_VALUE"""),25940.0)</f>
        <v>25940</v>
      </c>
      <c r="C14347" s="9">
        <f>IFERROR(__xludf.DUMMYFUNCTION("""COMPUTED_VALUE"""),6.45)</f>
        <v>6.45</v>
      </c>
      <c r="H14347" s="17"/>
      <c r="K14347" s="17"/>
      <c r="N14347" s="17"/>
    </row>
    <row r="14348">
      <c r="B14348" s="11">
        <f>IFERROR(__xludf.DUMMYFUNCTION("""COMPUTED_VALUE"""),25939.0)</f>
        <v>25939</v>
      </c>
      <c r="C14348" s="9">
        <f>IFERROR(__xludf.DUMMYFUNCTION("""COMPUTED_VALUE"""),6.47)</f>
        <v>6.47</v>
      </c>
      <c r="H14348" s="17"/>
      <c r="K14348" s="17"/>
      <c r="N14348" s="17"/>
    </row>
    <row r="14349">
      <c r="B14349" s="11">
        <f>IFERROR(__xludf.DUMMYFUNCTION("""COMPUTED_VALUE"""),25938.0)</f>
        <v>25938</v>
      </c>
      <c r="C14349" s="9">
        <f>IFERROR(__xludf.DUMMYFUNCTION("""COMPUTED_VALUE"""),6.47)</f>
        <v>6.47</v>
      </c>
      <c r="H14349" s="17"/>
      <c r="K14349" s="17"/>
      <c r="N14349" s="17"/>
    </row>
    <row r="14350">
      <c r="B14350" s="11">
        <f>IFERROR(__xludf.DUMMYFUNCTION("""COMPUTED_VALUE"""),25937.0)</f>
        <v>25937</v>
      </c>
      <c r="C14350" s="9">
        <f>IFERROR(__xludf.DUMMYFUNCTION("""COMPUTED_VALUE"""),6.46)</f>
        <v>6.46</v>
      </c>
      <c r="H14350" s="17"/>
      <c r="K14350" s="17"/>
      <c r="N14350" s="17"/>
    </row>
    <row r="14351">
      <c r="B14351" s="11">
        <f>IFERROR(__xludf.DUMMYFUNCTION("""COMPUTED_VALUE"""),25934.0)</f>
        <v>25934</v>
      </c>
      <c r="C14351" s="9"/>
      <c r="H14351" s="17"/>
      <c r="K14351" s="17"/>
      <c r="N14351" s="17"/>
    </row>
    <row r="14352">
      <c r="B14352" s="11">
        <f>IFERROR(__xludf.DUMMYFUNCTION("""COMPUTED_VALUE"""),25933.0)</f>
        <v>25933</v>
      </c>
      <c r="C14352" s="9">
        <f>IFERROR(__xludf.DUMMYFUNCTION("""COMPUTED_VALUE"""),6.5)</f>
        <v>6.5</v>
      </c>
      <c r="H14352" s="17"/>
      <c r="K14352" s="17"/>
      <c r="N14352" s="17"/>
    </row>
    <row r="14353">
      <c r="B14353" s="11">
        <f>IFERROR(__xludf.DUMMYFUNCTION("""COMPUTED_VALUE"""),25932.0)</f>
        <v>25932</v>
      </c>
      <c r="C14353" s="9">
        <f>IFERROR(__xludf.DUMMYFUNCTION("""COMPUTED_VALUE"""),6.51)</f>
        <v>6.51</v>
      </c>
      <c r="H14353" s="17"/>
      <c r="K14353" s="17"/>
      <c r="N14353" s="17"/>
    </row>
    <row r="14354">
      <c r="B14354" s="11">
        <f>IFERROR(__xludf.DUMMYFUNCTION("""COMPUTED_VALUE"""),25931.0)</f>
        <v>25931</v>
      </c>
      <c r="C14354" s="9">
        <f>IFERROR(__xludf.DUMMYFUNCTION("""COMPUTED_VALUE"""),6.56)</f>
        <v>6.56</v>
      </c>
      <c r="H14354" s="17"/>
      <c r="K14354" s="17"/>
      <c r="N14354" s="17"/>
    </row>
    <row r="14355">
      <c r="B14355" s="11">
        <f>IFERROR(__xludf.DUMMYFUNCTION("""COMPUTED_VALUE"""),25930.0)</f>
        <v>25930</v>
      </c>
      <c r="C14355" s="9">
        <f>IFERROR(__xludf.DUMMYFUNCTION("""COMPUTED_VALUE"""),6.54)</f>
        <v>6.54</v>
      </c>
      <c r="H14355" s="17"/>
      <c r="K14355" s="17"/>
      <c r="N14355" s="17"/>
    </row>
    <row r="14356">
      <c r="B14356" s="11">
        <f>IFERROR(__xludf.DUMMYFUNCTION("""COMPUTED_VALUE"""),25927.0)</f>
        <v>25927</v>
      </c>
      <c r="C14356" s="9"/>
      <c r="H14356" s="17"/>
      <c r="K14356" s="17"/>
      <c r="N14356" s="17"/>
    </row>
    <row r="14357">
      <c r="B14357" s="11">
        <f>IFERROR(__xludf.DUMMYFUNCTION("""COMPUTED_VALUE"""),25926.0)</f>
        <v>25926</v>
      </c>
      <c r="C14357" s="9">
        <f>IFERROR(__xludf.DUMMYFUNCTION("""COMPUTED_VALUE"""),6.53)</f>
        <v>6.53</v>
      </c>
      <c r="H14357" s="17"/>
      <c r="K14357" s="17"/>
      <c r="N14357" s="17"/>
    </row>
    <row r="14358">
      <c r="B14358" s="11">
        <f>IFERROR(__xludf.DUMMYFUNCTION("""COMPUTED_VALUE"""),25925.0)</f>
        <v>25925</v>
      </c>
      <c r="C14358" s="9">
        <f>IFERROR(__xludf.DUMMYFUNCTION("""COMPUTED_VALUE"""),6.57)</f>
        <v>6.57</v>
      </c>
      <c r="H14358" s="17"/>
      <c r="K14358" s="17"/>
      <c r="N14358" s="17"/>
    </row>
    <row r="14359">
      <c r="B14359" s="11">
        <f>IFERROR(__xludf.DUMMYFUNCTION("""COMPUTED_VALUE"""),25924.0)</f>
        <v>25924</v>
      </c>
      <c r="C14359" s="9">
        <f>IFERROR(__xludf.DUMMYFUNCTION("""COMPUTED_VALUE"""),6.52)</f>
        <v>6.52</v>
      </c>
      <c r="H14359" s="17"/>
      <c r="K14359" s="17"/>
      <c r="N14359" s="17"/>
    </row>
    <row r="14360">
      <c r="B14360" s="11">
        <f>IFERROR(__xludf.DUMMYFUNCTION("""COMPUTED_VALUE"""),25923.0)</f>
        <v>25923</v>
      </c>
      <c r="C14360" s="9">
        <f>IFERROR(__xludf.DUMMYFUNCTION("""COMPUTED_VALUE"""),6.45)</f>
        <v>6.45</v>
      </c>
      <c r="H14360" s="17"/>
      <c r="K14360" s="17"/>
      <c r="N14360" s="17"/>
    </row>
    <row r="14361">
      <c r="B14361" s="11">
        <f>IFERROR(__xludf.DUMMYFUNCTION("""COMPUTED_VALUE"""),25920.0)</f>
        <v>25920</v>
      </c>
      <c r="C14361" s="9">
        <f>IFERROR(__xludf.DUMMYFUNCTION("""COMPUTED_VALUE"""),6.33)</f>
        <v>6.33</v>
      </c>
      <c r="H14361" s="17"/>
      <c r="K14361" s="17"/>
      <c r="N14361" s="17"/>
    </row>
    <row r="14362">
      <c r="B14362" s="11">
        <f>IFERROR(__xludf.DUMMYFUNCTION("""COMPUTED_VALUE"""),25919.0)</f>
        <v>25919</v>
      </c>
      <c r="C14362" s="9">
        <f>IFERROR(__xludf.DUMMYFUNCTION("""COMPUTED_VALUE"""),6.3)</f>
        <v>6.3</v>
      </c>
      <c r="H14362" s="17"/>
      <c r="K14362" s="17"/>
      <c r="N14362" s="17"/>
    </row>
    <row r="14363">
      <c r="B14363" s="11">
        <f>IFERROR(__xludf.DUMMYFUNCTION("""COMPUTED_VALUE"""),25918.0)</f>
        <v>25918</v>
      </c>
      <c r="C14363" s="9">
        <f>IFERROR(__xludf.DUMMYFUNCTION("""COMPUTED_VALUE"""),6.29)</f>
        <v>6.29</v>
      </c>
      <c r="H14363" s="17"/>
      <c r="K14363" s="17"/>
      <c r="N14363" s="17"/>
    </row>
    <row r="14364">
      <c r="B14364" s="11">
        <f>IFERROR(__xludf.DUMMYFUNCTION("""COMPUTED_VALUE"""),25917.0)</f>
        <v>25917</v>
      </c>
      <c r="C14364" s="9">
        <f>IFERROR(__xludf.DUMMYFUNCTION("""COMPUTED_VALUE"""),6.29)</f>
        <v>6.29</v>
      </c>
      <c r="H14364" s="17"/>
      <c r="K14364" s="17"/>
      <c r="N14364" s="17"/>
    </row>
    <row r="14365">
      <c r="B14365" s="11">
        <f>IFERROR(__xludf.DUMMYFUNCTION("""COMPUTED_VALUE"""),25916.0)</f>
        <v>25916</v>
      </c>
      <c r="C14365" s="9">
        <f>IFERROR(__xludf.DUMMYFUNCTION("""COMPUTED_VALUE"""),6.26)</f>
        <v>6.26</v>
      </c>
      <c r="H14365" s="17"/>
      <c r="K14365" s="17"/>
      <c r="N14365" s="17"/>
    </row>
    <row r="14366">
      <c r="B14366" s="11">
        <f>IFERROR(__xludf.DUMMYFUNCTION("""COMPUTED_VALUE"""),25913.0)</f>
        <v>25913</v>
      </c>
      <c r="C14366" s="9">
        <f>IFERROR(__xludf.DUMMYFUNCTION("""COMPUTED_VALUE"""),6.31)</f>
        <v>6.31</v>
      </c>
      <c r="H14366" s="17"/>
      <c r="K14366" s="17"/>
      <c r="N14366" s="17"/>
    </row>
    <row r="14367">
      <c r="B14367" s="11">
        <f>IFERROR(__xludf.DUMMYFUNCTION("""COMPUTED_VALUE"""),25912.0)</f>
        <v>25912</v>
      </c>
      <c r="C14367" s="9">
        <f>IFERROR(__xludf.DUMMYFUNCTION("""COMPUTED_VALUE"""),6.34)</f>
        <v>6.34</v>
      </c>
      <c r="H14367" s="17"/>
      <c r="K14367" s="17"/>
      <c r="N14367" s="17"/>
    </row>
    <row r="14368">
      <c r="B14368" s="11">
        <f>IFERROR(__xludf.DUMMYFUNCTION("""COMPUTED_VALUE"""),25911.0)</f>
        <v>25911</v>
      </c>
      <c r="C14368" s="9">
        <f>IFERROR(__xludf.DUMMYFUNCTION("""COMPUTED_VALUE"""),6.34)</f>
        <v>6.34</v>
      </c>
      <c r="H14368" s="17"/>
      <c r="K14368" s="17"/>
      <c r="N14368" s="17"/>
    </row>
    <row r="14369">
      <c r="B14369" s="11">
        <f>IFERROR(__xludf.DUMMYFUNCTION("""COMPUTED_VALUE"""),25910.0)</f>
        <v>25910</v>
      </c>
      <c r="C14369" s="9">
        <f>IFERROR(__xludf.DUMMYFUNCTION("""COMPUTED_VALUE"""),6.29)</f>
        <v>6.29</v>
      </c>
      <c r="H14369" s="17"/>
      <c r="K14369" s="17"/>
      <c r="N14369" s="17"/>
    </row>
    <row r="14370">
      <c r="B14370" s="11">
        <f>IFERROR(__xludf.DUMMYFUNCTION("""COMPUTED_VALUE"""),25909.0)</f>
        <v>25909</v>
      </c>
      <c r="C14370" s="9">
        <f>IFERROR(__xludf.DUMMYFUNCTION("""COMPUTED_VALUE"""),6.27)</f>
        <v>6.27</v>
      </c>
      <c r="H14370" s="17"/>
      <c r="K14370" s="17"/>
      <c r="N14370" s="17"/>
    </row>
    <row r="14371">
      <c r="B14371" s="11">
        <f>IFERROR(__xludf.DUMMYFUNCTION("""COMPUTED_VALUE"""),25906.0)</f>
        <v>25906</v>
      </c>
      <c r="C14371" s="9">
        <f>IFERROR(__xludf.DUMMYFUNCTION("""COMPUTED_VALUE"""),6.21)</f>
        <v>6.21</v>
      </c>
      <c r="H14371" s="17"/>
      <c r="K14371" s="17"/>
      <c r="N14371" s="17"/>
    </row>
    <row r="14372">
      <c r="B14372" s="11">
        <f>IFERROR(__xludf.DUMMYFUNCTION("""COMPUTED_VALUE"""),25905.0)</f>
        <v>25905</v>
      </c>
      <c r="C14372" s="9">
        <f>IFERROR(__xludf.DUMMYFUNCTION("""COMPUTED_VALUE"""),6.31)</f>
        <v>6.31</v>
      </c>
      <c r="H14372" s="17"/>
      <c r="K14372" s="17"/>
      <c r="N14372" s="17"/>
    </row>
    <row r="14373">
      <c r="B14373" s="11">
        <f>IFERROR(__xludf.DUMMYFUNCTION("""COMPUTED_VALUE"""),25904.0)</f>
        <v>25904</v>
      </c>
      <c r="C14373" s="9">
        <f>IFERROR(__xludf.DUMMYFUNCTION("""COMPUTED_VALUE"""),6.41)</f>
        <v>6.41</v>
      </c>
      <c r="H14373" s="17"/>
      <c r="K14373" s="17"/>
      <c r="N14373" s="17"/>
    </row>
    <row r="14374">
      <c r="B14374" s="11">
        <f>IFERROR(__xludf.DUMMYFUNCTION("""COMPUTED_VALUE"""),25903.0)</f>
        <v>25903</v>
      </c>
      <c r="C14374" s="9">
        <f>IFERROR(__xludf.DUMMYFUNCTION("""COMPUTED_VALUE"""),6.48)</f>
        <v>6.48</v>
      </c>
      <c r="H14374" s="17"/>
      <c r="K14374" s="17"/>
      <c r="N14374" s="17"/>
    </row>
    <row r="14375">
      <c r="B14375" s="11">
        <f>IFERROR(__xludf.DUMMYFUNCTION("""COMPUTED_VALUE"""),25902.0)</f>
        <v>25902</v>
      </c>
      <c r="C14375" s="9">
        <f>IFERROR(__xludf.DUMMYFUNCTION("""COMPUTED_VALUE"""),6.49)</f>
        <v>6.49</v>
      </c>
      <c r="H14375" s="17"/>
      <c r="K14375" s="17"/>
      <c r="N14375" s="17"/>
    </row>
    <row r="14376">
      <c r="B14376" s="11">
        <f>IFERROR(__xludf.DUMMYFUNCTION("""COMPUTED_VALUE"""),25899.0)</f>
        <v>25899</v>
      </c>
      <c r="C14376" s="9">
        <f>IFERROR(__xludf.DUMMYFUNCTION("""COMPUTED_VALUE"""),6.48)</f>
        <v>6.48</v>
      </c>
      <c r="H14376" s="17"/>
      <c r="K14376" s="17"/>
      <c r="N14376" s="17"/>
    </row>
    <row r="14377">
      <c r="B14377" s="11">
        <f>IFERROR(__xludf.DUMMYFUNCTION("""COMPUTED_VALUE"""),25898.0)</f>
        <v>25898</v>
      </c>
      <c r="C14377" s="9"/>
      <c r="H14377" s="17"/>
      <c r="K14377" s="17"/>
      <c r="N14377" s="17"/>
    </row>
    <row r="14378">
      <c r="B14378" s="11">
        <f>IFERROR(__xludf.DUMMYFUNCTION("""COMPUTED_VALUE"""),25897.0)</f>
        <v>25897</v>
      </c>
      <c r="C14378" s="9">
        <f>IFERROR(__xludf.DUMMYFUNCTION("""COMPUTED_VALUE"""),6.48)</f>
        <v>6.48</v>
      </c>
      <c r="H14378" s="17"/>
      <c r="K14378" s="17"/>
      <c r="N14378" s="17"/>
    </row>
    <row r="14379">
      <c r="B14379" s="11">
        <f>IFERROR(__xludf.DUMMYFUNCTION("""COMPUTED_VALUE"""),25896.0)</f>
        <v>25896</v>
      </c>
      <c r="C14379" s="9">
        <f>IFERROR(__xludf.DUMMYFUNCTION("""COMPUTED_VALUE"""),6.45)</f>
        <v>6.45</v>
      </c>
      <c r="H14379" s="17"/>
      <c r="K14379" s="17"/>
      <c r="N14379" s="17"/>
    </row>
    <row r="14380">
      <c r="B14380" s="11">
        <f>IFERROR(__xludf.DUMMYFUNCTION("""COMPUTED_VALUE"""),25895.0)</f>
        <v>25895</v>
      </c>
      <c r="C14380" s="9">
        <f>IFERROR(__xludf.DUMMYFUNCTION("""COMPUTED_VALUE"""),6.32)</f>
        <v>6.32</v>
      </c>
      <c r="H14380" s="17"/>
      <c r="K14380" s="17"/>
      <c r="N14380" s="17"/>
    </row>
    <row r="14381">
      <c r="B14381" s="11">
        <f>IFERROR(__xludf.DUMMYFUNCTION("""COMPUTED_VALUE"""),25892.0)</f>
        <v>25892</v>
      </c>
      <c r="C14381" s="9">
        <f>IFERROR(__xludf.DUMMYFUNCTION("""COMPUTED_VALUE"""),6.48)</f>
        <v>6.48</v>
      </c>
      <c r="H14381" s="17"/>
      <c r="K14381" s="17"/>
      <c r="N14381" s="17"/>
    </row>
    <row r="14382">
      <c r="B14382" s="11">
        <f>IFERROR(__xludf.DUMMYFUNCTION("""COMPUTED_VALUE"""),25891.0)</f>
        <v>25891</v>
      </c>
      <c r="C14382" s="9">
        <f>IFERROR(__xludf.DUMMYFUNCTION("""COMPUTED_VALUE"""),6.72)</f>
        <v>6.72</v>
      </c>
      <c r="H14382" s="17"/>
      <c r="K14382" s="17"/>
      <c r="N14382" s="17"/>
    </row>
    <row r="14383">
      <c r="B14383" s="11">
        <f>IFERROR(__xludf.DUMMYFUNCTION("""COMPUTED_VALUE"""),25890.0)</f>
        <v>25890</v>
      </c>
      <c r="C14383" s="9">
        <f>IFERROR(__xludf.DUMMYFUNCTION("""COMPUTED_VALUE"""),6.86)</f>
        <v>6.86</v>
      </c>
      <c r="H14383" s="17"/>
      <c r="K14383" s="17"/>
      <c r="N14383" s="17"/>
    </row>
    <row r="14384">
      <c r="B14384" s="11">
        <f>IFERROR(__xludf.DUMMYFUNCTION("""COMPUTED_VALUE"""),25889.0)</f>
        <v>25889</v>
      </c>
      <c r="C14384" s="9">
        <f>IFERROR(__xludf.DUMMYFUNCTION("""COMPUTED_VALUE"""),6.93)</f>
        <v>6.93</v>
      </c>
      <c r="H14384" s="17"/>
      <c r="K14384" s="17"/>
      <c r="N14384" s="17"/>
    </row>
    <row r="14385">
      <c r="B14385" s="11">
        <f>IFERROR(__xludf.DUMMYFUNCTION("""COMPUTED_VALUE"""),25888.0)</f>
        <v>25888</v>
      </c>
      <c r="C14385" s="9">
        <f>IFERROR(__xludf.DUMMYFUNCTION("""COMPUTED_VALUE"""),6.96)</f>
        <v>6.96</v>
      </c>
      <c r="H14385" s="17"/>
      <c r="K14385" s="17"/>
      <c r="N14385" s="17"/>
    </row>
    <row r="14386">
      <c r="B14386" s="11">
        <f>IFERROR(__xludf.DUMMYFUNCTION("""COMPUTED_VALUE"""),25885.0)</f>
        <v>25885</v>
      </c>
      <c r="C14386" s="9">
        <f>IFERROR(__xludf.DUMMYFUNCTION("""COMPUTED_VALUE"""),7.0)</f>
        <v>7</v>
      </c>
      <c r="H14386" s="17"/>
      <c r="K14386" s="17"/>
      <c r="N14386" s="17"/>
    </row>
    <row r="14387">
      <c r="B14387" s="11">
        <f>IFERROR(__xludf.DUMMYFUNCTION("""COMPUTED_VALUE"""),25884.0)</f>
        <v>25884</v>
      </c>
      <c r="C14387" s="9">
        <f>IFERROR(__xludf.DUMMYFUNCTION("""COMPUTED_VALUE"""),7.03)</f>
        <v>7.03</v>
      </c>
      <c r="H14387" s="17"/>
      <c r="K14387" s="17"/>
      <c r="N14387" s="17"/>
    </row>
    <row r="14388">
      <c r="B14388" s="11">
        <f>IFERROR(__xludf.DUMMYFUNCTION("""COMPUTED_VALUE"""),25883.0)</f>
        <v>25883</v>
      </c>
      <c r="C14388" s="9"/>
      <c r="H14388" s="17"/>
      <c r="K14388" s="17"/>
      <c r="N14388" s="17"/>
    </row>
    <row r="14389">
      <c r="B14389" s="11">
        <f>IFERROR(__xludf.DUMMYFUNCTION("""COMPUTED_VALUE"""),25882.0)</f>
        <v>25882</v>
      </c>
      <c r="C14389" s="9">
        <f>IFERROR(__xludf.DUMMYFUNCTION("""COMPUTED_VALUE"""),7.06)</f>
        <v>7.06</v>
      </c>
      <c r="H14389" s="17"/>
      <c r="K14389" s="17"/>
      <c r="N14389" s="17"/>
    </row>
    <row r="14390">
      <c r="B14390" s="11">
        <f>IFERROR(__xludf.DUMMYFUNCTION("""COMPUTED_VALUE"""),25881.0)</f>
        <v>25881</v>
      </c>
      <c r="C14390" s="9">
        <f>IFERROR(__xludf.DUMMYFUNCTION("""COMPUTED_VALUE"""),7.06)</f>
        <v>7.06</v>
      </c>
      <c r="H14390" s="17"/>
      <c r="K14390" s="17"/>
      <c r="N14390" s="17"/>
    </row>
    <row r="14391">
      <c r="B14391" s="11">
        <f>IFERROR(__xludf.DUMMYFUNCTION("""COMPUTED_VALUE"""),25878.0)</f>
        <v>25878</v>
      </c>
      <c r="C14391" s="9">
        <f>IFERROR(__xludf.DUMMYFUNCTION("""COMPUTED_VALUE"""),7.15)</f>
        <v>7.15</v>
      </c>
      <c r="H14391" s="17"/>
      <c r="K14391" s="17"/>
      <c r="N14391" s="17"/>
    </row>
    <row r="14392">
      <c r="B14392" s="11">
        <f>IFERROR(__xludf.DUMMYFUNCTION("""COMPUTED_VALUE"""),25877.0)</f>
        <v>25877</v>
      </c>
      <c r="C14392" s="9">
        <f>IFERROR(__xludf.DUMMYFUNCTION("""COMPUTED_VALUE"""),7.2)</f>
        <v>7.2</v>
      </c>
      <c r="H14392" s="17"/>
      <c r="K14392" s="17"/>
      <c r="N14392" s="17"/>
    </row>
    <row r="14393">
      <c r="B14393" s="11">
        <f>IFERROR(__xludf.DUMMYFUNCTION("""COMPUTED_VALUE"""),25876.0)</f>
        <v>25876</v>
      </c>
      <c r="C14393" s="9">
        <f>IFERROR(__xludf.DUMMYFUNCTION("""COMPUTED_VALUE"""),7.23)</f>
        <v>7.23</v>
      </c>
      <c r="H14393" s="17"/>
      <c r="K14393" s="17"/>
      <c r="N14393" s="17"/>
    </row>
    <row r="14394">
      <c r="B14394" s="11">
        <f>IFERROR(__xludf.DUMMYFUNCTION("""COMPUTED_VALUE"""),25875.0)</f>
        <v>25875</v>
      </c>
      <c r="C14394" s="9"/>
      <c r="H14394" s="17"/>
      <c r="K14394" s="17"/>
      <c r="N14394" s="17"/>
    </row>
    <row r="14395">
      <c r="B14395" s="11">
        <f>IFERROR(__xludf.DUMMYFUNCTION("""COMPUTED_VALUE"""),25874.0)</f>
        <v>25874</v>
      </c>
      <c r="C14395" s="9">
        <f>IFERROR(__xludf.DUMMYFUNCTION("""COMPUTED_VALUE"""),7.24)</f>
        <v>7.24</v>
      </c>
      <c r="H14395" s="17"/>
      <c r="K14395" s="17"/>
      <c r="N14395" s="17"/>
    </row>
    <row r="14396">
      <c r="B14396" s="11">
        <f>IFERROR(__xludf.DUMMYFUNCTION("""COMPUTED_VALUE"""),25871.0)</f>
        <v>25871</v>
      </c>
      <c r="C14396" s="9">
        <f>IFERROR(__xludf.DUMMYFUNCTION("""COMPUTED_VALUE"""),7.33)</f>
        <v>7.33</v>
      </c>
      <c r="H14396" s="17"/>
      <c r="K14396" s="17"/>
      <c r="N14396" s="17"/>
    </row>
    <row r="14397">
      <c r="B14397" s="11">
        <f>IFERROR(__xludf.DUMMYFUNCTION("""COMPUTED_VALUE"""),25870.0)</f>
        <v>25870</v>
      </c>
      <c r="C14397" s="9">
        <f>IFERROR(__xludf.DUMMYFUNCTION("""COMPUTED_VALUE"""),7.31)</f>
        <v>7.31</v>
      </c>
      <c r="H14397" s="17"/>
      <c r="K14397" s="17"/>
      <c r="N14397" s="17"/>
    </row>
    <row r="14398">
      <c r="B14398" s="11">
        <f>IFERROR(__xludf.DUMMYFUNCTION("""COMPUTED_VALUE"""),25869.0)</f>
        <v>25869</v>
      </c>
      <c r="C14398" s="9">
        <f>IFERROR(__xludf.DUMMYFUNCTION("""COMPUTED_VALUE"""),7.38)</f>
        <v>7.38</v>
      </c>
      <c r="H14398" s="17"/>
      <c r="K14398" s="17"/>
      <c r="N14398" s="17"/>
    </row>
    <row r="14399">
      <c r="B14399" s="11">
        <f>IFERROR(__xludf.DUMMYFUNCTION("""COMPUTED_VALUE"""),25868.0)</f>
        <v>25868</v>
      </c>
      <c r="C14399" s="9">
        <f>IFERROR(__xludf.DUMMYFUNCTION("""COMPUTED_VALUE"""),7.42)</f>
        <v>7.42</v>
      </c>
      <c r="H14399" s="17"/>
      <c r="K14399" s="17"/>
      <c r="N14399" s="17"/>
    </row>
    <row r="14400">
      <c r="B14400" s="11">
        <f>IFERROR(__xludf.DUMMYFUNCTION("""COMPUTED_VALUE"""),25867.0)</f>
        <v>25867</v>
      </c>
      <c r="C14400" s="9">
        <f>IFERROR(__xludf.DUMMYFUNCTION("""COMPUTED_VALUE"""),7.44)</f>
        <v>7.44</v>
      </c>
      <c r="H14400" s="17"/>
      <c r="K14400" s="17"/>
      <c r="N14400" s="17"/>
    </row>
    <row r="14401">
      <c r="B14401" s="11">
        <f>IFERROR(__xludf.DUMMYFUNCTION("""COMPUTED_VALUE"""),25864.0)</f>
        <v>25864</v>
      </c>
      <c r="C14401" s="9">
        <f>IFERROR(__xludf.DUMMYFUNCTION("""COMPUTED_VALUE"""),7.44)</f>
        <v>7.44</v>
      </c>
      <c r="H14401" s="17"/>
      <c r="K14401" s="17"/>
      <c r="N14401" s="17"/>
    </row>
    <row r="14402">
      <c r="B14402" s="11">
        <f>IFERROR(__xludf.DUMMYFUNCTION("""COMPUTED_VALUE"""),25863.0)</f>
        <v>25863</v>
      </c>
      <c r="C14402" s="9">
        <f>IFERROR(__xludf.DUMMYFUNCTION("""COMPUTED_VALUE"""),7.46)</f>
        <v>7.46</v>
      </c>
      <c r="H14402" s="17"/>
      <c r="K14402" s="17"/>
      <c r="N14402" s="17"/>
    </row>
    <row r="14403">
      <c r="B14403" s="11">
        <f>IFERROR(__xludf.DUMMYFUNCTION("""COMPUTED_VALUE"""),25862.0)</f>
        <v>25862</v>
      </c>
      <c r="C14403" s="9">
        <f>IFERROR(__xludf.DUMMYFUNCTION("""COMPUTED_VALUE"""),7.42)</f>
        <v>7.42</v>
      </c>
      <c r="H14403" s="17"/>
      <c r="K14403" s="17"/>
      <c r="N14403" s="17"/>
    </row>
    <row r="14404">
      <c r="B14404" s="11">
        <f>IFERROR(__xludf.DUMMYFUNCTION("""COMPUTED_VALUE"""),25861.0)</f>
        <v>25861</v>
      </c>
      <c r="C14404" s="9">
        <f>IFERROR(__xludf.DUMMYFUNCTION("""COMPUTED_VALUE"""),7.37)</f>
        <v>7.37</v>
      </c>
      <c r="H14404" s="17"/>
      <c r="K14404" s="17"/>
      <c r="N14404" s="17"/>
    </row>
    <row r="14405">
      <c r="B14405" s="11">
        <f>IFERROR(__xludf.DUMMYFUNCTION("""COMPUTED_VALUE"""),25860.0)</f>
        <v>25860</v>
      </c>
      <c r="C14405" s="9">
        <f>IFERROR(__xludf.DUMMYFUNCTION("""COMPUTED_VALUE"""),7.35)</f>
        <v>7.35</v>
      </c>
      <c r="H14405" s="17"/>
      <c r="K14405" s="17"/>
      <c r="N14405" s="17"/>
    </row>
    <row r="14406">
      <c r="B14406" s="11">
        <f>IFERROR(__xludf.DUMMYFUNCTION("""COMPUTED_VALUE"""),25857.0)</f>
        <v>25857</v>
      </c>
      <c r="C14406" s="9">
        <f>IFERROR(__xludf.DUMMYFUNCTION("""COMPUTED_VALUE"""),7.31)</f>
        <v>7.31</v>
      </c>
      <c r="H14406" s="17"/>
      <c r="K14406" s="17"/>
      <c r="N14406" s="17"/>
    </row>
    <row r="14407">
      <c r="B14407" s="11">
        <f>IFERROR(__xludf.DUMMYFUNCTION("""COMPUTED_VALUE"""),25856.0)</f>
        <v>25856</v>
      </c>
      <c r="C14407" s="9">
        <f>IFERROR(__xludf.DUMMYFUNCTION("""COMPUTED_VALUE"""),7.3)</f>
        <v>7.3</v>
      </c>
      <c r="H14407" s="17"/>
      <c r="K14407" s="17"/>
      <c r="N14407" s="17"/>
    </row>
    <row r="14408">
      <c r="B14408" s="11">
        <f>IFERROR(__xludf.DUMMYFUNCTION("""COMPUTED_VALUE"""),25855.0)</f>
        <v>25855</v>
      </c>
      <c r="C14408" s="9">
        <f>IFERROR(__xludf.DUMMYFUNCTION("""COMPUTED_VALUE"""),7.3)</f>
        <v>7.3</v>
      </c>
      <c r="H14408" s="17"/>
      <c r="K14408" s="17"/>
      <c r="N14408" s="17"/>
    </row>
    <row r="14409">
      <c r="B14409" s="11">
        <f>IFERROR(__xludf.DUMMYFUNCTION("""COMPUTED_VALUE"""),25854.0)</f>
        <v>25854</v>
      </c>
      <c r="C14409" s="9">
        <f>IFERROR(__xludf.DUMMYFUNCTION("""COMPUTED_VALUE"""),7.25)</f>
        <v>7.25</v>
      </c>
      <c r="H14409" s="17"/>
      <c r="K14409" s="17"/>
      <c r="N14409" s="17"/>
    </row>
    <row r="14410">
      <c r="B14410" s="11">
        <f>IFERROR(__xludf.DUMMYFUNCTION("""COMPUTED_VALUE"""),25853.0)</f>
        <v>25853</v>
      </c>
      <c r="C14410" s="9"/>
      <c r="H14410" s="17"/>
      <c r="K14410" s="17"/>
      <c r="N14410" s="17"/>
    </row>
    <row r="14411">
      <c r="B14411" s="11">
        <f>IFERROR(__xludf.DUMMYFUNCTION("""COMPUTED_VALUE"""),25850.0)</f>
        <v>25850</v>
      </c>
      <c r="C14411" s="9">
        <f>IFERROR(__xludf.DUMMYFUNCTION("""COMPUTED_VALUE"""),7.25)</f>
        <v>7.25</v>
      </c>
      <c r="H14411" s="17"/>
      <c r="K14411" s="17"/>
      <c r="N14411" s="17"/>
    </row>
    <row r="14412">
      <c r="B14412" s="11">
        <f>IFERROR(__xludf.DUMMYFUNCTION("""COMPUTED_VALUE"""),25849.0)</f>
        <v>25849</v>
      </c>
      <c r="C14412" s="9">
        <f>IFERROR(__xludf.DUMMYFUNCTION("""COMPUTED_VALUE"""),7.25)</f>
        <v>7.25</v>
      </c>
      <c r="H14412" s="17"/>
      <c r="K14412" s="17"/>
      <c r="N14412" s="17"/>
    </row>
    <row r="14413">
      <c r="B14413" s="11">
        <f>IFERROR(__xludf.DUMMYFUNCTION("""COMPUTED_VALUE"""),25848.0)</f>
        <v>25848</v>
      </c>
      <c r="C14413" s="9">
        <f>IFERROR(__xludf.DUMMYFUNCTION("""COMPUTED_VALUE"""),7.23)</f>
        <v>7.23</v>
      </c>
      <c r="H14413" s="17"/>
      <c r="K14413" s="17"/>
      <c r="N14413" s="17"/>
    </row>
    <row r="14414">
      <c r="B14414" s="11">
        <f>IFERROR(__xludf.DUMMYFUNCTION("""COMPUTED_VALUE"""),25847.0)</f>
        <v>25847</v>
      </c>
      <c r="C14414" s="9">
        <f>IFERROR(__xludf.DUMMYFUNCTION("""COMPUTED_VALUE"""),7.24)</f>
        <v>7.24</v>
      </c>
      <c r="H14414" s="17"/>
      <c r="K14414" s="17"/>
      <c r="N14414" s="17"/>
    </row>
    <row r="14415">
      <c r="B14415" s="11">
        <f>IFERROR(__xludf.DUMMYFUNCTION("""COMPUTED_VALUE"""),25846.0)</f>
        <v>25846</v>
      </c>
      <c r="C14415" s="9">
        <f>IFERROR(__xludf.DUMMYFUNCTION("""COMPUTED_VALUE"""),7.26)</f>
        <v>7.26</v>
      </c>
      <c r="H14415" s="17"/>
      <c r="K14415" s="17"/>
      <c r="N14415" s="17"/>
    </row>
    <row r="14416">
      <c r="B14416" s="11">
        <f>IFERROR(__xludf.DUMMYFUNCTION("""COMPUTED_VALUE"""),25843.0)</f>
        <v>25843</v>
      </c>
      <c r="C14416" s="9">
        <f>IFERROR(__xludf.DUMMYFUNCTION("""COMPUTED_VALUE"""),7.26)</f>
        <v>7.26</v>
      </c>
      <c r="H14416" s="17"/>
      <c r="K14416" s="17"/>
      <c r="N14416" s="17"/>
    </row>
    <row r="14417">
      <c r="B14417" s="11">
        <f>IFERROR(__xludf.DUMMYFUNCTION("""COMPUTED_VALUE"""),25842.0)</f>
        <v>25842</v>
      </c>
      <c r="C14417" s="9">
        <f>IFERROR(__xludf.DUMMYFUNCTION("""COMPUTED_VALUE"""),7.29)</f>
        <v>7.29</v>
      </c>
      <c r="H14417" s="17"/>
      <c r="K14417" s="17"/>
      <c r="N14417" s="17"/>
    </row>
    <row r="14418">
      <c r="B14418" s="11">
        <f>IFERROR(__xludf.DUMMYFUNCTION("""COMPUTED_VALUE"""),25841.0)</f>
        <v>25841</v>
      </c>
      <c r="C14418" s="9">
        <f>IFERROR(__xludf.DUMMYFUNCTION("""COMPUTED_VALUE"""),7.29)</f>
        <v>7.29</v>
      </c>
      <c r="H14418" s="17"/>
      <c r="K14418" s="17"/>
      <c r="N14418" s="17"/>
    </row>
    <row r="14419">
      <c r="B14419" s="11">
        <f>IFERROR(__xludf.DUMMYFUNCTION("""COMPUTED_VALUE"""),25840.0)</f>
        <v>25840</v>
      </c>
      <c r="C14419" s="9">
        <f>IFERROR(__xludf.DUMMYFUNCTION("""COMPUTED_VALUE"""),7.3)</f>
        <v>7.3</v>
      </c>
      <c r="H14419" s="17"/>
      <c r="K14419" s="17"/>
      <c r="N14419" s="17"/>
    </row>
    <row r="14420">
      <c r="B14420" s="11">
        <f>IFERROR(__xludf.DUMMYFUNCTION("""COMPUTED_VALUE"""),25839.0)</f>
        <v>25839</v>
      </c>
      <c r="C14420" s="9">
        <f>IFERROR(__xludf.DUMMYFUNCTION("""COMPUTED_VALUE"""),7.31)</f>
        <v>7.31</v>
      </c>
      <c r="H14420" s="17"/>
      <c r="K14420" s="17"/>
      <c r="N14420" s="17"/>
    </row>
    <row r="14421">
      <c r="B14421" s="11">
        <f>IFERROR(__xludf.DUMMYFUNCTION("""COMPUTED_VALUE"""),25836.0)</f>
        <v>25836</v>
      </c>
      <c r="C14421" s="9">
        <f>IFERROR(__xludf.DUMMYFUNCTION("""COMPUTED_VALUE"""),7.28)</f>
        <v>7.28</v>
      </c>
      <c r="H14421" s="17"/>
      <c r="K14421" s="17"/>
      <c r="N14421" s="17"/>
    </row>
    <row r="14422">
      <c r="B14422" s="11">
        <f>IFERROR(__xludf.DUMMYFUNCTION("""COMPUTED_VALUE"""),25835.0)</f>
        <v>25835</v>
      </c>
      <c r="C14422" s="9">
        <f>IFERROR(__xludf.DUMMYFUNCTION("""COMPUTED_VALUE"""),7.26)</f>
        <v>7.26</v>
      </c>
      <c r="H14422" s="17"/>
      <c r="K14422" s="17"/>
      <c r="N14422" s="17"/>
    </row>
    <row r="14423">
      <c r="B14423" s="11">
        <f>IFERROR(__xludf.DUMMYFUNCTION("""COMPUTED_VALUE"""),25834.0)</f>
        <v>25834</v>
      </c>
      <c r="C14423" s="9">
        <f>IFERROR(__xludf.DUMMYFUNCTION("""COMPUTED_VALUE"""),7.24)</f>
        <v>7.24</v>
      </c>
      <c r="H14423" s="17"/>
      <c r="K14423" s="17"/>
      <c r="N14423" s="17"/>
    </row>
    <row r="14424">
      <c r="B14424" s="11">
        <f>IFERROR(__xludf.DUMMYFUNCTION("""COMPUTED_VALUE"""),25833.0)</f>
        <v>25833</v>
      </c>
      <c r="C14424" s="9">
        <f>IFERROR(__xludf.DUMMYFUNCTION("""COMPUTED_VALUE"""),7.28)</f>
        <v>7.28</v>
      </c>
      <c r="H14424" s="17"/>
      <c r="K14424" s="17"/>
      <c r="N14424" s="17"/>
    </row>
    <row r="14425">
      <c r="B14425" s="11">
        <f>IFERROR(__xludf.DUMMYFUNCTION("""COMPUTED_VALUE"""),25832.0)</f>
        <v>25832</v>
      </c>
      <c r="C14425" s="9">
        <f>IFERROR(__xludf.DUMMYFUNCTION("""COMPUTED_VALUE"""),7.29)</f>
        <v>7.29</v>
      </c>
      <c r="H14425" s="17"/>
      <c r="K14425" s="17"/>
      <c r="N14425" s="17"/>
    </row>
    <row r="14426">
      <c r="B14426" s="11">
        <f>IFERROR(__xludf.DUMMYFUNCTION("""COMPUTED_VALUE"""),25829.0)</f>
        <v>25829</v>
      </c>
      <c r="C14426" s="9">
        <f>IFERROR(__xludf.DUMMYFUNCTION("""COMPUTED_VALUE"""),7.31)</f>
        <v>7.31</v>
      </c>
      <c r="H14426" s="17"/>
      <c r="K14426" s="17"/>
      <c r="N14426" s="17"/>
    </row>
    <row r="14427">
      <c r="B14427" s="11">
        <f>IFERROR(__xludf.DUMMYFUNCTION("""COMPUTED_VALUE"""),25828.0)</f>
        <v>25828</v>
      </c>
      <c r="C14427" s="9">
        <f>IFERROR(__xludf.DUMMYFUNCTION("""COMPUTED_VALUE"""),7.32)</f>
        <v>7.32</v>
      </c>
      <c r="H14427" s="17"/>
      <c r="K14427" s="17"/>
      <c r="N14427" s="17"/>
    </row>
    <row r="14428">
      <c r="B14428" s="11">
        <f>IFERROR(__xludf.DUMMYFUNCTION("""COMPUTED_VALUE"""),25827.0)</f>
        <v>25827</v>
      </c>
      <c r="C14428" s="9">
        <f>IFERROR(__xludf.DUMMYFUNCTION("""COMPUTED_VALUE"""),7.4)</f>
        <v>7.4</v>
      </c>
      <c r="H14428" s="17"/>
      <c r="K14428" s="17"/>
      <c r="N14428" s="17"/>
    </row>
    <row r="14429">
      <c r="B14429" s="11">
        <f>IFERROR(__xludf.DUMMYFUNCTION("""COMPUTED_VALUE"""),25826.0)</f>
        <v>25826</v>
      </c>
      <c r="C14429" s="9">
        <f>IFERROR(__xludf.DUMMYFUNCTION("""COMPUTED_VALUE"""),7.46)</f>
        <v>7.46</v>
      </c>
      <c r="H14429" s="17"/>
      <c r="K14429" s="17"/>
      <c r="N14429" s="17"/>
    </row>
    <row r="14430">
      <c r="B14430" s="11">
        <f>IFERROR(__xludf.DUMMYFUNCTION("""COMPUTED_VALUE"""),25825.0)</f>
        <v>25825</v>
      </c>
      <c r="C14430" s="9">
        <f>IFERROR(__xludf.DUMMYFUNCTION("""COMPUTED_VALUE"""),7.48)</f>
        <v>7.48</v>
      </c>
      <c r="H14430" s="17"/>
      <c r="K14430" s="17"/>
      <c r="N14430" s="17"/>
    </row>
    <row r="14431">
      <c r="B14431" s="11">
        <f>IFERROR(__xludf.DUMMYFUNCTION("""COMPUTED_VALUE"""),25822.0)</f>
        <v>25822</v>
      </c>
      <c r="C14431" s="9">
        <f>IFERROR(__xludf.DUMMYFUNCTION("""COMPUTED_VALUE"""),7.5)</f>
        <v>7.5</v>
      </c>
      <c r="H14431" s="17"/>
      <c r="K14431" s="17"/>
      <c r="N14431" s="17"/>
    </row>
    <row r="14432">
      <c r="B14432" s="11">
        <f>IFERROR(__xludf.DUMMYFUNCTION("""COMPUTED_VALUE"""),25821.0)</f>
        <v>25821</v>
      </c>
      <c r="C14432" s="9">
        <f>IFERROR(__xludf.DUMMYFUNCTION("""COMPUTED_VALUE"""),7.52)</f>
        <v>7.52</v>
      </c>
      <c r="H14432" s="17"/>
      <c r="K14432" s="17"/>
      <c r="N14432" s="17"/>
    </row>
    <row r="14433">
      <c r="B14433" s="11">
        <f>IFERROR(__xludf.DUMMYFUNCTION("""COMPUTED_VALUE"""),25820.0)</f>
        <v>25820</v>
      </c>
      <c r="C14433" s="9">
        <f>IFERROR(__xludf.DUMMYFUNCTION("""COMPUTED_VALUE"""),7.54)</f>
        <v>7.54</v>
      </c>
      <c r="H14433" s="17"/>
      <c r="K14433" s="17"/>
      <c r="N14433" s="17"/>
    </row>
    <row r="14434">
      <c r="B14434" s="11">
        <f>IFERROR(__xludf.DUMMYFUNCTION("""COMPUTED_VALUE"""),25819.0)</f>
        <v>25819</v>
      </c>
      <c r="C14434" s="9">
        <f>IFERROR(__xludf.DUMMYFUNCTION("""COMPUTED_VALUE"""),7.5)</f>
        <v>7.5</v>
      </c>
      <c r="H14434" s="17"/>
      <c r="K14434" s="17"/>
      <c r="N14434" s="17"/>
    </row>
    <row r="14435">
      <c r="B14435" s="11">
        <f>IFERROR(__xludf.DUMMYFUNCTION("""COMPUTED_VALUE"""),25818.0)</f>
        <v>25818</v>
      </c>
      <c r="C14435" s="9"/>
      <c r="H14435" s="17"/>
      <c r="K14435" s="17"/>
      <c r="N14435" s="17"/>
    </row>
    <row r="14436">
      <c r="B14436" s="11">
        <f>IFERROR(__xludf.DUMMYFUNCTION("""COMPUTED_VALUE"""),25815.0)</f>
        <v>25815</v>
      </c>
      <c r="C14436" s="9">
        <f>IFERROR(__xludf.DUMMYFUNCTION("""COMPUTED_VALUE"""),7.47)</f>
        <v>7.47</v>
      </c>
      <c r="H14436" s="17"/>
      <c r="K14436" s="17"/>
      <c r="N14436" s="17"/>
    </row>
    <row r="14437">
      <c r="B14437" s="11">
        <f>IFERROR(__xludf.DUMMYFUNCTION("""COMPUTED_VALUE"""),25814.0)</f>
        <v>25814</v>
      </c>
      <c r="C14437" s="9">
        <f>IFERROR(__xludf.DUMMYFUNCTION("""COMPUTED_VALUE"""),7.48)</f>
        <v>7.48</v>
      </c>
      <c r="H14437" s="17"/>
      <c r="K14437" s="17"/>
      <c r="N14437" s="17"/>
    </row>
    <row r="14438">
      <c r="B14438" s="11">
        <f>IFERROR(__xludf.DUMMYFUNCTION("""COMPUTED_VALUE"""),25813.0)</f>
        <v>25813</v>
      </c>
      <c r="C14438" s="9">
        <f>IFERROR(__xludf.DUMMYFUNCTION("""COMPUTED_VALUE"""),7.48)</f>
        <v>7.48</v>
      </c>
      <c r="H14438" s="17"/>
      <c r="K14438" s="17"/>
      <c r="N14438" s="17"/>
    </row>
    <row r="14439">
      <c r="B14439" s="11">
        <f>IFERROR(__xludf.DUMMYFUNCTION("""COMPUTED_VALUE"""),25812.0)</f>
        <v>25812</v>
      </c>
      <c r="C14439" s="9">
        <f>IFERROR(__xludf.DUMMYFUNCTION("""COMPUTED_VALUE"""),7.47)</f>
        <v>7.47</v>
      </c>
      <c r="H14439" s="17"/>
      <c r="K14439" s="17"/>
      <c r="N14439" s="17"/>
    </row>
    <row r="14440">
      <c r="B14440" s="11">
        <f>IFERROR(__xludf.DUMMYFUNCTION("""COMPUTED_VALUE"""),25811.0)</f>
        <v>25811</v>
      </c>
      <c r="C14440" s="9">
        <f>IFERROR(__xludf.DUMMYFUNCTION("""COMPUTED_VALUE"""),7.49)</f>
        <v>7.49</v>
      </c>
      <c r="H14440" s="17"/>
      <c r="K14440" s="17"/>
      <c r="N14440" s="17"/>
    </row>
    <row r="14441">
      <c r="B14441" s="11">
        <f>IFERROR(__xludf.DUMMYFUNCTION("""COMPUTED_VALUE"""),25808.0)</f>
        <v>25808</v>
      </c>
      <c r="C14441" s="9">
        <f>IFERROR(__xludf.DUMMYFUNCTION("""COMPUTED_VALUE"""),7.49)</f>
        <v>7.49</v>
      </c>
      <c r="H14441" s="17"/>
      <c r="K14441" s="17"/>
      <c r="N14441" s="17"/>
    </row>
    <row r="14442">
      <c r="B14442" s="11">
        <f>IFERROR(__xludf.DUMMYFUNCTION("""COMPUTED_VALUE"""),25807.0)</f>
        <v>25807</v>
      </c>
      <c r="C14442" s="9">
        <f>IFERROR(__xludf.DUMMYFUNCTION("""COMPUTED_VALUE"""),7.48)</f>
        <v>7.48</v>
      </c>
      <c r="H14442" s="17"/>
      <c r="K14442" s="17"/>
      <c r="N14442" s="17"/>
    </row>
    <row r="14443">
      <c r="B14443" s="11">
        <f>IFERROR(__xludf.DUMMYFUNCTION("""COMPUTED_VALUE"""),25806.0)</f>
        <v>25806</v>
      </c>
      <c r="C14443" s="9">
        <f>IFERROR(__xludf.DUMMYFUNCTION("""COMPUTED_VALUE"""),7.45)</f>
        <v>7.45</v>
      </c>
      <c r="H14443" s="17"/>
      <c r="K14443" s="17"/>
      <c r="N14443" s="17"/>
    </row>
    <row r="14444">
      <c r="B14444" s="11">
        <f>IFERROR(__xludf.DUMMYFUNCTION("""COMPUTED_VALUE"""),25805.0)</f>
        <v>25805</v>
      </c>
      <c r="C14444" s="9">
        <f>IFERROR(__xludf.DUMMYFUNCTION("""COMPUTED_VALUE"""),7.46)</f>
        <v>7.46</v>
      </c>
      <c r="H14444" s="17"/>
      <c r="K14444" s="17"/>
      <c r="N14444" s="17"/>
    </row>
    <row r="14445">
      <c r="B14445" s="11">
        <f>IFERROR(__xludf.DUMMYFUNCTION("""COMPUTED_VALUE"""),25804.0)</f>
        <v>25804</v>
      </c>
      <c r="C14445" s="9">
        <f>IFERROR(__xludf.DUMMYFUNCTION("""COMPUTED_VALUE"""),7.48)</f>
        <v>7.48</v>
      </c>
      <c r="H14445" s="17"/>
      <c r="K14445" s="17"/>
      <c r="N14445" s="17"/>
    </row>
    <row r="14446">
      <c r="B14446" s="11">
        <f>IFERROR(__xludf.DUMMYFUNCTION("""COMPUTED_VALUE"""),25801.0)</f>
        <v>25801</v>
      </c>
      <c r="C14446" s="9">
        <f>IFERROR(__xludf.DUMMYFUNCTION("""COMPUTED_VALUE"""),7.6)</f>
        <v>7.6</v>
      </c>
      <c r="H14446" s="17"/>
      <c r="K14446" s="17"/>
      <c r="N14446" s="17"/>
    </row>
    <row r="14447">
      <c r="B14447" s="11">
        <f>IFERROR(__xludf.DUMMYFUNCTION("""COMPUTED_VALUE"""),25800.0)</f>
        <v>25800</v>
      </c>
      <c r="C14447" s="9">
        <f>IFERROR(__xludf.DUMMYFUNCTION("""COMPUTED_VALUE"""),7.64)</f>
        <v>7.64</v>
      </c>
      <c r="H14447" s="17"/>
      <c r="K14447" s="17"/>
      <c r="N14447" s="17"/>
    </row>
    <row r="14448">
      <c r="B14448" s="11">
        <f>IFERROR(__xludf.DUMMYFUNCTION("""COMPUTED_VALUE"""),25799.0)</f>
        <v>25799</v>
      </c>
      <c r="C14448" s="9">
        <f>IFERROR(__xludf.DUMMYFUNCTION("""COMPUTED_VALUE"""),7.65)</f>
        <v>7.65</v>
      </c>
      <c r="H14448" s="17"/>
      <c r="K14448" s="17"/>
      <c r="N14448" s="17"/>
    </row>
    <row r="14449">
      <c r="B14449" s="11">
        <f>IFERROR(__xludf.DUMMYFUNCTION("""COMPUTED_VALUE"""),25798.0)</f>
        <v>25798</v>
      </c>
      <c r="C14449" s="9">
        <f>IFERROR(__xludf.DUMMYFUNCTION("""COMPUTED_VALUE"""),7.68)</f>
        <v>7.68</v>
      </c>
      <c r="H14449" s="17"/>
      <c r="K14449" s="17"/>
      <c r="N14449" s="17"/>
    </row>
    <row r="14450">
      <c r="B14450" s="11">
        <f>IFERROR(__xludf.DUMMYFUNCTION("""COMPUTED_VALUE"""),25797.0)</f>
        <v>25797</v>
      </c>
      <c r="C14450" s="9">
        <f>IFERROR(__xludf.DUMMYFUNCTION("""COMPUTED_VALUE"""),7.71)</f>
        <v>7.71</v>
      </c>
      <c r="H14450" s="17"/>
      <c r="K14450" s="17"/>
      <c r="N14450" s="17"/>
    </row>
    <row r="14451">
      <c r="B14451" s="11">
        <f>IFERROR(__xludf.DUMMYFUNCTION("""COMPUTED_VALUE"""),25794.0)</f>
        <v>25794</v>
      </c>
      <c r="C14451" s="9">
        <f>IFERROR(__xludf.DUMMYFUNCTION("""COMPUTED_VALUE"""),7.67)</f>
        <v>7.67</v>
      </c>
      <c r="H14451" s="17"/>
      <c r="K14451" s="17"/>
      <c r="N14451" s="17"/>
    </row>
    <row r="14452">
      <c r="B14452" s="11">
        <f>IFERROR(__xludf.DUMMYFUNCTION("""COMPUTED_VALUE"""),25793.0)</f>
        <v>25793</v>
      </c>
      <c r="C14452" s="9">
        <f>IFERROR(__xludf.DUMMYFUNCTION("""COMPUTED_VALUE"""),7.58)</f>
        <v>7.58</v>
      </c>
      <c r="H14452" s="17"/>
      <c r="K14452" s="17"/>
      <c r="N14452" s="17"/>
    </row>
    <row r="14453">
      <c r="B14453" s="11">
        <f>IFERROR(__xludf.DUMMYFUNCTION("""COMPUTED_VALUE"""),25792.0)</f>
        <v>25792</v>
      </c>
      <c r="C14453" s="9">
        <f>IFERROR(__xludf.DUMMYFUNCTION("""COMPUTED_VALUE"""),7.56)</f>
        <v>7.56</v>
      </c>
      <c r="H14453" s="17"/>
      <c r="K14453" s="17"/>
      <c r="N14453" s="17"/>
    </row>
    <row r="14454">
      <c r="B14454" s="11">
        <f>IFERROR(__xludf.DUMMYFUNCTION("""COMPUTED_VALUE"""),25791.0)</f>
        <v>25791</v>
      </c>
      <c r="C14454" s="9">
        <f>IFERROR(__xludf.DUMMYFUNCTION("""COMPUTED_VALUE"""),7.54)</f>
        <v>7.54</v>
      </c>
      <c r="H14454" s="17"/>
      <c r="K14454" s="17"/>
      <c r="N14454" s="17"/>
    </row>
    <row r="14455">
      <c r="B14455" s="11">
        <f>IFERROR(__xludf.DUMMYFUNCTION("""COMPUTED_VALUE"""),25790.0)</f>
        <v>25790</v>
      </c>
      <c r="C14455" s="9">
        <f>IFERROR(__xludf.DUMMYFUNCTION("""COMPUTED_VALUE"""),7.5)</f>
        <v>7.5</v>
      </c>
      <c r="H14455" s="17"/>
      <c r="K14455" s="17"/>
      <c r="N14455" s="17"/>
    </row>
    <row r="14456">
      <c r="B14456" s="11">
        <f>IFERROR(__xludf.DUMMYFUNCTION("""COMPUTED_VALUE"""),25787.0)</f>
        <v>25787</v>
      </c>
      <c r="C14456" s="9">
        <f>IFERROR(__xludf.DUMMYFUNCTION("""COMPUTED_VALUE"""),7.45)</f>
        <v>7.45</v>
      </c>
      <c r="H14456" s="17"/>
      <c r="K14456" s="17"/>
      <c r="N14456" s="17"/>
    </row>
    <row r="14457">
      <c r="B14457" s="11">
        <f>IFERROR(__xludf.DUMMYFUNCTION("""COMPUTED_VALUE"""),25786.0)</f>
        <v>25786</v>
      </c>
      <c r="C14457" s="9">
        <f>IFERROR(__xludf.DUMMYFUNCTION("""COMPUTED_VALUE"""),7.43)</f>
        <v>7.43</v>
      </c>
      <c r="H14457" s="17"/>
      <c r="K14457" s="17"/>
      <c r="N14457" s="17"/>
    </row>
    <row r="14458">
      <c r="B14458" s="11">
        <f>IFERROR(__xludf.DUMMYFUNCTION("""COMPUTED_VALUE"""),25785.0)</f>
        <v>25785</v>
      </c>
      <c r="C14458" s="9">
        <f>IFERROR(__xludf.DUMMYFUNCTION("""COMPUTED_VALUE"""),7.42)</f>
        <v>7.42</v>
      </c>
      <c r="H14458" s="17"/>
      <c r="K14458" s="17"/>
      <c r="N14458" s="17"/>
    </row>
    <row r="14459">
      <c r="B14459" s="11">
        <f>IFERROR(__xludf.DUMMYFUNCTION("""COMPUTED_VALUE"""),25784.0)</f>
        <v>25784</v>
      </c>
      <c r="C14459" s="9">
        <f>IFERROR(__xludf.DUMMYFUNCTION("""COMPUTED_VALUE"""),7.4)</f>
        <v>7.4</v>
      </c>
      <c r="H14459" s="17"/>
      <c r="K14459" s="17"/>
      <c r="N14459" s="17"/>
    </row>
    <row r="14460">
      <c r="B14460" s="11">
        <f>IFERROR(__xludf.DUMMYFUNCTION("""COMPUTED_VALUE"""),25783.0)</f>
        <v>25783</v>
      </c>
      <c r="C14460" s="9">
        <f>IFERROR(__xludf.DUMMYFUNCTION("""COMPUTED_VALUE"""),7.39)</f>
        <v>7.39</v>
      </c>
      <c r="H14460" s="17"/>
      <c r="K14460" s="17"/>
      <c r="N14460" s="17"/>
    </row>
    <row r="14461">
      <c r="B14461" s="11">
        <f>IFERROR(__xludf.DUMMYFUNCTION("""COMPUTED_VALUE"""),25780.0)</f>
        <v>25780</v>
      </c>
      <c r="C14461" s="9">
        <f>IFERROR(__xludf.DUMMYFUNCTION("""COMPUTED_VALUE"""),7.38)</f>
        <v>7.38</v>
      </c>
      <c r="H14461" s="17"/>
      <c r="K14461" s="17"/>
      <c r="N14461" s="17"/>
    </row>
    <row r="14462">
      <c r="B14462" s="11">
        <f>IFERROR(__xludf.DUMMYFUNCTION("""COMPUTED_VALUE"""),25779.0)</f>
        <v>25779</v>
      </c>
      <c r="C14462" s="9">
        <f>IFERROR(__xludf.DUMMYFUNCTION("""COMPUTED_VALUE"""),7.38)</f>
        <v>7.38</v>
      </c>
      <c r="H14462" s="17"/>
      <c r="K14462" s="17"/>
      <c r="N14462" s="17"/>
    </row>
    <row r="14463">
      <c r="B14463" s="11">
        <f>IFERROR(__xludf.DUMMYFUNCTION("""COMPUTED_VALUE"""),25778.0)</f>
        <v>25778</v>
      </c>
      <c r="C14463" s="9">
        <f>IFERROR(__xludf.DUMMYFUNCTION("""COMPUTED_VALUE"""),7.39)</f>
        <v>7.39</v>
      </c>
      <c r="H14463" s="17"/>
      <c r="K14463" s="17"/>
      <c r="N14463" s="17"/>
    </row>
    <row r="14464">
      <c r="B14464" s="11">
        <f>IFERROR(__xludf.DUMMYFUNCTION("""COMPUTED_VALUE"""),25777.0)</f>
        <v>25777</v>
      </c>
      <c r="C14464" s="9">
        <f>IFERROR(__xludf.DUMMYFUNCTION("""COMPUTED_VALUE"""),7.41)</f>
        <v>7.41</v>
      </c>
      <c r="H14464" s="17"/>
      <c r="K14464" s="17"/>
      <c r="N14464" s="17"/>
    </row>
    <row r="14465">
      <c r="B14465" s="11">
        <f>IFERROR(__xludf.DUMMYFUNCTION("""COMPUTED_VALUE"""),25776.0)</f>
        <v>25776</v>
      </c>
      <c r="C14465" s="9">
        <f>IFERROR(__xludf.DUMMYFUNCTION("""COMPUTED_VALUE"""),7.36)</f>
        <v>7.36</v>
      </c>
      <c r="H14465" s="17"/>
      <c r="K14465" s="17"/>
      <c r="N14465" s="17"/>
    </row>
    <row r="14466">
      <c r="B14466" s="11">
        <f>IFERROR(__xludf.DUMMYFUNCTION("""COMPUTED_VALUE"""),25773.0)</f>
        <v>25773</v>
      </c>
      <c r="C14466" s="9">
        <f>IFERROR(__xludf.DUMMYFUNCTION("""COMPUTED_VALUE"""),7.34)</f>
        <v>7.34</v>
      </c>
      <c r="H14466" s="17"/>
      <c r="K14466" s="17"/>
      <c r="N14466" s="17"/>
    </row>
    <row r="14467">
      <c r="B14467" s="11">
        <f>IFERROR(__xludf.DUMMYFUNCTION("""COMPUTED_VALUE"""),25772.0)</f>
        <v>25772</v>
      </c>
      <c r="C14467" s="9">
        <f>IFERROR(__xludf.DUMMYFUNCTION("""COMPUTED_VALUE"""),7.32)</f>
        <v>7.32</v>
      </c>
      <c r="H14467" s="17"/>
      <c r="K14467" s="17"/>
      <c r="N14467" s="17"/>
    </row>
    <row r="14468">
      <c r="B14468" s="11">
        <f>IFERROR(__xludf.DUMMYFUNCTION("""COMPUTED_VALUE"""),25771.0)</f>
        <v>25771</v>
      </c>
      <c r="C14468" s="9">
        <f>IFERROR(__xludf.DUMMYFUNCTION("""COMPUTED_VALUE"""),7.43)</f>
        <v>7.43</v>
      </c>
      <c r="H14468" s="17"/>
      <c r="K14468" s="17"/>
      <c r="N14468" s="17"/>
    </row>
    <row r="14469">
      <c r="B14469" s="11">
        <f>IFERROR(__xludf.DUMMYFUNCTION("""COMPUTED_VALUE"""),25770.0)</f>
        <v>25770</v>
      </c>
      <c r="C14469" s="9">
        <f>IFERROR(__xludf.DUMMYFUNCTION("""COMPUTED_VALUE"""),7.45)</f>
        <v>7.45</v>
      </c>
      <c r="H14469" s="17"/>
      <c r="K14469" s="17"/>
      <c r="N14469" s="17"/>
    </row>
    <row r="14470">
      <c r="B14470" s="11">
        <f>IFERROR(__xludf.DUMMYFUNCTION("""COMPUTED_VALUE"""),25769.0)</f>
        <v>25769</v>
      </c>
      <c r="C14470" s="9">
        <f>IFERROR(__xludf.DUMMYFUNCTION("""COMPUTED_VALUE"""),7.46)</f>
        <v>7.46</v>
      </c>
      <c r="H14470" s="17"/>
      <c r="K14470" s="17"/>
      <c r="N14470" s="17"/>
    </row>
    <row r="14471">
      <c r="B14471" s="11">
        <f>IFERROR(__xludf.DUMMYFUNCTION("""COMPUTED_VALUE"""),25766.0)</f>
        <v>25766</v>
      </c>
      <c r="C14471" s="9">
        <f>IFERROR(__xludf.DUMMYFUNCTION("""COMPUTED_VALUE"""),7.45)</f>
        <v>7.45</v>
      </c>
      <c r="H14471" s="17"/>
      <c r="K14471" s="17"/>
      <c r="N14471" s="17"/>
    </row>
    <row r="14472">
      <c r="B14472" s="11">
        <f>IFERROR(__xludf.DUMMYFUNCTION("""COMPUTED_VALUE"""),25765.0)</f>
        <v>25765</v>
      </c>
      <c r="C14472" s="9">
        <f>IFERROR(__xludf.DUMMYFUNCTION("""COMPUTED_VALUE"""),7.46)</f>
        <v>7.46</v>
      </c>
      <c r="H14472" s="17"/>
      <c r="K14472" s="17"/>
      <c r="N14472" s="17"/>
    </row>
    <row r="14473">
      <c r="B14473" s="11">
        <f>IFERROR(__xludf.DUMMYFUNCTION("""COMPUTED_VALUE"""),25764.0)</f>
        <v>25764</v>
      </c>
      <c r="C14473" s="9">
        <f>IFERROR(__xludf.DUMMYFUNCTION("""COMPUTED_VALUE"""),7.49)</f>
        <v>7.49</v>
      </c>
      <c r="H14473" s="17"/>
      <c r="K14473" s="17"/>
      <c r="N14473" s="17"/>
    </row>
    <row r="14474">
      <c r="B14474" s="11">
        <f>IFERROR(__xludf.DUMMYFUNCTION("""COMPUTED_VALUE"""),25763.0)</f>
        <v>25763</v>
      </c>
      <c r="C14474" s="9">
        <f>IFERROR(__xludf.DUMMYFUNCTION("""COMPUTED_VALUE"""),7.53)</f>
        <v>7.53</v>
      </c>
      <c r="H14474" s="17"/>
      <c r="K14474" s="17"/>
      <c r="N14474" s="17"/>
    </row>
    <row r="14475">
      <c r="B14475" s="11">
        <f>IFERROR(__xludf.DUMMYFUNCTION("""COMPUTED_VALUE"""),25762.0)</f>
        <v>25762</v>
      </c>
      <c r="C14475" s="9">
        <f>IFERROR(__xludf.DUMMYFUNCTION("""COMPUTED_VALUE"""),7.55)</f>
        <v>7.55</v>
      </c>
      <c r="H14475" s="17"/>
      <c r="K14475" s="17"/>
      <c r="N14475" s="17"/>
    </row>
    <row r="14476">
      <c r="B14476" s="11">
        <f>IFERROR(__xludf.DUMMYFUNCTION("""COMPUTED_VALUE"""),25759.0)</f>
        <v>25759</v>
      </c>
      <c r="C14476" s="9">
        <f>IFERROR(__xludf.DUMMYFUNCTION("""COMPUTED_VALUE"""),7.54)</f>
        <v>7.54</v>
      </c>
      <c r="H14476" s="17"/>
      <c r="K14476" s="17"/>
      <c r="N14476" s="17"/>
    </row>
    <row r="14477">
      <c r="B14477" s="11">
        <f>IFERROR(__xludf.DUMMYFUNCTION("""COMPUTED_VALUE"""),25758.0)</f>
        <v>25758</v>
      </c>
      <c r="C14477" s="9">
        <f>IFERROR(__xludf.DUMMYFUNCTION("""COMPUTED_VALUE"""),7.49)</f>
        <v>7.49</v>
      </c>
      <c r="H14477" s="17"/>
      <c r="K14477" s="17"/>
      <c r="N14477" s="17"/>
    </row>
    <row r="14478">
      <c r="B14478" s="11">
        <f>IFERROR(__xludf.DUMMYFUNCTION("""COMPUTED_VALUE"""),25757.0)</f>
        <v>25757</v>
      </c>
      <c r="C14478" s="9">
        <f>IFERROR(__xludf.DUMMYFUNCTION("""COMPUTED_VALUE"""),7.49)</f>
        <v>7.49</v>
      </c>
      <c r="H14478" s="17"/>
      <c r="K14478" s="17"/>
      <c r="N14478" s="17"/>
    </row>
    <row r="14479">
      <c r="B14479" s="11">
        <f>IFERROR(__xludf.DUMMYFUNCTION("""COMPUTED_VALUE"""),25756.0)</f>
        <v>25756</v>
      </c>
      <c r="C14479" s="9">
        <f>IFERROR(__xludf.DUMMYFUNCTION("""COMPUTED_VALUE"""),7.46)</f>
        <v>7.46</v>
      </c>
      <c r="H14479" s="17"/>
      <c r="K14479" s="17"/>
      <c r="N14479" s="17"/>
    </row>
    <row r="14480">
      <c r="B14480" s="11">
        <f>IFERROR(__xludf.DUMMYFUNCTION("""COMPUTED_VALUE"""),25755.0)</f>
        <v>25755</v>
      </c>
      <c r="C14480" s="9">
        <f>IFERROR(__xludf.DUMMYFUNCTION("""COMPUTED_VALUE"""),7.49)</f>
        <v>7.49</v>
      </c>
      <c r="H14480" s="17"/>
      <c r="K14480" s="17"/>
      <c r="N14480" s="17"/>
    </row>
    <row r="14481">
      <c r="B14481" s="11">
        <f>IFERROR(__xludf.DUMMYFUNCTION("""COMPUTED_VALUE"""),25752.0)</f>
        <v>25752</v>
      </c>
      <c r="C14481" s="9"/>
      <c r="H14481" s="17"/>
      <c r="K14481" s="17"/>
      <c r="N14481" s="17"/>
    </row>
    <row r="14482">
      <c r="B14482" s="11">
        <f>IFERROR(__xludf.DUMMYFUNCTION("""COMPUTED_VALUE"""),25751.0)</f>
        <v>25751</v>
      </c>
      <c r="C14482" s="9">
        <f>IFERROR(__xludf.DUMMYFUNCTION("""COMPUTED_VALUE"""),7.55)</f>
        <v>7.55</v>
      </c>
      <c r="H14482" s="17"/>
      <c r="K14482" s="17"/>
      <c r="N14482" s="17"/>
    </row>
    <row r="14483">
      <c r="B14483" s="11">
        <f>IFERROR(__xludf.DUMMYFUNCTION("""COMPUTED_VALUE"""),25750.0)</f>
        <v>25750</v>
      </c>
      <c r="C14483" s="9">
        <f>IFERROR(__xludf.DUMMYFUNCTION("""COMPUTED_VALUE"""),7.64)</f>
        <v>7.64</v>
      </c>
      <c r="H14483" s="17"/>
      <c r="K14483" s="17"/>
      <c r="N14483" s="17"/>
    </row>
    <row r="14484">
      <c r="B14484" s="11">
        <f>IFERROR(__xludf.DUMMYFUNCTION("""COMPUTED_VALUE"""),25749.0)</f>
        <v>25749</v>
      </c>
      <c r="C14484" s="9">
        <f>IFERROR(__xludf.DUMMYFUNCTION("""COMPUTED_VALUE"""),7.68)</f>
        <v>7.68</v>
      </c>
      <c r="H14484" s="17"/>
      <c r="K14484" s="17"/>
      <c r="N14484" s="17"/>
    </row>
    <row r="14485">
      <c r="B14485" s="11">
        <f>IFERROR(__xludf.DUMMYFUNCTION("""COMPUTED_VALUE"""),25748.0)</f>
        <v>25748</v>
      </c>
      <c r="C14485" s="9">
        <f>IFERROR(__xludf.DUMMYFUNCTION("""COMPUTED_VALUE"""),7.76)</f>
        <v>7.76</v>
      </c>
      <c r="H14485" s="17"/>
      <c r="K14485" s="17"/>
      <c r="N14485" s="17"/>
    </row>
    <row r="14486">
      <c r="B14486" s="11">
        <f>IFERROR(__xludf.DUMMYFUNCTION("""COMPUTED_VALUE"""),25745.0)</f>
        <v>25745</v>
      </c>
      <c r="C14486" s="9">
        <f>IFERROR(__xludf.DUMMYFUNCTION("""COMPUTED_VALUE"""),7.78)</f>
        <v>7.78</v>
      </c>
      <c r="H14486" s="17"/>
      <c r="K14486" s="17"/>
      <c r="N14486" s="17"/>
    </row>
    <row r="14487">
      <c r="B14487" s="11">
        <f>IFERROR(__xludf.DUMMYFUNCTION("""COMPUTED_VALUE"""),25744.0)</f>
        <v>25744</v>
      </c>
      <c r="C14487" s="9">
        <f>IFERROR(__xludf.DUMMYFUNCTION("""COMPUTED_VALUE"""),7.76)</f>
        <v>7.76</v>
      </c>
      <c r="H14487" s="17"/>
      <c r="K14487" s="17"/>
      <c r="N14487" s="17"/>
    </row>
    <row r="14488">
      <c r="B14488" s="11">
        <f>IFERROR(__xludf.DUMMYFUNCTION("""COMPUTED_VALUE"""),25743.0)</f>
        <v>25743</v>
      </c>
      <c r="C14488" s="9">
        <f>IFERROR(__xludf.DUMMYFUNCTION("""COMPUTED_VALUE"""),7.74)</f>
        <v>7.74</v>
      </c>
      <c r="H14488" s="17"/>
      <c r="K14488" s="17"/>
      <c r="N14488" s="17"/>
    </row>
    <row r="14489">
      <c r="B14489" s="11">
        <f>IFERROR(__xludf.DUMMYFUNCTION("""COMPUTED_VALUE"""),25742.0)</f>
        <v>25742</v>
      </c>
      <c r="C14489" s="9">
        <f>IFERROR(__xludf.DUMMYFUNCTION("""COMPUTED_VALUE"""),7.79)</f>
        <v>7.79</v>
      </c>
      <c r="H14489" s="17"/>
      <c r="K14489" s="17"/>
      <c r="N14489" s="17"/>
    </row>
    <row r="14490">
      <c r="B14490" s="11">
        <f>IFERROR(__xludf.DUMMYFUNCTION("""COMPUTED_VALUE"""),25741.0)</f>
        <v>25741</v>
      </c>
      <c r="C14490" s="9">
        <f>IFERROR(__xludf.DUMMYFUNCTION("""COMPUTED_VALUE"""),7.86)</f>
        <v>7.86</v>
      </c>
      <c r="H14490" s="17"/>
      <c r="K14490" s="17"/>
      <c r="N14490" s="17"/>
    </row>
    <row r="14491">
      <c r="B14491" s="11">
        <f>IFERROR(__xludf.DUMMYFUNCTION("""COMPUTED_VALUE"""),25738.0)</f>
        <v>25738</v>
      </c>
      <c r="C14491" s="9">
        <f>IFERROR(__xludf.DUMMYFUNCTION("""COMPUTED_VALUE"""),7.9)</f>
        <v>7.9</v>
      </c>
      <c r="H14491" s="17"/>
      <c r="K14491" s="17"/>
      <c r="N14491" s="17"/>
    </row>
    <row r="14492">
      <c r="B14492" s="11">
        <f>IFERROR(__xludf.DUMMYFUNCTION("""COMPUTED_VALUE"""),25737.0)</f>
        <v>25737</v>
      </c>
      <c r="C14492" s="9">
        <f>IFERROR(__xludf.DUMMYFUNCTION("""COMPUTED_VALUE"""),7.9)</f>
        <v>7.9</v>
      </c>
      <c r="H14492" s="17"/>
      <c r="K14492" s="17"/>
      <c r="N14492" s="17"/>
    </row>
    <row r="14493">
      <c r="B14493" s="11">
        <f>IFERROR(__xludf.DUMMYFUNCTION("""COMPUTED_VALUE"""),25736.0)</f>
        <v>25736</v>
      </c>
      <c r="C14493" s="9">
        <f>IFERROR(__xludf.DUMMYFUNCTION("""COMPUTED_VALUE"""),7.9)</f>
        <v>7.9</v>
      </c>
      <c r="H14493" s="17"/>
      <c r="K14493" s="17"/>
      <c r="N14493" s="17"/>
    </row>
    <row r="14494">
      <c r="B14494" s="11">
        <f>IFERROR(__xludf.DUMMYFUNCTION("""COMPUTED_VALUE"""),25735.0)</f>
        <v>25735</v>
      </c>
      <c r="C14494" s="9">
        <f>IFERROR(__xludf.DUMMYFUNCTION("""COMPUTED_VALUE"""),7.87)</f>
        <v>7.87</v>
      </c>
      <c r="H14494" s="17"/>
      <c r="K14494" s="17"/>
      <c r="N14494" s="17"/>
    </row>
    <row r="14495">
      <c r="B14495" s="11">
        <f>IFERROR(__xludf.DUMMYFUNCTION("""COMPUTED_VALUE"""),25734.0)</f>
        <v>25734</v>
      </c>
      <c r="C14495" s="9">
        <f>IFERROR(__xludf.DUMMYFUNCTION("""COMPUTED_VALUE"""),7.98)</f>
        <v>7.98</v>
      </c>
      <c r="H14495" s="17"/>
      <c r="K14495" s="17"/>
      <c r="N14495" s="17"/>
    </row>
    <row r="14496">
      <c r="B14496" s="11">
        <f>IFERROR(__xludf.DUMMYFUNCTION("""COMPUTED_VALUE"""),25731.0)</f>
        <v>25731</v>
      </c>
      <c r="C14496" s="9">
        <f>IFERROR(__xludf.DUMMYFUNCTION("""COMPUTED_VALUE"""),7.98)</f>
        <v>7.98</v>
      </c>
      <c r="H14496" s="17"/>
      <c r="K14496" s="17"/>
      <c r="N14496" s="17"/>
    </row>
    <row r="14497">
      <c r="B14497" s="11">
        <f>IFERROR(__xludf.DUMMYFUNCTION("""COMPUTED_VALUE"""),25730.0)</f>
        <v>25730</v>
      </c>
      <c r="C14497" s="9">
        <f>IFERROR(__xludf.DUMMYFUNCTION("""COMPUTED_VALUE"""),7.92)</f>
        <v>7.92</v>
      </c>
      <c r="H14497" s="17"/>
      <c r="K14497" s="17"/>
      <c r="N14497" s="17"/>
    </row>
    <row r="14498">
      <c r="B14498" s="11">
        <f>IFERROR(__xludf.DUMMYFUNCTION("""COMPUTED_VALUE"""),25729.0)</f>
        <v>25729</v>
      </c>
      <c r="C14498" s="9">
        <f>IFERROR(__xludf.DUMMYFUNCTION("""COMPUTED_VALUE"""),7.87)</f>
        <v>7.87</v>
      </c>
      <c r="H14498" s="17"/>
      <c r="K14498" s="17"/>
      <c r="N14498" s="17"/>
    </row>
    <row r="14499">
      <c r="B14499" s="11">
        <f>IFERROR(__xludf.DUMMYFUNCTION("""COMPUTED_VALUE"""),25728.0)</f>
        <v>25728</v>
      </c>
      <c r="C14499" s="9">
        <f>IFERROR(__xludf.DUMMYFUNCTION("""COMPUTED_VALUE"""),7.88)</f>
        <v>7.88</v>
      </c>
      <c r="H14499" s="17"/>
      <c r="K14499" s="17"/>
      <c r="N14499" s="17"/>
    </row>
    <row r="14500">
      <c r="B14500" s="11">
        <f>IFERROR(__xludf.DUMMYFUNCTION("""COMPUTED_VALUE"""),25727.0)</f>
        <v>25727</v>
      </c>
      <c r="C14500" s="9">
        <f>IFERROR(__xludf.DUMMYFUNCTION("""COMPUTED_VALUE"""),7.89)</f>
        <v>7.89</v>
      </c>
      <c r="H14500" s="17"/>
      <c r="K14500" s="17"/>
      <c r="N14500" s="17"/>
    </row>
    <row r="14501">
      <c r="B14501" s="11">
        <f>IFERROR(__xludf.DUMMYFUNCTION("""COMPUTED_VALUE"""),25724.0)</f>
        <v>25724</v>
      </c>
      <c r="C14501" s="9">
        <f>IFERROR(__xludf.DUMMYFUNCTION("""COMPUTED_VALUE"""),7.88)</f>
        <v>7.88</v>
      </c>
      <c r="H14501" s="17"/>
      <c r="K14501" s="17"/>
      <c r="N14501" s="17"/>
    </row>
    <row r="14502">
      <c r="B14502" s="11">
        <f>IFERROR(__xludf.DUMMYFUNCTION("""COMPUTED_VALUE"""),25723.0)</f>
        <v>25723</v>
      </c>
      <c r="C14502" s="9">
        <f>IFERROR(__xludf.DUMMYFUNCTION("""COMPUTED_VALUE"""),7.8)</f>
        <v>7.8</v>
      </c>
      <c r="H14502" s="17"/>
      <c r="K14502" s="17"/>
      <c r="N14502" s="17"/>
    </row>
    <row r="14503">
      <c r="B14503" s="11">
        <f>IFERROR(__xludf.DUMMYFUNCTION("""COMPUTED_VALUE"""),25722.0)</f>
        <v>25722</v>
      </c>
      <c r="C14503" s="9">
        <f>IFERROR(__xludf.DUMMYFUNCTION("""COMPUTED_VALUE"""),7.76)</f>
        <v>7.76</v>
      </c>
      <c r="H14503" s="17"/>
      <c r="K14503" s="17"/>
      <c r="N14503" s="17"/>
    </row>
    <row r="14504">
      <c r="B14504" s="11">
        <f>IFERROR(__xludf.DUMMYFUNCTION("""COMPUTED_VALUE"""),25721.0)</f>
        <v>25721</v>
      </c>
      <c r="C14504" s="9">
        <f>IFERROR(__xludf.DUMMYFUNCTION("""COMPUTED_VALUE"""),7.78)</f>
        <v>7.78</v>
      </c>
      <c r="H14504" s="17"/>
      <c r="K14504" s="17"/>
      <c r="N14504" s="17"/>
    </row>
    <row r="14505">
      <c r="B14505" s="11">
        <f>IFERROR(__xludf.DUMMYFUNCTION("""COMPUTED_VALUE"""),25720.0)</f>
        <v>25720</v>
      </c>
      <c r="C14505" s="9">
        <f>IFERROR(__xludf.DUMMYFUNCTION("""COMPUTED_VALUE"""),7.84)</f>
        <v>7.84</v>
      </c>
      <c r="H14505" s="17"/>
      <c r="K14505" s="17"/>
      <c r="N14505" s="17"/>
    </row>
    <row r="14506">
      <c r="B14506" s="11">
        <f>IFERROR(__xludf.DUMMYFUNCTION("""COMPUTED_VALUE"""),25717.0)</f>
        <v>25717</v>
      </c>
      <c r="C14506" s="9">
        <f>IFERROR(__xludf.DUMMYFUNCTION("""COMPUTED_VALUE"""),7.95)</f>
        <v>7.95</v>
      </c>
      <c r="H14506" s="17"/>
      <c r="K14506" s="17"/>
      <c r="N14506" s="17"/>
    </row>
    <row r="14507">
      <c r="B14507" s="11">
        <f>IFERROR(__xludf.DUMMYFUNCTION("""COMPUTED_VALUE"""),25716.0)</f>
        <v>25716</v>
      </c>
      <c r="C14507" s="9">
        <f>IFERROR(__xludf.DUMMYFUNCTION("""COMPUTED_VALUE"""),7.98)</f>
        <v>7.98</v>
      </c>
      <c r="H14507" s="17"/>
      <c r="K14507" s="17"/>
      <c r="N14507" s="17"/>
    </row>
    <row r="14508">
      <c r="B14508" s="11">
        <f>IFERROR(__xludf.DUMMYFUNCTION("""COMPUTED_VALUE"""),25715.0)</f>
        <v>25715</v>
      </c>
      <c r="C14508" s="9">
        <f>IFERROR(__xludf.DUMMYFUNCTION("""COMPUTED_VALUE"""),8.02)</f>
        <v>8.02</v>
      </c>
      <c r="H14508" s="17"/>
      <c r="K14508" s="17"/>
      <c r="N14508" s="17"/>
    </row>
    <row r="14509">
      <c r="B14509" s="11">
        <f>IFERROR(__xludf.DUMMYFUNCTION("""COMPUTED_VALUE"""),25714.0)</f>
        <v>25714</v>
      </c>
      <c r="C14509" s="9">
        <f>IFERROR(__xludf.DUMMYFUNCTION("""COMPUTED_VALUE"""),8.22)</f>
        <v>8.22</v>
      </c>
      <c r="H14509" s="17"/>
      <c r="K14509" s="17"/>
      <c r="N14509" s="17"/>
    </row>
    <row r="14510">
      <c r="B14510" s="11">
        <f>IFERROR(__xludf.DUMMYFUNCTION("""COMPUTED_VALUE"""),25713.0)</f>
        <v>25713</v>
      </c>
      <c r="C14510" s="9">
        <f>IFERROR(__xludf.DUMMYFUNCTION("""COMPUTED_VALUE"""),8.15)</f>
        <v>8.15</v>
      </c>
      <c r="H14510" s="17"/>
      <c r="K14510" s="17"/>
      <c r="N14510" s="17"/>
    </row>
    <row r="14511">
      <c r="B14511" s="11">
        <f>IFERROR(__xludf.DUMMYFUNCTION("""COMPUTED_VALUE"""),25710.0)</f>
        <v>25710</v>
      </c>
      <c r="C14511" s="9">
        <f>IFERROR(__xludf.DUMMYFUNCTION("""COMPUTED_VALUE"""),7.99)</f>
        <v>7.99</v>
      </c>
      <c r="H14511" s="17"/>
      <c r="K14511" s="17"/>
      <c r="N14511" s="17"/>
    </row>
    <row r="14512">
      <c r="B14512" s="11">
        <f>IFERROR(__xludf.DUMMYFUNCTION("""COMPUTED_VALUE"""),25709.0)</f>
        <v>25709</v>
      </c>
      <c r="C14512" s="9">
        <f>IFERROR(__xludf.DUMMYFUNCTION("""COMPUTED_VALUE"""),7.9)</f>
        <v>7.9</v>
      </c>
      <c r="H14512" s="17"/>
      <c r="K14512" s="17"/>
      <c r="N14512" s="17"/>
    </row>
    <row r="14513">
      <c r="B14513" s="11">
        <f>IFERROR(__xludf.DUMMYFUNCTION("""COMPUTED_VALUE"""),25708.0)</f>
        <v>25708</v>
      </c>
      <c r="C14513" s="9">
        <f>IFERROR(__xludf.DUMMYFUNCTION("""COMPUTED_VALUE"""),7.85)</f>
        <v>7.85</v>
      </c>
      <c r="H14513" s="17"/>
      <c r="K14513" s="17"/>
      <c r="N14513" s="17"/>
    </row>
    <row r="14514">
      <c r="B14514" s="11">
        <f>IFERROR(__xludf.DUMMYFUNCTION("""COMPUTED_VALUE"""),25707.0)</f>
        <v>25707</v>
      </c>
      <c r="C14514" s="9">
        <f>IFERROR(__xludf.DUMMYFUNCTION("""COMPUTED_VALUE"""),7.8)</f>
        <v>7.8</v>
      </c>
      <c r="H14514" s="17"/>
      <c r="K14514" s="17"/>
      <c r="N14514" s="17"/>
    </row>
    <row r="14515">
      <c r="B14515" s="11">
        <f>IFERROR(__xludf.DUMMYFUNCTION("""COMPUTED_VALUE"""),25706.0)</f>
        <v>25706</v>
      </c>
      <c r="C14515" s="9">
        <f>IFERROR(__xludf.DUMMYFUNCTION("""COMPUTED_VALUE"""),7.8)</f>
        <v>7.8</v>
      </c>
      <c r="H14515" s="17"/>
      <c r="K14515" s="17"/>
      <c r="N14515" s="17"/>
    </row>
    <row r="14516">
      <c r="B14516" s="11">
        <f>IFERROR(__xludf.DUMMYFUNCTION("""COMPUTED_VALUE"""),25703.0)</f>
        <v>25703</v>
      </c>
      <c r="C14516" s="9">
        <f>IFERROR(__xludf.DUMMYFUNCTION("""COMPUTED_VALUE"""),7.83)</f>
        <v>7.83</v>
      </c>
      <c r="H14516" s="17"/>
      <c r="K14516" s="17"/>
      <c r="N14516" s="17"/>
    </row>
    <row r="14517">
      <c r="B14517" s="11">
        <f>IFERROR(__xludf.DUMMYFUNCTION("""COMPUTED_VALUE"""),25702.0)</f>
        <v>25702</v>
      </c>
      <c r="C14517" s="9">
        <f>IFERROR(__xludf.DUMMYFUNCTION("""COMPUTED_VALUE"""),7.86)</f>
        <v>7.86</v>
      </c>
      <c r="H14517" s="17"/>
      <c r="K14517" s="17"/>
      <c r="N14517" s="17"/>
    </row>
    <row r="14518">
      <c r="B14518" s="11">
        <f>IFERROR(__xludf.DUMMYFUNCTION("""COMPUTED_VALUE"""),25701.0)</f>
        <v>25701</v>
      </c>
      <c r="C14518" s="9">
        <f>IFERROR(__xludf.DUMMYFUNCTION("""COMPUTED_VALUE"""),7.85)</f>
        <v>7.85</v>
      </c>
      <c r="H14518" s="17"/>
      <c r="K14518" s="17"/>
      <c r="N14518" s="17"/>
    </row>
    <row r="14519">
      <c r="B14519" s="11">
        <f>IFERROR(__xludf.DUMMYFUNCTION("""COMPUTED_VALUE"""),25700.0)</f>
        <v>25700</v>
      </c>
      <c r="C14519" s="9">
        <f>IFERROR(__xludf.DUMMYFUNCTION("""COMPUTED_VALUE"""),7.84)</f>
        <v>7.84</v>
      </c>
      <c r="H14519" s="17"/>
      <c r="K14519" s="17"/>
      <c r="N14519" s="17"/>
    </row>
    <row r="14520">
      <c r="B14520" s="11">
        <f>IFERROR(__xludf.DUMMYFUNCTION("""COMPUTED_VALUE"""),25699.0)</f>
        <v>25699</v>
      </c>
      <c r="C14520" s="9">
        <f>IFERROR(__xludf.DUMMYFUNCTION("""COMPUTED_VALUE"""),7.82)</f>
        <v>7.82</v>
      </c>
      <c r="H14520" s="17"/>
      <c r="K14520" s="17"/>
      <c r="N14520" s="17"/>
    </row>
    <row r="14521">
      <c r="B14521" s="11">
        <f>IFERROR(__xludf.DUMMYFUNCTION("""COMPUTED_VALUE"""),25696.0)</f>
        <v>25696</v>
      </c>
      <c r="C14521" s="9">
        <f>IFERROR(__xludf.DUMMYFUNCTION("""COMPUTED_VALUE"""),7.78)</f>
        <v>7.78</v>
      </c>
      <c r="H14521" s="17"/>
      <c r="K14521" s="17"/>
      <c r="N14521" s="17"/>
    </row>
    <row r="14522">
      <c r="B14522" s="11">
        <f>IFERROR(__xludf.DUMMYFUNCTION("""COMPUTED_VALUE"""),25695.0)</f>
        <v>25695</v>
      </c>
      <c r="C14522" s="9">
        <f>IFERROR(__xludf.DUMMYFUNCTION("""COMPUTED_VALUE"""),7.82)</f>
        <v>7.82</v>
      </c>
      <c r="H14522" s="17"/>
      <c r="K14522" s="17"/>
      <c r="N14522" s="17"/>
    </row>
    <row r="14523">
      <c r="B14523" s="11">
        <f>IFERROR(__xludf.DUMMYFUNCTION("""COMPUTED_VALUE"""),25694.0)</f>
        <v>25694</v>
      </c>
      <c r="C14523" s="9">
        <f>IFERROR(__xludf.DUMMYFUNCTION("""COMPUTED_VALUE"""),7.86)</f>
        <v>7.86</v>
      </c>
      <c r="H14523" s="17"/>
      <c r="K14523" s="17"/>
      <c r="N14523" s="17"/>
    </row>
    <row r="14524">
      <c r="B14524" s="11">
        <f>IFERROR(__xludf.DUMMYFUNCTION("""COMPUTED_VALUE"""),25693.0)</f>
        <v>25693</v>
      </c>
      <c r="C14524" s="9">
        <f>IFERROR(__xludf.DUMMYFUNCTION("""COMPUTED_VALUE"""),7.92)</f>
        <v>7.92</v>
      </c>
      <c r="H14524" s="17"/>
      <c r="K14524" s="17"/>
      <c r="N14524" s="17"/>
    </row>
    <row r="14525">
      <c r="B14525" s="11">
        <f>IFERROR(__xludf.DUMMYFUNCTION("""COMPUTED_VALUE"""),25692.0)</f>
        <v>25692</v>
      </c>
      <c r="C14525" s="9">
        <f>IFERROR(__xludf.DUMMYFUNCTION("""COMPUTED_VALUE"""),7.94)</f>
        <v>7.94</v>
      </c>
      <c r="H14525" s="17"/>
      <c r="K14525" s="17"/>
      <c r="N14525" s="17"/>
    </row>
    <row r="14526">
      <c r="B14526" s="11">
        <f>IFERROR(__xludf.DUMMYFUNCTION("""COMPUTED_VALUE"""),25689.0)</f>
        <v>25689</v>
      </c>
      <c r="C14526" s="9">
        <f>IFERROR(__xludf.DUMMYFUNCTION("""COMPUTED_VALUE"""),7.85)</f>
        <v>7.85</v>
      </c>
      <c r="H14526" s="17"/>
      <c r="K14526" s="17"/>
      <c r="N14526" s="17"/>
    </row>
    <row r="14527">
      <c r="B14527" s="11">
        <f>IFERROR(__xludf.DUMMYFUNCTION("""COMPUTED_VALUE"""),25688.0)</f>
        <v>25688</v>
      </c>
      <c r="C14527" s="9">
        <f>IFERROR(__xludf.DUMMYFUNCTION("""COMPUTED_VALUE"""),7.82)</f>
        <v>7.82</v>
      </c>
      <c r="H14527" s="17"/>
      <c r="K14527" s="17"/>
      <c r="N14527" s="17"/>
    </row>
    <row r="14528">
      <c r="B14528" s="11">
        <f>IFERROR(__xludf.DUMMYFUNCTION("""COMPUTED_VALUE"""),25687.0)</f>
        <v>25687</v>
      </c>
      <c r="C14528" s="9">
        <f>IFERROR(__xludf.DUMMYFUNCTION("""COMPUTED_VALUE"""),7.78)</f>
        <v>7.78</v>
      </c>
      <c r="H14528" s="17"/>
      <c r="K14528" s="17"/>
      <c r="N14528" s="17"/>
    </row>
    <row r="14529">
      <c r="B14529" s="11">
        <f>IFERROR(__xludf.DUMMYFUNCTION("""COMPUTED_VALUE"""),25686.0)</f>
        <v>25686</v>
      </c>
      <c r="C14529" s="9">
        <f>IFERROR(__xludf.DUMMYFUNCTION("""COMPUTED_VALUE"""),7.79)</f>
        <v>7.79</v>
      </c>
      <c r="H14529" s="17"/>
      <c r="K14529" s="17"/>
      <c r="N14529" s="17"/>
    </row>
    <row r="14530">
      <c r="B14530" s="11">
        <f>IFERROR(__xludf.DUMMYFUNCTION("""COMPUTED_VALUE"""),25685.0)</f>
        <v>25685</v>
      </c>
      <c r="C14530" s="9">
        <f>IFERROR(__xludf.DUMMYFUNCTION("""COMPUTED_VALUE"""),7.74)</f>
        <v>7.74</v>
      </c>
      <c r="H14530" s="17"/>
      <c r="K14530" s="17"/>
      <c r="N14530" s="17"/>
    </row>
    <row r="14531">
      <c r="B14531" s="11">
        <f>IFERROR(__xludf.DUMMYFUNCTION("""COMPUTED_VALUE"""),25682.0)</f>
        <v>25682</v>
      </c>
      <c r="C14531" s="9">
        <f>IFERROR(__xludf.DUMMYFUNCTION("""COMPUTED_VALUE"""),7.72)</f>
        <v>7.72</v>
      </c>
      <c r="H14531" s="17"/>
      <c r="K14531" s="17"/>
      <c r="N14531" s="17"/>
    </row>
    <row r="14532">
      <c r="B14532" s="11">
        <f>IFERROR(__xludf.DUMMYFUNCTION("""COMPUTED_VALUE"""),25681.0)</f>
        <v>25681</v>
      </c>
      <c r="C14532" s="9">
        <f>IFERROR(__xludf.DUMMYFUNCTION("""COMPUTED_VALUE"""),7.64)</f>
        <v>7.64</v>
      </c>
      <c r="H14532" s="17"/>
      <c r="K14532" s="17"/>
      <c r="N14532" s="17"/>
    </row>
    <row r="14533">
      <c r="B14533" s="11">
        <f>IFERROR(__xludf.DUMMYFUNCTION("""COMPUTED_VALUE"""),25680.0)</f>
        <v>25680</v>
      </c>
      <c r="C14533" s="9">
        <f>IFERROR(__xludf.DUMMYFUNCTION("""COMPUTED_VALUE"""),7.61)</f>
        <v>7.61</v>
      </c>
      <c r="H14533" s="17"/>
      <c r="K14533" s="17"/>
      <c r="N14533" s="17"/>
    </row>
    <row r="14534">
      <c r="B14534" s="11">
        <f>IFERROR(__xludf.DUMMYFUNCTION("""COMPUTED_VALUE"""),25679.0)</f>
        <v>25679</v>
      </c>
      <c r="C14534" s="9">
        <f>IFERROR(__xludf.DUMMYFUNCTION("""COMPUTED_VALUE"""),7.5)</f>
        <v>7.5</v>
      </c>
      <c r="H14534" s="17"/>
      <c r="K14534" s="17"/>
      <c r="N14534" s="17"/>
    </row>
    <row r="14535">
      <c r="B14535" s="11">
        <f>IFERROR(__xludf.DUMMYFUNCTION("""COMPUTED_VALUE"""),25678.0)</f>
        <v>25678</v>
      </c>
      <c r="C14535" s="9">
        <f>IFERROR(__xludf.DUMMYFUNCTION("""COMPUTED_VALUE"""),7.44)</f>
        <v>7.44</v>
      </c>
      <c r="H14535" s="17"/>
      <c r="K14535" s="17"/>
      <c r="N14535" s="17"/>
    </row>
    <row r="14536">
      <c r="B14536" s="11">
        <f>IFERROR(__xludf.DUMMYFUNCTION("""COMPUTED_VALUE"""),25675.0)</f>
        <v>25675</v>
      </c>
      <c r="C14536" s="9">
        <f>IFERROR(__xludf.DUMMYFUNCTION("""COMPUTED_VALUE"""),7.4)</f>
        <v>7.4</v>
      </c>
      <c r="H14536" s="17"/>
      <c r="K14536" s="17"/>
      <c r="N14536" s="17"/>
    </row>
    <row r="14537">
      <c r="B14537" s="11">
        <f>IFERROR(__xludf.DUMMYFUNCTION("""COMPUTED_VALUE"""),25674.0)</f>
        <v>25674</v>
      </c>
      <c r="C14537" s="9">
        <f>IFERROR(__xludf.DUMMYFUNCTION("""COMPUTED_VALUE"""),7.34)</f>
        <v>7.34</v>
      </c>
      <c r="H14537" s="17"/>
      <c r="K14537" s="17"/>
      <c r="N14537" s="17"/>
    </row>
    <row r="14538">
      <c r="B14538" s="11">
        <f>IFERROR(__xludf.DUMMYFUNCTION("""COMPUTED_VALUE"""),25673.0)</f>
        <v>25673</v>
      </c>
      <c r="C14538" s="9">
        <f>IFERROR(__xludf.DUMMYFUNCTION("""COMPUTED_VALUE"""),7.27)</f>
        <v>7.27</v>
      </c>
      <c r="H14538" s="17"/>
      <c r="K14538" s="17"/>
      <c r="N14538" s="17"/>
    </row>
    <row r="14539">
      <c r="B14539" s="11">
        <f>IFERROR(__xludf.DUMMYFUNCTION("""COMPUTED_VALUE"""),25672.0)</f>
        <v>25672</v>
      </c>
      <c r="C14539" s="9">
        <f>IFERROR(__xludf.DUMMYFUNCTION("""COMPUTED_VALUE"""),7.22)</f>
        <v>7.22</v>
      </c>
      <c r="H14539" s="17"/>
      <c r="K14539" s="17"/>
      <c r="N14539" s="17"/>
    </row>
    <row r="14540">
      <c r="B14540" s="11">
        <f>IFERROR(__xludf.DUMMYFUNCTION("""COMPUTED_VALUE"""),25671.0)</f>
        <v>25671</v>
      </c>
      <c r="C14540" s="9">
        <f>IFERROR(__xludf.DUMMYFUNCTION("""COMPUTED_VALUE"""),7.2)</f>
        <v>7.2</v>
      </c>
      <c r="H14540" s="17"/>
      <c r="K14540" s="17"/>
      <c r="N14540" s="17"/>
    </row>
    <row r="14541">
      <c r="B14541" s="11">
        <f>IFERROR(__xludf.DUMMYFUNCTION("""COMPUTED_VALUE"""),25668.0)</f>
        <v>25668</v>
      </c>
      <c r="C14541" s="9">
        <f>IFERROR(__xludf.DUMMYFUNCTION("""COMPUTED_VALUE"""),7.17)</f>
        <v>7.17</v>
      </c>
      <c r="H14541" s="17"/>
      <c r="K14541" s="17"/>
      <c r="N14541" s="17"/>
    </row>
    <row r="14542">
      <c r="B14542" s="11">
        <f>IFERROR(__xludf.DUMMYFUNCTION("""COMPUTED_VALUE"""),25667.0)</f>
        <v>25667</v>
      </c>
      <c r="C14542" s="9">
        <f>IFERROR(__xludf.DUMMYFUNCTION("""COMPUTED_VALUE"""),7.18)</f>
        <v>7.18</v>
      </c>
      <c r="H14542" s="17"/>
      <c r="K14542" s="17"/>
      <c r="N14542" s="17"/>
    </row>
    <row r="14543">
      <c r="B14543" s="11">
        <f>IFERROR(__xludf.DUMMYFUNCTION("""COMPUTED_VALUE"""),25666.0)</f>
        <v>25666</v>
      </c>
      <c r="C14543" s="9">
        <f>IFERROR(__xludf.DUMMYFUNCTION("""COMPUTED_VALUE"""),7.17)</f>
        <v>7.17</v>
      </c>
      <c r="H14543" s="17"/>
      <c r="K14543" s="17"/>
      <c r="N14543" s="17"/>
    </row>
    <row r="14544">
      <c r="B14544" s="11">
        <f>IFERROR(__xludf.DUMMYFUNCTION("""COMPUTED_VALUE"""),25665.0)</f>
        <v>25665</v>
      </c>
      <c r="C14544" s="9">
        <f>IFERROR(__xludf.DUMMYFUNCTION("""COMPUTED_VALUE"""),7.18)</f>
        <v>7.18</v>
      </c>
      <c r="H14544" s="17"/>
      <c r="K14544" s="17"/>
      <c r="N14544" s="17"/>
    </row>
    <row r="14545">
      <c r="B14545" s="11">
        <f>IFERROR(__xludf.DUMMYFUNCTION("""COMPUTED_VALUE"""),25664.0)</f>
        <v>25664</v>
      </c>
      <c r="C14545" s="9">
        <f>IFERROR(__xludf.DUMMYFUNCTION("""COMPUTED_VALUE"""),7.17)</f>
        <v>7.17</v>
      </c>
      <c r="H14545" s="17"/>
      <c r="K14545" s="17"/>
      <c r="N14545" s="17"/>
    </row>
    <row r="14546">
      <c r="B14546" s="11">
        <f>IFERROR(__xludf.DUMMYFUNCTION("""COMPUTED_VALUE"""),25661.0)</f>
        <v>25661</v>
      </c>
      <c r="C14546" s="9">
        <f>IFERROR(__xludf.DUMMYFUNCTION("""COMPUTED_VALUE"""),7.14)</f>
        <v>7.14</v>
      </c>
      <c r="H14546" s="17"/>
      <c r="K14546" s="17"/>
      <c r="N14546" s="17"/>
    </row>
    <row r="14547">
      <c r="B14547" s="11">
        <f>IFERROR(__xludf.DUMMYFUNCTION("""COMPUTED_VALUE"""),25660.0)</f>
        <v>25660</v>
      </c>
      <c r="C14547" s="9">
        <f>IFERROR(__xludf.DUMMYFUNCTION("""COMPUTED_VALUE"""),7.08)</f>
        <v>7.08</v>
      </c>
      <c r="H14547" s="17"/>
      <c r="K14547" s="17"/>
      <c r="N14547" s="17"/>
    </row>
    <row r="14548">
      <c r="B14548" s="11">
        <f>IFERROR(__xludf.DUMMYFUNCTION("""COMPUTED_VALUE"""),25659.0)</f>
        <v>25659</v>
      </c>
      <c r="C14548" s="9">
        <f>IFERROR(__xludf.DUMMYFUNCTION("""COMPUTED_VALUE"""),7.04)</f>
        <v>7.04</v>
      </c>
      <c r="H14548" s="17"/>
      <c r="K14548" s="17"/>
      <c r="N14548" s="17"/>
    </row>
    <row r="14549">
      <c r="B14549" s="11">
        <f>IFERROR(__xludf.DUMMYFUNCTION("""COMPUTED_VALUE"""),25658.0)</f>
        <v>25658</v>
      </c>
      <c r="C14549" s="9">
        <f>IFERROR(__xludf.DUMMYFUNCTION("""COMPUTED_VALUE"""),7.08)</f>
        <v>7.08</v>
      </c>
      <c r="H14549" s="17"/>
      <c r="K14549" s="17"/>
      <c r="N14549" s="17"/>
    </row>
    <row r="14550">
      <c r="B14550" s="11">
        <f>IFERROR(__xludf.DUMMYFUNCTION("""COMPUTED_VALUE"""),25657.0)</f>
        <v>25657</v>
      </c>
      <c r="C14550" s="9">
        <f>IFERROR(__xludf.DUMMYFUNCTION("""COMPUTED_VALUE"""),7.05)</f>
        <v>7.05</v>
      </c>
      <c r="H14550" s="17"/>
      <c r="K14550" s="17"/>
      <c r="N14550" s="17"/>
    </row>
    <row r="14551">
      <c r="B14551" s="11">
        <f>IFERROR(__xludf.DUMMYFUNCTION("""COMPUTED_VALUE"""),25654.0)</f>
        <v>25654</v>
      </c>
      <c r="C14551" s="9"/>
      <c r="H14551" s="17"/>
      <c r="K14551" s="17"/>
      <c r="N14551" s="17"/>
    </row>
    <row r="14552">
      <c r="B14552" s="11">
        <f>IFERROR(__xludf.DUMMYFUNCTION("""COMPUTED_VALUE"""),25653.0)</f>
        <v>25653</v>
      </c>
      <c r="C14552" s="9">
        <f>IFERROR(__xludf.DUMMYFUNCTION("""COMPUTED_VALUE"""),6.98)</f>
        <v>6.98</v>
      </c>
      <c r="H14552" s="17"/>
      <c r="K14552" s="17"/>
      <c r="N14552" s="17"/>
    </row>
    <row r="14553">
      <c r="B14553" s="11">
        <f>IFERROR(__xludf.DUMMYFUNCTION("""COMPUTED_VALUE"""),25652.0)</f>
        <v>25652</v>
      </c>
      <c r="C14553" s="9">
        <f>IFERROR(__xludf.DUMMYFUNCTION("""COMPUTED_VALUE"""),6.96)</f>
        <v>6.96</v>
      </c>
      <c r="H14553" s="17"/>
      <c r="K14553" s="17"/>
      <c r="N14553" s="17"/>
    </row>
    <row r="14554">
      <c r="B14554" s="11">
        <f>IFERROR(__xludf.DUMMYFUNCTION("""COMPUTED_VALUE"""),25651.0)</f>
        <v>25651</v>
      </c>
      <c r="C14554" s="9">
        <f>IFERROR(__xludf.DUMMYFUNCTION("""COMPUTED_VALUE"""),7.02)</f>
        <v>7.02</v>
      </c>
      <c r="H14554" s="17"/>
      <c r="K14554" s="17"/>
      <c r="N14554" s="17"/>
    </row>
    <row r="14555">
      <c r="B14555" s="11">
        <f>IFERROR(__xludf.DUMMYFUNCTION("""COMPUTED_VALUE"""),25650.0)</f>
        <v>25650</v>
      </c>
      <c r="C14555" s="9">
        <f>IFERROR(__xludf.DUMMYFUNCTION("""COMPUTED_VALUE"""),7.05)</f>
        <v>7.05</v>
      </c>
      <c r="H14555" s="17"/>
      <c r="K14555" s="17"/>
      <c r="N14555" s="17"/>
    </row>
    <row r="14556">
      <c r="B14556" s="11">
        <f>IFERROR(__xludf.DUMMYFUNCTION("""COMPUTED_VALUE"""),25647.0)</f>
        <v>25647</v>
      </c>
      <c r="C14556" s="9">
        <f>IFERROR(__xludf.DUMMYFUNCTION("""COMPUTED_VALUE"""),7.06)</f>
        <v>7.06</v>
      </c>
      <c r="H14556" s="17"/>
      <c r="K14556" s="17"/>
      <c r="N14556" s="17"/>
    </row>
    <row r="14557">
      <c r="B14557" s="11">
        <f>IFERROR(__xludf.DUMMYFUNCTION("""COMPUTED_VALUE"""),25646.0)</f>
        <v>25646</v>
      </c>
      <c r="C14557" s="9">
        <f>IFERROR(__xludf.DUMMYFUNCTION("""COMPUTED_VALUE"""),7.07)</f>
        <v>7.07</v>
      </c>
      <c r="H14557" s="17"/>
      <c r="K14557" s="17"/>
      <c r="N14557" s="17"/>
    </row>
    <row r="14558">
      <c r="B14558" s="11">
        <f>IFERROR(__xludf.DUMMYFUNCTION("""COMPUTED_VALUE"""),25645.0)</f>
        <v>25645</v>
      </c>
      <c r="C14558" s="9">
        <f>IFERROR(__xludf.DUMMYFUNCTION("""COMPUTED_VALUE"""),7.28)</f>
        <v>7.28</v>
      </c>
      <c r="H14558" s="17"/>
      <c r="K14558" s="17"/>
      <c r="N14558" s="17"/>
    </row>
    <row r="14559">
      <c r="B14559" s="11">
        <f>IFERROR(__xludf.DUMMYFUNCTION("""COMPUTED_VALUE"""),25644.0)</f>
        <v>25644</v>
      </c>
      <c r="C14559" s="9">
        <f>IFERROR(__xludf.DUMMYFUNCTION("""COMPUTED_VALUE"""),7.36)</f>
        <v>7.36</v>
      </c>
      <c r="H14559" s="17"/>
      <c r="K14559" s="17"/>
      <c r="N14559" s="17"/>
    </row>
    <row r="14560">
      <c r="B14560" s="11">
        <f>IFERROR(__xludf.DUMMYFUNCTION("""COMPUTED_VALUE"""),25643.0)</f>
        <v>25643</v>
      </c>
      <c r="C14560" s="9">
        <f>IFERROR(__xludf.DUMMYFUNCTION("""COMPUTED_VALUE"""),7.24)</f>
        <v>7.24</v>
      </c>
      <c r="H14560" s="17"/>
      <c r="K14560" s="17"/>
      <c r="N14560" s="17"/>
    </row>
    <row r="14561">
      <c r="B14561" s="11">
        <f>IFERROR(__xludf.DUMMYFUNCTION("""COMPUTED_VALUE"""),25640.0)</f>
        <v>25640</v>
      </c>
      <c r="C14561" s="9">
        <f>IFERROR(__xludf.DUMMYFUNCTION("""COMPUTED_VALUE"""),7.23)</f>
        <v>7.23</v>
      </c>
      <c r="H14561" s="17"/>
      <c r="K14561" s="17"/>
      <c r="N14561" s="17"/>
    </row>
    <row r="14562">
      <c r="B14562" s="11">
        <f>IFERROR(__xludf.DUMMYFUNCTION("""COMPUTED_VALUE"""),25639.0)</f>
        <v>25639</v>
      </c>
      <c r="C14562" s="9">
        <f>IFERROR(__xludf.DUMMYFUNCTION("""COMPUTED_VALUE"""),7.16)</f>
        <v>7.16</v>
      </c>
      <c r="H14562" s="17"/>
      <c r="K14562" s="17"/>
      <c r="N14562" s="17"/>
    </row>
    <row r="14563">
      <c r="B14563" s="11">
        <f>IFERROR(__xludf.DUMMYFUNCTION("""COMPUTED_VALUE"""),25638.0)</f>
        <v>25638</v>
      </c>
      <c r="C14563" s="9">
        <f>IFERROR(__xludf.DUMMYFUNCTION("""COMPUTED_VALUE"""),7.11)</f>
        <v>7.11</v>
      </c>
      <c r="H14563" s="17"/>
      <c r="K14563" s="17"/>
      <c r="N14563" s="17"/>
    </row>
    <row r="14564">
      <c r="B14564" s="11">
        <f>IFERROR(__xludf.DUMMYFUNCTION("""COMPUTED_VALUE"""),25637.0)</f>
        <v>25637</v>
      </c>
      <c r="C14564" s="9">
        <f>IFERROR(__xludf.DUMMYFUNCTION("""COMPUTED_VALUE"""),7.04)</f>
        <v>7.04</v>
      </c>
      <c r="H14564" s="17"/>
      <c r="K14564" s="17"/>
      <c r="N14564" s="17"/>
    </row>
    <row r="14565">
      <c r="B14565" s="11">
        <f>IFERROR(__xludf.DUMMYFUNCTION("""COMPUTED_VALUE"""),25636.0)</f>
        <v>25636</v>
      </c>
      <c r="C14565" s="9">
        <f>IFERROR(__xludf.DUMMYFUNCTION("""COMPUTED_VALUE"""),6.99)</f>
        <v>6.99</v>
      </c>
      <c r="H14565" s="17"/>
      <c r="K14565" s="17"/>
      <c r="N14565" s="17"/>
    </row>
    <row r="14566">
      <c r="B14566" s="11">
        <f>IFERROR(__xludf.DUMMYFUNCTION("""COMPUTED_VALUE"""),25633.0)</f>
        <v>25633</v>
      </c>
      <c r="C14566" s="9">
        <f>IFERROR(__xludf.DUMMYFUNCTION("""COMPUTED_VALUE"""),6.96)</f>
        <v>6.96</v>
      </c>
      <c r="H14566" s="17"/>
      <c r="K14566" s="17"/>
      <c r="N14566" s="17"/>
    </row>
    <row r="14567">
      <c r="B14567" s="11">
        <f>IFERROR(__xludf.DUMMYFUNCTION("""COMPUTED_VALUE"""),25632.0)</f>
        <v>25632</v>
      </c>
      <c r="C14567" s="9">
        <f>IFERROR(__xludf.DUMMYFUNCTION("""COMPUTED_VALUE"""),6.98)</f>
        <v>6.98</v>
      </c>
      <c r="H14567" s="17"/>
      <c r="K14567" s="17"/>
      <c r="N14567" s="17"/>
    </row>
    <row r="14568">
      <c r="B14568" s="11">
        <f>IFERROR(__xludf.DUMMYFUNCTION("""COMPUTED_VALUE"""),25631.0)</f>
        <v>25631</v>
      </c>
      <c r="C14568" s="9">
        <f>IFERROR(__xludf.DUMMYFUNCTION("""COMPUTED_VALUE"""),6.97)</f>
        <v>6.97</v>
      </c>
      <c r="H14568" s="17"/>
      <c r="K14568" s="17"/>
      <c r="N14568" s="17"/>
    </row>
    <row r="14569">
      <c r="B14569" s="11">
        <f>IFERROR(__xludf.DUMMYFUNCTION("""COMPUTED_VALUE"""),25630.0)</f>
        <v>25630</v>
      </c>
      <c r="C14569" s="9">
        <f>IFERROR(__xludf.DUMMYFUNCTION("""COMPUTED_VALUE"""),6.99)</f>
        <v>6.99</v>
      </c>
      <c r="H14569" s="17"/>
      <c r="K14569" s="17"/>
      <c r="N14569" s="17"/>
    </row>
    <row r="14570">
      <c r="B14570" s="11">
        <f>IFERROR(__xludf.DUMMYFUNCTION("""COMPUTED_VALUE"""),25629.0)</f>
        <v>25629</v>
      </c>
      <c r="C14570" s="9">
        <f>IFERROR(__xludf.DUMMYFUNCTION("""COMPUTED_VALUE"""),6.95)</f>
        <v>6.95</v>
      </c>
      <c r="H14570" s="17"/>
      <c r="K14570" s="17"/>
      <c r="N14570" s="17"/>
    </row>
    <row r="14571">
      <c r="B14571" s="11">
        <f>IFERROR(__xludf.DUMMYFUNCTION("""COMPUTED_VALUE"""),25626.0)</f>
        <v>25626</v>
      </c>
      <c r="C14571" s="9">
        <f>IFERROR(__xludf.DUMMYFUNCTION("""COMPUTED_VALUE"""),6.9)</f>
        <v>6.9</v>
      </c>
      <c r="H14571" s="17"/>
      <c r="K14571" s="17"/>
      <c r="N14571" s="17"/>
    </row>
    <row r="14572">
      <c r="B14572" s="11">
        <f>IFERROR(__xludf.DUMMYFUNCTION("""COMPUTED_VALUE"""),25625.0)</f>
        <v>25625</v>
      </c>
      <c r="C14572" s="9">
        <f>IFERROR(__xludf.DUMMYFUNCTION("""COMPUTED_VALUE"""),6.94)</f>
        <v>6.94</v>
      </c>
      <c r="H14572" s="17"/>
      <c r="K14572" s="17"/>
      <c r="N14572" s="17"/>
    </row>
    <row r="14573">
      <c r="B14573" s="11">
        <f>IFERROR(__xludf.DUMMYFUNCTION("""COMPUTED_VALUE"""),25624.0)</f>
        <v>25624</v>
      </c>
      <c r="C14573" s="9">
        <f>IFERROR(__xludf.DUMMYFUNCTION("""COMPUTED_VALUE"""),7.04)</f>
        <v>7.04</v>
      </c>
      <c r="H14573" s="17"/>
      <c r="K14573" s="17"/>
      <c r="N14573" s="17"/>
    </row>
    <row r="14574">
      <c r="B14574" s="11">
        <f>IFERROR(__xludf.DUMMYFUNCTION("""COMPUTED_VALUE"""),25623.0)</f>
        <v>25623</v>
      </c>
      <c r="C14574" s="9">
        <f>IFERROR(__xludf.DUMMYFUNCTION("""COMPUTED_VALUE"""),7.14)</f>
        <v>7.14</v>
      </c>
      <c r="H14574" s="17"/>
      <c r="K14574" s="17"/>
      <c r="N14574" s="17"/>
    </row>
    <row r="14575">
      <c r="B14575" s="11">
        <f>IFERROR(__xludf.DUMMYFUNCTION("""COMPUTED_VALUE"""),25622.0)</f>
        <v>25622</v>
      </c>
      <c r="C14575" s="9"/>
      <c r="H14575" s="17"/>
      <c r="K14575" s="17"/>
      <c r="N14575" s="17"/>
    </row>
    <row r="14576">
      <c r="B14576" s="11">
        <f>IFERROR(__xludf.DUMMYFUNCTION("""COMPUTED_VALUE"""),25619.0)</f>
        <v>25619</v>
      </c>
      <c r="C14576" s="9">
        <f>IFERROR(__xludf.DUMMYFUNCTION("""COMPUTED_VALUE"""),7.12)</f>
        <v>7.12</v>
      </c>
      <c r="H14576" s="17"/>
      <c r="K14576" s="17"/>
      <c r="N14576" s="17"/>
    </row>
    <row r="14577">
      <c r="B14577" s="11">
        <f>IFERROR(__xludf.DUMMYFUNCTION("""COMPUTED_VALUE"""),25618.0)</f>
        <v>25618</v>
      </c>
      <c r="C14577" s="9">
        <f>IFERROR(__xludf.DUMMYFUNCTION("""COMPUTED_VALUE"""),7.09)</f>
        <v>7.09</v>
      </c>
      <c r="H14577" s="17"/>
      <c r="K14577" s="17"/>
      <c r="N14577" s="17"/>
    </row>
    <row r="14578">
      <c r="B14578" s="11">
        <f>IFERROR(__xludf.DUMMYFUNCTION("""COMPUTED_VALUE"""),25617.0)</f>
        <v>25617</v>
      </c>
      <c r="C14578" s="9">
        <f>IFERROR(__xludf.DUMMYFUNCTION("""COMPUTED_VALUE"""),7.12)</f>
        <v>7.12</v>
      </c>
      <c r="H14578" s="17"/>
      <c r="K14578" s="17"/>
      <c r="N14578" s="17"/>
    </row>
    <row r="14579">
      <c r="B14579" s="11">
        <f>IFERROR(__xludf.DUMMYFUNCTION("""COMPUTED_VALUE"""),25616.0)</f>
        <v>25616</v>
      </c>
      <c r="C14579" s="9">
        <f>IFERROR(__xludf.DUMMYFUNCTION("""COMPUTED_VALUE"""),7.15)</f>
        <v>7.15</v>
      </c>
      <c r="H14579" s="17"/>
      <c r="K14579" s="17"/>
      <c r="N14579" s="17"/>
    </row>
    <row r="14580">
      <c r="B14580" s="11">
        <f>IFERROR(__xludf.DUMMYFUNCTION("""COMPUTED_VALUE"""),25615.0)</f>
        <v>25615</v>
      </c>
      <c r="C14580" s="9">
        <f>IFERROR(__xludf.DUMMYFUNCTION("""COMPUTED_VALUE"""),7.17)</f>
        <v>7.17</v>
      </c>
      <c r="H14580" s="17"/>
      <c r="K14580" s="17"/>
      <c r="N14580" s="17"/>
    </row>
    <row r="14581">
      <c r="B14581" s="11">
        <f>IFERROR(__xludf.DUMMYFUNCTION("""COMPUTED_VALUE"""),25612.0)</f>
        <v>25612</v>
      </c>
      <c r="C14581" s="9">
        <f>IFERROR(__xludf.DUMMYFUNCTION("""COMPUTED_VALUE"""),7.15)</f>
        <v>7.15</v>
      </c>
      <c r="H14581" s="17"/>
      <c r="K14581" s="17"/>
      <c r="N14581" s="17"/>
    </row>
    <row r="14582">
      <c r="B14582" s="11">
        <f>IFERROR(__xludf.DUMMYFUNCTION("""COMPUTED_VALUE"""),25611.0)</f>
        <v>25611</v>
      </c>
      <c r="C14582" s="9"/>
      <c r="H14582" s="17"/>
      <c r="K14582" s="17"/>
      <c r="N14582" s="17"/>
    </row>
    <row r="14583">
      <c r="B14583" s="11">
        <f>IFERROR(__xludf.DUMMYFUNCTION("""COMPUTED_VALUE"""),25610.0)</f>
        <v>25610</v>
      </c>
      <c r="C14583" s="9">
        <f>IFERROR(__xludf.DUMMYFUNCTION("""COMPUTED_VALUE"""),7.33)</f>
        <v>7.33</v>
      </c>
      <c r="H14583" s="17"/>
      <c r="K14583" s="17"/>
      <c r="N14583" s="17"/>
    </row>
    <row r="14584">
      <c r="B14584" s="11">
        <f>IFERROR(__xludf.DUMMYFUNCTION("""COMPUTED_VALUE"""),25609.0)</f>
        <v>25609</v>
      </c>
      <c r="C14584" s="9">
        <f>IFERROR(__xludf.DUMMYFUNCTION("""COMPUTED_VALUE"""),7.32)</f>
        <v>7.32</v>
      </c>
      <c r="H14584" s="17"/>
      <c r="K14584" s="17"/>
      <c r="N14584" s="17"/>
    </row>
    <row r="14585">
      <c r="B14585" s="11">
        <f>IFERROR(__xludf.DUMMYFUNCTION("""COMPUTED_VALUE"""),25608.0)</f>
        <v>25608</v>
      </c>
      <c r="C14585" s="9">
        <f>IFERROR(__xludf.DUMMYFUNCTION("""COMPUTED_VALUE"""),7.28)</f>
        <v>7.28</v>
      </c>
      <c r="H14585" s="17"/>
      <c r="K14585" s="17"/>
      <c r="N14585" s="17"/>
    </row>
    <row r="14586">
      <c r="B14586" s="11">
        <f>IFERROR(__xludf.DUMMYFUNCTION("""COMPUTED_VALUE"""),25605.0)</f>
        <v>25605</v>
      </c>
      <c r="C14586" s="9">
        <f>IFERROR(__xludf.DUMMYFUNCTION("""COMPUTED_VALUE"""),7.36)</f>
        <v>7.36</v>
      </c>
      <c r="H14586" s="17"/>
      <c r="K14586" s="17"/>
      <c r="N14586" s="17"/>
    </row>
    <row r="14587">
      <c r="B14587" s="11">
        <f>IFERROR(__xludf.DUMMYFUNCTION("""COMPUTED_VALUE"""),25604.0)</f>
        <v>25604</v>
      </c>
      <c r="C14587" s="9">
        <f>IFERROR(__xludf.DUMMYFUNCTION("""COMPUTED_VALUE"""),7.45)</f>
        <v>7.45</v>
      </c>
      <c r="H14587" s="17"/>
      <c r="K14587" s="17"/>
      <c r="N14587" s="17"/>
    </row>
    <row r="14588">
      <c r="B14588" s="11">
        <f>IFERROR(__xludf.DUMMYFUNCTION("""COMPUTED_VALUE"""),25603.0)</f>
        <v>25603</v>
      </c>
      <c r="C14588" s="9">
        <f>IFERROR(__xludf.DUMMYFUNCTION("""COMPUTED_VALUE"""),7.5)</f>
        <v>7.5</v>
      </c>
      <c r="H14588" s="17"/>
      <c r="K14588" s="17"/>
      <c r="N14588" s="17"/>
    </row>
    <row r="14589">
      <c r="B14589" s="11">
        <f>IFERROR(__xludf.DUMMYFUNCTION("""COMPUTED_VALUE"""),25602.0)</f>
        <v>25602</v>
      </c>
      <c r="C14589" s="9">
        <f>IFERROR(__xludf.DUMMYFUNCTION("""COMPUTED_VALUE"""),7.58)</f>
        <v>7.58</v>
      </c>
      <c r="H14589" s="17"/>
      <c r="K14589" s="17"/>
      <c r="N14589" s="17"/>
    </row>
    <row r="14590">
      <c r="B14590" s="11">
        <f>IFERROR(__xludf.DUMMYFUNCTION("""COMPUTED_VALUE"""),25601.0)</f>
        <v>25601</v>
      </c>
      <c r="C14590" s="9">
        <f>IFERROR(__xludf.DUMMYFUNCTION("""COMPUTED_VALUE"""),7.65)</f>
        <v>7.65</v>
      </c>
      <c r="H14590" s="17"/>
      <c r="K14590" s="17"/>
      <c r="N14590" s="17"/>
    </row>
    <row r="14591">
      <c r="B14591" s="11">
        <f>IFERROR(__xludf.DUMMYFUNCTION("""COMPUTED_VALUE"""),25598.0)</f>
        <v>25598</v>
      </c>
      <c r="C14591" s="9">
        <f>IFERROR(__xludf.DUMMYFUNCTION("""COMPUTED_VALUE"""),7.75)</f>
        <v>7.75</v>
      </c>
      <c r="H14591" s="17"/>
      <c r="K14591" s="17"/>
      <c r="N14591" s="17"/>
    </row>
    <row r="14592">
      <c r="B14592" s="11">
        <f>IFERROR(__xludf.DUMMYFUNCTION("""COMPUTED_VALUE"""),25597.0)</f>
        <v>25597</v>
      </c>
      <c r="C14592" s="9">
        <f>IFERROR(__xludf.DUMMYFUNCTION("""COMPUTED_VALUE"""),7.77)</f>
        <v>7.77</v>
      </c>
      <c r="H14592" s="17"/>
      <c r="K14592" s="17"/>
      <c r="N14592" s="17"/>
    </row>
    <row r="14593">
      <c r="B14593" s="11">
        <f>IFERROR(__xludf.DUMMYFUNCTION("""COMPUTED_VALUE"""),25596.0)</f>
        <v>25596</v>
      </c>
      <c r="C14593" s="9">
        <f>IFERROR(__xludf.DUMMYFUNCTION("""COMPUTED_VALUE"""),7.7)</f>
        <v>7.7</v>
      </c>
      <c r="H14593" s="17"/>
      <c r="K14593" s="17"/>
      <c r="N14593" s="17"/>
    </row>
    <row r="14594">
      <c r="B14594" s="11">
        <f>IFERROR(__xludf.DUMMYFUNCTION("""COMPUTED_VALUE"""),25595.0)</f>
        <v>25595</v>
      </c>
      <c r="C14594" s="9">
        <f>IFERROR(__xludf.DUMMYFUNCTION("""COMPUTED_VALUE"""),7.7)</f>
        <v>7.7</v>
      </c>
      <c r="H14594" s="17"/>
      <c r="K14594" s="17"/>
      <c r="N14594" s="17"/>
    </row>
    <row r="14595">
      <c r="B14595" s="11">
        <f>IFERROR(__xludf.DUMMYFUNCTION("""COMPUTED_VALUE"""),25594.0)</f>
        <v>25594</v>
      </c>
      <c r="C14595" s="9">
        <f>IFERROR(__xludf.DUMMYFUNCTION("""COMPUTED_VALUE"""),7.71)</f>
        <v>7.71</v>
      </c>
      <c r="H14595" s="17"/>
      <c r="K14595" s="17"/>
      <c r="N14595" s="17"/>
    </row>
    <row r="14596">
      <c r="B14596" s="11">
        <f>IFERROR(__xludf.DUMMYFUNCTION("""COMPUTED_VALUE"""),25591.0)</f>
        <v>25591</v>
      </c>
      <c r="C14596" s="9">
        <f>IFERROR(__xludf.DUMMYFUNCTION("""COMPUTED_VALUE"""),7.69)</f>
        <v>7.69</v>
      </c>
      <c r="H14596" s="17"/>
      <c r="K14596" s="17"/>
      <c r="N14596" s="17"/>
    </row>
    <row r="14597">
      <c r="B14597" s="11">
        <f>IFERROR(__xludf.DUMMYFUNCTION("""COMPUTED_VALUE"""),25590.0)</f>
        <v>25590</v>
      </c>
      <c r="C14597" s="9">
        <f>IFERROR(__xludf.DUMMYFUNCTION("""COMPUTED_VALUE"""),7.67)</f>
        <v>7.67</v>
      </c>
      <c r="H14597" s="17"/>
      <c r="K14597" s="17"/>
      <c r="N14597" s="17"/>
    </row>
    <row r="14598">
      <c r="B14598" s="11">
        <f>IFERROR(__xludf.DUMMYFUNCTION("""COMPUTED_VALUE"""),25589.0)</f>
        <v>25589</v>
      </c>
      <c r="C14598" s="9">
        <f>IFERROR(__xludf.DUMMYFUNCTION("""COMPUTED_VALUE"""),7.69)</f>
        <v>7.69</v>
      </c>
      <c r="H14598" s="17"/>
      <c r="K14598" s="17"/>
      <c r="N14598" s="17"/>
    </row>
    <row r="14599">
      <c r="B14599" s="11">
        <f>IFERROR(__xludf.DUMMYFUNCTION("""COMPUTED_VALUE"""),25588.0)</f>
        <v>25588</v>
      </c>
      <c r="C14599" s="9">
        <f>IFERROR(__xludf.DUMMYFUNCTION("""COMPUTED_VALUE"""),7.72)</f>
        <v>7.72</v>
      </c>
      <c r="H14599" s="17"/>
      <c r="K14599" s="17"/>
      <c r="N14599" s="17"/>
    </row>
    <row r="14600">
      <c r="B14600" s="11">
        <f>IFERROR(__xludf.DUMMYFUNCTION("""COMPUTED_VALUE"""),25587.0)</f>
        <v>25587</v>
      </c>
      <c r="C14600" s="9">
        <f>IFERROR(__xludf.DUMMYFUNCTION("""COMPUTED_VALUE"""),7.69)</f>
        <v>7.69</v>
      </c>
      <c r="H14600" s="17"/>
      <c r="K14600" s="17"/>
      <c r="N14600" s="17"/>
    </row>
    <row r="14601">
      <c r="B14601" s="11">
        <f>IFERROR(__xludf.DUMMYFUNCTION("""COMPUTED_VALUE"""),25584.0)</f>
        <v>25584</v>
      </c>
      <c r="C14601" s="9">
        <f>IFERROR(__xludf.DUMMYFUNCTION("""COMPUTED_VALUE"""),7.75)</f>
        <v>7.75</v>
      </c>
      <c r="H14601" s="17"/>
      <c r="K14601" s="17"/>
      <c r="N14601" s="17"/>
    </row>
    <row r="14602">
      <c r="B14602" s="11">
        <f>IFERROR(__xludf.DUMMYFUNCTION("""COMPUTED_VALUE"""),25583.0)</f>
        <v>25583</v>
      </c>
      <c r="C14602" s="9">
        <f>IFERROR(__xludf.DUMMYFUNCTION("""COMPUTED_VALUE"""),7.85)</f>
        <v>7.85</v>
      </c>
      <c r="H14602" s="17"/>
      <c r="K14602" s="17"/>
      <c r="N14602" s="17"/>
    </row>
    <row r="14603">
      <c r="B14603" s="11">
        <f>IFERROR(__xludf.DUMMYFUNCTION("""COMPUTED_VALUE"""),25582.0)</f>
        <v>25582</v>
      </c>
      <c r="C14603" s="9">
        <f>IFERROR(__xludf.DUMMYFUNCTION("""COMPUTED_VALUE"""),7.86)</f>
        <v>7.86</v>
      </c>
      <c r="H14603" s="17"/>
      <c r="K14603" s="17"/>
      <c r="N14603" s="17"/>
    </row>
    <row r="14604">
      <c r="B14604" s="11">
        <f>IFERROR(__xludf.DUMMYFUNCTION("""COMPUTED_VALUE"""),25581.0)</f>
        <v>25581</v>
      </c>
      <c r="C14604" s="9">
        <f>IFERROR(__xludf.DUMMYFUNCTION("""COMPUTED_VALUE"""),7.81)</f>
        <v>7.81</v>
      </c>
      <c r="H14604" s="17"/>
      <c r="K14604" s="17"/>
      <c r="N14604" s="17"/>
    </row>
    <row r="14605">
      <c r="B14605" s="11">
        <f>IFERROR(__xludf.DUMMYFUNCTION("""COMPUTED_VALUE"""),25580.0)</f>
        <v>25580</v>
      </c>
      <c r="C14605" s="9">
        <f>IFERROR(__xludf.DUMMYFUNCTION("""COMPUTED_VALUE"""),7.82)</f>
        <v>7.82</v>
      </c>
      <c r="H14605" s="17"/>
      <c r="K14605" s="17"/>
      <c r="N14605" s="17"/>
    </row>
    <row r="14606">
      <c r="B14606" s="11">
        <f>IFERROR(__xludf.DUMMYFUNCTION("""COMPUTED_VALUE"""),25577.0)</f>
        <v>25577</v>
      </c>
      <c r="C14606" s="9">
        <f>IFERROR(__xludf.DUMMYFUNCTION("""COMPUTED_VALUE"""),7.86)</f>
        <v>7.86</v>
      </c>
      <c r="H14606" s="17"/>
      <c r="K14606" s="17"/>
      <c r="N14606" s="17"/>
    </row>
    <row r="14607">
      <c r="B14607" s="11">
        <f>IFERROR(__xludf.DUMMYFUNCTION("""COMPUTED_VALUE"""),25576.0)</f>
        <v>25576</v>
      </c>
      <c r="C14607" s="9">
        <f>IFERROR(__xludf.DUMMYFUNCTION("""COMPUTED_VALUE"""),7.96)</f>
        <v>7.96</v>
      </c>
      <c r="H14607" s="17"/>
      <c r="K14607" s="17"/>
      <c r="N14607" s="17"/>
    </row>
    <row r="14608">
      <c r="B14608" s="11">
        <f>IFERROR(__xludf.DUMMYFUNCTION("""COMPUTED_VALUE"""),25575.0)</f>
        <v>25575</v>
      </c>
      <c r="C14608" s="9">
        <f>IFERROR(__xludf.DUMMYFUNCTION("""COMPUTED_VALUE"""),7.99)</f>
        <v>7.99</v>
      </c>
      <c r="H14608" s="17"/>
      <c r="K14608" s="17"/>
      <c r="N14608" s="17"/>
    </row>
    <row r="14609">
      <c r="B14609" s="11">
        <f>IFERROR(__xludf.DUMMYFUNCTION("""COMPUTED_VALUE"""),25574.0)</f>
        <v>25574</v>
      </c>
      <c r="C14609" s="9">
        <f>IFERROR(__xludf.DUMMYFUNCTION("""COMPUTED_VALUE"""),7.96)</f>
        <v>7.96</v>
      </c>
      <c r="H14609" s="17"/>
      <c r="K14609" s="17"/>
      <c r="N14609" s="17"/>
    </row>
    <row r="14610">
      <c r="B14610" s="11">
        <f>IFERROR(__xludf.DUMMYFUNCTION("""COMPUTED_VALUE"""),25573.0)</f>
        <v>25573</v>
      </c>
      <c r="C14610" s="9">
        <f>IFERROR(__xludf.DUMMYFUNCTION("""COMPUTED_VALUE"""),7.88)</f>
        <v>7.88</v>
      </c>
      <c r="H14610" s="17"/>
      <c r="K14610" s="17"/>
      <c r="N14610" s="17"/>
    </row>
    <row r="14611">
      <c r="B14611" s="11">
        <f>IFERROR(__xludf.DUMMYFUNCTION("""COMPUTED_VALUE"""),25570.0)</f>
        <v>25570</v>
      </c>
      <c r="C14611" s="9">
        <f>IFERROR(__xludf.DUMMYFUNCTION("""COMPUTED_VALUE"""),7.86)</f>
        <v>7.86</v>
      </c>
      <c r="H14611" s="17"/>
      <c r="K14611" s="17"/>
      <c r="N14611" s="17"/>
    </row>
    <row r="14612">
      <c r="B14612" s="11">
        <f>IFERROR(__xludf.DUMMYFUNCTION("""COMPUTED_VALUE"""),25569.0)</f>
        <v>25569</v>
      </c>
      <c r="C14612" s="9"/>
      <c r="H14612" s="17"/>
      <c r="K14612" s="17"/>
      <c r="N14612" s="17"/>
    </row>
    <row r="14613">
      <c r="B14613" s="11">
        <f>IFERROR(__xludf.DUMMYFUNCTION("""COMPUTED_VALUE"""),25568.0)</f>
        <v>25568</v>
      </c>
      <c r="C14613" s="9">
        <f>IFERROR(__xludf.DUMMYFUNCTION("""COMPUTED_VALUE"""),7.88)</f>
        <v>7.88</v>
      </c>
      <c r="H14613" s="17"/>
      <c r="K14613" s="17"/>
      <c r="N14613" s="17"/>
    </row>
    <row r="14614">
      <c r="B14614" s="11">
        <f>IFERROR(__xludf.DUMMYFUNCTION("""COMPUTED_VALUE"""),25567.0)</f>
        <v>25567</v>
      </c>
      <c r="C14614" s="9">
        <f>IFERROR(__xludf.DUMMYFUNCTION("""COMPUTED_VALUE"""),7.97)</f>
        <v>7.97</v>
      </c>
      <c r="H14614" s="17"/>
      <c r="K14614" s="17"/>
      <c r="N14614" s="17"/>
    </row>
    <row r="14615">
      <c r="B14615" s="11">
        <f>IFERROR(__xludf.DUMMYFUNCTION("""COMPUTED_VALUE"""),25566.0)</f>
        <v>25566</v>
      </c>
      <c r="C14615" s="9">
        <f>IFERROR(__xludf.DUMMYFUNCTION("""COMPUTED_VALUE"""),8.05)</f>
        <v>8.05</v>
      </c>
      <c r="H14615" s="17"/>
      <c r="K14615" s="17"/>
      <c r="N14615" s="17"/>
    </row>
    <row r="14616">
      <c r="B14616" s="11">
        <f>IFERROR(__xludf.DUMMYFUNCTION("""COMPUTED_VALUE"""),25563.0)</f>
        <v>25563</v>
      </c>
      <c r="C14616" s="9">
        <f>IFERROR(__xludf.DUMMYFUNCTION("""COMPUTED_VALUE"""),7.87)</f>
        <v>7.87</v>
      </c>
      <c r="H14616" s="17"/>
      <c r="K14616" s="17"/>
      <c r="N14616" s="17"/>
    </row>
    <row r="14617">
      <c r="B14617" s="11">
        <f>IFERROR(__xludf.DUMMYFUNCTION("""COMPUTED_VALUE"""),25562.0)</f>
        <v>25562</v>
      </c>
      <c r="C14617" s="9"/>
      <c r="H14617" s="17"/>
      <c r="K14617" s="17"/>
      <c r="N14617" s="17"/>
    </row>
    <row r="14618">
      <c r="B14618" s="11">
        <f>IFERROR(__xludf.DUMMYFUNCTION("""COMPUTED_VALUE"""),25561.0)</f>
        <v>25561</v>
      </c>
      <c r="C14618" s="9">
        <f>IFERROR(__xludf.DUMMYFUNCTION("""COMPUTED_VALUE"""),7.89)</f>
        <v>7.89</v>
      </c>
      <c r="H14618" s="17"/>
      <c r="K14618" s="17"/>
      <c r="N14618" s="17"/>
    </row>
    <row r="14619">
      <c r="B14619" s="11">
        <f>IFERROR(__xludf.DUMMYFUNCTION("""COMPUTED_VALUE"""),25560.0)</f>
        <v>25560</v>
      </c>
      <c r="C14619" s="9">
        <f>IFERROR(__xludf.DUMMYFUNCTION("""COMPUTED_VALUE"""),7.82)</f>
        <v>7.82</v>
      </c>
      <c r="H14619" s="17"/>
      <c r="K14619" s="17"/>
      <c r="N14619" s="17"/>
    </row>
    <row r="14620">
      <c r="B14620" s="11">
        <f>IFERROR(__xludf.DUMMYFUNCTION("""COMPUTED_VALUE"""),25559.0)</f>
        <v>25559</v>
      </c>
      <c r="C14620" s="9">
        <f>IFERROR(__xludf.DUMMYFUNCTION("""COMPUTED_VALUE"""),7.76)</f>
        <v>7.76</v>
      </c>
      <c r="H14620" s="17"/>
      <c r="K14620" s="17"/>
      <c r="N14620" s="17"/>
    </row>
    <row r="14621">
      <c r="B14621" s="11">
        <f>IFERROR(__xludf.DUMMYFUNCTION("""COMPUTED_VALUE"""),25556.0)</f>
        <v>25556</v>
      </c>
      <c r="C14621" s="9">
        <f>IFERROR(__xludf.DUMMYFUNCTION("""COMPUTED_VALUE"""),7.79)</f>
        <v>7.79</v>
      </c>
      <c r="H14621" s="17"/>
      <c r="K14621" s="17"/>
      <c r="N14621" s="17"/>
    </row>
    <row r="14622">
      <c r="B14622" s="11">
        <f>IFERROR(__xludf.DUMMYFUNCTION("""COMPUTED_VALUE"""),25555.0)</f>
        <v>25555</v>
      </c>
      <c r="C14622" s="9">
        <f>IFERROR(__xludf.DUMMYFUNCTION("""COMPUTED_VALUE"""),7.81)</f>
        <v>7.81</v>
      </c>
      <c r="H14622" s="17"/>
      <c r="K14622" s="17"/>
      <c r="N14622" s="17"/>
    </row>
    <row r="14623">
      <c r="B14623" s="11">
        <f>IFERROR(__xludf.DUMMYFUNCTION("""COMPUTED_VALUE"""),25554.0)</f>
        <v>25554</v>
      </c>
      <c r="C14623" s="9">
        <f>IFERROR(__xludf.DUMMYFUNCTION("""COMPUTED_VALUE"""),7.76)</f>
        <v>7.76</v>
      </c>
      <c r="H14623" s="17"/>
      <c r="K14623" s="17"/>
      <c r="N14623" s="17"/>
    </row>
    <row r="14624">
      <c r="B14624" s="11">
        <f>IFERROR(__xludf.DUMMYFUNCTION("""COMPUTED_VALUE"""),25553.0)</f>
        <v>25553</v>
      </c>
      <c r="C14624" s="9">
        <f>IFERROR(__xludf.DUMMYFUNCTION("""COMPUTED_VALUE"""),7.72)</f>
        <v>7.72</v>
      </c>
      <c r="H14624" s="17"/>
      <c r="K14624" s="17"/>
      <c r="N14624" s="17"/>
    </row>
    <row r="14625">
      <c r="B14625" s="11">
        <f>IFERROR(__xludf.DUMMYFUNCTION("""COMPUTED_VALUE"""),25552.0)</f>
        <v>25552</v>
      </c>
      <c r="C14625" s="9">
        <f>IFERROR(__xludf.DUMMYFUNCTION("""COMPUTED_VALUE"""),7.63)</f>
        <v>7.63</v>
      </c>
      <c r="H14625" s="17"/>
      <c r="K14625" s="17"/>
      <c r="N14625" s="17"/>
    </row>
    <row r="14626">
      <c r="B14626" s="11">
        <f>IFERROR(__xludf.DUMMYFUNCTION("""COMPUTED_VALUE"""),25549.0)</f>
        <v>25549</v>
      </c>
      <c r="C14626" s="9">
        <f>IFERROR(__xludf.DUMMYFUNCTION("""COMPUTED_VALUE"""),7.6)</f>
        <v>7.6</v>
      </c>
      <c r="H14626" s="17"/>
      <c r="K14626" s="17"/>
      <c r="N14626" s="17"/>
    </row>
    <row r="14627">
      <c r="B14627" s="11">
        <f>IFERROR(__xludf.DUMMYFUNCTION("""COMPUTED_VALUE"""),25548.0)</f>
        <v>25548</v>
      </c>
      <c r="C14627" s="9">
        <f>IFERROR(__xludf.DUMMYFUNCTION("""COMPUTED_VALUE"""),7.62)</f>
        <v>7.62</v>
      </c>
      <c r="H14627" s="17"/>
      <c r="K14627" s="17"/>
      <c r="N14627" s="17"/>
    </row>
    <row r="14628">
      <c r="B14628" s="11">
        <f>IFERROR(__xludf.DUMMYFUNCTION("""COMPUTED_VALUE"""),25547.0)</f>
        <v>25547</v>
      </c>
      <c r="C14628" s="9">
        <f>IFERROR(__xludf.DUMMYFUNCTION("""COMPUTED_VALUE"""),7.59)</f>
        <v>7.59</v>
      </c>
      <c r="H14628" s="17"/>
      <c r="K14628" s="17"/>
      <c r="N14628" s="17"/>
    </row>
    <row r="14629">
      <c r="B14629" s="11">
        <f>IFERROR(__xludf.DUMMYFUNCTION("""COMPUTED_VALUE"""),25546.0)</f>
        <v>25546</v>
      </c>
      <c r="C14629" s="9">
        <f>IFERROR(__xludf.DUMMYFUNCTION("""COMPUTED_VALUE"""),7.5)</f>
        <v>7.5</v>
      </c>
      <c r="H14629" s="17"/>
      <c r="K14629" s="17"/>
      <c r="N14629" s="17"/>
    </row>
    <row r="14630">
      <c r="B14630" s="11">
        <f>IFERROR(__xludf.DUMMYFUNCTION("""COMPUTED_VALUE"""),25545.0)</f>
        <v>25545</v>
      </c>
      <c r="C14630" s="9">
        <f>IFERROR(__xludf.DUMMYFUNCTION("""COMPUTED_VALUE"""),7.4)</f>
        <v>7.4</v>
      </c>
      <c r="H14630" s="17"/>
      <c r="K14630" s="17"/>
      <c r="N14630" s="17"/>
    </row>
    <row r="14631">
      <c r="B14631" s="11">
        <f>IFERROR(__xludf.DUMMYFUNCTION("""COMPUTED_VALUE"""),25542.0)</f>
        <v>25542</v>
      </c>
      <c r="C14631" s="9">
        <f>IFERROR(__xludf.DUMMYFUNCTION("""COMPUTED_VALUE"""),7.35)</f>
        <v>7.35</v>
      </c>
      <c r="H14631" s="17"/>
      <c r="K14631" s="17"/>
      <c r="N14631" s="17"/>
    </row>
    <row r="14632">
      <c r="B14632" s="11">
        <f>IFERROR(__xludf.DUMMYFUNCTION("""COMPUTED_VALUE"""),25541.0)</f>
        <v>25541</v>
      </c>
      <c r="C14632" s="9">
        <f>IFERROR(__xludf.DUMMYFUNCTION("""COMPUTED_VALUE"""),7.35)</f>
        <v>7.35</v>
      </c>
      <c r="H14632" s="17"/>
      <c r="K14632" s="17"/>
      <c r="N14632" s="17"/>
    </row>
    <row r="14633">
      <c r="B14633" s="11">
        <f>IFERROR(__xludf.DUMMYFUNCTION("""COMPUTED_VALUE"""),25540.0)</f>
        <v>25540</v>
      </c>
      <c r="C14633" s="9">
        <f>IFERROR(__xludf.DUMMYFUNCTION("""COMPUTED_VALUE"""),7.39)</f>
        <v>7.39</v>
      </c>
      <c r="H14633" s="17"/>
      <c r="K14633" s="17"/>
      <c r="N14633" s="17"/>
    </row>
    <row r="14634">
      <c r="B14634" s="11">
        <f>IFERROR(__xludf.DUMMYFUNCTION("""COMPUTED_VALUE"""),25539.0)</f>
        <v>25539</v>
      </c>
      <c r="C14634" s="9">
        <f>IFERROR(__xludf.DUMMYFUNCTION("""COMPUTED_VALUE"""),7.35)</f>
        <v>7.35</v>
      </c>
      <c r="H14634" s="17"/>
      <c r="K14634" s="17"/>
      <c r="N14634" s="17"/>
    </row>
    <row r="14635">
      <c r="B14635" s="11">
        <f>IFERROR(__xludf.DUMMYFUNCTION("""COMPUTED_VALUE"""),25538.0)</f>
        <v>25538</v>
      </c>
      <c r="C14635" s="9">
        <f>IFERROR(__xludf.DUMMYFUNCTION("""COMPUTED_VALUE"""),7.29)</f>
        <v>7.29</v>
      </c>
      <c r="H14635" s="17"/>
      <c r="K14635" s="17"/>
      <c r="N14635" s="17"/>
    </row>
    <row r="14636">
      <c r="B14636" s="11">
        <f>IFERROR(__xludf.DUMMYFUNCTION("""COMPUTED_VALUE"""),25535.0)</f>
        <v>25535</v>
      </c>
      <c r="C14636" s="9">
        <f>IFERROR(__xludf.DUMMYFUNCTION("""COMPUTED_VALUE"""),7.29)</f>
        <v>7.29</v>
      </c>
      <c r="H14636" s="17"/>
      <c r="K14636" s="17"/>
      <c r="N14636" s="17"/>
    </row>
    <row r="14637">
      <c r="B14637" s="11">
        <f>IFERROR(__xludf.DUMMYFUNCTION("""COMPUTED_VALUE"""),25534.0)</f>
        <v>25534</v>
      </c>
      <c r="C14637" s="9"/>
      <c r="H14637" s="17"/>
      <c r="K14637" s="17"/>
      <c r="N14637" s="17"/>
    </row>
    <row r="14638">
      <c r="B14638" s="11">
        <f>IFERROR(__xludf.DUMMYFUNCTION("""COMPUTED_VALUE"""),25533.0)</f>
        <v>25533</v>
      </c>
      <c r="C14638" s="9">
        <f>IFERROR(__xludf.DUMMYFUNCTION("""COMPUTED_VALUE"""),7.3)</f>
        <v>7.3</v>
      </c>
      <c r="H14638" s="17"/>
      <c r="K14638" s="17"/>
      <c r="N14638" s="17"/>
    </row>
    <row r="14639">
      <c r="B14639" s="11">
        <f>IFERROR(__xludf.DUMMYFUNCTION("""COMPUTED_VALUE"""),25532.0)</f>
        <v>25532</v>
      </c>
      <c r="C14639" s="9">
        <f>IFERROR(__xludf.DUMMYFUNCTION("""COMPUTED_VALUE"""),7.28)</f>
        <v>7.28</v>
      </c>
      <c r="H14639" s="17"/>
      <c r="K14639" s="17"/>
      <c r="N14639" s="17"/>
    </row>
    <row r="14640">
      <c r="B14640" s="11">
        <f>IFERROR(__xludf.DUMMYFUNCTION("""COMPUTED_VALUE"""),25531.0)</f>
        <v>25531</v>
      </c>
      <c r="C14640" s="9">
        <f>IFERROR(__xludf.DUMMYFUNCTION("""COMPUTED_VALUE"""),7.27)</f>
        <v>7.27</v>
      </c>
      <c r="H14640" s="17"/>
      <c r="K14640" s="17"/>
      <c r="N14640" s="17"/>
    </row>
    <row r="14641">
      <c r="B14641" s="11">
        <f>IFERROR(__xludf.DUMMYFUNCTION("""COMPUTED_VALUE"""),25528.0)</f>
        <v>25528</v>
      </c>
      <c r="C14641" s="9">
        <f>IFERROR(__xludf.DUMMYFUNCTION("""COMPUTED_VALUE"""),7.28)</f>
        <v>7.28</v>
      </c>
      <c r="H14641" s="17"/>
      <c r="K14641" s="17"/>
      <c r="N14641" s="17"/>
    </row>
    <row r="14642">
      <c r="B14642" s="11">
        <f>IFERROR(__xludf.DUMMYFUNCTION("""COMPUTED_VALUE"""),25527.0)</f>
        <v>25527</v>
      </c>
      <c r="C14642" s="9">
        <f>IFERROR(__xludf.DUMMYFUNCTION("""COMPUTED_VALUE"""),7.31)</f>
        <v>7.31</v>
      </c>
      <c r="H14642" s="17"/>
      <c r="K14642" s="17"/>
      <c r="N14642" s="17"/>
    </row>
    <row r="14643">
      <c r="B14643" s="11">
        <f>IFERROR(__xludf.DUMMYFUNCTION("""COMPUTED_VALUE"""),25526.0)</f>
        <v>25526</v>
      </c>
      <c r="C14643" s="9">
        <f>IFERROR(__xludf.DUMMYFUNCTION("""COMPUTED_VALUE"""),7.25)</f>
        <v>7.25</v>
      </c>
      <c r="H14643" s="17"/>
      <c r="K14643" s="17"/>
      <c r="N14643" s="17"/>
    </row>
    <row r="14644">
      <c r="B14644" s="11">
        <f>IFERROR(__xludf.DUMMYFUNCTION("""COMPUTED_VALUE"""),25525.0)</f>
        <v>25525</v>
      </c>
      <c r="C14644" s="9">
        <f>IFERROR(__xludf.DUMMYFUNCTION("""COMPUTED_VALUE"""),7.22)</f>
        <v>7.22</v>
      </c>
      <c r="H14644" s="17"/>
      <c r="K14644" s="17"/>
      <c r="N14644" s="17"/>
    </row>
    <row r="14645">
      <c r="B14645" s="11">
        <f>IFERROR(__xludf.DUMMYFUNCTION("""COMPUTED_VALUE"""),25524.0)</f>
        <v>25524</v>
      </c>
      <c r="C14645" s="9">
        <f>IFERROR(__xludf.DUMMYFUNCTION("""COMPUTED_VALUE"""),7.13)</f>
        <v>7.13</v>
      </c>
      <c r="H14645" s="17"/>
      <c r="K14645" s="17"/>
      <c r="N14645" s="17"/>
    </row>
    <row r="14646">
      <c r="B14646" s="11">
        <f>IFERROR(__xludf.DUMMYFUNCTION("""COMPUTED_VALUE"""),25521.0)</f>
        <v>25521</v>
      </c>
      <c r="C14646" s="9">
        <f>IFERROR(__xludf.DUMMYFUNCTION("""COMPUTED_VALUE"""),7.08)</f>
        <v>7.08</v>
      </c>
      <c r="H14646" s="17"/>
      <c r="K14646" s="17"/>
      <c r="N14646" s="17"/>
    </row>
    <row r="14647">
      <c r="B14647" s="11">
        <f>IFERROR(__xludf.DUMMYFUNCTION("""COMPUTED_VALUE"""),25520.0)</f>
        <v>25520</v>
      </c>
      <c r="C14647" s="9">
        <f>IFERROR(__xludf.DUMMYFUNCTION("""COMPUTED_VALUE"""),7.12)</f>
        <v>7.12</v>
      </c>
      <c r="H14647" s="17"/>
      <c r="K14647" s="17"/>
      <c r="N14647" s="17"/>
    </row>
    <row r="14648">
      <c r="B14648" s="11">
        <f>IFERROR(__xludf.DUMMYFUNCTION("""COMPUTED_VALUE"""),25519.0)</f>
        <v>25519</v>
      </c>
      <c r="C14648" s="9">
        <f>IFERROR(__xludf.DUMMYFUNCTION("""COMPUTED_VALUE"""),7.06)</f>
        <v>7.06</v>
      </c>
      <c r="H14648" s="17"/>
      <c r="K14648" s="17"/>
      <c r="N14648" s="17"/>
    </row>
    <row r="14649">
      <c r="B14649" s="11">
        <f>IFERROR(__xludf.DUMMYFUNCTION("""COMPUTED_VALUE"""),25518.0)</f>
        <v>25518</v>
      </c>
      <c r="C14649" s="9"/>
      <c r="H14649" s="17"/>
      <c r="K14649" s="17"/>
      <c r="N14649" s="17"/>
    </row>
    <row r="14650">
      <c r="B14650" s="11">
        <f>IFERROR(__xludf.DUMMYFUNCTION("""COMPUTED_VALUE"""),25517.0)</f>
        <v>25517</v>
      </c>
      <c r="C14650" s="9">
        <f>IFERROR(__xludf.DUMMYFUNCTION("""COMPUTED_VALUE"""),6.99)</f>
        <v>6.99</v>
      </c>
      <c r="H14650" s="17"/>
      <c r="K14650" s="17"/>
      <c r="N14650" s="17"/>
    </row>
    <row r="14651">
      <c r="B14651" s="11">
        <f>IFERROR(__xludf.DUMMYFUNCTION("""COMPUTED_VALUE"""),25514.0)</f>
        <v>25514</v>
      </c>
      <c r="C14651" s="9">
        <f>IFERROR(__xludf.DUMMYFUNCTION("""COMPUTED_VALUE"""),6.99)</f>
        <v>6.99</v>
      </c>
      <c r="H14651" s="17"/>
      <c r="K14651" s="17"/>
      <c r="N14651" s="17"/>
    </row>
    <row r="14652">
      <c r="B14652" s="11">
        <f>IFERROR(__xludf.DUMMYFUNCTION("""COMPUTED_VALUE"""),25513.0)</f>
        <v>25513</v>
      </c>
      <c r="C14652" s="9">
        <f>IFERROR(__xludf.DUMMYFUNCTION("""COMPUTED_VALUE"""),7.01)</f>
        <v>7.01</v>
      </c>
      <c r="H14652" s="17"/>
      <c r="K14652" s="17"/>
      <c r="N14652" s="17"/>
    </row>
    <row r="14653">
      <c r="B14653" s="11">
        <f>IFERROR(__xludf.DUMMYFUNCTION("""COMPUTED_VALUE"""),25512.0)</f>
        <v>25512</v>
      </c>
      <c r="C14653" s="9">
        <f>IFERROR(__xludf.DUMMYFUNCTION("""COMPUTED_VALUE"""),6.97)</f>
        <v>6.97</v>
      </c>
      <c r="H14653" s="17"/>
      <c r="K14653" s="17"/>
      <c r="N14653" s="17"/>
    </row>
    <row r="14654">
      <c r="B14654" s="11">
        <f>IFERROR(__xludf.DUMMYFUNCTION("""COMPUTED_VALUE"""),25511.0)</f>
        <v>25511</v>
      </c>
      <c r="C14654" s="9"/>
      <c r="H14654" s="17"/>
      <c r="K14654" s="17"/>
      <c r="N14654" s="17"/>
    </row>
    <row r="14655">
      <c r="B14655" s="11">
        <f>IFERROR(__xludf.DUMMYFUNCTION("""COMPUTED_VALUE"""),25510.0)</f>
        <v>25510</v>
      </c>
      <c r="C14655" s="9">
        <f>IFERROR(__xludf.DUMMYFUNCTION("""COMPUTED_VALUE"""),6.9)</f>
        <v>6.9</v>
      </c>
      <c r="H14655" s="17"/>
      <c r="K14655" s="17"/>
      <c r="N14655" s="17"/>
    </row>
    <row r="14656">
      <c r="B14656" s="11">
        <f>IFERROR(__xludf.DUMMYFUNCTION("""COMPUTED_VALUE"""),25507.0)</f>
        <v>25507</v>
      </c>
      <c r="C14656" s="9">
        <f>IFERROR(__xludf.DUMMYFUNCTION("""COMPUTED_VALUE"""),6.94)</f>
        <v>6.94</v>
      </c>
      <c r="H14656" s="17"/>
      <c r="K14656" s="17"/>
      <c r="N14656" s="17"/>
    </row>
    <row r="14657">
      <c r="B14657" s="11">
        <f>IFERROR(__xludf.DUMMYFUNCTION("""COMPUTED_VALUE"""),25506.0)</f>
        <v>25506</v>
      </c>
      <c r="C14657" s="9">
        <f>IFERROR(__xludf.DUMMYFUNCTION("""COMPUTED_VALUE"""),6.96)</f>
        <v>6.96</v>
      </c>
      <c r="H14657" s="17"/>
      <c r="K14657" s="17"/>
      <c r="N14657" s="17"/>
    </row>
    <row r="14658">
      <c r="B14658" s="11">
        <f>IFERROR(__xludf.DUMMYFUNCTION("""COMPUTED_VALUE"""),25505.0)</f>
        <v>25505</v>
      </c>
      <c r="C14658" s="9">
        <f>IFERROR(__xludf.DUMMYFUNCTION("""COMPUTED_VALUE"""),7.0)</f>
        <v>7</v>
      </c>
      <c r="H14658" s="17"/>
      <c r="K14658" s="17"/>
      <c r="N14658" s="17"/>
    </row>
    <row r="14659">
      <c r="B14659" s="11">
        <f>IFERROR(__xludf.DUMMYFUNCTION("""COMPUTED_VALUE"""),25504.0)</f>
        <v>25504</v>
      </c>
      <c r="C14659" s="9">
        <f>IFERROR(__xludf.DUMMYFUNCTION("""COMPUTED_VALUE"""),7.0)</f>
        <v>7</v>
      </c>
      <c r="H14659" s="17"/>
      <c r="K14659" s="17"/>
      <c r="N14659" s="17"/>
    </row>
    <row r="14660">
      <c r="B14660" s="11">
        <f>IFERROR(__xludf.DUMMYFUNCTION("""COMPUTED_VALUE"""),25503.0)</f>
        <v>25503</v>
      </c>
      <c r="C14660" s="9">
        <f>IFERROR(__xludf.DUMMYFUNCTION("""COMPUTED_VALUE"""),6.93)</f>
        <v>6.93</v>
      </c>
      <c r="H14660" s="17"/>
      <c r="K14660" s="17"/>
      <c r="N14660" s="17"/>
    </row>
    <row r="14661">
      <c r="B14661" s="11">
        <f>IFERROR(__xludf.DUMMYFUNCTION("""COMPUTED_VALUE"""),25500.0)</f>
        <v>25500</v>
      </c>
      <c r="C14661" s="9">
        <f>IFERROR(__xludf.DUMMYFUNCTION("""COMPUTED_VALUE"""),6.9)</f>
        <v>6.9</v>
      </c>
      <c r="H14661" s="17"/>
      <c r="K14661" s="17"/>
      <c r="N14661" s="17"/>
    </row>
    <row r="14662">
      <c r="B14662" s="11">
        <f>IFERROR(__xludf.DUMMYFUNCTION("""COMPUTED_VALUE"""),25499.0)</f>
        <v>25499</v>
      </c>
      <c r="C14662" s="9">
        <f>IFERROR(__xludf.DUMMYFUNCTION("""COMPUTED_VALUE"""),6.9)</f>
        <v>6.9</v>
      </c>
      <c r="H14662" s="17"/>
      <c r="K14662" s="17"/>
      <c r="N14662" s="17"/>
    </row>
    <row r="14663">
      <c r="B14663" s="11">
        <f>IFERROR(__xludf.DUMMYFUNCTION("""COMPUTED_VALUE"""),25498.0)</f>
        <v>25498</v>
      </c>
      <c r="C14663" s="9">
        <f>IFERROR(__xludf.DUMMYFUNCTION("""COMPUTED_VALUE"""),6.8)</f>
        <v>6.8</v>
      </c>
      <c r="H14663" s="17"/>
      <c r="K14663" s="17"/>
      <c r="N14663" s="17"/>
    </row>
    <row r="14664">
      <c r="B14664" s="11">
        <f>IFERROR(__xludf.DUMMYFUNCTION("""COMPUTED_VALUE"""),25497.0)</f>
        <v>25497</v>
      </c>
      <c r="C14664" s="9">
        <f>IFERROR(__xludf.DUMMYFUNCTION("""COMPUTED_VALUE"""),6.77)</f>
        <v>6.77</v>
      </c>
      <c r="H14664" s="17"/>
      <c r="K14664" s="17"/>
      <c r="N14664" s="17"/>
    </row>
    <row r="14665">
      <c r="B14665" s="11">
        <f>IFERROR(__xludf.DUMMYFUNCTION("""COMPUTED_VALUE"""),25496.0)</f>
        <v>25496</v>
      </c>
      <c r="C14665" s="9">
        <f>IFERROR(__xludf.DUMMYFUNCTION("""COMPUTED_VALUE"""),6.83)</f>
        <v>6.83</v>
      </c>
      <c r="H14665" s="17"/>
      <c r="K14665" s="17"/>
      <c r="N14665" s="17"/>
    </row>
    <row r="14666">
      <c r="B14666" s="11">
        <f>IFERROR(__xludf.DUMMYFUNCTION("""COMPUTED_VALUE"""),25493.0)</f>
        <v>25493</v>
      </c>
      <c r="C14666" s="9">
        <f>IFERROR(__xludf.DUMMYFUNCTION("""COMPUTED_VALUE"""),6.99)</f>
        <v>6.99</v>
      </c>
      <c r="H14666" s="17"/>
      <c r="K14666" s="17"/>
      <c r="N14666" s="17"/>
    </row>
    <row r="14667">
      <c r="B14667" s="11">
        <f>IFERROR(__xludf.DUMMYFUNCTION("""COMPUTED_VALUE"""),25492.0)</f>
        <v>25492</v>
      </c>
      <c r="C14667" s="9">
        <f>IFERROR(__xludf.DUMMYFUNCTION("""COMPUTED_VALUE"""),7.04)</f>
        <v>7.04</v>
      </c>
      <c r="H14667" s="17"/>
      <c r="K14667" s="17"/>
      <c r="N14667" s="17"/>
    </row>
    <row r="14668">
      <c r="B14668" s="11">
        <f>IFERROR(__xludf.DUMMYFUNCTION("""COMPUTED_VALUE"""),25491.0)</f>
        <v>25491</v>
      </c>
      <c r="C14668" s="9">
        <f>IFERROR(__xludf.DUMMYFUNCTION("""COMPUTED_VALUE"""),7.12)</f>
        <v>7.12</v>
      </c>
      <c r="H14668" s="17"/>
      <c r="K14668" s="17"/>
      <c r="N14668" s="17"/>
    </row>
    <row r="14669">
      <c r="B14669" s="11">
        <f>IFERROR(__xludf.DUMMYFUNCTION("""COMPUTED_VALUE"""),25490.0)</f>
        <v>25490</v>
      </c>
      <c r="C14669" s="9">
        <f>IFERROR(__xludf.DUMMYFUNCTION("""COMPUTED_VALUE"""),7.1)</f>
        <v>7.1</v>
      </c>
      <c r="H14669" s="17"/>
      <c r="K14669" s="17"/>
      <c r="N14669" s="17"/>
    </row>
    <row r="14670">
      <c r="B14670" s="11">
        <f>IFERROR(__xludf.DUMMYFUNCTION("""COMPUTED_VALUE"""),25489.0)</f>
        <v>25489</v>
      </c>
      <c r="C14670" s="9"/>
      <c r="H14670" s="17"/>
      <c r="K14670" s="17"/>
      <c r="N14670" s="17"/>
    </row>
    <row r="14671">
      <c r="B14671" s="11">
        <f>IFERROR(__xludf.DUMMYFUNCTION("""COMPUTED_VALUE"""),25486.0)</f>
        <v>25486</v>
      </c>
      <c r="C14671" s="9">
        <f>IFERROR(__xludf.DUMMYFUNCTION("""COMPUTED_VALUE"""),7.22)</f>
        <v>7.22</v>
      </c>
      <c r="H14671" s="17"/>
      <c r="K14671" s="17"/>
      <c r="N14671" s="17"/>
    </row>
    <row r="14672">
      <c r="B14672" s="11">
        <f>IFERROR(__xludf.DUMMYFUNCTION("""COMPUTED_VALUE"""),25485.0)</f>
        <v>25485</v>
      </c>
      <c r="C14672" s="9">
        <f>IFERROR(__xludf.DUMMYFUNCTION("""COMPUTED_VALUE"""),7.3)</f>
        <v>7.3</v>
      </c>
      <c r="H14672" s="17"/>
      <c r="K14672" s="17"/>
      <c r="N14672" s="17"/>
    </row>
    <row r="14673">
      <c r="B14673" s="11">
        <f>IFERROR(__xludf.DUMMYFUNCTION("""COMPUTED_VALUE"""),25484.0)</f>
        <v>25484</v>
      </c>
      <c r="C14673" s="9">
        <f>IFERROR(__xludf.DUMMYFUNCTION("""COMPUTED_VALUE"""),7.29)</f>
        <v>7.29</v>
      </c>
      <c r="H14673" s="17"/>
      <c r="K14673" s="17"/>
      <c r="N14673" s="17"/>
    </row>
    <row r="14674">
      <c r="B14674" s="11">
        <f>IFERROR(__xludf.DUMMYFUNCTION("""COMPUTED_VALUE"""),25483.0)</f>
        <v>25483</v>
      </c>
      <c r="C14674" s="9">
        <f>IFERROR(__xludf.DUMMYFUNCTION("""COMPUTED_VALUE"""),7.31)</f>
        <v>7.31</v>
      </c>
      <c r="H14674" s="17"/>
      <c r="K14674" s="17"/>
      <c r="N14674" s="17"/>
    </row>
    <row r="14675">
      <c r="B14675" s="11">
        <f>IFERROR(__xludf.DUMMYFUNCTION("""COMPUTED_VALUE"""),25482.0)</f>
        <v>25482</v>
      </c>
      <c r="C14675" s="9">
        <f>IFERROR(__xludf.DUMMYFUNCTION("""COMPUTED_VALUE"""),7.35)</f>
        <v>7.35</v>
      </c>
      <c r="H14675" s="17"/>
      <c r="K14675" s="17"/>
      <c r="N14675" s="17"/>
    </row>
    <row r="14676">
      <c r="B14676" s="11">
        <f>IFERROR(__xludf.DUMMYFUNCTION("""COMPUTED_VALUE"""),25479.0)</f>
        <v>25479</v>
      </c>
      <c r="C14676" s="9">
        <f>IFERROR(__xludf.DUMMYFUNCTION("""COMPUTED_VALUE"""),7.38)</f>
        <v>7.38</v>
      </c>
      <c r="H14676" s="17"/>
      <c r="K14676" s="17"/>
      <c r="N14676" s="17"/>
    </row>
    <row r="14677">
      <c r="B14677" s="11">
        <f>IFERROR(__xludf.DUMMYFUNCTION("""COMPUTED_VALUE"""),25478.0)</f>
        <v>25478</v>
      </c>
      <c r="C14677" s="9">
        <f>IFERROR(__xludf.DUMMYFUNCTION("""COMPUTED_VALUE"""),7.45)</f>
        <v>7.45</v>
      </c>
      <c r="H14677" s="17"/>
      <c r="K14677" s="17"/>
      <c r="N14677" s="17"/>
    </row>
    <row r="14678">
      <c r="B14678" s="11">
        <f>IFERROR(__xludf.DUMMYFUNCTION("""COMPUTED_VALUE"""),25477.0)</f>
        <v>25477</v>
      </c>
      <c r="C14678" s="9">
        <f>IFERROR(__xludf.DUMMYFUNCTION("""COMPUTED_VALUE"""),7.52)</f>
        <v>7.52</v>
      </c>
      <c r="H14678" s="17"/>
      <c r="K14678" s="17"/>
      <c r="N14678" s="17"/>
    </row>
    <row r="14679">
      <c r="B14679" s="11">
        <f>IFERROR(__xludf.DUMMYFUNCTION("""COMPUTED_VALUE"""),25476.0)</f>
        <v>25476</v>
      </c>
      <c r="C14679" s="9">
        <f>IFERROR(__xludf.DUMMYFUNCTION("""COMPUTED_VALUE"""),7.51)</f>
        <v>7.51</v>
      </c>
      <c r="H14679" s="17"/>
      <c r="K14679" s="17"/>
      <c r="N14679" s="17"/>
    </row>
    <row r="14680">
      <c r="B14680" s="11">
        <f>IFERROR(__xludf.DUMMYFUNCTION("""COMPUTED_VALUE"""),25475.0)</f>
        <v>25475</v>
      </c>
      <c r="C14680" s="9">
        <f>IFERROR(__xludf.DUMMYFUNCTION("""COMPUTED_VALUE"""),7.45)</f>
        <v>7.45</v>
      </c>
      <c r="H14680" s="17"/>
      <c r="K14680" s="17"/>
      <c r="N14680" s="17"/>
    </row>
    <row r="14681">
      <c r="B14681" s="11">
        <f>IFERROR(__xludf.DUMMYFUNCTION("""COMPUTED_VALUE"""),25472.0)</f>
        <v>25472</v>
      </c>
      <c r="C14681" s="9">
        <f>IFERROR(__xludf.DUMMYFUNCTION("""COMPUTED_VALUE"""),7.4)</f>
        <v>7.4</v>
      </c>
      <c r="H14681" s="17"/>
      <c r="K14681" s="17"/>
      <c r="N14681" s="17"/>
    </row>
    <row r="14682">
      <c r="B14682" s="11">
        <f>IFERROR(__xludf.DUMMYFUNCTION("""COMPUTED_VALUE"""),25471.0)</f>
        <v>25471</v>
      </c>
      <c r="C14682" s="9">
        <f>IFERROR(__xludf.DUMMYFUNCTION("""COMPUTED_VALUE"""),7.3)</f>
        <v>7.3</v>
      </c>
      <c r="H14682" s="17"/>
      <c r="K14682" s="17"/>
      <c r="N14682" s="17"/>
    </row>
    <row r="14683">
      <c r="B14683" s="11">
        <f>IFERROR(__xludf.DUMMYFUNCTION("""COMPUTED_VALUE"""),25470.0)</f>
        <v>25470</v>
      </c>
      <c r="C14683" s="9">
        <f>IFERROR(__xludf.DUMMYFUNCTION("""COMPUTED_VALUE"""),7.27)</f>
        <v>7.27</v>
      </c>
      <c r="H14683" s="17"/>
      <c r="K14683" s="17"/>
      <c r="N14683" s="17"/>
    </row>
    <row r="14684">
      <c r="B14684" s="11">
        <f>IFERROR(__xludf.DUMMYFUNCTION("""COMPUTED_VALUE"""),25469.0)</f>
        <v>25469</v>
      </c>
      <c r="C14684" s="9">
        <f>IFERROR(__xludf.DUMMYFUNCTION("""COMPUTED_VALUE"""),7.26)</f>
        <v>7.26</v>
      </c>
      <c r="H14684" s="17"/>
      <c r="K14684" s="17"/>
      <c r="N14684" s="17"/>
    </row>
    <row r="14685">
      <c r="B14685" s="11">
        <f>IFERROR(__xludf.DUMMYFUNCTION("""COMPUTED_VALUE"""),25468.0)</f>
        <v>25468</v>
      </c>
      <c r="C14685" s="9">
        <f>IFERROR(__xludf.DUMMYFUNCTION("""COMPUTED_VALUE"""),7.26)</f>
        <v>7.26</v>
      </c>
      <c r="H14685" s="17"/>
      <c r="K14685" s="17"/>
      <c r="N14685" s="17"/>
    </row>
    <row r="14686">
      <c r="B14686" s="11">
        <f>IFERROR(__xludf.DUMMYFUNCTION("""COMPUTED_VALUE"""),25465.0)</f>
        <v>25465</v>
      </c>
      <c r="C14686" s="9">
        <f>IFERROR(__xludf.DUMMYFUNCTION("""COMPUTED_VALUE"""),7.28)</f>
        <v>7.28</v>
      </c>
      <c r="H14686" s="17"/>
      <c r="K14686" s="17"/>
      <c r="N14686" s="17"/>
    </row>
    <row r="14687">
      <c r="B14687" s="11">
        <f>IFERROR(__xludf.DUMMYFUNCTION("""COMPUTED_VALUE"""),25464.0)</f>
        <v>25464</v>
      </c>
      <c r="C14687" s="9">
        <f>IFERROR(__xludf.DUMMYFUNCTION("""COMPUTED_VALUE"""),7.27)</f>
        <v>7.27</v>
      </c>
      <c r="H14687" s="17"/>
      <c r="K14687" s="17"/>
      <c r="N14687" s="17"/>
    </row>
    <row r="14688">
      <c r="B14688" s="11">
        <f>IFERROR(__xludf.DUMMYFUNCTION("""COMPUTED_VALUE"""),25463.0)</f>
        <v>25463</v>
      </c>
      <c r="C14688" s="9">
        <f>IFERROR(__xludf.DUMMYFUNCTION("""COMPUTED_VALUE"""),7.14)</f>
        <v>7.14</v>
      </c>
      <c r="H14688" s="17"/>
      <c r="K14688" s="17"/>
      <c r="N14688" s="17"/>
    </row>
    <row r="14689">
      <c r="B14689" s="11">
        <f>IFERROR(__xludf.DUMMYFUNCTION("""COMPUTED_VALUE"""),25462.0)</f>
        <v>25462</v>
      </c>
      <c r="C14689" s="9">
        <f>IFERROR(__xludf.DUMMYFUNCTION("""COMPUTED_VALUE"""),7.14)</f>
        <v>7.14</v>
      </c>
      <c r="H14689" s="17"/>
      <c r="K14689" s="17"/>
      <c r="N14689" s="17"/>
    </row>
    <row r="14690">
      <c r="B14690" s="11">
        <f>IFERROR(__xludf.DUMMYFUNCTION("""COMPUTED_VALUE"""),25461.0)</f>
        <v>25461</v>
      </c>
      <c r="C14690" s="9">
        <f>IFERROR(__xludf.DUMMYFUNCTION("""COMPUTED_VALUE"""),7.09)</f>
        <v>7.09</v>
      </c>
      <c r="H14690" s="17"/>
      <c r="K14690" s="17"/>
      <c r="N14690" s="17"/>
    </row>
    <row r="14691">
      <c r="B14691" s="11">
        <f>IFERROR(__xludf.DUMMYFUNCTION("""COMPUTED_VALUE"""),25458.0)</f>
        <v>25458</v>
      </c>
      <c r="C14691" s="9">
        <f>IFERROR(__xludf.DUMMYFUNCTION("""COMPUTED_VALUE"""),7.08)</f>
        <v>7.08</v>
      </c>
      <c r="H14691" s="17"/>
      <c r="K14691" s="17"/>
      <c r="N14691" s="17"/>
    </row>
    <row r="14692">
      <c r="B14692" s="11">
        <f>IFERROR(__xludf.DUMMYFUNCTION("""COMPUTED_VALUE"""),25457.0)</f>
        <v>25457</v>
      </c>
      <c r="C14692" s="9">
        <f>IFERROR(__xludf.DUMMYFUNCTION("""COMPUTED_VALUE"""),7.05)</f>
        <v>7.05</v>
      </c>
      <c r="H14692" s="17"/>
      <c r="K14692" s="17"/>
      <c r="N14692" s="17"/>
    </row>
    <row r="14693">
      <c r="B14693" s="11">
        <f>IFERROR(__xludf.DUMMYFUNCTION("""COMPUTED_VALUE"""),25456.0)</f>
        <v>25456</v>
      </c>
      <c r="C14693" s="9">
        <f>IFERROR(__xludf.DUMMYFUNCTION("""COMPUTED_VALUE"""),7.02)</f>
        <v>7.02</v>
      </c>
      <c r="H14693" s="17"/>
      <c r="K14693" s="17"/>
      <c r="N14693" s="17"/>
    </row>
    <row r="14694">
      <c r="B14694" s="11">
        <f>IFERROR(__xludf.DUMMYFUNCTION("""COMPUTED_VALUE"""),25455.0)</f>
        <v>25455</v>
      </c>
      <c r="C14694" s="9">
        <f>IFERROR(__xludf.DUMMYFUNCTION("""COMPUTED_VALUE"""),7.04)</f>
        <v>7.04</v>
      </c>
      <c r="H14694" s="17"/>
      <c r="K14694" s="17"/>
      <c r="N14694" s="17"/>
    </row>
    <row r="14695">
      <c r="B14695" s="11">
        <f>IFERROR(__xludf.DUMMYFUNCTION("""COMPUTED_VALUE"""),25454.0)</f>
        <v>25454</v>
      </c>
      <c r="C14695" s="9">
        <f>IFERROR(__xludf.DUMMYFUNCTION("""COMPUTED_VALUE"""),7.03)</f>
        <v>7.03</v>
      </c>
      <c r="H14695" s="17"/>
      <c r="K14695" s="17"/>
      <c r="N14695" s="17"/>
    </row>
    <row r="14696">
      <c r="B14696" s="11">
        <f>IFERROR(__xludf.DUMMYFUNCTION("""COMPUTED_VALUE"""),25451.0)</f>
        <v>25451</v>
      </c>
      <c r="C14696" s="9">
        <f>IFERROR(__xludf.DUMMYFUNCTION("""COMPUTED_VALUE"""),6.99)</f>
        <v>6.99</v>
      </c>
      <c r="H14696" s="17"/>
      <c r="K14696" s="17"/>
      <c r="N14696" s="17"/>
    </row>
    <row r="14697">
      <c r="B14697" s="11">
        <f>IFERROR(__xludf.DUMMYFUNCTION("""COMPUTED_VALUE"""),25450.0)</f>
        <v>25450</v>
      </c>
      <c r="C14697" s="9">
        <f>IFERROR(__xludf.DUMMYFUNCTION("""COMPUTED_VALUE"""),6.96)</f>
        <v>6.96</v>
      </c>
      <c r="H14697" s="17"/>
      <c r="K14697" s="17"/>
      <c r="N14697" s="17"/>
    </row>
    <row r="14698">
      <c r="B14698" s="11">
        <f>IFERROR(__xludf.DUMMYFUNCTION("""COMPUTED_VALUE"""),25449.0)</f>
        <v>25449</v>
      </c>
      <c r="C14698" s="9">
        <f>IFERROR(__xludf.DUMMYFUNCTION("""COMPUTED_VALUE"""),6.94)</f>
        <v>6.94</v>
      </c>
      <c r="H14698" s="17"/>
      <c r="K14698" s="17"/>
      <c r="N14698" s="17"/>
    </row>
    <row r="14699">
      <c r="B14699" s="11">
        <f>IFERROR(__xludf.DUMMYFUNCTION("""COMPUTED_VALUE"""),25448.0)</f>
        <v>25448</v>
      </c>
      <c r="C14699" s="9">
        <f>IFERROR(__xludf.DUMMYFUNCTION("""COMPUTED_VALUE"""),6.87)</f>
        <v>6.87</v>
      </c>
      <c r="H14699" s="17"/>
      <c r="K14699" s="17"/>
      <c r="N14699" s="17"/>
    </row>
    <row r="14700">
      <c r="B14700" s="11">
        <f>IFERROR(__xludf.DUMMYFUNCTION("""COMPUTED_VALUE"""),25447.0)</f>
        <v>25447</v>
      </c>
      <c r="C14700" s="9"/>
      <c r="H14700" s="17"/>
      <c r="K14700" s="17"/>
      <c r="N14700" s="17"/>
    </row>
    <row r="14701">
      <c r="B14701" s="11">
        <f>IFERROR(__xludf.DUMMYFUNCTION("""COMPUTED_VALUE"""),25444.0)</f>
        <v>25444</v>
      </c>
      <c r="C14701" s="9">
        <f>IFERROR(__xludf.DUMMYFUNCTION("""COMPUTED_VALUE"""),6.83)</f>
        <v>6.83</v>
      </c>
      <c r="H14701" s="17"/>
      <c r="K14701" s="17"/>
      <c r="N14701" s="17"/>
    </row>
    <row r="14702">
      <c r="B14702" s="11">
        <f>IFERROR(__xludf.DUMMYFUNCTION("""COMPUTED_VALUE"""),25443.0)</f>
        <v>25443</v>
      </c>
      <c r="C14702" s="9">
        <f>IFERROR(__xludf.DUMMYFUNCTION("""COMPUTED_VALUE"""),6.83)</f>
        <v>6.83</v>
      </c>
      <c r="H14702" s="17"/>
      <c r="K14702" s="17"/>
      <c r="N14702" s="17"/>
    </row>
    <row r="14703">
      <c r="B14703" s="11">
        <f>IFERROR(__xludf.DUMMYFUNCTION("""COMPUTED_VALUE"""),25442.0)</f>
        <v>25442</v>
      </c>
      <c r="C14703" s="9">
        <f>IFERROR(__xludf.DUMMYFUNCTION("""COMPUTED_VALUE"""),6.79)</f>
        <v>6.79</v>
      </c>
      <c r="H14703" s="17"/>
      <c r="K14703" s="17"/>
      <c r="N14703" s="17"/>
    </row>
    <row r="14704">
      <c r="B14704" s="11">
        <f>IFERROR(__xludf.DUMMYFUNCTION("""COMPUTED_VALUE"""),25441.0)</f>
        <v>25441</v>
      </c>
      <c r="C14704" s="9">
        <f>IFERROR(__xludf.DUMMYFUNCTION("""COMPUTED_VALUE"""),6.76)</f>
        <v>6.76</v>
      </c>
      <c r="H14704" s="17"/>
      <c r="K14704" s="17"/>
      <c r="N14704" s="17"/>
    </row>
    <row r="14705">
      <c r="B14705" s="11">
        <f>IFERROR(__xludf.DUMMYFUNCTION("""COMPUTED_VALUE"""),25440.0)</f>
        <v>25440</v>
      </c>
      <c r="C14705" s="9">
        <f>IFERROR(__xludf.DUMMYFUNCTION("""COMPUTED_VALUE"""),6.72)</f>
        <v>6.72</v>
      </c>
      <c r="H14705" s="17"/>
      <c r="K14705" s="17"/>
      <c r="N14705" s="17"/>
    </row>
    <row r="14706">
      <c r="B14706" s="11">
        <f>IFERROR(__xludf.DUMMYFUNCTION("""COMPUTED_VALUE"""),25437.0)</f>
        <v>25437</v>
      </c>
      <c r="C14706" s="9">
        <f>IFERROR(__xludf.DUMMYFUNCTION("""COMPUTED_VALUE"""),6.71)</f>
        <v>6.71</v>
      </c>
      <c r="H14706" s="17"/>
      <c r="K14706" s="17"/>
      <c r="N14706" s="17"/>
    </row>
    <row r="14707">
      <c r="B14707" s="11">
        <f>IFERROR(__xludf.DUMMYFUNCTION("""COMPUTED_VALUE"""),25436.0)</f>
        <v>25436</v>
      </c>
      <c r="C14707" s="9">
        <f>IFERROR(__xludf.DUMMYFUNCTION("""COMPUTED_VALUE"""),6.68)</f>
        <v>6.68</v>
      </c>
      <c r="H14707" s="17"/>
      <c r="K14707" s="17"/>
      <c r="N14707" s="17"/>
    </row>
    <row r="14708">
      <c r="B14708" s="11">
        <f>IFERROR(__xludf.DUMMYFUNCTION("""COMPUTED_VALUE"""),25435.0)</f>
        <v>25435</v>
      </c>
      <c r="C14708" s="9">
        <f>IFERROR(__xludf.DUMMYFUNCTION("""COMPUTED_VALUE"""),6.66)</f>
        <v>6.66</v>
      </c>
      <c r="H14708" s="17"/>
      <c r="K14708" s="17"/>
      <c r="N14708" s="17"/>
    </row>
    <row r="14709">
      <c r="B14709" s="11">
        <f>IFERROR(__xludf.DUMMYFUNCTION("""COMPUTED_VALUE"""),25434.0)</f>
        <v>25434</v>
      </c>
      <c r="C14709" s="9">
        <f>IFERROR(__xludf.DUMMYFUNCTION("""COMPUTED_VALUE"""),6.65)</f>
        <v>6.65</v>
      </c>
      <c r="H14709" s="17"/>
      <c r="K14709" s="17"/>
      <c r="N14709" s="17"/>
    </row>
    <row r="14710">
      <c r="B14710" s="11">
        <f>IFERROR(__xludf.DUMMYFUNCTION("""COMPUTED_VALUE"""),25433.0)</f>
        <v>25433</v>
      </c>
      <c r="C14710" s="9">
        <f>IFERROR(__xludf.DUMMYFUNCTION("""COMPUTED_VALUE"""),6.66)</f>
        <v>6.66</v>
      </c>
      <c r="H14710" s="17"/>
      <c r="K14710" s="17"/>
      <c r="N14710" s="17"/>
    </row>
    <row r="14711">
      <c r="B14711" s="11">
        <f>IFERROR(__xludf.DUMMYFUNCTION("""COMPUTED_VALUE"""),25430.0)</f>
        <v>25430</v>
      </c>
      <c r="C14711" s="9">
        <f>IFERROR(__xludf.DUMMYFUNCTION("""COMPUTED_VALUE"""),6.68)</f>
        <v>6.68</v>
      </c>
      <c r="H14711" s="17"/>
      <c r="K14711" s="17"/>
      <c r="N14711" s="17"/>
    </row>
    <row r="14712">
      <c r="B14712" s="11">
        <f>IFERROR(__xludf.DUMMYFUNCTION("""COMPUTED_VALUE"""),25429.0)</f>
        <v>25429</v>
      </c>
      <c r="C14712" s="9">
        <f>IFERROR(__xludf.DUMMYFUNCTION("""COMPUTED_VALUE"""),6.68)</f>
        <v>6.68</v>
      </c>
      <c r="H14712" s="17"/>
      <c r="K14712" s="17"/>
      <c r="N14712" s="17"/>
    </row>
    <row r="14713">
      <c r="B14713" s="11">
        <f>IFERROR(__xludf.DUMMYFUNCTION("""COMPUTED_VALUE"""),25428.0)</f>
        <v>25428</v>
      </c>
      <c r="C14713" s="9">
        <f>IFERROR(__xludf.DUMMYFUNCTION("""COMPUTED_VALUE"""),6.7)</f>
        <v>6.7</v>
      </c>
      <c r="H14713" s="17"/>
      <c r="K14713" s="17"/>
      <c r="N14713" s="17"/>
    </row>
    <row r="14714">
      <c r="B14714" s="11">
        <f>IFERROR(__xludf.DUMMYFUNCTION("""COMPUTED_VALUE"""),25427.0)</f>
        <v>25427</v>
      </c>
      <c r="C14714" s="9">
        <f>IFERROR(__xludf.DUMMYFUNCTION("""COMPUTED_VALUE"""),6.7)</f>
        <v>6.7</v>
      </c>
      <c r="H14714" s="17"/>
      <c r="K14714" s="17"/>
      <c r="N14714" s="17"/>
    </row>
    <row r="14715">
      <c r="B14715" s="11">
        <f>IFERROR(__xludf.DUMMYFUNCTION("""COMPUTED_VALUE"""),25426.0)</f>
        <v>25426</v>
      </c>
      <c r="C14715" s="9">
        <f>IFERROR(__xludf.DUMMYFUNCTION("""COMPUTED_VALUE"""),6.69)</f>
        <v>6.69</v>
      </c>
      <c r="H14715" s="17"/>
      <c r="K14715" s="17"/>
      <c r="N14715" s="17"/>
    </row>
    <row r="14716">
      <c r="B14716" s="11">
        <f>IFERROR(__xludf.DUMMYFUNCTION("""COMPUTED_VALUE"""),25423.0)</f>
        <v>25423</v>
      </c>
      <c r="C14716" s="9">
        <f>IFERROR(__xludf.DUMMYFUNCTION("""COMPUTED_VALUE"""),6.64)</f>
        <v>6.64</v>
      </c>
      <c r="H14716" s="17"/>
      <c r="K14716" s="17"/>
      <c r="N14716" s="17"/>
    </row>
    <row r="14717">
      <c r="B14717" s="11">
        <f>IFERROR(__xludf.DUMMYFUNCTION("""COMPUTED_VALUE"""),25422.0)</f>
        <v>25422</v>
      </c>
      <c r="C14717" s="9">
        <f>IFERROR(__xludf.DUMMYFUNCTION("""COMPUTED_VALUE"""),6.63)</f>
        <v>6.63</v>
      </c>
      <c r="H14717" s="17"/>
      <c r="K14717" s="17"/>
      <c r="N14717" s="17"/>
    </row>
    <row r="14718">
      <c r="B14718" s="11">
        <f>IFERROR(__xludf.DUMMYFUNCTION("""COMPUTED_VALUE"""),25421.0)</f>
        <v>25421</v>
      </c>
      <c r="C14718" s="9">
        <f>IFERROR(__xludf.DUMMYFUNCTION("""COMPUTED_VALUE"""),6.62)</f>
        <v>6.62</v>
      </c>
      <c r="H14718" s="17"/>
      <c r="K14718" s="17"/>
      <c r="N14718" s="17"/>
    </row>
    <row r="14719">
      <c r="B14719" s="11">
        <f>IFERROR(__xludf.DUMMYFUNCTION("""COMPUTED_VALUE"""),25420.0)</f>
        <v>25420</v>
      </c>
      <c r="C14719" s="9">
        <f>IFERROR(__xludf.DUMMYFUNCTION("""COMPUTED_VALUE"""),6.6)</f>
        <v>6.6</v>
      </c>
      <c r="H14719" s="17"/>
      <c r="K14719" s="17"/>
      <c r="N14719" s="17"/>
    </row>
    <row r="14720">
      <c r="B14720" s="11">
        <f>IFERROR(__xludf.DUMMYFUNCTION("""COMPUTED_VALUE"""),25419.0)</f>
        <v>25419</v>
      </c>
      <c r="C14720" s="9">
        <f>IFERROR(__xludf.DUMMYFUNCTION("""COMPUTED_VALUE"""),6.63)</f>
        <v>6.63</v>
      </c>
      <c r="H14720" s="17"/>
      <c r="K14720" s="17"/>
      <c r="N14720" s="17"/>
    </row>
    <row r="14721">
      <c r="B14721" s="11">
        <f>IFERROR(__xludf.DUMMYFUNCTION("""COMPUTED_VALUE"""),25416.0)</f>
        <v>25416</v>
      </c>
      <c r="C14721" s="9">
        <f>IFERROR(__xludf.DUMMYFUNCTION("""COMPUTED_VALUE"""),6.66)</f>
        <v>6.66</v>
      </c>
      <c r="H14721" s="17"/>
      <c r="K14721" s="17"/>
      <c r="N14721" s="17"/>
    </row>
    <row r="14722">
      <c r="B14722" s="11">
        <f>IFERROR(__xludf.DUMMYFUNCTION("""COMPUTED_VALUE"""),25415.0)</f>
        <v>25415</v>
      </c>
      <c r="C14722" s="9">
        <f>IFERROR(__xludf.DUMMYFUNCTION("""COMPUTED_VALUE"""),6.66)</f>
        <v>6.66</v>
      </c>
      <c r="H14722" s="17"/>
      <c r="K14722" s="17"/>
      <c r="N14722" s="17"/>
    </row>
    <row r="14723">
      <c r="B14723" s="11">
        <f>IFERROR(__xludf.DUMMYFUNCTION("""COMPUTED_VALUE"""),25414.0)</f>
        <v>25414</v>
      </c>
      <c r="C14723" s="9">
        <f>IFERROR(__xludf.DUMMYFUNCTION("""COMPUTED_VALUE"""),6.72)</f>
        <v>6.72</v>
      </c>
      <c r="H14723" s="17"/>
      <c r="K14723" s="17"/>
      <c r="N14723" s="17"/>
    </row>
    <row r="14724">
      <c r="B14724" s="11">
        <f>IFERROR(__xludf.DUMMYFUNCTION("""COMPUTED_VALUE"""),25413.0)</f>
        <v>25413</v>
      </c>
      <c r="C14724" s="9">
        <f>IFERROR(__xludf.DUMMYFUNCTION("""COMPUTED_VALUE"""),6.72)</f>
        <v>6.72</v>
      </c>
      <c r="H14724" s="17"/>
      <c r="K14724" s="17"/>
      <c r="N14724" s="17"/>
    </row>
    <row r="14725">
      <c r="B14725" s="11">
        <f>IFERROR(__xludf.DUMMYFUNCTION("""COMPUTED_VALUE"""),25412.0)</f>
        <v>25412</v>
      </c>
      <c r="C14725" s="9">
        <f>IFERROR(__xludf.DUMMYFUNCTION("""COMPUTED_VALUE"""),6.73)</f>
        <v>6.73</v>
      </c>
      <c r="H14725" s="17"/>
      <c r="K14725" s="17"/>
      <c r="N14725" s="17"/>
    </row>
    <row r="14726">
      <c r="B14726" s="11">
        <f>IFERROR(__xludf.DUMMYFUNCTION("""COMPUTED_VALUE"""),25409.0)</f>
        <v>25409</v>
      </c>
      <c r="C14726" s="9">
        <f>IFERROR(__xludf.DUMMYFUNCTION("""COMPUTED_VALUE"""),6.71)</f>
        <v>6.71</v>
      </c>
      <c r="H14726" s="17"/>
      <c r="K14726" s="17"/>
      <c r="N14726" s="17"/>
    </row>
    <row r="14727">
      <c r="B14727" s="11">
        <f>IFERROR(__xludf.DUMMYFUNCTION("""COMPUTED_VALUE"""),25408.0)</f>
        <v>25408</v>
      </c>
      <c r="C14727" s="9">
        <f>IFERROR(__xludf.DUMMYFUNCTION("""COMPUTED_VALUE"""),6.7)</f>
        <v>6.7</v>
      </c>
      <c r="H14727" s="17"/>
      <c r="K14727" s="17"/>
      <c r="N14727" s="17"/>
    </row>
    <row r="14728">
      <c r="B14728" s="11">
        <f>IFERROR(__xludf.DUMMYFUNCTION("""COMPUTED_VALUE"""),25407.0)</f>
        <v>25407</v>
      </c>
      <c r="C14728" s="9">
        <f>IFERROR(__xludf.DUMMYFUNCTION("""COMPUTED_VALUE"""),6.68)</f>
        <v>6.68</v>
      </c>
      <c r="H14728" s="17"/>
      <c r="K14728" s="17"/>
      <c r="N14728" s="17"/>
    </row>
    <row r="14729">
      <c r="B14729" s="11">
        <f>IFERROR(__xludf.DUMMYFUNCTION("""COMPUTED_VALUE"""),25406.0)</f>
        <v>25406</v>
      </c>
      <c r="C14729" s="9">
        <f>IFERROR(__xludf.DUMMYFUNCTION("""COMPUTED_VALUE"""),6.66)</f>
        <v>6.66</v>
      </c>
      <c r="H14729" s="17"/>
      <c r="K14729" s="17"/>
      <c r="N14729" s="17"/>
    </row>
    <row r="14730">
      <c r="B14730" s="11">
        <f>IFERROR(__xludf.DUMMYFUNCTION("""COMPUTED_VALUE"""),25405.0)</f>
        <v>25405</v>
      </c>
      <c r="C14730" s="9"/>
      <c r="H14730" s="17"/>
      <c r="K14730" s="17"/>
      <c r="N14730" s="17"/>
    </row>
    <row r="14731">
      <c r="B14731" s="11">
        <f>IFERROR(__xludf.DUMMYFUNCTION("""COMPUTED_VALUE"""),25402.0)</f>
        <v>25402</v>
      </c>
      <c r="C14731" s="9">
        <f>IFERROR(__xludf.DUMMYFUNCTION("""COMPUTED_VALUE"""),6.7)</f>
        <v>6.7</v>
      </c>
      <c r="H14731" s="17"/>
      <c r="K14731" s="17"/>
      <c r="N14731" s="17"/>
    </row>
    <row r="14732">
      <c r="B14732" s="11">
        <f>IFERROR(__xludf.DUMMYFUNCTION("""COMPUTED_VALUE"""),25401.0)</f>
        <v>25401</v>
      </c>
      <c r="C14732" s="9">
        <f>IFERROR(__xludf.DUMMYFUNCTION("""COMPUTED_VALUE"""),6.69)</f>
        <v>6.69</v>
      </c>
      <c r="H14732" s="17"/>
      <c r="K14732" s="17"/>
      <c r="N14732" s="17"/>
    </row>
    <row r="14733">
      <c r="B14733" s="11">
        <f>IFERROR(__xludf.DUMMYFUNCTION("""COMPUTED_VALUE"""),25400.0)</f>
        <v>25400</v>
      </c>
      <c r="C14733" s="9">
        <f>IFERROR(__xludf.DUMMYFUNCTION("""COMPUTED_VALUE"""),6.67)</f>
        <v>6.67</v>
      </c>
      <c r="H14733" s="17"/>
      <c r="K14733" s="17"/>
      <c r="N14733" s="17"/>
    </row>
    <row r="14734">
      <c r="B14734" s="11">
        <f>IFERROR(__xludf.DUMMYFUNCTION("""COMPUTED_VALUE"""),25399.0)</f>
        <v>25399</v>
      </c>
      <c r="C14734" s="9">
        <f>IFERROR(__xludf.DUMMYFUNCTION("""COMPUTED_VALUE"""),6.72)</f>
        <v>6.72</v>
      </c>
      <c r="H14734" s="17"/>
      <c r="K14734" s="17"/>
      <c r="N14734" s="17"/>
    </row>
    <row r="14735">
      <c r="B14735" s="11">
        <f>IFERROR(__xludf.DUMMYFUNCTION("""COMPUTED_VALUE"""),25398.0)</f>
        <v>25398</v>
      </c>
      <c r="C14735" s="9">
        <f>IFERROR(__xludf.DUMMYFUNCTION("""COMPUTED_VALUE"""),6.69)</f>
        <v>6.69</v>
      </c>
      <c r="H14735" s="17"/>
      <c r="K14735" s="17"/>
      <c r="N14735" s="17"/>
    </row>
    <row r="14736">
      <c r="B14736" s="11">
        <f>IFERROR(__xludf.DUMMYFUNCTION("""COMPUTED_VALUE"""),25395.0)</f>
        <v>25395</v>
      </c>
      <c r="C14736" s="9">
        <f>IFERROR(__xludf.DUMMYFUNCTION("""COMPUTED_VALUE"""),6.64)</f>
        <v>6.64</v>
      </c>
      <c r="H14736" s="17"/>
      <c r="K14736" s="17"/>
      <c r="N14736" s="17"/>
    </row>
    <row r="14737">
      <c r="B14737" s="11">
        <f>IFERROR(__xludf.DUMMYFUNCTION("""COMPUTED_VALUE"""),25394.0)</f>
        <v>25394</v>
      </c>
      <c r="C14737" s="9">
        <f>IFERROR(__xludf.DUMMYFUNCTION("""COMPUTED_VALUE"""),6.78)</f>
        <v>6.78</v>
      </c>
      <c r="H14737" s="17"/>
      <c r="K14737" s="17"/>
      <c r="N14737" s="17"/>
    </row>
    <row r="14738">
      <c r="B14738" s="11">
        <f>IFERROR(__xludf.DUMMYFUNCTION("""COMPUTED_VALUE"""),25393.0)</f>
        <v>25393</v>
      </c>
      <c r="C14738" s="9">
        <f>IFERROR(__xludf.DUMMYFUNCTION("""COMPUTED_VALUE"""),6.82)</f>
        <v>6.82</v>
      </c>
      <c r="H14738" s="17"/>
      <c r="K14738" s="17"/>
      <c r="N14738" s="17"/>
    </row>
    <row r="14739">
      <c r="B14739" s="11">
        <f>IFERROR(__xludf.DUMMYFUNCTION("""COMPUTED_VALUE"""),25392.0)</f>
        <v>25392</v>
      </c>
      <c r="C14739" s="9">
        <f>IFERROR(__xludf.DUMMYFUNCTION("""COMPUTED_VALUE"""),6.79)</f>
        <v>6.79</v>
      </c>
      <c r="H14739" s="17"/>
      <c r="K14739" s="17"/>
      <c r="N14739" s="17"/>
    </row>
    <row r="14740">
      <c r="B14740" s="11">
        <f>IFERROR(__xludf.DUMMYFUNCTION("""COMPUTED_VALUE"""),25391.0)</f>
        <v>25391</v>
      </c>
      <c r="C14740" s="9">
        <f>IFERROR(__xludf.DUMMYFUNCTION("""COMPUTED_VALUE"""),6.76)</f>
        <v>6.76</v>
      </c>
      <c r="H14740" s="17"/>
      <c r="K14740" s="17"/>
      <c r="N14740" s="17"/>
    </row>
    <row r="14741">
      <c r="B14741" s="11">
        <f>IFERROR(__xludf.DUMMYFUNCTION("""COMPUTED_VALUE"""),25388.0)</f>
        <v>25388</v>
      </c>
      <c r="C14741" s="9"/>
      <c r="H14741" s="17"/>
      <c r="K14741" s="17"/>
      <c r="N14741" s="17"/>
    </row>
    <row r="14742">
      <c r="B14742" s="11">
        <f>IFERROR(__xludf.DUMMYFUNCTION("""COMPUTED_VALUE"""),25387.0)</f>
        <v>25387</v>
      </c>
      <c r="C14742" s="9">
        <f>IFERROR(__xludf.DUMMYFUNCTION("""COMPUTED_VALUE"""),6.75)</f>
        <v>6.75</v>
      </c>
      <c r="H14742" s="17"/>
      <c r="K14742" s="17"/>
      <c r="N14742" s="17"/>
    </row>
    <row r="14743">
      <c r="B14743" s="11">
        <f>IFERROR(__xludf.DUMMYFUNCTION("""COMPUTED_VALUE"""),25386.0)</f>
        <v>25386</v>
      </c>
      <c r="C14743" s="9">
        <f>IFERROR(__xludf.DUMMYFUNCTION("""COMPUTED_VALUE"""),6.77)</f>
        <v>6.77</v>
      </c>
      <c r="H14743" s="17"/>
      <c r="K14743" s="17"/>
      <c r="N14743" s="17"/>
    </row>
    <row r="14744">
      <c r="B14744" s="11">
        <f>IFERROR(__xludf.DUMMYFUNCTION("""COMPUTED_VALUE"""),25385.0)</f>
        <v>25385</v>
      </c>
      <c r="C14744" s="9">
        <f>IFERROR(__xludf.DUMMYFUNCTION("""COMPUTED_VALUE"""),6.75)</f>
        <v>6.75</v>
      </c>
      <c r="H14744" s="17"/>
      <c r="K14744" s="17"/>
      <c r="N14744" s="17"/>
    </row>
    <row r="14745">
      <c r="B14745" s="11">
        <f>IFERROR(__xludf.DUMMYFUNCTION("""COMPUTED_VALUE"""),25384.0)</f>
        <v>25384</v>
      </c>
      <c r="C14745" s="9">
        <f>IFERROR(__xludf.DUMMYFUNCTION("""COMPUTED_VALUE"""),6.73)</f>
        <v>6.73</v>
      </c>
      <c r="H14745" s="17"/>
      <c r="K14745" s="17"/>
      <c r="N14745" s="17"/>
    </row>
    <row r="14746">
      <c r="B14746" s="11">
        <f>IFERROR(__xludf.DUMMYFUNCTION("""COMPUTED_VALUE"""),25381.0)</f>
        <v>25381</v>
      </c>
      <c r="C14746" s="9">
        <f>IFERROR(__xludf.DUMMYFUNCTION("""COMPUTED_VALUE"""),6.66)</f>
        <v>6.66</v>
      </c>
      <c r="H14746" s="17"/>
      <c r="K14746" s="17"/>
      <c r="N14746" s="17"/>
    </row>
    <row r="14747">
      <c r="B14747" s="11">
        <f>IFERROR(__xludf.DUMMYFUNCTION("""COMPUTED_VALUE"""),25380.0)</f>
        <v>25380</v>
      </c>
      <c r="C14747" s="9">
        <f>IFERROR(__xludf.DUMMYFUNCTION("""COMPUTED_VALUE"""),6.62)</f>
        <v>6.62</v>
      </c>
      <c r="H14747" s="17"/>
      <c r="K14747" s="17"/>
      <c r="N14747" s="17"/>
    </row>
    <row r="14748">
      <c r="B14748" s="11">
        <f>IFERROR(__xludf.DUMMYFUNCTION("""COMPUTED_VALUE"""),25379.0)</f>
        <v>25379</v>
      </c>
      <c r="C14748" s="9">
        <f>IFERROR(__xludf.DUMMYFUNCTION("""COMPUTED_VALUE"""),6.63)</f>
        <v>6.63</v>
      </c>
      <c r="H14748" s="17"/>
      <c r="K14748" s="17"/>
      <c r="N14748" s="17"/>
    </row>
    <row r="14749">
      <c r="B14749" s="11">
        <f>IFERROR(__xludf.DUMMYFUNCTION("""COMPUTED_VALUE"""),25378.0)</f>
        <v>25378</v>
      </c>
      <c r="C14749" s="9">
        <f>IFERROR(__xludf.DUMMYFUNCTION("""COMPUTED_VALUE"""),6.63)</f>
        <v>6.63</v>
      </c>
      <c r="H14749" s="17"/>
      <c r="K14749" s="17"/>
      <c r="N14749" s="17"/>
    </row>
    <row r="14750">
      <c r="B14750" s="11">
        <f>IFERROR(__xludf.DUMMYFUNCTION("""COMPUTED_VALUE"""),25377.0)</f>
        <v>25377</v>
      </c>
      <c r="C14750" s="9">
        <f>IFERROR(__xludf.DUMMYFUNCTION("""COMPUTED_VALUE"""),6.6)</f>
        <v>6.6</v>
      </c>
      <c r="H14750" s="17"/>
      <c r="K14750" s="17"/>
      <c r="N14750" s="17"/>
    </row>
    <row r="14751">
      <c r="B14751" s="11">
        <f>IFERROR(__xludf.DUMMYFUNCTION("""COMPUTED_VALUE"""),25374.0)</f>
        <v>25374</v>
      </c>
      <c r="C14751" s="9">
        <f>IFERROR(__xludf.DUMMYFUNCTION("""COMPUTED_VALUE"""),6.59)</f>
        <v>6.59</v>
      </c>
      <c r="H14751" s="17"/>
      <c r="K14751" s="17"/>
      <c r="N14751" s="17"/>
    </row>
    <row r="14752">
      <c r="B14752" s="11">
        <f>IFERROR(__xludf.DUMMYFUNCTION("""COMPUTED_VALUE"""),25373.0)</f>
        <v>25373</v>
      </c>
      <c r="C14752" s="9">
        <f>IFERROR(__xludf.DUMMYFUNCTION("""COMPUTED_VALUE"""),6.57)</f>
        <v>6.57</v>
      </c>
      <c r="H14752" s="17"/>
      <c r="K14752" s="17"/>
      <c r="N14752" s="17"/>
    </row>
    <row r="14753">
      <c r="B14753" s="11">
        <f>IFERROR(__xludf.DUMMYFUNCTION("""COMPUTED_VALUE"""),25372.0)</f>
        <v>25372</v>
      </c>
      <c r="C14753" s="9">
        <f>IFERROR(__xludf.DUMMYFUNCTION("""COMPUTED_VALUE"""),6.53)</f>
        <v>6.53</v>
      </c>
      <c r="H14753" s="17"/>
      <c r="K14753" s="17"/>
      <c r="N14753" s="17"/>
    </row>
    <row r="14754">
      <c r="B14754" s="11">
        <f>IFERROR(__xludf.DUMMYFUNCTION("""COMPUTED_VALUE"""),25371.0)</f>
        <v>25371</v>
      </c>
      <c r="C14754" s="9">
        <f>IFERROR(__xludf.DUMMYFUNCTION("""COMPUTED_VALUE"""),6.52)</f>
        <v>6.52</v>
      </c>
      <c r="H14754" s="17"/>
      <c r="K14754" s="17"/>
      <c r="N14754" s="17"/>
    </row>
    <row r="14755">
      <c r="B14755" s="11">
        <f>IFERROR(__xludf.DUMMYFUNCTION("""COMPUTED_VALUE"""),25370.0)</f>
        <v>25370</v>
      </c>
      <c r="C14755" s="9">
        <f>IFERROR(__xludf.DUMMYFUNCTION("""COMPUTED_VALUE"""),6.49)</f>
        <v>6.49</v>
      </c>
      <c r="H14755" s="17"/>
      <c r="K14755" s="17"/>
      <c r="N14755" s="17"/>
    </row>
    <row r="14756">
      <c r="B14756" s="11">
        <f>IFERROR(__xludf.DUMMYFUNCTION("""COMPUTED_VALUE"""),25367.0)</f>
        <v>25367</v>
      </c>
      <c r="C14756" s="9">
        <f>IFERROR(__xludf.DUMMYFUNCTION("""COMPUTED_VALUE"""),6.51)</f>
        <v>6.51</v>
      </c>
      <c r="H14756" s="17"/>
      <c r="K14756" s="17"/>
      <c r="N14756" s="17"/>
    </row>
    <row r="14757">
      <c r="B14757" s="11">
        <f>IFERROR(__xludf.DUMMYFUNCTION("""COMPUTED_VALUE"""),25366.0)</f>
        <v>25366</v>
      </c>
      <c r="C14757" s="9">
        <f>IFERROR(__xludf.DUMMYFUNCTION("""COMPUTED_VALUE"""),6.54)</f>
        <v>6.54</v>
      </c>
      <c r="H14757" s="17"/>
      <c r="K14757" s="17"/>
      <c r="N14757" s="17"/>
    </row>
    <row r="14758">
      <c r="B14758" s="11">
        <f>IFERROR(__xludf.DUMMYFUNCTION("""COMPUTED_VALUE"""),25365.0)</f>
        <v>25365</v>
      </c>
      <c r="C14758" s="9">
        <f>IFERROR(__xludf.DUMMYFUNCTION("""COMPUTED_VALUE"""),6.56)</f>
        <v>6.56</v>
      </c>
      <c r="H14758" s="17"/>
      <c r="K14758" s="17"/>
      <c r="N14758" s="17"/>
    </row>
    <row r="14759">
      <c r="B14759" s="11">
        <f>IFERROR(__xludf.DUMMYFUNCTION("""COMPUTED_VALUE"""),25364.0)</f>
        <v>25364</v>
      </c>
      <c r="C14759" s="9">
        <f>IFERROR(__xludf.DUMMYFUNCTION("""COMPUTED_VALUE"""),6.56)</f>
        <v>6.56</v>
      </c>
      <c r="H14759" s="17"/>
      <c r="K14759" s="17"/>
      <c r="N14759" s="17"/>
    </row>
    <row r="14760">
      <c r="B14760" s="11">
        <f>IFERROR(__xludf.DUMMYFUNCTION("""COMPUTED_VALUE"""),25363.0)</f>
        <v>25363</v>
      </c>
      <c r="C14760" s="9">
        <f>IFERROR(__xludf.DUMMYFUNCTION("""COMPUTED_VALUE"""),6.59)</f>
        <v>6.59</v>
      </c>
      <c r="H14760" s="17"/>
      <c r="K14760" s="17"/>
      <c r="N14760" s="17"/>
    </row>
    <row r="14761">
      <c r="B14761" s="11">
        <f>IFERROR(__xludf.DUMMYFUNCTION("""COMPUTED_VALUE"""),25360.0)</f>
        <v>25360</v>
      </c>
      <c r="C14761" s="9">
        <f>IFERROR(__xludf.DUMMYFUNCTION("""COMPUTED_VALUE"""),6.52)</f>
        <v>6.52</v>
      </c>
      <c r="H14761" s="17"/>
      <c r="K14761" s="17"/>
      <c r="N14761" s="17"/>
    </row>
    <row r="14762">
      <c r="B14762" s="11">
        <f>IFERROR(__xludf.DUMMYFUNCTION("""COMPUTED_VALUE"""),25359.0)</f>
        <v>25359</v>
      </c>
      <c r="C14762" s="9">
        <f>IFERROR(__xludf.DUMMYFUNCTION("""COMPUTED_VALUE"""),6.54)</f>
        <v>6.54</v>
      </c>
      <c r="H14762" s="17"/>
      <c r="K14762" s="17"/>
      <c r="N14762" s="17"/>
    </row>
    <row r="14763">
      <c r="B14763" s="11">
        <f>IFERROR(__xludf.DUMMYFUNCTION("""COMPUTED_VALUE"""),25358.0)</f>
        <v>25358</v>
      </c>
      <c r="C14763" s="9">
        <f>IFERROR(__xludf.DUMMYFUNCTION("""COMPUTED_VALUE"""),6.56)</f>
        <v>6.56</v>
      </c>
      <c r="H14763" s="17"/>
      <c r="K14763" s="17"/>
      <c r="N14763" s="17"/>
    </row>
    <row r="14764">
      <c r="B14764" s="11">
        <f>IFERROR(__xludf.DUMMYFUNCTION("""COMPUTED_VALUE"""),25357.0)</f>
        <v>25357</v>
      </c>
      <c r="C14764" s="9">
        <f>IFERROR(__xludf.DUMMYFUNCTION("""COMPUTED_VALUE"""),6.55)</f>
        <v>6.55</v>
      </c>
      <c r="H14764" s="17"/>
      <c r="K14764" s="17"/>
      <c r="N14764" s="17"/>
    </row>
    <row r="14765">
      <c r="B14765" s="11">
        <f>IFERROR(__xludf.DUMMYFUNCTION("""COMPUTED_VALUE"""),25356.0)</f>
        <v>25356</v>
      </c>
      <c r="C14765" s="9">
        <f>IFERROR(__xludf.DUMMYFUNCTION("""COMPUTED_VALUE"""),6.56)</f>
        <v>6.56</v>
      </c>
      <c r="H14765" s="17"/>
      <c r="K14765" s="17"/>
      <c r="N14765" s="17"/>
    </row>
    <row r="14766">
      <c r="B14766" s="11">
        <f>IFERROR(__xludf.DUMMYFUNCTION("""COMPUTED_VALUE"""),25353.0)</f>
        <v>25353</v>
      </c>
      <c r="C14766" s="9"/>
      <c r="H14766" s="17"/>
      <c r="K14766" s="17"/>
      <c r="N14766" s="17"/>
    </row>
    <row r="14767">
      <c r="B14767" s="11">
        <f>IFERROR(__xludf.DUMMYFUNCTION("""COMPUTED_VALUE"""),25352.0)</f>
        <v>25352</v>
      </c>
      <c r="C14767" s="9">
        <f>IFERROR(__xludf.DUMMYFUNCTION("""COMPUTED_VALUE"""),6.56)</f>
        <v>6.56</v>
      </c>
      <c r="H14767" s="17"/>
      <c r="K14767" s="17"/>
      <c r="N14767" s="17"/>
    </row>
    <row r="14768">
      <c r="B14768" s="11">
        <f>IFERROR(__xludf.DUMMYFUNCTION("""COMPUTED_VALUE"""),25351.0)</f>
        <v>25351</v>
      </c>
      <c r="C14768" s="9">
        <f>IFERROR(__xludf.DUMMYFUNCTION("""COMPUTED_VALUE"""),6.56)</f>
        <v>6.56</v>
      </c>
      <c r="H14768" s="17"/>
      <c r="K14768" s="17"/>
      <c r="N14768" s="17"/>
    </row>
    <row r="14769">
      <c r="B14769" s="11">
        <f>IFERROR(__xludf.DUMMYFUNCTION("""COMPUTED_VALUE"""),25350.0)</f>
        <v>25350</v>
      </c>
      <c r="C14769" s="9">
        <f>IFERROR(__xludf.DUMMYFUNCTION("""COMPUTED_VALUE"""),6.54)</f>
        <v>6.54</v>
      </c>
      <c r="H14769" s="17"/>
      <c r="K14769" s="17"/>
      <c r="N14769" s="17"/>
    </row>
    <row r="14770">
      <c r="B14770" s="11">
        <f>IFERROR(__xludf.DUMMYFUNCTION("""COMPUTED_VALUE"""),25349.0)</f>
        <v>25349</v>
      </c>
      <c r="C14770" s="9">
        <f>IFERROR(__xludf.DUMMYFUNCTION("""COMPUTED_VALUE"""),6.44)</f>
        <v>6.44</v>
      </c>
      <c r="H14770" s="17"/>
      <c r="K14770" s="17"/>
      <c r="N14770" s="17"/>
    </row>
    <row r="14771">
      <c r="B14771" s="11">
        <f>IFERROR(__xludf.DUMMYFUNCTION("""COMPUTED_VALUE"""),25346.0)</f>
        <v>25346</v>
      </c>
      <c r="C14771" s="9">
        <f>IFERROR(__xludf.DUMMYFUNCTION("""COMPUTED_VALUE"""),6.38)</f>
        <v>6.38</v>
      </c>
      <c r="H14771" s="17"/>
      <c r="K14771" s="17"/>
      <c r="N14771" s="17"/>
    </row>
    <row r="14772">
      <c r="B14772" s="11">
        <f>IFERROR(__xludf.DUMMYFUNCTION("""COMPUTED_VALUE"""),25345.0)</f>
        <v>25345</v>
      </c>
      <c r="C14772" s="9">
        <f>IFERROR(__xludf.DUMMYFUNCTION("""COMPUTED_VALUE"""),6.36)</f>
        <v>6.36</v>
      </c>
      <c r="H14772" s="17"/>
      <c r="K14772" s="17"/>
      <c r="N14772" s="17"/>
    </row>
    <row r="14773">
      <c r="B14773" s="11">
        <f>IFERROR(__xludf.DUMMYFUNCTION("""COMPUTED_VALUE"""),25344.0)</f>
        <v>25344</v>
      </c>
      <c r="C14773" s="9">
        <f>IFERROR(__xludf.DUMMYFUNCTION("""COMPUTED_VALUE"""),6.36)</f>
        <v>6.36</v>
      </c>
      <c r="H14773" s="17"/>
      <c r="K14773" s="17"/>
      <c r="N14773" s="17"/>
    </row>
    <row r="14774">
      <c r="B14774" s="11">
        <f>IFERROR(__xludf.DUMMYFUNCTION("""COMPUTED_VALUE"""),25343.0)</f>
        <v>25343</v>
      </c>
      <c r="C14774" s="9">
        <f>IFERROR(__xludf.DUMMYFUNCTION("""COMPUTED_VALUE"""),6.36)</f>
        <v>6.36</v>
      </c>
      <c r="H14774" s="17"/>
      <c r="K14774" s="17"/>
      <c r="N14774" s="17"/>
    </row>
    <row r="14775">
      <c r="B14775" s="11">
        <f>IFERROR(__xludf.DUMMYFUNCTION("""COMPUTED_VALUE"""),25342.0)</f>
        <v>25342</v>
      </c>
      <c r="C14775" s="9">
        <f>IFERROR(__xludf.DUMMYFUNCTION("""COMPUTED_VALUE"""),6.36)</f>
        <v>6.36</v>
      </c>
      <c r="H14775" s="17"/>
      <c r="K14775" s="17"/>
      <c r="N14775" s="17"/>
    </row>
    <row r="14776">
      <c r="B14776" s="11">
        <f>IFERROR(__xludf.DUMMYFUNCTION("""COMPUTED_VALUE"""),25339.0)</f>
        <v>25339</v>
      </c>
      <c r="C14776" s="9">
        <f>IFERROR(__xludf.DUMMYFUNCTION("""COMPUTED_VALUE"""),6.31)</f>
        <v>6.31</v>
      </c>
      <c r="H14776" s="17"/>
      <c r="K14776" s="17"/>
      <c r="N14776" s="17"/>
    </row>
    <row r="14777">
      <c r="B14777" s="11">
        <f>IFERROR(__xludf.DUMMYFUNCTION("""COMPUTED_VALUE"""),25338.0)</f>
        <v>25338</v>
      </c>
      <c r="C14777" s="9">
        <f>IFERROR(__xludf.DUMMYFUNCTION("""COMPUTED_VALUE"""),6.26)</f>
        <v>6.26</v>
      </c>
      <c r="H14777" s="17"/>
      <c r="K14777" s="17"/>
      <c r="N14777" s="17"/>
    </row>
    <row r="14778">
      <c r="B14778" s="11">
        <f>IFERROR(__xludf.DUMMYFUNCTION("""COMPUTED_VALUE"""),25337.0)</f>
        <v>25337</v>
      </c>
      <c r="C14778" s="9">
        <f>IFERROR(__xludf.DUMMYFUNCTION("""COMPUTED_VALUE"""),6.24)</f>
        <v>6.24</v>
      </c>
      <c r="H14778" s="17"/>
      <c r="K14778" s="17"/>
      <c r="N14778" s="17"/>
    </row>
    <row r="14779">
      <c r="B14779" s="11">
        <f>IFERROR(__xludf.DUMMYFUNCTION("""COMPUTED_VALUE"""),25336.0)</f>
        <v>25336</v>
      </c>
      <c r="C14779" s="9">
        <f>IFERROR(__xludf.DUMMYFUNCTION("""COMPUTED_VALUE"""),6.25)</f>
        <v>6.25</v>
      </c>
      <c r="H14779" s="17"/>
      <c r="K14779" s="17"/>
      <c r="N14779" s="17"/>
    </row>
    <row r="14780">
      <c r="B14780" s="11">
        <f>IFERROR(__xludf.DUMMYFUNCTION("""COMPUTED_VALUE"""),25335.0)</f>
        <v>25335</v>
      </c>
      <c r="C14780" s="9">
        <f>IFERROR(__xludf.DUMMYFUNCTION("""COMPUTED_VALUE"""),6.27)</f>
        <v>6.27</v>
      </c>
      <c r="H14780" s="17"/>
      <c r="K14780" s="17"/>
      <c r="N14780" s="17"/>
    </row>
    <row r="14781">
      <c r="B14781" s="11">
        <f>IFERROR(__xludf.DUMMYFUNCTION("""COMPUTED_VALUE"""),25332.0)</f>
        <v>25332</v>
      </c>
      <c r="C14781" s="9">
        <f>IFERROR(__xludf.DUMMYFUNCTION("""COMPUTED_VALUE"""),6.23)</f>
        <v>6.23</v>
      </c>
      <c r="H14781" s="17"/>
      <c r="K14781" s="17"/>
      <c r="N14781" s="17"/>
    </row>
    <row r="14782">
      <c r="B14782" s="11">
        <f>IFERROR(__xludf.DUMMYFUNCTION("""COMPUTED_VALUE"""),25331.0)</f>
        <v>25331</v>
      </c>
      <c r="C14782" s="9">
        <f>IFERROR(__xludf.DUMMYFUNCTION("""COMPUTED_VALUE"""),6.2)</f>
        <v>6.2</v>
      </c>
      <c r="H14782" s="17"/>
      <c r="K14782" s="17"/>
      <c r="N14782" s="17"/>
    </row>
    <row r="14783">
      <c r="B14783" s="11">
        <f>IFERROR(__xludf.DUMMYFUNCTION("""COMPUTED_VALUE"""),25330.0)</f>
        <v>25330</v>
      </c>
      <c r="C14783" s="9">
        <f>IFERROR(__xludf.DUMMYFUNCTION("""COMPUTED_VALUE"""),6.22)</f>
        <v>6.22</v>
      </c>
      <c r="H14783" s="17"/>
      <c r="K14783" s="17"/>
      <c r="N14783" s="17"/>
    </row>
    <row r="14784">
      <c r="B14784" s="11">
        <f>IFERROR(__xludf.DUMMYFUNCTION("""COMPUTED_VALUE"""),25329.0)</f>
        <v>25329</v>
      </c>
      <c r="C14784" s="9">
        <f>IFERROR(__xludf.DUMMYFUNCTION("""COMPUTED_VALUE"""),6.22)</f>
        <v>6.22</v>
      </c>
      <c r="H14784" s="17"/>
      <c r="K14784" s="17"/>
      <c r="N14784" s="17"/>
    </row>
    <row r="14785">
      <c r="B14785" s="11">
        <f>IFERROR(__xludf.DUMMYFUNCTION("""COMPUTED_VALUE"""),25328.0)</f>
        <v>25328</v>
      </c>
      <c r="C14785" s="9">
        <f>IFERROR(__xludf.DUMMYFUNCTION("""COMPUTED_VALUE"""),6.19)</f>
        <v>6.19</v>
      </c>
      <c r="H14785" s="17"/>
      <c r="K14785" s="17"/>
      <c r="N14785" s="17"/>
    </row>
    <row r="14786">
      <c r="B14786" s="11">
        <f>IFERROR(__xludf.DUMMYFUNCTION("""COMPUTED_VALUE"""),25325.0)</f>
        <v>25325</v>
      </c>
      <c r="C14786" s="9">
        <f>IFERROR(__xludf.DUMMYFUNCTION("""COMPUTED_VALUE"""),6.23)</f>
        <v>6.23</v>
      </c>
      <c r="H14786" s="17"/>
      <c r="K14786" s="17"/>
      <c r="N14786" s="17"/>
    </row>
    <row r="14787">
      <c r="B14787" s="11">
        <f>IFERROR(__xludf.DUMMYFUNCTION("""COMPUTED_VALUE"""),25324.0)</f>
        <v>25324</v>
      </c>
      <c r="C14787" s="9">
        <f>IFERROR(__xludf.DUMMYFUNCTION("""COMPUTED_VALUE"""),6.25)</f>
        <v>6.25</v>
      </c>
      <c r="H14787" s="17"/>
      <c r="K14787" s="17"/>
      <c r="N14787" s="17"/>
    </row>
    <row r="14788">
      <c r="B14788" s="11">
        <f>IFERROR(__xludf.DUMMYFUNCTION("""COMPUTED_VALUE"""),25323.0)</f>
        <v>25323</v>
      </c>
      <c r="C14788" s="9">
        <f>IFERROR(__xludf.DUMMYFUNCTION("""COMPUTED_VALUE"""),6.2)</f>
        <v>6.2</v>
      </c>
      <c r="H14788" s="17"/>
      <c r="K14788" s="17"/>
      <c r="N14788" s="17"/>
    </row>
    <row r="14789">
      <c r="B14789" s="11">
        <f>IFERROR(__xludf.DUMMYFUNCTION("""COMPUTED_VALUE"""),25322.0)</f>
        <v>25322</v>
      </c>
      <c r="C14789" s="9">
        <f>IFERROR(__xludf.DUMMYFUNCTION("""COMPUTED_VALUE"""),6.21)</f>
        <v>6.21</v>
      </c>
      <c r="H14789" s="17"/>
      <c r="K14789" s="17"/>
      <c r="N14789" s="17"/>
    </row>
    <row r="14790">
      <c r="B14790" s="11">
        <f>IFERROR(__xludf.DUMMYFUNCTION("""COMPUTED_VALUE"""),25321.0)</f>
        <v>25321</v>
      </c>
      <c r="C14790" s="9">
        <f>IFERROR(__xludf.DUMMYFUNCTION("""COMPUTED_VALUE"""),6.19)</f>
        <v>6.19</v>
      </c>
      <c r="H14790" s="17"/>
      <c r="K14790" s="17"/>
      <c r="N14790" s="17"/>
    </row>
    <row r="14791">
      <c r="B14791" s="11">
        <f>IFERROR(__xludf.DUMMYFUNCTION("""COMPUTED_VALUE"""),25318.0)</f>
        <v>25318</v>
      </c>
      <c r="C14791" s="9">
        <f>IFERROR(__xludf.DUMMYFUNCTION("""COMPUTED_VALUE"""),6.15)</f>
        <v>6.15</v>
      </c>
      <c r="H14791" s="17"/>
      <c r="K14791" s="17"/>
      <c r="N14791" s="17"/>
    </row>
    <row r="14792">
      <c r="B14792" s="11">
        <f>IFERROR(__xludf.DUMMYFUNCTION("""COMPUTED_VALUE"""),25317.0)</f>
        <v>25317</v>
      </c>
      <c r="C14792" s="9">
        <f>IFERROR(__xludf.DUMMYFUNCTION("""COMPUTED_VALUE"""),6.14)</f>
        <v>6.14</v>
      </c>
      <c r="H14792" s="17"/>
      <c r="K14792" s="17"/>
      <c r="N14792" s="17"/>
    </row>
    <row r="14793">
      <c r="B14793" s="11">
        <f>IFERROR(__xludf.DUMMYFUNCTION("""COMPUTED_VALUE"""),25316.0)</f>
        <v>25316</v>
      </c>
      <c r="C14793" s="9">
        <f>IFERROR(__xludf.DUMMYFUNCTION("""COMPUTED_VALUE"""),6.12)</f>
        <v>6.12</v>
      </c>
      <c r="H14793" s="17"/>
      <c r="K14793" s="17"/>
      <c r="N14793" s="17"/>
    </row>
    <row r="14794">
      <c r="B14794" s="11">
        <f>IFERROR(__xludf.DUMMYFUNCTION("""COMPUTED_VALUE"""),25315.0)</f>
        <v>25315</v>
      </c>
      <c r="C14794" s="9">
        <f>IFERROR(__xludf.DUMMYFUNCTION("""COMPUTED_VALUE"""),6.12)</f>
        <v>6.12</v>
      </c>
      <c r="H14794" s="17"/>
      <c r="K14794" s="17"/>
      <c r="N14794" s="17"/>
    </row>
    <row r="14795">
      <c r="B14795" s="11">
        <f>IFERROR(__xludf.DUMMYFUNCTION("""COMPUTED_VALUE"""),25314.0)</f>
        <v>25314</v>
      </c>
      <c r="C14795" s="9">
        <f>IFERROR(__xludf.DUMMYFUNCTION("""COMPUTED_VALUE"""),6.14)</f>
        <v>6.14</v>
      </c>
      <c r="H14795" s="17"/>
      <c r="K14795" s="17"/>
      <c r="N14795" s="17"/>
    </row>
    <row r="14796">
      <c r="B14796" s="11">
        <f>IFERROR(__xludf.DUMMYFUNCTION("""COMPUTED_VALUE"""),25311.0)</f>
        <v>25311</v>
      </c>
      <c r="C14796" s="9">
        <f>IFERROR(__xludf.DUMMYFUNCTION("""COMPUTED_VALUE"""),6.16)</f>
        <v>6.16</v>
      </c>
      <c r="H14796" s="17"/>
      <c r="K14796" s="17"/>
      <c r="N14796" s="17"/>
    </row>
    <row r="14797">
      <c r="B14797" s="11">
        <f>IFERROR(__xludf.DUMMYFUNCTION("""COMPUTED_VALUE"""),25310.0)</f>
        <v>25310</v>
      </c>
      <c r="C14797" s="9">
        <f>IFERROR(__xludf.DUMMYFUNCTION("""COMPUTED_VALUE"""),6.13)</f>
        <v>6.13</v>
      </c>
      <c r="H14797" s="17"/>
      <c r="K14797" s="17"/>
      <c r="N14797" s="17"/>
    </row>
    <row r="14798">
      <c r="B14798" s="11">
        <f>IFERROR(__xludf.DUMMYFUNCTION("""COMPUTED_VALUE"""),25309.0)</f>
        <v>25309</v>
      </c>
      <c r="C14798" s="9">
        <f>IFERROR(__xludf.DUMMYFUNCTION("""COMPUTED_VALUE"""),6.1)</f>
        <v>6.1</v>
      </c>
      <c r="H14798" s="17"/>
      <c r="K14798" s="17"/>
      <c r="N14798" s="17"/>
    </row>
    <row r="14799">
      <c r="B14799" s="11">
        <f>IFERROR(__xludf.DUMMYFUNCTION("""COMPUTED_VALUE"""),25308.0)</f>
        <v>25308</v>
      </c>
      <c r="C14799" s="9">
        <f>IFERROR(__xludf.DUMMYFUNCTION("""COMPUTED_VALUE"""),6.11)</f>
        <v>6.11</v>
      </c>
      <c r="H14799" s="17"/>
      <c r="K14799" s="17"/>
      <c r="N14799" s="17"/>
    </row>
    <row r="14800">
      <c r="B14800" s="11">
        <f>IFERROR(__xludf.DUMMYFUNCTION("""COMPUTED_VALUE"""),25307.0)</f>
        <v>25307</v>
      </c>
      <c r="C14800" s="9">
        <f>IFERROR(__xludf.DUMMYFUNCTION("""COMPUTED_VALUE"""),6.06)</f>
        <v>6.06</v>
      </c>
      <c r="H14800" s="17"/>
      <c r="K14800" s="17"/>
      <c r="N14800" s="17"/>
    </row>
    <row r="14801">
      <c r="B14801" s="11">
        <f>IFERROR(__xludf.DUMMYFUNCTION("""COMPUTED_VALUE"""),25304.0)</f>
        <v>25304</v>
      </c>
      <c r="C14801" s="9">
        <f>IFERROR(__xludf.DUMMYFUNCTION("""COMPUTED_VALUE"""),6.15)</f>
        <v>6.15</v>
      </c>
      <c r="H14801" s="17"/>
      <c r="K14801" s="17"/>
      <c r="N14801" s="17"/>
    </row>
    <row r="14802">
      <c r="B14802" s="11">
        <f>IFERROR(__xludf.DUMMYFUNCTION("""COMPUTED_VALUE"""),25303.0)</f>
        <v>25303</v>
      </c>
      <c r="C14802" s="9">
        <f>IFERROR(__xludf.DUMMYFUNCTION("""COMPUTED_VALUE"""),6.18)</f>
        <v>6.18</v>
      </c>
      <c r="H14802" s="17"/>
      <c r="K14802" s="17"/>
      <c r="N14802" s="17"/>
    </row>
    <row r="14803">
      <c r="B14803" s="11">
        <f>IFERROR(__xludf.DUMMYFUNCTION("""COMPUTED_VALUE"""),25302.0)</f>
        <v>25302</v>
      </c>
      <c r="C14803" s="9">
        <f>IFERROR(__xludf.DUMMYFUNCTION("""COMPUTED_VALUE"""),6.19)</f>
        <v>6.19</v>
      </c>
      <c r="H14803" s="17"/>
      <c r="K14803" s="17"/>
      <c r="N14803" s="17"/>
    </row>
    <row r="14804">
      <c r="B14804" s="11">
        <f>IFERROR(__xludf.DUMMYFUNCTION("""COMPUTED_VALUE"""),25301.0)</f>
        <v>25301</v>
      </c>
      <c r="C14804" s="9">
        <f>IFERROR(__xludf.DUMMYFUNCTION("""COMPUTED_VALUE"""),6.25)</f>
        <v>6.25</v>
      </c>
      <c r="H14804" s="17"/>
      <c r="K14804" s="17"/>
      <c r="N14804" s="17"/>
    </row>
    <row r="14805">
      <c r="B14805" s="11">
        <f>IFERROR(__xludf.DUMMYFUNCTION("""COMPUTED_VALUE"""),25300.0)</f>
        <v>25300</v>
      </c>
      <c r="C14805" s="9">
        <f>IFERROR(__xludf.DUMMYFUNCTION("""COMPUTED_VALUE"""),6.28)</f>
        <v>6.28</v>
      </c>
      <c r="H14805" s="17"/>
      <c r="K14805" s="17"/>
      <c r="N14805" s="17"/>
    </row>
    <row r="14806">
      <c r="B14806" s="11">
        <f>IFERROR(__xludf.DUMMYFUNCTION("""COMPUTED_VALUE"""),25297.0)</f>
        <v>25297</v>
      </c>
      <c r="C14806" s="9"/>
      <c r="H14806" s="17"/>
      <c r="K14806" s="17"/>
      <c r="N14806" s="17"/>
    </row>
    <row r="14807">
      <c r="B14807" s="11">
        <f>IFERROR(__xludf.DUMMYFUNCTION("""COMPUTED_VALUE"""),25296.0)</f>
        <v>25296</v>
      </c>
      <c r="C14807" s="9">
        <f>IFERROR(__xludf.DUMMYFUNCTION("""COMPUTED_VALUE"""),6.26)</f>
        <v>6.26</v>
      </c>
      <c r="H14807" s="17"/>
      <c r="K14807" s="17"/>
      <c r="N14807" s="17"/>
    </row>
    <row r="14808">
      <c r="B14808" s="11">
        <f>IFERROR(__xludf.DUMMYFUNCTION("""COMPUTED_VALUE"""),25295.0)</f>
        <v>25295</v>
      </c>
      <c r="C14808" s="9">
        <f>IFERROR(__xludf.DUMMYFUNCTION("""COMPUTED_VALUE"""),6.25)</f>
        <v>6.25</v>
      </c>
      <c r="H14808" s="17"/>
      <c r="K14808" s="17"/>
      <c r="N14808" s="17"/>
    </row>
    <row r="14809">
      <c r="B14809" s="11">
        <f>IFERROR(__xludf.DUMMYFUNCTION("""COMPUTED_VALUE"""),25294.0)</f>
        <v>25294</v>
      </c>
      <c r="C14809" s="9">
        <f>IFERROR(__xludf.DUMMYFUNCTION("""COMPUTED_VALUE"""),6.25)</f>
        <v>6.25</v>
      </c>
      <c r="H14809" s="17"/>
      <c r="K14809" s="17"/>
      <c r="N14809" s="17"/>
    </row>
    <row r="14810">
      <c r="B14810" s="11">
        <f>IFERROR(__xludf.DUMMYFUNCTION("""COMPUTED_VALUE"""),25293.0)</f>
        <v>25293</v>
      </c>
      <c r="C14810" s="9"/>
      <c r="H14810" s="17"/>
      <c r="K14810" s="17"/>
      <c r="N14810" s="17"/>
    </row>
    <row r="14811">
      <c r="B14811" s="11">
        <f>IFERROR(__xludf.DUMMYFUNCTION("""COMPUTED_VALUE"""),25290.0)</f>
        <v>25290</v>
      </c>
      <c r="C14811" s="9">
        <f>IFERROR(__xludf.DUMMYFUNCTION("""COMPUTED_VALUE"""),6.3)</f>
        <v>6.3</v>
      </c>
      <c r="H14811" s="17"/>
      <c r="K14811" s="17"/>
      <c r="N14811" s="17"/>
    </row>
    <row r="14812">
      <c r="B14812" s="11">
        <f>IFERROR(__xludf.DUMMYFUNCTION("""COMPUTED_VALUE"""),25289.0)</f>
        <v>25289</v>
      </c>
      <c r="C14812" s="9">
        <f>IFERROR(__xludf.DUMMYFUNCTION("""COMPUTED_VALUE"""),6.33)</f>
        <v>6.33</v>
      </c>
      <c r="H14812" s="17"/>
      <c r="K14812" s="17"/>
      <c r="N14812" s="17"/>
    </row>
    <row r="14813">
      <c r="B14813" s="11">
        <f>IFERROR(__xludf.DUMMYFUNCTION("""COMPUTED_VALUE"""),25288.0)</f>
        <v>25288</v>
      </c>
      <c r="C14813" s="9">
        <f>IFERROR(__xludf.DUMMYFUNCTION("""COMPUTED_VALUE"""),6.32)</f>
        <v>6.32</v>
      </c>
      <c r="H14813" s="17"/>
      <c r="K14813" s="17"/>
      <c r="N14813" s="17"/>
    </row>
    <row r="14814">
      <c r="B14814" s="11">
        <f>IFERROR(__xludf.DUMMYFUNCTION("""COMPUTED_VALUE"""),25287.0)</f>
        <v>25287</v>
      </c>
      <c r="C14814" s="9">
        <f>IFERROR(__xludf.DUMMYFUNCTION("""COMPUTED_VALUE"""),6.3)</f>
        <v>6.3</v>
      </c>
      <c r="H14814" s="17"/>
      <c r="K14814" s="17"/>
      <c r="N14814" s="17"/>
    </row>
    <row r="14815">
      <c r="B14815" s="11">
        <f>IFERROR(__xludf.DUMMYFUNCTION("""COMPUTED_VALUE"""),25286.0)</f>
        <v>25286</v>
      </c>
      <c r="C14815" s="9">
        <f>IFERROR(__xludf.DUMMYFUNCTION("""COMPUTED_VALUE"""),6.28)</f>
        <v>6.28</v>
      </c>
      <c r="H14815" s="17"/>
      <c r="K14815" s="17"/>
      <c r="N14815" s="17"/>
    </row>
    <row r="14816">
      <c r="B14816" s="11">
        <f>IFERROR(__xludf.DUMMYFUNCTION("""COMPUTED_VALUE"""),25283.0)</f>
        <v>25283</v>
      </c>
      <c r="C14816" s="9">
        <f>IFERROR(__xludf.DUMMYFUNCTION("""COMPUTED_VALUE"""),6.29)</f>
        <v>6.29</v>
      </c>
      <c r="H14816" s="17"/>
      <c r="K14816" s="17"/>
      <c r="N14816" s="17"/>
    </row>
    <row r="14817">
      <c r="B14817" s="11">
        <f>IFERROR(__xludf.DUMMYFUNCTION("""COMPUTED_VALUE"""),25282.0)</f>
        <v>25282</v>
      </c>
      <c r="C14817" s="9">
        <f>IFERROR(__xludf.DUMMYFUNCTION("""COMPUTED_VALUE"""),6.31)</f>
        <v>6.31</v>
      </c>
      <c r="H14817" s="17"/>
      <c r="K14817" s="17"/>
      <c r="N14817" s="17"/>
    </row>
    <row r="14818">
      <c r="B14818" s="11">
        <f>IFERROR(__xludf.DUMMYFUNCTION("""COMPUTED_VALUE"""),25281.0)</f>
        <v>25281</v>
      </c>
      <c r="C14818" s="9">
        <f>IFERROR(__xludf.DUMMYFUNCTION("""COMPUTED_VALUE"""),6.32)</f>
        <v>6.32</v>
      </c>
      <c r="H14818" s="17"/>
      <c r="K14818" s="17"/>
      <c r="N14818" s="17"/>
    </row>
    <row r="14819">
      <c r="B14819" s="11">
        <f>IFERROR(__xludf.DUMMYFUNCTION("""COMPUTED_VALUE"""),25280.0)</f>
        <v>25280</v>
      </c>
      <c r="C14819" s="9">
        <f>IFERROR(__xludf.DUMMYFUNCTION("""COMPUTED_VALUE"""),6.35)</f>
        <v>6.35</v>
      </c>
      <c r="H14819" s="17"/>
      <c r="K14819" s="17"/>
      <c r="N14819" s="17"/>
    </row>
    <row r="14820">
      <c r="B14820" s="11">
        <f>IFERROR(__xludf.DUMMYFUNCTION("""COMPUTED_VALUE"""),25279.0)</f>
        <v>25279</v>
      </c>
      <c r="C14820" s="9">
        <f>IFERROR(__xludf.DUMMYFUNCTION("""COMPUTED_VALUE"""),6.35)</f>
        <v>6.35</v>
      </c>
      <c r="H14820" s="17"/>
      <c r="K14820" s="17"/>
      <c r="N14820" s="17"/>
    </row>
    <row r="14821">
      <c r="B14821" s="11">
        <f>IFERROR(__xludf.DUMMYFUNCTION("""COMPUTED_VALUE"""),25276.0)</f>
        <v>25276</v>
      </c>
      <c r="C14821" s="9">
        <f>IFERROR(__xludf.DUMMYFUNCTION("""COMPUTED_VALUE"""),6.31)</f>
        <v>6.31</v>
      </c>
      <c r="H14821" s="17"/>
      <c r="K14821" s="17"/>
      <c r="N14821" s="17"/>
    </row>
    <row r="14822">
      <c r="B14822" s="11">
        <f>IFERROR(__xludf.DUMMYFUNCTION("""COMPUTED_VALUE"""),25275.0)</f>
        <v>25275</v>
      </c>
      <c r="C14822" s="9">
        <f>IFERROR(__xludf.DUMMYFUNCTION("""COMPUTED_VALUE"""),6.32)</f>
        <v>6.32</v>
      </c>
      <c r="H14822" s="17"/>
      <c r="K14822" s="17"/>
      <c r="N14822" s="17"/>
    </row>
    <row r="14823">
      <c r="B14823" s="11">
        <f>IFERROR(__xludf.DUMMYFUNCTION("""COMPUTED_VALUE"""),25274.0)</f>
        <v>25274</v>
      </c>
      <c r="C14823" s="9">
        <f>IFERROR(__xludf.DUMMYFUNCTION("""COMPUTED_VALUE"""),6.31)</f>
        <v>6.31</v>
      </c>
      <c r="H14823" s="17"/>
      <c r="K14823" s="17"/>
      <c r="N14823" s="17"/>
    </row>
    <row r="14824">
      <c r="B14824" s="11">
        <f>IFERROR(__xludf.DUMMYFUNCTION("""COMPUTED_VALUE"""),25273.0)</f>
        <v>25273</v>
      </c>
      <c r="C14824" s="9">
        <f>IFERROR(__xludf.DUMMYFUNCTION("""COMPUTED_VALUE"""),6.3)</f>
        <v>6.3</v>
      </c>
      <c r="H14824" s="17"/>
      <c r="K14824" s="17"/>
      <c r="N14824" s="17"/>
    </row>
    <row r="14825">
      <c r="B14825" s="11">
        <f>IFERROR(__xludf.DUMMYFUNCTION("""COMPUTED_VALUE"""),25272.0)</f>
        <v>25272</v>
      </c>
      <c r="C14825" s="9">
        <f>IFERROR(__xludf.DUMMYFUNCTION("""COMPUTED_VALUE"""),6.27)</f>
        <v>6.27</v>
      </c>
      <c r="H14825" s="17"/>
      <c r="K14825" s="17"/>
      <c r="N14825" s="17"/>
    </row>
    <row r="14826">
      <c r="B14826" s="11">
        <f>IFERROR(__xludf.DUMMYFUNCTION("""COMPUTED_VALUE"""),25269.0)</f>
        <v>25269</v>
      </c>
      <c r="C14826" s="9">
        <f>IFERROR(__xludf.DUMMYFUNCTION("""COMPUTED_VALUE"""),6.27)</f>
        <v>6.27</v>
      </c>
      <c r="H14826" s="17"/>
      <c r="K14826" s="17"/>
      <c r="N14826" s="17"/>
    </row>
    <row r="14827">
      <c r="B14827" s="11">
        <f>IFERROR(__xludf.DUMMYFUNCTION("""COMPUTED_VALUE"""),25268.0)</f>
        <v>25268</v>
      </c>
      <c r="C14827" s="9">
        <f>IFERROR(__xludf.DUMMYFUNCTION("""COMPUTED_VALUE"""),6.26)</f>
        <v>6.26</v>
      </c>
      <c r="H14827" s="17"/>
      <c r="K14827" s="17"/>
      <c r="N14827" s="17"/>
    </row>
    <row r="14828">
      <c r="B14828" s="11">
        <f>IFERROR(__xludf.DUMMYFUNCTION("""COMPUTED_VALUE"""),25267.0)</f>
        <v>25267</v>
      </c>
      <c r="C14828" s="9">
        <f>IFERROR(__xludf.DUMMYFUNCTION("""COMPUTED_VALUE"""),6.24)</f>
        <v>6.24</v>
      </c>
      <c r="H14828" s="17"/>
      <c r="K14828" s="17"/>
      <c r="N14828" s="17"/>
    </row>
    <row r="14829">
      <c r="B14829" s="11">
        <f>IFERROR(__xludf.DUMMYFUNCTION("""COMPUTED_VALUE"""),25266.0)</f>
        <v>25266</v>
      </c>
      <c r="C14829" s="9">
        <f>IFERROR(__xludf.DUMMYFUNCTION("""COMPUTED_VALUE"""),6.24)</f>
        <v>6.24</v>
      </c>
      <c r="H14829" s="17"/>
      <c r="K14829" s="17"/>
      <c r="N14829" s="17"/>
    </row>
    <row r="14830">
      <c r="B14830" s="11">
        <f>IFERROR(__xludf.DUMMYFUNCTION("""COMPUTED_VALUE"""),25265.0)</f>
        <v>25265</v>
      </c>
      <c r="C14830" s="9">
        <f>IFERROR(__xludf.DUMMYFUNCTION("""COMPUTED_VALUE"""),6.25)</f>
        <v>6.25</v>
      </c>
      <c r="H14830" s="17"/>
      <c r="K14830" s="17"/>
      <c r="N14830" s="17"/>
    </row>
    <row r="14831">
      <c r="B14831" s="11">
        <f>IFERROR(__xludf.DUMMYFUNCTION("""COMPUTED_VALUE"""),25262.0)</f>
        <v>25262</v>
      </c>
      <c r="C14831" s="9">
        <f>IFERROR(__xludf.DUMMYFUNCTION("""COMPUTED_VALUE"""),6.26)</f>
        <v>6.26</v>
      </c>
      <c r="H14831" s="17"/>
      <c r="K14831" s="17"/>
      <c r="N14831" s="17"/>
    </row>
    <row r="14832">
      <c r="B14832" s="11">
        <f>IFERROR(__xludf.DUMMYFUNCTION("""COMPUTED_VALUE"""),25261.0)</f>
        <v>25261</v>
      </c>
      <c r="C14832" s="9">
        <f>IFERROR(__xludf.DUMMYFUNCTION("""COMPUTED_VALUE"""),6.27)</f>
        <v>6.27</v>
      </c>
      <c r="H14832" s="17"/>
      <c r="K14832" s="17"/>
      <c r="N14832" s="17"/>
    </row>
    <row r="14833">
      <c r="B14833" s="11">
        <f>IFERROR(__xludf.DUMMYFUNCTION("""COMPUTED_VALUE"""),25260.0)</f>
        <v>25260</v>
      </c>
      <c r="C14833" s="9">
        <f>IFERROR(__xludf.DUMMYFUNCTION("""COMPUTED_VALUE"""),6.24)</f>
        <v>6.24</v>
      </c>
      <c r="H14833" s="17"/>
      <c r="K14833" s="17"/>
      <c r="N14833" s="17"/>
    </row>
    <row r="14834">
      <c r="B14834" s="11">
        <f>IFERROR(__xludf.DUMMYFUNCTION("""COMPUTED_VALUE"""),25259.0)</f>
        <v>25259</v>
      </c>
      <c r="C14834" s="9">
        <f>IFERROR(__xludf.DUMMYFUNCTION("""COMPUTED_VALUE"""),6.24)</f>
        <v>6.24</v>
      </c>
      <c r="H14834" s="17"/>
      <c r="K14834" s="17"/>
      <c r="N14834" s="17"/>
    </row>
    <row r="14835">
      <c r="B14835" s="11">
        <f>IFERROR(__xludf.DUMMYFUNCTION("""COMPUTED_VALUE"""),25258.0)</f>
        <v>25258</v>
      </c>
      <c r="C14835" s="9">
        <f>IFERROR(__xludf.DUMMYFUNCTION("""COMPUTED_VALUE"""),6.22)</f>
        <v>6.22</v>
      </c>
      <c r="H14835" s="17"/>
      <c r="K14835" s="17"/>
      <c r="N14835" s="17"/>
    </row>
    <row r="14836">
      <c r="B14836" s="11">
        <f>IFERROR(__xludf.DUMMYFUNCTION("""COMPUTED_VALUE"""),25255.0)</f>
        <v>25255</v>
      </c>
      <c r="C14836" s="9">
        <f>IFERROR(__xludf.DUMMYFUNCTION("""COMPUTED_VALUE"""),6.24)</f>
        <v>6.24</v>
      </c>
      <c r="H14836" s="17"/>
      <c r="K14836" s="17"/>
      <c r="N14836" s="17"/>
    </row>
    <row r="14837">
      <c r="B14837" s="11">
        <f>IFERROR(__xludf.DUMMYFUNCTION("""COMPUTED_VALUE"""),25254.0)</f>
        <v>25254</v>
      </c>
      <c r="C14837" s="9">
        <f>IFERROR(__xludf.DUMMYFUNCTION("""COMPUTED_VALUE"""),6.23)</f>
        <v>6.23</v>
      </c>
      <c r="H14837" s="17"/>
      <c r="K14837" s="17"/>
      <c r="N14837" s="17"/>
    </row>
    <row r="14838">
      <c r="B14838" s="11">
        <f>IFERROR(__xludf.DUMMYFUNCTION("""COMPUTED_VALUE"""),25253.0)</f>
        <v>25253</v>
      </c>
      <c r="C14838" s="9">
        <f>IFERROR(__xludf.DUMMYFUNCTION("""COMPUTED_VALUE"""),6.2)</f>
        <v>6.2</v>
      </c>
      <c r="H14838" s="17"/>
      <c r="K14838" s="17"/>
      <c r="N14838" s="17"/>
    </row>
    <row r="14839">
      <c r="B14839" s="11">
        <f>IFERROR(__xludf.DUMMYFUNCTION("""COMPUTED_VALUE"""),25252.0)</f>
        <v>25252</v>
      </c>
      <c r="C14839" s="9">
        <f>IFERROR(__xludf.DUMMYFUNCTION("""COMPUTED_VALUE"""),6.16)</f>
        <v>6.16</v>
      </c>
      <c r="H14839" s="17"/>
      <c r="K14839" s="17"/>
      <c r="N14839" s="17"/>
    </row>
    <row r="14840">
      <c r="B14840" s="11">
        <f>IFERROR(__xludf.DUMMYFUNCTION("""COMPUTED_VALUE"""),25251.0)</f>
        <v>25251</v>
      </c>
      <c r="C14840" s="9">
        <f>IFERROR(__xludf.DUMMYFUNCTION("""COMPUTED_VALUE"""),6.14)</f>
        <v>6.14</v>
      </c>
      <c r="H14840" s="17"/>
      <c r="K14840" s="17"/>
      <c r="N14840" s="17"/>
    </row>
    <row r="14841">
      <c r="B14841" s="11">
        <f>IFERROR(__xludf.DUMMYFUNCTION("""COMPUTED_VALUE"""),25248.0)</f>
        <v>25248</v>
      </c>
      <c r="C14841" s="9">
        <f>IFERROR(__xludf.DUMMYFUNCTION("""COMPUTED_VALUE"""),6.11)</f>
        <v>6.11</v>
      </c>
      <c r="H14841" s="17"/>
      <c r="K14841" s="17"/>
      <c r="N14841" s="17"/>
    </row>
    <row r="14842">
      <c r="B14842" s="11">
        <f>IFERROR(__xludf.DUMMYFUNCTION("""COMPUTED_VALUE"""),25247.0)</f>
        <v>25247</v>
      </c>
      <c r="C14842" s="9">
        <f>IFERROR(__xludf.DUMMYFUNCTION("""COMPUTED_VALUE"""),6.09)</f>
        <v>6.09</v>
      </c>
      <c r="H14842" s="17"/>
      <c r="K14842" s="17"/>
      <c r="N14842" s="17"/>
    </row>
    <row r="14843">
      <c r="B14843" s="11">
        <f>IFERROR(__xludf.DUMMYFUNCTION("""COMPUTED_VALUE"""),25246.0)</f>
        <v>25246</v>
      </c>
      <c r="C14843" s="9"/>
      <c r="H14843" s="17"/>
      <c r="K14843" s="17"/>
      <c r="N14843" s="17"/>
    </row>
    <row r="14844">
      <c r="B14844" s="11">
        <f>IFERROR(__xludf.DUMMYFUNCTION("""COMPUTED_VALUE"""),25245.0)</f>
        <v>25245</v>
      </c>
      <c r="C14844" s="9">
        <f>IFERROR(__xludf.DUMMYFUNCTION("""COMPUTED_VALUE"""),6.1)</f>
        <v>6.1</v>
      </c>
      <c r="H14844" s="17"/>
      <c r="K14844" s="17"/>
      <c r="N14844" s="17"/>
    </row>
    <row r="14845">
      <c r="B14845" s="11">
        <f>IFERROR(__xludf.DUMMYFUNCTION("""COMPUTED_VALUE"""),25244.0)</f>
        <v>25244</v>
      </c>
      <c r="C14845" s="9">
        <f>IFERROR(__xludf.DUMMYFUNCTION("""COMPUTED_VALUE"""),6.14)</f>
        <v>6.14</v>
      </c>
      <c r="H14845" s="17"/>
      <c r="K14845" s="17"/>
      <c r="N14845" s="17"/>
    </row>
    <row r="14846">
      <c r="B14846" s="11">
        <f>IFERROR(__xludf.DUMMYFUNCTION("""COMPUTED_VALUE"""),25241.0)</f>
        <v>25241</v>
      </c>
      <c r="C14846" s="9">
        <f>IFERROR(__xludf.DUMMYFUNCTION("""COMPUTED_VALUE"""),6.14)</f>
        <v>6.14</v>
      </c>
      <c r="H14846" s="17"/>
      <c r="K14846" s="17"/>
      <c r="N14846" s="17"/>
    </row>
    <row r="14847">
      <c r="B14847" s="11">
        <f>IFERROR(__xludf.DUMMYFUNCTION("""COMPUTED_VALUE"""),25240.0)</f>
        <v>25240</v>
      </c>
      <c r="C14847" s="9">
        <f>IFERROR(__xludf.DUMMYFUNCTION("""COMPUTED_VALUE"""),6.2)</f>
        <v>6.2</v>
      </c>
      <c r="H14847" s="17"/>
      <c r="K14847" s="17"/>
      <c r="N14847" s="17"/>
    </row>
    <row r="14848">
      <c r="B14848" s="11">
        <f>IFERROR(__xludf.DUMMYFUNCTION("""COMPUTED_VALUE"""),25239.0)</f>
        <v>25239</v>
      </c>
      <c r="C14848" s="9">
        <f>IFERROR(__xludf.DUMMYFUNCTION("""COMPUTED_VALUE"""),6.19)</f>
        <v>6.19</v>
      </c>
      <c r="H14848" s="17"/>
      <c r="K14848" s="17"/>
      <c r="N14848" s="17"/>
    </row>
    <row r="14849">
      <c r="B14849" s="11">
        <f>IFERROR(__xludf.DUMMYFUNCTION("""COMPUTED_VALUE"""),25238.0)</f>
        <v>25238</v>
      </c>
      <c r="C14849" s="9">
        <f>IFERROR(__xludf.DUMMYFUNCTION("""COMPUTED_VALUE"""),6.2)</f>
        <v>6.2</v>
      </c>
      <c r="H14849" s="17"/>
      <c r="K14849" s="17"/>
      <c r="N14849" s="17"/>
    </row>
    <row r="14850">
      <c r="B14850" s="11">
        <f>IFERROR(__xludf.DUMMYFUNCTION("""COMPUTED_VALUE"""),25237.0)</f>
        <v>25237</v>
      </c>
      <c r="C14850" s="9">
        <f>IFERROR(__xludf.DUMMYFUNCTION("""COMPUTED_VALUE"""),6.22)</f>
        <v>6.22</v>
      </c>
      <c r="H14850" s="17"/>
      <c r="K14850" s="17"/>
      <c r="N14850" s="17"/>
    </row>
    <row r="14851">
      <c r="B14851" s="11">
        <f>IFERROR(__xludf.DUMMYFUNCTION("""COMPUTED_VALUE"""),25234.0)</f>
        <v>25234</v>
      </c>
      <c r="C14851" s="9">
        <f>IFERROR(__xludf.DUMMYFUNCTION("""COMPUTED_VALUE"""),6.19)</f>
        <v>6.19</v>
      </c>
      <c r="H14851" s="17"/>
      <c r="K14851" s="17"/>
      <c r="N14851" s="17"/>
    </row>
    <row r="14852">
      <c r="B14852" s="11">
        <f>IFERROR(__xludf.DUMMYFUNCTION("""COMPUTED_VALUE"""),25233.0)</f>
        <v>25233</v>
      </c>
      <c r="C14852" s="9">
        <f>IFERROR(__xludf.DUMMYFUNCTION("""COMPUTED_VALUE"""),6.14)</f>
        <v>6.14</v>
      </c>
      <c r="H14852" s="17"/>
      <c r="K14852" s="17"/>
      <c r="N14852" s="17"/>
    </row>
    <row r="14853">
      <c r="B14853" s="11">
        <f>IFERROR(__xludf.DUMMYFUNCTION("""COMPUTED_VALUE"""),25232.0)</f>
        <v>25232</v>
      </c>
      <c r="C14853" s="9">
        <f>IFERROR(__xludf.DUMMYFUNCTION("""COMPUTED_VALUE"""),6.09)</f>
        <v>6.09</v>
      </c>
      <c r="H14853" s="17"/>
      <c r="K14853" s="17"/>
      <c r="N14853" s="17"/>
    </row>
    <row r="14854">
      <c r="B14854" s="11">
        <f>IFERROR(__xludf.DUMMYFUNCTION("""COMPUTED_VALUE"""),25231.0)</f>
        <v>25231</v>
      </c>
      <c r="C14854" s="9">
        <f>IFERROR(__xludf.DUMMYFUNCTION("""COMPUTED_VALUE"""),6.05)</f>
        <v>6.05</v>
      </c>
      <c r="H14854" s="17"/>
      <c r="K14854" s="17"/>
      <c r="N14854" s="17"/>
    </row>
    <row r="14855">
      <c r="B14855" s="11">
        <f>IFERROR(__xludf.DUMMYFUNCTION("""COMPUTED_VALUE"""),25230.0)</f>
        <v>25230</v>
      </c>
      <c r="C14855" s="9">
        <f>IFERROR(__xludf.DUMMYFUNCTION("""COMPUTED_VALUE"""),6.03)</f>
        <v>6.03</v>
      </c>
      <c r="H14855" s="17"/>
      <c r="K14855" s="17"/>
      <c r="N14855" s="17"/>
    </row>
    <row r="14856">
      <c r="B14856" s="11">
        <f>IFERROR(__xludf.DUMMYFUNCTION("""COMPUTED_VALUE"""),25227.0)</f>
        <v>25227</v>
      </c>
      <c r="C14856" s="9">
        <f>IFERROR(__xludf.DUMMYFUNCTION("""COMPUTED_VALUE"""),6.01)</f>
        <v>6.01</v>
      </c>
      <c r="H14856" s="17"/>
      <c r="K14856" s="17"/>
      <c r="N14856" s="17"/>
    </row>
    <row r="14857">
      <c r="B14857" s="11">
        <f>IFERROR(__xludf.DUMMYFUNCTION("""COMPUTED_VALUE"""),25226.0)</f>
        <v>25226</v>
      </c>
      <c r="C14857" s="9">
        <f>IFERROR(__xludf.DUMMYFUNCTION("""COMPUTED_VALUE"""),6.02)</f>
        <v>6.02</v>
      </c>
      <c r="H14857" s="17"/>
      <c r="K14857" s="17"/>
      <c r="N14857" s="17"/>
    </row>
    <row r="14858">
      <c r="B14858" s="11">
        <f>IFERROR(__xludf.DUMMYFUNCTION("""COMPUTED_VALUE"""),25225.0)</f>
        <v>25225</v>
      </c>
      <c r="C14858" s="9">
        <f>IFERROR(__xludf.DUMMYFUNCTION("""COMPUTED_VALUE"""),6.03)</f>
        <v>6.03</v>
      </c>
      <c r="H14858" s="17"/>
      <c r="K14858" s="17"/>
      <c r="N14858" s="17"/>
    </row>
    <row r="14859">
      <c r="B14859" s="11">
        <f>IFERROR(__xludf.DUMMYFUNCTION("""COMPUTED_VALUE"""),25224.0)</f>
        <v>25224</v>
      </c>
      <c r="C14859" s="9">
        <f>IFERROR(__xludf.DUMMYFUNCTION("""COMPUTED_VALUE"""),5.97)</f>
        <v>5.97</v>
      </c>
      <c r="H14859" s="17"/>
      <c r="K14859" s="17"/>
      <c r="N14859" s="17"/>
    </row>
    <row r="14860">
      <c r="B14860" s="11">
        <f>IFERROR(__xludf.DUMMYFUNCTION("""COMPUTED_VALUE"""),25223.0)</f>
        <v>25223</v>
      </c>
      <c r="C14860" s="9">
        <f>IFERROR(__xludf.DUMMYFUNCTION("""COMPUTED_VALUE"""),5.95)</f>
        <v>5.95</v>
      </c>
      <c r="H14860" s="17"/>
      <c r="K14860" s="17"/>
      <c r="N14860" s="17"/>
    </row>
    <row r="14861">
      <c r="B14861" s="11">
        <f>IFERROR(__xludf.DUMMYFUNCTION("""COMPUTED_VALUE"""),25220.0)</f>
        <v>25220</v>
      </c>
      <c r="C14861" s="9">
        <f>IFERROR(__xludf.DUMMYFUNCTION("""COMPUTED_VALUE"""),5.97)</f>
        <v>5.97</v>
      </c>
      <c r="H14861" s="17"/>
      <c r="K14861" s="17"/>
      <c r="N14861" s="17"/>
    </row>
    <row r="14862">
      <c r="B14862" s="11">
        <f>IFERROR(__xludf.DUMMYFUNCTION("""COMPUTED_VALUE"""),25219.0)</f>
        <v>25219</v>
      </c>
      <c r="C14862" s="9">
        <f>IFERROR(__xludf.DUMMYFUNCTION("""COMPUTED_VALUE"""),5.98)</f>
        <v>5.98</v>
      </c>
      <c r="H14862" s="17"/>
      <c r="K14862" s="17"/>
      <c r="N14862" s="17"/>
    </row>
    <row r="14863">
      <c r="B14863" s="11">
        <f>IFERROR(__xludf.DUMMYFUNCTION("""COMPUTED_VALUE"""),25218.0)</f>
        <v>25218</v>
      </c>
      <c r="C14863" s="9">
        <f>IFERROR(__xludf.DUMMYFUNCTION("""COMPUTED_VALUE"""),6.02)</f>
        <v>6.02</v>
      </c>
      <c r="H14863" s="17"/>
      <c r="K14863" s="17"/>
      <c r="N14863" s="17"/>
    </row>
    <row r="14864">
      <c r="B14864" s="11">
        <f>IFERROR(__xludf.DUMMYFUNCTION("""COMPUTED_VALUE"""),25217.0)</f>
        <v>25217</v>
      </c>
      <c r="C14864" s="9">
        <f>IFERROR(__xludf.DUMMYFUNCTION("""COMPUTED_VALUE"""),6.04)</f>
        <v>6.04</v>
      </c>
      <c r="H14864" s="17"/>
      <c r="K14864" s="17"/>
      <c r="N14864" s="17"/>
    </row>
    <row r="14865">
      <c r="B14865" s="11">
        <f>IFERROR(__xludf.DUMMYFUNCTION("""COMPUTED_VALUE"""),25216.0)</f>
        <v>25216</v>
      </c>
      <c r="C14865" s="9">
        <f>IFERROR(__xludf.DUMMYFUNCTION("""COMPUTED_VALUE"""),6.04)</f>
        <v>6.04</v>
      </c>
      <c r="H14865" s="17"/>
      <c r="K14865" s="17"/>
      <c r="N14865" s="17"/>
    </row>
    <row r="14866">
      <c r="B14866" s="11">
        <f>IFERROR(__xludf.DUMMYFUNCTION("""COMPUTED_VALUE"""),25213.0)</f>
        <v>25213</v>
      </c>
      <c r="C14866" s="9">
        <f>IFERROR(__xludf.DUMMYFUNCTION("""COMPUTED_VALUE"""),6.03)</f>
        <v>6.03</v>
      </c>
      <c r="H14866" s="17"/>
      <c r="K14866" s="17"/>
      <c r="N14866" s="17"/>
    </row>
    <row r="14867">
      <c r="B14867" s="11">
        <f>IFERROR(__xludf.DUMMYFUNCTION("""COMPUTED_VALUE"""),25212.0)</f>
        <v>25212</v>
      </c>
      <c r="C14867" s="9">
        <f>IFERROR(__xludf.DUMMYFUNCTION("""COMPUTED_VALUE"""),6.04)</f>
        <v>6.04</v>
      </c>
      <c r="H14867" s="17"/>
      <c r="K14867" s="17"/>
      <c r="N14867" s="17"/>
    </row>
    <row r="14868">
      <c r="B14868" s="11">
        <f>IFERROR(__xludf.DUMMYFUNCTION("""COMPUTED_VALUE"""),25211.0)</f>
        <v>25211</v>
      </c>
      <c r="C14868" s="9">
        <f>IFERROR(__xludf.DUMMYFUNCTION("""COMPUTED_VALUE"""),6.09)</f>
        <v>6.09</v>
      </c>
      <c r="H14868" s="17"/>
      <c r="K14868" s="17"/>
      <c r="N14868" s="17"/>
    </row>
    <row r="14869">
      <c r="B14869" s="11">
        <f>IFERROR(__xludf.DUMMYFUNCTION("""COMPUTED_VALUE"""),25210.0)</f>
        <v>25210</v>
      </c>
      <c r="C14869" s="9">
        <f>IFERROR(__xludf.DUMMYFUNCTION("""COMPUTED_VALUE"""),6.14)</f>
        <v>6.14</v>
      </c>
      <c r="H14869" s="17"/>
      <c r="K14869" s="17"/>
      <c r="N14869" s="17"/>
    </row>
    <row r="14870">
      <c r="B14870" s="11">
        <f>IFERROR(__xludf.DUMMYFUNCTION("""COMPUTED_VALUE"""),25209.0)</f>
        <v>25209</v>
      </c>
      <c r="C14870" s="9">
        <f>IFERROR(__xludf.DUMMYFUNCTION("""COMPUTED_VALUE"""),6.04)</f>
        <v>6.04</v>
      </c>
      <c r="H14870" s="17"/>
      <c r="K14870" s="17"/>
      <c r="N14870" s="17"/>
    </row>
    <row r="14871">
      <c r="B14871" s="11">
        <f>IFERROR(__xludf.DUMMYFUNCTION("""COMPUTED_VALUE"""),25206.0)</f>
        <v>25206</v>
      </c>
      <c r="C14871" s="9">
        <f>IFERROR(__xludf.DUMMYFUNCTION("""COMPUTED_VALUE"""),6.01)</f>
        <v>6.01</v>
      </c>
      <c r="H14871" s="17"/>
      <c r="K14871" s="17"/>
      <c r="N14871" s="17"/>
    </row>
    <row r="14872">
      <c r="B14872" s="11">
        <f>IFERROR(__xludf.DUMMYFUNCTION("""COMPUTED_VALUE"""),25205.0)</f>
        <v>25205</v>
      </c>
      <c r="C14872" s="9">
        <f>IFERROR(__xludf.DUMMYFUNCTION("""COMPUTED_VALUE"""),6.04)</f>
        <v>6.04</v>
      </c>
      <c r="H14872" s="17"/>
      <c r="K14872" s="17"/>
      <c r="N14872" s="17"/>
    </row>
    <row r="14873">
      <c r="B14873" s="11">
        <f>IFERROR(__xludf.DUMMYFUNCTION("""COMPUTED_VALUE"""),25204.0)</f>
        <v>25204</v>
      </c>
      <c r="C14873" s="9"/>
      <c r="H14873" s="17"/>
      <c r="K14873" s="17"/>
      <c r="N14873" s="17"/>
    </row>
    <row r="14874">
      <c r="B14874" s="11">
        <f>IFERROR(__xludf.DUMMYFUNCTION("""COMPUTED_VALUE"""),25203.0)</f>
        <v>25203</v>
      </c>
      <c r="C14874" s="9">
        <f>IFERROR(__xludf.DUMMYFUNCTION("""COMPUTED_VALUE"""),6.16)</f>
        <v>6.16</v>
      </c>
      <c r="H14874" s="17"/>
      <c r="K14874" s="17"/>
      <c r="N14874" s="17"/>
    </row>
    <row r="14875">
      <c r="B14875" s="11">
        <f>IFERROR(__xludf.DUMMYFUNCTION("""COMPUTED_VALUE"""),25202.0)</f>
        <v>25202</v>
      </c>
      <c r="C14875" s="9">
        <f>IFERROR(__xludf.DUMMYFUNCTION("""COMPUTED_VALUE"""),6.21)</f>
        <v>6.21</v>
      </c>
      <c r="H14875" s="17"/>
      <c r="K14875" s="17"/>
      <c r="N14875" s="17"/>
    </row>
    <row r="14876">
      <c r="B14876" s="11">
        <f>IFERROR(__xludf.DUMMYFUNCTION("""COMPUTED_VALUE"""),25199.0)</f>
        <v>25199</v>
      </c>
      <c r="C14876" s="9">
        <f>IFERROR(__xludf.DUMMYFUNCTION("""COMPUTED_VALUE"""),6.2)</f>
        <v>6.2</v>
      </c>
      <c r="H14876" s="17"/>
      <c r="K14876" s="17"/>
      <c r="N14876" s="17"/>
    </row>
    <row r="14877">
      <c r="B14877" s="11">
        <f>IFERROR(__xludf.DUMMYFUNCTION("""COMPUTED_VALUE"""),25198.0)</f>
        <v>25198</v>
      </c>
      <c r="C14877" s="9">
        <f>IFERROR(__xludf.DUMMYFUNCTION("""COMPUTED_VALUE"""),6.17)</f>
        <v>6.17</v>
      </c>
      <c r="H14877" s="17"/>
      <c r="K14877" s="17"/>
      <c r="N14877" s="17"/>
    </row>
    <row r="14878">
      <c r="B14878" s="11">
        <f>IFERROR(__xludf.DUMMYFUNCTION("""COMPUTED_VALUE"""),25197.0)</f>
        <v>25197</v>
      </c>
      <c r="C14878" s="9"/>
      <c r="H14878" s="17"/>
      <c r="K14878" s="17"/>
      <c r="N14878" s="17"/>
    </row>
    <row r="14879">
      <c r="B14879" s="11">
        <f>IFERROR(__xludf.DUMMYFUNCTION("""COMPUTED_VALUE"""),25196.0)</f>
        <v>25196</v>
      </c>
      <c r="C14879" s="9">
        <f>IFERROR(__xludf.DUMMYFUNCTION("""COMPUTED_VALUE"""),6.27)</f>
        <v>6.27</v>
      </c>
      <c r="H14879" s="17"/>
      <c r="K14879" s="17"/>
      <c r="N14879" s="17"/>
    </row>
    <row r="14880">
      <c r="B14880" s="11">
        <f>IFERROR(__xludf.DUMMYFUNCTION("""COMPUTED_VALUE"""),25195.0)</f>
        <v>25195</v>
      </c>
      <c r="C14880" s="9">
        <f>IFERROR(__xludf.DUMMYFUNCTION("""COMPUTED_VALUE"""),6.23)</f>
        <v>6.23</v>
      </c>
      <c r="H14880" s="17"/>
      <c r="K14880" s="17"/>
      <c r="N14880" s="17"/>
    </row>
    <row r="14881">
      <c r="B14881" s="11">
        <f>IFERROR(__xludf.DUMMYFUNCTION("""COMPUTED_VALUE"""),25192.0)</f>
        <v>25192</v>
      </c>
      <c r="C14881" s="9">
        <f>IFERROR(__xludf.DUMMYFUNCTION("""COMPUTED_VALUE"""),6.14)</f>
        <v>6.14</v>
      </c>
      <c r="H14881" s="17"/>
      <c r="K14881" s="17"/>
      <c r="N14881" s="17"/>
    </row>
    <row r="14882">
      <c r="B14882" s="11">
        <f>IFERROR(__xludf.DUMMYFUNCTION("""COMPUTED_VALUE"""),25191.0)</f>
        <v>25191</v>
      </c>
      <c r="C14882" s="9">
        <f>IFERROR(__xludf.DUMMYFUNCTION("""COMPUTED_VALUE"""),6.07)</f>
        <v>6.07</v>
      </c>
      <c r="H14882" s="17"/>
      <c r="K14882" s="17"/>
      <c r="N14882" s="17"/>
    </row>
    <row r="14883">
      <c r="B14883" s="11">
        <f>IFERROR(__xludf.DUMMYFUNCTION("""COMPUTED_VALUE"""),25190.0)</f>
        <v>25190</v>
      </c>
      <c r="C14883" s="9">
        <f>IFERROR(__xludf.DUMMYFUNCTION("""COMPUTED_VALUE"""),6.0)</f>
        <v>6</v>
      </c>
      <c r="H14883" s="17"/>
      <c r="K14883" s="17"/>
      <c r="N14883" s="17"/>
    </row>
    <row r="14884">
      <c r="B14884" s="11">
        <f>IFERROR(__xludf.DUMMYFUNCTION("""COMPUTED_VALUE"""),25189.0)</f>
        <v>25189</v>
      </c>
      <c r="C14884" s="9">
        <f>IFERROR(__xludf.DUMMYFUNCTION("""COMPUTED_VALUE"""),5.97)</f>
        <v>5.97</v>
      </c>
      <c r="H14884" s="17"/>
      <c r="K14884" s="17"/>
      <c r="N14884" s="17"/>
    </row>
    <row r="14885">
      <c r="B14885" s="11">
        <f>IFERROR(__xludf.DUMMYFUNCTION("""COMPUTED_VALUE"""),25188.0)</f>
        <v>25188</v>
      </c>
      <c r="C14885" s="9">
        <f>IFERROR(__xludf.DUMMYFUNCTION("""COMPUTED_VALUE"""),5.96)</f>
        <v>5.96</v>
      </c>
      <c r="H14885" s="17"/>
      <c r="K14885" s="17"/>
      <c r="N14885" s="17"/>
    </row>
    <row r="14886">
      <c r="B14886" s="11">
        <f>IFERROR(__xludf.DUMMYFUNCTION("""COMPUTED_VALUE"""),25185.0)</f>
        <v>25185</v>
      </c>
      <c r="C14886" s="9">
        <f>IFERROR(__xludf.DUMMYFUNCTION("""COMPUTED_VALUE"""),5.93)</f>
        <v>5.93</v>
      </c>
      <c r="H14886" s="17"/>
      <c r="K14886" s="17"/>
      <c r="N14886" s="17"/>
    </row>
    <row r="14887">
      <c r="B14887" s="11">
        <f>IFERROR(__xludf.DUMMYFUNCTION("""COMPUTED_VALUE"""),25184.0)</f>
        <v>25184</v>
      </c>
      <c r="C14887" s="9">
        <f>IFERROR(__xludf.DUMMYFUNCTION("""COMPUTED_VALUE"""),5.94)</f>
        <v>5.94</v>
      </c>
      <c r="H14887" s="17"/>
      <c r="K14887" s="17"/>
      <c r="N14887" s="17"/>
    </row>
    <row r="14888">
      <c r="B14888" s="11">
        <f>IFERROR(__xludf.DUMMYFUNCTION("""COMPUTED_VALUE"""),25183.0)</f>
        <v>25183</v>
      </c>
      <c r="C14888" s="9">
        <f>IFERROR(__xludf.DUMMYFUNCTION("""COMPUTED_VALUE"""),5.93)</f>
        <v>5.93</v>
      </c>
      <c r="H14888" s="17"/>
      <c r="K14888" s="17"/>
      <c r="N14888" s="17"/>
    </row>
    <row r="14889">
      <c r="B14889" s="11">
        <f>IFERROR(__xludf.DUMMYFUNCTION("""COMPUTED_VALUE"""),25182.0)</f>
        <v>25182</v>
      </c>
      <c r="C14889" s="9">
        <f>IFERROR(__xludf.DUMMYFUNCTION("""COMPUTED_VALUE"""),5.93)</f>
        <v>5.93</v>
      </c>
      <c r="H14889" s="17"/>
      <c r="K14889" s="17"/>
      <c r="N14889" s="17"/>
    </row>
    <row r="14890">
      <c r="B14890" s="11">
        <f>IFERROR(__xludf.DUMMYFUNCTION("""COMPUTED_VALUE"""),25181.0)</f>
        <v>25181</v>
      </c>
      <c r="C14890" s="9">
        <f>IFERROR(__xludf.DUMMYFUNCTION("""COMPUTED_VALUE"""),5.92)</f>
        <v>5.92</v>
      </c>
      <c r="H14890" s="17"/>
      <c r="K14890" s="17"/>
      <c r="N14890" s="17"/>
    </row>
    <row r="14891">
      <c r="B14891" s="11">
        <f>IFERROR(__xludf.DUMMYFUNCTION("""COMPUTED_VALUE"""),25178.0)</f>
        <v>25178</v>
      </c>
      <c r="C14891" s="9">
        <f>IFERROR(__xludf.DUMMYFUNCTION("""COMPUTED_VALUE"""),5.91)</f>
        <v>5.91</v>
      </c>
      <c r="H14891" s="17"/>
      <c r="K14891" s="17"/>
      <c r="N14891" s="17"/>
    </row>
    <row r="14892">
      <c r="B14892" s="11">
        <f>IFERROR(__xludf.DUMMYFUNCTION("""COMPUTED_VALUE"""),25177.0)</f>
        <v>25177</v>
      </c>
      <c r="C14892" s="9">
        <f>IFERROR(__xludf.DUMMYFUNCTION("""COMPUTED_VALUE"""),5.93)</f>
        <v>5.93</v>
      </c>
      <c r="H14892" s="17"/>
      <c r="K14892" s="17"/>
      <c r="N14892" s="17"/>
    </row>
    <row r="14893">
      <c r="B14893" s="11">
        <f>IFERROR(__xludf.DUMMYFUNCTION("""COMPUTED_VALUE"""),25176.0)</f>
        <v>25176</v>
      </c>
      <c r="C14893" s="9">
        <f>IFERROR(__xludf.DUMMYFUNCTION("""COMPUTED_VALUE"""),5.95)</f>
        <v>5.95</v>
      </c>
      <c r="H14893" s="17"/>
      <c r="K14893" s="17"/>
      <c r="N14893" s="17"/>
    </row>
    <row r="14894">
      <c r="B14894" s="11">
        <f>IFERROR(__xludf.DUMMYFUNCTION("""COMPUTED_VALUE"""),25175.0)</f>
        <v>25175</v>
      </c>
      <c r="C14894" s="9">
        <f>IFERROR(__xludf.DUMMYFUNCTION("""COMPUTED_VALUE"""),5.96)</f>
        <v>5.96</v>
      </c>
      <c r="H14894" s="17"/>
      <c r="K14894" s="17"/>
      <c r="N14894" s="17"/>
    </row>
    <row r="14895">
      <c r="B14895" s="11">
        <f>IFERROR(__xludf.DUMMYFUNCTION("""COMPUTED_VALUE"""),25174.0)</f>
        <v>25174</v>
      </c>
      <c r="C14895" s="9">
        <f>IFERROR(__xludf.DUMMYFUNCTION("""COMPUTED_VALUE"""),5.89)</f>
        <v>5.89</v>
      </c>
      <c r="H14895" s="17"/>
      <c r="K14895" s="17"/>
      <c r="N14895" s="17"/>
    </row>
    <row r="14896">
      <c r="B14896" s="11">
        <f>IFERROR(__xludf.DUMMYFUNCTION("""COMPUTED_VALUE"""),25171.0)</f>
        <v>25171</v>
      </c>
      <c r="C14896" s="9">
        <f>IFERROR(__xludf.DUMMYFUNCTION("""COMPUTED_VALUE"""),5.78)</f>
        <v>5.78</v>
      </c>
      <c r="H14896" s="17"/>
      <c r="K14896" s="17"/>
      <c r="N14896" s="17"/>
    </row>
    <row r="14897">
      <c r="B14897" s="11">
        <f>IFERROR(__xludf.DUMMYFUNCTION("""COMPUTED_VALUE"""),25170.0)</f>
        <v>25170</v>
      </c>
      <c r="C14897" s="9"/>
      <c r="H14897" s="17"/>
      <c r="K14897" s="17"/>
      <c r="N14897" s="17"/>
    </row>
    <row r="14898">
      <c r="B14898" s="11">
        <f>IFERROR(__xludf.DUMMYFUNCTION("""COMPUTED_VALUE"""),25169.0)</f>
        <v>25169</v>
      </c>
      <c r="C14898" s="9">
        <f>IFERROR(__xludf.DUMMYFUNCTION("""COMPUTED_VALUE"""),5.76)</f>
        <v>5.76</v>
      </c>
      <c r="H14898" s="17"/>
      <c r="K14898" s="17"/>
      <c r="N14898" s="17"/>
    </row>
    <row r="14899">
      <c r="B14899" s="11">
        <f>IFERROR(__xludf.DUMMYFUNCTION("""COMPUTED_VALUE"""),25168.0)</f>
        <v>25168</v>
      </c>
      <c r="C14899" s="9">
        <f>IFERROR(__xludf.DUMMYFUNCTION("""COMPUTED_VALUE"""),5.76)</f>
        <v>5.76</v>
      </c>
      <c r="H14899" s="17"/>
      <c r="K14899" s="17"/>
      <c r="N14899" s="17"/>
    </row>
    <row r="14900">
      <c r="B14900" s="11">
        <f>IFERROR(__xludf.DUMMYFUNCTION("""COMPUTED_VALUE"""),25167.0)</f>
        <v>25167</v>
      </c>
      <c r="C14900" s="9">
        <f>IFERROR(__xludf.DUMMYFUNCTION("""COMPUTED_VALUE"""),5.75)</f>
        <v>5.75</v>
      </c>
      <c r="H14900" s="17"/>
      <c r="K14900" s="17"/>
      <c r="N14900" s="17"/>
    </row>
    <row r="14901">
      <c r="B14901" s="11">
        <f>IFERROR(__xludf.DUMMYFUNCTION("""COMPUTED_VALUE"""),25164.0)</f>
        <v>25164</v>
      </c>
      <c r="C14901" s="9">
        <f>IFERROR(__xludf.DUMMYFUNCTION("""COMPUTED_VALUE"""),5.74)</f>
        <v>5.74</v>
      </c>
      <c r="H14901" s="17"/>
      <c r="K14901" s="17"/>
      <c r="N14901" s="17"/>
    </row>
    <row r="14902">
      <c r="B14902" s="11">
        <f>IFERROR(__xludf.DUMMYFUNCTION("""COMPUTED_VALUE"""),25163.0)</f>
        <v>25163</v>
      </c>
      <c r="C14902" s="9">
        <f>IFERROR(__xludf.DUMMYFUNCTION("""COMPUTED_VALUE"""),5.73)</f>
        <v>5.73</v>
      </c>
      <c r="H14902" s="17"/>
      <c r="K14902" s="17"/>
      <c r="N14902" s="17"/>
    </row>
    <row r="14903">
      <c r="B14903" s="11">
        <f>IFERROR(__xludf.DUMMYFUNCTION("""COMPUTED_VALUE"""),25162.0)</f>
        <v>25162</v>
      </c>
      <c r="C14903" s="9">
        <f>IFERROR(__xludf.DUMMYFUNCTION("""COMPUTED_VALUE"""),5.74)</f>
        <v>5.74</v>
      </c>
      <c r="H14903" s="17"/>
      <c r="K14903" s="17"/>
      <c r="N14903" s="17"/>
    </row>
    <row r="14904">
      <c r="B14904" s="11">
        <f>IFERROR(__xludf.DUMMYFUNCTION("""COMPUTED_VALUE"""),25161.0)</f>
        <v>25161</v>
      </c>
      <c r="C14904" s="9">
        <f>IFERROR(__xludf.DUMMYFUNCTION("""COMPUTED_VALUE"""),5.74)</f>
        <v>5.74</v>
      </c>
      <c r="H14904" s="17"/>
      <c r="K14904" s="17"/>
      <c r="N14904" s="17"/>
    </row>
    <row r="14905">
      <c r="B14905" s="11">
        <f>IFERROR(__xludf.DUMMYFUNCTION("""COMPUTED_VALUE"""),25160.0)</f>
        <v>25160</v>
      </c>
      <c r="C14905" s="9">
        <f>IFERROR(__xludf.DUMMYFUNCTION("""COMPUTED_VALUE"""),5.71)</f>
        <v>5.71</v>
      </c>
      <c r="H14905" s="17"/>
      <c r="K14905" s="17"/>
      <c r="N14905" s="17"/>
    </row>
    <row r="14906">
      <c r="B14906" s="11">
        <f>IFERROR(__xludf.DUMMYFUNCTION("""COMPUTED_VALUE"""),25157.0)</f>
        <v>25157</v>
      </c>
      <c r="C14906" s="9">
        <f>IFERROR(__xludf.DUMMYFUNCTION("""COMPUTED_VALUE"""),5.68)</f>
        <v>5.68</v>
      </c>
      <c r="H14906" s="17"/>
      <c r="K14906" s="17"/>
      <c r="N14906" s="17"/>
    </row>
    <row r="14907">
      <c r="B14907" s="11">
        <f>IFERROR(__xludf.DUMMYFUNCTION("""COMPUTED_VALUE"""),25156.0)</f>
        <v>25156</v>
      </c>
      <c r="C14907" s="9">
        <f>IFERROR(__xludf.DUMMYFUNCTION("""COMPUTED_VALUE"""),5.66)</f>
        <v>5.66</v>
      </c>
      <c r="H14907" s="17"/>
      <c r="K14907" s="17"/>
      <c r="N14907" s="17"/>
    </row>
    <row r="14908">
      <c r="B14908" s="11">
        <f>IFERROR(__xludf.DUMMYFUNCTION("""COMPUTED_VALUE"""),25155.0)</f>
        <v>25155</v>
      </c>
      <c r="C14908" s="9">
        <f>IFERROR(__xludf.DUMMYFUNCTION("""COMPUTED_VALUE"""),5.66)</f>
        <v>5.66</v>
      </c>
      <c r="H14908" s="17"/>
      <c r="K14908" s="17"/>
      <c r="N14908" s="17"/>
    </row>
    <row r="14909">
      <c r="B14909" s="11">
        <f>IFERROR(__xludf.DUMMYFUNCTION("""COMPUTED_VALUE"""),25154.0)</f>
        <v>25154</v>
      </c>
      <c r="C14909" s="9">
        <f>IFERROR(__xludf.DUMMYFUNCTION("""COMPUTED_VALUE"""),5.68)</f>
        <v>5.68</v>
      </c>
      <c r="H14909" s="17"/>
      <c r="K14909" s="17"/>
      <c r="N14909" s="17"/>
    </row>
    <row r="14910">
      <c r="B14910" s="11">
        <f>IFERROR(__xludf.DUMMYFUNCTION("""COMPUTED_VALUE"""),25153.0)</f>
        <v>25153</v>
      </c>
      <c r="C14910" s="9"/>
      <c r="H14910" s="17"/>
      <c r="K14910" s="17"/>
      <c r="N14910" s="17"/>
    </row>
    <row r="14911">
      <c r="B14911" s="11">
        <f>IFERROR(__xludf.DUMMYFUNCTION("""COMPUTED_VALUE"""),25150.0)</f>
        <v>25150</v>
      </c>
      <c r="C14911" s="9">
        <f>IFERROR(__xludf.DUMMYFUNCTION("""COMPUTED_VALUE"""),5.65)</f>
        <v>5.65</v>
      </c>
      <c r="H14911" s="17"/>
      <c r="K14911" s="17"/>
      <c r="N14911" s="17"/>
    </row>
    <row r="14912">
      <c r="B14912" s="11">
        <f>IFERROR(__xludf.DUMMYFUNCTION("""COMPUTED_VALUE"""),25149.0)</f>
        <v>25149</v>
      </c>
      <c r="C14912" s="9">
        <f>IFERROR(__xludf.DUMMYFUNCTION("""COMPUTED_VALUE"""),5.63)</f>
        <v>5.63</v>
      </c>
      <c r="H14912" s="17"/>
      <c r="K14912" s="17"/>
      <c r="N14912" s="17"/>
    </row>
    <row r="14913">
      <c r="B14913" s="11">
        <f>IFERROR(__xludf.DUMMYFUNCTION("""COMPUTED_VALUE"""),25148.0)</f>
        <v>25148</v>
      </c>
      <c r="C14913" s="9">
        <f>IFERROR(__xludf.DUMMYFUNCTION("""COMPUTED_VALUE"""),5.62)</f>
        <v>5.62</v>
      </c>
      <c r="H14913" s="17"/>
      <c r="K14913" s="17"/>
      <c r="N14913" s="17"/>
    </row>
    <row r="14914">
      <c r="B14914" s="11">
        <f>IFERROR(__xludf.DUMMYFUNCTION("""COMPUTED_VALUE"""),25147.0)</f>
        <v>25147</v>
      </c>
      <c r="C14914" s="9"/>
      <c r="H14914" s="17"/>
      <c r="K14914" s="17"/>
      <c r="N14914" s="17"/>
    </row>
    <row r="14915">
      <c r="B14915" s="11">
        <f>IFERROR(__xludf.DUMMYFUNCTION("""COMPUTED_VALUE"""),25146.0)</f>
        <v>25146</v>
      </c>
      <c r="C14915" s="9">
        <f>IFERROR(__xludf.DUMMYFUNCTION("""COMPUTED_VALUE"""),5.63)</f>
        <v>5.63</v>
      </c>
      <c r="H14915" s="17"/>
      <c r="K14915" s="17"/>
      <c r="N14915" s="17"/>
    </row>
    <row r="14916">
      <c r="B14916" s="11">
        <f>IFERROR(__xludf.DUMMYFUNCTION("""COMPUTED_VALUE"""),25143.0)</f>
        <v>25143</v>
      </c>
      <c r="C14916" s="9">
        <f>IFERROR(__xludf.DUMMYFUNCTION("""COMPUTED_VALUE"""),5.61)</f>
        <v>5.61</v>
      </c>
      <c r="H14916" s="17"/>
      <c r="K14916" s="17"/>
      <c r="N14916" s="17"/>
    </row>
    <row r="14917">
      <c r="B14917" s="11">
        <f>IFERROR(__xludf.DUMMYFUNCTION("""COMPUTED_VALUE"""),25142.0)</f>
        <v>25142</v>
      </c>
      <c r="C14917" s="9">
        <f>IFERROR(__xludf.DUMMYFUNCTION("""COMPUTED_VALUE"""),5.61)</f>
        <v>5.61</v>
      </c>
      <c r="H14917" s="17"/>
      <c r="K14917" s="17"/>
      <c r="N14917" s="17"/>
    </row>
    <row r="14918">
      <c r="B14918" s="11">
        <f>IFERROR(__xludf.DUMMYFUNCTION("""COMPUTED_VALUE"""),25141.0)</f>
        <v>25141</v>
      </c>
      <c r="C14918" s="9">
        <f>IFERROR(__xludf.DUMMYFUNCTION("""COMPUTED_VALUE"""),5.63)</f>
        <v>5.63</v>
      </c>
      <c r="H14918" s="17"/>
      <c r="K14918" s="17"/>
      <c r="N14918" s="17"/>
    </row>
    <row r="14919">
      <c r="B14919" s="11">
        <f>IFERROR(__xludf.DUMMYFUNCTION("""COMPUTED_VALUE"""),25140.0)</f>
        <v>25140</v>
      </c>
      <c r="C14919" s="9">
        <f>IFERROR(__xludf.DUMMYFUNCTION("""COMPUTED_VALUE"""),5.62)</f>
        <v>5.62</v>
      </c>
      <c r="H14919" s="17"/>
      <c r="K14919" s="17"/>
      <c r="N14919" s="17"/>
    </row>
    <row r="14920">
      <c r="B14920" s="11">
        <f>IFERROR(__xludf.DUMMYFUNCTION("""COMPUTED_VALUE"""),25139.0)</f>
        <v>25139</v>
      </c>
      <c r="C14920" s="9">
        <f>IFERROR(__xludf.DUMMYFUNCTION("""COMPUTED_VALUE"""),5.61)</f>
        <v>5.61</v>
      </c>
      <c r="H14920" s="17"/>
      <c r="K14920" s="17"/>
      <c r="N14920" s="17"/>
    </row>
    <row r="14921">
      <c r="B14921" s="11">
        <f>IFERROR(__xludf.DUMMYFUNCTION("""COMPUTED_VALUE"""),25136.0)</f>
        <v>25136</v>
      </c>
      <c r="C14921" s="9">
        <f>IFERROR(__xludf.DUMMYFUNCTION("""COMPUTED_VALUE"""),5.6)</f>
        <v>5.6</v>
      </c>
      <c r="H14921" s="17"/>
      <c r="K14921" s="17"/>
      <c r="N14921" s="17"/>
    </row>
    <row r="14922">
      <c r="B14922" s="11">
        <f>IFERROR(__xludf.DUMMYFUNCTION("""COMPUTED_VALUE"""),25135.0)</f>
        <v>25135</v>
      </c>
      <c r="C14922" s="9">
        <f>IFERROR(__xludf.DUMMYFUNCTION("""COMPUTED_VALUE"""),5.61)</f>
        <v>5.61</v>
      </c>
      <c r="H14922" s="17"/>
      <c r="K14922" s="17"/>
      <c r="N14922" s="17"/>
    </row>
    <row r="14923">
      <c r="B14923" s="11">
        <f>IFERROR(__xludf.DUMMYFUNCTION("""COMPUTED_VALUE"""),25134.0)</f>
        <v>25134</v>
      </c>
      <c r="C14923" s="9">
        <f>IFERROR(__xludf.DUMMYFUNCTION("""COMPUTED_VALUE"""),5.58)</f>
        <v>5.58</v>
      </c>
      <c r="H14923" s="17"/>
      <c r="K14923" s="17"/>
      <c r="N14923" s="17"/>
    </row>
    <row r="14924">
      <c r="B14924" s="11">
        <f>IFERROR(__xludf.DUMMYFUNCTION("""COMPUTED_VALUE"""),25133.0)</f>
        <v>25133</v>
      </c>
      <c r="C14924" s="9">
        <f>IFERROR(__xludf.DUMMYFUNCTION("""COMPUTED_VALUE"""),5.58)</f>
        <v>5.58</v>
      </c>
      <c r="H14924" s="17"/>
      <c r="K14924" s="17"/>
      <c r="N14924" s="17"/>
    </row>
    <row r="14925">
      <c r="B14925" s="11">
        <f>IFERROR(__xludf.DUMMYFUNCTION("""COMPUTED_VALUE"""),25132.0)</f>
        <v>25132</v>
      </c>
      <c r="C14925" s="9">
        <f>IFERROR(__xludf.DUMMYFUNCTION("""COMPUTED_VALUE"""),5.58)</f>
        <v>5.58</v>
      </c>
      <c r="H14925" s="17"/>
      <c r="K14925" s="17"/>
      <c r="N14925" s="17"/>
    </row>
    <row r="14926">
      <c r="B14926" s="11">
        <f>IFERROR(__xludf.DUMMYFUNCTION("""COMPUTED_VALUE"""),25129.0)</f>
        <v>25129</v>
      </c>
      <c r="C14926" s="9">
        <f>IFERROR(__xludf.DUMMYFUNCTION("""COMPUTED_VALUE"""),5.57)</f>
        <v>5.57</v>
      </c>
      <c r="H14926" s="17"/>
      <c r="K14926" s="17"/>
      <c r="N14926" s="17"/>
    </row>
    <row r="14927">
      <c r="B14927" s="11">
        <f>IFERROR(__xludf.DUMMYFUNCTION("""COMPUTED_VALUE"""),25128.0)</f>
        <v>25128</v>
      </c>
      <c r="C14927" s="9">
        <f>IFERROR(__xludf.DUMMYFUNCTION("""COMPUTED_VALUE"""),5.58)</f>
        <v>5.58</v>
      </c>
      <c r="H14927" s="17"/>
      <c r="K14927" s="17"/>
      <c r="N14927" s="17"/>
    </row>
    <row r="14928">
      <c r="B14928" s="11">
        <f>IFERROR(__xludf.DUMMYFUNCTION("""COMPUTED_VALUE"""),25127.0)</f>
        <v>25127</v>
      </c>
      <c r="C14928" s="9">
        <f>IFERROR(__xludf.DUMMYFUNCTION("""COMPUTED_VALUE"""),5.62)</f>
        <v>5.62</v>
      </c>
      <c r="H14928" s="17"/>
      <c r="K14928" s="17"/>
      <c r="N14928" s="17"/>
    </row>
    <row r="14929">
      <c r="B14929" s="11">
        <f>IFERROR(__xludf.DUMMYFUNCTION("""COMPUTED_VALUE"""),25126.0)</f>
        <v>25126</v>
      </c>
      <c r="C14929" s="9">
        <f>IFERROR(__xludf.DUMMYFUNCTION("""COMPUTED_VALUE"""),5.65)</f>
        <v>5.65</v>
      </c>
      <c r="H14929" s="17"/>
      <c r="K14929" s="17"/>
      <c r="N14929" s="17"/>
    </row>
    <row r="14930">
      <c r="B14930" s="11">
        <f>IFERROR(__xludf.DUMMYFUNCTION("""COMPUTED_VALUE"""),25125.0)</f>
        <v>25125</v>
      </c>
      <c r="C14930" s="9">
        <f>IFERROR(__xludf.DUMMYFUNCTION("""COMPUTED_VALUE"""),5.62)</f>
        <v>5.62</v>
      </c>
      <c r="H14930" s="17"/>
      <c r="K14930" s="17"/>
      <c r="N14930" s="17"/>
    </row>
    <row r="14931">
      <c r="B14931" s="11">
        <f>IFERROR(__xludf.DUMMYFUNCTION("""COMPUTED_VALUE"""),25122.0)</f>
        <v>25122</v>
      </c>
      <c r="C14931" s="9">
        <f>IFERROR(__xludf.DUMMYFUNCTION("""COMPUTED_VALUE"""),5.61)</f>
        <v>5.61</v>
      </c>
      <c r="H14931" s="17"/>
      <c r="K14931" s="17"/>
      <c r="N14931" s="17"/>
    </row>
    <row r="14932">
      <c r="B14932" s="11">
        <f>IFERROR(__xludf.DUMMYFUNCTION("""COMPUTED_VALUE"""),25121.0)</f>
        <v>25121</v>
      </c>
      <c r="C14932" s="9">
        <f>IFERROR(__xludf.DUMMYFUNCTION("""COMPUTED_VALUE"""),5.61)</f>
        <v>5.61</v>
      </c>
      <c r="H14932" s="17"/>
      <c r="K14932" s="17"/>
      <c r="N14932" s="17"/>
    </row>
    <row r="14933">
      <c r="B14933" s="11">
        <f>IFERROR(__xludf.DUMMYFUNCTION("""COMPUTED_VALUE"""),25120.0)</f>
        <v>25120</v>
      </c>
      <c r="C14933" s="9">
        <f>IFERROR(__xludf.DUMMYFUNCTION("""COMPUTED_VALUE"""),5.6)</f>
        <v>5.6</v>
      </c>
      <c r="H14933" s="17"/>
      <c r="K14933" s="17"/>
      <c r="N14933" s="17"/>
    </row>
    <row r="14934">
      <c r="B14934" s="11">
        <f>IFERROR(__xludf.DUMMYFUNCTION("""COMPUTED_VALUE"""),25119.0)</f>
        <v>25119</v>
      </c>
      <c r="C14934" s="9">
        <f>IFERROR(__xludf.DUMMYFUNCTION("""COMPUTED_VALUE"""),5.57)</f>
        <v>5.57</v>
      </c>
      <c r="H14934" s="17"/>
      <c r="K14934" s="17"/>
      <c r="N14934" s="17"/>
    </row>
    <row r="14935">
      <c r="B14935" s="11">
        <f>IFERROR(__xludf.DUMMYFUNCTION("""COMPUTED_VALUE"""),25118.0)</f>
        <v>25118</v>
      </c>
      <c r="C14935" s="9">
        <f>IFERROR(__xludf.DUMMYFUNCTION("""COMPUTED_VALUE"""),5.55)</f>
        <v>5.55</v>
      </c>
      <c r="H14935" s="17"/>
      <c r="K14935" s="17"/>
      <c r="N14935" s="17"/>
    </row>
    <row r="14936">
      <c r="B14936" s="11">
        <f>IFERROR(__xludf.DUMMYFUNCTION("""COMPUTED_VALUE"""),25115.0)</f>
        <v>25115</v>
      </c>
      <c r="C14936" s="9">
        <f>IFERROR(__xludf.DUMMYFUNCTION("""COMPUTED_VALUE"""),5.52)</f>
        <v>5.52</v>
      </c>
      <c r="H14936" s="17"/>
      <c r="K14936" s="17"/>
      <c r="N14936" s="17"/>
    </row>
    <row r="14937">
      <c r="B14937" s="11">
        <f>IFERROR(__xludf.DUMMYFUNCTION("""COMPUTED_VALUE"""),25114.0)</f>
        <v>25114</v>
      </c>
      <c r="C14937" s="9">
        <f>IFERROR(__xludf.DUMMYFUNCTION("""COMPUTED_VALUE"""),5.5)</f>
        <v>5.5</v>
      </c>
      <c r="H14937" s="17"/>
      <c r="K14937" s="17"/>
      <c r="N14937" s="17"/>
    </row>
    <row r="14938">
      <c r="B14938" s="11">
        <f>IFERROR(__xludf.DUMMYFUNCTION("""COMPUTED_VALUE"""),25113.0)</f>
        <v>25113</v>
      </c>
      <c r="C14938" s="9">
        <f>IFERROR(__xludf.DUMMYFUNCTION("""COMPUTED_VALUE"""),5.49)</f>
        <v>5.49</v>
      </c>
      <c r="H14938" s="17"/>
      <c r="K14938" s="17"/>
      <c r="N14938" s="17"/>
    </row>
    <row r="14939">
      <c r="B14939" s="11">
        <f>IFERROR(__xludf.DUMMYFUNCTION("""COMPUTED_VALUE"""),25112.0)</f>
        <v>25112</v>
      </c>
      <c r="C14939" s="9">
        <f>IFERROR(__xludf.DUMMYFUNCTION("""COMPUTED_VALUE"""),5.49)</f>
        <v>5.49</v>
      </c>
      <c r="H14939" s="17"/>
      <c r="K14939" s="17"/>
      <c r="N14939" s="17"/>
    </row>
    <row r="14940">
      <c r="B14940" s="11">
        <f>IFERROR(__xludf.DUMMYFUNCTION("""COMPUTED_VALUE"""),25111.0)</f>
        <v>25111</v>
      </c>
      <c r="C14940" s="9">
        <f>IFERROR(__xludf.DUMMYFUNCTION("""COMPUTED_VALUE"""),5.49)</f>
        <v>5.49</v>
      </c>
      <c r="H14940" s="17"/>
      <c r="K14940" s="17"/>
      <c r="N14940" s="17"/>
    </row>
    <row r="14941">
      <c r="B14941" s="11">
        <f>IFERROR(__xludf.DUMMYFUNCTION("""COMPUTED_VALUE"""),25108.0)</f>
        <v>25108</v>
      </c>
      <c r="C14941" s="9">
        <f>IFERROR(__xludf.DUMMYFUNCTION("""COMPUTED_VALUE"""),5.46)</f>
        <v>5.46</v>
      </c>
      <c r="H14941" s="17"/>
      <c r="K14941" s="17"/>
      <c r="N14941" s="17"/>
    </row>
    <row r="14942">
      <c r="B14942" s="11">
        <f>IFERROR(__xludf.DUMMYFUNCTION("""COMPUTED_VALUE"""),25107.0)</f>
        <v>25107</v>
      </c>
      <c r="C14942" s="9">
        <f>IFERROR(__xludf.DUMMYFUNCTION("""COMPUTED_VALUE"""),5.45)</f>
        <v>5.45</v>
      </c>
      <c r="H14942" s="17"/>
      <c r="K14942" s="17"/>
      <c r="N14942" s="17"/>
    </row>
    <row r="14943">
      <c r="B14943" s="11">
        <f>IFERROR(__xludf.DUMMYFUNCTION("""COMPUTED_VALUE"""),25106.0)</f>
        <v>25106</v>
      </c>
      <c r="C14943" s="9">
        <f>IFERROR(__xludf.DUMMYFUNCTION("""COMPUTED_VALUE"""),5.44)</f>
        <v>5.44</v>
      </c>
      <c r="H14943" s="17"/>
      <c r="K14943" s="17"/>
      <c r="N14943" s="17"/>
    </row>
    <row r="14944">
      <c r="B14944" s="11">
        <f>IFERROR(__xludf.DUMMYFUNCTION("""COMPUTED_VALUE"""),25105.0)</f>
        <v>25105</v>
      </c>
      <c r="C14944" s="9">
        <f>IFERROR(__xludf.DUMMYFUNCTION("""COMPUTED_VALUE"""),5.44)</f>
        <v>5.44</v>
      </c>
      <c r="H14944" s="17"/>
      <c r="K14944" s="17"/>
      <c r="N14944" s="17"/>
    </row>
    <row r="14945">
      <c r="B14945" s="11">
        <f>IFERROR(__xludf.DUMMYFUNCTION("""COMPUTED_VALUE"""),25104.0)</f>
        <v>25104</v>
      </c>
      <c r="C14945" s="9">
        <f>IFERROR(__xludf.DUMMYFUNCTION("""COMPUTED_VALUE"""),5.45)</f>
        <v>5.45</v>
      </c>
      <c r="H14945" s="17"/>
      <c r="K14945" s="17"/>
      <c r="N14945" s="17"/>
    </row>
    <row r="14946">
      <c r="B14946" s="11">
        <f>IFERROR(__xludf.DUMMYFUNCTION("""COMPUTED_VALUE"""),25101.0)</f>
        <v>25101</v>
      </c>
      <c r="C14946" s="9">
        <f>IFERROR(__xludf.DUMMYFUNCTION("""COMPUTED_VALUE"""),5.45)</f>
        <v>5.45</v>
      </c>
      <c r="H14946" s="17"/>
      <c r="K14946" s="17"/>
      <c r="N14946" s="17"/>
    </row>
    <row r="14947">
      <c r="B14947" s="11">
        <f>IFERROR(__xludf.DUMMYFUNCTION("""COMPUTED_VALUE"""),25100.0)</f>
        <v>25100</v>
      </c>
      <c r="C14947" s="9">
        <f>IFERROR(__xludf.DUMMYFUNCTION("""COMPUTED_VALUE"""),5.43)</f>
        <v>5.43</v>
      </c>
      <c r="H14947" s="17"/>
      <c r="K14947" s="17"/>
      <c r="N14947" s="17"/>
    </row>
    <row r="14948">
      <c r="B14948" s="11">
        <f>IFERROR(__xludf.DUMMYFUNCTION("""COMPUTED_VALUE"""),25099.0)</f>
        <v>25099</v>
      </c>
      <c r="C14948" s="9">
        <f>IFERROR(__xludf.DUMMYFUNCTION("""COMPUTED_VALUE"""),5.42)</f>
        <v>5.42</v>
      </c>
      <c r="H14948" s="17"/>
      <c r="K14948" s="17"/>
      <c r="N14948" s="17"/>
    </row>
    <row r="14949">
      <c r="B14949" s="11">
        <f>IFERROR(__xludf.DUMMYFUNCTION("""COMPUTED_VALUE"""),25098.0)</f>
        <v>25098</v>
      </c>
      <c r="C14949" s="9">
        <f>IFERROR(__xludf.DUMMYFUNCTION("""COMPUTED_VALUE"""),5.46)</f>
        <v>5.46</v>
      </c>
      <c r="H14949" s="17"/>
      <c r="K14949" s="17"/>
      <c r="N14949" s="17"/>
    </row>
    <row r="14950">
      <c r="B14950" s="11">
        <f>IFERROR(__xludf.DUMMYFUNCTION("""COMPUTED_VALUE"""),25097.0)</f>
        <v>25097</v>
      </c>
      <c r="C14950" s="9">
        <f>IFERROR(__xludf.DUMMYFUNCTION("""COMPUTED_VALUE"""),5.46)</f>
        <v>5.46</v>
      </c>
      <c r="H14950" s="17"/>
      <c r="K14950" s="17"/>
      <c r="N14950" s="17"/>
    </row>
    <row r="14951">
      <c r="B14951" s="11">
        <f>IFERROR(__xludf.DUMMYFUNCTION("""COMPUTED_VALUE"""),25094.0)</f>
        <v>25094</v>
      </c>
      <c r="C14951" s="9">
        <f>IFERROR(__xludf.DUMMYFUNCTION("""COMPUTED_VALUE"""),5.48)</f>
        <v>5.48</v>
      </c>
      <c r="H14951" s="17"/>
      <c r="K14951" s="17"/>
      <c r="N14951" s="17"/>
    </row>
    <row r="14952">
      <c r="B14952" s="11">
        <f>IFERROR(__xludf.DUMMYFUNCTION("""COMPUTED_VALUE"""),25093.0)</f>
        <v>25093</v>
      </c>
      <c r="C14952" s="9">
        <f>IFERROR(__xludf.DUMMYFUNCTION("""COMPUTED_VALUE"""),5.49)</f>
        <v>5.49</v>
      </c>
      <c r="H14952" s="17"/>
      <c r="K14952" s="17"/>
      <c r="N14952" s="17"/>
    </row>
    <row r="14953">
      <c r="B14953" s="11">
        <f>IFERROR(__xludf.DUMMYFUNCTION("""COMPUTED_VALUE"""),25092.0)</f>
        <v>25092</v>
      </c>
      <c r="C14953" s="9">
        <f>IFERROR(__xludf.DUMMYFUNCTION("""COMPUTED_VALUE"""),5.5)</f>
        <v>5.5</v>
      </c>
      <c r="H14953" s="17"/>
      <c r="K14953" s="17"/>
      <c r="N14953" s="17"/>
    </row>
    <row r="14954">
      <c r="B14954" s="11">
        <f>IFERROR(__xludf.DUMMYFUNCTION("""COMPUTED_VALUE"""),25091.0)</f>
        <v>25091</v>
      </c>
      <c r="C14954" s="9">
        <f>IFERROR(__xludf.DUMMYFUNCTION("""COMPUTED_VALUE"""),5.51)</f>
        <v>5.51</v>
      </c>
      <c r="H14954" s="17"/>
      <c r="K14954" s="17"/>
      <c r="N14954" s="17"/>
    </row>
    <row r="14955">
      <c r="B14955" s="11">
        <f>IFERROR(__xludf.DUMMYFUNCTION("""COMPUTED_VALUE"""),25090.0)</f>
        <v>25090</v>
      </c>
      <c r="C14955" s="9">
        <f>IFERROR(__xludf.DUMMYFUNCTION("""COMPUTED_VALUE"""),5.49)</f>
        <v>5.49</v>
      </c>
      <c r="H14955" s="17"/>
      <c r="K14955" s="17"/>
      <c r="N14955" s="17"/>
    </row>
    <row r="14956">
      <c r="B14956" s="11">
        <f>IFERROR(__xludf.DUMMYFUNCTION("""COMPUTED_VALUE"""),25087.0)</f>
        <v>25087</v>
      </c>
      <c r="C14956" s="9">
        <f>IFERROR(__xludf.DUMMYFUNCTION("""COMPUTED_VALUE"""),5.48)</f>
        <v>5.48</v>
      </c>
      <c r="H14956" s="17"/>
      <c r="K14956" s="17"/>
      <c r="N14956" s="17"/>
    </row>
    <row r="14957">
      <c r="B14957" s="11">
        <f>IFERROR(__xludf.DUMMYFUNCTION("""COMPUTED_VALUE"""),25086.0)</f>
        <v>25086</v>
      </c>
      <c r="C14957" s="9">
        <f>IFERROR(__xludf.DUMMYFUNCTION("""COMPUTED_VALUE"""),5.46)</f>
        <v>5.46</v>
      </c>
      <c r="H14957" s="17"/>
      <c r="K14957" s="17"/>
      <c r="N14957" s="17"/>
    </row>
    <row r="14958">
      <c r="B14958" s="11">
        <f>IFERROR(__xludf.DUMMYFUNCTION("""COMPUTED_VALUE"""),25085.0)</f>
        <v>25085</v>
      </c>
      <c r="C14958" s="9">
        <f>IFERROR(__xludf.DUMMYFUNCTION("""COMPUTED_VALUE"""),5.43)</f>
        <v>5.43</v>
      </c>
      <c r="H14958" s="17"/>
      <c r="K14958" s="17"/>
      <c r="N14958" s="17"/>
    </row>
    <row r="14959">
      <c r="B14959" s="11">
        <f>IFERROR(__xludf.DUMMYFUNCTION("""COMPUTED_VALUE"""),25084.0)</f>
        <v>25084</v>
      </c>
      <c r="C14959" s="9">
        <f>IFERROR(__xludf.DUMMYFUNCTION("""COMPUTED_VALUE"""),5.41)</f>
        <v>5.41</v>
      </c>
      <c r="H14959" s="17"/>
      <c r="K14959" s="17"/>
      <c r="N14959" s="17"/>
    </row>
    <row r="14960">
      <c r="B14960" s="11">
        <f>IFERROR(__xludf.DUMMYFUNCTION("""COMPUTED_VALUE"""),25083.0)</f>
        <v>25083</v>
      </c>
      <c r="C14960" s="9"/>
      <c r="H14960" s="17"/>
      <c r="K14960" s="17"/>
      <c r="N14960" s="17"/>
    </row>
    <row r="14961">
      <c r="B14961" s="11">
        <f>IFERROR(__xludf.DUMMYFUNCTION("""COMPUTED_VALUE"""),25080.0)</f>
        <v>25080</v>
      </c>
      <c r="C14961" s="9">
        <f>IFERROR(__xludf.DUMMYFUNCTION("""COMPUTED_VALUE"""),5.42)</f>
        <v>5.42</v>
      </c>
      <c r="H14961" s="17"/>
      <c r="K14961" s="17"/>
      <c r="N14961" s="17"/>
    </row>
    <row r="14962">
      <c r="B14962" s="11">
        <f>IFERROR(__xludf.DUMMYFUNCTION("""COMPUTED_VALUE"""),25079.0)</f>
        <v>25079</v>
      </c>
      <c r="C14962" s="9">
        <f>IFERROR(__xludf.DUMMYFUNCTION("""COMPUTED_VALUE"""),5.43)</f>
        <v>5.43</v>
      </c>
      <c r="H14962" s="17"/>
      <c r="K14962" s="17"/>
      <c r="N14962" s="17"/>
    </row>
    <row r="14963">
      <c r="B14963" s="11">
        <f>IFERROR(__xludf.DUMMYFUNCTION("""COMPUTED_VALUE"""),25078.0)</f>
        <v>25078</v>
      </c>
      <c r="C14963" s="9">
        <f>IFERROR(__xludf.DUMMYFUNCTION("""COMPUTED_VALUE"""),5.45)</f>
        <v>5.45</v>
      </c>
      <c r="H14963" s="17"/>
      <c r="K14963" s="17"/>
      <c r="N14963" s="17"/>
    </row>
    <row r="14964">
      <c r="B14964" s="11">
        <f>IFERROR(__xludf.DUMMYFUNCTION("""COMPUTED_VALUE"""),25077.0)</f>
        <v>25077</v>
      </c>
      <c r="C14964" s="9">
        <f>IFERROR(__xludf.DUMMYFUNCTION("""COMPUTED_VALUE"""),5.46)</f>
        <v>5.46</v>
      </c>
      <c r="H14964" s="17"/>
      <c r="K14964" s="17"/>
      <c r="N14964" s="17"/>
    </row>
    <row r="14965">
      <c r="B14965" s="11">
        <f>IFERROR(__xludf.DUMMYFUNCTION("""COMPUTED_VALUE"""),25076.0)</f>
        <v>25076</v>
      </c>
      <c r="C14965" s="9">
        <f>IFERROR(__xludf.DUMMYFUNCTION("""COMPUTED_VALUE"""),5.46)</f>
        <v>5.46</v>
      </c>
      <c r="H14965" s="17"/>
      <c r="K14965" s="17"/>
      <c r="N14965" s="17"/>
    </row>
    <row r="14966">
      <c r="B14966" s="11">
        <f>IFERROR(__xludf.DUMMYFUNCTION("""COMPUTED_VALUE"""),25073.0)</f>
        <v>25073</v>
      </c>
      <c r="C14966" s="9">
        <f>IFERROR(__xludf.DUMMYFUNCTION("""COMPUTED_VALUE"""),5.47)</f>
        <v>5.47</v>
      </c>
      <c r="H14966" s="17"/>
      <c r="K14966" s="17"/>
      <c r="N14966" s="17"/>
    </row>
    <row r="14967">
      <c r="B14967" s="11">
        <f>IFERROR(__xludf.DUMMYFUNCTION("""COMPUTED_VALUE"""),25072.0)</f>
        <v>25072</v>
      </c>
      <c r="C14967" s="9">
        <f>IFERROR(__xludf.DUMMYFUNCTION("""COMPUTED_VALUE"""),5.5)</f>
        <v>5.5</v>
      </c>
      <c r="H14967" s="17"/>
      <c r="K14967" s="17"/>
      <c r="N14967" s="17"/>
    </row>
    <row r="14968">
      <c r="B14968" s="11">
        <f>IFERROR(__xludf.DUMMYFUNCTION("""COMPUTED_VALUE"""),25071.0)</f>
        <v>25071</v>
      </c>
      <c r="C14968" s="9">
        <f>IFERROR(__xludf.DUMMYFUNCTION("""COMPUTED_VALUE"""),5.46)</f>
        <v>5.46</v>
      </c>
      <c r="H14968" s="17"/>
      <c r="K14968" s="17"/>
      <c r="N14968" s="17"/>
    </row>
    <row r="14969">
      <c r="B14969" s="11">
        <f>IFERROR(__xludf.DUMMYFUNCTION("""COMPUTED_VALUE"""),25070.0)</f>
        <v>25070</v>
      </c>
      <c r="C14969" s="9">
        <f>IFERROR(__xludf.DUMMYFUNCTION("""COMPUTED_VALUE"""),5.43)</f>
        <v>5.43</v>
      </c>
      <c r="H14969" s="17"/>
      <c r="K14969" s="17"/>
      <c r="N14969" s="17"/>
    </row>
    <row r="14970">
      <c r="B14970" s="11">
        <f>IFERROR(__xludf.DUMMYFUNCTION("""COMPUTED_VALUE"""),25069.0)</f>
        <v>25069</v>
      </c>
      <c r="C14970" s="9">
        <f>IFERROR(__xludf.DUMMYFUNCTION("""COMPUTED_VALUE"""),5.43)</f>
        <v>5.43</v>
      </c>
      <c r="H14970" s="17"/>
      <c r="K14970" s="17"/>
      <c r="N14970" s="17"/>
    </row>
    <row r="14971">
      <c r="B14971" s="11">
        <f>IFERROR(__xludf.DUMMYFUNCTION("""COMPUTED_VALUE"""),25066.0)</f>
        <v>25066</v>
      </c>
      <c r="C14971" s="9">
        <f>IFERROR(__xludf.DUMMYFUNCTION("""COMPUTED_VALUE"""),5.42)</f>
        <v>5.42</v>
      </c>
      <c r="H14971" s="17"/>
      <c r="K14971" s="17"/>
      <c r="N14971" s="17"/>
    </row>
    <row r="14972">
      <c r="B14972" s="11">
        <f>IFERROR(__xludf.DUMMYFUNCTION("""COMPUTED_VALUE"""),25065.0)</f>
        <v>25065</v>
      </c>
      <c r="C14972" s="9">
        <f>IFERROR(__xludf.DUMMYFUNCTION("""COMPUTED_VALUE"""),5.45)</f>
        <v>5.45</v>
      </c>
      <c r="H14972" s="17"/>
      <c r="K14972" s="17"/>
      <c r="N14972" s="17"/>
    </row>
    <row r="14973">
      <c r="B14973" s="11">
        <f>IFERROR(__xludf.DUMMYFUNCTION("""COMPUTED_VALUE"""),25064.0)</f>
        <v>25064</v>
      </c>
      <c r="C14973" s="9">
        <f>IFERROR(__xludf.DUMMYFUNCTION("""COMPUTED_VALUE"""),5.43)</f>
        <v>5.43</v>
      </c>
      <c r="H14973" s="17"/>
      <c r="K14973" s="17"/>
      <c r="N14973" s="17"/>
    </row>
    <row r="14974">
      <c r="B14974" s="11">
        <f>IFERROR(__xludf.DUMMYFUNCTION("""COMPUTED_VALUE"""),25063.0)</f>
        <v>25063</v>
      </c>
      <c r="C14974" s="9">
        <f>IFERROR(__xludf.DUMMYFUNCTION("""COMPUTED_VALUE"""),5.43)</f>
        <v>5.43</v>
      </c>
      <c r="H14974" s="17"/>
      <c r="K14974" s="17"/>
      <c r="N14974" s="17"/>
    </row>
    <row r="14975">
      <c r="B14975" s="11">
        <f>IFERROR(__xludf.DUMMYFUNCTION("""COMPUTED_VALUE"""),25062.0)</f>
        <v>25062</v>
      </c>
      <c r="C14975" s="9">
        <f>IFERROR(__xludf.DUMMYFUNCTION("""COMPUTED_VALUE"""),5.42)</f>
        <v>5.42</v>
      </c>
      <c r="H14975" s="17"/>
      <c r="K14975" s="17"/>
      <c r="N14975" s="17"/>
    </row>
    <row r="14976">
      <c r="B14976" s="11">
        <f>IFERROR(__xludf.DUMMYFUNCTION("""COMPUTED_VALUE"""),25059.0)</f>
        <v>25059</v>
      </c>
      <c r="C14976" s="9">
        <f>IFERROR(__xludf.DUMMYFUNCTION("""COMPUTED_VALUE"""),5.39)</f>
        <v>5.39</v>
      </c>
      <c r="H14976" s="17"/>
      <c r="K14976" s="17"/>
      <c r="N14976" s="17"/>
    </row>
    <row r="14977">
      <c r="B14977" s="11">
        <f>IFERROR(__xludf.DUMMYFUNCTION("""COMPUTED_VALUE"""),25058.0)</f>
        <v>25058</v>
      </c>
      <c r="C14977" s="9">
        <f>IFERROR(__xludf.DUMMYFUNCTION("""COMPUTED_VALUE"""),5.37)</f>
        <v>5.37</v>
      </c>
      <c r="H14977" s="17"/>
      <c r="K14977" s="17"/>
      <c r="N14977" s="17"/>
    </row>
    <row r="14978">
      <c r="B14978" s="11">
        <f>IFERROR(__xludf.DUMMYFUNCTION("""COMPUTED_VALUE"""),25057.0)</f>
        <v>25057</v>
      </c>
      <c r="C14978" s="9">
        <f>IFERROR(__xludf.DUMMYFUNCTION("""COMPUTED_VALUE"""),5.36)</f>
        <v>5.36</v>
      </c>
      <c r="H14978" s="17"/>
      <c r="K14978" s="17"/>
      <c r="N14978" s="17"/>
    </row>
    <row r="14979">
      <c r="B14979" s="11">
        <f>IFERROR(__xludf.DUMMYFUNCTION("""COMPUTED_VALUE"""),25056.0)</f>
        <v>25056</v>
      </c>
      <c r="C14979" s="9">
        <f>IFERROR(__xludf.DUMMYFUNCTION("""COMPUTED_VALUE"""),5.38)</f>
        <v>5.38</v>
      </c>
      <c r="H14979" s="17"/>
      <c r="K14979" s="17"/>
      <c r="N14979" s="17"/>
    </row>
    <row r="14980">
      <c r="B14980" s="11">
        <f>IFERROR(__xludf.DUMMYFUNCTION("""COMPUTED_VALUE"""),25055.0)</f>
        <v>25055</v>
      </c>
      <c r="C14980" s="9">
        <f>IFERROR(__xludf.DUMMYFUNCTION("""COMPUTED_VALUE"""),5.37)</f>
        <v>5.37</v>
      </c>
      <c r="H14980" s="17"/>
      <c r="K14980" s="17"/>
      <c r="N14980" s="17"/>
    </row>
    <row r="14981">
      <c r="B14981" s="11">
        <f>IFERROR(__xludf.DUMMYFUNCTION("""COMPUTED_VALUE"""),25052.0)</f>
        <v>25052</v>
      </c>
      <c r="C14981" s="9">
        <f>IFERROR(__xludf.DUMMYFUNCTION("""COMPUTED_VALUE"""),5.34)</f>
        <v>5.34</v>
      </c>
      <c r="H14981" s="17"/>
      <c r="K14981" s="17"/>
      <c r="N14981" s="17"/>
    </row>
    <row r="14982">
      <c r="B14982" s="11">
        <f>IFERROR(__xludf.DUMMYFUNCTION("""COMPUTED_VALUE"""),25051.0)</f>
        <v>25051</v>
      </c>
      <c r="C14982" s="9">
        <f>IFERROR(__xludf.DUMMYFUNCTION("""COMPUTED_VALUE"""),5.38)</f>
        <v>5.38</v>
      </c>
      <c r="H14982" s="17"/>
      <c r="K14982" s="17"/>
      <c r="N14982" s="17"/>
    </row>
    <row r="14983">
      <c r="B14983" s="11">
        <f>IFERROR(__xludf.DUMMYFUNCTION("""COMPUTED_VALUE"""),25050.0)</f>
        <v>25050</v>
      </c>
      <c r="C14983" s="9">
        <f>IFERROR(__xludf.DUMMYFUNCTION("""COMPUTED_VALUE"""),5.39)</f>
        <v>5.39</v>
      </c>
      <c r="H14983" s="17"/>
      <c r="K14983" s="17"/>
      <c r="N14983" s="17"/>
    </row>
    <row r="14984">
      <c r="B14984" s="11">
        <f>IFERROR(__xludf.DUMMYFUNCTION("""COMPUTED_VALUE"""),25049.0)</f>
        <v>25049</v>
      </c>
      <c r="C14984" s="9">
        <f>IFERROR(__xludf.DUMMYFUNCTION("""COMPUTED_VALUE"""),5.41)</f>
        <v>5.41</v>
      </c>
      <c r="H14984" s="17"/>
      <c r="K14984" s="17"/>
      <c r="N14984" s="17"/>
    </row>
    <row r="14985">
      <c r="B14985" s="11">
        <f>IFERROR(__xludf.DUMMYFUNCTION("""COMPUTED_VALUE"""),25048.0)</f>
        <v>25048</v>
      </c>
      <c r="C14985" s="9">
        <f>IFERROR(__xludf.DUMMYFUNCTION("""COMPUTED_VALUE"""),5.41)</f>
        <v>5.41</v>
      </c>
      <c r="H14985" s="17"/>
      <c r="K14985" s="17"/>
      <c r="N14985" s="17"/>
    </row>
    <row r="14986">
      <c r="B14986" s="11">
        <f>IFERROR(__xludf.DUMMYFUNCTION("""COMPUTED_VALUE"""),25045.0)</f>
        <v>25045</v>
      </c>
      <c r="C14986" s="9">
        <f>IFERROR(__xludf.DUMMYFUNCTION("""COMPUTED_VALUE"""),5.39)</f>
        <v>5.39</v>
      </c>
      <c r="H14986" s="17"/>
      <c r="K14986" s="17"/>
      <c r="N14986" s="17"/>
    </row>
    <row r="14987">
      <c r="B14987" s="11">
        <f>IFERROR(__xludf.DUMMYFUNCTION("""COMPUTED_VALUE"""),25044.0)</f>
        <v>25044</v>
      </c>
      <c r="C14987" s="9">
        <f>IFERROR(__xludf.DUMMYFUNCTION("""COMPUTED_VALUE"""),5.37)</f>
        <v>5.37</v>
      </c>
      <c r="H14987" s="17"/>
      <c r="K14987" s="17"/>
      <c r="N14987" s="17"/>
    </row>
    <row r="14988">
      <c r="B14988" s="11">
        <f>IFERROR(__xludf.DUMMYFUNCTION("""COMPUTED_VALUE"""),25043.0)</f>
        <v>25043</v>
      </c>
      <c r="C14988" s="9">
        <f>IFERROR(__xludf.DUMMYFUNCTION("""COMPUTED_VALUE"""),5.39)</f>
        <v>5.39</v>
      </c>
      <c r="H14988" s="17"/>
      <c r="K14988" s="17"/>
      <c r="N14988" s="17"/>
    </row>
    <row r="14989">
      <c r="B14989" s="11">
        <f>IFERROR(__xludf.DUMMYFUNCTION("""COMPUTED_VALUE"""),25042.0)</f>
        <v>25042</v>
      </c>
      <c r="C14989" s="9">
        <f>IFERROR(__xludf.DUMMYFUNCTION("""COMPUTED_VALUE"""),5.38)</f>
        <v>5.38</v>
      </c>
      <c r="H14989" s="17"/>
      <c r="K14989" s="17"/>
      <c r="N14989" s="17"/>
    </row>
    <row r="14990">
      <c r="B14990" s="11">
        <f>IFERROR(__xludf.DUMMYFUNCTION("""COMPUTED_VALUE"""),25041.0)</f>
        <v>25041</v>
      </c>
      <c r="C14990" s="9">
        <f>IFERROR(__xludf.DUMMYFUNCTION("""COMPUTED_VALUE"""),5.45)</f>
        <v>5.45</v>
      </c>
      <c r="H14990" s="17"/>
      <c r="K14990" s="17"/>
      <c r="N14990" s="17"/>
    </row>
    <row r="14991">
      <c r="B14991" s="11">
        <f>IFERROR(__xludf.DUMMYFUNCTION("""COMPUTED_VALUE"""),25038.0)</f>
        <v>25038</v>
      </c>
      <c r="C14991" s="9">
        <f>IFERROR(__xludf.DUMMYFUNCTION("""COMPUTED_VALUE"""),5.53)</f>
        <v>5.53</v>
      </c>
      <c r="H14991" s="17"/>
      <c r="K14991" s="17"/>
      <c r="N14991" s="17"/>
    </row>
    <row r="14992">
      <c r="B14992" s="11">
        <f>IFERROR(__xludf.DUMMYFUNCTION("""COMPUTED_VALUE"""),25037.0)</f>
        <v>25037</v>
      </c>
      <c r="C14992" s="9">
        <f>IFERROR(__xludf.DUMMYFUNCTION("""COMPUTED_VALUE"""),5.56)</f>
        <v>5.56</v>
      </c>
      <c r="H14992" s="17"/>
      <c r="K14992" s="17"/>
      <c r="N14992" s="17"/>
    </row>
    <row r="14993">
      <c r="B14993" s="11">
        <f>IFERROR(__xludf.DUMMYFUNCTION("""COMPUTED_VALUE"""),25036.0)</f>
        <v>25036</v>
      </c>
      <c r="C14993" s="9">
        <f>IFERROR(__xludf.DUMMYFUNCTION("""COMPUTED_VALUE"""),5.55)</f>
        <v>5.55</v>
      </c>
      <c r="H14993" s="17"/>
      <c r="K14993" s="17"/>
      <c r="N14993" s="17"/>
    </row>
    <row r="14994">
      <c r="B14994" s="11">
        <f>IFERROR(__xludf.DUMMYFUNCTION("""COMPUTED_VALUE"""),25035.0)</f>
        <v>25035</v>
      </c>
      <c r="C14994" s="9">
        <f>IFERROR(__xludf.DUMMYFUNCTION("""COMPUTED_VALUE"""),5.57)</f>
        <v>5.57</v>
      </c>
      <c r="H14994" s="17"/>
      <c r="K14994" s="17"/>
      <c r="N14994" s="17"/>
    </row>
    <row r="14995">
      <c r="B14995" s="11">
        <f>IFERROR(__xludf.DUMMYFUNCTION("""COMPUTED_VALUE"""),25034.0)</f>
        <v>25034</v>
      </c>
      <c r="C14995" s="9">
        <f>IFERROR(__xludf.DUMMYFUNCTION("""COMPUTED_VALUE"""),5.56)</f>
        <v>5.56</v>
      </c>
      <c r="H14995" s="17"/>
      <c r="K14995" s="17"/>
      <c r="N14995" s="17"/>
    </row>
    <row r="14996">
      <c r="B14996" s="11">
        <f>IFERROR(__xludf.DUMMYFUNCTION("""COMPUTED_VALUE"""),25031.0)</f>
        <v>25031</v>
      </c>
      <c r="C14996" s="9">
        <f>IFERROR(__xludf.DUMMYFUNCTION("""COMPUTED_VALUE"""),5.53)</f>
        <v>5.53</v>
      </c>
      <c r="H14996" s="17"/>
      <c r="K14996" s="17"/>
      <c r="N14996" s="17"/>
    </row>
    <row r="14997">
      <c r="B14997" s="11">
        <f>IFERROR(__xludf.DUMMYFUNCTION("""COMPUTED_VALUE"""),25030.0)</f>
        <v>25030</v>
      </c>
      <c r="C14997" s="9">
        <f>IFERROR(__xludf.DUMMYFUNCTION("""COMPUTED_VALUE"""),5.52)</f>
        <v>5.52</v>
      </c>
      <c r="H14997" s="17"/>
      <c r="K14997" s="17"/>
      <c r="N14997" s="17"/>
    </row>
    <row r="14998">
      <c r="B14998" s="11">
        <f>IFERROR(__xludf.DUMMYFUNCTION("""COMPUTED_VALUE"""),25029.0)</f>
        <v>25029</v>
      </c>
      <c r="C14998" s="9">
        <f>IFERROR(__xludf.DUMMYFUNCTION("""COMPUTED_VALUE"""),5.52)</f>
        <v>5.52</v>
      </c>
      <c r="H14998" s="17"/>
      <c r="K14998" s="17"/>
      <c r="N14998" s="17"/>
    </row>
    <row r="14999">
      <c r="B14999" s="11">
        <f>IFERROR(__xludf.DUMMYFUNCTION("""COMPUTED_VALUE"""),25028.0)</f>
        <v>25028</v>
      </c>
      <c r="C14999" s="9">
        <f>IFERROR(__xludf.DUMMYFUNCTION("""COMPUTED_VALUE"""),5.51)</f>
        <v>5.51</v>
      </c>
      <c r="H14999" s="17"/>
      <c r="K14999" s="17"/>
      <c r="N14999" s="17"/>
    </row>
    <row r="15000">
      <c r="B15000" s="11">
        <f>IFERROR(__xludf.DUMMYFUNCTION("""COMPUTED_VALUE"""),25027.0)</f>
        <v>25027</v>
      </c>
      <c r="C15000" s="9">
        <f>IFERROR(__xludf.DUMMYFUNCTION("""COMPUTED_VALUE"""),5.53)</f>
        <v>5.53</v>
      </c>
      <c r="H15000" s="17"/>
      <c r="K15000" s="17"/>
      <c r="N15000" s="17"/>
    </row>
    <row r="15001">
      <c r="B15001" s="11">
        <f>IFERROR(__xludf.DUMMYFUNCTION("""COMPUTED_VALUE"""),25024.0)</f>
        <v>25024</v>
      </c>
      <c r="C15001" s="9">
        <f>IFERROR(__xludf.DUMMYFUNCTION("""COMPUTED_VALUE"""),5.56)</f>
        <v>5.56</v>
      </c>
      <c r="H15001" s="17"/>
      <c r="K15001" s="17"/>
      <c r="N15001" s="17"/>
    </row>
    <row r="15002">
      <c r="B15002" s="11">
        <f>IFERROR(__xludf.DUMMYFUNCTION("""COMPUTED_VALUE"""),25023.0)</f>
        <v>25023</v>
      </c>
      <c r="C15002" s="9"/>
      <c r="H15002" s="17"/>
      <c r="K15002" s="17"/>
      <c r="N15002" s="17"/>
    </row>
    <row r="15003">
      <c r="B15003" s="11">
        <f>IFERROR(__xludf.DUMMYFUNCTION("""COMPUTED_VALUE"""),25022.0)</f>
        <v>25022</v>
      </c>
      <c r="C15003" s="9">
        <f>IFERROR(__xludf.DUMMYFUNCTION("""COMPUTED_VALUE"""),5.57)</f>
        <v>5.57</v>
      </c>
      <c r="H15003" s="17"/>
      <c r="K15003" s="17"/>
      <c r="N15003" s="17"/>
    </row>
    <row r="15004">
      <c r="B15004" s="11">
        <f>IFERROR(__xludf.DUMMYFUNCTION("""COMPUTED_VALUE"""),25021.0)</f>
        <v>25021</v>
      </c>
      <c r="C15004" s="9">
        <f>IFERROR(__xludf.DUMMYFUNCTION("""COMPUTED_VALUE"""),5.58)</f>
        <v>5.58</v>
      </c>
      <c r="H15004" s="17"/>
      <c r="K15004" s="17"/>
      <c r="N15004" s="17"/>
    </row>
    <row r="15005">
      <c r="B15005" s="11">
        <f>IFERROR(__xludf.DUMMYFUNCTION("""COMPUTED_VALUE"""),25020.0)</f>
        <v>25020</v>
      </c>
      <c r="C15005" s="9">
        <f>IFERROR(__xludf.DUMMYFUNCTION("""COMPUTED_VALUE"""),5.62)</f>
        <v>5.62</v>
      </c>
      <c r="H15005" s="17"/>
      <c r="K15005" s="17"/>
      <c r="N15005" s="17"/>
    </row>
    <row r="15006">
      <c r="B15006" s="11">
        <f>IFERROR(__xludf.DUMMYFUNCTION("""COMPUTED_VALUE"""),25017.0)</f>
        <v>25017</v>
      </c>
      <c r="C15006" s="9">
        <f>IFERROR(__xludf.DUMMYFUNCTION("""COMPUTED_VALUE"""),5.64)</f>
        <v>5.64</v>
      </c>
      <c r="H15006" s="17"/>
      <c r="K15006" s="17"/>
      <c r="N15006" s="17"/>
    </row>
    <row r="15007">
      <c r="B15007" s="11">
        <f>IFERROR(__xludf.DUMMYFUNCTION("""COMPUTED_VALUE"""),25016.0)</f>
        <v>25016</v>
      </c>
      <c r="C15007" s="9">
        <f>IFERROR(__xludf.DUMMYFUNCTION("""COMPUTED_VALUE"""),5.65)</f>
        <v>5.65</v>
      </c>
      <c r="H15007" s="17"/>
      <c r="K15007" s="17"/>
      <c r="N15007" s="17"/>
    </row>
    <row r="15008">
      <c r="B15008" s="11">
        <f>IFERROR(__xludf.DUMMYFUNCTION("""COMPUTED_VALUE"""),25015.0)</f>
        <v>25015</v>
      </c>
      <c r="C15008" s="9">
        <f>IFERROR(__xludf.DUMMYFUNCTION("""COMPUTED_VALUE"""),5.64)</f>
        <v>5.64</v>
      </c>
      <c r="H15008" s="17"/>
      <c r="K15008" s="17"/>
      <c r="N15008" s="17"/>
    </row>
    <row r="15009">
      <c r="B15009" s="11">
        <f>IFERROR(__xludf.DUMMYFUNCTION("""COMPUTED_VALUE"""),25014.0)</f>
        <v>25014</v>
      </c>
      <c r="C15009" s="9">
        <f>IFERROR(__xludf.DUMMYFUNCTION("""COMPUTED_VALUE"""),5.64)</f>
        <v>5.64</v>
      </c>
      <c r="H15009" s="17"/>
      <c r="K15009" s="17"/>
      <c r="N15009" s="17"/>
    </row>
    <row r="15010">
      <c r="B15010" s="11">
        <f>IFERROR(__xludf.DUMMYFUNCTION("""COMPUTED_VALUE"""),25013.0)</f>
        <v>25013</v>
      </c>
      <c r="C15010" s="9">
        <f>IFERROR(__xludf.DUMMYFUNCTION("""COMPUTED_VALUE"""),5.61)</f>
        <v>5.61</v>
      </c>
      <c r="H15010" s="17"/>
      <c r="K15010" s="17"/>
      <c r="N15010" s="17"/>
    </row>
    <row r="15011">
      <c r="B15011" s="11">
        <f>IFERROR(__xludf.DUMMYFUNCTION("""COMPUTED_VALUE"""),25010.0)</f>
        <v>25010</v>
      </c>
      <c r="C15011" s="9">
        <f>IFERROR(__xludf.DUMMYFUNCTION("""COMPUTED_VALUE"""),5.6)</f>
        <v>5.6</v>
      </c>
      <c r="H15011" s="17"/>
      <c r="K15011" s="17"/>
      <c r="N15011" s="17"/>
    </row>
    <row r="15012">
      <c r="B15012" s="11">
        <f>IFERROR(__xludf.DUMMYFUNCTION("""COMPUTED_VALUE"""),25009.0)</f>
        <v>25009</v>
      </c>
      <c r="C15012" s="9">
        <f>IFERROR(__xludf.DUMMYFUNCTION("""COMPUTED_VALUE"""),5.62)</f>
        <v>5.62</v>
      </c>
      <c r="H15012" s="17"/>
      <c r="K15012" s="17"/>
      <c r="N15012" s="17"/>
    </row>
    <row r="15013">
      <c r="B15013" s="11">
        <f>IFERROR(__xludf.DUMMYFUNCTION("""COMPUTED_VALUE"""),25008.0)</f>
        <v>25008</v>
      </c>
      <c r="C15013" s="9">
        <f>IFERROR(__xludf.DUMMYFUNCTION("""COMPUTED_VALUE"""),5.67)</f>
        <v>5.67</v>
      </c>
      <c r="H15013" s="17"/>
      <c r="K15013" s="17"/>
      <c r="N15013" s="17"/>
    </row>
    <row r="15014">
      <c r="B15014" s="11">
        <f>IFERROR(__xludf.DUMMYFUNCTION("""COMPUTED_VALUE"""),25007.0)</f>
        <v>25007</v>
      </c>
      <c r="C15014" s="9">
        <f>IFERROR(__xludf.DUMMYFUNCTION("""COMPUTED_VALUE"""),5.71)</f>
        <v>5.71</v>
      </c>
      <c r="H15014" s="17"/>
      <c r="K15014" s="17"/>
      <c r="N15014" s="17"/>
    </row>
    <row r="15015">
      <c r="B15015" s="11">
        <f>IFERROR(__xludf.DUMMYFUNCTION("""COMPUTED_VALUE"""),25006.0)</f>
        <v>25006</v>
      </c>
      <c r="C15015" s="9">
        <f>IFERROR(__xludf.DUMMYFUNCTION("""COMPUTED_VALUE"""),5.71)</f>
        <v>5.71</v>
      </c>
      <c r="H15015" s="17"/>
      <c r="K15015" s="17"/>
      <c r="N15015" s="17"/>
    </row>
    <row r="15016">
      <c r="B15016" s="11">
        <f>IFERROR(__xludf.DUMMYFUNCTION("""COMPUTED_VALUE"""),25003.0)</f>
        <v>25003</v>
      </c>
      <c r="C15016" s="9">
        <f>IFERROR(__xludf.DUMMYFUNCTION("""COMPUTED_VALUE"""),5.72)</f>
        <v>5.72</v>
      </c>
      <c r="H15016" s="17"/>
      <c r="K15016" s="17"/>
      <c r="N15016" s="17"/>
    </row>
    <row r="15017">
      <c r="B15017" s="11">
        <f>IFERROR(__xludf.DUMMYFUNCTION("""COMPUTED_VALUE"""),25002.0)</f>
        <v>25002</v>
      </c>
      <c r="C15017" s="9">
        <f>IFERROR(__xludf.DUMMYFUNCTION("""COMPUTED_VALUE"""),5.76)</f>
        <v>5.76</v>
      </c>
      <c r="H15017" s="17"/>
      <c r="K15017" s="17"/>
      <c r="N15017" s="17"/>
    </row>
    <row r="15018">
      <c r="B15018" s="11">
        <f>IFERROR(__xludf.DUMMYFUNCTION("""COMPUTED_VALUE"""),25001.0)</f>
        <v>25001</v>
      </c>
      <c r="C15018" s="9">
        <f>IFERROR(__xludf.DUMMYFUNCTION("""COMPUTED_VALUE"""),5.77)</f>
        <v>5.77</v>
      </c>
      <c r="H15018" s="17"/>
      <c r="K15018" s="17"/>
      <c r="N15018" s="17"/>
    </row>
    <row r="15019">
      <c r="B15019" s="11">
        <f>IFERROR(__xludf.DUMMYFUNCTION("""COMPUTED_VALUE"""),25000.0)</f>
        <v>25000</v>
      </c>
      <c r="C15019" s="9">
        <f>IFERROR(__xludf.DUMMYFUNCTION("""COMPUTED_VALUE"""),5.79)</f>
        <v>5.79</v>
      </c>
      <c r="H15019" s="17"/>
      <c r="K15019" s="17"/>
      <c r="N15019" s="17"/>
    </row>
    <row r="15020">
      <c r="B15020" s="11">
        <f>IFERROR(__xludf.DUMMYFUNCTION("""COMPUTED_VALUE"""),24999.0)</f>
        <v>24999</v>
      </c>
      <c r="C15020" s="9">
        <f>IFERROR(__xludf.DUMMYFUNCTION("""COMPUTED_VALUE"""),5.8)</f>
        <v>5.8</v>
      </c>
      <c r="H15020" s="17"/>
      <c r="K15020" s="17"/>
      <c r="N15020" s="17"/>
    </row>
    <row r="15021">
      <c r="B15021" s="11">
        <f>IFERROR(__xludf.DUMMYFUNCTION("""COMPUTED_VALUE"""),24996.0)</f>
        <v>24996</v>
      </c>
      <c r="C15021" s="9">
        <f>IFERROR(__xludf.DUMMYFUNCTION("""COMPUTED_VALUE"""),5.82)</f>
        <v>5.82</v>
      </c>
      <c r="H15021" s="17"/>
      <c r="K15021" s="17"/>
      <c r="N15021" s="17"/>
    </row>
    <row r="15022">
      <c r="B15022" s="11">
        <f>IFERROR(__xludf.DUMMYFUNCTION("""COMPUTED_VALUE"""),24995.0)</f>
        <v>24995</v>
      </c>
      <c r="C15022" s="9">
        <f>IFERROR(__xludf.DUMMYFUNCTION("""COMPUTED_VALUE"""),5.83)</f>
        <v>5.83</v>
      </c>
      <c r="H15022" s="17"/>
      <c r="K15022" s="17"/>
      <c r="N15022" s="17"/>
    </row>
    <row r="15023">
      <c r="B15023" s="11">
        <f>IFERROR(__xludf.DUMMYFUNCTION("""COMPUTED_VALUE"""),24994.0)</f>
        <v>24994</v>
      </c>
      <c r="C15023" s="9">
        <f>IFERROR(__xludf.DUMMYFUNCTION("""COMPUTED_VALUE"""),5.81)</f>
        <v>5.81</v>
      </c>
      <c r="H15023" s="17"/>
      <c r="K15023" s="17"/>
      <c r="N15023" s="17"/>
    </row>
    <row r="15024">
      <c r="B15024" s="11">
        <f>IFERROR(__xludf.DUMMYFUNCTION("""COMPUTED_VALUE"""),24993.0)</f>
        <v>24993</v>
      </c>
      <c r="C15024" s="9">
        <f>IFERROR(__xludf.DUMMYFUNCTION("""COMPUTED_VALUE"""),5.78)</f>
        <v>5.78</v>
      </c>
      <c r="H15024" s="17"/>
      <c r="K15024" s="17"/>
      <c r="N15024" s="17"/>
    </row>
    <row r="15025">
      <c r="B15025" s="11">
        <f>IFERROR(__xludf.DUMMYFUNCTION("""COMPUTED_VALUE"""),24992.0)</f>
        <v>24992</v>
      </c>
      <c r="C15025" s="9">
        <f>IFERROR(__xludf.DUMMYFUNCTION("""COMPUTED_VALUE"""),5.79)</f>
        <v>5.79</v>
      </c>
      <c r="H15025" s="17"/>
      <c r="K15025" s="17"/>
      <c r="N15025" s="17"/>
    </row>
    <row r="15026">
      <c r="B15026" s="11">
        <f>IFERROR(__xludf.DUMMYFUNCTION("""COMPUTED_VALUE"""),24989.0)</f>
        <v>24989</v>
      </c>
      <c r="C15026" s="9">
        <f>IFERROR(__xludf.DUMMYFUNCTION("""COMPUTED_VALUE"""),5.86)</f>
        <v>5.86</v>
      </c>
      <c r="H15026" s="17"/>
      <c r="K15026" s="17"/>
      <c r="N15026" s="17"/>
    </row>
    <row r="15027">
      <c r="B15027" s="11">
        <f>IFERROR(__xludf.DUMMYFUNCTION("""COMPUTED_VALUE"""),24988.0)</f>
        <v>24988</v>
      </c>
      <c r="C15027" s="9"/>
      <c r="H15027" s="17"/>
      <c r="K15027" s="17"/>
      <c r="N15027" s="17"/>
    </row>
    <row r="15028">
      <c r="B15028" s="11">
        <f>IFERROR(__xludf.DUMMYFUNCTION("""COMPUTED_VALUE"""),24987.0)</f>
        <v>24987</v>
      </c>
      <c r="C15028" s="9">
        <f>IFERROR(__xludf.DUMMYFUNCTION("""COMPUTED_VALUE"""),5.95)</f>
        <v>5.95</v>
      </c>
      <c r="H15028" s="17"/>
      <c r="K15028" s="17"/>
      <c r="N15028" s="17"/>
    </row>
    <row r="15029">
      <c r="B15029" s="11">
        <f>IFERROR(__xludf.DUMMYFUNCTION("""COMPUTED_VALUE"""),24986.0)</f>
        <v>24986</v>
      </c>
      <c r="C15029" s="9">
        <f>IFERROR(__xludf.DUMMYFUNCTION("""COMPUTED_VALUE"""),5.94)</f>
        <v>5.94</v>
      </c>
      <c r="H15029" s="17"/>
      <c r="K15029" s="17"/>
      <c r="N15029" s="17"/>
    </row>
    <row r="15030">
      <c r="B15030" s="11">
        <f>IFERROR(__xludf.DUMMYFUNCTION("""COMPUTED_VALUE"""),24985.0)</f>
        <v>24985</v>
      </c>
      <c r="C15030" s="9">
        <f>IFERROR(__xludf.DUMMYFUNCTION("""COMPUTED_VALUE"""),5.92)</f>
        <v>5.92</v>
      </c>
      <c r="H15030" s="17"/>
      <c r="K15030" s="17"/>
      <c r="N15030" s="17"/>
    </row>
    <row r="15031">
      <c r="B15031" s="11">
        <f>IFERROR(__xludf.DUMMYFUNCTION("""COMPUTED_VALUE"""),24982.0)</f>
        <v>24982</v>
      </c>
      <c r="C15031" s="9">
        <f>IFERROR(__xludf.DUMMYFUNCTION("""COMPUTED_VALUE"""),5.96)</f>
        <v>5.96</v>
      </c>
      <c r="H15031" s="17"/>
      <c r="K15031" s="17"/>
      <c r="N15031" s="17"/>
    </row>
    <row r="15032">
      <c r="B15032" s="11">
        <f>IFERROR(__xludf.DUMMYFUNCTION("""COMPUTED_VALUE"""),24981.0)</f>
        <v>24981</v>
      </c>
      <c r="C15032" s="9">
        <f>IFERROR(__xludf.DUMMYFUNCTION("""COMPUTED_VALUE"""),5.98)</f>
        <v>5.98</v>
      </c>
      <c r="H15032" s="17"/>
      <c r="K15032" s="17"/>
      <c r="N15032" s="17"/>
    </row>
    <row r="15033">
      <c r="B15033" s="11">
        <f>IFERROR(__xludf.DUMMYFUNCTION("""COMPUTED_VALUE"""),24980.0)</f>
        <v>24980</v>
      </c>
      <c r="C15033" s="9">
        <f>IFERROR(__xludf.DUMMYFUNCTION("""COMPUTED_VALUE"""),6.02)</f>
        <v>6.02</v>
      </c>
      <c r="H15033" s="17"/>
      <c r="K15033" s="17"/>
      <c r="N15033" s="17"/>
    </row>
    <row r="15034">
      <c r="B15034" s="11">
        <f>IFERROR(__xludf.DUMMYFUNCTION("""COMPUTED_VALUE"""),24979.0)</f>
        <v>24979</v>
      </c>
      <c r="C15034" s="9">
        <f>IFERROR(__xludf.DUMMYFUNCTION("""COMPUTED_VALUE"""),6.02)</f>
        <v>6.02</v>
      </c>
      <c r="H15034" s="17"/>
      <c r="K15034" s="17"/>
      <c r="N15034" s="17"/>
    </row>
    <row r="15035">
      <c r="B15035" s="11">
        <f>IFERROR(__xludf.DUMMYFUNCTION("""COMPUTED_VALUE"""),24978.0)</f>
        <v>24978</v>
      </c>
      <c r="C15035" s="9">
        <f>IFERROR(__xludf.DUMMYFUNCTION("""COMPUTED_VALUE"""),5.96)</f>
        <v>5.96</v>
      </c>
      <c r="H15035" s="17"/>
      <c r="K15035" s="17"/>
      <c r="N15035" s="17"/>
    </row>
    <row r="15036">
      <c r="B15036" s="11">
        <f>IFERROR(__xludf.DUMMYFUNCTION("""COMPUTED_VALUE"""),24975.0)</f>
        <v>24975</v>
      </c>
      <c r="C15036" s="9">
        <f>IFERROR(__xludf.DUMMYFUNCTION("""COMPUTED_VALUE"""),5.92)</f>
        <v>5.92</v>
      </c>
      <c r="H15036" s="17"/>
      <c r="K15036" s="17"/>
      <c r="N15036" s="17"/>
    </row>
    <row r="15037">
      <c r="B15037" s="11">
        <f>IFERROR(__xludf.DUMMYFUNCTION("""COMPUTED_VALUE"""),24974.0)</f>
        <v>24974</v>
      </c>
      <c r="C15037" s="9">
        <f>IFERROR(__xludf.DUMMYFUNCTION("""COMPUTED_VALUE"""),5.9)</f>
        <v>5.9</v>
      </c>
      <c r="H15037" s="17"/>
      <c r="K15037" s="17"/>
      <c r="N15037" s="17"/>
    </row>
    <row r="15038">
      <c r="B15038" s="11">
        <f>IFERROR(__xludf.DUMMYFUNCTION("""COMPUTED_VALUE"""),24973.0)</f>
        <v>24973</v>
      </c>
      <c r="C15038" s="9">
        <f>IFERROR(__xludf.DUMMYFUNCTION("""COMPUTED_VALUE"""),5.85)</f>
        <v>5.85</v>
      </c>
      <c r="H15038" s="17"/>
      <c r="K15038" s="17"/>
      <c r="N15038" s="17"/>
    </row>
    <row r="15039">
      <c r="B15039" s="11">
        <f>IFERROR(__xludf.DUMMYFUNCTION("""COMPUTED_VALUE"""),24972.0)</f>
        <v>24972</v>
      </c>
      <c r="C15039" s="9">
        <f>IFERROR(__xludf.DUMMYFUNCTION("""COMPUTED_VALUE"""),5.82)</f>
        <v>5.82</v>
      </c>
      <c r="H15039" s="17"/>
      <c r="K15039" s="17"/>
      <c r="N15039" s="17"/>
    </row>
    <row r="15040">
      <c r="B15040" s="11">
        <f>IFERROR(__xludf.DUMMYFUNCTION("""COMPUTED_VALUE"""),24971.0)</f>
        <v>24971</v>
      </c>
      <c r="C15040" s="9">
        <f>IFERROR(__xludf.DUMMYFUNCTION("""COMPUTED_VALUE"""),5.79)</f>
        <v>5.79</v>
      </c>
      <c r="H15040" s="17"/>
      <c r="K15040" s="17"/>
      <c r="N15040" s="17"/>
    </row>
    <row r="15041">
      <c r="B15041" s="11">
        <f>IFERROR(__xludf.DUMMYFUNCTION("""COMPUTED_VALUE"""),24968.0)</f>
        <v>24968</v>
      </c>
      <c r="C15041" s="9">
        <f>IFERROR(__xludf.DUMMYFUNCTION("""COMPUTED_VALUE"""),5.79)</f>
        <v>5.79</v>
      </c>
      <c r="H15041" s="17"/>
      <c r="K15041" s="17"/>
      <c r="N15041" s="17"/>
    </row>
    <row r="15042">
      <c r="B15042" s="11">
        <f>IFERROR(__xludf.DUMMYFUNCTION("""COMPUTED_VALUE"""),24967.0)</f>
        <v>24967</v>
      </c>
      <c r="C15042" s="9">
        <f>IFERROR(__xludf.DUMMYFUNCTION("""COMPUTED_VALUE"""),5.79)</f>
        <v>5.79</v>
      </c>
      <c r="H15042" s="17"/>
      <c r="K15042" s="17"/>
      <c r="N15042" s="17"/>
    </row>
    <row r="15043">
      <c r="B15043" s="11">
        <f>IFERROR(__xludf.DUMMYFUNCTION("""COMPUTED_VALUE"""),24966.0)</f>
        <v>24966</v>
      </c>
      <c r="C15043" s="9">
        <f>IFERROR(__xludf.DUMMYFUNCTION("""COMPUTED_VALUE"""),5.8)</f>
        <v>5.8</v>
      </c>
      <c r="H15043" s="17"/>
      <c r="K15043" s="17"/>
      <c r="N15043" s="17"/>
    </row>
    <row r="15044">
      <c r="B15044" s="11">
        <f>IFERROR(__xludf.DUMMYFUNCTION("""COMPUTED_VALUE"""),24965.0)</f>
        <v>24965</v>
      </c>
      <c r="C15044" s="9">
        <f>IFERROR(__xludf.DUMMYFUNCTION("""COMPUTED_VALUE"""),5.79)</f>
        <v>5.79</v>
      </c>
      <c r="H15044" s="17"/>
      <c r="K15044" s="17"/>
      <c r="N15044" s="17"/>
    </row>
    <row r="15045">
      <c r="B15045" s="11">
        <f>IFERROR(__xludf.DUMMYFUNCTION("""COMPUTED_VALUE"""),24964.0)</f>
        <v>24964</v>
      </c>
      <c r="C15045" s="9">
        <f>IFERROR(__xludf.DUMMYFUNCTION("""COMPUTED_VALUE"""),5.78)</f>
        <v>5.78</v>
      </c>
      <c r="H15045" s="17"/>
      <c r="K15045" s="17"/>
      <c r="N15045" s="17"/>
    </row>
    <row r="15046">
      <c r="B15046" s="11">
        <f>IFERROR(__xludf.DUMMYFUNCTION("""COMPUTED_VALUE"""),24961.0)</f>
        <v>24961</v>
      </c>
      <c r="C15046" s="9">
        <f>IFERROR(__xludf.DUMMYFUNCTION("""COMPUTED_VALUE"""),5.8)</f>
        <v>5.8</v>
      </c>
      <c r="H15046" s="17"/>
      <c r="K15046" s="17"/>
      <c r="N15046" s="17"/>
    </row>
    <row r="15047">
      <c r="B15047" s="11">
        <f>IFERROR(__xludf.DUMMYFUNCTION("""COMPUTED_VALUE"""),24960.0)</f>
        <v>24960</v>
      </c>
      <c r="C15047" s="9">
        <f>IFERROR(__xludf.DUMMYFUNCTION("""COMPUTED_VALUE"""),5.76)</f>
        <v>5.76</v>
      </c>
      <c r="H15047" s="17"/>
      <c r="K15047" s="17"/>
      <c r="N15047" s="17"/>
    </row>
    <row r="15048">
      <c r="B15048" s="11">
        <f>IFERROR(__xludf.DUMMYFUNCTION("""COMPUTED_VALUE"""),24959.0)</f>
        <v>24959</v>
      </c>
      <c r="C15048" s="9">
        <f>IFERROR(__xludf.DUMMYFUNCTION("""COMPUTED_VALUE"""),5.73)</f>
        <v>5.73</v>
      </c>
      <c r="H15048" s="17"/>
      <c r="K15048" s="17"/>
      <c r="N15048" s="17"/>
    </row>
    <row r="15049">
      <c r="B15049" s="11">
        <f>IFERROR(__xludf.DUMMYFUNCTION("""COMPUTED_VALUE"""),24958.0)</f>
        <v>24958</v>
      </c>
      <c r="C15049" s="9">
        <f>IFERROR(__xludf.DUMMYFUNCTION("""COMPUTED_VALUE"""),5.74)</f>
        <v>5.74</v>
      </c>
      <c r="H15049" s="17"/>
      <c r="K15049" s="17"/>
      <c r="N15049" s="17"/>
    </row>
    <row r="15050">
      <c r="B15050" s="11">
        <f>IFERROR(__xludf.DUMMYFUNCTION("""COMPUTED_VALUE"""),24957.0)</f>
        <v>24957</v>
      </c>
      <c r="C15050" s="9">
        <f>IFERROR(__xludf.DUMMYFUNCTION("""COMPUTED_VALUE"""),5.73)</f>
        <v>5.73</v>
      </c>
      <c r="H15050" s="17"/>
      <c r="K15050" s="17"/>
      <c r="N15050" s="17"/>
    </row>
    <row r="15051">
      <c r="B15051" s="11">
        <f>IFERROR(__xludf.DUMMYFUNCTION("""COMPUTED_VALUE"""),24954.0)</f>
        <v>24954</v>
      </c>
      <c r="C15051" s="9">
        <f>IFERROR(__xludf.DUMMYFUNCTION("""COMPUTED_VALUE"""),5.71)</f>
        <v>5.71</v>
      </c>
      <c r="H15051" s="17"/>
      <c r="K15051" s="17"/>
      <c r="N15051" s="17"/>
    </row>
    <row r="15052">
      <c r="B15052" s="11">
        <f>IFERROR(__xludf.DUMMYFUNCTION("""COMPUTED_VALUE"""),24953.0)</f>
        <v>24953</v>
      </c>
      <c r="C15052" s="9">
        <f>IFERROR(__xludf.DUMMYFUNCTION("""COMPUTED_VALUE"""),5.72)</f>
        <v>5.72</v>
      </c>
      <c r="H15052" s="17"/>
      <c r="K15052" s="17"/>
      <c r="N15052" s="17"/>
    </row>
    <row r="15053">
      <c r="B15053" s="11">
        <f>IFERROR(__xludf.DUMMYFUNCTION("""COMPUTED_VALUE"""),24952.0)</f>
        <v>24952</v>
      </c>
      <c r="C15053" s="9">
        <f>IFERROR(__xludf.DUMMYFUNCTION("""COMPUTED_VALUE"""),5.72)</f>
        <v>5.72</v>
      </c>
      <c r="H15053" s="17"/>
      <c r="K15053" s="17"/>
      <c r="N15053" s="17"/>
    </row>
    <row r="15054">
      <c r="B15054" s="11">
        <f>IFERROR(__xludf.DUMMYFUNCTION("""COMPUTED_VALUE"""),24951.0)</f>
        <v>24951</v>
      </c>
      <c r="C15054" s="9">
        <f>IFERROR(__xludf.DUMMYFUNCTION("""COMPUTED_VALUE"""),5.73)</f>
        <v>5.73</v>
      </c>
      <c r="H15054" s="17"/>
      <c r="K15054" s="17"/>
      <c r="N15054" s="17"/>
    </row>
    <row r="15055">
      <c r="B15055" s="11">
        <f>IFERROR(__xludf.DUMMYFUNCTION("""COMPUTED_VALUE"""),24950.0)</f>
        <v>24950</v>
      </c>
      <c r="C15055" s="9">
        <f>IFERROR(__xludf.DUMMYFUNCTION("""COMPUTED_VALUE"""),5.78)</f>
        <v>5.78</v>
      </c>
      <c r="H15055" s="17"/>
      <c r="K15055" s="17"/>
      <c r="N15055" s="17"/>
    </row>
    <row r="15056">
      <c r="B15056" s="11">
        <f>IFERROR(__xludf.DUMMYFUNCTION("""COMPUTED_VALUE"""),24947.0)</f>
        <v>24947</v>
      </c>
      <c r="C15056" s="9">
        <f>IFERROR(__xludf.DUMMYFUNCTION("""COMPUTED_VALUE"""),5.76)</f>
        <v>5.76</v>
      </c>
      <c r="H15056" s="17"/>
      <c r="K15056" s="17"/>
      <c r="N15056" s="17"/>
    </row>
    <row r="15057">
      <c r="B15057" s="11">
        <f>IFERROR(__xludf.DUMMYFUNCTION("""COMPUTED_VALUE"""),24946.0)</f>
        <v>24946</v>
      </c>
      <c r="C15057" s="9">
        <f>IFERROR(__xludf.DUMMYFUNCTION("""COMPUTED_VALUE"""),5.64)</f>
        <v>5.64</v>
      </c>
      <c r="H15057" s="17"/>
      <c r="K15057" s="17"/>
      <c r="N15057" s="17"/>
    </row>
    <row r="15058">
      <c r="B15058" s="11">
        <f>IFERROR(__xludf.DUMMYFUNCTION("""COMPUTED_VALUE"""),24945.0)</f>
        <v>24945</v>
      </c>
      <c r="C15058" s="9">
        <f>IFERROR(__xludf.DUMMYFUNCTION("""COMPUTED_VALUE"""),5.62)</f>
        <v>5.62</v>
      </c>
      <c r="H15058" s="17"/>
      <c r="K15058" s="17"/>
      <c r="N15058" s="17"/>
    </row>
    <row r="15059">
      <c r="B15059" s="11">
        <f>IFERROR(__xludf.DUMMYFUNCTION("""COMPUTED_VALUE"""),24944.0)</f>
        <v>24944</v>
      </c>
      <c r="C15059" s="9">
        <f>IFERROR(__xludf.DUMMYFUNCTION("""COMPUTED_VALUE"""),5.62)</f>
        <v>5.62</v>
      </c>
      <c r="H15059" s="17"/>
      <c r="K15059" s="17"/>
      <c r="N15059" s="17"/>
    </row>
    <row r="15060">
      <c r="B15060" s="11">
        <f>IFERROR(__xludf.DUMMYFUNCTION("""COMPUTED_VALUE"""),24943.0)</f>
        <v>24943</v>
      </c>
      <c r="C15060" s="9">
        <f>IFERROR(__xludf.DUMMYFUNCTION("""COMPUTED_VALUE"""),5.6)</f>
        <v>5.6</v>
      </c>
      <c r="H15060" s="17"/>
      <c r="K15060" s="17"/>
      <c r="N15060" s="17"/>
    </row>
    <row r="15061">
      <c r="B15061" s="11">
        <f>IFERROR(__xludf.DUMMYFUNCTION("""COMPUTED_VALUE"""),24940.0)</f>
        <v>24940</v>
      </c>
      <c r="C15061" s="9"/>
      <c r="H15061" s="17"/>
      <c r="K15061" s="17"/>
      <c r="N15061" s="17"/>
    </row>
    <row r="15062">
      <c r="B15062" s="11">
        <f>IFERROR(__xludf.DUMMYFUNCTION("""COMPUTED_VALUE"""),24939.0)</f>
        <v>24939</v>
      </c>
      <c r="C15062" s="9">
        <f>IFERROR(__xludf.DUMMYFUNCTION("""COMPUTED_VALUE"""),5.54)</f>
        <v>5.54</v>
      </c>
      <c r="H15062" s="17"/>
      <c r="K15062" s="17"/>
      <c r="N15062" s="17"/>
    </row>
    <row r="15063">
      <c r="B15063" s="11">
        <f>IFERROR(__xludf.DUMMYFUNCTION("""COMPUTED_VALUE"""),24938.0)</f>
        <v>24938</v>
      </c>
      <c r="C15063" s="9">
        <f>IFERROR(__xludf.DUMMYFUNCTION("""COMPUTED_VALUE"""),5.53)</f>
        <v>5.53</v>
      </c>
      <c r="H15063" s="17"/>
      <c r="K15063" s="17"/>
      <c r="N15063" s="17"/>
    </row>
    <row r="15064">
      <c r="B15064" s="11">
        <f>IFERROR(__xludf.DUMMYFUNCTION("""COMPUTED_VALUE"""),24937.0)</f>
        <v>24937</v>
      </c>
      <c r="C15064" s="9"/>
      <c r="H15064" s="17"/>
      <c r="K15064" s="17"/>
      <c r="N15064" s="17"/>
    </row>
    <row r="15065">
      <c r="B15065" s="11">
        <f>IFERROR(__xludf.DUMMYFUNCTION("""COMPUTED_VALUE"""),24936.0)</f>
        <v>24936</v>
      </c>
      <c r="C15065" s="9">
        <f>IFERROR(__xludf.DUMMYFUNCTION("""COMPUTED_VALUE"""),5.54)</f>
        <v>5.54</v>
      </c>
      <c r="H15065" s="17"/>
      <c r="K15065" s="17"/>
      <c r="N15065" s="17"/>
    </row>
    <row r="15066">
      <c r="B15066" s="11">
        <f>IFERROR(__xludf.DUMMYFUNCTION("""COMPUTED_VALUE"""),24933.0)</f>
        <v>24933</v>
      </c>
      <c r="C15066" s="9">
        <f>IFERROR(__xludf.DUMMYFUNCTION("""COMPUTED_VALUE"""),5.52)</f>
        <v>5.52</v>
      </c>
      <c r="H15066" s="17"/>
      <c r="K15066" s="17"/>
      <c r="N15066" s="17"/>
    </row>
    <row r="15067">
      <c r="B15067" s="11">
        <f>IFERROR(__xludf.DUMMYFUNCTION("""COMPUTED_VALUE"""),24932.0)</f>
        <v>24932</v>
      </c>
      <c r="C15067" s="9">
        <f>IFERROR(__xludf.DUMMYFUNCTION("""COMPUTED_VALUE"""),5.52)</f>
        <v>5.52</v>
      </c>
      <c r="H15067" s="17"/>
      <c r="K15067" s="17"/>
      <c r="N15067" s="17"/>
    </row>
    <row r="15068">
      <c r="B15068" s="11">
        <f>IFERROR(__xludf.DUMMYFUNCTION("""COMPUTED_VALUE"""),24931.0)</f>
        <v>24931</v>
      </c>
      <c r="C15068" s="9">
        <f>IFERROR(__xludf.DUMMYFUNCTION("""COMPUTED_VALUE"""),5.49)</f>
        <v>5.49</v>
      </c>
      <c r="H15068" s="17"/>
      <c r="K15068" s="17"/>
      <c r="N15068" s="17"/>
    </row>
    <row r="15069">
      <c r="B15069" s="11">
        <f>IFERROR(__xludf.DUMMYFUNCTION("""COMPUTED_VALUE"""),24930.0)</f>
        <v>24930</v>
      </c>
      <c r="C15069" s="9">
        <f>IFERROR(__xludf.DUMMYFUNCTION("""COMPUTED_VALUE"""),5.62)</f>
        <v>5.62</v>
      </c>
      <c r="H15069" s="17"/>
      <c r="K15069" s="17"/>
      <c r="N15069" s="17"/>
    </row>
    <row r="15070">
      <c r="B15070" s="11">
        <f>IFERROR(__xludf.DUMMYFUNCTION("""COMPUTED_VALUE"""),24929.0)</f>
        <v>24929</v>
      </c>
      <c r="C15070" s="9">
        <f>IFERROR(__xludf.DUMMYFUNCTION("""COMPUTED_VALUE"""),5.64)</f>
        <v>5.64</v>
      </c>
      <c r="H15070" s="17"/>
      <c r="K15070" s="17"/>
      <c r="N15070" s="17"/>
    </row>
    <row r="15071">
      <c r="B15071" s="11">
        <f>IFERROR(__xludf.DUMMYFUNCTION("""COMPUTED_VALUE"""),24926.0)</f>
        <v>24926</v>
      </c>
      <c r="C15071" s="9">
        <f>IFERROR(__xludf.DUMMYFUNCTION("""COMPUTED_VALUE"""),5.76)</f>
        <v>5.76</v>
      </c>
      <c r="H15071" s="17"/>
      <c r="K15071" s="17"/>
      <c r="N15071" s="17"/>
    </row>
    <row r="15072">
      <c r="B15072" s="11">
        <f>IFERROR(__xludf.DUMMYFUNCTION("""COMPUTED_VALUE"""),24925.0)</f>
        <v>24925</v>
      </c>
      <c r="C15072" s="9">
        <f>IFERROR(__xludf.DUMMYFUNCTION("""COMPUTED_VALUE"""),5.78)</f>
        <v>5.78</v>
      </c>
      <c r="H15072" s="17"/>
      <c r="K15072" s="17"/>
      <c r="N15072" s="17"/>
    </row>
    <row r="15073">
      <c r="B15073" s="11">
        <f>IFERROR(__xludf.DUMMYFUNCTION("""COMPUTED_VALUE"""),24924.0)</f>
        <v>24924</v>
      </c>
      <c r="C15073" s="9">
        <f>IFERROR(__xludf.DUMMYFUNCTION("""COMPUTED_VALUE"""),5.78)</f>
        <v>5.78</v>
      </c>
      <c r="H15073" s="17"/>
      <c r="K15073" s="17"/>
      <c r="N15073" s="17"/>
    </row>
    <row r="15074">
      <c r="B15074" s="11">
        <f>IFERROR(__xludf.DUMMYFUNCTION("""COMPUTED_VALUE"""),24923.0)</f>
        <v>24923</v>
      </c>
      <c r="C15074" s="9">
        <f>IFERROR(__xludf.DUMMYFUNCTION("""COMPUTED_VALUE"""),5.78)</f>
        <v>5.78</v>
      </c>
      <c r="H15074" s="17"/>
      <c r="K15074" s="17"/>
      <c r="N15074" s="17"/>
    </row>
    <row r="15075">
      <c r="B15075" s="11">
        <f>IFERROR(__xludf.DUMMYFUNCTION("""COMPUTED_VALUE"""),24922.0)</f>
        <v>24922</v>
      </c>
      <c r="C15075" s="9">
        <f>IFERROR(__xludf.DUMMYFUNCTION("""COMPUTED_VALUE"""),5.74)</f>
        <v>5.74</v>
      </c>
      <c r="H15075" s="17"/>
      <c r="K15075" s="17"/>
      <c r="N15075" s="17"/>
    </row>
    <row r="15076">
      <c r="B15076" s="11">
        <f>IFERROR(__xludf.DUMMYFUNCTION("""COMPUTED_VALUE"""),24919.0)</f>
        <v>24919</v>
      </c>
      <c r="C15076" s="9">
        <f>IFERROR(__xludf.DUMMYFUNCTION("""COMPUTED_VALUE"""),5.74)</f>
        <v>5.74</v>
      </c>
      <c r="H15076" s="17"/>
      <c r="K15076" s="17"/>
      <c r="N15076" s="17"/>
    </row>
    <row r="15077">
      <c r="B15077" s="11">
        <f>IFERROR(__xludf.DUMMYFUNCTION("""COMPUTED_VALUE"""),24918.0)</f>
        <v>24918</v>
      </c>
      <c r="C15077" s="9">
        <f>IFERROR(__xludf.DUMMYFUNCTION("""COMPUTED_VALUE"""),5.76)</f>
        <v>5.76</v>
      </c>
      <c r="H15077" s="17"/>
      <c r="K15077" s="17"/>
      <c r="N15077" s="17"/>
    </row>
    <row r="15078">
      <c r="B15078" s="11">
        <f>IFERROR(__xludf.DUMMYFUNCTION("""COMPUTED_VALUE"""),24917.0)</f>
        <v>24917</v>
      </c>
      <c r="C15078" s="9">
        <f>IFERROR(__xludf.DUMMYFUNCTION("""COMPUTED_VALUE"""),5.73)</f>
        <v>5.73</v>
      </c>
      <c r="H15078" s="17"/>
      <c r="K15078" s="17"/>
      <c r="N15078" s="17"/>
    </row>
    <row r="15079">
      <c r="B15079" s="11">
        <f>IFERROR(__xludf.DUMMYFUNCTION("""COMPUTED_VALUE"""),24916.0)</f>
        <v>24916</v>
      </c>
      <c r="C15079" s="9">
        <f>IFERROR(__xludf.DUMMYFUNCTION("""COMPUTED_VALUE"""),5.77)</f>
        <v>5.77</v>
      </c>
      <c r="H15079" s="17"/>
      <c r="K15079" s="17"/>
      <c r="N15079" s="17"/>
    </row>
    <row r="15080">
      <c r="B15080" s="11">
        <f>IFERROR(__xludf.DUMMYFUNCTION("""COMPUTED_VALUE"""),24915.0)</f>
        <v>24915</v>
      </c>
      <c r="C15080" s="9">
        <f>IFERROR(__xludf.DUMMYFUNCTION("""COMPUTED_VALUE"""),5.76)</f>
        <v>5.76</v>
      </c>
      <c r="H15080" s="17"/>
      <c r="K15080" s="17"/>
      <c r="N15080" s="17"/>
    </row>
    <row r="15081">
      <c r="B15081" s="11">
        <f>IFERROR(__xludf.DUMMYFUNCTION("""COMPUTED_VALUE"""),24912.0)</f>
        <v>24912</v>
      </c>
      <c r="C15081" s="9">
        <f>IFERROR(__xludf.DUMMYFUNCTION("""COMPUTED_VALUE"""),5.84)</f>
        <v>5.84</v>
      </c>
      <c r="H15081" s="17"/>
      <c r="K15081" s="17"/>
      <c r="N15081" s="17"/>
    </row>
    <row r="15082">
      <c r="B15082" s="11">
        <f>IFERROR(__xludf.DUMMYFUNCTION("""COMPUTED_VALUE"""),24911.0)</f>
        <v>24911</v>
      </c>
      <c r="C15082" s="9">
        <f>IFERROR(__xludf.DUMMYFUNCTION("""COMPUTED_VALUE"""),5.95)</f>
        <v>5.95</v>
      </c>
      <c r="H15082" s="17"/>
      <c r="K15082" s="17"/>
      <c r="N15082" s="17"/>
    </row>
    <row r="15083">
      <c r="B15083" s="11">
        <f>IFERROR(__xludf.DUMMYFUNCTION("""COMPUTED_VALUE"""),24910.0)</f>
        <v>24910</v>
      </c>
      <c r="C15083" s="9">
        <f>IFERROR(__xludf.DUMMYFUNCTION("""COMPUTED_VALUE"""),5.86)</f>
        <v>5.86</v>
      </c>
      <c r="H15083" s="17"/>
      <c r="K15083" s="17"/>
      <c r="N15083" s="17"/>
    </row>
    <row r="15084">
      <c r="B15084" s="11">
        <f>IFERROR(__xludf.DUMMYFUNCTION("""COMPUTED_VALUE"""),24909.0)</f>
        <v>24909</v>
      </c>
      <c r="C15084" s="9">
        <f>IFERROR(__xludf.DUMMYFUNCTION("""COMPUTED_VALUE"""),5.79)</f>
        <v>5.79</v>
      </c>
      <c r="H15084" s="17"/>
      <c r="K15084" s="17"/>
      <c r="N15084" s="17"/>
    </row>
    <row r="15085">
      <c r="B15085" s="11">
        <f>IFERROR(__xludf.DUMMYFUNCTION("""COMPUTED_VALUE"""),24908.0)</f>
        <v>24908</v>
      </c>
      <c r="C15085" s="9">
        <f>IFERROR(__xludf.DUMMYFUNCTION("""COMPUTED_VALUE"""),5.75)</f>
        <v>5.75</v>
      </c>
      <c r="H15085" s="17"/>
      <c r="K15085" s="17"/>
      <c r="N15085" s="17"/>
    </row>
    <row r="15086">
      <c r="B15086" s="11">
        <f>IFERROR(__xludf.DUMMYFUNCTION("""COMPUTED_VALUE"""),24905.0)</f>
        <v>24905</v>
      </c>
      <c r="C15086" s="9">
        <f>IFERROR(__xludf.DUMMYFUNCTION("""COMPUTED_VALUE"""),5.75)</f>
        <v>5.75</v>
      </c>
      <c r="H15086" s="17"/>
      <c r="K15086" s="17"/>
      <c r="N15086" s="17"/>
    </row>
    <row r="15087">
      <c r="B15087" s="11">
        <f>IFERROR(__xludf.DUMMYFUNCTION("""COMPUTED_VALUE"""),24904.0)</f>
        <v>24904</v>
      </c>
      <c r="C15087" s="9">
        <f>IFERROR(__xludf.DUMMYFUNCTION("""COMPUTED_VALUE"""),5.67)</f>
        <v>5.67</v>
      </c>
      <c r="H15087" s="17"/>
      <c r="K15087" s="17"/>
      <c r="N15087" s="17"/>
    </row>
    <row r="15088">
      <c r="B15088" s="11">
        <f>IFERROR(__xludf.DUMMYFUNCTION("""COMPUTED_VALUE"""),24903.0)</f>
        <v>24903</v>
      </c>
      <c r="C15088" s="9">
        <f>IFERROR(__xludf.DUMMYFUNCTION("""COMPUTED_VALUE"""),5.61)</f>
        <v>5.61</v>
      </c>
      <c r="H15088" s="17"/>
      <c r="K15088" s="17"/>
      <c r="N15088" s="17"/>
    </row>
    <row r="15089">
      <c r="B15089" s="11">
        <f>IFERROR(__xludf.DUMMYFUNCTION("""COMPUTED_VALUE"""),24902.0)</f>
        <v>24902</v>
      </c>
      <c r="C15089" s="9">
        <f>IFERROR(__xludf.DUMMYFUNCTION("""COMPUTED_VALUE"""),5.59)</f>
        <v>5.59</v>
      </c>
      <c r="H15089" s="17"/>
      <c r="K15089" s="17"/>
      <c r="N15089" s="17"/>
    </row>
    <row r="15090">
      <c r="B15090" s="11">
        <f>IFERROR(__xludf.DUMMYFUNCTION("""COMPUTED_VALUE"""),24901.0)</f>
        <v>24901</v>
      </c>
      <c r="C15090" s="9">
        <f>IFERROR(__xludf.DUMMYFUNCTION("""COMPUTED_VALUE"""),5.57)</f>
        <v>5.57</v>
      </c>
      <c r="H15090" s="17"/>
      <c r="K15090" s="17"/>
      <c r="N15090" s="17"/>
    </row>
    <row r="15091">
      <c r="B15091" s="11">
        <f>IFERROR(__xludf.DUMMYFUNCTION("""COMPUTED_VALUE"""),24898.0)</f>
        <v>24898</v>
      </c>
      <c r="C15091" s="9">
        <f>IFERROR(__xludf.DUMMYFUNCTION("""COMPUTED_VALUE"""),5.56)</f>
        <v>5.56</v>
      </c>
      <c r="H15091" s="17"/>
      <c r="K15091" s="17"/>
      <c r="N15091" s="17"/>
    </row>
    <row r="15092">
      <c r="B15092" s="11">
        <f>IFERROR(__xludf.DUMMYFUNCTION("""COMPUTED_VALUE"""),24897.0)</f>
        <v>24897</v>
      </c>
      <c r="C15092" s="9">
        <f>IFERROR(__xludf.DUMMYFUNCTION("""COMPUTED_VALUE"""),5.56)</f>
        <v>5.56</v>
      </c>
      <c r="H15092" s="17"/>
      <c r="K15092" s="17"/>
      <c r="N15092" s="17"/>
    </row>
    <row r="15093">
      <c r="B15093" s="11">
        <f>IFERROR(__xludf.DUMMYFUNCTION("""COMPUTED_VALUE"""),24896.0)</f>
        <v>24896</v>
      </c>
      <c r="C15093" s="9">
        <f>IFERROR(__xludf.DUMMYFUNCTION("""COMPUTED_VALUE"""),5.57)</f>
        <v>5.57</v>
      </c>
      <c r="H15093" s="17"/>
      <c r="K15093" s="17"/>
      <c r="N15093" s="17"/>
    </row>
    <row r="15094">
      <c r="B15094" s="11">
        <f>IFERROR(__xludf.DUMMYFUNCTION("""COMPUTED_VALUE"""),24895.0)</f>
        <v>24895</v>
      </c>
      <c r="C15094" s="9">
        <f>IFERROR(__xludf.DUMMYFUNCTION("""COMPUTED_VALUE"""),5.58)</f>
        <v>5.58</v>
      </c>
      <c r="H15094" s="17"/>
      <c r="K15094" s="17"/>
      <c r="N15094" s="17"/>
    </row>
    <row r="15095">
      <c r="B15095" s="11">
        <f>IFERROR(__xludf.DUMMYFUNCTION("""COMPUTED_VALUE"""),24894.0)</f>
        <v>24894</v>
      </c>
      <c r="C15095" s="9">
        <f>IFERROR(__xludf.DUMMYFUNCTION("""COMPUTED_VALUE"""),5.58)</f>
        <v>5.58</v>
      </c>
      <c r="H15095" s="17"/>
      <c r="K15095" s="17"/>
      <c r="N15095" s="17"/>
    </row>
    <row r="15096">
      <c r="B15096" s="11">
        <f>IFERROR(__xludf.DUMMYFUNCTION("""COMPUTED_VALUE"""),24891.0)</f>
        <v>24891</v>
      </c>
      <c r="C15096" s="9">
        <f>IFERROR(__xludf.DUMMYFUNCTION("""COMPUTED_VALUE"""),5.56)</f>
        <v>5.56</v>
      </c>
      <c r="H15096" s="17"/>
      <c r="K15096" s="17"/>
      <c r="N15096" s="17"/>
    </row>
    <row r="15097">
      <c r="B15097" s="11">
        <f>IFERROR(__xludf.DUMMYFUNCTION("""COMPUTED_VALUE"""),24890.0)</f>
        <v>24890</v>
      </c>
      <c r="C15097" s="9"/>
      <c r="H15097" s="17"/>
      <c r="K15097" s="17"/>
      <c r="N15097" s="17"/>
    </row>
    <row r="15098">
      <c r="B15098" s="11">
        <f>IFERROR(__xludf.DUMMYFUNCTION("""COMPUTED_VALUE"""),24889.0)</f>
        <v>24889</v>
      </c>
      <c r="C15098" s="9">
        <f>IFERROR(__xludf.DUMMYFUNCTION("""COMPUTED_VALUE"""),5.54)</f>
        <v>5.54</v>
      </c>
      <c r="H15098" s="17"/>
      <c r="K15098" s="17"/>
      <c r="N15098" s="17"/>
    </row>
    <row r="15099">
      <c r="B15099" s="11">
        <f>IFERROR(__xludf.DUMMYFUNCTION("""COMPUTED_VALUE"""),24888.0)</f>
        <v>24888</v>
      </c>
      <c r="C15099" s="9">
        <f>IFERROR(__xludf.DUMMYFUNCTION("""COMPUTED_VALUE"""),5.54)</f>
        <v>5.54</v>
      </c>
      <c r="H15099" s="17"/>
      <c r="K15099" s="17"/>
      <c r="N15099" s="17"/>
    </row>
    <row r="15100">
      <c r="B15100" s="11">
        <f>IFERROR(__xludf.DUMMYFUNCTION("""COMPUTED_VALUE"""),24887.0)</f>
        <v>24887</v>
      </c>
      <c r="C15100" s="9">
        <f>IFERROR(__xludf.DUMMYFUNCTION("""COMPUTED_VALUE"""),5.53)</f>
        <v>5.53</v>
      </c>
      <c r="H15100" s="17"/>
      <c r="K15100" s="17"/>
      <c r="N15100" s="17"/>
    </row>
    <row r="15101">
      <c r="B15101" s="11">
        <f>IFERROR(__xludf.DUMMYFUNCTION("""COMPUTED_VALUE"""),24884.0)</f>
        <v>24884</v>
      </c>
      <c r="C15101" s="9">
        <f>IFERROR(__xludf.DUMMYFUNCTION("""COMPUTED_VALUE"""),5.5)</f>
        <v>5.5</v>
      </c>
      <c r="H15101" s="17"/>
      <c r="K15101" s="17"/>
      <c r="N15101" s="17"/>
    </row>
    <row r="15102">
      <c r="B15102" s="11">
        <f>IFERROR(__xludf.DUMMYFUNCTION("""COMPUTED_VALUE"""),24883.0)</f>
        <v>24883</v>
      </c>
      <c r="C15102" s="9">
        <f>IFERROR(__xludf.DUMMYFUNCTION("""COMPUTED_VALUE"""),5.51)</f>
        <v>5.51</v>
      </c>
      <c r="H15102" s="17"/>
      <c r="K15102" s="17"/>
      <c r="N15102" s="17"/>
    </row>
    <row r="15103">
      <c r="B15103" s="11">
        <f>IFERROR(__xludf.DUMMYFUNCTION("""COMPUTED_VALUE"""),24882.0)</f>
        <v>24882</v>
      </c>
      <c r="C15103" s="9">
        <f>IFERROR(__xludf.DUMMYFUNCTION("""COMPUTED_VALUE"""),5.54)</f>
        <v>5.54</v>
      </c>
      <c r="H15103" s="17"/>
      <c r="K15103" s="17"/>
      <c r="N15103" s="17"/>
    </row>
    <row r="15104">
      <c r="B15104" s="11">
        <f>IFERROR(__xludf.DUMMYFUNCTION("""COMPUTED_VALUE"""),24881.0)</f>
        <v>24881</v>
      </c>
      <c r="C15104" s="9">
        <f>IFERROR(__xludf.DUMMYFUNCTION("""COMPUTED_VALUE"""),5.55)</f>
        <v>5.55</v>
      </c>
      <c r="H15104" s="17"/>
      <c r="K15104" s="17"/>
      <c r="N15104" s="17"/>
    </row>
    <row r="15105">
      <c r="B15105" s="11">
        <f>IFERROR(__xludf.DUMMYFUNCTION("""COMPUTED_VALUE"""),24880.0)</f>
        <v>24880</v>
      </c>
      <c r="C15105" s="9"/>
      <c r="H15105" s="17"/>
      <c r="K15105" s="17"/>
      <c r="N15105" s="17"/>
    </row>
    <row r="15106">
      <c r="B15106" s="11">
        <f>IFERROR(__xludf.DUMMYFUNCTION("""COMPUTED_VALUE"""),24877.0)</f>
        <v>24877</v>
      </c>
      <c r="C15106" s="9">
        <f>IFERROR(__xludf.DUMMYFUNCTION("""COMPUTED_VALUE"""),5.59)</f>
        <v>5.59</v>
      </c>
      <c r="H15106" s="17"/>
      <c r="K15106" s="17"/>
      <c r="N15106" s="17"/>
    </row>
    <row r="15107">
      <c r="B15107" s="11">
        <f>IFERROR(__xludf.DUMMYFUNCTION("""COMPUTED_VALUE"""),24876.0)</f>
        <v>24876</v>
      </c>
      <c r="C15107" s="9">
        <f>IFERROR(__xludf.DUMMYFUNCTION("""COMPUTED_VALUE"""),5.6)</f>
        <v>5.6</v>
      </c>
      <c r="H15107" s="17"/>
      <c r="K15107" s="17"/>
      <c r="N15107" s="17"/>
    </row>
    <row r="15108">
      <c r="B15108" s="11">
        <f>IFERROR(__xludf.DUMMYFUNCTION("""COMPUTED_VALUE"""),24875.0)</f>
        <v>24875</v>
      </c>
      <c r="C15108" s="9">
        <f>IFERROR(__xludf.DUMMYFUNCTION("""COMPUTED_VALUE"""),5.59)</f>
        <v>5.59</v>
      </c>
      <c r="H15108" s="17"/>
      <c r="K15108" s="17"/>
      <c r="N15108" s="17"/>
    </row>
    <row r="15109">
      <c r="B15109" s="11">
        <f>IFERROR(__xludf.DUMMYFUNCTION("""COMPUTED_VALUE"""),24874.0)</f>
        <v>24874</v>
      </c>
      <c r="C15109" s="9">
        <f>IFERROR(__xludf.DUMMYFUNCTION("""COMPUTED_VALUE"""),5.61)</f>
        <v>5.61</v>
      </c>
      <c r="H15109" s="17"/>
      <c r="K15109" s="17"/>
      <c r="N15109" s="17"/>
    </row>
    <row r="15110">
      <c r="B15110" s="11">
        <f>IFERROR(__xludf.DUMMYFUNCTION("""COMPUTED_VALUE"""),24873.0)</f>
        <v>24873</v>
      </c>
      <c r="C15110" s="9">
        <f>IFERROR(__xludf.DUMMYFUNCTION("""COMPUTED_VALUE"""),5.6)</f>
        <v>5.6</v>
      </c>
      <c r="H15110" s="17"/>
      <c r="K15110" s="17"/>
      <c r="N15110" s="17"/>
    </row>
    <row r="15111">
      <c r="B15111" s="11">
        <f>IFERROR(__xludf.DUMMYFUNCTION("""COMPUTED_VALUE"""),24870.0)</f>
        <v>24870</v>
      </c>
      <c r="C15111" s="9">
        <f>IFERROR(__xludf.DUMMYFUNCTION("""COMPUTED_VALUE"""),5.58)</f>
        <v>5.58</v>
      </c>
      <c r="H15111" s="17"/>
      <c r="K15111" s="17"/>
      <c r="N15111" s="17"/>
    </row>
    <row r="15112">
      <c r="B15112" s="11">
        <f>IFERROR(__xludf.DUMMYFUNCTION("""COMPUTED_VALUE"""),24869.0)</f>
        <v>24869</v>
      </c>
      <c r="C15112" s="9">
        <f>IFERROR(__xludf.DUMMYFUNCTION("""COMPUTED_VALUE"""),5.58)</f>
        <v>5.58</v>
      </c>
      <c r="H15112" s="17"/>
      <c r="K15112" s="17"/>
      <c r="N15112" s="17"/>
    </row>
    <row r="15113">
      <c r="B15113" s="11">
        <f>IFERROR(__xludf.DUMMYFUNCTION("""COMPUTED_VALUE"""),24868.0)</f>
        <v>24868</v>
      </c>
      <c r="C15113" s="9">
        <f>IFERROR(__xludf.DUMMYFUNCTION("""COMPUTED_VALUE"""),5.54)</f>
        <v>5.54</v>
      </c>
      <c r="H15113" s="17"/>
      <c r="K15113" s="17"/>
      <c r="N15113" s="17"/>
    </row>
    <row r="15114">
      <c r="B15114" s="11">
        <f>IFERROR(__xludf.DUMMYFUNCTION("""COMPUTED_VALUE"""),24867.0)</f>
        <v>24867</v>
      </c>
      <c r="C15114" s="9">
        <f>IFERROR(__xludf.DUMMYFUNCTION("""COMPUTED_VALUE"""),5.53)</f>
        <v>5.53</v>
      </c>
      <c r="H15114" s="17"/>
      <c r="K15114" s="17"/>
      <c r="N15114" s="17"/>
    </row>
    <row r="15115">
      <c r="B15115" s="11">
        <f>IFERROR(__xludf.DUMMYFUNCTION("""COMPUTED_VALUE"""),24866.0)</f>
        <v>24866</v>
      </c>
      <c r="C15115" s="9">
        <f>IFERROR(__xludf.DUMMYFUNCTION("""COMPUTED_VALUE"""),5.53)</f>
        <v>5.53</v>
      </c>
      <c r="H15115" s="17"/>
      <c r="K15115" s="17"/>
      <c r="N15115" s="17"/>
    </row>
    <row r="15116">
      <c r="B15116" s="11">
        <f>IFERROR(__xludf.DUMMYFUNCTION("""COMPUTED_VALUE"""),24863.0)</f>
        <v>24863</v>
      </c>
      <c r="C15116" s="9">
        <f>IFERROR(__xludf.DUMMYFUNCTION("""COMPUTED_VALUE"""),5.53)</f>
        <v>5.53</v>
      </c>
      <c r="H15116" s="17"/>
      <c r="K15116" s="17"/>
      <c r="N15116" s="17"/>
    </row>
    <row r="15117">
      <c r="B15117" s="11">
        <f>IFERROR(__xludf.DUMMYFUNCTION("""COMPUTED_VALUE"""),24862.0)</f>
        <v>24862</v>
      </c>
      <c r="C15117" s="9">
        <f>IFERROR(__xludf.DUMMYFUNCTION("""COMPUTED_VALUE"""),5.52)</f>
        <v>5.52</v>
      </c>
      <c r="H15117" s="17"/>
      <c r="K15117" s="17"/>
      <c r="N15117" s="17"/>
    </row>
    <row r="15118">
      <c r="B15118" s="11">
        <f>IFERROR(__xludf.DUMMYFUNCTION("""COMPUTED_VALUE"""),24861.0)</f>
        <v>24861</v>
      </c>
      <c r="C15118" s="9">
        <f>IFERROR(__xludf.DUMMYFUNCTION("""COMPUTED_VALUE"""),5.56)</f>
        <v>5.56</v>
      </c>
      <c r="H15118" s="17"/>
      <c r="K15118" s="17"/>
      <c r="N15118" s="17"/>
    </row>
    <row r="15119">
      <c r="B15119" s="11">
        <f>IFERROR(__xludf.DUMMYFUNCTION("""COMPUTED_VALUE"""),24860.0)</f>
        <v>24860</v>
      </c>
      <c r="C15119" s="9">
        <f>IFERROR(__xludf.DUMMYFUNCTION("""COMPUTED_VALUE"""),5.56)</f>
        <v>5.56</v>
      </c>
      <c r="H15119" s="17"/>
      <c r="K15119" s="17"/>
      <c r="N15119" s="17"/>
    </row>
    <row r="15120">
      <c r="B15120" s="11">
        <f>IFERROR(__xludf.DUMMYFUNCTION("""COMPUTED_VALUE"""),24859.0)</f>
        <v>24859</v>
      </c>
      <c r="C15120" s="9">
        <f>IFERROR(__xludf.DUMMYFUNCTION("""COMPUTED_VALUE"""),5.61)</f>
        <v>5.61</v>
      </c>
      <c r="H15120" s="17"/>
      <c r="K15120" s="17"/>
      <c r="N15120" s="17"/>
    </row>
    <row r="15121">
      <c r="B15121" s="11">
        <f>IFERROR(__xludf.DUMMYFUNCTION("""COMPUTED_VALUE"""),24856.0)</f>
        <v>24856</v>
      </c>
      <c r="C15121" s="9">
        <f>IFERROR(__xludf.DUMMYFUNCTION("""COMPUTED_VALUE"""),5.59)</f>
        <v>5.59</v>
      </c>
      <c r="H15121" s="17"/>
      <c r="K15121" s="17"/>
      <c r="N15121" s="17"/>
    </row>
    <row r="15122">
      <c r="B15122" s="11">
        <f>IFERROR(__xludf.DUMMYFUNCTION("""COMPUTED_VALUE"""),24855.0)</f>
        <v>24855</v>
      </c>
      <c r="C15122" s="9">
        <f>IFERROR(__xludf.DUMMYFUNCTION("""COMPUTED_VALUE"""),5.55)</f>
        <v>5.55</v>
      </c>
      <c r="H15122" s="17"/>
      <c r="K15122" s="17"/>
      <c r="N15122" s="17"/>
    </row>
    <row r="15123">
      <c r="B15123" s="11">
        <f>IFERROR(__xludf.DUMMYFUNCTION("""COMPUTED_VALUE"""),24854.0)</f>
        <v>24854</v>
      </c>
      <c r="C15123" s="9">
        <f>IFERROR(__xludf.DUMMYFUNCTION("""COMPUTED_VALUE"""),5.48)</f>
        <v>5.48</v>
      </c>
      <c r="H15123" s="17"/>
      <c r="K15123" s="17"/>
      <c r="N15123" s="17"/>
    </row>
    <row r="15124">
      <c r="B15124" s="11">
        <f>IFERROR(__xludf.DUMMYFUNCTION("""COMPUTED_VALUE"""),24853.0)</f>
        <v>24853</v>
      </c>
      <c r="C15124" s="9">
        <f>IFERROR(__xludf.DUMMYFUNCTION("""COMPUTED_VALUE"""),5.52)</f>
        <v>5.52</v>
      </c>
      <c r="H15124" s="17"/>
      <c r="K15124" s="17"/>
      <c r="N15124" s="17"/>
    </row>
    <row r="15125">
      <c r="B15125" s="11">
        <f>IFERROR(__xludf.DUMMYFUNCTION("""COMPUTED_VALUE"""),24852.0)</f>
        <v>24852</v>
      </c>
      <c r="C15125" s="9">
        <f>IFERROR(__xludf.DUMMYFUNCTION("""COMPUTED_VALUE"""),5.49)</f>
        <v>5.49</v>
      </c>
      <c r="H15125" s="17"/>
      <c r="K15125" s="17"/>
      <c r="N15125" s="17"/>
    </row>
    <row r="15126">
      <c r="B15126" s="11">
        <f>IFERROR(__xludf.DUMMYFUNCTION("""COMPUTED_VALUE"""),24849.0)</f>
        <v>24849</v>
      </c>
      <c r="C15126" s="9">
        <f>IFERROR(__xludf.DUMMYFUNCTION("""COMPUTED_VALUE"""),5.43)</f>
        <v>5.43</v>
      </c>
      <c r="H15126" s="17"/>
      <c r="K15126" s="17"/>
      <c r="N15126" s="17"/>
    </row>
    <row r="15127">
      <c r="B15127" s="11">
        <f>IFERROR(__xludf.DUMMYFUNCTION("""COMPUTED_VALUE"""),24848.0)</f>
        <v>24848</v>
      </c>
      <c r="C15127" s="9">
        <f>IFERROR(__xludf.DUMMYFUNCTION("""COMPUTED_VALUE"""),5.46)</f>
        <v>5.46</v>
      </c>
      <c r="H15127" s="17"/>
      <c r="K15127" s="17"/>
      <c r="N15127" s="17"/>
    </row>
    <row r="15128">
      <c r="B15128" s="11">
        <f>IFERROR(__xludf.DUMMYFUNCTION("""COMPUTED_VALUE"""),24847.0)</f>
        <v>24847</v>
      </c>
      <c r="C15128" s="9">
        <f>IFERROR(__xludf.DUMMYFUNCTION("""COMPUTED_VALUE"""),5.46)</f>
        <v>5.46</v>
      </c>
      <c r="H15128" s="17"/>
      <c r="K15128" s="17"/>
      <c r="N15128" s="17"/>
    </row>
    <row r="15129">
      <c r="B15129" s="11">
        <f>IFERROR(__xludf.DUMMYFUNCTION("""COMPUTED_VALUE"""),24846.0)</f>
        <v>24846</v>
      </c>
      <c r="C15129" s="9">
        <f>IFERROR(__xludf.DUMMYFUNCTION("""COMPUTED_VALUE"""),5.52)</f>
        <v>5.52</v>
      </c>
      <c r="H15129" s="17"/>
      <c r="K15129" s="17"/>
      <c r="N15129" s="17"/>
    </row>
    <row r="15130">
      <c r="B15130" s="11">
        <f>IFERROR(__xludf.DUMMYFUNCTION("""COMPUTED_VALUE"""),24845.0)</f>
        <v>24845</v>
      </c>
      <c r="C15130" s="9">
        <f>IFERROR(__xludf.DUMMYFUNCTION("""COMPUTED_VALUE"""),5.5)</f>
        <v>5.5</v>
      </c>
      <c r="H15130" s="17"/>
      <c r="K15130" s="17"/>
      <c r="N15130" s="17"/>
    </row>
    <row r="15131">
      <c r="B15131" s="11">
        <f>IFERROR(__xludf.DUMMYFUNCTION("""COMPUTED_VALUE"""),24842.0)</f>
        <v>24842</v>
      </c>
      <c r="C15131" s="9">
        <f>IFERROR(__xludf.DUMMYFUNCTION("""COMPUTED_VALUE"""),5.48)</f>
        <v>5.48</v>
      </c>
      <c r="H15131" s="17"/>
      <c r="K15131" s="17"/>
      <c r="N15131" s="17"/>
    </row>
    <row r="15132">
      <c r="B15132" s="11">
        <f>IFERROR(__xludf.DUMMYFUNCTION("""COMPUTED_VALUE"""),24841.0)</f>
        <v>24841</v>
      </c>
      <c r="C15132" s="9">
        <f>IFERROR(__xludf.DUMMYFUNCTION("""COMPUTED_VALUE"""),5.51)</f>
        <v>5.51</v>
      </c>
      <c r="H15132" s="17"/>
      <c r="K15132" s="17"/>
      <c r="N15132" s="17"/>
    </row>
    <row r="15133">
      <c r="B15133" s="11">
        <f>IFERROR(__xludf.DUMMYFUNCTION("""COMPUTED_VALUE"""),24840.0)</f>
        <v>24840</v>
      </c>
      <c r="C15133" s="9">
        <f>IFERROR(__xludf.DUMMYFUNCTION("""COMPUTED_VALUE"""),5.63)</f>
        <v>5.63</v>
      </c>
      <c r="H15133" s="17"/>
      <c r="K15133" s="17"/>
      <c r="N15133" s="17"/>
    </row>
    <row r="15134">
      <c r="B15134" s="11">
        <f>IFERROR(__xludf.DUMMYFUNCTION("""COMPUTED_VALUE"""),24839.0)</f>
        <v>24839</v>
      </c>
      <c r="C15134" s="9">
        <f>IFERROR(__xludf.DUMMYFUNCTION("""COMPUTED_VALUE"""),5.63)</f>
        <v>5.63</v>
      </c>
      <c r="H15134" s="17"/>
      <c r="K15134" s="17"/>
      <c r="N15134" s="17"/>
    </row>
    <row r="15135">
      <c r="B15135" s="11">
        <f>IFERROR(__xludf.DUMMYFUNCTION("""COMPUTED_VALUE"""),24838.0)</f>
        <v>24838</v>
      </c>
      <c r="C15135" s="9"/>
      <c r="H15135" s="17"/>
      <c r="K15135" s="17"/>
      <c r="N15135" s="17"/>
    </row>
    <row r="15136">
      <c r="B15136" s="11">
        <f>IFERROR(__xludf.DUMMYFUNCTION("""COMPUTED_VALUE"""),24835.0)</f>
        <v>24835</v>
      </c>
      <c r="C15136" s="9">
        <f>IFERROR(__xludf.DUMMYFUNCTION("""COMPUTED_VALUE"""),5.7)</f>
        <v>5.7</v>
      </c>
      <c r="H15136" s="17"/>
      <c r="K15136" s="17"/>
      <c r="N15136" s="17"/>
    </row>
    <row r="15137">
      <c r="B15137" s="11">
        <f>IFERROR(__xludf.DUMMYFUNCTION("""COMPUTED_VALUE"""),24834.0)</f>
        <v>24834</v>
      </c>
      <c r="C15137" s="9">
        <f>IFERROR(__xludf.DUMMYFUNCTION("""COMPUTED_VALUE"""),5.7)</f>
        <v>5.7</v>
      </c>
      <c r="H15137" s="17"/>
      <c r="K15137" s="17"/>
      <c r="N15137" s="17"/>
    </row>
    <row r="15138">
      <c r="B15138" s="11">
        <f>IFERROR(__xludf.DUMMYFUNCTION("""COMPUTED_VALUE"""),24833.0)</f>
        <v>24833</v>
      </c>
      <c r="C15138" s="9">
        <f>IFERROR(__xludf.DUMMYFUNCTION("""COMPUTED_VALUE"""),5.64)</f>
        <v>5.64</v>
      </c>
      <c r="H15138" s="17"/>
      <c r="K15138" s="17"/>
      <c r="N15138" s="17"/>
    </row>
    <row r="15139">
      <c r="B15139" s="11">
        <f>IFERROR(__xludf.DUMMYFUNCTION("""COMPUTED_VALUE"""),24832.0)</f>
        <v>24832</v>
      </c>
      <c r="C15139" s="9">
        <f>IFERROR(__xludf.DUMMYFUNCTION("""COMPUTED_VALUE"""),5.64)</f>
        <v>5.64</v>
      </c>
      <c r="H15139" s="17"/>
      <c r="K15139" s="17"/>
      <c r="N15139" s="17"/>
    </row>
    <row r="15140">
      <c r="B15140" s="11">
        <f>IFERROR(__xludf.DUMMYFUNCTION("""COMPUTED_VALUE"""),24831.0)</f>
        <v>24831</v>
      </c>
      <c r="C15140" s="9"/>
      <c r="H15140" s="17"/>
      <c r="K15140" s="17"/>
      <c r="N15140" s="17"/>
    </row>
    <row r="15141">
      <c r="B15141" s="11">
        <f>IFERROR(__xludf.DUMMYFUNCTION("""COMPUTED_VALUE"""),24828.0)</f>
        <v>24828</v>
      </c>
      <c r="C15141" s="9">
        <f>IFERROR(__xludf.DUMMYFUNCTION("""COMPUTED_VALUE"""),5.69)</f>
        <v>5.69</v>
      </c>
      <c r="H15141" s="17"/>
      <c r="K15141" s="17"/>
      <c r="N15141" s="17"/>
    </row>
    <row r="15142">
      <c r="B15142" s="11">
        <f>IFERROR(__xludf.DUMMYFUNCTION("""COMPUTED_VALUE"""),24827.0)</f>
        <v>24827</v>
      </c>
      <c r="C15142" s="9">
        <f>IFERROR(__xludf.DUMMYFUNCTION("""COMPUTED_VALUE"""),5.64)</f>
        <v>5.64</v>
      </c>
      <c r="H15142" s="17"/>
      <c r="K15142" s="17"/>
      <c r="N15142" s="17"/>
    </row>
    <row r="15143">
      <c r="B15143" s="11">
        <f>IFERROR(__xludf.DUMMYFUNCTION("""COMPUTED_VALUE"""),24826.0)</f>
        <v>24826</v>
      </c>
      <c r="C15143" s="9">
        <f>IFERROR(__xludf.DUMMYFUNCTION("""COMPUTED_VALUE"""),5.62)</f>
        <v>5.62</v>
      </c>
      <c r="H15143" s="17"/>
      <c r="K15143" s="17"/>
      <c r="N15143" s="17"/>
    </row>
    <row r="15144">
      <c r="B15144" s="11">
        <f>IFERROR(__xludf.DUMMYFUNCTION("""COMPUTED_VALUE"""),24825.0)</f>
        <v>24825</v>
      </c>
      <c r="C15144" s="9">
        <f>IFERROR(__xludf.DUMMYFUNCTION("""COMPUTED_VALUE"""),5.66)</f>
        <v>5.66</v>
      </c>
      <c r="H15144" s="17"/>
      <c r="K15144" s="17"/>
      <c r="N15144" s="17"/>
    </row>
    <row r="15145">
      <c r="B15145" s="11">
        <f>IFERROR(__xludf.DUMMYFUNCTION("""COMPUTED_VALUE"""),24824.0)</f>
        <v>24824</v>
      </c>
      <c r="C15145" s="9">
        <f>IFERROR(__xludf.DUMMYFUNCTION("""COMPUTED_VALUE"""),5.68)</f>
        <v>5.68</v>
      </c>
      <c r="H15145" s="17"/>
      <c r="K15145" s="17"/>
      <c r="N15145" s="17"/>
    </row>
    <row r="15146">
      <c r="B15146" s="11">
        <f>IFERROR(__xludf.DUMMYFUNCTION("""COMPUTED_VALUE"""),24821.0)</f>
        <v>24821</v>
      </c>
      <c r="C15146" s="9">
        <f>IFERROR(__xludf.DUMMYFUNCTION("""COMPUTED_VALUE"""),5.71)</f>
        <v>5.71</v>
      </c>
      <c r="H15146" s="17"/>
      <c r="K15146" s="17"/>
      <c r="N15146" s="17"/>
    </row>
    <row r="15147">
      <c r="B15147" s="11">
        <f>IFERROR(__xludf.DUMMYFUNCTION("""COMPUTED_VALUE"""),24820.0)</f>
        <v>24820</v>
      </c>
      <c r="C15147" s="9">
        <f>IFERROR(__xludf.DUMMYFUNCTION("""COMPUTED_VALUE"""),5.7)</f>
        <v>5.7</v>
      </c>
      <c r="H15147" s="17"/>
      <c r="K15147" s="17"/>
      <c r="N15147" s="17"/>
    </row>
    <row r="15148">
      <c r="B15148" s="11">
        <f>IFERROR(__xludf.DUMMYFUNCTION("""COMPUTED_VALUE"""),24819.0)</f>
        <v>24819</v>
      </c>
      <c r="C15148" s="9">
        <f>IFERROR(__xludf.DUMMYFUNCTION("""COMPUTED_VALUE"""),5.71)</f>
        <v>5.71</v>
      </c>
      <c r="H15148" s="17"/>
      <c r="K15148" s="17"/>
      <c r="N15148" s="17"/>
    </row>
    <row r="15149">
      <c r="B15149" s="11">
        <f>IFERROR(__xludf.DUMMYFUNCTION("""COMPUTED_VALUE"""),24818.0)</f>
        <v>24818</v>
      </c>
      <c r="C15149" s="9">
        <f>IFERROR(__xludf.DUMMYFUNCTION("""COMPUTED_VALUE"""),5.75)</f>
        <v>5.75</v>
      </c>
      <c r="H15149" s="17"/>
      <c r="K15149" s="17"/>
      <c r="N15149" s="17"/>
    </row>
    <row r="15150">
      <c r="B15150" s="11">
        <f>IFERROR(__xludf.DUMMYFUNCTION("""COMPUTED_VALUE"""),24817.0)</f>
        <v>24817</v>
      </c>
      <c r="C15150" s="9">
        <f>IFERROR(__xludf.DUMMYFUNCTION("""COMPUTED_VALUE"""),5.74)</f>
        <v>5.74</v>
      </c>
      <c r="H15150" s="17"/>
      <c r="K15150" s="17"/>
      <c r="N15150" s="17"/>
    </row>
    <row r="15151">
      <c r="B15151" s="11">
        <f>IFERROR(__xludf.DUMMYFUNCTION("""COMPUTED_VALUE"""),24814.0)</f>
        <v>24814</v>
      </c>
      <c r="C15151" s="9">
        <f>IFERROR(__xludf.DUMMYFUNCTION("""COMPUTED_VALUE"""),5.72)</f>
        <v>5.72</v>
      </c>
      <c r="H15151" s="17"/>
      <c r="K15151" s="17"/>
      <c r="N15151" s="17"/>
    </row>
    <row r="15152">
      <c r="B15152" s="11">
        <f>IFERROR(__xludf.DUMMYFUNCTION("""COMPUTED_VALUE"""),24813.0)</f>
        <v>24813</v>
      </c>
      <c r="C15152" s="9">
        <f>IFERROR(__xludf.DUMMYFUNCTION("""COMPUTED_VALUE"""),5.71)</f>
        <v>5.71</v>
      </c>
      <c r="H15152" s="17"/>
      <c r="K15152" s="17"/>
      <c r="N15152" s="17"/>
    </row>
    <row r="15153">
      <c r="B15153" s="11">
        <f>IFERROR(__xludf.DUMMYFUNCTION("""COMPUTED_VALUE"""),24812.0)</f>
        <v>24812</v>
      </c>
      <c r="C15153" s="9">
        <f>IFERROR(__xludf.DUMMYFUNCTION("""COMPUTED_VALUE"""),5.69)</f>
        <v>5.69</v>
      </c>
      <c r="H15153" s="17"/>
      <c r="K15153" s="17"/>
      <c r="N15153" s="17"/>
    </row>
    <row r="15154">
      <c r="B15154" s="11">
        <f>IFERROR(__xludf.DUMMYFUNCTION("""COMPUTED_VALUE"""),24811.0)</f>
        <v>24811</v>
      </c>
      <c r="C15154" s="9">
        <f>IFERROR(__xludf.DUMMYFUNCTION("""COMPUTED_VALUE"""),5.74)</f>
        <v>5.74</v>
      </c>
      <c r="H15154" s="17"/>
      <c r="K15154" s="17"/>
      <c r="N15154" s="17"/>
    </row>
    <row r="15155">
      <c r="B15155" s="11">
        <f>IFERROR(__xludf.DUMMYFUNCTION("""COMPUTED_VALUE"""),24810.0)</f>
        <v>24810</v>
      </c>
      <c r="C15155" s="9">
        <f>IFERROR(__xludf.DUMMYFUNCTION("""COMPUTED_VALUE"""),5.76)</f>
        <v>5.76</v>
      </c>
      <c r="H15155" s="17"/>
      <c r="K15155" s="17"/>
      <c r="N15155" s="17"/>
    </row>
    <row r="15156">
      <c r="B15156" s="11">
        <f>IFERROR(__xludf.DUMMYFUNCTION("""COMPUTED_VALUE"""),24807.0)</f>
        <v>24807</v>
      </c>
      <c r="C15156" s="9">
        <f>IFERROR(__xludf.DUMMYFUNCTION("""COMPUTED_VALUE"""),5.78)</f>
        <v>5.78</v>
      </c>
      <c r="H15156" s="17"/>
      <c r="K15156" s="17"/>
      <c r="N15156" s="17"/>
    </row>
    <row r="15157">
      <c r="B15157" s="11">
        <f>IFERROR(__xludf.DUMMYFUNCTION("""COMPUTED_VALUE"""),24806.0)</f>
        <v>24806</v>
      </c>
      <c r="C15157" s="9">
        <f>IFERROR(__xludf.DUMMYFUNCTION("""COMPUTED_VALUE"""),5.74)</f>
        <v>5.74</v>
      </c>
      <c r="H15157" s="17"/>
      <c r="K15157" s="17"/>
      <c r="N15157" s="17"/>
    </row>
    <row r="15158">
      <c r="B15158" s="11">
        <f>IFERROR(__xludf.DUMMYFUNCTION("""COMPUTED_VALUE"""),24805.0)</f>
        <v>24805</v>
      </c>
      <c r="C15158" s="9">
        <f>IFERROR(__xludf.DUMMYFUNCTION("""COMPUTED_VALUE"""),5.67)</f>
        <v>5.67</v>
      </c>
      <c r="H15158" s="17"/>
      <c r="K15158" s="17"/>
      <c r="N15158" s="17"/>
    </row>
    <row r="15159">
      <c r="B15159" s="11">
        <f>IFERROR(__xludf.DUMMYFUNCTION("""COMPUTED_VALUE"""),24804.0)</f>
        <v>24804</v>
      </c>
      <c r="C15159" s="9">
        <f>IFERROR(__xludf.DUMMYFUNCTION("""COMPUTED_VALUE"""),5.65)</f>
        <v>5.65</v>
      </c>
      <c r="H15159" s="17"/>
      <c r="K15159" s="17"/>
      <c r="N15159" s="17"/>
    </row>
    <row r="15160">
      <c r="B15160" s="11">
        <f>IFERROR(__xludf.DUMMYFUNCTION("""COMPUTED_VALUE"""),24803.0)</f>
        <v>24803</v>
      </c>
      <c r="C15160" s="9">
        <f>IFERROR(__xludf.DUMMYFUNCTION("""COMPUTED_VALUE"""),5.76)</f>
        <v>5.76</v>
      </c>
      <c r="H15160" s="17"/>
      <c r="K15160" s="17"/>
      <c r="N15160" s="17"/>
    </row>
    <row r="15161">
      <c r="B15161" s="11">
        <f>IFERROR(__xludf.DUMMYFUNCTION("""COMPUTED_VALUE"""),24800.0)</f>
        <v>24800</v>
      </c>
      <c r="C15161" s="9">
        <f>IFERROR(__xludf.DUMMYFUNCTION("""COMPUTED_VALUE"""),5.78)</f>
        <v>5.78</v>
      </c>
      <c r="H15161" s="17"/>
      <c r="K15161" s="17"/>
      <c r="N15161" s="17"/>
    </row>
    <row r="15162">
      <c r="B15162" s="11">
        <f>IFERROR(__xludf.DUMMYFUNCTION("""COMPUTED_VALUE"""),24799.0)</f>
        <v>24799</v>
      </c>
      <c r="C15162" s="9"/>
      <c r="H15162" s="17"/>
      <c r="K15162" s="17"/>
      <c r="N15162" s="17"/>
    </row>
    <row r="15163">
      <c r="B15163" s="11">
        <f>IFERROR(__xludf.DUMMYFUNCTION("""COMPUTED_VALUE"""),24798.0)</f>
        <v>24798</v>
      </c>
      <c r="C15163" s="9">
        <f>IFERROR(__xludf.DUMMYFUNCTION("""COMPUTED_VALUE"""),5.7)</f>
        <v>5.7</v>
      </c>
      <c r="H15163" s="17"/>
      <c r="K15163" s="17"/>
      <c r="N15163" s="17"/>
    </row>
    <row r="15164">
      <c r="B15164" s="11">
        <f>IFERROR(__xludf.DUMMYFUNCTION("""COMPUTED_VALUE"""),24797.0)</f>
        <v>24797</v>
      </c>
      <c r="C15164" s="9">
        <f>IFERROR(__xludf.DUMMYFUNCTION("""COMPUTED_VALUE"""),5.71)</f>
        <v>5.71</v>
      </c>
      <c r="H15164" s="17"/>
      <c r="K15164" s="17"/>
      <c r="N15164" s="17"/>
    </row>
    <row r="15165">
      <c r="B15165" s="11">
        <f>IFERROR(__xludf.DUMMYFUNCTION("""COMPUTED_VALUE"""),24796.0)</f>
        <v>24796</v>
      </c>
      <c r="C15165" s="9">
        <f>IFERROR(__xludf.DUMMYFUNCTION("""COMPUTED_VALUE"""),5.85)</f>
        <v>5.85</v>
      </c>
      <c r="H15165" s="17"/>
      <c r="K15165" s="17"/>
      <c r="N15165" s="17"/>
    </row>
    <row r="15166">
      <c r="B15166" s="11">
        <f>IFERROR(__xludf.DUMMYFUNCTION("""COMPUTED_VALUE"""),24793.0)</f>
        <v>24793</v>
      </c>
      <c r="C15166" s="9">
        <f>IFERROR(__xludf.DUMMYFUNCTION("""COMPUTED_VALUE"""),5.75)</f>
        <v>5.75</v>
      </c>
      <c r="H15166" s="17"/>
      <c r="K15166" s="17"/>
      <c r="N15166" s="17"/>
    </row>
    <row r="15167">
      <c r="B15167" s="11">
        <f>IFERROR(__xludf.DUMMYFUNCTION("""COMPUTED_VALUE"""),24792.0)</f>
        <v>24792</v>
      </c>
      <c r="C15167" s="9">
        <f>IFERROR(__xludf.DUMMYFUNCTION("""COMPUTED_VALUE"""),5.72)</f>
        <v>5.72</v>
      </c>
      <c r="H15167" s="17"/>
      <c r="K15167" s="17"/>
      <c r="N15167" s="17"/>
    </row>
    <row r="15168">
      <c r="B15168" s="11">
        <f>IFERROR(__xludf.DUMMYFUNCTION("""COMPUTED_VALUE"""),24791.0)</f>
        <v>24791</v>
      </c>
      <c r="C15168" s="9">
        <f>IFERROR(__xludf.DUMMYFUNCTION("""COMPUTED_VALUE"""),5.78)</f>
        <v>5.78</v>
      </c>
      <c r="H15168" s="17"/>
      <c r="K15168" s="17"/>
      <c r="N15168" s="17"/>
    </row>
    <row r="15169">
      <c r="B15169" s="11">
        <f>IFERROR(__xludf.DUMMYFUNCTION("""COMPUTED_VALUE"""),24790.0)</f>
        <v>24790</v>
      </c>
      <c r="C15169" s="9">
        <f>IFERROR(__xludf.DUMMYFUNCTION("""COMPUTED_VALUE"""),5.81)</f>
        <v>5.81</v>
      </c>
      <c r="H15169" s="17"/>
      <c r="K15169" s="17"/>
      <c r="N15169" s="17"/>
    </row>
    <row r="15170">
      <c r="B15170" s="11">
        <f>IFERROR(__xludf.DUMMYFUNCTION("""COMPUTED_VALUE"""),24789.0)</f>
        <v>24789</v>
      </c>
      <c r="C15170" s="9">
        <f>IFERROR(__xludf.DUMMYFUNCTION("""COMPUTED_VALUE"""),5.87)</f>
        <v>5.87</v>
      </c>
      <c r="H15170" s="17"/>
      <c r="K15170" s="17"/>
      <c r="N15170" s="17"/>
    </row>
    <row r="15171">
      <c r="B15171" s="11">
        <f>IFERROR(__xludf.DUMMYFUNCTION("""COMPUTED_VALUE"""),24786.0)</f>
        <v>24786</v>
      </c>
      <c r="C15171" s="9">
        <f>IFERROR(__xludf.DUMMYFUNCTION("""COMPUTED_VALUE"""),5.83)</f>
        <v>5.83</v>
      </c>
      <c r="H15171" s="17"/>
      <c r="K15171" s="17"/>
      <c r="N15171" s="17"/>
    </row>
    <row r="15172">
      <c r="B15172" s="11">
        <f>IFERROR(__xludf.DUMMYFUNCTION("""COMPUTED_VALUE"""),24785.0)</f>
        <v>24785</v>
      </c>
      <c r="C15172" s="9">
        <f>IFERROR(__xludf.DUMMYFUNCTION("""COMPUTED_VALUE"""),5.78)</f>
        <v>5.78</v>
      </c>
      <c r="H15172" s="17"/>
      <c r="K15172" s="17"/>
      <c r="N15172" s="17"/>
    </row>
    <row r="15173">
      <c r="B15173" s="11">
        <f>IFERROR(__xludf.DUMMYFUNCTION("""COMPUTED_VALUE"""),24784.0)</f>
        <v>24784</v>
      </c>
      <c r="C15173" s="9">
        <f>IFERROR(__xludf.DUMMYFUNCTION("""COMPUTED_VALUE"""),5.74)</f>
        <v>5.74</v>
      </c>
      <c r="H15173" s="17"/>
      <c r="K15173" s="17"/>
      <c r="N15173" s="17"/>
    </row>
    <row r="15174">
      <c r="B15174" s="11">
        <f>IFERROR(__xludf.DUMMYFUNCTION("""COMPUTED_VALUE"""),24783.0)</f>
        <v>24783</v>
      </c>
      <c r="C15174" s="9"/>
      <c r="H15174" s="17"/>
      <c r="K15174" s="17"/>
      <c r="N15174" s="17"/>
    </row>
    <row r="15175">
      <c r="B15175" s="11">
        <f>IFERROR(__xludf.DUMMYFUNCTION("""COMPUTED_VALUE"""),24782.0)</f>
        <v>24782</v>
      </c>
      <c r="C15175" s="9">
        <f>IFERROR(__xludf.DUMMYFUNCTION("""COMPUTED_VALUE"""),5.77)</f>
        <v>5.77</v>
      </c>
      <c r="H15175" s="17"/>
      <c r="K15175" s="17"/>
      <c r="N15175" s="17"/>
    </row>
    <row r="15176">
      <c r="B15176" s="11">
        <f>IFERROR(__xludf.DUMMYFUNCTION("""COMPUTED_VALUE"""),24779.0)</f>
        <v>24779</v>
      </c>
      <c r="C15176" s="9">
        <f>IFERROR(__xludf.DUMMYFUNCTION("""COMPUTED_VALUE"""),5.75)</f>
        <v>5.75</v>
      </c>
      <c r="H15176" s="17"/>
      <c r="K15176" s="17"/>
      <c r="N15176" s="17"/>
    </row>
    <row r="15177">
      <c r="B15177" s="11">
        <f>IFERROR(__xludf.DUMMYFUNCTION("""COMPUTED_VALUE"""),24778.0)</f>
        <v>24778</v>
      </c>
      <c r="C15177" s="9">
        <f>IFERROR(__xludf.DUMMYFUNCTION("""COMPUTED_VALUE"""),5.71)</f>
        <v>5.71</v>
      </c>
      <c r="H15177" s="17"/>
      <c r="K15177" s="17"/>
      <c r="N15177" s="17"/>
    </row>
    <row r="15178">
      <c r="B15178" s="11">
        <f>IFERROR(__xludf.DUMMYFUNCTION("""COMPUTED_VALUE"""),24777.0)</f>
        <v>24777</v>
      </c>
      <c r="C15178" s="9">
        <f>IFERROR(__xludf.DUMMYFUNCTION("""COMPUTED_VALUE"""),5.7)</f>
        <v>5.7</v>
      </c>
      <c r="H15178" s="17"/>
      <c r="K15178" s="17"/>
      <c r="N15178" s="17"/>
    </row>
    <row r="15179">
      <c r="B15179" s="11">
        <f>IFERROR(__xludf.DUMMYFUNCTION("""COMPUTED_VALUE"""),24776.0)</f>
        <v>24776</v>
      </c>
      <c r="C15179" s="9">
        <f>IFERROR(__xludf.DUMMYFUNCTION("""COMPUTED_VALUE"""),5.64)</f>
        <v>5.64</v>
      </c>
      <c r="H15179" s="17"/>
      <c r="K15179" s="17"/>
      <c r="N15179" s="17"/>
    </row>
    <row r="15180">
      <c r="B15180" s="11">
        <f>IFERROR(__xludf.DUMMYFUNCTION("""COMPUTED_VALUE"""),24775.0)</f>
        <v>24775</v>
      </c>
      <c r="C15180" s="9">
        <f>IFERROR(__xludf.DUMMYFUNCTION("""COMPUTED_VALUE"""),5.6)</f>
        <v>5.6</v>
      </c>
      <c r="H15180" s="17"/>
      <c r="K15180" s="17"/>
      <c r="N15180" s="17"/>
    </row>
    <row r="15181">
      <c r="B15181" s="11">
        <f>IFERROR(__xludf.DUMMYFUNCTION("""COMPUTED_VALUE"""),24772.0)</f>
        <v>24772</v>
      </c>
      <c r="C15181" s="9">
        <f>IFERROR(__xludf.DUMMYFUNCTION("""COMPUTED_VALUE"""),5.57)</f>
        <v>5.57</v>
      </c>
      <c r="H15181" s="17"/>
      <c r="K15181" s="17"/>
      <c r="N15181" s="17"/>
    </row>
    <row r="15182">
      <c r="B15182" s="11">
        <f>IFERROR(__xludf.DUMMYFUNCTION("""COMPUTED_VALUE"""),24771.0)</f>
        <v>24771</v>
      </c>
      <c r="C15182" s="9">
        <f>IFERROR(__xludf.DUMMYFUNCTION("""COMPUTED_VALUE"""),5.58)</f>
        <v>5.58</v>
      </c>
      <c r="H15182" s="17"/>
      <c r="K15182" s="17"/>
      <c r="N15182" s="17"/>
    </row>
    <row r="15183">
      <c r="B15183" s="11">
        <f>IFERROR(__xludf.DUMMYFUNCTION("""COMPUTED_VALUE"""),24770.0)</f>
        <v>24770</v>
      </c>
      <c r="C15183" s="9">
        <f>IFERROR(__xludf.DUMMYFUNCTION("""COMPUTED_VALUE"""),5.57)</f>
        <v>5.57</v>
      </c>
      <c r="H15183" s="17"/>
      <c r="K15183" s="17"/>
      <c r="N15183" s="17"/>
    </row>
    <row r="15184">
      <c r="B15184" s="11">
        <f>IFERROR(__xludf.DUMMYFUNCTION("""COMPUTED_VALUE"""),24769.0)</f>
        <v>24769</v>
      </c>
      <c r="C15184" s="9">
        <f>IFERROR(__xludf.DUMMYFUNCTION("""COMPUTED_VALUE"""),5.56)</f>
        <v>5.56</v>
      </c>
      <c r="H15184" s="17"/>
      <c r="K15184" s="17"/>
      <c r="N15184" s="17"/>
    </row>
    <row r="15185">
      <c r="B15185" s="11">
        <f>IFERROR(__xludf.DUMMYFUNCTION("""COMPUTED_VALUE"""),24768.0)</f>
        <v>24768</v>
      </c>
      <c r="C15185" s="9">
        <f>IFERROR(__xludf.DUMMYFUNCTION("""COMPUTED_VALUE"""),5.56)</f>
        <v>5.56</v>
      </c>
      <c r="H15185" s="17"/>
      <c r="K15185" s="17"/>
      <c r="N15185" s="17"/>
    </row>
    <row r="15186">
      <c r="B15186" s="11">
        <f>IFERROR(__xludf.DUMMYFUNCTION("""COMPUTED_VALUE"""),24765.0)</f>
        <v>24765</v>
      </c>
      <c r="C15186" s="9">
        <f>IFERROR(__xludf.DUMMYFUNCTION("""COMPUTED_VALUE"""),5.52)</f>
        <v>5.52</v>
      </c>
      <c r="H15186" s="17"/>
      <c r="K15186" s="17"/>
      <c r="N15186" s="17"/>
    </row>
    <row r="15187">
      <c r="B15187" s="11">
        <f>IFERROR(__xludf.DUMMYFUNCTION("""COMPUTED_VALUE"""),24764.0)</f>
        <v>24764</v>
      </c>
      <c r="C15187" s="9">
        <f>IFERROR(__xludf.DUMMYFUNCTION("""COMPUTED_VALUE"""),5.53)</f>
        <v>5.53</v>
      </c>
      <c r="H15187" s="17"/>
      <c r="K15187" s="17"/>
      <c r="N15187" s="17"/>
    </row>
    <row r="15188">
      <c r="B15188" s="11">
        <f>IFERROR(__xludf.DUMMYFUNCTION("""COMPUTED_VALUE"""),24763.0)</f>
        <v>24763</v>
      </c>
      <c r="C15188" s="9">
        <f>IFERROR(__xludf.DUMMYFUNCTION("""COMPUTED_VALUE"""),5.52)</f>
        <v>5.52</v>
      </c>
      <c r="H15188" s="17"/>
      <c r="K15188" s="17"/>
      <c r="N15188" s="17"/>
    </row>
    <row r="15189">
      <c r="B15189" s="11">
        <f>IFERROR(__xludf.DUMMYFUNCTION("""COMPUTED_VALUE"""),24762.0)</f>
        <v>24762</v>
      </c>
      <c r="C15189" s="9">
        <f>IFERROR(__xludf.DUMMYFUNCTION("""COMPUTED_VALUE"""),5.49)</f>
        <v>5.49</v>
      </c>
      <c r="H15189" s="17"/>
      <c r="K15189" s="17"/>
      <c r="N15189" s="17"/>
    </row>
    <row r="15190">
      <c r="B15190" s="11">
        <f>IFERROR(__xludf.DUMMYFUNCTION("""COMPUTED_VALUE"""),24761.0)</f>
        <v>24761</v>
      </c>
      <c r="C15190" s="9">
        <f>IFERROR(__xludf.DUMMYFUNCTION("""COMPUTED_VALUE"""),5.47)</f>
        <v>5.47</v>
      </c>
      <c r="H15190" s="17"/>
      <c r="K15190" s="17"/>
      <c r="N15190" s="17"/>
    </row>
    <row r="15191">
      <c r="B15191" s="11">
        <f>IFERROR(__xludf.DUMMYFUNCTION("""COMPUTED_VALUE"""),24758.0)</f>
        <v>24758</v>
      </c>
      <c r="C15191" s="9">
        <f>IFERROR(__xludf.DUMMYFUNCTION("""COMPUTED_VALUE"""),5.45)</f>
        <v>5.45</v>
      </c>
      <c r="H15191" s="17"/>
      <c r="K15191" s="17"/>
      <c r="N15191" s="17"/>
    </row>
    <row r="15192">
      <c r="B15192" s="11">
        <f>IFERROR(__xludf.DUMMYFUNCTION("""COMPUTED_VALUE"""),24757.0)</f>
        <v>24757</v>
      </c>
      <c r="C15192" s="9"/>
      <c r="H15192" s="17"/>
      <c r="K15192" s="17"/>
      <c r="N15192" s="17"/>
    </row>
    <row r="15193">
      <c r="B15193" s="11">
        <f>IFERROR(__xludf.DUMMYFUNCTION("""COMPUTED_VALUE"""),24756.0)</f>
        <v>24756</v>
      </c>
      <c r="C15193" s="9">
        <f>IFERROR(__xludf.DUMMYFUNCTION("""COMPUTED_VALUE"""),5.42)</f>
        <v>5.42</v>
      </c>
      <c r="H15193" s="17"/>
      <c r="K15193" s="17"/>
      <c r="N15193" s="17"/>
    </row>
    <row r="15194">
      <c r="B15194" s="11">
        <f>IFERROR(__xludf.DUMMYFUNCTION("""COMPUTED_VALUE"""),24755.0)</f>
        <v>24755</v>
      </c>
      <c r="C15194" s="9">
        <f>IFERROR(__xludf.DUMMYFUNCTION("""COMPUTED_VALUE"""),5.42)</f>
        <v>5.42</v>
      </c>
      <c r="H15194" s="17"/>
      <c r="K15194" s="17"/>
      <c r="N15194" s="17"/>
    </row>
    <row r="15195">
      <c r="B15195" s="11">
        <f>IFERROR(__xludf.DUMMYFUNCTION("""COMPUTED_VALUE"""),24754.0)</f>
        <v>24754</v>
      </c>
      <c r="C15195" s="9">
        <f>IFERROR(__xludf.DUMMYFUNCTION("""COMPUTED_VALUE"""),5.39)</f>
        <v>5.39</v>
      </c>
      <c r="H15195" s="17"/>
      <c r="K15195" s="17"/>
      <c r="N15195" s="17"/>
    </row>
    <row r="15196">
      <c r="B15196" s="11">
        <f>IFERROR(__xludf.DUMMYFUNCTION("""COMPUTED_VALUE"""),24751.0)</f>
        <v>24751</v>
      </c>
      <c r="C15196" s="9">
        <f>IFERROR(__xludf.DUMMYFUNCTION("""COMPUTED_VALUE"""),5.37)</f>
        <v>5.37</v>
      </c>
      <c r="H15196" s="17"/>
      <c r="K15196" s="17"/>
      <c r="N15196" s="17"/>
    </row>
    <row r="15197">
      <c r="B15197" s="11">
        <f>IFERROR(__xludf.DUMMYFUNCTION("""COMPUTED_VALUE"""),24750.0)</f>
        <v>24750</v>
      </c>
      <c r="C15197" s="9">
        <f>IFERROR(__xludf.DUMMYFUNCTION("""COMPUTED_VALUE"""),5.37)</f>
        <v>5.37</v>
      </c>
      <c r="H15197" s="17"/>
      <c r="K15197" s="17"/>
      <c r="N15197" s="17"/>
    </row>
    <row r="15198">
      <c r="B15198" s="11">
        <f>IFERROR(__xludf.DUMMYFUNCTION("""COMPUTED_VALUE"""),24749.0)</f>
        <v>24749</v>
      </c>
      <c r="C15198" s="9">
        <f>IFERROR(__xludf.DUMMYFUNCTION("""COMPUTED_VALUE"""),5.37)</f>
        <v>5.37</v>
      </c>
      <c r="H15198" s="17"/>
      <c r="K15198" s="17"/>
      <c r="N15198" s="17"/>
    </row>
    <row r="15199">
      <c r="B15199" s="11">
        <f>IFERROR(__xludf.DUMMYFUNCTION("""COMPUTED_VALUE"""),24748.0)</f>
        <v>24748</v>
      </c>
      <c r="C15199" s="9">
        <f>IFERROR(__xludf.DUMMYFUNCTION("""COMPUTED_VALUE"""),5.35)</f>
        <v>5.35</v>
      </c>
      <c r="H15199" s="17"/>
      <c r="K15199" s="17"/>
      <c r="N15199" s="17"/>
    </row>
    <row r="15200">
      <c r="B15200" s="11">
        <f>IFERROR(__xludf.DUMMYFUNCTION("""COMPUTED_VALUE"""),24747.0)</f>
        <v>24747</v>
      </c>
      <c r="C15200" s="9">
        <f>IFERROR(__xludf.DUMMYFUNCTION("""COMPUTED_VALUE"""),5.35)</f>
        <v>5.35</v>
      </c>
      <c r="H15200" s="17"/>
      <c r="K15200" s="17"/>
      <c r="N15200" s="17"/>
    </row>
    <row r="15201">
      <c r="B15201" s="11">
        <f>IFERROR(__xludf.DUMMYFUNCTION("""COMPUTED_VALUE"""),24744.0)</f>
        <v>24744</v>
      </c>
      <c r="C15201" s="9">
        <f>IFERROR(__xludf.DUMMYFUNCTION("""COMPUTED_VALUE"""),5.31)</f>
        <v>5.31</v>
      </c>
      <c r="H15201" s="17"/>
      <c r="K15201" s="17"/>
      <c r="N15201" s="17"/>
    </row>
    <row r="15202">
      <c r="B15202" s="11">
        <f>IFERROR(__xludf.DUMMYFUNCTION("""COMPUTED_VALUE"""),24743.0)</f>
        <v>24743</v>
      </c>
      <c r="C15202" s="9">
        <f>IFERROR(__xludf.DUMMYFUNCTION("""COMPUTED_VALUE"""),5.36)</f>
        <v>5.36</v>
      </c>
      <c r="H15202" s="17"/>
      <c r="K15202" s="17"/>
      <c r="N15202" s="17"/>
    </row>
    <row r="15203">
      <c r="B15203" s="11">
        <f>IFERROR(__xludf.DUMMYFUNCTION("""COMPUTED_VALUE"""),24742.0)</f>
        <v>24742</v>
      </c>
      <c r="C15203" s="9">
        <f>IFERROR(__xludf.DUMMYFUNCTION("""COMPUTED_VALUE"""),5.37)</f>
        <v>5.37</v>
      </c>
      <c r="H15203" s="17"/>
      <c r="K15203" s="17"/>
      <c r="N15203" s="17"/>
    </row>
    <row r="15204">
      <c r="B15204" s="11">
        <f>IFERROR(__xludf.DUMMYFUNCTION("""COMPUTED_VALUE"""),24741.0)</f>
        <v>24741</v>
      </c>
      <c r="C15204" s="9">
        <f>IFERROR(__xludf.DUMMYFUNCTION("""COMPUTED_VALUE"""),5.37)</f>
        <v>5.37</v>
      </c>
      <c r="H15204" s="17"/>
      <c r="K15204" s="17"/>
      <c r="N15204" s="17"/>
    </row>
    <row r="15205">
      <c r="B15205" s="11">
        <f>IFERROR(__xludf.DUMMYFUNCTION("""COMPUTED_VALUE"""),24740.0)</f>
        <v>24740</v>
      </c>
      <c r="C15205" s="9">
        <f>IFERROR(__xludf.DUMMYFUNCTION("""COMPUTED_VALUE"""),5.38)</f>
        <v>5.38</v>
      </c>
      <c r="H15205" s="17"/>
      <c r="K15205" s="17"/>
      <c r="N15205" s="17"/>
    </row>
    <row r="15206">
      <c r="B15206" s="11">
        <f>IFERROR(__xludf.DUMMYFUNCTION("""COMPUTED_VALUE"""),24737.0)</f>
        <v>24737</v>
      </c>
      <c r="C15206" s="9">
        <f>IFERROR(__xludf.DUMMYFUNCTION("""COMPUTED_VALUE"""),5.36)</f>
        <v>5.36</v>
      </c>
      <c r="H15206" s="17"/>
      <c r="K15206" s="17"/>
      <c r="N15206" s="17"/>
    </row>
    <row r="15207">
      <c r="B15207" s="11">
        <f>IFERROR(__xludf.DUMMYFUNCTION("""COMPUTED_VALUE"""),24736.0)</f>
        <v>24736</v>
      </c>
      <c r="C15207" s="9">
        <f>IFERROR(__xludf.DUMMYFUNCTION("""COMPUTED_VALUE"""),5.36)</f>
        <v>5.36</v>
      </c>
      <c r="H15207" s="17"/>
      <c r="K15207" s="17"/>
      <c r="N15207" s="17"/>
    </row>
    <row r="15208">
      <c r="B15208" s="11">
        <f>IFERROR(__xludf.DUMMYFUNCTION("""COMPUTED_VALUE"""),24735.0)</f>
        <v>24735</v>
      </c>
      <c r="C15208" s="9">
        <f>IFERROR(__xludf.DUMMYFUNCTION("""COMPUTED_VALUE"""),5.34)</f>
        <v>5.34</v>
      </c>
      <c r="H15208" s="17"/>
      <c r="K15208" s="17"/>
      <c r="N15208" s="17"/>
    </row>
    <row r="15209">
      <c r="B15209" s="11">
        <f>IFERROR(__xludf.DUMMYFUNCTION("""COMPUTED_VALUE"""),24734.0)</f>
        <v>24734</v>
      </c>
      <c r="C15209" s="9">
        <f>IFERROR(__xludf.DUMMYFUNCTION("""COMPUTED_VALUE"""),5.35)</f>
        <v>5.35</v>
      </c>
      <c r="H15209" s="17"/>
      <c r="K15209" s="17"/>
      <c r="N15209" s="17"/>
    </row>
    <row r="15210">
      <c r="B15210" s="11">
        <f>IFERROR(__xludf.DUMMYFUNCTION("""COMPUTED_VALUE"""),24733.0)</f>
        <v>24733</v>
      </c>
      <c r="C15210" s="9">
        <f>IFERROR(__xludf.DUMMYFUNCTION("""COMPUTED_VALUE"""),5.3)</f>
        <v>5.3</v>
      </c>
      <c r="H15210" s="17"/>
      <c r="K15210" s="17"/>
      <c r="N15210" s="17"/>
    </row>
    <row r="15211">
      <c r="B15211" s="11">
        <f>IFERROR(__xludf.DUMMYFUNCTION("""COMPUTED_VALUE"""),24730.0)</f>
        <v>24730</v>
      </c>
      <c r="C15211" s="9">
        <f>IFERROR(__xludf.DUMMYFUNCTION("""COMPUTED_VALUE"""),5.29)</f>
        <v>5.29</v>
      </c>
      <c r="H15211" s="17"/>
      <c r="K15211" s="17"/>
      <c r="N15211" s="17"/>
    </row>
    <row r="15212">
      <c r="B15212" s="11">
        <f>IFERROR(__xludf.DUMMYFUNCTION("""COMPUTED_VALUE"""),24729.0)</f>
        <v>24729</v>
      </c>
      <c r="C15212" s="9">
        <f>IFERROR(__xludf.DUMMYFUNCTION("""COMPUTED_VALUE"""),5.28)</f>
        <v>5.28</v>
      </c>
      <c r="H15212" s="17"/>
      <c r="K15212" s="17"/>
      <c r="N15212" s="17"/>
    </row>
    <row r="15213">
      <c r="B15213" s="11">
        <f>IFERROR(__xludf.DUMMYFUNCTION("""COMPUTED_VALUE"""),24728.0)</f>
        <v>24728</v>
      </c>
      <c r="C15213" s="9">
        <f>IFERROR(__xludf.DUMMYFUNCTION("""COMPUTED_VALUE"""),5.27)</f>
        <v>5.27</v>
      </c>
      <c r="H15213" s="17"/>
      <c r="K15213" s="17"/>
      <c r="N15213" s="17"/>
    </row>
    <row r="15214">
      <c r="B15214" s="11">
        <f>IFERROR(__xludf.DUMMYFUNCTION("""COMPUTED_VALUE"""),24727.0)</f>
        <v>24727</v>
      </c>
      <c r="C15214" s="9">
        <f>IFERROR(__xludf.DUMMYFUNCTION("""COMPUTED_VALUE"""),5.29)</f>
        <v>5.29</v>
      </c>
      <c r="H15214" s="17"/>
      <c r="K15214" s="17"/>
      <c r="N15214" s="17"/>
    </row>
    <row r="15215">
      <c r="B15215" s="11">
        <f>IFERROR(__xludf.DUMMYFUNCTION("""COMPUTED_VALUE"""),24726.0)</f>
        <v>24726</v>
      </c>
      <c r="C15215" s="9">
        <f>IFERROR(__xludf.DUMMYFUNCTION("""COMPUTED_VALUE"""),5.28)</f>
        <v>5.28</v>
      </c>
      <c r="H15215" s="17"/>
      <c r="K15215" s="17"/>
      <c r="N15215" s="17"/>
    </row>
    <row r="15216">
      <c r="B15216" s="11">
        <f>IFERROR(__xludf.DUMMYFUNCTION("""COMPUTED_VALUE"""),24723.0)</f>
        <v>24723</v>
      </c>
      <c r="C15216" s="9">
        <f>IFERROR(__xludf.DUMMYFUNCTION("""COMPUTED_VALUE"""),5.26)</f>
        <v>5.26</v>
      </c>
      <c r="H15216" s="17"/>
      <c r="K15216" s="17"/>
      <c r="N15216" s="17"/>
    </row>
    <row r="15217">
      <c r="B15217" s="11">
        <f>IFERROR(__xludf.DUMMYFUNCTION("""COMPUTED_VALUE"""),24722.0)</f>
        <v>24722</v>
      </c>
      <c r="C15217" s="9">
        <f>IFERROR(__xludf.DUMMYFUNCTION("""COMPUTED_VALUE"""),5.2)</f>
        <v>5.2</v>
      </c>
      <c r="H15217" s="17"/>
      <c r="K15217" s="17"/>
      <c r="N15217" s="17"/>
    </row>
    <row r="15218">
      <c r="B15218" s="11">
        <f>IFERROR(__xludf.DUMMYFUNCTION("""COMPUTED_VALUE"""),24721.0)</f>
        <v>24721</v>
      </c>
      <c r="C15218" s="9">
        <f>IFERROR(__xludf.DUMMYFUNCTION("""COMPUTED_VALUE"""),5.2)</f>
        <v>5.2</v>
      </c>
      <c r="H15218" s="17"/>
      <c r="K15218" s="17"/>
      <c r="N15218" s="17"/>
    </row>
    <row r="15219">
      <c r="B15219" s="11">
        <f>IFERROR(__xludf.DUMMYFUNCTION("""COMPUTED_VALUE"""),24720.0)</f>
        <v>24720</v>
      </c>
      <c r="C15219" s="9">
        <f>IFERROR(__xludf.DUMMYFUNCTION("""COMPUTED_VALUE"""),5.22)</f>
        <v>5.22</v>
      </c>
      <c r="H15219" s="17"/>
      <c r="K15219" s="17"/>
      <c r="N15219" s="17"/>
    </row>
    <row r="15220">
      <c r="B15220" s="11">
        <f>IFERROR(__xludf.DUMMYFUNCTION("""COMPUTED_VALUE"""),24719.0)</f>
        <v>24719</v>
      </c>
      <c r="C15220" s="9"/>
      <c r="H15220" s="17"/>
      <c r="K15220" s="17"/>
      <c r="N15220" s="17"/>
    </row>
    <row r="15221">
      <c r="B15221" s="11">
        <f>IFERROR(__xludf.DUMMYFUNCTION("""COMPUTED_VALUE"""),24716.0)</f>
        <v>24716</v>
      </c>
      <c r="C15221" s="9">
        <f>IFERROR(__xludf.DUMMYFUNCTION("""COMPUTED_VALUE"""),5.25)</f>
        <v>5.25</v>
      </c>
      <c r="H15221" s="17"/>
      <c r="K15221" s="17"/>
      <c r="N15221" s="17"/>
    </row>
    <row r="15222">
      <c r="B15222" s="11">
        <f>IFERROR(__xludf.DUMMYFUNCTION("""COMPUTED_VALUE"""),24715.0)</f>
        <v>24715</v>
      </c>
      <c r="C15222" s="9">
        <f>IFERROR(__xludf.DUMMYFUNCTION("""COMPUTED_VALUE"""),5.27)</f>
        <v>5.27</v>
      </c>
      <c r="H15222" s="17"/>
      <c r="K15222" s="17"/>
      <c r="N15222" s="17"/>
    </row>
    <row r="15223">
      <c r="B15223" s="11">
        <f>IFERROR(__xludf.DUMMYFUNCTION("""COMPUTED_VALUE"""),24714.0)</f>
        <v>24714</v>
      </c>
      <c r="C15223" s="9">
        <f>IFERROR(__xludf.DUMMYFUNCTION("""COMPUTED_VALUE"""),5.28)</f>
        <v>5.28</v>
      </c>
      <c r="H15223" s="17"/>
      <c r="K15223" s="17"/>
      <c r="N15223" s="17"/>
    </row>
    <row r="15224">
      <c r="B15224" s="11">
        <f>IFERROR(__xludf.DUMMYFUNCTION("""COMPUTED_VALUE"""),24713.0)</f>
        <v>24713</v>
      </c>
      <c r="C15224" s="9">
        <f>IFERROR(__xludf.DUMMYFUNCTION("""COMPUTED_VALUE"""),5.27)</f>
        <v>5.27</v>
      </c>
      <c r="H15224" s="17"/>
      <c r="K15224" s="17"/>
      <c r="N15224" s="17"/>
    </row>
    <row r="15225">
      <c r="B15225" s="11">
        <f>IFERROR(__xludf.DUMMYFUNCTION("""COMPUTED_VALUE"""),24712.0)</f>
        <v>24712</v>
      </c>
      <c r="C15225" s="9">
        <f>IFERROR(__xludf.DUMMYFUNCTION("""COMPUTED_VALUE"""),5.29)</f>
        <v>5.29</v>
      </c>
      <c r="H15225" s="17"/>
      <c r="K15225" s="17"/>
      <c r="N15225" s="17"/>
    </row>
    <row r="15226">
      <c r="B15226" s="11">
        <f>IFERROR(__xludf.DUMMYFUNCTION("""COMPUTED_VALUE"""),24709.0)</f>
        <v>24709</v>
      </c>
      <c r="C15226" s="9">
        <f>IFERROR(__xludf.DUMMYFUNCTION("""COMPUTED_VALUE"""),5.32)</f>
        <v>5.32</v>
      </c>
      <c r="H15226" s="17"/>
      <c r="K15226" s="17"/>
      <c r="N15226" s="17"/>
    </row>
    <row r="15227">
      <c r="B15227" s="11">
        <f>IFERROR(__xludf.DUMMYFUNCTION("""COMPUTED_VALUE"""),24708.0)</f>
        <v>24708</v>
      </c>
      <c r="C15227" s="9">
        <f>IFERROR(__xludf.DUMMYFUNCTION("""COMPUTED_VALUE"""),5.31)</f>
        <v>5.31</v>
      </c>
      <c r="H15227" s="17"/>
      <c r="K15227" s="17"/>
      <c r="N15227" s="17"/>
    </row>
    <row r="15228">
      <c r="B15228" s="11">
        <f>IFERROR(__xludf.DUMMYFUNCTION("""COMPUTED_VALUE"""),24707.0)</f>
        <v>24707</v>
      </c>
      <c r="C15228" s="9">
        <f>IFERROR(__xludf.DUMMYFUNCTION("""COMPUTED_VALUE"""),5.31)</f>
        <v>5.31</v>
      </c>
      <c r="H15228" s="17"/>
      <c r="K15228" s="17"/>
      <c r="N15228" s="17"/>
    </row>
    <row r="15229">
      <c r="B15229" s="11">
        <f>IFERROR(__xludf.DUMMYFUNCTION("""COMPUTED_VALUE"""),24706.0)</f>
        <v>24706</v>
      </c>
      <c r="C15229" s="9">
        <f>IFERROR(__xludf.DUMMYFUNCTION("""COMPUTED_VALUE"""),5.3)</f>
        <v>5.3</v>
      </c>
      <c r="H15229" s="17"/>
      <c r="K15229" s="17"/>
      <c r="N15229" s="17"/>
    </row>
    <row r="15230">
      <c r="B15230" s="11">
        <f>IFERROR(__xludf.DUMMYFUNCTION("""COMPUTED_VALUE"""),24705.0)</f>
        <v>24705</v>
      </c>
      <c r="C15230" s="9">
        <f>IFERROR(__xludf.DUMMYFUNCTION("""COMPUTED_VALUE"""),5.3)</f>
        <v>5.3</v>
      </c>
      <c r="H15230" s="17"/>
      <c r="K15230" s="17"/>
      <c r="N15230" s="17"/>
    </row>
    <row r="15231">
      <c r="B15231" s="11">
        <f>IFERROR(__xludf.DUMMYFUNCTION("""COMPUTED_VALUE"""),24702.0)</f>
        <v>24702</v>
      </c>
      <c r="C15231" s="9">
        <f>IFERROR(__xludf.DUMMYFUNCTION("""COMPUTED_VALUE"""),5.28)</f>
        <v>5.28</v>
      </c>
      <c r="H15231" s="17"/>
      <c r="K15231" s="17"/>
      <c r="N15231" s="17"/>
    </row>
    <row r="15232">
      <c r="B15232" s="11">
        <f>IFERROR(__xludf.DUMMYFUNCTION("""COMPUTED_VALUE"""),24701.0)</f>
        <v>24701</v>
      </c>
      <c r="C15232" s="9">
        <f>IFERROR(__xludf.DUMMYFUNCTION("""COMPUTED_VALUE"""),5.28)</f>
        <v>5.28</v>
      </c>
      <c r="H15232" s="17"/>
      <c r="K15232" s="17"/>
      <c r="N15232" s="17"/>
    </row>
    <row r="15233">
      <c r="B15233" s="11">
        <f>IFERROR(__xludf.DUMMYFUNCTION("""COMPUTED_VALUE"""),24700.0)</f>
        <v>24700</v>
      </c>
      <c r="C15233" s="9">
        <f>IFERROR(__xludf.DUMMYFUNCTION("""COMPUTED_VALUE"""),5.28)</f>
        <v>5.28</v>
      </c>
      <c r="H15233" s="17"/>
      <c r="K15233" s="17"/>
      <c r="N15233" s="17"/>
    </row>
    <row r="15234">
      <c r="B15234" s="11">
        <f>IFERROR(__xludf.DUMMYFUNCTION("""COMPUTED_VALUE"""),24699.0)</f>
        <v>24699</v>
      </c>
      <c r="C15234" s="9">
        <f>IFERROR(__xludf.DUMMYFUNCTION("""COMPUTED_VALUE"""),5.29)</f>
        <v>5.29</v>
      </c>
      <c r="H15234" s="17"/>
      <c r="K15234" s="17"/>
      <c r="N15234" s="17"/>
    </row>
    <row r="15235">
      <c r="B15235" s="11">
        <f>IFERROR(__xludf.DUMMYFUNCTION("""COMPUTED_VALUE"""),24698.0)</f>
        <v>24698</v>
      </c>
      <c r="C15235" s="9">
        <f>IFERROR(__xludf.DUMMYFUNCTION("""COMPUTED_VALUE"""),5.29)</f>
        <v>5.29</v>
      </c>
      <c r="H15235" s="17"/>
      <c r="K15235" s="17"/>
      <c r="N15235" s="17"/>
    </row>
    <row r="15236">
      <c r="B15236" s="11">
        <f>IFERROR(__xludf.DUMMYFUNCTION("""COMPUTED_VALUE"""),24695.0)</f>
        <v>24695</v>
      </c>
      <c r="C15236" s="9">
        <f>IFERROR(__xludf.DUMMYFUNCTION("""COMPUTED_VALUE"""),5.29)</f>
        <v>5.29</v>
      </c>
      <c r="H15236" s="17"/>
      <c r="K15236" s="17"/>
      <c r="N15236" s="17"/>
    </row>
    <row r="15237">
      <c r="B15237" s="11">
        <f>IFERROR(__xludf.DUMMYFUNCTION("""COMPUTED_VALUE"""),24694.0)</f>
        <v>24694</v>
      </c>
      <c r="C15237" s="9">
        <f>IFERROR(__xludf.DUMMYFUNCTION("""COMPUTED_VALUE"""),5.28)</f>
        <v>5.28</v>
      </c>
      <c r="H15237" s="17"/>
      <c r="K15237" s="17"/>
      <c r="N15237" s="17"/>
    </row>
    <row r="15238">
      <c r="B15238" s="11">
        <f>IFERROR(__xludf.DUMMYFUNCTION("""COMPUTED_VALUE"""),24693.0)</f>
        <v>24693</v>
      </c>
      <c r="C15238" s="9">
        <f>IFERROR(__xludf.DUMMYFUNCTION("""COMPUTED_VALUE"""),5.27)</f>
        <v>5.27</v>
      </c>
      <c r="H15238" s="17"/>
      <c r="K15238" s="17"/>
      <c r="N15238" s="17"/>
    </row>
    <row r="15239">
      <c r="B15239" s="11">
        <f>IFERROR(__xludf.DUMMYFUNCTION("""COMPUTED_VALUE"""),24692.0)</f>
        <v>24692</v>
      </c>
      <c r="C15239" s="9">
        <f>IFERROR(__xludf.DUMMYFUNCTION("""COMPUTED_VALUE"""),5.28)</f>
        <v>5.28</v>
      </c>
      <c r="H15239" s="17"/>
      <c r="K15239" s="17"/>
      <c r="N15239" s="17"/>
    </row>
    <row r="15240">
      <c r="B15240" s="11">
        <f>IFERROR(__xludf.DUMMYFUNCTION("""COMPUTED_VALUE"""),24691.0)</f>
        <v>24691</v>
      </c>
      <c r="C15240" s="9">
        <f>IFERROR(__xludf.DUMMYFUNCTION("""COMPUTED_VALUE"""),5.3)</f>
        <v>5.3</v>
      </c>
      <c r="H15240" s="17"/>
      <c r="K15240" s="17"/>
      <c r="N15240" s="17"/>
    </row>
    <row r="15241">
      <c r="B15241" s="11">
        <f>IFERROR(__xludf.DUMMYFUNCTION("""COMPUTED_VALUE"""),24688.0)</f>
        <v>24688</v>
      </c>
      <c r="C15241" s="9">
        <f>IFERROR(__xludf.DUMMYFUNCTION("""COMPUTED_VALUE"""),5.26)</f>
        <v>5.26</v>
      </c>
      <c r="H15241" s="17"/>
      <c r="K15241" s="17"/>
      <c r="N15241" s="17"/>
    </row>
    <row r="15242">
      <c r="B15242" s="11">
        <f>IFERROR(__xludf.DUMMYFUNCTION("""COMPUTED_VALUE"""),24687.0)</f>
        <v>24687</v>
      </c>
      <c r="C15242" s="9">
        <f>IFERROR(__xludf.DUMMYFUNCTION("""COMPUTED_VALUE"""),5.2)</f>
        <v>5.2</v>
      </c>
      <c r="H15242" s="17"/>
      <c r="K15242" s="17"/>
      <c r="N15242" s="17"/>
    </row>
    <row r="15243">
      <c r="B15243" s="11">
        <f>IFERROR(__xludf.DUMMYFUNCTION("""COMPUTED_VALUE"""),24686.0)</f>
        <v>24686</v>
      </c>
      <c r="C15243" s="9">
        <f>IFERROR(__xludf.DUMMYFUNCTION("""COMPUTED_VALUE"""),5.21)</f>
        <v>5.21</v>
      </c>
      <c r="H15243" s="17"/>
      <c r="K15243" s="17"/>
      <c r="N15243" s="17"/>
    </row>
    <row r="15244">
      <c r="B15244" s="11">
        <f>IFERROR(__xludf.DUMMYFUNCTION("""COMPUTED_VALUE"""),24685.0)</f>
        <v>24685</v>
      </c>
      <c r="C15244" s="9">
        <f>IFERROR(__xludf.DUMMYFUNCTION("""COMPUTED_VALUE"""),5.18)</f>
        <v>5.18</v>
      </c>
      <c r="H15244" s="17"/>
      <c r="K15244" s="17"/>
      <c r="N15244" s="17"/>
    </row>
    <row r="15245">
      <c r="B15245" s="11">
        <f>IFERROR(__xludf.DUMMYFUNCTION("""COMPUTED_VALUE"""),24684.0)</f>
        <v>24684</v>
      </c>
      <c r="C15245" s="9">
        <f>IFERROR(__xludf.DUMMYFUNCTION("""COMPUTED_VALUE"""),5.16)</f>
        <v>5.16</v>
      </c>
      <c r="H15245" s="17"/>
      <c r="K15245" s="17"/>
      <c r="N15245" s="17"/>
    </row>
    <row r="15246">
      <c r="B15246" s="11">
        <f>IFERROR(__xludf.DUMMYFUNCTION("""COMPUTED_VALUE"""),24681.0)</f>
        <v>24681</v>
      </c>
      <c r="C15246" s="9">
        <f>IFERROR(__xludf.DUMMYFUNCTION("""COMPUTED_VALUE"""),5.18)</f>
        <v>5.18</v>
      </c>
      <c r="H15246" s="17"/>
      <c r="K15246" s="17"/>
      <c r="N15246" s="17"/>
    </row>
    <row r="15247">
      <c r="B15247" s="11">
        <f>IFERROR(__xludf.DUMMYFUNCTION("""COMPUTED_VALUE"""),24680.0)</f>
        <v>24680</v>
      </c>
      <c r="C15247" s="9">
        <f>IFERROR(__xludf.DUMMYFUNCTION("""COMPUTED_VALUE"""),5.2)</f>
        <v>5.2</v>
      </c>
      <c r="H15247" s="17"/>
      <c r="K15247" s="17"/>
      <c r="N15247" s="17"/>
    </row>
    <row r="15248">
      <c r="B15248" s="11">
        <f>IFERROR(__xludf.DUMMYFUNCTION("""COMPUTED_VALUE"""),24679.0)</f>
        <v>24679</v>
      </c>
      <c r="C15248" s="9">
        <f>IFERROR(__xludf.DUMMYFUNCTION("""COMPUTED_VALUE"""),5.23)</f>
        <v>5.23</v>
      </c>
      <c r="H15248" s="17"/>
      <c r="K15248" s="17"/>
      <c r="N15248" s="17"/>
    </row>
    <row r="15249">
      <c r="B15249" s="11">
        <f>IFERROR(__xludf.DUMMYFUNCTION("""COMPUTED_VALUE"""),24678.0)</f>
        <v>24678</v>
      </c>
      <c r="C15249" s="9">
        <f>IFERROR(__xludf.DUMMYFUNCTION("""COMPUTED_VALUE"""),5.23)</f>
        <v>5.23</v>
      </c>
      <c r="H15249" s="17"/>
      <c r="K15249" s="17"/>
      <c r="N15249" s="17"/>
    </row>
    <row r="15250">
      <c r="B15250" s="11">
        <f>IFERROR(__xludf.DUMMYFUNCTION("""COMPUTED_VALUE"""),24677.0)</f>
        <v>24677</v>
      </c>
      <c r="C15250" s="9">
        <f>IFERROR(__xludf.DUMMYFUNCTION("""COMPUTED_VALUE"""),5.23)</f>
        <v>5.23</v>
      </c>
      <c r="H15250" s="17"/>
      <c r="K15250" s="17"/>
      <c r="N15250" s="17"/>
    </row>
    <row r="15251">
      <c r="B15251" s="11">
        <f>IFERROR(__xludf.DUMMYFUNCTION("""COMPUTED_VALUE"""),24674.0)</f>
        <v>24674</v>
      </c>
      <c r="C15251" s="9">
        <f>IFERROR(__xludf.DUMMYFUNCTION("""COMPUTED_VALUE"""),5.2)</f>
        <v>5.2</v>
      </c>
      <c r="H15251" s="17"/>
      <c r="K15251" s="17"/>
      <c r="N15251" s="17"/>
    </row>
    <row r="15252">
      <c r="B15252" s="11">
        <f>IFERROR(__xludf.DUMMYFUNCTION("""COMPUTED_VALUE"""),24673.0)</f>
        <v>24673</v>
      </c>
      <c r="C15252" s="9">
        <f>IFERROR(__xludf.DUMMYFUNCTION("""COMPUTED_VALUE"""),5.2)</f>
        <v>5.2</v>
      </c>
      <c r="H15252" s="17"/>
      <c r="K15252" s="17"/>
      <c r="N15252" s="17"/>
    </row>
    <row r="15253">
      <c r="B15253" s="11">
        <f>IFERROR(__xludf.DUMMYFUNCTION("""COMPUTED_VALUE"""),24672.0)</f>
        <v>24672</v>
      </c>
      <c r="C15253" s="9">
        <f>IFERROR(__xludf.DUMMYFUNCTION("""COMPUTED_VALUE"""),5.18)</f>
        <v>5.18</v>
      </c>
      <c r="H15253" s="17"/>
      <c r="K15253" s="17"/>
      <c r="N15253" s="17"/>
    </row>
    <row r="15254">
      <c r="B15254" s="11">
        <f>IFERROR(__xludf.DUMMYFUNCTION("""COMPUTED_VALUE"""),24671.0)</f>
        <v>24671</v>
      </c>
      <c r="C15254" s="9">
        <f>IFERROR(__xludf.DUMMYFUNCTION("""COMPUTED_VALUE"""),5.16)</f>
        <v>5.16</v>
      </c>
      <c r="H15254" s="17"/>
      <c r="K15254" s="17"/>
      <c r="N15254" s="17"/>
    </row>
    <row r="15255">
      <c r="B15255" s="11">
        <f>IFERROR(__xludf.DUMMYFUNCTION("""COMPUTED_VALUE"""),24670.0)</f>
        <v>24670</v>
      </c>
      <c r="C15255" s="9">
        <f>IFERROR(__xludf.DUMMYFUNCTION("""COMPUTED_VALUE"""),5.09)</f>
        <v>5.09</v>
      </c>
      <c r="H15255" s="17"/>
      <c r="K15255" s="17"/>
      <c r="N15255" s="17"/>
    </row>
    <row r="15256">
      <c r="B15256" s="11">
        <f>IFERROR(__xludf.DUMMYFUNCTION("""COMPUTED_VALUE"""),24667.0)</f>
        <v>24667</v>
      </c>
      <c r="C15256" s="9">
        <f>IFERROR(__xludf.DUMMYFUNCTION("""COMPUTED_VALUE"""),5.08)</f>
        <v>5.08</v>
      </c>
      <c r="H15256" s="17"/>
      <c r="K15256" s="17"/>
      <c r="N15256" s="17"/>
    </row>
    <row r="15257">
      <c r="B15257" s="11">
        <f>IFERROR(__xludf.DUMMYFUNCTION("""COMPUTED_VALUE"""),24666.0)</f>
        <v>24666</v>
      </c>
      <c r="C15257" s="9">
        <f>IFERROR(__xludf.DUMMYFUNCTION("""COMPUTED_VALUE"""),5.08)</f>
        <v>5.08</v>
      </c>
      <c r="H15257" s="17"/>
      <c r="K15257" s="17"/>
      <c r="N15257" s="17"/>
    </row>
    <row r="15258">
      <c r="B15258" s="11">
        <f>IFERROR(__xludf.DUMMYFUNCTION("""COMPUTED_VALUE"""),24665.0)</f>
        <v>24665</v>
      </c>
      <c r="C15258" s="9">
        <f>IFERROR(__xludf.DUMMYFUNCTION("""COMPUTED_VALUE"""),5.06)</f>
        <v>5.06</v>
      </c>
      <c r="H15258" s="17"/>
      <c r="K15258" s="17"/>
      <c r="N15258" s="17"/>
    </row>
    <row r="15259">
      <c r="B15259" s="11">
        <f>IFERROR(__xludf.DUMMYFUNCTION("""COMPUTED_VALUE"""),24664.0)</f>
        <v>24664</v>
      </c>
      <c r="C15259" s="9">
        <f>IFERROR(__xludf.DUMMYFUNCTION("""COMPUTED_VALUE"""),5.09)</f>
        <v>5.09</v>
      </c>
      <c r="H15259" s="17"/>
      <c r="K15259" s="17"/>
      <c r="N15259" s="17"/>
    </row>
    <row r="15260">
      <c r="B15260" s="11">
        <f>IFERROR(__xludf.DUMMYFUNCTION("""COMPUTED_VALUE"""),24663.0)</f>
        <v>24663</v>
      </c>
      <c r="C15260" s="9">
        <f>IFERROR(__xludf.DUMMYFUNCTION("""COMPUTED_VALUE"""),5.16)</f>
        <v>5.16</v>
      </c>
      <c r="H15260" s="17"/>
      <c r="K15260" s="17"/>
      <c r="N15260" s="17"/>
    </row>
    <row r="15261">
      <c r="B15261" s="11">
        <f>IFERROR(__xludf.DUMMYFUNCTION("""COMPUTED_VALUE"""),24660.0)</f>
        <v>24660</v>
      </c>
      <c r="C15261" s="9">
        <f>IFERROR(__xludf.DUMMYFUNCTION("""COMPUTED_VALUE"""),5.15)</f>
        <v>5.15</v>
      </c>
      <c r="H15261" s="17"/>
      <c r="K15261" s="17"/>
      <c r="N15261" s="17"/>
    </row>
    <row r="15262">
      <c r="B15262" s="11">
        <f>IFERROR(__xludf.DUMMYFUNCTION("""COMPUTED_VALUE"""),24659.0)</f>
        <v>24659</v>
      </c>
      <c r="C15262" s="9">
        <f>IFERROR(__xludf.DUMMYFUNCTION("""COMPUTED_VALUE"""),5.11)</f>
        <v>5.11</v>
      </c>
      <c r="H15262" s="17"/>
      <c r="K15262" s="17"/>
      <c r="N15262" s="17"/>
    </row>
    <row r="15263">
      <c r="B15263" s="11">
        <f>IFERROR(__xludf.DUMMYFUNCTION("""COMPUTED_VALUE"""),24658.0)</f>
        <v>24658</v>
      </c>
      <c r="C15263" s="9">
        <f>IFERROR(__xludf.DUMMYFUNCTION("""COMPUTED_VALUE"""),5.17)</f>
        <v>5.17</v>
      </c>
      <c r="H15263" s="17"/>
      <c r="K15263" s="17"/>
      <c r="N15263" s="17"/>
    </row>
    <row r="15264">
      <c r="B15264" s="11">
        <f>IFERROR(__xludf.DUMMYFUNCTION("""COMPUTED_VALUE"""),24657.0)</f>
        <v>24657</v>
      </c>
      <c r="C15264" s="9"/>
      <c r="H15264" s="17"/>
      <c r="K15264" s="17"/>
      <c r="N15264" s="17"/>
    </row>
    <row r="15265">
      <c r="B15265" s="11">
        <f>IFERROR(__xludf.DUMMYFUNCTION("""COMPUTED_VALUE"""),24656.0)</f>
        <v>24656</v>
      </c>
      <c r="C15265" s="9">
        <f>IFERROR(__xludf.DUMMYFUNCTION("""COMPUTED_VALUE"""),5.22)</f>
        <v>5.22</v>
      </c>
      <c r="H15265" s="17"/>
      <c r="K15265" s="17"/>
      <c r="N15265" s="17"/>
    </row>
    <row r="15266">
      <c r="B15266" s="11">
        <f>IFERROR(__xludf.DUMMYFUNCTION("""COMPUTED_VALUE"""),24653.0)</f>
        <v>24653</v>
      </c>
      <c r="C15266" s="9">
        <f>IFERROR(__xludf.DUMMYFUNCTION("""COMPUTED_VALUE"""),5.22)</f>
        <v>5.22</v>
      </c>
      <c r="H15266" s="17"/>
      <c r="K15266" s="17"/>
      <c r="N15266" s="17"/>
    </row>
    <row r="15267">
      <c r="B15267" s="11">
        <f>IFERROR(__xludf.DUMMYFUNCTION("""COMPUTED_VALUE"""),24652.0)</f>
        <v>24652</v>
      </c>
      <c r="C15267" s="9">
        <f>IFERROR(__xludf.DUMMYFUNCTION("""COMPUTED_VALUE"""),5.2)</f>
        <v>5.2</v>
      </c>
      <c r="H15267" s="17"/>
      <c r="K15267" s="17"/>
      <c r="N15267" s="17"/>
    </row>
    <row r="15268">
      <c r="B15268" s="11">
        <f>IFERROR(__xludf.DUMMYFUNCTION("""COMPUTED_VALUE"""),24651.0)</f>
        <v>24651</v>
      </c>
      <c r="C15268" s="9">
        <f>IFERROR(__xludf.DUMMYFUNCTION("""COMPUTED_VALUE"""),5.18)</f>
        <v>5.18</v>
      </c>
      <c r="H15268" s="17"/>
      <c r="K15268" s="17"/>
      <c r="N15268" s="17"/>
    </row>
    <row r="15269">
      <c r="B15269" s="11">
        <f>IFERROR(__xludf.DUMMYFUNCTION("""COMPUTED_VALUE"""),24650.0)</f>
        <v>24650</v>
      </c>
      <c r="C15269" s="9">
        <f>IFERROR(__xludf.DUMMYFUNCTION("""COMPUTED_VALUE"""),5.21)</f>
        <v>5.21</v>
      </c>
      <c r="H15269" s="17"/>
      <c r="K15269" s="17"/>
      <c r="N15269" s="17"/>
    </row>
    <row r="15270">
      <c r="B15270" s="11">
        <f>IFERROR(__xludf.DUMMYFUNCTION("""COMPUTED_VALUE"""),24649.0)</f>
        <v>24649</v>
      </c>
      <c r="C15270" s="9">
        <f>IFERROR(__xludf.DUMMYFUNCTION("""COMPUTED_VALUE"""),5.16)</f>
        <v>5.16</v>
      </c>
      <c r="H15270" s="17"/>
      <c r="K15270" s="17"/>
      <c r="N15270" s="17"/>
    </row>
    <row r="15271">
      <c r="B15271" s="11">
        <f>IFERROR(__xludf.DUMMYFUNCTION("""COMPUTED_VALUE"""),24646.0)</f>
        <v>24646</v>
      </c>
      <c r="C15271" s="9">
        <f>IFERROR(__xludf.DUMMYFUNCTION("""COMPUTED_VALUE"""),5.14)</f>
        <v>5.14</v>
      </c>
      <c r="H15271" s="17"/>
      <c r="K15271" s="17"/>
      <c r="N15271" s="17"/>
    </row>
    <row r="15272">
      <c r="B15272" s="11">
        <f>IFERROR(__xludf.DUMMYFUNCTION("""COMPUTED_VALUE"""),24645.0)</f>
        <v>24645</v>
      </c>
      <c r="C15272" s="9">
        <f>IFERROR(__xludf.DUMMYFUNCTION("""COMPUTED_VALUE"""),5.13)</f>
        <v>5.13</v>
      </c>
      <c r="H15272" s="17"/>
      <c r="K15272" s="17"/>
      <c r="N15272" s="17"/>
    </row>
    <row r="15273">
      <c r="B15273" s="11">
        <f>IFERROR(__xludf.DUMMYFUNCTION("""COMPUTED_VALUE"""),24644.0)</f>
        <v>24644</v>
      </c>
      <c r="C15273" s="9">
        <f>IFERROR(__xludf.DUMMYFUNCTION("""COMPUTED_VALUE"""),5.14)</f>
        <v>5.14</v>
      </c>
      <c r="H15273" s="17"/>
      <c r="K15273" s="17"/>
      <c r="N15273" s="17"/>
    </row>
    <row r="15274">
      <c r="B15274" s="11">
        <f>IFERROR(__xludf.DUMMYFUNCTION("""COMPUTED_VALUE"""),24643.0)</f>
        <v>24643</v>
      </c>
      <c r="C15274" s="9">
        <f>IFERROR(__xludf.DUMMYFUNCTION("""COMPUTED_VALUE"""),5.14)</f>
        <v>5.14</v>
      </c>
      <c r="H15274" s="17"/>
      <c r="K15274" s="17"/>
      <c r="N15274" s="17"/>
    </row>
    <row r="15275">
      <c r="B15275" s="11">
        <f>IFERROR(__xludf.DUMMYFUNCTION("""COMPUTED_VALUE"""),24642.0)</f>
        <v>24642</v>
      </c>
      <c r="C15275" s="9">
        <f>IFERROR(__xludf.DUMMYFUNCTION("""COMPUTED_VALUE"""),5.07)</f>
        <v>5.07</v>
      </c>
      <c r="H15275" s="17"/>
      <c r="K15275" s="17"/>
      <c r="N15275" s="17"/>
    </row>
    <row r="15276">
      <c r="B15276" s="11">
        <f>IFERROR(__xludf.DUMMYFUNCTION("""COMPUTED_VALUE"""),24639.0)</f>
        <v>24639</v>
      </c>
      <c r="C15276" s="9">
        <f>IFERROR(__xludf.DUMMYFUNCTION("""COMPUTED_VALUE"""),5.07)</f>
        <v>5.07</v>
      </c>
      <c r="H15276" s="17"/>
      <c r="K15276" s="17"/>
      <c r="N15276" s="17"/>
    </row>
    <row r="15277">
      <c r="B15277" s="11">
        <f>IFERROR(__xludf.DUMMYFUNCTION("""COMPUTED_VALUE"""),24638.0)</f>
        <v>24638</v>
      </c>
      <c r="C15277" s="9">
        <f>IFERROR(__xludf.DUMMYFUNCTION("""COMPUTED_VALUE"""),5.02)</f>
        <v>5.02</v>
      </c>
      <c r="H15277" s="17"/>
      <c r="K15277" s="17"/>
      <c r="N15277" s="17"/>
    </row>
    <row r="15278">
      <c r="B15278" s="11">
        <f>IFERROR(__xludf.DUMMYFUNCTION("""COMPUTED_VALUE"""),24637.0)</f>
        <v>24637</v>
      </c>
      <c r="C15278" s="9">
        <f>IFERROR(__xludf.DUMMYFUNCTION("""COMPUTED_VALUE"""),5.02)</f>
        <v>5.02</v>
      </c>
      <c r="H15278" s="17"/>
      <c r="K15278" s="17"/>
      <c r="N15278" s="17"/>
    </row>
    <row r="15279">
      <c r="B15279" s="11">
        <f>IFERROR(__xludf.DUMMYFUNCTION("""COMPUTED_VALUE"""),24636.0)</f>
        <v>24636</v>
      </c>
      <c r="C15279" s="9">
        <f>IFERROR(__xludf.DUMMYFUNCTION("""COMPUTED_VALUE"""),4.95)</f>
        <v>4.95</v>
      </c>
      <c r="H15279" s="17"/>
      <c r="K15279" s="17"/>
      <c r="N15279" s="17"/>
    </row>
    <row r="15280">
      <c r="B15280" s="11">
        <f>IFERROR(__xludf.DUMMYFUNCTION("""COMPUTED_VALUE"""),24635.0)</f>
        <v>24635</v>
      </c>
      <c r="C15280" s="9">
        <f>IFERROR(__xludf.DUMMYFUNCTION("""COMPUTED_VALUE"""),4.94)</f>
        <v>4.94</v>
      </c>
      <c r="H15280" s="17"/>
      <c r="K15280" s="17"/>
      <c r="N15280" s="17"/>
    </row>
    <row r="15281">
      <c r="B15281" s="11">
        <f>IFERROR(__xludf.DUMMYFUNCTION("""COMPUTED_VALUE"""),24632.0)</f>
        <v>24632</v>
      </c>
      <c r="C15281" s="9">
        <f>IFERROR(__xludf.DUMMYFUNCTION("""COMPUTED_VALUE"""),4.89)</f>
        <v>4.89</v>
      </c>
      <c r="H15281" s="17"/>
      <c r="K15281" s="17"/>
      <c r="N15281" s="17"/>
    </row>
    <row r="15282">
      <c r="B15282" s="11">
        <f>IFERROR(__xludf.DUMMYFUNCTION("""COMPUTED_VALUE"""),24631.0)</f>
        <v>24631</v>
      </c>
      <c r="C15282" s="9">
        <f>IFERROR(__xludf.DUMMYFUNCTION("""COMPUTED_VALUE"""),4.86)</f>
        <v>4.86</v>
      </c>
      <c r="H15282" s="17"/>
      <c r="K15282" s="17"/>
      <c r="N15282" s="17"/>
    </row>
    <row r="15283">
      <c r="B15283" s="11">
        <f>IFERROR(__xludf.DUMMYFUNCTION("""COMPUTED_VALUE"""),24630.0)</f>
        <v>24630</v>
      </c>
      <c r="C15283" s="9">
        <f>IFERROR(__xludf.DUMMYFUNCTION("""COMPUTED_VALUE"""),4.84)</f>
        <v>4.84</v>
      </c>
      <c r="H15283" s="17"/>
      <c r="K15283" s="17"/>
      <c r="N15283" s="17"/>
    </row>
    <row r="15284">
      <c r="B15284" s="11">
        <f>IFERROR(__xludf.DUMMYFUNCTION("""COMPUTED_VALUE"""),24629.0)</f>
        <v>24629</v>
      </c>
      <c r="C15284" s="9">
        <f>IFERROR(__xludf.DUMMYFUNCTION("""COMPUTED_VALUE"""),4.84)</f>
        <v>4.84</v>
      </c>
      <c r="H15284" s="17"/>
      <c r="K15284" s="17"/>
      <c r="N15284" s="17"/>
    </row>
    <row r="15285">
      <c r="B15285" s="11">
        <f>IFERROR(__xludf.DUMMYFUNCTION("""COMPUTED_VALUE"""),24628.0)</f>
        <v>24628</v>
      </c>
      <c r="C15285" s="9">
        <f>IFERROR(__xludf.DUMMYFUNCTION("""COMPUTED_VALUE"""),4.85)</f>
        <v>4.85</v>
      </c>
      <c r="H15285" s="17"/>
      <c r="K15285" s="17"/>
      <c r="N15285" s="17"/>
    </row>
    <row r="15286">
      <c r="B15286" s="11">
        <f>IFERROR(__xludf.DUMMYFUNCTION("""COMPUTED_VALUE"""),24625.0)</f>
        <v>24625</v>
      </c>
      <c r="C15286" s="9">
        <f>IFERROR(__xludf.DUMMYFUNCTION("""COMPUTED_VALUE"""),4.82)</f>
        <v>4.82</v>
      </c>
      <c r="H15286" s="17"/>
      <c r="K15286" s="17"/>
      <c r="N15286" s="17"/>
    </row>
    <row r="15287">
      <c r="B15287" s="11">
        <f>IFERROR(__xludf.DUMMYFUNCTION("""COMPUTED_VALUE"""),24624.0)</f>
        <v>24624</v>
      </c>
      <c r="C15287" s="9">
        <f>IFERROR(__xludf.DUMMYFUNCTION("""COMPUTED_VALUE"""),4.81)</f>
        <v>4.81</v>
      </c>
      <c r="H15287" s="17"/>
      <c r="K15287" s="17"/>
      <c r="N15287" s="17"/>
    </row>
    <row r="15288">
      <c r="B15288" s="11">
        <f>IFERROR(__xludf.DUMMYFUNCTION("""COMPUTED_VALUE"""),24623.0)</f>
        <v>24623</v>
      </c>
      <c r="C15288" s="9">
        <f>IFERROR(__xludf.DUMMYFUNCTION("""COMPUTED_VALUE"""),4.81)</f>
        <v>4.81</v>
      </c>
      <c r="H15288" s="17"/>
      <c r="K15288" s="17"/>
      <c r="N15288" s="17"/>
    </row>
    <row r="15289">
      <c r="B15289" s="11">
        <f>IFERROR(__xludf.DUMMYFUNCTION("""COMPUTED_VALUE"""),24622.0)</f>
        <v>24622</v>
      </c>
      <c r="C15289" s="9"/>
      <c r="H15289" s="17"/>
      <c r="K15289" s="17"/>
      <c r="N15289" s="17"/>
    </row>
    <row r="15290">
      <c r="B15290" s="11">
        <f>IFERROR(__xludf.DUMMYFUNCTION("""COMPUTED_VALUE"""),24621.0)</f>
        <v>24621</v>
      </c>
      <c r="C15290" s="9">
        <f>IFERROR(__xludf.DUMMYFUNCTION("""COMPUTED_VALUE"""),4.84)</f>
        <v>4.84</v>
      </c>
      <c r="H15290" s="17"/>
      <c r="K15290" s="17"/>
      <c r="N15290" s="17"/>
    </row>
    <row r="15291">
      <c r="B15291" s="11">
        <f>IFERROR(__xludf.DUMMYFUNCTION("""COMPUTED_VALUE"""),24618.0)</f>
        <v>24618</v>
      </c>
      <c r="C15291" s="9">
        <f>IFERROR(__xludf.DUMMYFUNCTION("""COMPUTED_VALUE"""),4.86)</f>
        <v>4.86</v>
      </c>
      <c r="H15291" s="17"/>
      <c r="K15291" s="17"/>
      <c r="N15291" s="17"/>
    </row>
    <row r="15292">
      <c r="B15292" s="11">
        <f>IFERROR(__xludf.DUMMYFUNCTION("""COMPUTED_VALUE"""),24617.0)</f>
        <v>24617</v>
      </c>
      <c r="C15292" s="9">
        <f>IFERROR(__xludf.DUMMYFUNCTION("""COMPUTED_VALUE"""),4.92)</f>
        <v>4.92</v>
      </c>
      <c r="H15292" s="17"/>
      <c r="K15292" s="17"/>
      <c r="N15292" s="17"/>
    </row>
    <row r="15293">
      <c r="B15293" s="11">
        <f>IFERROR(__xludf.DUMMYFUNCTION("""COMPUTED_VALUE"""),24616.0)</f>
        <v>24616</v>
      </c>
      <c r="C15293" s="9">
        <f>IFERROR(__xludf.DUMMYFUNCTION("""COMPUTED_VALUE"""),4.93)</f>
        <v>4.93</v>
      </c>
      <c r="H15293" s="17"/>
      <c r="K15293" s="17"/>
      <c r="N15293" s="17"/>
    </row>
    <row r="15294">
      <c r="B15294" s="11">
        <f>IFERROR(__xludf.DUMMYFUNCTION("""COMPUTED_VALUE"""),24615.0)</f>
        <v>24615</v>
      </c>
      <c r="C15294" s="9">
        <f>IFERROR(__xludf.DUMMYFUNCTION("""COMPUTED_VALUE"""),4.94)</f>
        <v>4.94</v>
      </c>
      <c r="H15294" s="17"/>
      <c r="K15294" s="17"/>
      <c r="N15294" s="17"/>
    </row>
    <row r="15295">
      <c r="B15295" s="11">
        <f>IFERROR(__xludf.DUMMYFUNCTION("""COMPUTED_VALUE"""),24614.0)</f>
        <v>24614</v>
      </c>
      <c r="C15295" s="9">
        <f>IFERROR(__xludf.DUMMYFUNCTION("""COMPUTED_VALUE"""),4.94)</f>
        <v>4.94</v>
      </c>
      <c r="H15295" s="17"/>
      <c r="K15295" s="17"/>
      <c r="N15295" s="17"/>
    </row>
    <row r="15296">
      <c r="B15296" s="11">
        <f>IFERROR(__xludf.DUMMYFUNCTION("""COMPUTED_VALUE"""),24611.0)</f>
        <v>24611</v>
      </c>
      <c r="C15296" s="9">
        <f>IFERROR(__xludf.DUMMYFUNCTION("""COMPUTED_VALUE"""),4.89)</f>
        <v>4.89</v>
      </c>
      <c r="H15296" s="17"/>
      <c r="K15296" s="17"/>
      <c r="N15296" s="17"/>
    </row>
    <row r="15297">
      <c r="B15297" s="11">
        <f>IFERROR(__xludf.DUMMYFUNCTION("""COMPUTED_VALUE"""),24610.0)</f>
        <v>24610</v>
      </c>
      <c r="C15297" s="9">
        <f>IFERROR(__xludf.DUMMYFUNCTION("""COMPUTED_VALUE"""),4.88)</f>
        <v>4.88</v>
      </c>
      <c r="H15297" s="17"/>
      <c r="K15297" s="17"/>
      <c r="N15297" s="17"/>
    </row>
    <row r="15298">
      <c r="B15298" s="11">
        <f>IFERROR(__xludf.DUMMYFUNCTION("""COMPUTED_VALUE"""),24609.0)</f>
        <v>24609</v>
      </c>
      <c r="C15298" s="9">
        <f>IFERROR(__xludf.DUMMYFUNCTION("""COMPUTED_VALUE"""),4.88)</f>
        <v>4.88</v>
      </c>
      <c r="H15298" s="17"/>
      <c r="K15298" s="17"/>
      <c r="N15298" s="17"/>
    </row>
    <row r="15299">
      <c r="B15299" s="11">
        <f>IFERROR(__xludf.DUMMYFUNCTION("""COMPUTED_VALUE"""),24608.0)</f>
        <v>24608</v>
      </c>
      <c r="C15299" s="9">
        <f>IFERROR(__xludf.DUMMYFUNCTION("""COMPUTED_VALUE"""),4.87)</f>
        <v>4.87</v>
      </c>
      <c r="H15299" s="17"/>
      <c r="K15299" s="17"/>
      <c r="N15299" s="17"/>
    </row>
    <row r="15300">
      <c r="B15300" s="11">
        <f>IFERROR(__xludf.DUMMYFUNCTION("""COMPUTED_VALUE"""),24607.0)</f>
        <v>24607</v>
      </c>
      <c r="C15300" s="9">
        <f>IFERROR(__xludf.DUMMYFUNCTION("""COMPUTED_VALUE"""),4.86)</f>
        <v>4.86</v>
      </c>
      <c r="H15300" s="17"/>
      <c r="K15300" s="17"/>
      <c r="N15300" s="17"/>
    </row>
    <row r="15301">
      <c r="B15301" s="11">
        <f>IFERROR(__xludf.DUMMYFUNCTION("""COMPUTED_VALUE"""),24604.0)</f>
        <v>24604</v>
      </c>
      <c r="C15301" s="9">
        <f>IFERROR(__xludf.DUMMYFUNCTION("""COMPUTED_VALUE"""),4.82)</f>
        <v>4.82</v>
      </c>
      <c r="H15301" s="17"/>
      <c r="K15301" s="17"/>
      <c r="N15301" s="17"/>
    </row>
    <row r="15302">
      <c r="B15302" s="11">
        <f>IFERROR(__xludf.DUMMYFUNCTION("""COMPUTED_VALUE"""),24603.0)</f>
        <v>24603</v>
      </c>
      <c r="C15302" s="9">
        <f>IFERROR(__xludf.DUMMYFUNCTION("""COMPUTED_VALUE"""),4.84)</f>
        <v>4.84</v>
      </c>
      <c r="H15302" s="17"/>
      <c r="K15302" s="17"/>
      <c r="N15302" s="17"/>
    </row>
    <row r="15303">
      <c r="B15303" s="11">
        <f>IFERROR(__xludf.DUMMYFUNCTION("""COMPUTED_VALUE"""),24602.0)</f>
        <v>24602</v>
      </c>
      <c r="C15303" s="9">
        <f>IFERROR(__xludf.DUMMYFUNCTION("""COMPUTED_VALUE"""),4.87)</f>
        <v>4.87</v>
      </c>
      <c r="H15303" s="17"/>
      <c r="K15303" s="17"/>
      <c r="N15303" s="17"/>
    </row>
    <row r="15304">
      <c r="B15304" s="11">
        <f>IFERROR(__xludf.DUMMYFUNCTION("""COMPUTED_VALUE"""),24601.0)</f>
        <v>24601</v>
      </c>
      <c r="C15304" s="9">
        <f>IFERROR(__xludf.DUMMYFUNCTION("""COMPUTED_VALUE"""),4.87)</f>
        <v>4.87</v>
      </c>
      <c r="H15304" s="17"/>
      <c r="K15304" s="17"/>
      <c r="N15304" s="17"/>
    </row>
    <row r="15305">
      <c r="B15305" s="11">
        <f>IFERROR(__xludf.DUMMYFUNCTION("""COMPUTED_VALUE"""),24600.0)</f>
        <v>24600</v>
      </c>
      <c r="C15305" s="9">
        <f>IFERROR(__xludf.DUMMYFUNCTION("""COMPUTED_VALUE"""),4.83)</f>
        <v>4.83</v>
      </c>
      <c r="H15305" s="17"/>
      <c r="K15305" s="17"/>
      <c r="N15305" s="17"/>
    </row>
    <row r="15306">
      <c r="B15306" s="11">
        <f>IFERROR(__xludf.DUMMYFUNCTION("""COMPUTED_VALUE"""),24597.0)</f>
        <v>24597</v>
      </c>
      <c r="C15306" s="9">
        <f>IFERROR(__xludf.DUMMYFUNCTION("""COMPUTED_VALUE"""),4.77)</f>
        <v>4.77</v>
      </c>
      <c r="H15306" s="17"/>
      <c r="K15306" s="17"/>
      <c r="N15306" s="17"/>
    </row>
    <row r="15307">
      <c r="B15307" s="11">
        <f>IFERROR(__xludf.DUMMYFUNCTION("""COMPUTED_VALUE"""),24596.0)</f>
        <v>24596</v>
      </c>
      <c r="C15307" s="9">
        <f>IFERROR(__xludf.DUMMYFUNCTION("""COMPUTED_VALUE"""),4.76)</f>
        <v>4.76</v>
      </c>
      <c r="H15307" s="17"/>
      <c r="K15307" s="17"/>
      <c r="N15307" s="17"/>
    </row>
    <row r="15308">
      <c r="B15308" s="11">
        <f>IFERROR(__xludf.DUMMYFUNCTION("""COMPUTED_VALUE"""),24595.0)</f>
        <v>24595</v>
      </c>
      <c r="C15308" s="9">
        <f>IFERROR(__xludf.DUMMYFUNCTION("""COMPUTED_VALUE"""),4.75)</f>
        <v>4.75</v>
      </c>
      <c r="H15308" s="17"/>
      <c r="K15308" s="17"/>
      <c r="N15308" s="17"/>
    </row>
    <row r="15309">
      <c r="B15309" s="11">
        <f>IFERROR(__xludf.DUMMYFUNCTION("""COMPUTED_VALUE"""),24594.0)</f>
        <v>24594</v>
      </c>
      <c r="C15309" s="9">
        <f>IFERROR(__xludf.DUMMYFUNCTION("""COMPUTED_VALUE"""),4.75)</f>
        <v>4.75</v>
      </c>
      <c r="H15309" s="17"/>
      <c r="K15309" s="17"/>
      <c r="N15309" s="17"/>
    </row>
    <row r="15310">
      <c r="B15310" s="11">
        <f>IFERROR(__xludf.DUMMYFUNCTION("""COMPUTED_VALUE"""),24593.0)</f>
        <v>24593</v>
      </c>
      <c r="C15310" s="9">
        <f>IFERROR(__xludf.DUMMYFUNCTION("""COMPUTED_VALUE"""),4.77)</f>
        <v>4.77</v>
      </c>
      <c r="H15310" s="17"/>
      <c r="K15310" s="17"/>
      <c r="N15310" s="17"/>
    </row>
    <row r="15311">
      <c r="B15311" s="11">
        <f>IFERROR(__xludf.DUMMYFUNCTION("""COMPUTED_VALUE"""),24590.0)</f>
        <v>24590</v>
      </c>
      <c r="C15311" s="9">
        <f>IFERROR(__xludf.DUMMYFUNCTION("""COMPUTED_VALUE"""),4.78)</f>
        <v>4.78</v>
      </c>
      <c r="H15311" s="17"/>
      <c r="K15311" s="17"/>
      <c r="N15311" s="17"/>
    </row>
    <row r="15312">
      <c r="B15312" s="11">
        <f>IFERROR(__xludf.DUMMYFUNCTION("""COMPUTED_VALUE"""),24589.0)</f>
        <v>24589</v>
      </c>
      <c r="C15312" s="9">
        <f>IFERROR(__xludf.DUMMYFUNCTION("""COMPUTED_VALUE"""),4.73)</f>
        <v>4.73</v>
      </c>
      <c r="H15312" s="17"/>
      <c r="K15312" s="17"/>
      <c r="N15312" s="17"/>
    </row>
    <row r="15313">
      <c r="B15313" s="11">
        <f>IFERROR(__xludf.DUMMYFUNCTION("""COMPUTED_VALUE"""),24588.0)</f>
        <v>24588</v>
      </c>
      <c r="C15313" s="9">
        <f>IFERROR(__xludf.DUMMYFUNCTION("""COMPUTED_VALUE"""),4.73)</f>
        <v>4.73</v>
      </c>
      <c r="H15313" s="17"/>
      <c r="K15313" s="17"/>
      <c r="N15313" s="17"/>
    </row>
    <row r="15314">
      <c r="B15314" s="11">
        <f>IFERROR(__xludf.DUMMYFUNCTION("""COMPUTED_VALUE"""),24587.0)</f>
        <v>24587</v>
      </c>
      <c r="C15314" s="9">
        <f>IFERROR(__xludf.DUMMYFUNCTION("""COMPUTED_VALUE"""),4.71)</f>
        <v>4.71</v>
      </c>
      <c r="H15314" s="17"/>
      <c r="K15314" s="17"/>
      <c r="N15314" s="17"/>
    </row>
    <row r="15315">
      <c r="B15315" s="11">
        <f>IFERROR(__xludf.DUMMYFUNCTION("""COMPUTED_VALUE"""),24586.0)</f>
        <v>24586</v>
      </c>
      <c r="C15315" s="9">
        <f>IFERROR(__xludf.DUMMYFUNCTION("""COMPUTED_VALUE"""),4.68)</f>
        <v>4.68</v>
      </c>
      <c r="H15315" s="17"/>
      <c r="K15315" s="17"/>
      <c r="N15315" s="17"/>
    </row>
    <row r="15316">
      <c r="B15316" s="11">
        <f>IFERROR(__xludf.DUMMYFUNCTION("""COMPUTED_VALUE"""),24583.0)</f>
        <v>24583</v>
      </c>
      <c r="C15316" s="9">
        <f>IFERROR(__xludf.DUMMYFUNCTION("""COMPUTED_VALUE"""),4.66)</f>
        <v>4.66</v>
      </c>
      <c r="H15316" s="17"/>
      <c r="K15316" s="17"/>
      <c r="N15316" s="17"/>
    </row>
    <row r="15317">
      <c r="B15317" s="11">
        <f>IFERROR(__xludf.DUMMYFUNCTION("""COMPUTED_VALUE"""),24582.0)</f>
        <v>24582</v>
      </c>
      <c r="C15317" s="9">
        <f>IFERROR(__xludf.DUMMYFUNCTION("""COMPUTED_VALUE"""),4.63)</f>
        <v>4.63</v>
      </c>
      <c r="H15317" s="17"/>
      <c r="K15317" s="17"/>
      <c r="N15317" s="17"/>
    </row>
    <row r="15318">
      <c r="B15318" s="11">
        <f>IFERROR(__xludf.DUMMYFUNCTION("""COMPUTED_VALUE"""),24581.0)</f>
        <v>24581</v>
      </c>
      <c r="C15318" s="9">
        <f>IFERROR(__xludf.DUMMYFUNCTION("""COMPUTED_VALUE"""),4.63)</f>
        <v>4.63</v>
      </c>
      <c r="H15318" s="17"/>
      <c r="K15318" s="17"/>
      <c r="N15318" s="17"/>
    </row>
    <row r="15319">
      <c r="B15319" s="11">
        <f>IFERROR(__xludf.DUMMYFUNCTION("""COMPUTED_VALUE"""),24580.0)</f>
        <v>24580</v>
      </c>
      <c r="C15319" s="9">
        <f>IFERROR(__xludf.DUMMYFUNCTION("""COMPUTED_VALUE"""),4.63)</f>
        <v>4.63</v>
      </c>
      <c r="H15319" s="17"/>
      <c r="K15319" s="17"/>
      <c r="N15319" s="17"/>
    </row>
    <row r="15320">
      <c r="B15320" s="11">
        <f>IFERROR(__xludf.DUMMYFUNCTION("""COMPUTED_VALUE"""),24579.0)</f>
        <v>24579</v>
      </c>
      <c r="C15320" s="9">
        <f>IFERROR(__xludf.DUMMYFUNCTION("""COMPUTED_VALUE"""),4.61)</f>
        <v>4.61</v>
      </c>
      <c r="H15320" s="17"/>
      <c r="K15320" s="17"/>
      <c r="N15320" s="17"/>
    </row>
    <row r="15321">
      <c r="B15321" s="11">
        <f>IFERROR(__xludf.DUMMYFUNCTION("""COMPUTED_VALUE"""),24576.0)</f>
        <v>24576</v>
      </c>
      <c r="C15321" s="9">
        <f>IFERROR(__xludf.DUMMYFUNCTION("""COMPUTED_VALUE"""),4.56)</f>
        <v>4.56</v>
      </c>
      <c r="H15321" s="17"/>
      <c r="K15321" s="17"/>
      <c r="N15321" s="17"/>
    </row>
    <row r="15322">
      <c r="B15322" s="11">
        <f>IFERROR(__xludf.DUMMYFUNCTION("""COMPUTED_VALUE"""),24575.0)</f>
        <v>24575</v>
      </c>
      <c r="C15322" s="9">
        <f>IFERROR(__xludf.DUMMYFUNCTION("""COMPUTED_VALUE"""),4.54)</f>
        <v>4.54</v>
      </c>
      <c r="H15322" s="17"/>
      <c r="K15322" s="17"/>
      <c r="N15322" s="17"/>
    </row>
    <row r="15323">
      <c r="B15323" s="11">
        <f>IFERROR(__xludf.DUMMYFUNCTION("""COMPUTED_VALUE"""),24574.0)</f>
        <v>24574</v>
      </c>
      <c r="C15323" s="9">
        <f>IFERROR(__xludf.DUMMYFUNCTION("""COMPUTED_VALUE"""),4.51)</f>
        <v>4.51</v>
      </c>
      <c r="H15323" s="17"/>
      <c r="K15323" s="17"/>
      <c r="N15323" s="17"/>
    </row>
    <row r="15324">
      <c r="B15324" s="11">
        <f>IFERROR(__xludf.DUMMYFUNCTION("""COMPUTED_VALUE"""),24573.0)</f>
        <v>24573</v>
      </c>
      <c r="C15324" s="9">
        <f>IFERROR(__xludf.DUMMYFUNCTION("""COMPUTED_VALUE"""),4.51)</f>
        <v>4.51</v>
      </c>
      <c r="H15324" s="17"/>
      <c r="K15324" s="17"/>
      <c r="N15324" s="17"/>
    </row>
    <row r="15325">
      <c r="B15325" s="11">
        <f>IFERROR(__xludf.DUMMYFUNCTION("""COMPUTED_VALUE"""),24572.0)</f>
        <v>24572</v>
      </c>
      <c r="C15325" s="9">
        <f>IFERROR(__xludf.DUMMYFUNCTION("""COMPUTED_VALUE"""),4.5)</f>
        <v>4.5</v>
      </c>
      <c r="H15325" s="17"/>
      <c r="K15325" s="17"/>
      <c r="N15325" s="17"/>
    </row>
    <row r="15326">
      <c r="B15326" s="11">
        <f>IFERROR(__xludf.DUMMYFUNCTION("""COMPUTED_VALUE"""),24569.0)</f>
        <v>24569</v>
      </c>
      <c r="C15326" s="9">
        <f>IFERROR(__xludf.DUMMYFUNCTION("""COMPUTED_VALUE"""),4.48)</f>
        <v>4.48</v>
      </c>
      <c r="H15326" s="17"/>
      <c r="K15326" s="17"/>
      <c r="N15326" s="17"/>
    </row>
    <row r="15327">
      <c r="B15327" s="11">
        <f>IFERROR(__xludf.DUMMYFUNCTION("""COMPUTED_VALUE"""),24568.0)</f>
        <v>24568</v>
      </c>
      <c r="C15327" s="9">
        <f>IFERROR(__xludf.DUMMYFUNCTION("""COMPUTED_VALUE"""),4.49)</f>
        <v>4.49</v>
      </c>
      <c r="H15327" s="17"/>
      <c r="K15327" s="17"/>
      <c r="N15327" s="17"/>
    </row>
    <row r="15328">
      <c r="B15328" s="11">
        <f>IFERROR(__xludf.DUMMYFUNCTION("""COMPUTED_VALUE"""),24567.0)</f>
        <v>24567</v>
      </c>
      <c r="C15328" s="9">
        <f>IFERROR(__xludf.DUMMYFUNCTION("""COMPUTED_VALUE"""),4.5)</f>
        <v>4.5</v>
      </c>
      <c r="H15328" s="17"/>
      <c r="K15328" s="17"/>
      <c r="N15328" s="17"/>
    </row>
    <row r="15329">
      <c r="B15329" s="11">
        <f>IFERROR(__xludf.DUMMYFUNCTION("""COMPUTED_VALUE"""),24566.0)</f>
        <v>24566</v>
      </c>
      <c r="C15329" s="9">
        <f>IFERROR(__xludf.DUMMYFUNCTION("""COMPUTED_VALUE"""),4.49)</f>
        <v>4.49</v>
      </c>
      <c r="H15329" s="17"/>
      <c r="K15329" s="17"/>
      <c r="N15329" s="17"/>
    </row>
    <row r="15330">
      <c r="B15330" s="11">
        <f>IFERROR(__xludf.DUMMYFUNCTION("""COMPUTED_VALUE"""),24565.0)</f>
        <v>24565</v>
      </c>
      <c r="C15330" s="9">
        <f>IFERROR(__xludf.DUMMYFUNCTION("""COMPUTED_VALUE"""),4.5)</f>
        <v>4.5</v>
      </c>
      <c r="H15330" s="17"/>
      <c r="K15330" s="17"/>
      <c r="N15330" s="17"/>
    </row>
    <row r="15331">
      <c r="B15331" s="11">
        <f>IFERROR(__xludf.DUMMYFUNCTION("""COMPUTED_VALUE"""),24562.0)</f>
        <v>24562</v>
      </c>
      <c r="C15331" s="9">
        <f>IFERROR(__xludf.DUMMYFUNCTION("""COMPUTED_VALUE"""),4.5)</f>
        <v>4.5</v>
      </c>
      <c r="H15331" s="17"/>
      <c r="K15331" s="17"/>
      <c r="N15331" s="17"/>
    </row>
    <row r="15332">
      <c r="B15332" s="11">
        <f>IFERROR(__xludf.DUMMYFUNCTION("""COMPUTED_VALUE"""),24561.0)</f>
        <v>24561</v>
      </c>
      <c r="C15332" s="9">
        <f>IFERROR(__xludf.DUMMYFUNCTION("""COMPUTED_VALUE"""),4.5)</f>
        <v>4.5</v>
      </c>
      <c r="H15332" s="17"/>
      <c r="K15332" s="17"/>
      <c r="N15332" s="17"/>
    </row>
    <row r="15333">
      <c r="B15333" s="11">
        <f>IFERROR(__xludf.DUMMYFUNCTION("""COMPUTED_VALUE"""),24560.0)</f>
        <v>24560</v>
      </c>
      <c r="C15333" s="9">
        <f>IFERROR(__xludf.DUMMYFUNCTION("""COMPUTED_VALUE"""),4.52)</f>
        <v>4.52</v>
      </c>
      <c r="H15333" s="17"/>
      <c r="K15333" s="17"/>
      <c r="N15333" s="17"/>
    </row>
    <row r="15334">
      <c r="B15334" s="11">
        <f>IFERROR(__xludf.DUMMYFUNCTION("""COMPUTED_VALUE"""),24559.0)</f>
        <v>24559</v>
      </c>
      <c r="C15334" s="9">
        <f>IFERROR(__xludf.DUMMYFUNCTION("""COMPUTED_VALUE"""),4.52)</f>
        <v>4.52</v>
      </c>
      <c r="H15334" s="17"/>
      <c r="K15334" s="17"/>
      <c r="N15334" s="17"/>
    </row>
    <row r="15335">
      <c r="B15335" s="11">
        <f>IFERROR(__xludf.DUMMYFUNCTION("""COMPUTED_VALUE"""),24558.0)</f>
        <v>24558</v>
      </c>
      <c r="C15335" s="9">
        <f>IFERROR(__xludf.DUMMYFUNCTION("""COMPUTED_VALUE"""),4.52)</f>
        <v>4.52</v>
      </c>
      <c r="H15335" s="17"/>
      <c r="K15335" s="17"/>
      <c r="N15335" s="17"/>
    </row>
    <row r="15336">
      <c r="B15336" s="11">
        <f>IFERROR(__xludf.DUMMYFUNCTION("""COMPUTED_VALUE"""),24555.0)</f>
        <v>24555</v>
      </c>
      <c r="C15336" s="9"/>
      <c r="H15336" s="17"/>
      <c r="K15336" s="17"/>
      <c r="N15336" s="17"/>
    </row>
    <row r="15337">
      <c r="B15337" s="11">
        <f>IFERROR(__xludf.DUMMYFUNCTION("""COMPUTED_VALUE"""),24554.0)</f>
        <v>24554</v>
      </c>
      <c r="C15337" s="9">
        <f>IFERROR(__xludf.DUMMYFUNCTION("""COMPUTED_VALUE"""),4.5)</f>
        <v>4.5</v>
      </c>
      <c r="H15337" s="17"/>
      <c r="K15337" s="17"/>
      <c r="N15337" s="17"/>
    </row>
    <row r="15338">
      <c r="B15338" s="11">
        <f>IFERROR(__xludf.DUMMYFUNCTION("""COMPUTED_VALUE"""),24553.0)</f>
        <v>24553</v>
      </c>
      <c r="C15338" s="9">
        <f>IFERROR(__xludf.DUMMYFUNCTION("""COMPUTED_VALUE"""),4.52)</f>
        <v>4.52</v>
      </c>
      <c r="H15338" s="17"/>
      <c r="K15338" s="17"/>
      <c r="N15338" s="17"/>
    </row>
    <row r="15339">
      <c r="B15339" s="11">
        <f>IFERROR(__xludf.DUMMYFUNCTION("""COMPUTED_VALUE"""),24552.0)</f>
        <v>24552</v>
      </c>
      <c r="C15339" s="9">
        <f>IFERROR(__xludf.DUMMYFUNCTION("""COMPUTED_VALUE"""),4.51)</f>
        <v>4.51</v>
      </c>
      <c r="H15339" s="17"/>
      <c r="K15339" s="17"/>
      <c r="N15339" s="17"/>
    </row>
    <row r="15340">
      <c r="B15340" s="11">
        <f>IFERROR(__xludf.DUMMYFUNCTION("""COMPUTED_VALUE"""),24551.0)</f>
        <v>24551</v>
      </c>
      <c r="C15340" s="9">
        <f>IFERROR(__xludf.DUMMYFUNCTION("""COMPUTED_VALUE"""),4.45)</f>
        <v>4.45</v>
      </c>
      <c r="H15340" s="17"/>
      <c r="K15340" s="17"/>
      <c r="N15340" s="17"/>
    </row>
    <row r="15341">
      <c r="B15341" s="11">
        <f>IFERROR(__xludf.DUMMYFUNCTION("""COMPUTED_VALUE"""),24548.0)</f>
        <v>24548</v>
      </c>
      <c r="C15341" s="9">
        <f>IFERROR(__xludf.DUMMYFUNCTION("""COMPUTED_VALUE"""),4.47)</f>
        <v>4.47</v>
      </c>
      <c r="H15341" s="17"/>
      <c r="K15341" s="17"/>
      <c r="N15341" s="17"/>
    </row>
    <row r="15342">
      <c r="B15342" s="11">
        <f>IFERROR(__xludf.DUMMYFUNCTION("""COMPUTED_VALUE"""),24547.0)</f>
        <v>24547</v>
      </c>
      <c r="C15342" s="9">
        <f>IFERROR(__xludf.DUMMYFUNCTION("""COMPUTED_VALUE"""),4.45)</f>
        <v>4.45</v>
      </c>
      <c r="H15342" s="17"/>
      <c r="K15342" s="17"/>
      <c r="N15342" s="17"/>
    </row>
    <row r="15343">
      <c r="B15343" s="11">
        <f>IFERROR(__xludf.DUMMYFUNCTION("""COMPUTED_VALUE"""),24546.0)</f>
        <v>24546</v>
      </c>
      <c r="C15343" s="9">
        <f>IFERROR(__xludf.DUMMYFUNCTION("""COMPUTED_VALUE"""),4.49)</f>
        <v>4.49</v>
      </c>
      <c r="H15343" s="17"/>
      <c r="K15343" s="17"/>
      <c r="N15343" s="17"/>
    </row>
    <row r="15344">
      <c r="B15344" s="11">
        <f>IFERROR(__xludf.DUMMYFUNCTION("""COMPUTED_VALUE"""),24545.0)</f>
        <v>24545</v>
      </c>
      <c r="C15344" s="9">
        <f>IFERROR(__xludf.DUMMYFUNCTION("""COMPUTED_VALUE"""),4.53)</f>
        <v>4.53</v>
      </c>
      <c r="H15344" s="17"/>
      <c r="K15344" s="17"/>
      <c r="N15344" s="17"/>
    </row>
    <row r="15345">
      <c r="B15345" s="11">
        <f>IFERROR(__xludf.DUMMYFUNCTION("""COMPUTED_VALUE"""),24544.0)</f>
        <v>24544</v>
      </c>
      <c r="C15345" s="9">
        <f>IFERROR(__xludf.DUMMYFUNCTION("""COMPUTED_VALUE"""),4.56)</f>
        <v>4.56</v>
      </c>
      <c r="H15345" s="17"/>
      <c r="K15345" s="17"/>
      <c r="N15345" s="17"/>
    </row>
    <row r="15346">
      <c r="B15346" s="11">
        <f>IFERROR(__xludf.DUMMYFUNCTION("""COMPUTED_VALUE"""),24541.0)</f>
        <v>24541</v>
      </c>
      <c r="C15346" s="9">
        <f>IFERROR(__xludf.DUMMYFUNCTION("""COMPUTED_VALUE"""),4.58)</f>
        <v>4.58</v>
      </c>
      <c r="H15346" s="17"/>
      <c r="K15346" s="17"/>
      <c r="N15346" s="17"/>
    </row>
    <row r="15347">
      <c r="B15347" s="11">
        <f>IFERROR(__xludf.DUMMYFUNCTION("""COMPUTED_VALUE"""),24540.0)</f>
        <v>24540</v>
      </c>
      <c r="C15347" s="9">
        <f>IFERROR(__xludf.DUMMYFUNCTION("""COMPUTED_VALUE"""),4.57)</f>
        <v>4.57</v>
      </c>
      <c r="H15347" s="17"/>
      <c r="K15347" s="17"/>
      <c r="N15347" s="17"/>
    </row>
    <row r="15348">
      <c r="B15348" s="11">
        <f>IFERROR(__xludf.DUMMYFUNCTION("""COMPUTED_VALUE"""),24539.0)</f>
        <v>24539</v>
      </c>
      <c r="C15348" s="9">
        <f>IFERROR(__xludf.DUMMYFUNCTION("""COMPUTED_VALUE"""),4.61)</f>
        <v>4.61</v>
      </c>
      <c r="H15348" s="17"/>
      <c r="K15348" s="17"/>
      <c r="N15348" s="17"/>
    </row>
    <row r="15349">
      <c r="B15349" s="11">
        <f>IFERROR(__xludf.DUMMYFUNCTION("""COMPUTED_VALUE"""),24538.0)</f>
        <v>24538</v>
      </c>
      <c r="C15349" s="9">
        <f>IFERROR(__xludf.DUMMYFUNCTION("""COMPUTED_VALUE"""),4.6)</f>
        <v>4.6</v>
      </c>
      <c r="H15349" s="17"/>
      <c r="K15349" s="17"/>
      <c r="N15349" s="17"/>
    </row>
    <row r="15350">
      <c r="B15350" s="11">
        <f>IFERROR(__xludf.DUMMYFUNCTION("""COMPUTED_VALUE"""),24537.0)</f>
        <v>24537</v>
      </c>
      <c r="C15350" s="9">
        <f>IFERROR(__xludf.DUMMYFUNCTION("""COMPUTED_VALUE"""),4.61)</f>
        <v>4.61</v>
      </c>
      <c r="H15350" s="17"/>
      <c r="K15350" s="17"/>
      <c r="N15350" s="17"/>
    </row>
    <row r="15351">
      <c r="B15351" s="11">
        <f>IFERROR(__xludf.DUMMYFUNCTION("""COMPUTED_VALUE"""),24534.0)</f>
        <v>24534</v>
      </c>
      <c r="C15351" s="9">
        <f>IFERROR(__xludf.DUMMYFUNCTION("""COMPUTED_VALUE"""),4.62)</f>
        <v>4.62</v>
      </c>
      <c r="H15351" s="17"/>
      <c r="K15351" s="17"/>
      <c r="N15351" s="17"/>
    </row>
    <row r="15352">
      <c r="B15352" s="11">
        <f>IFERROR(__xludf.DUMMYFUNCTION("""COMPUTED_VALUE"""),24533.0)</f>
        <v>24533</v>
      </c>
      <c r="C15352" s="9">
        <f>IFERROR(__xludf.DUMMYFUNCTION("""COMPUTED_VALUE"""),4.63)</f>
        <v>4.63</v>
      </c>
      <c r="H15352" s="17"/>
      <c r="K15352" s="17"/>
      <c r="N15352" s="17"/>
    </row>
    <row r="15353">
      <c r="B15353" s="11">
        <f>IFERROR(__xludf.DUMMYFUNCTION("""COMPUTED_VALUE"""),24532.0)</f>
        <v>24532</v>
      </c>
      <c r="C15353" s="9">
        <f>IFERROR(__xludf.DUMMYFUNCTION("""COMPUTED_VALUE"""),4.66)</f>
        <v>4.66</v>
      </c>
      <c r="H15353" s="17"/>
      <c r="K15353" s="17"/>
      <c r="N15353" s="17"/>
    </row>
    <row r="15354">
      <c r="B15354" s="11">
        <f>IFERROR(__xludf.DUMMYFUNCTION("""COMPUTED_VALUE"""),24531.0)</f>
        <v>24531</v>
      </c>
      <c r="C15354" s="9">
        <f>IFERROR(__xludf.DUMMYFUNCTION("""COMPUTED_VALUE"""),4.72)</f>
        <v>4.72</v>
      </c>
      <c r="H15354" s="17"/>
      <c r="K15354" s="17"/>
      <c r="N15354" s="17"/>
    </row>
    <row r="15355">
      <c r="B15355" s="11">
        <f>IFERROR(__xludf.DUMMYFUNCTION("""COMPUTED_VALUE"""),24530.0)</f>
        <v>24530</v>
      </c>
      <c r="C15355" s="9">
        <f>IFERROR(__xludf.DUMMYFUNCTION("""COMPUTED_VALUE"""),4.72)</f>
        <v>4.72</v>
      </c>
      <c r="H15355" s="17"/>
      <c r="K15355" s="17"/>
      <c r="N15355" s="17"/>
    </row>
    <row r="15356">
      <c r="B15356" s="11">
        <f>IFERROR(__xludf.DUMMYFUNCTION("""COMPUTED_VALUE"""),24527.0)</f>
        <v>24527</v>
      </c>
      <c r="C15356" s="9">
        <f>IFERROR(__xludf.DUMMYFUNCTION("""COMPUTED_VALUE"""),4.73)</f>
        <v>4.73</v>
      </c>
      <c r="H15356" s="17"/>
      <c r="K15356" s="17"/>
      <c r="N15356" s="17"/>
    </row>
    <row r="15357">
      <c r="B15357" s="11">
        <f>IFERROR(__xludf.DUMMYFUNCTION("""COMPUTED_VALUE"""),24526.0)</f>
        <v>24526</v>
      </c>
      <c r="C15357" s="9">
        <f>IFERROR(__xludf.DUMMYFUNCTION("""COMPUTED_VALUE"""),4.74)</f>
        <v>4.74</v>
      </c>
      <c r="H15357" s="17"/>
      <c r="K15357" s="17"/>
      <c r="N15357" s="17"/>
    </row>
    <row r="15358">
      <c r="B15358" s="11">
        <f>IFERROR(__xludf.DUMMYFUNCTION("""COMPUTED_VALUE"""),24525.0)</f>
        <v>24525</v>
      </c>
      <c r="C15358" s="9"/>
      <c r="H15358" s="17"/>
      <c r="K15358" s="17"/>
      <c r="N15358" s="17"/>
    </row>
    <row r="15359">
      <c r="B15359" s="11">
        <f>IFERROR(__xludf.DUMMYFUNCTION("""COMPUTED_VALUE"""),24524.0)</f>
        <v>24524</v>
      </c>
      <c r="C15359" s="9">
        <f>IFERROR(__xludf.DUMMYFUNCTION("""COMPUTED_VALUE"""),4.71)</f>
        <v>4.71</v>
      </c>
      <c r="H15359" s="17"/>
      <c r="K15359" s="17"/>
      <c r="N15359" s="17"/>
    </row>
    <row r="15360">
      <c r="B15360" s="11">
        <f>IFERROR(__xludf.DUMMYFUNCTION("""COMPUTED_VALUE"""),24523.0)</f>
        <v>24523</v>
      </c>
      <c r="C15360" s="9">
        <f>IFERROR(__xludf.DUMMYFUNCTION("""COMPUTED_VALUE"""),4.7)</f>
        <v>4.7</v>
      </c>
      <c r="H15360" s="17"/>
      <c r="K15360" s="17"/>
      <c r="N15360" s="17"/>
    </row>
    <row r="15361">
      <c r="B15361" s="11">
        <f>IFERROR(__xludf.DUMMYFUNCTION("""COMPUTED_VALUE"""),24520.0)</f>
        <v>24520</v>
      </c>
      <c r="C15361" s="9">
        <f>IFERROR(__xludf.DUMMYFUNCTION("""COMPUTED_VALUE"""),4.68)</f>
        <v>4.68</v>
      </c>
      <c r="H15361" s="17"/>
      <c r="K15361" s="17"/>
      <c r="N15361" s="17"/>
    </row>
    <row r="15362">
      <c r="B15362" s="11">
        <f>IFERROR(__xludf.DUMMYFUNCTION("""COMPUTED_VALUE"""),24519.0)</f>
        <v>24519</v>
      </c>
      <c r="C15362" s="9">
        <f>IFERROR(__xludf.DUMMYFUNCTION("""COMPUTED_VALUE"""),4.67)</f>
        <v>4.67</v>
      </c>
      <c r="H15362" s="17"/>
      <c r="K15362" s="17"/>
      <c r="N15362" s="17"/>
    </row>
    <row r="15363">
      <c r="B15363" s="11">
        <f>IFERROR(__xludf.DUMMYFUNCTION("""COMPUTED_VALUE"""),24518.0)</f>
        <v>24518</v>
      </c>
      <c r="C15363" s="9">
        <f>IFERROR(__xludf.DUMMYFUNCTION("""COMPUTED_VALUE"""),4.69)</f>
        <v>4.69</v>
      </c>
      <c r="H15363" s="17"/>
      <c r="K15363" s="17"/>
      <c r="N15363" s="17"/>
    </row>
    <row r="15364">
      <c r="B15364" s="11">
        <f>IFERROR(__xludf.DUMMYFUNCTION("""COMPUTED_VALUE"""),24517.0)</f>
        <v>24517</v>
      </c>
      <c r="C15364" s="9">
        <f>IFERROR(__xludf.DUMMYFUNCTION("""COMPUTED_VALUE"""),4.64)</f>
        <v>4.64</v>
      </c>
      <c r="H15364" s="17"/>
      <c r="K15364" s="17"/>
      <c r="N15364" s="17"/>
    </row>
    <row r="15365">
      <c r="B15365" s="11">
        <f>IFERROR(__xludf.DUMMYFUNCTION("""COMPUTED_VALUE"""),24516.0)</f>
        <v>24516</v>
      </c>
      <c r="C15365" s="9"/>
      <c r="H15365" s="17"/>
      <c r="K15365" s="17"/>
      <c r="N15365" s="17"/>
    </row>
    <row r="15366">
      <c r="B15366" s="11">
        <f>IFERROR(__xludf.DUMMYFUNCTION("""COMPUTED_VALUE"""),24513.0)</f>
        <v>24513</v>
      </c>
      <c r="C15366" s="9">
        <f>IFERROR(__xludf.DUMMYFUNCTION("""COMPUTED_VALUE"""),4.59)</f>
        <v>4.59</v>
      </c>
      <c r="H15366" s="17"/>
      <c r="K15366" s="17"/>
      <c r="N15366" s="17"/>
    </row>
    <row r="15367">
      <c r="B15367" s="11">
        <f>IFERROR(__xludf.DUMMYFUNCTION("""COMPUTED_VALUE"""),24512.0)</f>
        <v>24512</v>
      </c>
      <c r="C15367" s="9">
        <f>IFERROR(__xludf.DUMMYFUNCTION("""COMPUTED_VALUE"""),4.53)</f>
        <v>4.53</v>
      </c>
      <c r="H15367" s="17"/>
      <c r="K15367" s="17"/>
      <c r="N15367" s="17"/>
    </row>
    <row r="15368">
      <c r="B15368" s="11">
        <f>IFERROR(__xludf.DUMMYFUNCTION("""COMPUTED_VALUE"""),24511.0)</f>
        <v>24511</v>
      </c>
      <c r="C15368" s="9">
        <f>IFERROR(__xludf.DUMMYFUNCTION("""COMPUTED_VALUE"""),4.54)</f>
        <v>4.54</v>
      </c>
      <c r="H15368" s="17"/>
      <c r="K15368" s="17"/>
      <c r="N15368" s="17"/>
    </row>
    <row r="15369">
      <c r="B15369" s="11">
        <f>IFERROR(__xludf.DUMMYFUNCTION("""COMPUTED_VALUE"""),24510.0)</f>
        <v>24510</v>
      </c>
      <c r="C15369" s="9">
        <f>IFERROR(__xludf.DUMMYFUNCTION("""COMPUTED_VALUE"""),4.54)</f>
        <v>4.54</v>
      </c>
      <c r="H15369" s="17"/>
      <c r="K15369" s="17"/>
      <c r="N15369" s="17"/>
    </row>
    <row r="15370">
      <c r="B15370" s="11">
        <f>IFERROR(__xludf.DUMMYFUNCTION("""COMPUTED_VALUE"""),24509.0)</f>
        <v>24509</v>
      </c>
      <c r="C15370" s="9">
        <f>IFERROR(__xludf.DUMMYFUNCTION("""COMPUTED_VALUE"""),4.53)</f>
        <v>4.53</v>
      </c>
      <c r="H15370" s="17"/>
      <c r="K15370" s="17"/>
      <c r="N15370" s="17"/>
    </row>
    <row r="15371">
      <c r="B15371" s="11">
        <f>IFERROR(__xludf.DUMMYFUNCTION("""COMPUTED_VALUE"""),24506.0)</f>
        <v>24506</v>
      </c>
      <c r="C15371" s="9">
        <f>IFERROR(__xludf.DUMMYFUNCTION("""COMPUTED_VALUE"""),4.52)</f>
        <v>4.52</v>
      </c>
      <c r="H15371" s="17"/>
      <c r="K15371" s="17"/>
      <c r="N15371" s="17"/>
    </row>
    <row r="15372">
      <c r="B15372" s="11">
        <f>IFERROR(__xludf.DUMMYFUNCTION("""COMPUTED_VALUE"""),24505.0)</f>
        <v>24505</v>
      </c>
      <c r="C15372" s="9">
        <f>IFERROR(__xludf.DUMMYFUNCTION("""COMPUTED_VALUE"""),4.51)</f>
        <v>4.51</v>
      </c>
      <c r="H15372" s="17"/>
      <c r="K15372" s="17"/>
      <c r="N15372" s="17"/>
    </row>
    <row r="15373">
      <c r="B15373" s="11">
        <f>IFERROR(__xludf.DUMMYFUNCTION("""COMPUTED_VALUE"""),24504.0)</f>
        <v>24504</v>
      </c>
      <c r="C15373" s="9">
        <f>IFERROR(__xludf.DUMMYFUNCTION("""COMPUTED_VALUE"""),4.52)</f>
        <v>4.52</v>
      </c>
      <c r="H15373" s="17"/>
      <c r="K15373" s="17"/>
      <c r="N15373" s="17"/>
    </row>
    <row r="15374">
      <c r="B15374" s="11">
        <f>IFERROR(__xludf.DUMMYFUNCTION("""COMPUTED_VALUE"""),24503.0)</f>
        <v>24503</v>
      </c>
      <c r="C15374" s="9">
        <f>IFERROR(__xludf.DUMMYFUNCTION("""COMPUTED_VALUE"""),4.52)</f>
        <v>4.52</v>
      </c>
      <c r="H15374" s="17"/>
      <c r="K15374" s="17"/>
      <c r="N15374" s="17"/>
    </row>
    <row r="15375">
      <c r="B15375" s="11">
        <f>IFERROR(__xludf.DUMMYFUNCTION("""COMPUTED_VALUE"""),24502.0)</f>
        <v>24502</v>
      </c>
      <c r="C15375" s="9">
        <f>IFERROR(__xludf.DUMMYFUNCTION("""COMPUTED_VALUE"""),4.48)</f>
        <v>4.48</v>
      </c>
      <c r="H15375" s="17"/>
      <c r="K15375" s="17"/>
      <c r="N15375" s="17"/>
    </row>
    <row r="15376">
      <c r="B15376" s="11">
        <f>IFERROR(__xludf.DUMMYFUNCTION("""COMPUTED_VALUE"""),24499.0)</f>
        <v>24499</v>
      </c>
      <c r="C15376" s="9">
        <f>IFERROR(__xludf.DUMMYFUNCTION("""COMPUTED_VALUE"""),4.47)</f>
        <v>4.47</v>
      </c>
      <c r="H15376" s="17"/>
      <c r="K15376" s="17"/>
      <c r="N15376" s="17"/>
    </row>
    <row r="15377">
      <c r="B15377" s="11">
        <f>IFERROR(__xludf.DUMMYFUNCTION("""COMPUTED_VALUE"""),24498.0)</f>
        <v>24498</v>
      </c>
      <c r="C15377" s="9">
        <f>IFERROR(__xludf.DUMMYFUNCTION("""COMPUTED_VALUE"""),4.5)</f>
        <v>4.5</v>
      </c>
      <c r="H15377" s="17"/>
      <c r="K15377" s="17"/>
      <c r="N15377" s="17"/>
    </row>
    <row r="15378">
      <c r="B15378" s="11">
        <f>IFERROR(__xludf.DUMMYFUNCTION("""COMPUTED_VALUE"""),24497.0)</f>
        <v>24497</v>
      </c>
      <c r="C15378" s="9">
        <f>IFERROR(__xludf.DUMMYFUNCTION("""COMPUTED_VALUE"""),4.62)</f>
        <v>4.62</v>
      </c>
      <c r="H15378" s="17"/>
      <c r="K15378" s="17"/>
      <c r="N15378" s="17"/>
    </row>
    <row r="15379">
      <c r="B15379" s="11">
        <f>IFERROR(__xludf.DUMMYFUNCTION("""COMPUTED_VALUE"""),24496.0)</f>
        <v>24496</v>
      </c>
      <c r="C15379" s="9">
        <f>IFERROR(__xludf.DUMMYFUNCTION("""COMPUTED_VALUE"""),4.65)</f>
        <v>4.65</v>
      </c>
      <c r="H15379" s="17"/>
      <c r="K15379" s="17"/>
      <c r="N15379" s="17"/>
    </row>
    <row r="15380">
      <c r="B15380" s="11">
        <f>IFERROR(__xludf.DUMMYFUNCTION("""COMPUTED_VALUE"""),24495.0)</f>
        <v>24495</v>
      </c>
      <c r="C15380" s="9">
        <f>IFERROR(__xludf.DUMMYFUNCTION("""COMPUTED_VALUE"""),4.6)</f>
        <v>4.6</v>
      </c>
      <c r="H15380" s="17"/>
      <c r="K15380" s="17"/>
      <c r="N15380" s="17"/>
    </row>
    <row r="15381">
      <c r="B15381" s="11">
        <f>IFERROR(__xludf.DUMMYFUNCTION("""COMPUTED_VALUE"""),24492.0)</f>
        <v>24492</v>
      </c>
      <c r="C15381" s="9">
        <f>IFERROR(__xludf.DUMMYFUNCTION("""COMPUTED_VALUE"""),4.6)</f>
        <v>4.6</v>
      </c>
      <c r="H15381" s="17"/>
      <c r="K15381" s="17"/>
      <c r="N15381" s="17"/>
    </row>
    <row r="15382">
      <c r="B15382" s="11">
        <f>IFERROR(__xludf.DUMMYFUNCTION("""COMPUTED_VALUE"""),24491.0)</f>
        <v>24491</v>
      </c>
      <c r="C15382" s="9">
        <f>IFERROR(__xludf.DUMMYFUNCTION("""COMPUTED_VALUE"""),4.58)</f>
        <v>4.58</v>
      </c>
      <c r="H15382" s="17"/>
      <c r="K15382" s="17"/>
      <c r="N15382" s="17"/>
    </row>
    <row r="15383">
      <c r="B15383" s="11">
        <f>IFERROR(__xludf.DUMMYFUNCTION("""COMPUTED_VALUE"""),24490.0)</f>
        <v>24490</v>
      </c>
      <c r="C15383" s="9">
        <f>IFERROR(__xludf.DUMMYFUNCTION("""COMPUTED_VALUE"""),4.53)</f>
        <v>4.53</v>
      </c>
      <c r="H15383" s="17"/>
      <c r="K15383" s="17"/>
      <c r="N15383" s="17"/>
    </row>
    <row r="15384">
      <c r="B15384" s="11">
        <f>IFERROR(__xludf.DUMMYFUNCTION("""COMPUTED_VALUE"""),24489.0)</f>
        <v>24489</v>
      </c>
      <c r="C15384" s="9">
        <f>IFERROR(__xludf.DUMMYFUNCTION("""COMPUTED_VALUE"""),4.51)</f>
        <v>4.51</v>
      </c>
      <c r="H15384" s="17"/>
      <c r="K15384" s="17"/>
      <c r="N15384" s="17"/>
    </row>
    <row r="15385">
      <c r="B15385" s="11">
        <f>IFERROR(__xludf.DUMMYFUNCTION("""COMPUTED_VALUE"""),24488.0)</f>
        <v>24488</v>
      </c>
      <c r="C15385" s="9">
        <f>IFERROR(__xludf.DUMMYFUNCTION("""COMPUTED_VALUE"""),4.49)</f>
        <v>4.49</v>
      </c>
      <c r="H15385" s="17"/>
      <c r="K15385" s="17"/>
      <c r="N15385" s="17"/>
    </row>
    <row r="15386">
      <c r="B15386" s="11">
        <f>IFERROR(__xludf.DUMMYFUNCTION("""COMPUTED_VALUE"""),24485.0)</f>
        <v>24485</v>
      </c>
      <c r="C15386" s="9">
        <f>IFERROR(__xludf.DUMMYFUNCTION("""COMPUTED_VALUE"""),4.51)</f>
        <v>4.51</v>
      </c>
      <c r="H15386" s="17"/>
      <c r="K15386" s="17"/>
      <c r="N15386" s="17"/>
    </row>
    <row r="15387">
      <c r="B15387" s="11">
        <f>IFERROR(__xludf.DUMMYFUNCTION("""COMPUTED_VALUE"""),24484.0)</f>
        <v>24484</v>
      </c>
      <c r="C15387" s="9">
        <f>IFERROR(__xludf.DUMMYFUNCTION("""COMPUTED_VALUE"""),4.55)</f>
        <v>4.55</v>
      </c>
      <c r="H15387" s="17"/>
      <c r="K15387" s="17"/>
      <c r="N15387" s="17"/>
    </row>
    <row r="15388">
      <c r="B15388" s="11">
        <f>IFERROR(__xludf.DUMMYFUNCTION("""COMPUTED_VALUE"""),24483.0)</f>
        <v>24483</v>
      </c>
      <c r="C15388" s="9">
        <f>IFERROR(__xludf.DUMMYFUNCTION("""COMPUTED_VALUE"""),4.54)</f>
        <v>4.54</v>
      </c>
      <c r="H15388" s="17"/>
      <c r="K15388" s="17"/>
      <c r="N15388" s="17"/>
    </row>
    <row r="15389">
      <c r="B15389" s="11">
        <f>IFERROR(__xludf.DUMMYFUNCTION("""COMPUTED_VALUE"""),24482.0)</f>
        <v>24482</v>
      </c>
      <c r="C15389" s="9">
        <f>IFERROR(__xludf.DUMMYFUNCTION("""COMPUTED_VALUE"""),4.69)</f>
        <v>4.69</v>
      </c>
      <c r="H15389" s="17"/>
      <c r="K15389" s="17"/>
      <c r="N15389" s="17"/>
    </row>
    <row r="15390">
      <c r="B15390" s="11">
        <f>IFERROR(__xludf.DUMMYFUNCTION("""COMPUTED_VALUE"""),24481.0)</f>
        <v>24481</v>
      </c>
      <c r="C15390" s="9">
        <f>IFERROR(__xludf.DUMMYFUNCTION("""COMPUTED_VALUE"""),4.71)</f>
        <v>4.71</v>
      </c>
      <c r="H15390" s="17"/>
      <c r="K15390" s="17"/>
      <c r="N15390" s="17"/>
    </row>
    <row r="15391">
      <c r="B15391" s="11">
        <f>IFERROR(__xludf.DUMMYFUNCTION("""COMPUTED_VALUE"""),24478.0)</f>
        <v>24478</v>
      </c>
      <c r="C15391" s="9">
        <f>IFERROR(__xludf.DUMMYFUNCTION("""COMPUTED_VALUE"""),4.64)</f>
        <v>4.64</v>
      </c>
      <c r="H15391" s="17"/>
      <c r="K15391" s="17"/>
      <c r="N15391" s="17"/>
    </row>
    <row r="15392">
      <c r="B15392" s="11">
        <f>IFERROR(__xludf.DUMMYFUNCTION("""COMPUTED_VALUE"""),24477.0)</f>
        <v>24477</v>
      </c>
      <c r="C15392" s="9">
        <f>IFERROR(__xludf.DUMMYFUNCTION("""COMPUTED_VALUE"""),4.63)</f>
        <v>4.63</v>
      </c>
      <c r="H15392" s="17"/>
      <c r="K15392" s="17"/>
      <c r="N15392" s="17"/>
    </row>
    <row r="15393">
      <c r="B15393" s="11">
        <f>IFERROR(__xludf.DUMMYFUNCTION("""COMPUTED_VALUE"""),24476.0)</f>
        <v>24476</v>
      </c>
      <c r="C15393" s="9">
        <f>IFERROR(__xludf.DUMMYFUNCTION("""COMPUTED_VALUE"""),4.65)</f>
        <v>4.65</v>
      </c>
      <c r="H15393" s="17"/>
      <c r="K15393" s="17"/>
      <c r="N15393" s="17"/>
    </row>
    <row r="15394">
      <c r="B15394" s="11">
        <f>IFERROR(__xludf.DUMMYFUNCTION("""COMPUTED_VALUE"""),24475.0)</f>
        <v>24475</v>
      </c>
      <c r="C15394" s="9">
        <f>IFERROR(__xludf.DUMMYFUNCTION("""COMPUTED_VALUE"""),4.69)</f>
        <v>4.69</v>
      </c>
      <c r="H15394" s="17"/>
      <c r="K15394" s="17"/>
      <c r="N15394" s="17"/>
    </row>
    <row r="15395">
      <c r="B15395" s="11">
        <f>IFERROR(__xludf.DUMMYFUNCTION("""COMPUTED_VALUE"""),24474.0)</f>
        <v>24474</v>
      </c>
      <c r="C15395" s="9"/>
      <c r="H15395" s="17"/>
      <c r="K15395" s="17"/>
      <c r="N15395" s="17"/>
    </row>
    <row r="15396">
      <c r="B15396" s="11">
        <f>IFERROR(__xludf.DUMMYFUNCTION("""COMPUTED_VALUE"""),24471.0)</f>
        <v>24471</v>
      </c>
      <c r="C15396" s="9">
        <f>IFERROR(__xludf.DUMMYFUNCTION("""COMPUTED_VALUE"""),4.64)</f>
        <v>4.64</v>
      </c>
      <c r="H15396" s="17"/>
      <c r="K15396" s="17"/>
      <c r="N15396" s="17"/>
    </row>
    <row r="15397">
      <c r="B15397" s="11">
        <f>IFERROR(__xludf.DUMMYFUNCTION("""COMPUTED_VALUE"""),24470.0)</f>
        <v>24470</v>
      </c>
      <c r="C15397" s="9">
        <f>IFERROR(__xludf.DUMMYFUNCTION("""COMPUTED_VALUE"""),4.66)</f>
        <v>4.66</v>
      </c>
      <c r="H15397" s="17"/>
      <c r="K15397" s="17"/>
      <c r="N15397" s="17"/>
    </row>
    <row r="15398">
      <c r="B15398" s="11">
        <f>IFERROR(__xludf.DUMMYFUNCTION("""COMPUTED_VALUE"""),24469.0)</f>
        <v>24469</v>
      </c>
      <c r="C15398" s="9">
        <f>IFERROR(__xludf.DUMMYFUNCTION("""COMPUTED_VALUE"""),4.64)</f>
        <v>4.64</v>
      </c>
      <c r="H15398" s="17"/>
      <c r="K15398" s="17"/>
      <c r="N15398" s="17"/>
    </row>
    <row r="15399">
      <c r="B15399" s="11">
        <f>IFERROR(__xludf.DUMMYFUNCTION("""COMPUTED_VALUE"""),24468.0)</f>
        <v>24468</v>
      </c>
      <c r="C15399" s="9">
        <f>IFERROR(__xludf.DUMMYFUNCTION("""COMPUTED_VALUE"""),4.71)</f>
        <v>4.71</v>
      </c>
      <c r="H15399" s="17"/>
      <c r="K15399" s="17"/>
      <c r="N15399" s="17"/>
    </row>
    <row r="15400">
      <c r="B15400" s="11">
        <f>IFERROR(__xludf.DUMMYFUNCTION("""COMPUTED_VALUE"""),24467.0)</f>
        <v>24467</v>
      </c>
      <c r="C15400" s="9"/>
      <c r="H15400" s="17"/>
      <c r="K15400" s="17"/>
      <c r="N15400" s="17"/>
    </row>
    <row r="15401">
      <c r="B15401" s="11">
        <f>IFERROR(__xludf.DUMMYFUNCTION("""COMPUTED_VALUE"""),24464.0)</f>
        <v>24464</v>
      </c>
      <c r="C15401" s="9">
        <f>IFERROR(__xludf.DUMMYFUNCTION("""COMPUTED_VALUE"""),4.67)</f>
        <v>4.67</v>
      </c>
      <c r="H15401" s="17"/>
      <c r="K15401" s="17"/>
      <c r="N15401" s="17"/>
    </row>
    <row r="15402">
      <c r="B15402" s="11">
        <f>IFERROR(__xludf.DUMMYFUNCTION("""COMPUTED_VALUE"""),24463.0)</f>
        <v>24463</v>
      </c>
      <c r="C15402" s="9">
        <f>IFERROR(__xludf.DUMMYFUNCTION("""COMPUTED_VALUE"""),4.68)</f>
        <v>4.68</v>
      </c>
      <c r="H15402" s="17"/>
      <c r="K15402" s="17"/>
      <c r="N15402" s="17"/>
    </row>
    <row r="15403">
      <c r="B15403" s="11">
        <f>IFERROR(__xludf.DUMMYFUNCTION("""COMPUTED_VALUE"""),24462.0)</f>
        <v>24462</v>
      </c>
      <c r="C15403" s="9">
        <f>IFERROR(__xludf.DUMMYFUNCTION("""COMPUTED_VALUE"""),4.66)</f>
        <v>4.66</v>
      </c>
      <c r="H15403" s="17"/>
      <c r="K15403" s="17"/>
      <c r="N15403" s="17"/>
    </row>
    <row r="15404">
      <c r="B15404" s="11">
        <f>IFERROR(__xludf.DUMMYFUNCTION("""COMPUTED_VALUE"""),24461.0)</f>
        <v>24461</v>
      </c>
      <c r="C15404" s="9">
        <f>IFERROR(__xludf.DUMMYFUNCTION("""COMPUTED_VALUE"""),4.69)</f>
        <v>4.69</v>
      </c>
      <c r="H15404" s="17"/>
      <c r="K15404" s="17"/>
      <c r="N15404" s="17"/>
    </row>
    <row r="15405">
      <c r="B15405" s="11">
        <f>IFERROR(__xludf.DUMMYFUNCTION("""COMPUTED_VALUE"""),24460.0)</f>
        <v>24460</v>
      </c>
      <c r="C15405" s="9">
        <f>IFERROR(__xludf.DUMMYFUNCTION("""COMPUTED_VALUE"""),4.72)</f>
        <v>4.72</v>
      </c>
      <c r="H15405" s="17"/>
      <c r="K15405" s="17"/>
      <c r="N15405" s="17"/>
    </row>
    <row r="15406">
      <c r="B15406" s="11">
        <f>IFERROR(__xludf.DUMMYFUNCTION("""COMPUTED_VALUE"""),24457.0)</f>
        <v>24457</v>
      </c>
      <c r="C15406" s="9">
        <f>IFERROR(__xludf.DUMMYFUNCTION("""COMPUTED_VALUE"""),4.78)</f>
        <v>4.78</v>
      </c>
      <c r="H15406" s="17"/>
      <c r="K15406" s="17"/>
      <c r="N15406" s="17"/>
    </row>
    <row r="15407">
      <c r="B15407" s="11">
        <f>IFERROR(__xludf.DUMMYFUNCTION("""COMPUTED_VALUE"""),24456.0)</f>
        <v>24456</v>
      </c>
      <c r="C15407" s="9">
        <f>IFERROR(__xludf.DUMMYFUNCTION("""COMPUTED_VALUE"""),4.76)</f>
        <v>4.76</v>
      </c>
      <c r="H15407" s="17"/>
      <c r="K15407" s="17"/>
      <c r="N15407" s="17"/>
    </row>
    <row r="15408">
      <c r="B15408" s="11">
        <f>IFERROR(__xludf.DUMMYFUNCTION("""COMPUTED_VALUE"""),24455.0)</f>
        <v>24455</v>
      </c>
      <c r="C15408" s="9">
        <f>IFERROR(__xludf.DUMMYFUNCTION("""COMPUTED_VALUE"""),4.83)</f>
        <v>4.83</v>
      </c>
      <c r="H15408" s="17"/>
      <c r="K15408" s="17"/>
      <c r="N15408" s="17"/>
    </row>
    <row r="15409">
      <c r="B15409" s="11">
        <f>IFERROR(__xludf.DUMMYFUNCTION("""COMPUTED_VALUE"""),24454.0)</f>
        <v>24454</v>
      </c>
      <c r="C15409" s="9">
        <f>IFERROR(__xludf.DUMMYFUNCTION("""COMPUTED_VALUE"""),4.86)</f>
        <v>4.86</v>
      </c>
      <c r="H15409" s="17"/>
      <c r="K15409" s="17"/>
      <c r="N15409" s="17"/>
    </row>
    <row r="15410">
      <c r="B15410" s="11">
        <f>IFERROR(__xludf.DUMMYFUNCTION("""COMPUTED_VALUE"""),24453.0)</f>
        <v>24453</v>
      </c>
      <c r="C15410" s="9">
        <f>IFERROR(__xludf.DUMMYFUNCTION("""COMPUTED_VALUE"""),4.93)</f>
        <v>4.93</v>
      </c>
      <c r="H15410" s="17"/>
      <c r="K15410" s="17"/>
      <c r="N15410" s="17"/>
    </row>
    <row r="15411">
      <c r="B15411" s="11">
        <f>IFERROR(__xludf.DUMMYFUNCTION("""COMPUTED_VALUE"""),24450.0)</f>
        <v>24450</v>
      </c>
      <c r="C15411" s="9">
        <f>IFERROR(__xludf.DUMMYFUNCTION("""COMPUTED_VALUE"""),5.05)</f>
        <v>5.05</v>
      </c>
      <c r="H15411" s="17"/>
      <c r="K15411" s="17"/>
      <c r="N15411" s="17"/>
    </row>
    <row r="15412">
      <c r="B15412" s="11">
        <f>IFERROR(__xludf.DUMMYFUNCTION("""COMPUTED_VALUE"""),24449.0)</f>
        <v>24449</v>
      </c>
      <c r="C15412" s="9">
        <f>IFERROR(__xludf.DUMMYFUNCTION("""COMPUTED_VALUE"""),5.1)</f>
        <v>5.1</v>
      </c>
      <c r="H15412" s="17"/>
      <c r="K15412" s="17"/>
      <c r="N15412" s="17"/>
    </row>
    <row r="15413">
      <c r="B15413" s="11">
        <f>IFERROR(__xludf.DUMMYFUNCTION("""COMPUTED_VALUE"""),24448.0)</f>
        <v>24448</v>
      </c>
      <c r="C15413" s="9">
        <f>IFERROR(__xludf.DUMMYFUNCTION("""COMPUTED_VALUE"""),5.07)</f>
        <v>5.07</v>
      </c>
      <c r="H15413" s="17"/>
      <c r="K15413" s="17"/>
      <c r="N15413" s="17"/>
    </row>
    <row r="15414">
      <c r="B15414" s="11">
        <f>IFERROR(__xludf.DUMMYFUNCTION("""COMPUTED_VALUE"""),24447.0)</f>
        <v>24447</v>
      </c>
      <c r="C15414" s="9">
        <f>IFERROR(__xludf.DUMMYFUNCTION("""COMPUTED_VALUE"""),5.07)</f>
        <v>5.07</v>
      </c>
      <c r="H15414" s="17"/>
      <c r="K15414" s="17"/>
      <c r="N15414" s="17"/>
    </row>
    <row r="15415">
      <c r="B15415" s="11">
        <f>IFERROR(__xludf.DUMMYFUNCTION("""COMPUTED_VALUE"""),24446.0)</f>
        <v>24446</v>
      </c>
      <c r="C15415" s="9">
        <f>IFERROR(__xludf.DUMMYFUNCTION("""COMPUTED_VALUE"""),5.06)</f>
        <v>5.06</v>
      </c>
      <c r="H15415" s="17"/>
      <c r="K15415" s="17"/>
      <c r="N15415" s="17"/>
    </row>
    <row r="15416">
      <c r="B15416" s="11">
        <f>IFERROR(__xludf.DUMMYFUNCTION("""COMPUTED_VALUE"""),24443.0)</f>
        <v>24443</v>
      </c>
      <c r="C15416" s="9">
        <f>IFERROR(__xludf.DUMMYFUNCTION("""COMPUTED_VALUE"""),5.03)</f>
        <v>5.03</v>
      </c>
      <c r="H15416" s="17"/>
      <c r="K15416" s="17"/>
      <c r="N15416" s="17"/>
    </row>
    <row r="15417">
      <c r="B15417" s="11">
        <f>IFERROR(__xludf.DUMMYFUNCTION("""COMPUTED_VALUE"""),24442.0)</f>
        <v>24442</v>
      </c>
      <c r="C15417" s="9">
        <f>IFERROR(__xludf.DUMMYFUNCTION("""COMPUTED_VALUE"""),5.09)</f>
        <v>5.09</v>
      </c>
      <c r="H15417" s="17"/>
      <c r="K15417" s="17"/>
      <c r="N15417" s="17"/>
    </row>
    <row r="15418">
      <c r="B15418" s="11">
        <f>IFERROR(__xludf.DUMMYFUNCTION("""COMPUTED_VALUE"""),24441.0)</f>
        <v>24441</v>
      </c>
      <c r="C15418" s="9">
        <f>IFERROR(__xludf.DUMMYFUNCTION("""COMPUTED_VALUE"""),5.12)</f>
        <v>5.12</v>
      </c>
      <c r="H15418" s="17"/>
      <c r="K15418" s="17"/>
      <c r="N15418" s="17"/>
    </row>
    <row r="15419">
      <c r="B15419" s="11">
        <f>IFERROR(__xludf.DUMMYFUNCTION("""COMPUTED_VALUE"""),24440.0)</f>
        <v>24440</v>
      </c>
      <c r="C15419" s="9">
        <f>IFERROR(__xludf.DUMMYFUNCTION("""COMPUTED_VALUE"""),5.15)</f>
        <v>5.15</v>
      </c>
      <c r="H15419" s="17"/>
      <c r="K15419" s="17"/>
      <c r="N15419" s="17"/>
    </row>
    <row r="15420">
      <c r="B15420" s="11">
        <f>IFERROR(__xludf.DUMMYFUNCTION("""COMPUTED_VALUE"""),24439.0)</f>
        <v>24439</v>
      </c>
      <c r="C15420" s="9">
        <f>IFERROR(__xludf.DUMMYFUNCTION("""COMPUTED_VALUE"""),5.19)</f>
        <v>5.19</v>
      </c>
      <c r="H15420" s="17"/>
      <c r="K15420" s="17"/>
      <c r="N15420" s="17"/>
    </row>
    <row r="15421">
      <c r="B15421" s="11">
        <f>IFERROR(__xludf.DUMMYFUNCTION("""COMPUTED_VALUE"""),24436.0)</f>
        <v>24436</v>
      </c>
      <c r="C15421" s="9">
        <f>IFERROR(__xludf.DUMMYFUNCTION("""COMPUTED_VALUE"""),5.23)</f>
        <v>5.23</v>
      </c>
      <c r="H15421" s="17"/>
      <c r="K15421" s="17"/>
      <c r="N15421" s="17"/>
    </row>
    <row r="15422">
      <c r="B15422" s="11">
        <f>IFERROR(__xludf.DUMMYFUNCTION("""COMPUTED_VALUE"""),24435.0)</f>
        <v>24435</v>
      </c>
      <c r="C15422" s="9"/>
      <c r="H15422" s="17"/>
      <c r="K15422" s="17"/>
      <c r="N15422" s="17"/>
    </row>
    <row r="15423">
      <c r="B15423" s="11">
        <f>IFERROR(__xludf.DUMMYFUNCTION("""COMPUTED_VALUE"""),24434.0)</f>
        <v>24434</v>
      </c>
      <c r="C15423" s="9">
        <f>IFERROR(__xludf.DUMMYFUNCTION("""COMPUTED_VALUE"""),5.22)</f>
        <v>5.22</v>
      </c>
      <c r="H15423" s="17"/>
      <c r="K15423" s="17"/>
      <c r="N15423" s="17"/>
    </row>
    <row r="15424">
      <c r="B15424" s="11">
        <f>IFERROR(__xludf.DUMMYFUNCTION("""COMPUTED_VALUE"""),24433.0)</f>
        <v>24433</v>
      </c>
      <c r="C15424" s="9">
        <f>IFERROR(__xludf.DUMMYFUNCTION("""COMPUTED_VALUE"""),5.2)</f>
        <v>5.2</v>
      </c>
      <c r="H15424" s="17"/>
      <c r="K15424" s="17"/>
      <c r="N15424" s="17"/>
    </row>
    <row r="15425">
      <c r="B15425" s="11">
        <f>IFERROR(__xludf.DUMMYFUNCTION("""COMPUTED_VALUE"""),24432.0)</f>
        <v>24432</v>
      </c>
      <c r="C15425" s="9">
        <f>IFERROR(__xludf.DUMMYFUNCTION("""COMPUTED_VALUE"""),5.17)</f>
        <v>5.17</v>
      </c>
      <c r="H15425" s="17"/>
      <c r="K15425" s="17"/>
      <c r="N15425" s="17"/>
    </row>
    <row r="15426">
      <c r="B15426" s="11">
        <f>IFERROR(__xludf.DUMMYFUNCTION("""COMPUTED_VALUE"""),24429.0)</f>
        <v>24429</v>
      </c>
      <c r="C15426" s="9">
        <f>IFERROR(__xludf.DUMMYFUNCTION("""COMPUTED_VALUE"""),5.22)</f>
        <v>5.22</v>
      </c>
      <c r="H15426" s="17"/>
      <c r="K15426" s="17"/>
      <c r="N15426" s="17"/>
    </row>
    <row r="15427">
      <c r="B15427" s="11">
        <f>IFERROR(__xludf.DUMMYFUNCTION("""COMPUTED_VALUE"""),24428.0)</f>
        <v>24428</v>
      </c>
      <c r="C15427" s="9">
        <f>IFERROR(__xludf.DUMMYFUNCTION("""COMPUTED_VALUE"""),5.23)</f>
        <v>5.23</v>
      </c>
      <c r="H15427" s="17"/>
      <c r="K15427" s="17"/>
      <c r="N15427" s="17"/>
    </row>
    <row r="15428">
      <c r="B15428" s="11">
        <f>IFERROR(__xludf.DUMMYFUNCTION("""COMPUTED_VALUE"""),24427.0)</f>
        <v>24427</v>
      </c>
      <c r="C15428" s="9">
        <f>IFERROR(__xludf.DUMMYFUNCTION("""COMPUTED_VALUE"""),5.22)</f>
        <v>5.22</v>
      </c>
      <c r="H15428" s="17"/>
      <c r="K15428" s="17"/>
      <c r="N15428" s="17"/>
    </row>
    <row r="15429">
      <c r="B15429" s="11">
        <f>IFERROR(__xludf.DUMMYFUNCTION("""COMPUTED_VALUE"""),24426.0)</f>
        <v>24426</v>
      </c>
      <c r="C15429" s="9">
        <f>IFERROR(__xludf.DUMMYFUNCTION("""COMPUTED_VALUE"""),5.21)</f>
        <v>5.21</v>
      </c>
      <c r="H15429" s="17"/>
      <c r="K15429" s="17"/>
      <c r="N15429" s="17"/>
    </row>
    <row r="15430">
      <c r="B15430" s="11">
        <f>IFERROR(__xludf.DUMMYFUNCTION("""COMPUTED_VALUE"""),24425.0)</f>
        <v>24425</v>
      </c>
      <c r="C15430" s="9">
        <f>IFERROR(__xludf.DUMMYFUNCTION("""COMPUTED_VALUE"""),5.19)</f>
        <v>5.19</v>
      </c>
      <c r="H15430" s="17"/>
      <c r="K15430" s="17"/>
      <c r="N15430" s="17"/>
    </row>
    <row r="15431">
      <c r="B15431" s="11">
        <f>IFERROR(__xludf.DUMMYFUNCTION("""COMPUTED_VALUE"""),24422.0)</f>
        <v>24422</v>
      </c>
      <c r="C15431" s="9"/>
      <c r="H15431" s="17"/>
      <c r="K15431" s="17"/>
      <c r="N15431" s="17"/>
    </row>
    <row r="15432">
      <c r="B15432" s="11">
        <f>IFERROR(__xludf.DUMMYFUNCTION("""COMPUTED_VALUE"""),24421.0)</f>
        <v>24421</v>
      </c>
      <c r="C15432" s="9">
        <f>IFERROR(__xludf.DUMMYFUNCTION("""COMPUTED_VALUE"""),5.17)</f>
        <v>5.17</v>
      </c>
      <c r="H15432" s="17"/>
      <c r="K15432" s="17"/>
      <c r="N15432" s="17"/>
    </row>
    <row r="15433">
      <c r="B15433" s="11">
        <f>IFERROR(__xludf.DUMMYFUNCTION("""COMPUTED_VALUE"""),24420.0)</f>
        <v>24420</v>
      </c>
      <c r="C15433" s="9">
        <f>IFERROR(__xludf.DUMMYFUNCTION("""COMPUTED_VALUE"""),5.12)</f>
        <v>5.12</v>
      </c>
      <c r="H15433" s="17"/>
      <c r="K15433" s="17"/>
      <c r="N15433" s="17"/>
    </row>
    <row r="15434">
      <c r="B15434" s="11">
        <f>IFERROR(__xludf.DUMMYFUNCTION("""COMPUTED_VALUE"""),24419.0)</f>
        <v>24419</v>
      </c>
      <c r="C15434" s="9"/>
      <c r="H15434" s="17"/>
      <c r="K15434" s="17"/>
      <c r="N15434" s="17"/>
    </row>
    <row r="15435">
      <c r="B15435" s="11">
        <f>IFERROR(__xludf.DUMMYFUNCTION("""COMPUTED_VALUE"""),24418.0)</f>
        <v>24418</v>
      </c>
      <c r="C15435" s="9">
        <f>IFERROR(__xludf.DUMMYFUNCTION("""COMPUTED_VALUE"""),5.11)</f>
        <v>5.11</v>
      </c>
      <c r="H15435" s="17"/>
      <c r="K15435" s="17"/>
      <c r="N15435" s="17"/>
    </row>
    <row r="15436">
      <c r="B15436" s="11">
        <f>IFERROR(__xludf.DUMMYFUNCTION("""COMPUTED_VALUE"""),24415.0)</f>
        <v>24415</v>
      </c>
      <c r="C15436" s="9">
        <f>IFERROR(__xludf.DUMMYFUNCTION("""COMPUTED_VALUE"""),5.11)</f>
        <v>5.11</v>
      </c>
      <c r="H15436" s="17"/>
      <c r="K15436" s="17"/>
      <c r="N15436" s="17"/>
    </row>
    <row r="15437">
      <c r="B15437" s="11">
        <f>IFERROR(__xludf.DUMMYFUNCTION("""COMPUTED_VALUE"""),24414.0)</f>
        <v>24414</v>
      </c>
      <c r="C15437" s="9">
        <f>IFERROR(__xludf.DUMMYFUNCTION("""COMPUTED_VALUE"""),5.06)</f>
        <v>5.06</v>
      </c>
      <c r="H15437" s="17"/>
      <c r="K15437" s="17"/>
      <c r="N15437" s="17"/>
    </row>
    <row r="15438">
      <c r="B15438" s="11">
        <f>IFERROR(__xludf.DUMMYFUNCTION("""COMPUTED_VALUE"""),24413.0)</f>
        <v>24413</v>
      </c>
      <c r="C15438" s="9">
        <f>IFERROR(__xludf.DUMMYFUNCTION("""COMPUTED_VALUE"""),5.04)</f>
        <v>5.04</v>
      </c>
      <c r="H15438" s="17"/>
      <c r="K15438" s="17"/>
      <c r="N15438" s="17"/>
    </row>
    <row r="15439">
      <c r="B15439" s="11">
        <f>IFERROR(__xludf.DUMMYFUNCTION("""COMPUTED_VALUE"""),24412.0)</f>
        <v>24412</v>
      </c>
      <c r="C15439" s="9">
        <f>IFERROR(__xludf.DUMMYFUNCTION("""COMPUTED_VALUE"""),4.99)</f>
        <v>4.99</v>
      </c>
      <c r="H15439" s="17"/>
      <c r="K15439" s="17"/>
      <c r="N15439" s="17"/>
    </row>
    <row r="15440">
      <c r="B15440" s="11">
        <f>IFERROR(__xludf.DUMMYFUNCTION("""COMPUTED_VALUE"""),24411.0)</f>
        <v>24411</v>
      </c>
      <c r="C15440" s="9">
        <f>IFERROR(__xludf.DUMMYFUNCTION("""COMPUTED_VALUE"""),4.97)</f>
        <v>4.97</v>
      </c>
      <c r="H15440" s="17"/>
      <c r="K15440" s="17"/>
      <c r="N15440" s="17"/>
    </row>
    <row r="15441">
      <c r="B15441" s="11">
        <f>IFERROR(__xludf.DUMMYFUNCTION("""COMPUTED_VALUE"""),24408.0)</f>
        <v>24408</v>
      </c>
      <c r="C15441" s="9">
        <f>IFERROR(__xludf.DUMMYFUNCTION("""COMPUTED_VALUE"""),4.97)</f>
        <v>4.97</v>
      </c>
      <c r="H15441" s="17"/>
      <c r="K15441" s="17"/>
      <c r="N15441" s="17"/>
    </row>
    <row r="15442">
      <c r="B15442" s="11">
        <f>IFERROR(__xludf.DUMMYFUNCTION("""COMPUTED_VALUE"""),24407.0)</f>
        <v>24407</v>
      </c>
      <c r="C15442" s="9">
        <f>IFERROR(__xludf.DUMMYFUNCTION("""COMPUTED_VALUE"""),4.99)</f>
        <v>4.99</v>
      </c>
      <c r="H15442" s="17"/>
      <c r="K15442" s="17"/>
      <c r="N15442" s="17"/>
    </row>
    <row r="15443">
      <c r="B15443" s="11">
        <f>IFERROR(__xludf.DUMMYFUNCTION("""COMPUTED_VALUE"""),24406.0)</f>
        <v>24406</v>
      </c>
      <c r="C15443" s="9">
        <f>IFERROR(__xludf.DUMMYFUNCTION("""COMPUTED_VALUE"""),4.96)</f>
        <v>4.96</v>
      </c>
      <c r="H15443" s="17"/>
      <c r="K15443" s="17"/>
      <c r="N15443" s="17"/>
    </row>
    <row r="15444">
      <c r="B15444" s="11">
        <f>IFERROR(__xludf.DUMMYFUNCTION("""COMPUTED_VALUE"""),24405.0)</f>
        <v>24405</v>
      </c>
      <c r="C15444" s="9">
        <f>IFERROR(__xludf.DUMMYFUNCTION("""COMPUTED_VALUE"""),4.94)</f>
        <v>4.94</v>
      </c>
      <c r="H15444" s="17"/>
      <c r="K15444" s="17"/>
      <c r="N15444" s="17"/>
    </row>
    <row r="15445">
      <c r="B15445" s="11">
        <f>IFERROR(__xludf.DUMMYFUNCTION("""COMPUTED_VALUE"""),24404.0)</f>
        <v>24404</v>
      </c>
      <c r="C15445" s="9">
        <f>IFERROR(__xludf.DUMMYFUNCTION("""COMPUTED_VALUE"""),4.94)</f>
        <v>4.94</v>
      </c>
      <c r="H15445" s="17"/>
      <c r="K15445" s="17"/>
      <c r="N15445" s="17"/>
    </row>
    <row r="15446">
      <c r="B15446" s="11">
        <f>IFERROR(__xludf.DUMMYFUNCTION("""COMPUTED_VALUE"""),24401.0)</f>
        <v>24401</v>
      </c>
      <c r="C15446" s="9">
        <f>IFERROR(__xludf.DUMMYFUNCTION("""COMPUTED_VALUE"""),4.94)</f>
        <v>4.94</v>
      </c>
      <c r="H15446" s="17"/>
      <c r="K15446" s="17"/>
      <c r="N15446" s="17"/>
    </row>
    <row r="15447">
      <c r="B15447" s="11">
        <f>IFERROR(__xludf.DUMMYFUNCTION("""COMPUTED_VALUE"""),24400.0)</f>
        <v>24400</v>
      </c>
      <c r="C15447" s="9">
        <f>IFERROR(__xludf.DUMMYFUNCTION("""COMPUTED_VALUE"""),5.02)</f>
        <v>5.02</v>
      </c>
      <c r="H15447" s="17"/>
      <c r="K15447" s="17"/>
      <c r="N15447" s="17"/>
    </row>
    <row r="15448">
      <c r="B15448" s="11">
        <f>IFERROR(__xludf.DUMMYFUNCTION("""COMPUTED_VALUE"""),24399.0)</f>
        <v>24399</v>
      </c>
      <c r="C15448" s="9">
        <f>IFERROR(__xludf.DUMMYFUNCTION("""COMPUTED_VALUE"""),5.0)</f>
        <v>5</v>
      </c>
      <c r="H15448" s="17"/>
      <c r="K15448" s="17"/>
      <c r="N15448" s="17"/>
    </row>
    <row r="15449">
      <c r="B15449" s="11">
        <f>IFERROR(__xludf.DUMMYFUNCTION("""COMPUTED_VALUE"""),24398.0)</f>
        <v>24398</v>
      </c>
      <c r="C15449" s="9">
        <f>IFERROR(__xludf.DUMMYFUNCTION("""COMPUTED_VALUE"""),4.99)</f>
        <v>4.99</v>
      </c>
      <c r="H15449" s="17"/>
      <c r="K15449" s="17"/>
      <c r="N15449" s="17"/>
    </row>
    <row r="15450">
      <c r="B15450" s="11">
        <f>IFERROR(__xludf.DUMMYFUNCTION("""COMPUTED_VALUE"""),24397.0)</f>
        <v>24397</v>
      </c>
      <c r="C15450" s="9">
        <f>IFERROR(__xludf.DUMMYFUNCTION("""COMPUTED_VALUE"""),5.04)</f>
        <v>5.04</v>
      </c>
      <c r="H15450" s="17"/>
      <c r="K15450" s="17"/>
      <c r="N15450" s="17"/>
    </row>
    <row r="15451">
      <c r="B15451" s="11">
        <f>IFERROR(__xludf.DUMMYFUNCTION("""COMPUTED_VALUE"""),24394.0)</f>
        <v>24394</v>
      </c>
      <c r="C15451" s="9">
        <f>IFERROR(__xludf.DUMMYFUNCTION("""COMPUTED_VALUE"""),5.06)</f>
        <v>5.06</v>
      </c>
      <c r="H15451" s="17"/>
      <c r="K15451" s="17"/>
      <c r="N15451" s="17"/>
    </row>
    <row r="15452">
      <c r="B15452" s="11">
        <f>IFERROR(__xludf.DUMMYFUNCTION("""COMPUTED_VALUE"""),24393.0)</f>
        <v>24393</v>
      </c>
      <c r="C15452" s="9">
        <f>IFERROR(__xludf.DUMMYFUNCTION("""COMPUTED_VALUE"""),5.07)</f>
        <v>5.07</v>
      </c>
      <c r="H15452" s="17"/>
      <c r="K15452" s="17"/>
      <c r="N15452" s="17"/>
    </row>
    <row r="15453">
      <c r="B15453" s="11">
        <f>IFERROR(__xludf.DUMMYFUNCTION("""COMPUTED_VALUE"""),24392.0)</f>
        <v>24392</v>
      </c>
      <c r="C15453" s="9"/>
      <c r="H15453" s="17"/>
      <c r="K15453" s="17"/>
      <c r="N15453" s="17"/>
    </row>
    <row r="15454">
      <c r="B15454" s="11">
        <f>IFERROR(__xludf.DUMMYFUNCTION("""COMPUTED_VALUE"""),24391.0)</f>
        <v>24391</v>
      </c>
      <c r="C15454" s="9">
        <f>IFERROR(__xludf.DUMMYFUNCTION("""COMPUTED_VALUE"""),5.05)</f>
        <v>5.05</v>
      </c>
      <c r="H15454" s="17"/>
      <c r="K15454" s="17"/>
      <c r="N15454" s="17"/>
    </row>
    <row r="15455">
      <c r="B15455" s="11">
        <f>IFERROR(__xludf.DUMMYFUNCTION("""COMPUTED_VALUE"""),24390.0)</f>
        <v>24390</v>
      </c>
      <c r="C15455" s="9">
        <f>IFERROR(__xludf.DUMMYFUNCTION("""COMPUTED_VALUE"""),5.05)</f>
        <v>5.05</v>
      </c>
      <c r="H15455" s="17"/>
      <c r="K15455" s="17"/>
      <c r="N15455" s="17"/>
    </row>
    <row r="15456">
      <c r="B15456" s="11">
        <f>IFERROR(__xludf.DUMMYFUNCTION("""COMPUTED_VALUE"""),24387.0)</f>
        <v>24387</v>
      </c>
      <c r="C15456" s="9">
        <f>IFERROR(__xludf.DUMMYFUNCTION("""COMPUTED_VALUE"""),5.02)</f>
        <v>5.02</v>
      </c>
      <c r="H15456" s="17"/>
      <c r="K15456" s="17"/>
      <c r="N15456" s="17"/>
    </row>
    <row r="15457">
      <c r="B15457" s="11">
        <f>IFERROR(__xludf.DUMMYFUNCTION("""COMPUTED_VALUE"""),24386.0)</f>
        <v>24386</v>
      </c>
      <c r="C15457" s="9">
        <f>IFERROR(__xludf.DUMMYFUNCTION("""COMPUTED_VALUE"""),5.03)</f>
        <v>5.03</v>
      </c>
      <c r="H15457" s="17"/>
      <c r="K15457" s="17"/>
      <c r="N15457" s="17"/>
    </row>
    <row r="15458">
      <c r="B15458" s="11">
        <f>IFERROR(__xludf.DUMMYFUNCTION("""COMPUTED_VALUE"""),24385.0)</f>
        <v>24385</v>
      </c>
      <c r="C15458" s="9">
        <f>IFERROR(__xludf.DUMMYFUNCTION("""COMPUTED_VALUE"""),5.05)</f>
        <v>5.05</v>
      </c>
      <c r="H15458" s="17"/>
      <c r="K15458" s="17"/>
      <c r="N15458" s="17"/>
    </row>
    <row r="15459">
      <c r="B15459" s="11">
        <f>IFERROR(__xludf.DUMMYFUNCTION("""COMPUTED_VALUE"""),24384.0)</f>
        <v>24384</v>
      </c>
      <c r="C15459" s="9">
        <f>IFERROR(__xludf.DUMMYFUNCTION("""COMPUTED_VALUE"""),5.06)</f>
        <v>5.06</v>
      </c>
      <c r="H15459" s="17"/>
      <c r="K15459" s="17"/>
      <c r="N15459" s="17"/>
    </row>
    <row r="15460">
      <c r="B15460" s="11">
        <f>IFERROR(__xludf.DUMMYFUNCTION("""COMPUTED_VALUE"""),24383.0)</f>
        <v>24383</v>
      </c>
      <c r="C15460" s="9">
        <f>IFERROR(__xludf.DUMMYFUNCTION("""COMPUTED_VALUE"""),5.08)</f>
        <v>5.08</v>
      </c>
      <c r="H15460" s="17"/>
      <c r="K15460" s="17"/>
      <c r="N15460" s="17"/>
    </row>
    <row r="15461">
      <c r="B15461" s="11">
        <f>IFERROR(__xludf.DUMMYFUNCTION("""COMPUTED_VALUE"""),24380.0)</f>
        <v>24380</v>
      </c>
      <c r="C15461" s="9">
        <f>IFERROR(__xludf.DUMMYFUNCTION("""COMPUTED_VALUE"""),5.02)</f>
        <v>5.02</v>
      </c>
      <c r="H15461" s="17"/>
      <c r="K15461" s="17"/>
      <c r="N15461" s="17"/>
    </row>
    <row r="15462">
      <c r="B15462" s="11">
        <f>IFERROR(__xludf.DUMMYFUNCTION("""COMPUTED_VALUE"""),24379.0)</f>
        <v>24379</v>
      </c>
      <c r="C15462" s="9">
        <f>IFERROR(__xludf.DUMMYFUNCTION("""COMPUTED_VALUE"""),4.99)</f>
        <v>4.99</v>
      </c>
      <c r="H15462" s="17"/>
      <c r="K15462" s="17"/>
      <c r="N15462" s="17"/>
    </row>
    <row r="15463">
      <c r="B15463" s="11">
        <f>IFERROR(__xludf.DUMMYFUNCTION("""COMPUTED_VALUE"""),24378.0)</f>
        <v>24378</v>
      </c>
      <c r="C15463" s="9">
        <f>IFERROR(__xludf.DUMMYFUNCTION("""COMPUTED_VALUE"""),5.09)</f>
        <v>5.09</v>
      </c>
      <c r="H15463" s="17"/>
      <c r="K15463" s="17"/>
      <c r="N15463" s="17"/>
    </row>
    <row r="15464">
      <c r="B15464" s="11">
        <f>IFERROR(__xludf.DUMMYFUNCTION("""COMPUTED_VALUE"""),24377.0)</f>
        <v>24377</v>
      </c>
      <c r="C15464" s="9">
        <f>IFERROR(__xludf.DUMMYFUNCTION("""COMPUTED_VALUE"""),5.13)</f>
        <v>5.13</v>
      </c>
      <c r="H15464" s="17"/>
      <c r="K15464" s="17"/>
      <c r="N15464" s="17"/>
    </row>
    <row r="15465">
      <c r="B15465" s="11">
        <f>IFERROR(__xludf.DUMMYFUNCTION("""COMPUTED_VALUE"""),24376.0)</f>
        <v>24376</v>
      </c>
      <c r="C15465" s="9">
        <f>IFERROR(__xludf.DUMMYFUNCTION("""COMPUTED_VALUE"""),5.17)</f>
        <v>5.17</v>
      </c>
      <c r="H15465" s="17"/>
      <c r="K15465" s="17"/>
      <c r="N15465" s="17"/>
    </row>
    <row r="15466">
      <c r="B15466" s="11">
        <f>IFERROR(__xludf.DUMMYFUNCTION("""COMPUTED_VALUE"""),24373.0)</f>
        <v>24373</v>
      </c>
      <c r="C15466" s="9">
        <f>IFERROR(__xludf.DUMMYFUNCTION("""COMPUTED_VALUE"""),5.17)</f>
        <v>5.17</v>
      </c>
      <c r="H15466" s="17"/>
      <c r="K15466" s="17"/>
      <c r="N15466" s="17"/>
    </row>
    <row r="15467">
      <c r="B15467" s="11">
        <f>IFERROR(__xludf.DUMMYFUNCTION("""COMPUTED_VALUE"""),24372.0)</f>
        <v>24372</v>
      </c>
      <c r="C15467" s="9">
        <f>IFERROR(__xludf.DUMMYFUNCTION("""COMPUTED_VALUE"""),5.15)</f>
        <v>5.15</v>
      </c>
      <c r="H15467" s="17"/>
      <c r="K15467" s="17"/>
      <c r="N15467" s="17"/>
    </row>
    <row r="15468">
      <c r="B15468" s="11">
        <f>IFERROR(__xludf.DUMMYFUNCTION("""COMPUTED_VALUE"""),24371.0)</f>
        <v>24371</v>
      </c>
      <c r="C15468" s="9">
        <f>IFERROR(__xludf.DUMMYFUNCTION("""COMPUTED_VALUE"""),5.21)</f>
        <v>5.21</v>
      </c>
      <c r="H15468" s="17"/>
      <c r="K15468" s="17"/>
      <c r="N15468" s="17"/>
    </row>
    <row r="15469">
      <c r="B15469" s="11">
        <f>IFERROR(__xludf.DUMMYFUNCTION("""COMPUTED_VALUE"""),24370.0)</f>
        <v>24370</v>
      </c>
      <c r="C15469" s="9">
        <f>IFERROR(__xludf.DUMMYFUNCTION("""COMPUTED_VALUE"""),5.27)</f>
        <v>5.27</v>
      </c>
      <c r="H15469" s="17"/>
      <c r="K15469" s="17"/>
      <c r="N15469" s="17"/>
    </row>
    <row r="15470">
      <c r="B15470" s="11">
        <f>IFERROR(__xludf.DUMMYFUNCTION("""COMPUTED_VALUE"""),24369.0)</f>
        <v>24369</v>
      </c>
      <c r="C15470" s="9">
        <f>IFERROR(__xludf.DUMMYFUNCTION("""COMPUTED_VALUE"""),5.32)</f>
        <v>5.32</v>
      </c>
      <c r="H15470" s="17"/>
      <c r="K15470" s="17"/>
      <c r="N15470" s="17"/>
    </row>
    <row r="15471">
      <c r="B15471" s="11">
        <f>IFERROR(__xludf.DUMMYFUNCTION("""COMPUTED_VALUE"""),24366.0)</f>
        <v>24366</v>
      </c>
      <c r="C15471" s="9">
        <f>IFERROR(__xludf.DUMMYFUNCTION("""COMPUTED_VALUE"""),5.24)</f>
        <v>5.24</v>
      </c>
      <c r="H15471" s="17"/>
      <c r="K15471" s="17"/>
      <c r="N15471" s="17"/>
    </row>
    <row r="15472">
      <c r="B15472" s="11">
        <f>IFERROR(__xludf.DUMMYFUNCTION("""COMPUTED_VALUE"""),24365.0)</f>
        <v>24365</v>
      </c>
      <c r="C15472" s="9">
        <f>IFERROR(__xludf.DUMMYFUNCTION("""COMPUTED_VALUE"""),5.25)</f>
        <v>5.25</v>
      </c>
      <c r="H15472" s="17"/>
      <c r="K15472" s="17"/>
      <c r="N15472" s="17"/>
    </row>
    <row r="15473">
      <c r="B15473" s="11">
        <f>IFERROR(__xludf.DUMMYFUNCTION("""COMPUTED_VALUE"""),24364.0)</f>
        <v>24364</v>
      </c>
      <c r="C15473" s="9">
        <f>IFERROR(__xludf.DUMMYFUNCTION("""COMPUTED_VALUE"""),5.21)</f>
        <v>5.21</v>
      </c>
      <c r="H15473" s="17"/>
      <c r="K15473" s="17"/>
      <c r="N15473" s="17"/>
    </row>
    <row r="15474">
      <c r="B15474" s="11">
        <f>IFERROR(__xludf.DUMMYFUNCTION("""COMPUTED_VALUE"""),24363.0)</f>
        <v>24363</v>
      </c>
      <c r="C15474" s="9">
        <f>IFERROR(__xludf.DUMMYFUNCTION("""COMPUTED_VALUE"""),5.16)</f>
        <v>5.16</v>
      </c>
      <c r="H15474" s="17"/>
      <c r="K15474" s="17"/>
      <c r="N15474" s="17"/>
    </row>
    <row r="15475">
      <c r="B15475" s="11">
        <f>IFERROR(__xludf.DUMMYFUNCTION("""COMPUTED_VALUE"""),24362.0)</f>
        <v>24362</v>
      </c>
      <c r="C15475" s="9">
        <f>IFERROR(__xludf.DUMMYFUNCTION("""COMPUTED_VALUE"""),5.18)</f>
        <v>5.18</v>
      </c>
      <c r="H15475" s="17"/>
      <c r="K15475" s="17"/>
      <c r="N15475" s="17"/>
    </row>
    <row r="15476">
      <c r="B15476" s="11">
        <f>IFERROR(__xludf.DUMMYFUNCTION("""COMPUTED_VALUE"""),24359.0)</f>
        <v>24359</v>
      </c>
      <c r="C15476" s="9">
        <f>IFERROR(__xludf.DUMMYFUNCTION("""COMPUTED_VALUE"""),5.17)</f>
        <v>5.17</v>
      </c>
      <c r="H15476" s="17"/>
      <c r="K15476" s="17"/>
      <c r="N15476" s="17"/>
    </row>
    <row r="15477">
      <c r="B15477" s="11">
        <f>IFERROR(__xludf.DUMMYFUNCTION("""COMPUTED_VALUE"""),24358.0)</f>
        <v>24358</v>
      </c>
      <c r="C15477" s="9">
        <f>IFERROR(__xludf.DUMMYFUNCTION("""COMPUTED_VALUE"""),5.18)</f>
        <v>5.18</v>
      </c>
      <c r="H15477" s="17"/>
      <c r="K15477" s="17"/>
      <c r="N15477" s="17"/>
    </row>
    <row r="15478">
      <c r="B15478" s="11">
        <f>IFERROR(__xludf.DUMMYFUNCTION("""COMPUTED_VALUE"""),24357.0)</f>
        <v>24357</v>
      </c>
      <c r="C15478" s="9">
        <f>IFERROR(__xludf.DUMMYFUNCTION("""COMPUTED_VALUE"""),5.2)</f>
        <v>5.2</v>
      </c>
      <c r="H15478" s="17"/>
      <c r="K15478" s="17"/>
      <c r="N15478" s="17"/>
    </row>
    <row r="15479">
      <c r="B15479" s="11">
        <f>IFERROR(__xludf.DUMMYFUNCTION("""COMPUTED_VALUE"""),24356.0)</f>
        <v>24356</v>
      </c>
      <c r="C15479" s="9">
        <f>IFERROR(__xludf.DUMMYFUNCTION("""COMPUTED_VALUE"""),5.19)</f>
        <v>5.19</v>
      </c>
      <c r="H15479" s="17"/>
      <c r="K15479" s="17"/>
      <c r="N15479" s="17"/>
    </row>
    <row r="15480">
      <c r="B15480" s="11">
        <f>IFERROR(__xludf.DUMMYFUNCTION("""COMPUTED_VALUE"""),24355.0)</f>
        <v>24355</v>
      </c>
      <c r="C15480" s="9"/>
      <c r="H15480" s="17"/>
      <c r="K15480" s="17"/>
      <c r="N15480" s="17"/>
    </row>
    <row r="15481">
      <c r="B15481" s="11">
        <f>IFERROR(__xludf.DUMMYFUNCTION("""COMPUTED_VALUE"""),24352.0)</f>
        <v>24352</v>
      </c>
      <c r="C15481" s="9">
        <f>IFERROR(__xludf.DUMMYFUNCTION("""COMPUTED_VALUE"""),5.23)</f>
        <v>5.23</v>
      </c>
      <c r="H15481" s="17"/>
      <c r="K15481" s="17"/>
      <c r="N15481" s="17"/>
    </row>
    <row r="15482">
      <c r="B15482" s="11">
        <f>IFERROR(__xludf.DUMMYFUNCTION("""COMPUTED_VALUE"""),24351.0)</f>
        <v>24351</v>
      </c>
      <c r="C15482" s="9">
        <f>IFERROR(__xludf.DUMMYFUNCTION("""COMPUTED_VALUE"""),5.3)</f>
        <v>5.3</v>
      </c>
      <c r="H15482" s="17"/>
      <c r="K15482" s="17"/>
      <c r="N15482" s="17"/>
    </row>
    <row r="15483">
      <c r="B15483" s="11">
        <f>IFERROR(__xludf.DUMMYFUNCTION("""COMPUTED_VALUE"""),24350.0)</f>
        <v>24350</v>
      </c>
      <c r="C15483" s="9">
        <f>IFERROR(__xludf.DUMMYFUNCTION("""COMPUTED_VALUE"""),5.36)</f>
        <v>5.36</v>
      </c>
      <c r="H15483" s="17"/>
      <c r="K15483" s="17"/>
      <c r="N15483" s="17"/>
    </row>
    <row r="15484">
      <c r="B15484" s="11">
        <f>IFERROR(__xludf.DUMMYFUNCTION("""COMPUTED_VALUE"""),24349.0)</f>
        <v>24349</v>
      </c>
      <c r="C15484" s="9">
        <f>IFERROR(__xludf.DUMMYFUNCTION("""COMPUTED_VALUE"""),5.48)</f>
        <v>5.48</v>
      </c>
      <c r="H15484" s="17"/>
      <c r="K15484" s="17"/>
      <c r="N15484" s="17"/>
    </row>
    <row r="15485">
      <c r="B15485" s="11">
        <f>IFERROR(__xludf.DUMMYFUNCTION("""COMPUTED_VALUE"""),24348.0)</f>
        <v>24348</v>
      </c>
      <c r="C15485" s="9">
        <f>IFERROR(__xludf.DUMMYFUNCTION("""COMPUTED_VALUE"""),5.51)</f>
        <v>5.51</v>
      </c>
      <c r="H15485" s="17"/>
      <c r="K15485" s="17"/>
      <c r="N15485" s="17"/>
    </row>
    <row r="15486">
      <c r="B15486" s="11">
        <f>IFERROR(__xludf.DUMMYFUNCTION("""COMPUTED_VALUE"""),24345.0)</f>
        <v>24345</v>
      </c>
      <c r="C15486" s="9">
        <f>IFERROR(__xludf.DUMMYFUNCTION("""COMPUTED_VALUE"""),5.48)</f>
        <v>5.48</v>
      </c>
      <c r="H15486" s="17"/>
      <c r="K15486" s="17"/>
      <c r="N15486" s="17"/>
    </row>
    <row r="15487">
      <c r="B15487" s="11">
        <f>IFERROR(__xludf.DUMMYFUNCTION("""COMPUTED_VALUE"""),24344.0)</f>
        <v>24344</v>
      </c>
      <c r="C15487" s="9">
        <f>IFERROR(__xludf.DUMMYFUNCTION("""COMPUTED_VALUE"""),5.39)</f>
        <v>5.39</v>
      </c>
      <c r="H15487" s="17"/>
      <c r="K15487" s="17"/>
      <c r="N15487" s="17"/>
    </row>
    <row r="15488">
      <c r="B15488" s="11">
        <f>IFERROR(__xludf.DUMMYFUNCTION("""COMPUTED_VALUE"""),24343.0)</f>
        <v>24343</v>
      </c>
      <c r="C15488" s="9">
        <f>IFERROR(__xludf.DUMMYFUNCTION("""COMPUTED_VALUE"""),5.36)</f>
        <v>5.36</v>
      </c>
      <c r="H15488" s="17"/>
      <c r="K15488" s="17"/>
      <c r="N15488" s="17"/>
    </row>
    <row r="15489">
      <c r="B15489" s="11">
        <f>IFERROR(__xludf.DUMMYFUNCTION("""COMPUTED_VALUE"""),24342.0)</f>
        <v>24342</v>
      </c>
      <c r="C15489" s="9">
        <f>IFERROR(__xludf.DUMMYFUNCTION("""COMPUTED_VALUE"""),5.33)</f>
        <v>5.33</v>
      </c>
      <c r="H15489" s="17"/>
      <c r="K15489" s="17"/>
      <c r="N15489" s="17"/>
    </row>
    <row r="15490">
      <c r="B15490" s="11">
        <f>IFERROR(__xludf.DUMMYFUNCTION("""COMPUTED_VALUE"""),24341.0)</f>
        <v>24341</v>
      </c>
      <c r="C15490" s="9">
        <f>IFERROR(__xludf.DUMMYFUNCTION("""COMPUTED_VALUE"""),5.29)</f>
        <v>5.29</v>
      </c>
      <c r="H15490" s="17"/>
      <c r="K15490" s="17"/>
      <c r="N15490" s="17"/>
    </row>
    <row r="15491">
      <c r="B15491" s="11">
        <f>IFERROR(__xludf.DUMMYFUNCTION("""COMPUTED_VALUE"""),24338.0)</f>
        <v>24338</v>
      </c>
      <c r="C15491" s="9">
        <f>IFERROR(__xludf.DUMMYFUNCTION("""COMPUTED_VALUE"""),5.31)</f>
        <v>5.31</v>
      </c>
      <c r="H15491" s="17"/>
      <c r="K15491" s="17"/>
      <c r="N15491" s="17"/>
    </row>
    <row r="15492">
      <c r="B15492" s="11">
        <f>IFERROR(__xludf.DUMMYFUNCTION("""COMPUTED_VALUE"""),24337.0)</f>
        <v>24337</v>
      </c>
      <c r="C15492" s="9">
        <f>IFERROR(__xludf.DUMMYFUNCTION("""COMPUTED_VALUE"""),5.29)</f>
        <v>5.29</v>
      </c>
      <c r="H15492" s="17"/>
      <c r="K15492" s="17"/>
      <c r="N15492" s="17"/>
    </row>
    <row r="15493">
      <c r="B15493" s="11">
        <f>IFERROR(__xludf.DUMMYFUNCTION("""COMPUTED_VALUE"""),24336.0)</f>
        <v>24336</v>
      </c>
      <c r="C15493" s="9">
        <f>IFERROR(__xludf.DUMMYFUNCTION("""COMPUTED_VALUE"""),5.24)</f>
        <v>5.24</v>
      </c>
      <c r="H15493" s="17"/>
      <c r="K15493" s="17"/>
      <c r="N15493" s="17"/>
    </row>
    <row r="15494">
      <c r="B15494" s="11">
        <f>IFERROR(__xludf.DUMMYFUNCTION("""COMPUTED_VALUE"""),24335.0)</f>
        <v>24335</v>
      </c>
      <c r="C15494" s="9">
        <f>IFERROR(__xludf.DUMMYFUNCTION("""COMPUTED_VALUE"""),5.18)</f>
        <v>5.18</v>
      </c>
      <c r="H15494" s="17"/>
      <c r="K15494" s="17"/>
      <c r="N15494" s="17"/>
    </row>
    <row r="15495">
      <c r="B15495" s="11">
        <f>IFERROR(__xludf.DUMMYFUNCTION("""COMPUTED_VALUE"""),24334.0)</f>
        <v>24334</v>
      </c>
      <c r="C15495" s="9">
        <f>IFERROR(__xludf.DUMMYFUNCTION("""COMPUTED_VALUE"""),5.15)</f>
        <v>5.15</v>
      </c>
      <c r="H15495" s="17"/>
      <c r="K15495" s="17"/>
      <c r="N15495" s="17"/>
    </row>
    <row r="15496">
      <c r="B15496" s="11">
        <f>IFERROR(__xludf.DUMMYFUNCTION("""COMPUTED_VALUE"""),24331.0)</f>
        <v>24331</v>
      </c>
      <c r="C15496" s="9">
        <f>IFERROR(__xludf.DUMMYFUNCTION("""COMPUTED_VALUE"""),5.11)</f>
        <v>5.11</v>
      </c>
      <c r="H15496" s="17"/>
      <c r="K15496" s="17"/>
      <c r="N15496" s="17"/>
    </row>
    <row r="15497">
      <c r="B15497" s="11">
        <f>IFERROR(__xludf.DUMMYFUNCTION("""COMPUTED_VALUE"""),24330.0)</f>
        <v>24330</v>
      </c>
      <c r="C15497" s="9">
        <f>IFERROR(__xludf.DUMMYFUNCTION("""COMPUTED_VALUE"""),5.11)</f>
        <v>5.11</v>
      </c>
      <c r="H15497" s="17"/>
      <c r="K15497" s="17"/>
      <c r="N15497" s="17"/>
    </row>
    <row r="15498">
      <c r="B15498" s="11">
        <f>IFERROR(__xludf.DUMMYFUNCTION("""COMPUTED_VALUE"""),24329.0)</f>
        <v>24329</v>
      </c>
      <c r="C15498" s="9">
        <f>IFERROR(__xludf.DUMMYFUNCTION("""COMPUTED_VALUE"""),5.1)</f>
        <v>5.1</v>
      </c>
      <c r="H15498" s="17"/>
      <c r="K15498" s="17"/>
      <c r="N15498" s="17"/>
    </row>
    <row r="15499">
      <c r="B15499" s="11">
        <f>IFERROR(__xludf.DUMMYFUNCTION("""COMPUTED_VALUE"""),24328.0)</f>
        <v>24328</v>
      </c>
      <c r="C15499" s="9">
        <f>IFERROR(__xludf.DUMMYFUNCTION("""COMPUTED_VALUE"""),5.1)</f>
        <v>5.1</v>
      </c>
      <c r="H15499" s="17"/>
      <c r="K15499" s="17"/>
      <c r="N15499" s="17"/>
    </row>
    <row r="15500">
      <c r="B15500" s="11">
        <f>IFERROR(__xludf.DUMMYFUNCTION("""COMPUTED_VALUE"""),24327.0)</f>
        <v>24327</v>
      </c>
      <c r="C15500" s="9">
        <f>IFERROR(__xludf.DUMMYFUNCTION("""COMPUTED_VALUE"""),5.08)</f>
        <v>5.08</v>
      </c>
      <c r="H15500" s="17"/>
      <c r="K15500" s="17"/>
      <c r="N15500" s="17"/>
    </row>
    <row r="15501">
      <c r="B15501" s="11">
        <f>IFERROR(__xludf.DUMMYFUNCTION("""COMPUTED_VALUE"""),24324.0)</f>
        <v>24324</v>
      </c>
      <c r="C15501" s="9">
        <f>IFERROR(__xludf.DUMMYFUNCTION("""COMPUTED_VALUE"""),5.07)</f>
        <v>5.07</v>
      </c>
      <c r="H15501" s="17"/>
      <c r="K15501" s="17"/>
      <c r="N15501" s="17"/>
    </row>
    <row r="15502">
      <c r="B15502" s="11">
        <f>IFERROR(__xludf.DUMMYFUNCTION("""COMPUTED_VALUE"""),24323.0)</f>
        <v>24323</v>
      </c>
      <c r="C15502" s="9">
        <f>IFERROR(__xludf.DUMMYFUNCTION("""COMPUTED_VALUE"""),5.07)</f>
        <v>5.07</v>
      </c>
      <c r="H15502" s="17"/>
      <c r="K15502" s="17"/>
      <c r="N15502" s="17"/>
    </row>
    <row r="15503">
      <c r="B15503" s="11">
        <f>IFERROR(__xludf.DUMMYFUNCTION("""COMPUTED_VALUE"""),24322.0)</f>
        <v>24322</v>
      </c>
      <c r="C15503" s="9">
        <f>IFERROR(__xludf.DUMMYFUNCTION("""COMPUTED_VALUE"""),5.06)</f>
        <v>5.06</v>
      </c>
      <c r="H15503" s="17"/>
      <c r="K15503" s="17"/>
      <c r="N15503" s="17"/>
    </row>
    <row r="15504">
      <c r="B15504" s="11">
        <f>IFERROR(__xludf.DUMMYFUNCTION("""COMPUTED_VALUE"""),24321.0)</f>
        <v>24321</v>
      </c>
      <c r="C15504" s="9">
        <f>IFERROR(__xludf.DUMMYFUNCTION("""COMPUTED_VALUE"""),5.04)</f>
        <v>5.04</v>
      </c>
      <c r="H15504" s="17"/>
      <c r="K15504" s="17"/>
      <c r="N15504" s="17"/>
    </row>
    <row r="15505">
      <c r="B15505" s="11">
        <f>IFERROR(__xludf.DUMMYFUNCTION("""COMPUTED_VALUE"""),24320.0)</f>
        <v>24320</v>
      </c>
      <c r="C15505" s="9">
        <f>IFERROR(__xludf.DUMMYFUNCTION("""COMPUTED_VALUE"""),5.05)</f>
        <v>5.05</v>
      </c>
      <c r="H15505" s="17"/>
      <c r="K15505" s="17"/>
      <c r="N15505" s="17"/>
    </row>
    <row r="15506">
      <c r="B15506" s="11">
        <f>IFERROR(__xludf.DUMMYFUNCTION("""COMPUTED_VALUE"""),24317.0)</f>
        <v>24317</v>
      </c>
      <c r="C15506" s="9">
        <f>IFERROR(__xludf.DUMMYFUNCTION("""COMPUTED_VALUE"""),5.05)</f>
        <v>5.05</v>
      </c>
      <c r="H15506" s="17"/>
      <c r="K15506" s="17"/>
      <c r="N15506" s="17"/>
    </row>
    <row r="15507">
      <c r="B15507" s="11">
        <f>IFERROR(__xludf.DUMMYFUNCTION("""COMPUTED_VALUE"""),24316.0)</f>
        <v>24316</v>
      </c>
      <c r="C15507" s="9">
        <f>IFERROR(__xludf.DUMMYFUNCTION("""COMPUTED_VALUE"""),5.03)</f>
        <v>5.03</v>
      </c>
      <c r="H15507" s="17"/>
      <c r="K15507" s="17"/>
      <c r="N15507" s="17"/>
    </row>
    <row r="15508">
      <c r="B15508" s="11">
        <f>IFERROR(__xludf.DUMMYFUNCTION("""COMPUTED_VALUE"""),24315.0)</f>
        <v>24315</v>
      </c>
      <c r="C15508" s="9">
        <f>IFERROR(__xludf.DUMMYFUNCTION("""COMPUTED_VALUE"""),4.99)</f>
        <v>4.99</v>
      </c>
      <c r="H15508" s="17"/>
      <c r="K15508" s="17"/>
      <c r="N15508" s="17"/>
    </row>
    <row r="15509">
      <c r="B15509" s="11">
        <f>IFERROR(__xludf.DUMMYFUNCTION("""COMPUTED_VALUE"""),24314.0)</f>
        <v>24314</v>
      </c>
      <c r="C15509" s="9">
        <f>IFERROR(__xludf.DUMMYFUNCTION("""COMPUTED_VALUE"""),4.99)</f>
        <v>4.99</v>
      </c>
      <c r="H15509" s="17"/>
      <c r="K15509" s="17"/>
      <c r="N15509" s="17"/>
    </row>
    <row r="15510">
      <c r="B15510" s="11">
        <f>IFERROR(__xludf.DUMMYFUNCTION("""COMPUTED_VALUE"""),24313.0)</f>
        <v>24313</v>
      </c>
      <c r="C15510" s="9">
        <f>IFERROR(__xludf.DUMMYFUNCTION("""COMPUTED_VALUE"""),4.99)</f>
        <v>4.99</v>
      </c>
      <c r="H15510" s="17"/>
      <c r="K15510" s="17"/>
      <c r="N15510" s="17"/>
    </row>
    <row r="15511">
      <c r="B15511" s="11">
        <f>IFERROR(__xludf.DUMMYFUNCTION("""COMPUTED_VALUE"""),24310.0)</f>
        <v>24310</v>
      </c>
      <c r="C15511" s="9">
        <f>IFERROR(__xludf.DUMMYFUNCTION("""COMPUTED_VALUE"""),5.02)</f>
        <v>5.02</v>
      </c>
      <c r="H15511" s="17"/>
      <c r="K15511" s="17"/>
      <c r="N15511" s="17"/>
    </row>
    <row r="15512">
      <c r="B15512" s="11">
        <f>IFERROR(__xludf.DUMMYFUNCTION("""COMPUTED_VALUE"""),24309.0)</f>
        <v>24309</v>
      </c>
      <c r="C15512" s="9">
        <f>IFERROR(__xludf.DUMMYFUNCTION("""COMPUTED_VALUE"""),5.04)</f>
        <v>5.04</v>
      </c>
      <c r="H15512" s="17"/>
      <c r="K15512" s="17"/>
      <c r="N15512" s="17"/>
    </row>
    <row r="15513">
      <c r="B15513" s="11">
        <f>IFERROR(__xludf.DUMMYFUNCTION("""COMPUTED_VALUE"""),24308.0)</f>
        <v>24308</v>
      </c>
      <c r="C15513" s="9">
        <f>IFERROR(__xludf.DUMMYFUNCTION("""COMPUTED_VALUE"""),5.02)</f>
        <v>5.02</v>
      </c>
      <c r="H15513" s="17"/>
      <c r="K15513" s="17"/>
      <c r="N15513" s="17"/>
    </row>
    <row r="15514">
      <c r="B15514" s="11">
        <f>IFERROR(__xludf.DUMMYFUNCTION("""COMPUTED_VALUE"""),24307.0)</f>
        <v>24307</v>
      </c>
      <c r="C15514" s="9">
        <f>IFERROR(__xludf.DUMMYFUNCTION("""COMPUTED_VALUE"""),5.03)</f>
        <v>5.03</v>
      </c>
      <c r="H15514" s="17"/>
      <c r="K15514" s="17"/>
      <c r="N15514" s="17"/>
    </row>
    <row r="15515">
      <c r="B15515" s="11">
        <f>IFERROR(__xludf.DUMMYFUNCTION("""COMPUTED_VALUE"""),24306.0)</f>
        <v>24306</v>
      </c>
      <c r="C15515" s="9">
        <f>IFERROR(__xludf.DUMMYFUNCTION("""COMPUTED_VALUE"""),5.04)</f>
        <v>5.04</v>
      </c>
      <c r="H15515" s="17"/>
      <c r="K15515" s="17"/>
      <c r="N15515" s="17"/>
    </row>
    <row r="15516">
      <c r="B15516" s="11">
        <f>IFERROR(__xludf.DUMMYFUNCTION("""COMPUTED_VALUE"""),24303.0)</f>
        <v>24303</v>
      </c>
      <c r="C15516" s="9">
        <f>IFERROR(__xludf.DUMMYFUNCTION("""COMPUTED_VALUE"""),5.09)</f>
        <v>5.09</v>
      </c>
      <c r="H15516" s="17"/>
      <c r="K15516" s="17"/>
      <c r="N15516" s="17"/>
    </row>
    <row r="15517">
      <c r="B15517" s="11">
        <f>IFERROR(__xludf.DUMMYFUNCTION("""COMPUTED_VALUE"""),24302.0)</f>
        <v>24302</v>
      </c>
      <c r="C15517" s="9">
        <f>IFERROR(__xludf.DUMMYFUNCTION("""COMPUTED_VALUE"""),5.1)</f>
        <v>5.1</v>
      </c>
      <c r="H15517" s="17"/>
      <c r="K15517" s="17"/>
      <c r="N15517" s="17"/>
    </row>
    <row r="15518">
      <c r="B15518" s="11">
        <f>IFERROR(__xludf.DUMMYFUNCTION("""COMPUTED_VALUE"""),24301.0)</f>
        <v>24301</v>
      </c>
      <c r="C15518" s="9">
        <f>IFERROR(__xludf.DUMMYFUNCTION("""COMPUTED_VALUE"""),5.07)</f>
        <v>5.07</v>
      </c>
      <c r="H15518" s="17"/>
      <c r="K15518" s="17"/>
      <c r="N15518" s="17"/>
    </row>
    <row r="15519">
      <c r="B15519" s="11">
        <f>IFERROR(__xludf.DUMMYFUNCTION("""COMPUTED_VALUE"""),24300.0)</f>
        <v>24300</v>
      </c>
      <c r="C15519" s="9">
        <f>IFERROR(__xludf.DUMMYFUNCTION("""COMPUTED_VALUE"""),5.05)</f>
        <v>5.05</v>
      </c>
      <c r="H15519" s="17"/>
      <c r="K15519" s="17"/>
      <c r="N15519" s="17"/>
    </row>
    <row r="15520">
      <c r="B15520" s="11">
        <f>IFERROR(__xludf.DUMMYFUNCTION("""COMPUTED_VALUE"""),24299.0)</f>
        <v>24299</v>
      </c>
      <c r="C15520" s="9">
        <f>IFERROR(__xludf.DUMMYFUNCTION("""COMPUTED_VALUE"""),5.03)</f>
        <v>5.03</v>
      </c>
      <c r="H15520" s="17"/>
      <c r="K15520" s="17"/>
      <c r="N15520" s="17"/>
    </row>
    <row r="15521">
      <c r="B15521" s="11">
        <f>IFERROR(__xludf.DUMMYFUNCTION("""COMPUTED_VALUE"""),24296.0)</f>
        <v>24296</v>
      </c>
      <c r="C15521" s="9">
        <f>IFERROR(__xludf.DUMMYFUNCTION("""COMPUTED_VALUE"""),4.97)</f>
        <v>4.97</v>
      </c>
      <c r="H15521" s="17"/>
      <c r="K15521" s="17"/>
      <c r="N15521" s="17"/>
    </row>
    <row r="15522">
      <c r="B15522" s="11">
        <f>IFERROR(__xludf.DUMMYFUNCTION("""COMPUTED_VALUE"""),24295.0)</f>
        <v>24295</v>
      </c>
      <c r="C15522" s="9">
        <f>IFERROR(__xludf.DUMMYFUNCTION("""COMPUTED_VALUE"""),4.95)</f>
        <v>4.95</v>
      </c>
      <c r="H15522" s="17"/>
      <c r="K15522" s="17"/>
      <c r="N15522" s="17"/>
    </row>
    <row r="15523">
      <c r="B15523" s="11">
        <f>IFERROR(__xludf.DUMMYFUNCTION("""COMPUTED_VALUE"""),24294.0)</f>
        <v>24294</v>
      </c>
      <c r="C15523" s="9">
        <f>IFERROR(__xludf.DUMMYFUNCTION("""COMPUTED_VALUE"""),4.95)</f>
        <v>4.95</v>
      </c>
      <c r="H15523" s="17"/>
      <c r="K15523" s="17"/>
      <c r="N15523" s="17"/>
    </row>
    <row r="15524">
      <c r="B15524" s="11">
        <f>IFERROR(__xludf.DUMMYFUNCTION("""COMPUTED_VALUE"""),24293.0)</f>
        <v>24293</v>
      </c>
      <c r="C15524" s="9">
        <f>IFERROR(__xludf.DUMMYFUNCTION("""COMPUTED_VALUE"""),4.96)</f>
        <v>4.96</v>
      </c>
      <c r="H15524" s="17"/>
      <c r="K15524" s="17"/>
      <c r="N15524" s="17"/>
    </row>
    <row r="15525">
      <c r="B15525" s="11">
        <f>IFERROR(__xludf.DUMMYFUNCTION("""COMPUTED_VALUE"""),24292.0)</f>
        <v>24292</v>
      </c>
      <c r="C15525" s="9"/>
      <c r="H15525" s="17"/>
      <c r="K15525" s="17"/>
      <c r="N15525" s="17"/>
    </row>
    <row r="15526">
      <c r="B15526" s="11">
        <f>IFERROR(__xludf.DUMMYFUNCTION("""COMPUTED_VALUE"""),24289.0)</f>
        <v>24289</v>
      </c>
      <c r="C15526" s="9">
        <f>IFERROR(__xludf.DUMMYFUNCTION("""COMPUTED_VALUE"""),4.99)</f>
        <v>4.99</v>
      </c>
      <c r="H15526" s="17"/>
      <c r="K15526" s="17"/>
      <c r="N15526" s="17"/>
    </row>
    <row r="15527">
      <c r="B15527" s="11">
        <f>IFERROR(__xludf.DUMMYFUNCTION("""COMPUTED_VALUE"""),24288.0)</f>
        <v>24288</v>
      </c>
      <c r="C15527" s="9">
        <f>IFERROR(__xludf.DUMMYFUNCTION("""COMPUTED_VALUE"""),4.97)</f>
        <v>4.97</v>
      </c>
      <c r="H15527" s="17"/>
      <c r="K15527" s="17"/>
      <c r="N15527" s="17"/>
    </row>
    <row r="15528">
      <c r="B15528" s="11">
        <f>IFERROR(__xludf.DUMMYFUNCTION("""COMPUTED_VALUE"""),24287.0)</f>
        <v>24287</v>
      </c>
      <c r="C15528" s="9">
        <f>IFERROR(__xludf.DUMMYFUNCTION("""COMPUTED_VALUE"""),4.9)</f>
        <v>4.9</v>
      </c>
      <c r="H15528" s="17"/>
      <c r="K15528" s="17"/>
      <c r="N15528" s="17"/>
    </row>
    <row r="15529">
      <c r="B15529" s="11">
        <f>IFERROR(__xludf.DUMMYFUNCTION("""COMPUTED_VALUE"""),24286.0)</f>
        <v>24286</v>
      </c>
      <c r="C15529" s="9">
        <f>IFERROR(__xludf.DUMMYFUNCTION("""COMPUTED_VALUE"""),4.89)</f>
        <v>4.89</v>
      </c>
      <c r="H15529" s="17"/>
      <c r="K15529" s="17"/>
      <c r="N15529" s="17"/>
    </row>
    <row r="15530">
      <c r="B15530" s="11">
        <f>IFERROR(__xludf.DUMMYFUNCTION("""COMPUTED_VALUE"""),24285.0)</f>
        <v>24285</v>
      </c>
      <c r="C15530" s="9">
        <f>IFERROR(__xludf.DUMMYFUNCTION("""COMPUTED_VALUE"""),4.83)</f>
        <v>4.83</v>
      </c>
      <c r="H15530" s="17"/>
      <c r="K15530" s="17"/>
      <c r="N15530" s="17"/>
    </row>
    <row r="15531">
      <c r="B15531" s="11">
        <f>IFERROR(__xludf.DUMMYFUNCTION("""COMPUTED_VALUE"""),24282.0)</f>
        <v>24282</v>
      </c>
      <c r="C15531" s="9">
        <f>IFERROR(__xludf.DUMMYFUNCTION("""COMPUTED_VALUE"""),4.8)</f>
        <v>4.8</v>
      </c>
      <c r="H15531" s="17"/>
      <c r="K15531" s="17"/>
      <c r="N15531" s="17"/>
    </row>
    <row r="15532">
      <c r="B15532" s="11">
        <f>IFERROR(__xludf.DUMMYFUNCTION("""COMPUTED_VALUE"""),24281.0)</f>
        <v>24281</v>
      </c>
      <c r="C15532" s="9">
        <f>IFERROR(__xludf.DUMMYFUNCTION("""COMPUTED_VALUE"""),4.77)</f>
        <v>4.77</v>
      </c>
      <c r="H15532" s="17"/>
      <c r="K15532" s="17"/>
      <c r="N15532" s="17"/>
    </row>
    <row r="15533">
      <c r="B15533" s="11">
        <f>IFERROR(__xludf.DUMMYFUNCTION("""COMPUTED_VALUE"""),24280.0)</f>
        <v>24280</v>
      </c>
      <c r="C15533" s="9">
        <f>IFERROR(__xludf.DUMMYFUNCTION("""COMPUTED_VALUE"""),4.76)</f>
        <v>4.76</v>
      </c>
      <c r="H15533" s="17"/>
      <c r="K15533" s="17"/>
      <c r="N15533" s="17"/>
    </row>
    <row r="15534">
      <c r="B15534" s="11">
        <f>IFERROR(__xludf.DUMMYFUNCTION("""COMPUTED_VALUE"""),24279.0)</f>
        <v>24279</v>
      </c>
      <c r="C15534" s="9">
        <f>IFERROR(__xludf.DUMMYFUNCTION("""COMPUTED_VALUE"""),4.75)</f>
        <v>4.75</v>
      </c>
      <c r="H15534" s="17"/>
      <c r="K15534" s="17"/>
      <c r="N15534" s="17"/>
    </row>
    <row r="15535">
      <c r="B15535" s="11">
        <f>IFERROR(__xludf.DUMMYFUNCTION("""COMPUTED_VALUE"""),24278.0)</f>
        <v>24278</v>
      </c>
      <c r="C15535" s="9">
        <f>IFERROR(__xludf.DUMMYFUNCTION("""COMPUTED_VALUE"""),4.76)</f>
        <v>4.76</v>
      </c>
      <c r="H15535" s="17"/>
      <c r="K15535" s="17"/>
      <c r="N15535" s="17"/>
    </row>
    <row r="15536">
      <c r="B15536" s="11">
        <f>IFERROR(__xludf.DUMMYFUNCTION("""COMPUTED_VALUE"""),24275.0)</f>
        <v>24275</v>
      </c>
      <c r="C15536" s="9">
        <f>IFERROR(__xludf.DUMMYFUNCTION("""COMPUTED_VALUE"""),4.8)</f>
        <v>4.8</v>
      </c>
      <c r="H15536" s="17"/>
      <c r="K15536" s="17"/>
      <c r="N15536" s="17"/>
    </row>
    <row r="15537">
      <c r="B15537" s="11">
        <f>IFERROR(__xludf.DUMMYFUNCTION("""COMPUTED_VALUE"""),24274.0)</f>
        <v>24274</v>
      </c>
      <c r="C15537" s="9">
        <f>IFERROR(__xludf.DUMMYFUNCTION("""COMPUTED_VALUE"""),4.81)</f>
        <v>4.81</v>
      </c>
      <c r="H15537" s="17"/>
      <c r="K15537" s="17"/>
      <c r="N15537" s="17"/>
    </row>
    <row r="15538">
      <c r="B15538" s="11">
        <f>IFERROR(__xludf.DUMMYFUNCTION("""COMPUTED_VALUE"""),24273.0)</f>
        <v>24273</v>
      </c>
      <c r="C15538" s="9">
        <f>IFERROR(__xludf.DUMMYFUNCTION("""COMPUTED_VALUE"""),4.79)</f>
        <v>4.79</v>
      </c>
      <c r="H15538" s="17"/>
      <c r="K15538" s="17"/>
      <c r="N15538" s="17"/>
    </row>
    <row r="15539">
      <c r="B15539" s="11">
        <f>IFERROR(__xludf.DUMMYFUNCTION("""COMPUTED_VALUE"""),24272.0)</f>
        <v>24272</v>
      </c>
      <c r="C15539" s="9">
        <f>IFERROR(__xludf.DUMMYFUNCTION("""COMPUTED_VALUE"""),4.83)</f>
        <v>4.83</v>
      </c>
      <c r="H15539" s="17"/>
      <c r="K15539" s="17"/>
      <c r="N15539" s="17"/>
    </row>
    <row r="15540">
      <c r="B15540" s="11">
        <f>IFERROR(__xludf.DUMMYFUNCTION("""COMPUTED_VALUE"""),24271.0)</f>
        <v>24271</v>
      </c>
      <c r="C15540" s="9">
        <f>IFERROR(__xludf.DUMMYFUNCTION("""COMPUTED_VALUE"""),4.83)</f>
        <v>4.83</v>
      </c>
      <c r="H15540" s="17"/>
      <c r="K15540" s="17"/>
      <c r="N15540" s="17"/>
    </row>
    <row r="15541">
      <c r="B15541" s="11">
        <f>IFERROR(__xludf.DUMMYFUNCTION("""COMPUTED_VALUE"""),24268.0)</f>
        <v>24268</v>
      </c>
      <c r="C15541" s="9">
        <f>IFERROR(__xludf.DUMMYFUNCTION("""COMPUTED_VALUE"""),4.83)</f>
        <v>4.83</v>
      </c>
      <c r="H15541" s="17"/>
      <c r="K15541" s="17"/>
      <c r="N15541" s="17"/>
    </row>
    <row r="15542">
      <c r="B15542" s="11">
        <f>IFERROR(__xludf.DUMMYFUNCTION("""COMPUTED_VALUE"""),24267.0)</f>
        <v>24267</v>
      </c>
      <c r="C15542" s="9">
        <f>IFERROR(__xludf.DUMMYFUNCTION("""COMPUTED_VALUE"""),4.83)</f>
        <v>4.83</v>
      </c>
      <c r="H15542" s="17"/>
      <c r="K15542" s="17"/>
      <c r="N15542" s="17"/>
    </row>
    <row r="15543">
      <c r="B15543" s="11">
        <f>IFERROR(__xludf.DUMMYFUNCTION("""COMPUTED_VALUE"""),24266.0)</f>
        <v>24266</v>
      </c>
      <c r="C15543" s="9">
        <f>IFERROR(__xludf.DUMMYFUNCTION("""COMPUTED_VALUE"""),4.83)</f>
        <v>4.83</v>
      </c>
      <c r="H15543" s="17"/>
      <c r="K15543" s="17"/>
      <c r="N15543" s="17"/>
    </row>
    <row r="15544">
      <c r="B15544" s="11">
        <f>IFERROR(__xludf.DUMMYFUNCTION("""COMPUTED_VALUE"""),24265.0)</f>
        <v>24265</v>
      </c>
      <c r="C15544" s="9">
        <f>IFERROR(__xludf.DUMMYFUNCTION("""COMPUTED_VALUE"""),4.81)</f>
        <v>4.81</v>
      </c>
      <c r="H15544" s="17"/>
      <c r="K15544" s="17"/>
      <c r="N15544" s="17"/>
    </row>
    <row r="15545">
      <c r="B15545" s="11">
        <f>IFERROR(__xludf.DUMMYFUNCTION("""COMPUTED_VALUE"""),24264.0)</f>
        <v>24264</v>
      </c>
      <c r="C15545" s="9">
        <f>IFERROR(__xludf.DUMMYFUNCTION("""COMPUTED_VALUE"""),4.79)</f>
        <v>4.79</v>
      </c>
      <c r="H15545" s="17"/>
      <c r="K15545" s="17"/>
      <c r="N15545" s="17"/>
    </row>
    <row r="15546">
      <c r="B15546" s="11">
        <f>IFERROR(__xludf.DUMMYFUNCTION("""COMPUTED_VALUE"""),24261.0)</f>
        <v>24261</v>
      </c>
      <c r="C15546" s="9">
        <f>IFERROR(__xludf.DUMMYFUNCTION("""COMPUTED_VALUE"""),4.78)</f>
        <v>4.78</v>
      </c>
      <c r="H15546" s="17"/>
      <c r="K15546" s="17"/>
      <c r="N15546" s="17"/>
    </row>
    <row r="15547">
      <c r="B15547" s="11">
        <f>IFERROR(__xludf.DUMMYFUNCTION("""COMPUTED_VALUE"""),24260.0)</f>
        <v>24260</v>
      </c>
      <c r="C15547" s="9">
        <f>IFERROR(__xludf.DUMMYFUNCTION("""COMPUTED_VALUE"""),4.77)</f>
        <v>4.77</v>
      </c>
      <c r="H15547" s="17"/>
      <c r="K15547" s="17"/>
      <c r="N15547" s="17"/>
    </row>
    <row r="15548">
      <c r="B15548" s="11">
        <f>IFERROR(__xludf.DUMMYFUNCTION("""COMPUTED_VALUE"""),24259.0)</f>
        <v>24259</v>
      </c>
      <c r="C15548" s="9">
        <f>IFERROR(__xludf.DUMMYFUNCTION("""COMPUTED_VALUE"""),4.79)</f>
        <v>4.79</v>
      </c>
      <c r="H15548" s="17"/>
      <c r="K15548" s="17"/>
      <c r="N15548" s="17"/>
    </row>
    <row r="15549">
      <c r="B15549" s="11">
        <f>IFERROR(__xludf.DUMMYFUNCTION("""COMPUTED_VALUE"""),24258.0)</f>
        <v>24258</v>
      </c>
      <c r="C15549" s="9">
        <f>IFERROR(__xludf.DUMMYFUNCTION("""COMPUTED_VALUE"""),4.8)</f>
        <v>4.8</v>
      </c>
      <c r="H15549" s="17"/>
      <c r="K15549" s="17"/>
      <c r="N15549" s="17"/>
    </row>
    <row r="15550">
      <c r="B15550" s="11">
        <f>IFERROR(__xludf.DUMMYFUNCTION("""COMPUTED_VALUE"""),24257.0)</f>
        <v>24257</v>
      </c>
      <c r="C15550" s="9"/>
      <c r="H15550" s="17"/>
      <c r="K15550" s="17"/>
      <c r="N15550" s="17"/>
    </row>
    <row r="15551">
      <c r="B15551" s="11">
        <f>IFERROR(__xludf.DUMMYFUNCTION("""COMPUTED_VALUE"""),24254.0)</f>
        <v>24254</v>
      </c>
      <c r="C15551" s="9">
        <f>IFERROR(__xludf.DUMMYFUNCTION("""COMPUTED_VALUE"""),4.81)</f>
        <v>4.81</v>
      </c>
      <c r="H15551" s="17"/>
      <c r="K15551" s="17"/>
      <c r="N15551" s="17"/>
    </row>
    <row r="15552">
      <c r="B15552" s="11">
        <f>IFERROR(__xludf.DUMMYFUNCTION("""COMPUTED_VALUE"""),24253.0)</f>
        <v>24253</v>
      </c>
      <c r="C15552" s="9">
        <f>IFERROR(__xludf.DUMMYFUNCTION("""COMPUTED_VALUE"""),4.8)</f>
        <v>4.8</v>
      </c>
      <c r="H15552" s="17"/>
      <c r="K15552" s="17"/>
      <c r="N15552" s="17"/>
    </row>
    <row r="15553">
      <c r="B15553" s="11">
        <f>IFERROR(__xludf.DUMMYFUNCTION("""COMPUTED_VALUE"""),24252.0)</f>
        <v>24252</v>
      </c>
      <c r="C15553" s="9">
        <f>IFERROR(__xludf.DUMMYFUNCTION("""COMPUTED_VALUE"""),4.78)</f>
        <v>4.78</v>
      </c>
      <c r="H15553" s="17"/>
      <c r="K15553" s="17"/>
      <c r="N15553" s="17"/>
    </row>
    <row r="15554">
      <c r="B15554" s="11">
        <f>IFERROR(__xludf.DUMMYFUNCTION("""COMPUTED_VALUE"""),24251.0)</f>
        <v>24251</v>
      </c>
      <c r="C15554" s="9">
        <f>IFERROR(__xludf.DUMMYFUNCTION("""COMPUTED_VALUE"""),4.79)</f>
        <v>4.79</v>
      </c>
      <c r="H15554" s="17"/>
      <c r="K15554" s="17"/>
      <c r="N15554" s="17"/>
    </row>
    <row r="15555">
      <c r="B15555" s="11">
        <f>IFERROR(__xludf.DUMMYFUNCTION("""COMPUTED_VALUE"""),24250.0)</f>
        <v>24250</v>
      </c>
      <c r="C15555" s="9">
        <f>IFERROR(__xludf.DUMMYFUNCTION("""COMPUTED_VALUE"""),4.77)</f>
        <v>4.77</v>
      </c>
      <c r="H15555" s="17"/>
      <c r="K15555" s="17"/>
      <c r="N15555" s="17"/>
    </row>
    <row r="15556">
      <c r="B15556" s="11">
        <f>IFERROR(__xludf.DUMMYFUNCTION("""COMPUTED_VALUE"""),24247.0)</f>
        <v>24247</v>
      </c>
      <c r="C15556" s="9">
        <f>IFERROR(__xludf.DUMMYFUNCTION("""COMPUTED_VALUE"""),4.75)</f>
        <v>4.75</v>
      </c>
      <c r="H15556" s="17"/>
      <c r="K15556" s="17"/>
      <c r="N15556" s="17"/>
    </row>
    <row r="15557">
      <c r="B15557" s="11">
        <f>IFERROR(__xludf.DUMMYFUNCTION("""COMPUTED_VALUE"""),24246.0)</f>
        <v>24246</v>
      </c>
      <c r="C15557" s="9">
        <f>IFERROR(__xludf.DUMMYFUNCTION("""COMPUTED_VALUE"""),4.75)</f>
        <v>4.75</v>
      </c>
      <c r="H15557" s="17"/>
      <c r="K15557" s="17"/>
      <c r="N15557" s="17"/>
    </row>
    <row r="15558">
      <c r="B15558" s="11">
        <f>IFERROR(__xludf.DUMMYFUNCTION("""COMPUTED_VALUE"""),24245.0)</f>
        <v>24245</v>
      </c>
      <c r="C15558" s="9">
        <f>IFERROR(__xludf.DUMMYFUNCTION("""COMPUTED_VALUE"""),4.75)</f>
        <v>4.75</v>
      </c>
      <c r="H15558" s="17"/>
      <c r="K15558" s="17"/>
      <c r="N15558" s="17"/>
    </row>
    <row r="15559">
      <c r="B15559" s="11">
        <f>IFERROR(__xludf.DUMMYFUNCTION("""COMPUTED_VALUE"""),24244.0)</f>
        <v>24244</v>
      </c>
      <c r="C15559" s="9">
        <f>IFERROR(__xludf.DUMMYFUNCTION("""COMPUTED_VALUE"""),4.75)</f>
        <v>4.75</v>
      </c>
      <c r="H15559" s="17"/>
      <c r="K15559" s="17"/>
      <c r="N15559" s="17"/>
    </row>
    <row r="15560">
      <c r="B15560" s="11">
        <f>IFERROR(__xludf.DUMMYFUNCTION("""COMPUTED_VALUE"""),24243.0)</f>
        <v>24243</v>
      </c>
      <c r="C15560" s="9">
        <f>IFERROR(__xludf.DUMMYFUNCTION("""COMPUTED_VALUE"""),4.77)</f>
        <v>4.77</v>
      </c>
      <c r="H15560" s="17"/>
      <c r="K15560" s="17"/>
      <c r="N15560" s="17"/>
    </row>
    <row r="15561">
      <c r="B15561" s="11">
        <f>IFERROR(__xludf.DUMMYFUNCTION("""COMPUTED_VALUE"""),24240.0)</f>
        <v>24240</v>
      </c>
      <c r="C15561" s="9">
        <f>IFERROR(__xludf.DUMMYFUNCTION("""COMPUTED_VALUE"""),4.77)</f>
        <v>4.77</v>
      </c>
      <c r="H15561" s="17"/>
      <c r="K15561" s="17"/>
      <c r="N15561" s="17"/>
    </row>
    <row r="15562">
      <c r="B15562" s="11">
        <f>IFERROR(__xludf.DUMMYFUNCTION("""COMPUTED_VALUE"""),24239.0)</f>
        <v>24239</v>
      </c>
      <c r="C15562" s="9">
        <f>IFERROR(__xludf.DUMMYFUNCTION("""COMPUTED_VALUE"""),4.77)</f>
        <v>4.77</v>
      </c>
      <c r="H15562" s="17"/>
      <c r="K15562" s="17"/>
      <c r="N15562" s="17"/>
    </row>
    <row r="15563">
      <c r="B15563" s="11">
        <f>IFERROR(__xludf.DUMMYFUNCTION("""COMPUTED_VALUE"""),24238.0)</f>
        <v>24238</v>
      </c>
      <c r="C15563" s="9">
        <f>IFERROR(__xludf.DUMMYFUNCTION("""COMPUTED_VALUE"""),4.77)</f>
        <v>4.77</v>
      </c>
      <c r="H15563" s="17"/>
      <c r="K15563" s="17"/>
      <c r="N15563" s="17"/>
    </row>
    <row r="15564">
      <c r="B15564" s="11">
        <f>IFERROR(__xludf.DUMMYFUNCTION("""COMPUTED_VALUE"""),24237.0)</f>
        <v>24237</v>
      </c>
      <c r="C15564" s="9">
        <f>IFERROR(__xludf.DUMMYFUNCTION("""COMPUTED_VALUE"""),4.75)</f>
        <v>4.75</v>
      </c>
      <c r="H15564" s="17"/>
      <c r="K15564" s="17"/>
      <c r="N15564" s="17"/>
    </row>
    <row r="15565">
      <c r="B15565" s="11">
        <f>IFERROR(__xludf.DUMMYFUNCTION("""COMPUTED_VALUE"""),24236.0)</f>
        <v>24236</v>
      </c>
      <c r="C15565" s="9">
        <f>IFERROR(__xludf.DUMMYFUNCTION("""COMPUTED_VALUE"""),4.75)</f>
        <v>4.75</v>
      </c>
      <c r="H15565" s="17"/>
      <c r="K15565" s="17"/>
      <c r="N15565" s="17"/>
    </row>
    <row r="15566">
      <c r="B15566" s="11">
        <f>IFERROR(__xludf.DUMMYFUNCTION("""COMPUTED_VALUE"""),24233.0)</f>
        <v>24233</v>
      </c>
      <c r="C15566" s="9">
        <f>IFERROR(__xludf.DUMMYFUNCTION("""COMPUTED_VALUE"""),4.79)</f>
        <v>4.79</v>
      </c>
      <c r="H15566" s="17"/>
      <c r="K15566" s="17"/>
      <c r="N15566" s="17"/>
    </row>
    <row r="15567">
      <c r="B15567" s="11">
        <f>IFERROR(__xludf.DUMMYFUNCTION("""COMPUTED_VALUE"""),24232.0)</f>
        <v>24232</v>
      </c>
      <c r="C15567" s="9">
        <f>IFERROR(__xludf.DUMMYFUNCTION("""COMPUTED_VALUE"""),4.81)</f>
        <v>4.81</v>
      </c>
      <c r="H15567" s="17"/>
      <c r="K15567" s="17"/>
      <c r="N15567" s="17"/>
    </row>
    <row r="15568">
      <c r="B15568" s="11">
        <f>IFERROR(__xludf.DUMMYFUNCTION("""COMPUTED_VALUE"""),24231.0)</f>
        <v>24231</v>
      </c>
      <c r="C15568" s="9">
        <f>IFERROR(__xludf.DUMMYFUNCTION("""COMPUTED_VALUE"""),4.81)</f>
        <v>4.81</v>
      </c>
      <c r="H15568" s="17"/>
      <c r="K15568" s="17"/>
      <c r="N15568" s="17"/>
    </row>
    <row r="15569">
      <c r="B15569" s="11">
        <f>IFERROR(__xludf.DUMMYFUNCTION("""COMPUTED_VALUE"""),24230.0)</f>
        <v>24230</v>
      </c>
      <c r="C15569" s="9">
        <f>IFERROR(__xludf.DUMMYFUNCTION("""COMPUTED_VALUE"""),4.81)</f>
        <v>4.81</v>
      </c>
      <c r="H15569" s="17"/>
      <c r="K15569" s="17"/>
      <c r="N15569" s="17"/>
    </row>
    <row r="15570">
      <c r="B15570" s="11">
        <f>IFERROR(__xludf.DUMMYFUNCTION("""COMPUTED_VALUE"""),24229.0)</f>
        <v>24229</v>
      </c>
      <c r="C15570" s="9">
        <f>IFERROR(__xludf.DUMMYFUNCTION("""COMPUTED_VALUE"""),4.8)</f>
        <v>4.8</v>
      </c>
      <c r="H15570" s="17"/>
      <c r="K15570" s="17"/>
      <c r="N15570" s="17"/>
    </row>
    <row r="15571">
      <c r="B15571" s="11">
        <f>IFERROR(__xludf.DUMMYFUNCTION("""COMPUTED_VALUE"""),24226.0)</f>
        <v>24226</v>
      </c>
      <c r="C15571" s="9">
        <f>IFERROR(__xludf.DUMMYFUNCTION("""COMPUTED_VALUE"""),4.79)</f>
        <v>4.79</v>
      </c>
      <c r="H15571" s="17"/>
      <c r="K15571" s="17"/>
      <c r="N15571" s="17"/>
    </row>
    <row r="15572">
      <c r="B15572" s="11">
        <f>IFERROR(__xludf.DUMMYFUNCTION("""COMPUTED_VALUE"""),24225.0)</f>
        <v>24225</v>
      </c>
      <c r="C15572" s="9">
        <f>IFERROR(__xludf.DUMMYFUNCTION("""COMPUTED_VALUE"""),4.78)</f>
        <v>4.78</v>
      </c>
      <c r="H15572" s="17"/>
      <c r="K15572" s="17"/>
      <c r="N15572" s="17"/>
    </row>
    <row r="15573">
      <c r="B15573" s="11">
        <f>IFERROR(__xludf.DUMMYFUNCTION("""COMPUTED_VALUE"""),24224.0)</f>
        <v>24224</v>
      </c>
      <c r="C15573" s="9">
        <f>IFERROR(__xludf.DUMMYFUNCTION("""COMPUTED_VALUE"""),4.78)</f>
        <v>4.78</v>
      </c>
      <c r="H15573" s="17"/>
      <c r="K15573" s="17"/>
      <c r="N15573" s="17"/>
    </row>
    <row r="15574">
      <c r="B15574" s="11">
        <f>IFERROR(__xludf.DUMMYFUNCTION("""COMPUTED_VALUE"""),24223.0)</f>
        <v>24223</v>
      </c>
      <c r="C15574" s="9">
        <f>IFERROR(__xludf.DUMMYFUNCTION("""COMPUTED_VALUE"""),4.79)</f>
        <v>4.79</v>
      </c>
      <c r="H15574" s="17"/>
      <c r="K15574" s="17"/>
      <c r="N15574" s="17"/>
    </row>
    <row r="15575">
      <c r="B15575" s="11">
        <f>IFERROR(__xludf.DUMMYFUNCTION("""COMPUTED_VALUE"""),24222.0)</f>
        <v>24222</v>
      </c>
      <c r="C15575" s="9">
        <f>IFERROR(__xludf.DUMMYFUNCTION("""COMPUTED_VALUE"""),4.78)</f>
        <v>4.78</v>
      </c>
      <c r="H15575" s="17"/>
      <c r="K15575" s="17"/>
      <c r="N15575" s="17"/>
    </row>
    <row r="15576">
      <c r="B15576" s="11">
        <f>IFERROR(__xludf.DUMMYFUNCTION("""COMPUTED_VALUE"""),24219.0)</f>
        <v>24219</v>
      </c>
      <c r="C15576" s="9">
        <f>IFERROR(__xludf.DUMMYFUNCTION("""COMPUTED_VALUE"""),4.77)</f>
        <v>4.77</v>
      </c>
      <c r="H15576" s="17"/>
      <c r="K15576" s="17"/>
      <c r="N15576" s="17"/>
    </row>
    <row r="15577">
      <c r="B15577" s="11">
        <f>IFERROR(__xludf.DUMMYFUNCTION("""COMPUTED_VALUE"""),24218.0)</f>
        <v>24218</v>
      </c>
      <c r="C15577" s="9">
        <f>IFERROR(__xludf.DUMMYFUNCTION("""COMPUTED_VALUE"""),4.77)</f>
        <v>4.77</v>
      </c>
      <c r="H15577" s="17"/>
      <c r="K15577" s="17"/>
      <c r="N15577" s="17"/>
    </row>
    <row r="15578">
      <c r="B15578" s="11">
        <f>IFERROR(__xludf.DUMMYFUNCTION("""COMPUTED_VALUE"""),24217.0)</f>
        <v>24217</v>
      </c>
      <c r="C15578" s="9">
        <f>IFERROR(__xludf.DUMMYFUNCTION("""COMPUTED_VALUE"""),4.8)</f>
        <v>4.8</v>
      </c>
      <c r="H15578" s="17"/>
      <c r="K15578" s="17"/>
      <c r="N15578" s="17"/>
    </row>
    <row r="15579">
      <c r="B15579" s="11">
        <f>IFERROR(__xludf.DUMMYFUNCTION("""COMPUTED_VALUE"""),24216.0)</f>
        <v>24216</v>
      </c>
      <c r="C15579" s="9">
        <f>IFERROR(__xludf.DUMMYFUNCTION("""COMPUTED_VALUE"""),4.76)</f>
        <v>4.76</v>
      </c>
      <c r="H15579" s="17"/>
      <c r="K15579" s="17"/>
      <c r="N15579" s="17"/>
    </row>
    <row r="15580">
      <c r="B15580" s="11">
        <f>IFERROR(__xludf.DUMMYFUNCTION("""COMPUTED_VALUE"""),24215.0)</f>
        <v>24215</v>
      </c>
      <c r="C15580" s="9">
        <f>IFERROR(__xludf.DUMMYFUNCTION("""COMPUTED_VALUE"""),4.76)</f>
        <v>4.76</v>
      </c>
      <c r="H15580" s="17"/>
      <c r="K15580" s="17"/>
      <c r="N15580" s="17"/>
    </row>
    <row r="15581">
      <c r="B15581" s="11">
        <f>IFERROR(__xludf.DUMMYFUNCTION("""COMPUTED_VALUE"""),24212.0)</f>
        <v>24212</v>
      </c>
      <c r="C15581" s="9">
        <f>IFERROR(__xludf.DUMMYFUNCTION("""COMPUTED_VALUE"""),4.77)</f>
        <v>4.77</v>
      </c>
      <c r="H15581" s="17"/>
      <c r="K15581" s="17"/>
      <c r="N15581" s="17"/>
    </row>
    <row r="15582">
      <c r="B15582" s="11">
        <f>IFERROR(__xludf.DUMMYFUNCTION("""COMPUTED_VALUE"""),24211.0)</f>
        <v>24211</v>
      </c>
      <c r="C15582" s="9">
        <f>IFERROR(__xludf.DUMMYFUNCTION("""COMPUTED_VALUE"""),4.76)</f>
        <v>4.76</v>
      </c>
      <c r="H15582" s="17"/>
      <c r="K15582" s="17"/>
      <c r="N15582" s="17"/>
    </row>
    <row r="15583">
      <c r="B15583" s="11">
        <f>IFERROR(__xludf.DUMMYFUNCTION("""COMPUTED_VALUE"""),24210.0)</f>
        <v>24210</v>
      </c>
      <c r="C15583" s="9">
        <f>IFERROR(__xludf.DUMMYFUNCTION("""COMPUTED_VALUE"""),4.74)</f>
        <v>4.74</v>
      </c>
      <c r="H15583" s="17"/>
      <c r="K15583" s="17"/>
      <c r="N15583" s="17"/>
    </row>
    <row r="15584">
      <c r="B15584" s="11">
        <f>IFERROR(__xludf.DUMMYFUNCTION("""COMPUTED_VALUE"""),24209.0)</f>
        <v>24209</v>
      </c>
      <c r="C15584" s="9">
        <f>IFERROR(__xludf.DUMMYFUNCTION("""COMPUTED_VALUE"""),4.73)</f>
        <v>4.73</v>
      </c>
      <c r="H15584" s="17"/>
      <c r="K15584" s="17"/>
      <c r="N15584" s="17"/>
    </row>
    <row r="15585">
      <c r="B15585" s="11">
        <f>IFERROR(__xludf.DUMMYFUNCTION("""COMPUTED_VALUE"""),24208.0)</f>
        <v>24208</v>
      </c>
      <c r="C15585" s="9">
        <f>IFERROR(__xludf.DUMMYFUNCTION("""COMPUTED_VALUE"""),4.73)</f>
        <v>4.73</v>
      </c>
      <c r="H15585" s="17"/>
      <c r="K15585" s="17"/>
      <c r="N15585" s="17"/>
    </row>
    <row r="15586">
      <c r="B15586" s="11">
        <f>IFERROR(__xludf.DUMMYFUNCTION("""COMPUTED_VALUE"""),24205.0)</f>
        <v>24205</v>
      </c>
      <c r="C15586" s="9"/>
      <c r="H15586" s="17"/>
      <c r="K15586" s="17"/>
      <c r="N15586" s="17"/>
    </row>
    <row r="15587">
      <c r="B15587" s="11">
        <f>IFERROR(__xludf.DUMMYFUNCTION("""COMPUTED_VALUE"""),24204.0)</f>
        <v>24204</v>
      </c>
      <c r="C15587" s="9">
        <f>IFERROR(__xludf.DUMMYFUNCTION("""COMPUTED_VALUE"""),4.73)</f>
        <v>4.73</v>
      </c>
      <c r="H15587" s="17"/>
      <c r="K15587" s="17"/>
      <c r="N15587" s="17"/>
    </row>
    <row r="15588">
      <c r="B15588" s="11">
        <f>IFERROR(__xludf.DUMMYFUNCTION("""COMPUTED_VALUE"""),24203.0)</f>
        <v>24203</v>
      </c>
      <c r="C15588" s="9">
        <f>IFERROR(__xludf.DUMMYFUNCTION("""COMPUTED_VALUE"""),4.71)</f>
        <v>4.71</v>
      </c>
      <c r="H15588" s="17"/>
      <c r="K15588" s="17"/>
      <c r="N15588" s="17"/>
    </row>
    <row r="15589">
      <c r="B15589" s="11">
        <f>IFERROR(__xludf.DUMMYFUNCTION("""COMPUTED_VALUE"""),24202.0)</f>
        <v>24202</v>
      </c>
      <c r="C15589" s="9">
        <f>IFERROR(__xludf.DUMMYFUNCTION("""COMPUTED_VALUE"""),4.66)</f>
        <v>4.66</v>
      </c>
      <c r="H15589" s="17"/>
      <c r="K15589" s="17"/>
      <c r="N15589" s="17"/>
    </row>
    <row r="15590">
      <c r="B15590" s="11">
        <f>IFERROR(__xludf.DUMMYFUNCTION("""COMPUTED_VALUE"""),24201.0)</f>
        <v>24201</v>
      </c>
      <c r="C15590" s="9">
        <f>IFERROR(__xludf.DUMMYFUNCTION("""COMPUTED_VALUE"""),4.69)</f>
        <v>4.69</v>
      </c>
      <c r="H15590" s="17"/>
      <c r="K15590" s="17"/>
      <c r="N15590" s="17"/>
    </row>
    <row r="15591">
      <c r="B15591" s="11">
        <f>IFERROR(__xludf.DUMMYFUNCTION("""COMPUTED_VALUE"""),24198.0)</f>
        <v>24198</v>
      </c>
      <c r="C15591" s="9">
        <f>IFERROR(__xludf.DUMMYFUNCTION("""COMPUTED_VALUE"""),4.7)</f>
        <v>4.7</v>
      </c>
      <c r="H15591" s="17"/>
      <c r="K15591" s="17"/>
      <c r="N15591" s="17"/>
    </row>
    <row r="15592">
      <c r="B15592" s="11">
        <f>IFERROR(__xludf.DUMMYFUNCTION("""COMPUTED_VALUE"""),24197.0)</f>
        <v>24197</v>
      </c>
      <c r="C15592" s="9">
        <f>IFERROR(__xludf.DUMMYFUNCTION("""COMPUTED_VALUE"""),4.71)</f>
        <v>4.71</v>
      </c>
      <c r="H15592" s="17"/>
      <c r="K15592" s="17"/>
      <c r="N15592" s="17"/>
    </row>
    <row r="15593">
      <c r="B15593" s="11">
        <f>IFERROR(__xludf.DUMMYFUNCTION("""COMPUTED_VALUE"""),24196.0)</f>
        <v>24196</v>
      </c>
      <c r="C15593" s="9">
        <f>IFERROR(__xludf.DUMMYFUNCTION("""COMPUTED_VALUE"""),4.7)</f>
        <v>4.7</v>
      </c>
      <c r="H15593" s="17"/>
      <c r="K15593" s="17"/>
      <c r="N15593" s="17"/>
    </row>
    <row r="15594">
      <c r="B15594" s="11">
        <f>IFERROR(__xludf.DUMMYFUNCTION("""COMPUTED_VALUE"""),24195.0)</f>
        <v>24195</v>
      </c>
      <c r="C15594" s="9">
        <f>IFERROR(__xludf.DUMMYFUNCTION("""COMPUTED_VALUE"""),4.8)</f>
        <v>4.8</v>
      </c>
      <c r="H15594" s="17"/>
      <c r="K15594" s="17"/>
      <c r="N15594" s="17"/>
    </row>
    <row r="15595">
      <c r="B15595" s="11">
        <f>IFERROR(__xludf.DUMMYFUNCTION("""COMPUTED_VALUE"""),24194.0)</f>
        <v>24194</v>
      </c>
      <c r="C15595" s="9">
        <f>IFERROR(__xludf.DUMMYFUNCTION("""COMPUTED_VALUE"""),4.81)</f>
        <v>4.81</v>
      </c>
      <c r="H15595" s="17"/>
      <c r="K15595" s="17"/>
      <c r="N15595" s="17"/>
    </row>
    <row r="15596">
      <c r="B15596" s="11">
        <f>IFERROR(__xludf.DUMMYFUNCTION("""COMPUTED_VALUE"""),24191.0)</f>
        <v>24191</v>
      </c>
      <c r="C15596" s="9">
        <f>IFERROR(__xludf.DUMMYFUNCTION("""COMPUTED_VALUE"""),4.82)</f>
        <v>4.82</v>
      </c>
      <c r="H15596" s="17"/>
      <c r="K15596" s="17"/>
      <c r="N15596" s="17"/>
    </row>
    <row r="15597">
      <c r="B15597" s="11">
        <f>IFERROR(__xludf.DUMMYFUNCTION("""COMPUTED_VALUE"""),24190.0)</f>
        <v>24190</v>
      </c>
      <c r="C15597" s="9">
        <f>IFERROR(__xludf.DUMMYFUNCTION("""COMPUTED_VALUE"""),4.76)</f>
        <v>4.76</v>
      </c>
      <c r="H15597" s="17"/>
      <c r="K15597" s="17"/>
      <c r="N15597" s="17"/>
    </row>
    <row r="15598">
      <c r="B15598" s="11">
        <f>IFERROR(__xludf.DUMMYFUNCTION("""COMPUTED_VALUE"""),24189.0)</f>
        <v>24189</v>
      </c>
      <c r="C15598" s="9">
        <f>IFERROR(__xludf.DUMMYFUNCTION("""COMPUTED_VALUE"""),4.73)</f>
        <v>4.73</v>
      </c>
      <c r="H15598" s="17"/>
      <c r="K15598" s="17"/>
      <c r="N15598" s="17"/>
    </row>
    <row r="15599">
      <c r="B15599" s="11">
        <f>IFERROR(__xludf.DUMMYFUNCTION("""COMPUTED_VALUE"""),24188.0)</f>
        <v>24188</v>
      </c>
      <c r="C15599" s="9">
        <f>IFERROR(__xludf.DUMMYFUNCTION("""COMPUTED_VALUE"""),4.78)</f>
        <v>4.78</v>
      </c>
      <c r="H15599" s="17"/>
      <c r="K15599" s="17"/>
      <c r="N15599" s="17"/>
    </row>
    <row r="15600">
      <c r="B15600" s="11">
        <f>IFERROR(__xludf.DUMMYFUNCTION("""COMPUTED_VALUE"""),24187.0)</f>
        <v>24187</v>
      </c>
      <c r="C15600" s="9">
        <f>IFERROR(__xludf.DUMMYFUNCTION("""COMPUTED_VALUE"""),4.81)</f>
        <v>4.81</v>
      </c>
      <c r="H15600" s="17"/>
      <c r="K15600" s="17"/>
      <c r="N15600" s="17"/>
    </row>
    <row r="15601">
      <c r="B15601" s="11">
        <f>IFERROR(__xludf.DUMMYFUNCTION("""COMPUTED_VALUE"""),24184.0)</f>
        <v>24184</v>
      </c>
      <c r="C15601" s="9">
        <f>IFERROR(__xludf.DUMMYFUNCTION("""COMPUTED_VALUE"""),4.84)</f>
        <v>4.84</v>
      </c>
      <c r="H15601" s="17"/>
      <c r="K15601" s="17"/>
      <c r="N15601" s="17"/>
    </row>
    <row r="15602">
      <c r="B15602" s="11">
        <f>IFERROR(__xludf.DUMMYFUNCTION("""COMPUTED_VALUE"""),24183.0)</f>
        <v>24183</v>
      </c>
      <c r="C15602" s="9">
        <f>IFERROR(__xludf.DUMMYFUNCTION("""COMPUTED_VALUE"""),4.86)</f>
        <v>4.86</v>
      </c>
      <c r="H15602" s="17"/>
      <c r="K15602" s="17"/>
      <c r="N15602" s="17"/>
    </row>
    <row r="15603">
      <c r="B15603" s="11">
        <f>IFERROR(__xludf.DUMMYFUNCTION("""COMPUTED_VALUE"""),24182.0)</f>
        <v>24182</v>
      </c>
      <c r="C15603" s="9">
        <f>IFERROR(__xludf.DUMMYFUNCTION("""COMPUTED_VALUE"""),4.9)</f>
        <v>4.9</v>
      </c>
      <c r="H15603" s="17"/>
      <c r="K15603" s="17"/>
      <c r="N15603" s="17"/>
    </row>
    <row r="15604">
      <c r="B15604" s="11">
        <f>IFERROR(__xludf.DUMMYFUNCTION("""COMPUTED_VALUE"""),24181.0)</f>
        <v>24181</v>
      </c>
      <c r="C15604" s="9">
        <f>IFERROR(__xludf.DUMMYFUNCTION("""COMPUTED_VALUE"""),4.91)</f>
        <v>4.91</v>
      </c>
      <c r="H15604" s="17"/>
      <c r="K15604" s="17"/>
      <c r="N15604" s="17"/>
    </row>
    <row r="15605">
      <c r="B15605" s="11">
        <f>IFERROR(__xludf.DUMMYFUNCTION("""COMPUTED_VALUE"""),24180.0)</f>
        <v>24180</v>
      </c>
      <c r="C15605" s="9">
        <f>IFERROR(__xludf.DUMMYFUNCTION("""COMPUTED_VALUE"""),4.94)</f>
        <v>4.94</v>
      </c>
      <c r="H15605" s="17"/>
      <c r="K15605" s="17"/>
      <c r="N15605" s="17"/>
    </row>
    <row r="15606">
      <c r="B15606" s="11">
        <f>IFERROR(__xludf.DUMMYFUNCTION("""COMPUTED_VALUE"""),24177.0)</f>
        <v>24177</v>
      </c>
      <c r="C15606" s="9">
        <f>IFERROR(__xludf.DUMMYFUNCTION("""COMPUTED_VALUE"""),4.96)</f>
        <v>4.96</v>
      </c>
      <c r="H15606" s="17"/>
      <c r="K15606" s="17"/>
      <c r="N15606" s="17"/>
    </row>
    <row r="15607">
      <c r="B15607" s="11">
        <f>IFERROR(__xludf.DUMMYFUNCTION("""COMPUTED_VALUE"""),24176.0)</f>
        <v>24176</v>
      </c>
      <c r="C15607" s="9">
        <f>IFERROR(__xludf.DUMMYFUNCTION("""COMPUTED_VALUE"""),4.95)</f>
        <v>4.95</v>
      </c>
      <c r="H15607" s="17"/>
      <c r="K15607" s="17"/>
      <c r="N15607" s="17"/>
    </row>
    <row r="15608">
      <c r="B15608" s="11">
        <f>IFERROR(__xludf.DUMMYFUNCTION("""COMPUTED_VALUE"""),24175.0)</f>
        <v>24175</v>
      </c>
      <c r="C15608" s="9">
        <f>IFERROR(__xludf.DUMMYFUNCTION("""COMPUTED_VALUE"""),4.93)</f>
        <v>4.93</v>
      </c>
      <c r="H15608" s="17"/>
      <c r="K15608" s="17"/>
      <c r="N15608" s="17"/>
    </row>
    <row r="15609">
      <c r="B15609" s="11">
        <f>IFERROR(__xludf.DUMMYFUNCTION("""COMPUTED_VALUE"""),24174.0)</f>
        <v>24174</v>
      </c>
      <c r="C15609" s="9">
        <f>IFERROR(__xludf.DUMMYFUNCTION("""COMPUTED_VALUE"""),4.93)</f>
        <v>4.93</v>
      </c>
      <c r="H15609" s="17"/>
      <c r="K15609" s="17"/>
      <c r="N15609" s="17"/>
    </row>
    <row r="15610">
      <c r="B15610" s="11">
        <f>IFERROR(__xludf.DUMMYFUNCTION("""COMPUTED_VALUE"""),24173.0)</f>
        <v>24173</v>
      </c>
      <c r="C15610" s="9">
        <f>IFERROR(__xludf.DUMMYFUNCTION("""COMPUTED_VALUE"""),4.96)</f>
        <v>4.96</v>
      </c>
      <c r="H15610" s="17"/>
      <c r="K15610" s="17"/>
      <c r="N15610" s="17"/>
    </row>
    <row r="15611">
      <c r="B15611" s="11">
        <f>IFERROR(__xludf.DUMMYFUNCTION("""COMPUTED_VALUE"""),24170.0)</f>
        <v>24170</v>
      </c>
      <c r="C15611" s="9">
        <f>IFERROR(__xludf.DUMMYFUNCTION("""COMPUTED_VALUE"""),4.98)</f>
        <v>4.98</v>
      </c>
      <c r="H15611" s="17"/>
      <c r="K15611" s="17"/>
      <c r="N15611" s="17"/>
    </row>
    <row r="15612">
      <c r="B15612" s="11">
        <f>IFERROR(__xludf.DUMMYFUNCTION("""COMPUTED_VALUE"""),24169.0)</f>
        <v>24169</v>
      </c>
      <c r="C15612" s="9">
        <f>IFERROR(__xludf.DUMMYFUNCTION("""COMPUTED_VALUE"""),5.0)</f>
        <v>5</v>
      </c>
      <c r="H15612" s="17"/>
      <c r="K15612" s="17"/>
      <c r="N15612" s="17"/>
    </row>
    <row r="15613">
      <c r="B15613" s="11">
        <f>IFERROR(__xludf.DUMMYFUNCTION("""COMPUTED_VALUE"""),24168.0)</f>
        <v>24168</v>
      </c>
      <c r="C15613" s="9">
        <f>IFERROR(__xludf.DUMMYFUNCTION("""COMPUTED_VALUE"""),5.0)</f>
        <v>5</v>
      </c>
      <c r="H15613" s="17"/>
      <c r="K15613" s="17"/>
      <c r="N15613" s="17"/>
    </row>
    <row r="15614">
      <c r="B15614" s="11">
        <f>IFERROR(__xludf.DUMMYFUNCTION("""COMPUTED_VALUE"""),24167.0)</f>
        <v>24167</v>
      </c>
      <c r="C15614" s="9">
        <f>IFERROR(__xludf.DUMMYFUNCTION("""COMPUTED_VALUE"""),5.01)</f>
        <v>5.01</v>
      </c>
      <c r="H15614" s="17"/>
      <c r="K15614" s="17"/>
      <c r="N15614" s="17"/>
    </row>
    <row r="15615">
      <c r="B15615" s="11">
        <f>IFERROR(__xludf.DUMMYFUNCTION("""COMPUTED_VALUE"""),24166.0)</f>
        <v>24166</v>
      </c>
      <c r="C15615" s="9">
        <f>IFERROR(__xludf.DUMMYFUNCTION("""COMPUTED_VALUE"""),5.02)</f>
        <v>5.02</v>
      </c>
      <c r="H15615" s="17"/>
      <c r="K15615" s="17"/>
      <c r="N15615" s="17"/>
    </row>
    <row r="15616">
      <c r="B15616" s="11">
        <f>IFERROR(__xludf.DUMMYFUNCTION("""COMPUTED_VALUE"""),24163.0)</f>
        <v>24163</v>
      </c>
      <c r="C15616" s="9">
        <f>IFERROR(__xludf.DUMMYFUNCTION("""COMPUTED_VALUE"""),4.97)</f>
        <v>4.97</v>
      </c>
      <c r="H15616" s="17"/>
      <c r="K15616" s="17"/>
      <c r="N15616" s="17"/>
    </row>
    <row r="15617">
      <c r="B15617" s="11">
        <f>IFERROR(__xludf.DUMMYFUNCTION("""COMPUTED_VALUE"""),24162.0)</f>
        <v>24162</v>
      </c>
      <c r="C15617" s="9">
        <f>IFERROR(__xludf.DUMMYFUNCTION("""COMPUTED_VALUE"""),4.93)</f>
        <v>4.93</v>
      </c>
      <c r="H15617" s="17"/>
      <c r="K15617" s="17"/>
      <c r="N15617" s="17"/>
    </row>
    <row r="15618">
      <c r="B15618" s="11">
        <f>IFERROR(__xludf.DUMMYFUNCTION("""COMPUTED_VALUE"""),24161.0)</f>
        <v>24161</v>
      </c>
      <c r="C15618" s="9">
        <f>IFERROR(__xludf.DUMMYFUNCTION("""COMPUTED_VALUE"""),4.92)</f>
        <v>4.92</v>
      </c>
      <c r="H15618" s="17"/>
      <c r="K15618" s="17"/>
      <c r="N15618" s="17"/>
    </row>
    <row r="15619">
      <c r="B15619" s="11">
        <f>IFERROR(__xludf.DUMMYFUNCTION("""COMPUTED_VALUE"""),24160.0)</f>
        <v>24160</v>
      </c>
      <c r="C15619" s="9"/>
      <c r="H15619" s="17"/>
      <c r="K15619" s="17"/>
      <c r="N15619" s="17"/>
    </row>
    <row r="15620">
      <c r="B15620" s="11">
        <f>IFERROR(__xludf.DUMMYFUNCTION("""COMPUTED_VALUE"""),24159.0)</f>
        <v>24159</v>
      </c>
      <c r="C15620" s="9">
        <f>IFERROR(__xludf.DUMMYFUNCTION("""COMPUTED_VALUE"""),4.92)</f>
        <v>4.92</v>
      </c>
      <c r="H15620" s="17"/>
      <c r="K15620" s="17"/>
      <c r="N15620" s="17"/>
    </row>
    <row r="15621">
      <c r="B15621" s="11">
        <f>IFERROR(__xludf.DUMMYFUNCTION("""COMPUTED_VALUE"""),24156.0)</f>
        <v>24156</v>
      </c>
      <c r="C15621" s="9">
        <f>IFERROR(__xludf.DUMMYFUNCTION("""COMPUTED_VALUE"""),4.9)</f>
        <v>4.9</v>
      </c>
      <c r="H15621" s="17"/>
      <c r="K15621" s="17"/>
      <c r="N15621" s="17"/>
    </row>
    <row r="15622">
      <c r="B15622" s="11">
        <f>IFERROR(__xludf.DUMMYFUNCTION("""COMPUTED_VALUE"""),24155.0)</f>
        <v>24155</v>
      </c>
      <c r="C15622" s="9">
        <f>IFERROR(__xludf.DUMMYFUNCTION("""COMPUTED_VALUE"""),4.88)</f>
        <v>4.88</v>
      </c>
      <c r="H15622" s="17"/>
      <c r="K15622" s="17"/>
      <c r="N15622" s="17"/>
    </row>
    <row r="15623">
      <c r="B15623" s="11">
        <f>IFERROR(__xludf.DUMMYFUNCTION("""COMPUTED_VALUE"""),24154.0)</f>
        <v>24154</v>
      </c>
      <c r="C15623" s="9">
        <f>IFERROR(__xludf.DUMMYFUNCTION("""COMPUTED_VALUE"""),4.89)</f>
        <v>4.89</v>
      </c>
      <c r="H15623" s="17"/>
      <c r="K15623" s="17"/>
      <c r="N15623" s="17"/>
    </row>
    <row r="15624">
      <c r="B15624" s="11">
        <f>IFERROR(__xludf.DUMMYFUNCTION("""COMPUTED_VALUE"""),24153.0)</f>
        <v>24153</v>
      </c>
      <c r="C15624" s="9">
        <f>IFERROR(__xludf.DUMMYFUNCTION("""COMPUTED_VALUE"""),4.88)</f>
        <v>4.88</v>
      </c>
      <c r="H15624" s="17"/>
      <c r="K15624" s="17"/>
      <c r="N15624" s="17"/>
    </row>
    <row r="15625">
      <c r="B15625" s="11">
        <f>IFERROR(__xludf.DUMMYFUNCTION("""COMPUTED_VALUE"""),24152.0)</f>
        <v>24152</v>
      </c>
      <c r="C15625" s="9">
        <f>IFERROR(__xludf.DUMMYFUNCTION("""COMPUTED_VALUE"""),4.87)</f>
        <v>4.87</v>
      </c>
      <c r="H15625" s="17"/>
      <c r="K15625" s="17"/>
      <c r="N15625" s="17"/>
    </row>
    <row r="15626">
      <c r="B15626" s="11">
        <f>IFERROR(__xludf.DUMMYFUNCTION("""COMPUTED_VALUE"""),24149.0)</f>
        <v>24149</v>
      </c>
      <c r="C15626" s="9">
        <f>IFERROR(__xludf.DUMMYFUNCTION("""COMPUTED_VALUE"""),4.86)</f>
        <v>4.86</v>
      </c>
      <c r="H15626" s="17"/>
      <c r="K15626" s="17"/>
      <c r="N15626" s="17"/>
    </row>
    <row r="15627">
      <c r="B15627" s="11">
        <f>IFERROR(__xludf.DUMMYFUNCTION("""COMPUTED_VALUE"""),24148.0)</f>
        <v>24148</v>
      </c>
      <c r="C15627" s="9">
        <f>IFERROR(__xludf.DUMMYFUNCTION("""COMPUTED_VALUE"""),4.78)</f>
        <v>4.78</v>
      </c>
      <c r="H15627" s="17"/>
      <c r="K15627" s="17"/>
      <c r="N15627" s="17"/>
    </row>
    <row r="15628">
      <c r="B15628" s="11">
        <f>IFERROR(__xludf.DUMMYFUNCTION("""COMPUTED_VALUE"""),24147.0)</f>
        <v>24147</v>
      </c>
      <c r="C15628" s="9">
        <f>IFERROR(__xludf.DUMMYFUNCTION("""COMPUTED_VALUE"""),4.74)</f>
        <v>4.74</v>
      </c>
      <c r="H15628" s="17"/>
      <c r="K15628" s="17"/>
      <c r="N15628" s="17"/>
    </row>
    <row r="15629">
      <c r="B15629" s="11">
        <f>IFERROR(__xludf.DUMMYFUNCTION("""COMPUTED_VALUE"""),24146.0)</f>
        <v>24146</v>
      </c>
      <c r="C15629" s="9">
        <f>IFERROR(__xludf.DUMMYFUNCTION("""COMPUTED_VALUE"""),4.72)</f>
        <v>4.72</v>
      </c>
      <c r="H15629" s="17"/>
      <c r="K15629" s="17"/>
      <c r="N15629" s="17"/>
    </row>
    <row r="15630">
      <c r="B15630" s="11">
        <f>IFERROR(__xludf.DUMMYFUNCTION("""COMPUTED_VALUE"""),24145.0)</f>
        <v>24145</v>
      </c>
      <c r="C15630" s="9">
        <f>IFERROR(__xludf.DUMMYFUNCTION("""COMPUTED_VALUE"""),4.73)</f>
        <v>4.73</v>
      </c>
      <c r="H15630" s="17"/>
      <c r="K15630" s="17"/>
      <c r="N15630" s="17"/>
    </row>
    <row r="15631">
      <c r="B15631" s="11">
        <f>IFERROR(__xludf.DUMMYFUNCTION("""COMPUTED_VALUE"""),24142.0)</f>
        <v>24142</v>
      </c>
      <c r="C15631" s="9">
        <f>IFERROR(__xludf.DUMMYFUNCTION("""COMPUTED_VALUE"""),4.71)</f>
        <v>4.71</v>
      </c>
      <c r="H15631" s="17"/>
      <c r="K15631" s="17"/>
      <c r="N15631" s="17"/>
    </row>
    <row r="15632">
      <c r="B15632" s="11">
        <f>IFERROR(__xludf.DUMMYFUNCTION("""COMPUTED_VALUE"""),24141.0)</f>
        <v>24141</v>
      </c>
      <c r="C15632" s="9">
        <f>IFERROR(__xludf.DUMMYFUNCTION("""COMPUTED_VALUE"""),4.7)</f>
        <v>4.7</v>
      </c>
      <c r="H15632" s="17"/>
      <c r="K15632" s="17"/>
      <c r="N15632" s="17"/>
    </row>
    <row r="15633">
      <c r="B15633" s="11">
        <f>IFERROR(__xludf.DUMMYFUNCTION("""COMPUTED_VALUE"""),24140.0)</f>
        <v>24140</v>
      </c>
      <c r="C15633" s="9">
        <f>IFERROR(__xludf.DUMMYFUNCTION("""COMPUTED_VALUE"""),4.7)</f>
        <v>4.7</v>
      </c>
      <c r="H15633" s="17"/>
      <c r="K15633" s="17"/>
      <c r="N15633" s="17"/>
    </row>
    <row r="15634">
      <c r="B15634" s="11">
        <f>IFERROR(__xludf.DUMMYFUNCTION("""COMPUTED_VALUE"""),24139.0)</f>
        <v>24139</v>
      </c>
      <c r="C15634" s="9">
        <f>IFERROR(__xludf.DUMMYFUNCTION("""COMPUTED_VALUE"""),4.69)</f>
        <v>4.69</v>
      </c>
      <c r="H15634" s="17"/>
      <c r="K15634" s="17"/>
      <c r="N15634" s="17"/>
    </row>
    <row r="15635">
      <c r="B15635" s="11">
        <f>IFERROR(__xludf.DUMMYFUNCTION("""COMPUTED_VALUE"""),24138.0)</f>
        <v>24138</v>
      </c>
      <c r="C15635" s="9">
        <f>IFERROR(__xludf.DUMMYFUNCTION("""COMPUTED_VALUE"""),4.69)</f>
        <v>4.69</v>
      </c>
      <c r="H15635" s="17"/>
      <c r="K15635" s="17"/>
      <c r="N15635" s="17"/>
    </row>
    <row r="15636">
      <c r="B15636" s="11">
        <f>IFERROR(__xludf.DUMMYFUNCTION("""COMPUTED_VALUE"""),24135.0)</f>
        <v>24135</v>
      </c>
      <c r="C15636" s="9">
        <f>IFERROR(__xludf.DUMMYFUNCTION("""COMPUTED_VALUE"""),4.65)</f>
        <v>4.65</v>
      </c>
      <c r="H15636" s="17"/>
      <c r="K15636" s="17"/>
      <c r="N15636" s="17"/>
    </row>
    <row r="15637">
      <c r="B15637" s="11">
        <f>IFERROR(__xludf.DUMMYFUNCTION("""COMPUTED_VALUE"""),24134.0)</f>
        <v>24134</v>
      </c>
      <c r="C15637" s="9">
        <f>IFERROR(__xludf.DUMMYFUNCTION("""COMPUTED_VALUE"""),4.63)</f>
        <v>4.63</v>
      </c>
      <c r="H15637" s="17"/>
      <c r="K15637" s="17"/>
      <c r="N15637" s="17"/>
    </row>
    <row r="15638">
      <c r="B15638" s="11">
        <f>IFERROR(__xludf.DUMMYFUNCTION("""COMPUTED_VALUE"""),24133.0)</f>
        <v>24133</v>
      </c>
      <c r="C15638" s="9">
        <f>IFERROR(__xludf.DUMMYFUNCTION("""COMPUTED_VALUE"""),4.61)</f>
        <v>4.61</v>
      </c>
      <c r="H15638" s="17"/>
      <c r="K15638" s="17"/>
      <c r="N15638" s="17"/>
    </row>
    <row r="15639">
      <c r="B15639" s="11">
        <f>IFERROR(__xludf.DUMMYFUNCTION("""COMPUTED_VALUE"""),24132.0)</f>
        <v>24132</v>
      </c>
      <c r="C15639" s="9">
        <f>IFERROR(__xludf.DUMMYFUNCTION("""COMPUTED_VALUE"""),4.61)</f>
        <v>4.61</v>
      </c>
      <c r="H15639" s="17"/>
      <c r="K15639" s="17"/>
      <c r="N15639" s="17"/>
    </row>
    <row r="15640">
      <c r="B15640" s="11">
        <f>IFERROR(__xludf.DUMMYFUNCTION("""COMPUTED_VALUE"""),24131.0)</f>
        <v>24131</v>
      </c>
      <c r="C15640" s="9">
        <f>IFERROR(__xludf.DUMMYFUNCTION("""COMPUTED_VALUE"""),4.6)</f>
        <v>4.6</v>
      </c>
      <c r="H15640" s="17"/>
      <c r="K15640" s="17"/>
      <c r="N15640" s="17"/>
    </row>
    <row r="15641">
      <c r="B15641" s="11">
        <f>IFERROR(__xludf.DUMMYFUNCTION("""COMPUTED_VALUE"""),24128.0)</f>
        <v>24128</v>
      </c>
      <c r="C15641" s="9">
        <f>IFERROR(__xludf.DUMMYFUNCTION("""COMPUTED_VALUE"""),4.59)</f>
        <v>4.59</v>
      </c>
      <c r="H15641" s="17"/>
      <c r="K15641" s="17"/>
      <c r="N15641" s="17"/>
    </row>
    <row r="15642">
      <c r="B15642" s="11">
        <f>IFERROR(__xludf.DUMMYFUNCTION("""COMPUTED_VALUE"""),24127.0)</f>
        <v>24127</v>
      </c>
      <c r="C15642" s="9">
        <f>IFERROR(__xludf.DUMMYFUNCTION("""COMPUTED_VALUE"""),4.6)</f>
        <v>4.6</v>
      </c>
      <c r="H15642" s="17"/>
      <c r="K15642" s="17"/>
      <c r="N15642" s="17"/>
    </row>
    <row r="15643">
      <c r="B15643" s="11">
        <f>IFERROR(__xludf.DUMMYFUNCTION("""COMPUTED_VALUE"""),24126.0)</f>
        <v>24126</v>
      </c>
      <c r="C15643" s="9">
        <f>IFERROR(__xludf.DUMMYFUNCTION("""COMPUTED_VALUE"""),4.61)</f>
        <v>4.61</v>
      </c>
      <c r="H15643" s="17"/>
      <c r="K15643" s="17"/>
      <c r="N15643" s="17"/>
    </row>
    <row r="15644">
      <c r="B15644" s="11">
        <f>IFERROR(__xludf.DUMMYFUNCTION("""COMPUTED_VALUE"""),24125.0)</f>
        <v>24125</v>
      </c>
      <c r="C15644" s="9">
        <f>IFERROR(__xludf.DUMMYFUNCTION("""COMPUTED_VALUE"""),4.61)</f>
        <v>4.61</v>
      </c>
      <c r="H15644" s="17"/>
      <c r="K15644" s="17"/>
      <c r="N15644" s="17"/>
    </row>
    <row r="15645">
      <c r="B15645" s="11">
        <f>IFERROR(__xludf.DUMMYFUNCTION("""COMPUTED_VALUE"""),24124.0)</f>
        <v>24124</v>
      </c>
      <c r="C15645" s="9">
        <f>IFERROR(__xludf.DUMMYFUNCTION("""COMPUTED_VALUE"""),4.61)</f>
        <v>4.61</v>
      </c>
      <c r="H15645" s="17"/>
      <c r="K15645" s="17"/>
      <c r="N15645" s="17"/>
    </row>
    <row r="15646">
      <c r="B15646" s="11">
        <f>IFERROR(__xludf.DUMMYFUNCTION("""COMPUTED_VALUE"""),24121.0)</f>
        <v>24121</v>
      </c>
      <c r="C15646" s="9">
        <f>IFERROR(__xludf.DUMMYFUNCTION("""COMPUTED_VALUE"""),4.59)</f>
        <v>4.59</v>
      </c>
      <c r="H15646" s="17"/>
      <c r="K15646" s="17"/>
      <c r="N15646" s="17"/>
    </row>
    <row r="15647">
      <c r="B15647" s="11">
        <f>IFERROR(__xludf.DUMMYFUNCTION("""COMPUTED_VALUE"""),24120.0)</f>
        <v>24120</v>
      </c>
      <c r="C15647" s="9">
        <f>IFERROR(__xludf.DUMMYFUNCTION("""COMPUTED_VALUE"""),4.58)</f>
        <v>4.58</v>
      </c>
      <c r="H15647" s="17"/>
      <c r="K15647" s="17"/>
      <c r="N15647" s="17"/>
    </row>
    <row r="15648">
      <c r="B15648" s="11">
        <f>IFERROR(__xludf.DUMMYFUNCTION("""COMPUTED_VALUE"""),24119.0)</f>
        <v>24119</v>
      </c>
      <c r="C15648" s="9">
        <f>IFERROR(__xludf.DUMMYFUNCTION("""COMPUTED_VALUE"""),4.56)</f>
        <v>4.56</v>
      </c>
      <c r="H15648" s="17"/>
      <c r="K15648" s="17"/>
      <c r="N15648" s="17"/>
    </row>
    <row r="15649">
      <c r="B15649" s="11">
        <f>IFERROR(__xludf.DUMMYFUNCTION("""COMPUTED_VALUE"""),24118.0)</f>
        <v>24118</v>
      </c>
      <c r="C15649" s="9">
        <f>IFERROR(__xludf.DUMMYFUNCTION("""COMPUTED_VALUE"""),4.6)</f>
        <v>4.6</v>
      </c>
      <c r="H15649" s="17"/>
      <c r="K15649" s="17"/>
      <c r="N15649" s="17"/>
    </row>
    <row r="15650">
      <c r="B15650" s="11">
        <f>IFERROR(__xludf.DUMMYFUNCTION("""COMPUTED_VALUE"""),24117.0)</f>
        <v>24117</v>
      </c>
      <c r="C15650" s="9">
        <f>IFERROR(__xludf.DUMMYFUNCTION("""COMPUTED_VALUE"""),4.61)</f>
        <v>4.61</v>
      </c>
      <c r="H15650" s="17"/>
      <c r="K15650" s="17"/>
      <c r="N15650" s="17"/>
    </row>
    <row r="15651">
      <c r="B15651" s="11">
        <f>IFERROR(__xludf.DUMMYFUNCTION("""COMPUTED_VALUE"""),24114.0)</f>
        <v>24114</v>
      </c>
      <c r="C15651" s="9">
        <f>IFERROR(__xludf.DUMMYFUNCTION("""COMPUTED_VALUE"""),4.6)</f>
        <v>4.6</v>
      </c>
      <c r="H15651" s="17"/>
      <c r="K15651" s="17"/>
      <c r="N15651" s="17"/>
    </row>
    <row r="15652">
      <c r="B15652" s="11">
        <f>IFERROR(__xludf.DUMMYFUNCTION("""COMPUTED_VALUE"""),24113.0)</f>
        <v>24113</v>
      </c>
      <c r="C15652" s="9">
        <f>IFERROR(__xludf.DUMMYFUNCTION("""COMPUTED_VALUE"""),4.6)</f>
        <v>4.6</v>
      </c>
      <c r="H15652" s="17"/>
      <c r="K15652" s="17"/>
      <c r="N15652" s="17"/>
    </row>
    <row r="15653">
      <c r="B15653" s="11">
        <f>IFERROR(__xludf.DUMMYFUNCTION("""COMPUTED_VALUE"""),24112.0)</f>
        <v>24112</v>
      </c>
      <c r="C15653" s="9">
        <f>IFERROR(__xludf.DUMMYFUNCTION("""COMPUTED_VALUE"""),4.63)</f>
        <v>4.63</v>
      </c>
      <c r="H15653" s="17"/>
      <c r="K15653" s="17"/>
      <c r="N15653" s="17"/>
    </row>
    <row r="15654">
      <c r="B15654" s="11">
        <f>IFERROR(__xludf.DUMMYFUNCTION("""COMPUTED_VALUE"""),24111.0)</f>
        <v>24111</v>
      </c>
      <c r="C15654" s="9">
        <f>IFERROR(__xludf.DUMMYFUNCTION("""COMPUTED_VALUE"""),4.65)</f>
        <v>4.65</v>
      </c>
      <c r="H15654" s="17"/>
      <c r="K15654" s="17"/>
      <c r="N15654" s="17"/>
    </row>
    <row r="15655">
      <c r="B15655" s="11">
        <f>IFERROR(__xludf.DUMMYFUNCTION("""COMPUTED_VALUE"""),24110.0)</f>
        <v>24110</v>
      </c>
      <c r="C15655" s="9">
        <f>IFERROR(__xludf.DUMMYFUNCTION("""COMPUTED_VALUE"""),4.63)</f>
        <v>4.63</v>
      </c>
      <c r="H15655" s="17"/>
      <c r="K15655" s="17"/>
      <c r="N15655" s="17"/>
    </row>
    <row r="15656">
      <c r="B15656" s="11">
        <f>IFERROR(__xludf.DUMMYFUNCTION("""COMPUTED_VALUE"""),24107.0)</f>
        <v>24107</v>
      </c>
      <c r="C15656" s="9">
        <f>IFERROR(__xludf.DUMMYFUNCTION("""COMPUTED_VALUE"""),4.65)</f>
        <v>4.65</v>
      </c>
      <c r="H15656" s="17"/>
      <c r="K15656" s="17"/>
      <c r="N15656" s="17"/>
    </row>
    <row r="15657">
      <c r="B15657" s="11">
        <f>IFERROR(__xludf.DUMMYFUNCTION("""COMPUTED_VALUE"""),24106.0)</f>
        <v>24106</v>
      </c>
      <c r="C15657" s="9">
        <f>IFERROR(__xludf.DUMMYFUNCTION("""COMPUTED_VALUE"""),4.63)</f>
        <v>4.63</v>
      </c>
      <c r="H15657" s="17"/>
      <c r="K15657" s="17"/>
      <c r="N15657" s="17"/>
    </row>
    <row r="15658">
      <c r="B15658" s="11">
        <f>IFERROR(__xludf.DUMMYFUNCTION("""COMPUTED_VALUE"""),24105.0)</f>
        <v>24105</v>
      </c>
      <c r="C15658" s="9">
        <f>IFERROR(__xludf.DUMMYFUNCTION("""COMPUTED_VALUE"""),4.62)</f>
        <v>4.62</v>
      </c>
      <c r="H15658" s="17"/>
      <c r="K15658" s="17"/>
      <c r="N15658" s="17"/>
    </row>
    <row r="15659">
      <c r="B15659" s="11">
        <f>IFERROR(__xludf.DUMMYFUNCTION("""COMPUTED_VALUE"""),24104.0)</f>
        <v>24104</v>
      </c>
      <c r="C15659" s="9">
        <f>IFERROR(__xludf.DUMMYFUNCTION("""COMPUTED_VALUE"""),4.61)</f>
        <v>4.61</v>
      </c>
      <c r="H15659" s="17"/>
      <c r="K15659" s="17"/>
      <c r="N15659" s="17"/>
    </row>
    <row r="15660">
      <c r="B15660" s="11">
        <f>IFERROR(__xludf.DUMMYFUNCTION("""COMPUTED_VALUE"""),24103.0)</f>
        <v>24103</v>
      </c>
      <c r="C15660" s="9">
        <f>IFERROR(__xludf.DUMMYFUNCTION("""COMPUTED_VALUE"""),4.62)</f>
        <v>4.62</v>
      </c>
      <c r="H15660" s="17"/>
      <c r="K15660" s="17"/>
      <c r="N15660" s="17"/>
    </row>
    <row r="15661">
      <c r="B15661" s="11">
        <f>IFERROR(__xludf.DUMMYFUNCTION("""COMPUTED_VALUE"""),24100.0)</f>
        <v>24100</v>
      </c>
      <c r="C15661" s="9"/>
      <c r="H15661" s="17"/>
      <c r="K15661" s="17"/>
      <c r="N15661" s="17"/>
    </row>
    <row r="15662">
      <c r="B15662" s="11">
        <f>IFERROR(__xludf.DUMMYFUNCTION("""COMPUTED_VALUE"""),24099.0)</f>
        <v>24099</v>
      </c>
      <c r="C15662" s="9">
        <f>IFERROR(__xludf.DUMMYFUNCTION("""COMPUTED_VALUE"""),4.65)</f>
        <v>4.65</v>
      </c>
      <c r="H15662" s="17"/>
      <c r="K15662" s="17"/>
      <c r="N15662" s="17"/>
    </row>
    <row r="15663">
      <c r="B15663" s="11">
        <f>IFERROR(__xludf.DUMMYFUNCTION("""COMPUTED_VALUE"""),24098.0)</f>
        <v>24098</v>
      </c>
      <c r="C15663" s="9">
        <f>IFERROR(__xludf.DUMMYFUNCTION("""COMPUTED_VALUE"""),4.65)</f>
        <v>4.65</v>
      </c>
      <c r="H15663" s="17"/>
      <c r="K15663" s="17"/>
      <c r="N15663" s="17"/>
    </row>
    <row r="15664">
      <c r="B15664" s="11">
        <f>IFERROR(__xludf.DUMMYFUNCTION("""COMPUTED_VALUE"""),24097.0)</f>
        <v>24097</v>
      </c>
      <c r="C15664" s="9">
        <f>IFERROR(__xludf.DUMMYFUNCTION("""COMPUTED_VALUE"""),4.64)</f>
        <v>4.64</v>
      </c>
      <c r="H15664" s="17"/>
      <c r="K15664" s="17"/>
      <c r="N15664" s="17"/>
    </row>
    <row r="15665">
      <c r="B15665" s="11">
        <f>IFERROR(__xludf.DUMMYFUNCTION("""COMPUTED_VALUE"""),24096.0)</f>
        <v>24096</v>
      </c>
      <c r="C15665" s="9">
        <f>IFERROR(__xludf.DUMMYFUNCTION("""COMPUTED_VALUE"""),4.61)</f>
        <v>4.61</v>
      </c>
      <c r="H15665" s="17"/>
      <c r="K15665" s="17"/>
      <c r="N15665" s="17"/>
    </row>
    <row r="15666">
      <c r="B15666" s="11">
        <f>IFERROR(__xludf.DUMMYFUNCTION("""COMPUTED_VALUE"""),24093.0)</f>
        <v>24093</v>
      </c>
      <c r="C15666" s="9">
        <f>IFERROR(__xludf.DUMMYFUNCTION("""COMPUTED_VALUE"""),4.65)</f>
        <v>4.65</v>
      </c>
      <c r="H15666" s="17"/>
      <c r="K15666" s="17"/>
      <c r="N15666" s="17"/>
    </row>
    <row r="15667">
      <c r="B15667" s="11">
        <f>IFERROR(__xludf.DUMMYFUNCTION("""COMPUTED_VALUE"""),24092.0)</f>
        <v>24092</v>
      </c>
      <c r="C15667" s="9">
        <f>IFERROR(__xludf.DUMMYFUNCTION("""COMPUTED_VALUE"""),4.66)</f>
        <v>4.66</v>
      </c>
      <c r="H15667" s="17"/>
      <c r="K15667" s="17"/>
      <c r="N15667" s="17"/>
    </row>
    <row r="15668">
      <c r="B15668" s="11">
        <f>IFERROR(__xludf.DUMMYFUNCTION("""COMPUTED_VALUE"""),24091.0)</f>
        <v>24091</v>
      </c>
      <c r="C15668" s="9">
        <f>IFERROR(__xludf.DUMMYFUNCTION("""COMPUTED_VALUE"""),4.67)</f>
        <v>4.67</v>
      </c>
      <c r="H15668" s="17"/>
      <c r="K15668" s="17"/>
      <c r="N15668" s="17"/>
    </row>
    <row r="15669">
      <c r="B15669" s="11">
        <f>IFERROR(__xludf.DUMMYFUNCTION("""COMPUTED_VALUE"""),24090.0)</f>
        <v>24090</v>
      </c>
      <c r="C15669" s="9">
        <f>IFERROR(__xludf.DUMMYFUNCTION("""COMPUTED_VALUE"""),4.67)</f>
        <v>4.67</v>
      </c>
      <c r="H15669" s="17"/>
      <c r="K15669" s="17"/>
      <c r="N15669" s="17"/>
    </row>
    <row r="15670">
      <c r="B15670" s="11">
        <f>IFERROR(__xludf.DUMMYFUNCTION("""COMPUTED_VALUE"""),24089.0)</f>
        <v>24089</v>
      </c>
      <c r="C15670" s="9">
        <f>IFERROR(__xludf.DUMMYFUNCTION("""COMPUTED_VALUE"""),4.65)</f>
        <v>4.65</v>
      </c>
      <c r="H15670" s="17"/>
      <c r="K15670" s="17"/>
      <c r="N15670" s="17"/>
    </row>
    <row r="15671">
      <c r="B15671" s="11">
        <f>IFERROR(__xludf.DUMMYFUNCTION("""COMPUTED_VALUE"""),24086.0)</f>
        <v>24086</v>
      </c>
      <c r="C15671" s="9">
        <f>IFERROR(__xludf.DUMMYFUNCTION("""COMPUTED_VALUE"""),4.6)</f>
        <v>4.6</v>
      </c>
      <c r="H15671" s="17"/>
      <c r="K15671" s="17"/>
      <c r="N15671" s="17"/>
    </row>
    <row r="15672">
      <c r="B15672" s="11">
        <f>IFERROR(__xludf.DUMMYFUNCTION("""COMPUTED_VALUE"""),24085.0)</f>
        <v>24085</v>
      </c>
      <c r="C15672" s="9">
        <f>IFERROR(__xludf.DUMMYFUNCTION("""COMPUTED_VALUE"""),4.6)</f>
        <v>4.6</v>
      </c>
      <c r="H15672" s="17"/>
      <c r="K15672" s="17"/>
      <c r="N15672" s="17"/>
    </row>
    <row r="15673">
      <c r="B15673" s="11">
        <f>IFERROR(__xludf.DUMMYFUNCTION("""COMPUTED_VALUE"""),24084.0)</f>
        <v>24084</v>
      </c>
      <c r="C15673" s="9">
        <f>IFERROR(__xludf.DUMMYFUNCTION("""COMPUTED_VALUE"""),4.6)</f>
        <v>4.6</v>
      </c>
      <c r="H15673" s="17"/>
      <c r="K15673" s="17"/>
      <c r="N15673" s="17"/>
    </row>
    <row r="15674">
      <c r="B15674" s="11">
        <f>IFERROR(__xludf.DUMMYFUNCTION("""COMPUTED_VALUE"""),24083.0)</f>
        <v>24083</v>
      </c>
      <c r="C15674" s="9">
        <f>IFERROR(__xludf.DUMMYFUNCTION("""COMPUTED_VALUE"""),4.59)</f>
        <v>4.59</v>
      </c>
      <c r="H15674" s="17"/>
      <c r="K15674" s="17"/>
      <c r="N15674" s="17"/>
    </row>
    <row r="15675">
      <c r="B15675" s="11">
        <f>IFERROR(__xludf.DUMMYFUNCTION("""COMPUTED_VALUE"""),24082.0)</f>
        <v>24082</v>
      </c>
      <c r="C15675" s="9">
        <f>IFERROR(__xludf.DUMMYFUNCTION("""COMPUTED_VALUE"""),4.61)</f>
        <v>4.61</v>
      </c>
      <c r="H15675" s="17"/>
      <c r="K15675" s="17"/>
      <c r="N15675" s="17"/>
    </row>
    <row r="15676">
      <c r="B15676" s="11">
        <f>IFERROR(__xludf.DUMMYFUNCTION("""COMPUTED_VALUE"""),24079.0)</f>
        <v>24079</v>
      </c>
      <c r="C15676" s="9">
        <f>IFERROR(__xludf.DUMMYFUNCTION("""COMPUTED_VALUE"""),4.52)</f>
        <v>4.52</v>
      </c>
      <c r="H15676" s="17"/>
      <c r="K15676" s="17"/>
      <c r="N15676" s="17"/>
    </row>
    <row r="15677">
      <c r="B15677" s="11">
        <f>IFERROR(__xludf.DUMMYFUNCTION("""COMPUTED_VALUE"""),24078.0)</f>
        <v>24078</v>
      </c>
      <c r="C15677" s="9">
        <f>IFERROR(__xludf.DUMMYFUNCTION("""COMPUTED_VALUE"""),4.52)</f>
        <v>4.52</v>
      </c>
      <c r="H15677" s="17"/>
      <c r="K15677" s="17"/>
      <c r="N15677" s="17"/>
    </row>
    <row r="15678">
      <c r="B15678" s="11">
        <f>IFERROR(__xludf.DUMMYFUNCTION("""COMPUTED_VALUE"""),24077.0)</f>
        <v>24077</v>
      </c>
      <c r="C15678" s="9">
        <f>IFERROR(__xludf.DUMMYFUNCTION("""COMPUTED_VALUE"""),4.52)</f>
        <v>4.52</v>
      </c>
      <c r="H15678" s="17"/>
      <c r="K15678" s="17"/>
      <c r="N15678" s="17"/>
    </row>
    <row r="15679">
      <c r="B15679" s="11">
        <f>IFERROR(__xludf.DUMMYFUNCTION("""COMPUTED_VALUE"""),24076.0)</f>
        <v>24076</v>
      </c>
      <c r="C15679" s="9">
        <f>IFERROR(__xludf.DUMMYFUNCTION("""COMPUTED_VALUE"""),4.48)</f>
        <v>4.48</v>
      </c>
      <c r="H15679" s="17"/>
      <c r="K15679" s="17"/>
      <c r="N15679" s="17"/>
    </row>
    <row r="15680">
      <c r="B15680" s="11">
        <f>IFERROR(__xludf.DUMMYFUNCTION("""COMPUTED_VALUE"""),24075.0)</f>
        <v>24075</v>
      </c>
      <c r="C15680" s="9">
        <f>IFERROR(__xludf.DUMMYFUNCTION("""COMPUTED_VALUE"""),4.46)</f>
        <v>4.46</v>
      </c>
      <c r="H15680" s="17"/>
      <c r="K15680" s="17"/>
      <c r="N15680" s="17"/>
    </row>
    <row r="15681">
      <c r="B15681" s="11">
        <f>IFERROR(__xludf.DUMMYFUNCTION("""COMPUTED_VALUE"""),24072.0)</f>
        <v>24072</v>
      </c>
      <c r="C15681" s="9">
        <f>IFERROR(__xludf.DUMMYFUNCTION("""COMPUTED_VALUE"""),4.45)</f>
        <v>4.45</v>
      </c>
      <c r="H15681" s="17"/>
      <c r="K15681" s="17"/>
      <c r="N15681" s="17"/>
    </row>
    <row r="15682">
      <c r="B15682" s="11">
        <f>IFERROR(__xludf.DUMMYFUNCTION("""COMPUTED_VALUE"""),24071.0)</f>
        <v>24071</v>
      </c>
      <c r="C15682" s="9"/>
      <c r="H15682" s="17"/>
      <c r="K15682" s="17"/>
      <c r="N15682" s="17"/>
    </row>
    <row r="15683">
      <c r="B15683" s="11">
        <f>IFERROR(__xludf.DUMMYFUNCTION("""COMPUTED_VALUE"""),24070.0)</f>
        <v>24070</v>
      </c>
      <c r="C15683" s="9">
        <f>IFERROR(__xludf.DUMMYFUNCTION("""COMPUTED_VALUE"""),4.45)</f>
        <v>4.45</v>
      </c>
      <c r="H15683" s="17"/>
      <c r="K15683" s="17"/>
      <c r="N15683" s="17"/>
    </row>
    <row r="15684">
      <c r="B15684" s="11">
        <f>IFERROR(__xludf.DUMMYFUNCTION("""COMPUTED_VALUE"""),24069.0)</f>
        <v>24069</v>
      </c>
      <c r="C15684" s="9">
        <f>IFERROR(__xludf.DUMMYFUNCTION("""COMPUTED_VALUE"""),4.45)</f>
        <v>4.45</v>
      </c>
      <c r="H15684" s="17"/>
      <c r="K15684" s="17"/>
      <c r="N15684" s="17"/>
    </row>
    <row r="15685">
      <c r="B15685" s="11">
        <f>IFERROR(__xludf.DUMMYFUNCTION("""COMPUTED_VALUE"""),24068.0)</f>
        <v>24068</v>
      </c>
      <c r="C15685" s="9">
        <f>IFERROR(__xludf.DUMMYFUNCTION("""COMPUTED_VALUE"""),4.45)</f>
        <v>4.45</v>
      </c>
      <c r="H15685" s="17"/>
      <c r="K15685" s="17"/>
      <c r="N15685" s="17"/>
    </row>
    <row r="15686">
      <c r="B15686" s="11">
        <f>IFERROR(__xludf.DUMMYFUNCTION("""COMPUTED_VALUE"""),24065.0)</f>
        <v>24065</v>
      </c>
      <c r="C15686" s="9">
        <f>IFERROR(__xludf.DUMMYFUNCTION("""COMPUTED_VALUE"""),4.46)</f>
        <v>4.46</v>
      </c>
      <c r="H15686" s="17"/>
      <c r="K15686" s="17"/>
      <c r="N15686" s="17"/>
    </row>
    <row r="15687">
      <c r="B15687" s="11">
        <f>IFERROR(__xludf.DUMMYFUNCTION("""COMPUTED_VALUE"""),24064.0)</f>
        <v>24064</v>
      </c>
      <c r="C15687" s="9">
        <f>IFERROR(__xludf.DUMMYFUNCTION("""COMPUTED_VALUE"""),4.45)</f>
        <v>4.45</v>
      </c>
      <c r="H15687" s="17"/>
      <c r="K15687" s="17"/>
      <c r="N15687" s="17"/>
    </row>
    <row r="15688">
      <c r="B15688" s="11">
        <f>IFERROR(__xludf.DUMMYFUNCTION("""COMPUTED_VALUE"""),24063.0)</f>
        <v>24063</v>
      </c>
      <c r="C15688" s="9">
        <f>IFERROR(__xludf.DUMMYFUNCTION("""COMPUTED_VALUE"""),4.45)</f>
        <v>4.45</v>
      </c>
      <c r="H15688" s="17"/>
      <c r="K15688" s="17"/>
      <c r="N15688" s="17"/>
    </row>
    <row r="15689">
      <c r="B15689" s="11">
        <f>IFERROR(__xludf.DUMMYFUNCTION("""COMPUTED_VALUE"""),24062.0)</f>
        <v>24062</v>
      </c>
      <c r="C15689" s="9">
        <f>IFERROR(__xludf.DUMMYFUNCTION("""COMPUTED_VALUE"""),4.44)</f>
        <v>4.44</v>
      </c>
      <c r="H15689" s="17"/>
      <c r="K15689" s="17"/>
      <c r="N15689" s="17"/>
    </row>
    <row r="15690">
      <c r="B15690" s="11">
        <f>IFERROR(__xludf.DUMMYFUNCTION("""COMPUTED_VALUE"""),24061.0)</f>
        <v>24061</v>
      </c>
      <c r="C15690" s="9">
        <f>IFERROR(__xludf.DUMMYFUNCTION("""COMPUTED_VALUE"""),4.45)</f>
        <v>4.45</v>
      </c>
      <c r="H15690" s="17"/>
      <c r="K15690" s="17"/>
      <c r="N15690" s="17"/>
    </row>
    <row r="15691">
      <c r="B15691" s="11">
        <f>IFERROR(__xludf.DUMMYFUNCTION("""COMPUTED_VALUE"""),24058.0)</f>
        <v>24058</v>
      </c>
      <c r="C15691" s="9">
        <f>IFERROR(__xludf.DUMMYFUNCTION("""COMPUTED_VALUE"""),4.44)</f>
        <v>4.44</v>
      </c>
      <c r="H15691" s="17"/>
      <c r="K15691" s="17"/>
      <c r="N15691" s="17"/>
    </row>
    <row r="15692">
      <c r="B15692" s="11">
        <f>IFERROR(__xludf.DUMMYFUNCTION("""COMPUTED_VALUE"""),24057.0)</f>
        <v>24057</v>
      </c>
      <c r="C15692" s="9"/>
      <c r="H15692" s="17"/>
      <c r="K15692" s="17"/>
      <c r="N15692" s="17"/>
    </row>
    <row r="15693">
      <c r="B15693" s="11">
        <f>IFERROR(__xludf.DUMMYFUNCTION("""COMPUTED_VALUE"""),24056.0)</f>
        <v>24056</v>
      </c>
      <c r="C15693" s="9">
        <f>IFERROR(__xludf.DUMMYFUNCTION("""COMPUTED_VALUE"""),4.46)</f>
        <v>4.46</v>
      </c>
      <c r="H15693" s="17"/>
      <c r="K15693" s="17"/>
      <c r="N15693" s="17"/>
    </row>
    <row r="15694">
      <c r="B15694" s="11">
        <f>IFERROR(__xludf.DUMMYFUNCTION("""COMPUTED_VALUE"""),24055.0)</f>
        <v>24055</v>
      </c>
      <c r="C15694" s="9">
        <f>IFERROR(__xludf.DUMMYFUNCTION("""COMPUTED_VALUE"""),4.47)</f>
        <v>4.47</v>
      </c>
      <c r="H15694" s="17"/>
      <c r="K15694" s="17"/>
      <c r="N15694" s="17"/>
    </row>
    <row r="15695">
      <c r="B15695" s="11">
        <f>IFERROR(__xludf.DUMMYFUNCTION("""COMPUTED_VALUE"""),24054.0)</f>
        <v>24054</v>
      </c>
      <c r="C15695" s="9">
        <f>IFERROR(__xludf.DUMMYFUNCTION("""COMPUTED_VALUE"""),4.45)</f>
        <v>4.45</v>
      </c>
      <c r="H15695" s="17"/>
      <c r="K15695" s="17"/>
      <c r="N15695" s="17"/>
    </row>
    <row r="15696">
      <c r="B15696" s="11">
        <f>IFERROR(__xludf.DUMMYFUNCTION("""COMPUTED_VALUE"""),24051.0)</f>
        <v>24051</v>
      </c>
      <c r="C15696" s="9">
        <f>IFERROR(__xludf.DUMMYFUNCTION("""COMPUTED_VALUE"""),4.43)</f>
        <v>4.43</v>
      </c>
      <c r="H15696" s="17"/>
      <c r="K15696" s="17"/>
      <c r="N15696" s="17"/>
    </row>
    <row r="15697">
      <c r="B15697" s="11">
        <f>IFERROR(__xludf.DUMMYFUNCTION("""COMPUTED_VALUE"""),24050.0)</f>
        <v>24050</v>
      </c>
      <c r="C15697" s="9">
        <f>IFERROR(__xludf.DUMMYFUNCTION("""COMPUTED_VALUE"""),4.43)</f>
        <v>4.43</v>
      </c>
      <c r="H15697" s="17"/>
      <c r="K15697" s="17"/>
      <c r="N15697" s="17"/>
    </row>
    <row r="15698">
      <c r="B15698" s="11">
        <f>IFERROR(__xludf.DUMMYFUNCTION("""COMPUTED_VALUE"""),24049.0)</f>
        <v>24049</v>
      </c>
      <c r="C15698" s="9">
        <f>IFERROR(__xludf.DUMMYFUNCTION("""COMPUTED_VALUE"""),4.43)</f>
        <v>4.43</v>
      </c>
      <c r="H15698" s="17"/>
      <c r="K15698" s="17"/>
      <c r="N15698" s="17"/>
    </row>
    <row r="15699">
      <c r="B15699" s="11">
        <f>IFERROR(__xludf.DUMMYFUNCTION("""COMPUTED_VALUE"""),24048.0)</f>
        <v>24048</v>
      </c>
      <c r="C15699" s="9"/>
      <c r="H15699" s="17"/>
      <c r="K15699" s="17"/>
      <c r="N15699" s="17"/>
    </row>
    <row r="15700">
      <c r="B15700" s="11">
        <f>IFERROR(__xludf.DUMMYFUNCTION("""COMPUTED_VALUE"""),24047.0)</f>
        <v>24047</v>
      </c>
      <c r="C15700" s="9">
        <f>IFERROR(__xludf.DUMMYFUNCTION("""COMPUTED_VALUE"""),4.43)</f>
        <v>4.43</v>
      </c>
      <c r="H15700" s="17"/>
      <c r="K15700" s="17"/>
      <c r="N15700" s="17"/>
    </row>
    <row r="15701">
      <c r="B15701" s="11">
        <f>IFERROR(__xludf.DUMMYFUNCTION("""COMPUTED_VALUE"""),24044.0)</f>
        <v>24044</v>
      </c>
      <c r="C15701" s="9">
        <f>IFERROR(__xludf.DUMMYFUNCTION("""COMPUTED_VALUE"""),4.41)</f>
        <v>4.41</v>
      </c>
      <c r="H15701" s="17"/>
      <c r="K15701" s="17"/>
      <c r="N15701" s="17"/>
    </row>
    <row r="15702">
      <c r="B15702" s="11">
        <f>IFERROR(__xludf.DUMMYFUNCTION("""COMPUTED_VALUE"""),24043.0)</f>
        <v>24043</v>
      </c>
      <c r="C15702" s="9">
        <f>IFERROR(__xludf.DUMMYFUNCTION("""COMPUTED_VALUE"""),4.4)</f>
        <v>4.4</v>
      </c>
      <c r="H15702" s="17"/>
      <c r="K15702" s="17"/>
      <c r="N15702" s="17"/>
    </row>
    <row r="15703">
      <c r="B15703" s="11">
        <f>IFERROR(__xludf.DUMMYFUNCTION("""COMPUTED_VALUE"""),24042.0)</f>
        <v>24042</v>
      </c>
      <c r="C15703" s="9">
        <f>IFERROR(__xludf.DUMMYFUNCTION("""COMPUTED_VALUE"""),4.39)</f>
        <v>4.39</v>
      </c>
      <c r="H15703" s="17"/>
      <c r="K15703" s="17"/>
      <c r="N15703" s="17"/>
    </row>
    <row r="15704">
      <c r="B15704" s="11">
        <f>IFERROR(__xludf.DUMMYFUNCTION("""COMPUTED_VALUE"""),24041.0)</f>
        <v>24041</v>
      </c>
      <c r="C15704" s="9">
        <f>IFERROR(__xludf.DUMMYFUNCTION("""COMPUTED_VALUE"""),4.38)</f>
        <v>4.38</v>
      </c>
      <c r="H15704" s="17"/>
      <c r="K15704" s="17"/>
      <c r="N15704" s="17"/>
    </row>
    <row r="15705">
      <c r="B15705" s="11">
        <f>IFERROR(__xludf.DUMMYFUNCTION("""COMPUTED_VALUE"""),24040.0)</f>
        <v>24040</v>
      </c>
      <c r="C15705" s="9">
        <f>IFERROR(__xludf.DUMMYFUNCTION("""COMPUTED_VALUE"""),4.38)</f>
        <v>4.38</v>
      </c>
      <c r="H15705" s="17"/>
      <c r="K15705" s="17"/>
      <c r="N15705" s="17"/>
    </row>
    <row r="15706">
      <c r="B15706" s="11">
        <f>IFERROR(__xludf.DUMMYFUNCTION("""COMPUTED_VALUE"""),24037.0)</f>
        <v>24037</v>
      </c>
      <c r="C15706" s="9">
        <f>IFERROR(__xludf.DUMMYFUNCTION("""COMPUTED_VALUE"""),4.36)</f>
        <v>4.36</v>
      </c>
      <c r="H15706" s="17"/>
      <c r="K15706" s="17"/>
      <c r="N15706" s="17"/>
    </row>
    <row r="15707">
      <c r="B15707" s="11">
        <f>IFERROR(__xludf.DUMMYFUNCTION("""COMPUTED_VALUE"""),24036.0)</f>
        <v>24036</v>
      </c>
      <c r="C15707" s="9">
        <f>IFERROR(__xludf.DUMMYFUNCTION("""COMPUTED_VALUE"""),4.37)</f>
        <v>4.37</v>
      </c>
      <c r="H15707" s="17"/>
      <c r="K15707" s="17"/>
      <c r="N15707" s="17"/>
    </row>
    <row r="15708">
      <c r="B15708" s="11">
        <f>IFERROR(__xludf.DUMMYFUNCTION("""COMPUTED_VALUE"""),24035.0)</f>
        <v>24035</v>
      </c>
      <c r="C15708" s="9">
        <f>IFERROR(__xludf.DUMMYFUNCTION("""COMPUTED_VALUE"""),4.36)</f>
        <v>4.36</v>
      </c>
      <c r="H15708" s="17"/>
      <c r="K15708" s="17"/>
      <c r="N15708" s="17"/>
    </row>
    <row r="15709">
      <c r="B15709" s="11">
        <f>IFERROR(__xludf.DUMMYFUNCTION("""COMPUTED_VALUE"""),24034.0)</f>
        <v>24034</v>
      </c>
      <c r="C15709" s="9">
        <f>IFERROR(__xludf.DUMMYFUNCTION("""COMPUTED_VALUE"""),4.35)</f>
        <v>4.35</v>
      </c>
      <c r="H15709" s="17"/>
      <c r="K15709" s="17"/>
      <c r="N15709" s="17"/>
    </row>
    <row r="15710">
      <c r="B15710" s="11">
        <f>IFERROR(__xludf.DUMMYFUNCTION("""COMPUTED_VALUE"""),24033.0)</f>
        <v>24033</v>
      </c>
      <c r="C15710" s="9">
        <f>IFERROR(__xludf.DUMMYFUNCTION("""COMPUTED_VALUE"""),4.34)</f>
        <v>4.34</v>
      </c>
      <c r="H15710" s="17"/>
      <c r="K15710" s="17"/>
      <c r="N15710" s="17"/>
    </row>
    <row r="15711">
      <c r="B15711" s="11">
        <f>IFERROR(__xludf.DUMMYFUNCTION("""COMPUTED_VALUE"""),24030.0)</f>
        <v>24030</v>
      </c>
      <c r="C15711" s="9">
        <f>IFERROR(__xludf.DUMMYFUNCTION("""COMPUTED_VALUE"""),4.34)</f>
        <v>4.34</v>
      </c>
      <c r="H15711" s="17"/>
      <c r="K15711" s="17"/>
      <c r="N15711" s="17"/>
    </row>
    <row r="15712">
      <c r="B15712" s="11">
        <f>IFERROR(__xludf.DUMMYFUNCTION("""COMPUTED_VALUE"""),24029.0)</f>
        <v>24029</v>
      </c>
      <c r="C15712" s="9">
        <f>IFERROR(__xludf.DUMMYFUNCTION("""COMPUTED_VALUE"""),4.31)</f>
        <v>4.31</v>
      </c>
      <c r="H15712" s="17"/>
      <c r="K15712" s="17"/>
      <c r="N15712" s="17"/>
    </row>
    <row r="15713">
      <c r="B15713" s="11">
        <f>IFERROR(__xludf.DUMMYFUNCTION("""COMPUTED_VALUE"""),24028.0)</f>
        <v>24028</v>
      </c>
      <c r="C15713" s="9">
        <f>IFERROR(__xludf.DUMMYFUNCTION("""COMPUTED_VALUE"""),4.3)</f>
        <v>4.3</v>
      </c>
      <c r="H15713" s="17"/>
      <c r="K15713" s="17"/>
      <c r="N15713" s="17"/>
    </row>
    <row r="15714">
      <c r="B15714" s="11">
        <f>IFERROR(__xludf.DUMMYFUNCTION("""COMPUTED_VALUE"""),24027.0)</f>
        <v>24027</v>
      </c>
      <c r="C15714" s="9"/>
      <c r="H15714" s="17"/>
      <c r="K15714" s="17"/>
      <c r="N15714" s="17"/>
    </row>
    <row r="15715">
      <c r="B15715" s="11">
        <f>IFERROR(__xludf.DUMMYFUNCTION("""COMPUTED_VALUE"""),24026.0)</f>
        <v>24026</v>
      </c>
      <c r="C15715" s="9">
        <f>IFERROR(__xludf.DUMMYFUNCTION("""COMPUTED_VALUE"""),4.31)</f>
        <v>4.31</v>
      </c>
      <c r="H15715" s="17"/>
      <c r="K15715" s="17"/>
      <c r="N15715" s="17"/>
    </row>
    <row r="15716">
      <c r="B15716" s="11">
        <f>IFERROR(__xludf.DUMMYFUNCTION("""COMPUTED_VALUE"""),24023.0)</f>
        <v>24023</v>
      </c>
      <c r="C15716" s="9">
        <f>IFERROR(__xludf.DUMMYFUNCTION("""COMPUTED_VALUE"""),4.32)</f>
        <v>4.32</v>
      </c>
      <c r="H15716" s="17"/>
      <c r="K15716" s="17"/>
      <c r="N15716" s="17"/>
    </row>
    <row r="15717">
      <c r="B15717" s="11">
        <f>IFERROR(__xludf.DUMMYFUNCTION("""COMPUTED_VALUE"""),24022.0)</f>
        <v>24022</v>
      </c>
      <c r="C15717" s="9">
        <f>IFERROR(__xludf.DUMMYFUNCTION("""COMPUTED_VALUE"""),4.31)</f>
        <v>4.31</v>
      </c>
      <c r="H15717" s="17"/>
      <c r="K15717" s="17"/>
      <c r="N15717" s="17"/>
    </row>
    <row r="15718">
      <c r="B15718" s="11">
        <f>IFERROR(__xludf.DUMMYFUNCTION("""COMPUTED_VALUE"""),24021.0)</f>
        <v>24021</v>
      </c>
      <c r="C15718" s="9">
        <f>IFERROR(__xludf.DUMMYFUNCTION("""COMPUTED_VALUE"""),4.32)</f>
        <v>4.32</v>
      </c>
      <c r="H15718" s="17"/>
      <c r="K15718" s="17"/>
      <c r="N15718" s="17"/>
    </row>
    <row r="15719">
      <c r="B15719" s="11">
        <f>IFERROR(__xludf.DUMMYFUNCTION("""COMPUTED_VALUE"""),24020.0)</f>
        <v>24020</v>
      </c>
      <c r="C15719" s="9">
        <f>IFERROR(__xludf.DUMMYFUNCTION("""COMPUTED_VALUE"""),4.33)</f>
        <v>4.33</v>
      </c>
      <c r="H15719" s="17"/>
      <c r="K15719" s="17"/>
      <c r="N15719" s="17"/>
    </row>
    <row r="15720">
      <c r="B15720" s="11">
        <f>IFERROR(__xludf.DUMMYFUNCTION("""COMPUTED_VALUE"""),24019.0)</f>
        <v>24019</v>
      </c>
      <c r="C15720" s="9">
        <f>IFERROR(__xludf.DUMMYFUNCTION("""COMPUTED_VALUE"""),4.35)</f>
        <v>4.35</v>
      </c>
      <c r="H15720" s="17"/>
      <c r="K15720" s="17"/>
      <c r="N15720" s="17"/>
    </row>
    <row r="15721">
      <c r="B15721" s="11">
        <f>IFERROR(__xludf.DUMMYFUNCTION("""COMPUTED_VALUE"""),24016.0)</f>
        <v>24016</v>
      </c>
      <c r="C15721" s="9">
        <f>IFERROR(__xludf.DUMMYFUNCTION("""COMPUTED_VALUE"""),4.36)</f>
        <v>4.36</v>
      </c>
      <c r="H15721" s="17"/>
      <c r="K15721" s="17"/>
      <c r="N15721" s="17"/>
    </row>
    <row r="15722">
      <c r="B15722" s="11">
        <f>IFERROR(__xludf.DUMMYFUNCTION("""COMPUTED_VALUE"""),24015.0)</f>
        <v>24015</v>
      </c>
      <c r="C15722" s="9">
        <f>IFERROR(__xludf.DUMMYFUNCTION("""COMPUTED_VALUE"""),4.35)</f>
        <v>4.35</v>
      </c>
      <c r="H15722" s="17"/>
      <c r="K15722" s="17"/>
      <c r="N15722" s="17"/>
    </row>
    <row r="15723">
      <c r="B15723" s="11">
        <f>IFERROR(__xludf.DUMMYFUNCTION("""COMPUTED_VALUE"""),24014.0)</f>
        <v>24014</v>
      </c>
      <c r="C15723" s="9">
        <f>IFERROR(__xludf.DUMMYFUNCTION("""COMPUTED_VALUE"""),4.36)</f>
        <v>4.36</v>
      </c>
      <c r="H15723" s="17"/>
      <c r="K15723" s="17"/>
      <c r="N15723" s="17"/>
    </row>
    <row r="15724">
      <c r="B15724" s="11">
        <f>IFERROR(__xludf.DUMMYFUNCTION("""COMPUTED_VALUE"""),24013.0)</f>
        <v>24013</v>
      </c>
      <c r="C15724" s="9">
        <f>IFERROR(__xludf.DUMMYFUNCTION("""COMPUTED_VALUE"""),4.33)</f>
        <v>4.33</v>
      </c>
      <c r="H15724" s="17"/>
      <c r="K15724" s="17"/>
      <c r="N15724" s="17"/>
    </row>
    <row r="15725">
      <c r="B15725" s="11">
        <f>IFERROR(__xludf.DUMMYFUNCTION("""COMPUTED_VALUE"""),24012.0)</f>
        <v>24012</v>
      </c>
      <c r="C15725" s="9">
        <f>IFERROR(__xludf.DUMMYFUNCTION("""COMPUTED_VALUE"""),4.31)</f>
        <v>4.31</v>
      </c>
      <c r="H15725" s="17"/>
      <c r="K15725" s="17"/>
      <c r="N15725" s="17"/>
    </row>
    <row r="15726">
      <c r="B15726" s="11">
        <f>IFERROR(__xludf.DUMMYFUNCTION("""COMPUTED_VALUE"""),24009.0)</f>
        <v>24009</v>
      </c>
      <c r="C15726" s="9">
        <f>IFERROR(__xludf.DUMMYFUNCTION("""COMPUTED_VALUE"""),4.31)</f>
        <v>4.31</v>
      </c>
      <c r="H15726" s="17"/>
      <c r="K15726" s="17"/>
      <c r="N15726" s="17"/>
    </row>
    <row r="15727">
      <c r="B15727" s="11">
        <f>IFERROR(__xludf.DUMMYFUNCTION("""COMPUTED_VALUE"""),24008.0)</f>
        <v>24008</v>
      </c>
      <c r="C15727" s="9">
        <f>IFERROR(__xludf.DUMMYFUNCTION("""COMPUTED_VALUE"""),4.3)</f>
        <v>4.3</v>
      </c>
      <c r="H15727" s="17"/>
      <c r="K15727" s="17"/>
      <c r="N15727" s="17"/>
    </row>
    <row r="15728">
      <c r="B15728" s="11">
        <f>IFERROR(__xludf.DUMMYFUNCTION("""COMPUTED_VALUE"""),24007.0)</f>
        <v>24007</v>
      </c>
      <c r="C15728" s="9">
        <f>IFERROR(__xludf.DUMMYFUNCTION("""COMPUTED_VALUE"""),4.29)</f>
        <v>4.29</v>
      </c>
      <c r="H15728" s="17"/>
      <c r="K15728" s="17"/>
      <c r="N15728" s="17"/>
    </row>
    <row r="15729">
      <c r="B15729" s="11">
        <f>IFERROR(__xludf.DUMMYFUNCTION("""COMPUTED_VALUE"""),24006.0)</f>
        <v>24006</v>
      </c>
      <c r="C15729" s="9">
        <f>IFERROR(__xludf.DUMMYFUNCTION("""COMPUTED_VALUE"""),4.28)</f>
        <v>4.28</v>
      </c>
      <c r="H15729" s="17"/>
      <c r="K15729" s="17"/>
      <c r="N15729" s="17"/>
    </row>
    <row r="15730">
      <c r="B15730" s="11">
        <f>IFERROR(__xludf.DUMMYFUNCTION("""COMPUTED_VALUE"""),24005.0)</f>
        <v>24005</v>
      </c>
      <c r="C15730" s="9">
        <f>IFERROR(__xludf.DUMMYFUNCTION("""COMPUTED_VALUE"""),4.27)</f>
        <v>4.27</v>
      </c>
      <c r="H15730" s="17"/>
      <c r="K15730" s="17"/>
      <c r="N15730" s="17"/>
    </row>
    <row r="15731">
      <c r="B15731" s="11">
        <f>IFERROR(__xludf.DUMMYFUNCTION("""COMPUTED_VALUE"""),24002.0)</f>
        <v>24002</v>
      </c>
      <c r="C15731" s="9">
        <f>IFERROR(__xludf.DUMMYFUNCTION("""COMPUTED_VALUE"""),4.27)</f>
        <v>4.27</v>
      </c>
      <c r="H15731" s="17"/>
      <c r="K15731" s="17"/>
      <c r="N15731" s="17"/>
    </row>
    <row r="15732">
      <c r="B15732" s="11">
        <f>IFERROR(__xludf.DUMMYFUNCTION("""COMPUTED_VALUE"""),24001.0)</f>
        <v>24001</v>
      </c>
      <c r="C15732" s="9">
        <f>IFERROR(__xludf.DUMMYFUNCTION("""COMPUTED_VALUE"""),4.27)</f>
        <v>4.27</v>
      </c>
      <c r="H15732" s="17"/>
      <c r="K15732" s="17"/>
      <c r="N15732" s="17"/>
    </row>
    <row r="15733">
      <c r="B15733" s="11">
        <f>IFERROR(__xludf.DUMMYFUNCTION("""COMPUTED_VALUE"""),24000.0)</f>
        <v>24000</v>
      </c>
      <c r="C15733" s="9">
        <f>IFERROR(__xludf.DUMMYFUNCTION("""COMPUTED_VALUE"""),4.28)</f>
        <v>4.28</v>
      </c>
      <c r="H15733" s="17"/>
      <c r="K15733" s="17"/>
      <c r="N15733" s="17"/>
    </row>
    <row r="15734">
      <c r="B15734" s="11">
        <f>IFERROR(__xludf.DUMMYFUNCTION("""COMPUTED_VALUE"""),23999.0)</f>
        <v>23999</v>
      </c>
      <c r="C15734" s="9">
        <f>IFERROR(__xludf.DUMMYFUNCTION("""COMPUTED_VALUE"""),4.28)</f>
        <v>4.28</v>
      </c>
      <c r="H15734" s="17"/>
      <c r="K15734" s="17"/>
      <c r="N15734" s="17"/>
    </row>
    <row r="15735">
      <c r="B15735" s="11">
        <f>IFERROR(__xludf.DUMMYFUNCTION("""COMPUTED_VALUE"""),23998.0)</f>
        <v>23998</v>
      </c>
      <c r="C15735" s="9">
        <f>IFERROR(__xludf.DUMMYFUNCTION("""COMPUTED_VALUE"""),4.28)</f>
        <v>4.28</v>
      </c>
      <c r="H15735" s="17"/>
      <c r="K15735" s="17"/>
      <c r="N15735" s="17"/>
    </row>
    <row r="15736">
      <c r="B15736" s="11">
        <f>IFERROR(__xludf.DUMMYFUNCTION("""COMPUTED_VALUE"""),23995.0)</f>
        <v>23995</v>
      </c>
      <c r="C15736" s="9">
        <f>IFERROR(__xludf.DUMMYFUNCTION("""COMPUTED_VALUE"""),4.28)</f>
        <v>4.28</v>
      </c>
      <c r="H15736" s="17"/>
      <c r="K15736" s="17"/>
      <c r="N15736" s="17"/>
    </row>
    <row r="15737">
      <c r="B15737" s="11">
        <f>IFERROR(__xludf.DUMMYFUNCTION("""COMPUTED_VALUE"""),23994.0)</f>
        <v>23994</v>
      </c>
      <c r="C15737" s="9">
        <f>IFERROR(__xludf.DUMMYFUNCTION("""COMPUTED_VALUE"""),4.27)</f>
        <v>4.27</v>
      </c>
      <c r="H15737" s="17"/>
      <c r="K15737" s="17"/>
      <c r="N15737" s="17"/>
    </row>
    <row r="15738">
      <c r="B15738" s="11">
        <f>IFERROR(__xludf.DUMMYFUNCTION("""COMPUTED_VALUE"""),23993.0)</f>
        <v>23993</v>
      </c>
      <c r="C15738" s="9">
        <f>IFERROR(__xludf.DUMMYFUNCTION("""COMPUTED_VALUE"""),4.27)</f>
        <v>4.27</v>
      </c>
      <c r="H15738" s="17"/>
      <c r="K15738" s="17"/>
      <c r="N15738" s="17"/>
    </row>
    <row r="15739">
      <c r="B15739" s="11">
        <f>IFERROR(__xludf.DUMMYFUNCTION("""COMPUTED_VALUE"""),23992.0)</f>
        <v>23992</v>
      </c>
      <c r="C15739" s="9">
        <f>IFERROR(__xludf.DUMMYFUNCTION("""COMPUTED_VALUE"""),4.27)</f>
        <v>4.27</v>
      </c>
      <c r="H15739" s="17"/>
      <c r="K15739" s="17"/>
      <c r="N15739" s="17"/>
    </row>
    <row r="15740">
      <c r="B15740" s="11">
        <f>IFERROR(__xludf.DUMMYFUNCTION("""COMPUTED_VALUE"""),23991.0)</f>
        <v>23991</v>
      </c>
      <c r="C15740" s="9"/>
      <c r="H15740" s="17"/>
      <c r="K15740" s="17"/>
      <c r="N15740" s="17"/>
    </row>
    <row r="15741">
      <c r="B15741" s="11">
        <f>IFERROR(__xludf.DUMMYFUNCTION("""COMPUTED_VALUE"""),23988.0)</f>
        <v>23988</v>
      </c>
      <c r="C15741" s="9">
        <f>IFERROR(__xludf.DUMMYFUNCTION("""COMPUTED_VALUE"""),4.27)</f>
        <v>4.27</v>
      </c>
      <c r="H15741" s="17"/>
      <c r="K15741" s="17"/>
      <c r="N15741" s="17"/>
    </row>
    <row r="15742">
      <c r="B15742" s="11">
        <f>IFERROR(__xludf.DUMMYFUNCTION("""COMPUTED_VALUE"""),23987.0)</f>
        <v>23987</v>
      </c>
      <c r="C15742" s="9">
        <f>IFERROR(__xludf.DUMMYFUNCTION("""COMPUTED_VALUE"""),4.28)</f>
        <v>4.28</v>
      </c>
      <c r="H15742" s="17"/>
      <c r="K15742" s="17"/>
      <c r="N15742" s="17"/>
    </row>
    <row r="15743">
      <c r="B15743" s="11">
        <f>IFERROR(__xludf.DUMMYFUNCTION("""COMPUTED_VALUE"""),23986.0)</f>
        <v>23986</v>
      </c>
      <c r="C15743" s="9">
        <f>IFERROR(__xludf.DUMMYFUNCTION("""COMPUTED_VALUE"""),4.28)</f>
        <v>4.28</v>
      </c>
      <c r="H15743" s="17"/>
      <c r="K15743" s="17"/>
      <c r="N15743" s="17"/>
    </row>
    <row r="15744">
      <c r="B15744" s="11">
        <f>IFERROR(__xludf.DUMMYFUNCTION("""COMPUTED_VALUE"""),23985.0)</f>
        <v>23985</v>
      </c>
      <c r="C15744" s="9">
        <f>IFERROR(__xludf.DUMMYFUNCTION("""COMPUTED_VALUE"""),4.27)</f>
        <v>4.27</v>
      </c>
      <c r="H15744" s="17"/>
      <c r="K15744" s="17"/>
      <c r="N15744" s="17"/>
    </row>
    <row r="15745">
      <c r="B15745" s="11">
        <f>IFERROR(__xludf.DUMMYFUNCTION("""COMPUTED_VALUE"""),23984.0)</f>
        <v>23984</v>
      </c>
      <c r="C15745" s="9">
        <f>IFERROR(__xludf.DUMMYFUNCTION("""COMPUTED_VALUE"""),4.27)</f>
        <v>4.27</v>
      </c>
      <c r="H15745" s="17"/>
      <c r="K15745" s="17"/>
      <c r="N15745" s="17"/>
    </row>
    <row r="15746">
      <c r="B15746" s="11">
        <f>IFERROR(__xludf.DUMMYFUNCTION("""COMPUTED_VALUE"""),23981.0)</f>
        <v>23981</v>
      </c>
      <c r="C15746" s="9">
        <f>IFERROR(__xludf.DUMMYFUNCTION("""COMPUTED_VALUE"""),4.27)</f>
        <v>4.27</v>
      </c>
      <c r="H15746" s="17"/>
      <c r="K15746" s="17"/>
      <c r="N15746" s="17"/>
    </row>
    <row r="15747">
      <c r="B15747" s="11">
        <f>IFERROR(__xludf.DUMMYFUNCTION("""COMPUTED_VALUE"""),23980.0)</f>
        <v>23980</v>
      </c>
      <c r="C15747" s="9">
        <f>IFERROR(__xludf.DUMMYFUNCTION("""COMPUTED_VALUE"""),4.27)</f>
        <v>4.27</v>
      </c>
      <c r="H15747" s="17"/>
      <c r="K15747" s="17"/>
      <c r="N15747" s="17"/>
    </row>
    <row r="15748">
      <c r="B15748" s="11">
        <f>IFERROR(__xludf.DUMMYFUNCTION("""COMPUTED_VALUE"""),23979.0)</f>
        <v>23979</v>
      </c>
      <c r="C15748" s="9">
        <f>IFERROR(__xludf.DUMMYFUNCTION("""COMPUTED_VALUE"""),4.26)</f>
        <v>4.26</v>
      </c>
      <c r="H15748" s="17"/>
      <c r="K15748" s="17"/>
      <c r="N15748" s="17"/>
    </row>
    <row r="15749">
      <c r="B15749" s="11">
        <f>IFERROR(__xludf.DUMMYFUNCTION("""COMPUTED_VALUE"""),23978.0)</f>
        <v>23978</v>
      </c>
      <c r="C15749" s="9">
        <f>IFERROR(__xludf.DUMMYFUNCTION("""COMPUTED_VALUE"""),4.27)</f>
        <v>4.27</v>
      </c>
      <c r="H15749" s="17"/>
      <c r="K15749" s="17"/>
      <c r="N15749" s="17"/>
    </row>
    <row r="15750">
      <c r="B15750" s="11">
        <f>IFERROR(__xludf.DUMMYFUNCTION("""COMPUTED_VALUE"""),23977.0)</f>
        <v>23977</v>
      </c>
      <c r="C15750" s="9">
        <f>IFERROR(__xludf.DUMMYFUNCTION("""COMPUTED_VALUE"""),4.26)</f>
        <v>4.26</v>
      </c>
      <c r="H15750" s="17"/>
      <c r="K15750" s="17"/>
      <c r="N15750" s="17"/>
    </row>
    <row r="15751">
      <c r="B15751" s="11">
        <f>IFERROR(__xludf.DUMMYFUNCTION("""COMPUTED_VALUE"""),23974.0)</f>
        <v>23974</v>
      </c>
      <c r="C15751" s="9">
        <f>IFERROR(__xludf.DUMMYFUNCTION("""COMPUTED_VALUE"""),4.26)</f>
        <v>4.26</v>
      </c>
      <c r="H15751" s="17"/>
      <c r="K15751" s="17"/>
      <c r="N15751" s="17"/>
    </row>
    <row r="15752">
      <c r="B15752" s="11">
        <f>IFERROR(__xludf.DUMMYFUNCTION("""COMPUTED_VALUE"""),23973.0)</f>
        <v>23973</v>
      </c>
      <c r="C15752" s="9">
        <f>IFERROR(__xludf.DUMMYFUNCTION("""COMPUTED_VALUE"""),4.26)</f>
        <v>4.26</v>
      </c>
      <c r="H15752" s="17"/>
      <c r="K15752" s="17"/>
      <c r="N15752" s="17"/>
    </row>
    <row r="15753">
      <c r="B15753" s="11">
        <f>IFERROR(__xludf.DUMMYFUNCTION("""COMPUTED_VALUE"""),23972.0)</f>
        <v>23972</v>
      </c>
      <c r="C15753" s="9">
        <f>IFERROR(__xludf.DUMMYFUNCTION("""COMPUTED_VALUE"""),4.26)</f>
        <v>4.26</v>
      </c>
      <c r="H15753" s="17"/>
      <c r="K15753" s="17"/>
      <c r="N15753" s="17"/>
    </row>
    <row r="15754">
      <c r="B15754" s="11">
        <f>IFERROR(__xludf.DUMMYFUNCTION("""COMPUTED_VALUE"""),23971.0)</f>
        <v>23971</v>
      </c>
      <c r="C15754" s="9">
        <f>IFERROR(__xludf.DUMMYFUNCTION("""COMPUTED_VALUE"""),4.27)</f>
        <v>4.27</v>
      </c>
      <c r="H15754" s="17"/>
      <c r="K15754" s="17"/>
      <c r="N15754" s="17"/>
    </row>
    <row r="15755">
      <c r="B15755" s="11">
        <f>IFERROR(__xludf.DUMMYFUNCTION("""COMPUTED_VALUE"""),23970.0)</f>
        <v>23970</v>
      </c>
      <c r="C15755" s="9">
        <f>IFERROR(__xludf.DUMMYFUNCTION("""COMPUTED_VALUE"""),4.26)</f>
        <v>4.26</v>
      </c>
      <c r="H15755" s="17"/>
      <c r="K15755" s="17"/>
      <c r="N15755" s="17"/>
    </row>
    <row r="15756">
      <c r="B15756" s="11">
        <f>IFERROR(__xludf.DUMMYFUNCTION("""COMPUTED_VALUE"""),23967.0)</f>
        <v>23967</v>
      </c>
      <c r="C15756" s="9">
        <f>IFERROR(__xludf.DUMMYFUNCTION("""COMPUTED_VALUE"""),4.25)</f>
        <v>4.25</v>
      </c>
      <c r="H15756" s="17"/>
      <c r="K15756" s="17"/>
      <c r="N15756" s="17"/>
    </row>
    <row r="15757">
      <c r="B15757" s="11">
        <f>IFERROR(__xludf.DUMMYFUNCTION("""COMPUTED_VALUE"""),23966.0)</f>
        <v>23966</v>
      </c>
      <c r="C15757" s="9">
        <f>IFERROR(__xludf.DUMMYFUNCTION("""COMPUTED_VALUE"""),4.25)</f>
        <v>4.25</v>
      </c>
      <c r="H15757" s="17"/>
      <c r="K15757" s="17"/>
      <c r="N15757" s="17"/>
    </row>
    <row r="15758">
      <c r="B15758" s="11">
        <f>IFERROR(__xludf.DUMMYFUNCTION("""COMPUTED_VALUE"""),23965.0)</f>
        <v>23965</v>
      </c>
      <c r="C15758" s="9">
        <f>IFERROR(__xludf.DUMMYFUNCTION("""COMPUTED_VALUE"""),4.25)</f>
        <v>4.25</v>
      </c>
      <c r="H15758" s="17"/>
      <c r="K15758" s="17"/>
      <c r="N15758" s="17"/>
    </row>
    <row r="15759">
      <c r="B15759" s="11">
        <f>IFERROR(__xludf.DUMMYFUNCTION("""COMPUTED_VALUE"""),23964.0)</f>
        <v>23964</v>
      </c>
      <c r="C15759" s="9">
        <f>IFERROR(__xludf.DUMMYFUNCTION("""COMPUTED_VALUE"""),4.24)</f>
        <v>4.24</v>
      </c>
      <c r="H15759" s="17"/>
      <c r="K15759" s="17"/>
      <c r="N15759" s="17"/>
    </row>
    <row r="15760">
      <c r="B15760" s="11">
        <f>IFERROR(__xludf.DUMMYFUNCTION("""COMPUTED_VALUE"""),23963.0)</f>
        <v>23963</v>
      </c>
      <c r="C15760" s="9">
        <f>IFERROR(__xludf.DUMMYFUNCTION("""COMPUTED_VALUE"""),4.24)</f>
        <v>4.24</v>
      </c>
      <c r="H15760" s="17"/>
      <c r="K15760" s="17"/>
      <c r="N15760" s="17"/>
    </row>
    <row r="15761">
      <c r="B15761" s="11">
        <f>IFERROR(__xludf.DUMMYFUNCTION("""COMPUTED_VALUE"""),23960.0)</f>
        <v>23960</v>
      </c>
      <c r="C15761" s="9">
        <f>IFERROR(__xludf.DUMMYFUNCTION("""COMPUTED_VALUE"""),4.24)</f>
        <v>4.24</v>
      </c>
      <c r="H15761" s="17"/>
      <c r="K15761" s="17"/>
      <c r="N15761" s="17"/>
    </row>
    <row r="15762">
      <c r="B15762" s="11">
        <f>IFERROR(__xludf.DUMMYFUNCTION("""COMPUTED_VALUE"""),23959.0)</f>
        <v>23959</v>
      </c>
      <c r="C15762" s="9">
        <f>IFERROR(__xludf.DUMMYFUNCTION("""COMPUTED_VALUE"""),4.23)</f>
        <v>4.23</v>
      </c>
      <c r="H15762" s="17"/>
      <c r="K15762" s="17"/>
      <c r="N15762" s="17"/>
    </row>
    <row r="15763">
      <c r="B15763" s="11">
        <f>IFERROR(__xludf.DUMMYFUNCTION("""COMPUTED_VALUE"""),23958.0)</f>
        <v>23958</v>
      </c>
      <c r="C15763" s="9">
        <f>IFERROR(__xludf.DUMMYFUNCTION("""COMPUTED_VALUE"""),4.23)</f>
        <v>4.23</v>
      </c>
      <c r="H15763" s="17"/>
      <c r="K15763" s="17"/>
      <c r="N15763" s="17"/>
    </row>
    <row r="15764">
      <c r="B15764" s="11">
        <f>IFERROR(__xludf.DUMMYFUNCTION("""COMPUTED_VALUE"""),23957.0)</f>
        <v>23957</v>
      </c>
      <c r="C15764" s="9">
        <f>IFERROR(__xludf.DUMMYFUNCTION("""COMPUTED_VALUE"""),4.22)</f>
        <v>4.22</v>
      </c>
      <c r="H15764" s="17"/>
      <c r="K15764" s="17"/>
      <c r="N15764" s="17"/>
    </row>
    <row r="15765">
      <c r="B15765" s="11">
        <f>IFERROR(__xludf.DUMMYFUNCTION("""COMPUTED_VALUE"""),23956.0)</f>
        <v>23956</v>
      </c>
      <c r="C15765" s="9">
        <f>IFERROR(__xludf.DUMMYFUNCTION("""COMPUTED_VALUE"""),4.22)</f>
        <v>4.22</v>
      </c>
      <c r="H15765" s="17"/>
      <c r="K15765" s="17"/>
      <c r="N15765" s="17"/>
    </row>
    <row r="15766">
      <c r="B15766" s="11">
        <f>IFERROR(__xludf.DUMMYFUNCTION("""COMPUTED_VALUE"""),23953.0)</f>
        <v>23953</v>
      </c>
      <c r="C15766" s="9">
        <f>IFERROR(__xludf.DUMMYFUNCTION("""COMPUTED_VALUE"""),4.22)</f>
        <v>4.22</v>
      </c>
      <c r="H15766" s="17"/>
      <c r="K15766" s="17"/>
      <c r="N15766" s="17"/>
    </row>
    <row r="15767">
      <c r="B15767" s="11">
        <f>IFERROR(__xludf.DUMMYFUNCTION("""COMPUTED_VALUE"""),23952.0)</f>
        <v>23952</v>
      </c>
      <c r="C15767" s="9">
        <f>IFERROR(__xludf.DUMMYFUNCTION("""COMPUTED_VALUE"""),4.21)</f>
        <v>4.21</v>
      </c>
      <c r="H15767" s="17"/>
      <c r="K15767" s="17"/>
      <c r="N15767" s="17"/>
    </row>
    <row r="15768">
      <c r="B15768" s="11">
        <f>IFERROR(__xludf.DUMMYFUNCTION("""COMPUTED_VALUE"""),23951.0)</f>
        <v>23951</v>
      </c>
      <c r="C15768" s="9">
        <f>IFERROR(__xludf.DUMMYFUNCTION("""COMPUTED_VALUE"""),4.2)</f>
        <v>4.2</v>
      </c>
      <c r="H15768" s="17"/>
      <c r="K15768" s="17"/>
      <c r="N15768" s="17"/>
    </row>
    <row r="15769">
      <c r="B15769" s="11">
        <f>IFERROR(__xludf.DUMMYFUNCTION("""COMPUTED_VALUE"""),23950.0)</f>
        <v>23950</v>
      </c>
      <c r="C15769" s="9">
        <f>IFERROR(__xludf.DUMMYFUNCTION("""COMPUTED_VALUE"""),4.2)</f>
        <v>4.2</v>
      </c>
      <c r="H15769" s="17"/>
      <c r="K15769" s="17"/>
      <c r="N15769" s="17"/>
    </row>
    <row r="15770">
      <c r="B15770" s="11">
        <f>IFERROR(__xludf.DUMMYFUNCTION("""COMPUTED_VALUE"""),23949.0)</f>
        <v>23949</v>
      </c>
      <c r="C15770" s="9">
        <f>IFERROR(__xludf.DUMMYFUNCTION("""COMPUTED_VALUE"""),4.2)</f>
        <v>4.2</v>
      </c>
      <c r="H15770" s="17"/>
      <c r="K15770" s="17"/>
      <c r="N15770" s="17"/>
    </row>
    <row r="15771">
      <c r="B15771" s="11">
        <f>IFERROR(__xludf.DUMMYFUNCTION("""COMPUTED_VALUE"""),23946.0)</f>
        <v>23946</v>
      </c>
      <c r="C15771" s="9">
        <f>IFERROR(__xludf.DUMMYFUNCTION("""COMPUTED_VALUE"""),4.2)</f>
        <v>4.2</v>
      </c>
      <c r="H15771" s="17"/>
      <c r="K15771" s="17"/>
      <c r="N15771" s="17"/>
    </row>
    <row r="15772">
      <c r="B15772" s="11">
        <f>IFERROR(__xludf.DUMMYFUNCTION("""COMPUTED_VALUE"""),23945.0)</f>
        <v>23945</v>
      </c>
      <c r="C15772" s="9">
        <f>IFERROR(__xludf.DUMMYFUNCTION("""COMPUTED_VALUE"""),4.2)</f>
        <v>4.2</v>
      </c>
      <c r="H15772" s="17"/>
      <c r="K15772" s="17"/>
      <c r="N15772" s="17"/>
    </row>
    <row r="15773">
      <c r="B15773" s="11">
        <f>IFERROR(__xludf.DUMMYFUNCTION("""COMPUTED_VALUE"""),23944.0)</f>
        <v>23944</v>
      </c>
      <c r="C15773" s="9">
        <f>IFERROR(__xludf.DUMMYFUNCTION("""COMPUTED_VALUE"""),4.2)</f>
        <v>4.2</v>
      </c>
      <c r="H15773" s="17"/>
      <c r="K15773" s="17"/>
      <c r="N15773" s="17"/>
    </row>
    <row r="15774">
      <c r="B15774" s="11">
        <f>IFERROR(__xludf.DUMMYFUNCTION("""COMPUTED_VALUE"""),23943.0)</f>
        <v>23943</v>
      </c>
      <c r="C15774" s="9">
        <f>IFERROR(__xludf.DUMMYFUNCTION("""COMPUTED_VALUE"""),4.2)</f>
        <v>4.2</v>
      </c>
      <c r="H15774" s="17"/>
      <c r="K15774" s="17"/>
      <c r="N15774" s="17"/>
    </row>
    <row r="15775">
      <c r="B15775" s="11">
        <f>IFERROR(__xludf.DUMMYFUNCTION("""COMPUTED_VALUE"""),23942.0)</f>
        <v>23942</v>
      </c>
      <c r="C15775" s="9">
        <f>IFERROR(__xludf.DUMMYFUNCTION("""COMPUTED_VALUE"""),4.2)</f>
        <v>4.2</v>
      </c>
      <c r="H15775" s="17"/>
      <c r="K15775" s="17"/>
      <c r="N15775" s="17"/>
    </row>
    <row r="15776">
      <c r="B15776" s="11">
        <f>IFERROR(__xludf.DUMMYFUNCTION("""COMPUTED_VALUE"""),23939.0)</f>
        <v>23939</v>
      </c>
      <c r="C15776" s="9">
        <f>IFERROR(__xludf.DUMMYFUNCTION("""COMPUTED_VALUE"""),4.2)</f>
        <v>4.2</v>
      </c>
      <c r="H15776" s="17"/>
      <c r="K15776" s="17"/>
      <c r="N15776" s="17"/>
    </row>
    <row r="15777">
      <c r="B15777" s="11">
        <f>IFERROR(__xludf.DUMMYFUNCTION("""COMPUTED_VALUE"""),23938.0)</f>
        <v>23938</v>
      </c>
      <c r="C15777" s="9">
        <f>IFERROR(__xludf.DUMMYFUNCTION("""COMPUTED_VALUE"""),4.2)</f>
        <v>4.2</v>
      </c>
      <c r="H15777" s="17"/>
      <c r="K15777" s="17"/>
      <c r="N15777" s="17"/>
    </row>
    <row r="15778">
      <c r="B15778" s="11">
        <f>IFERROR(__xludf.DUMMYFUNCTION("""COMPUTED_VALUE"""),23937.0)</f>
        <v>23937</v>
      </c>
      <c r="C15778" s="9">
        <f>IFERROR(__xludf.DUMMYFUNCTION("""COMPUTED_VALUE"""),4.21)</f>
        <v>4.21</v>
      </c>
      <c r="H15778" s="17"/>
      <c r="K15778" s="17"/>
      <c r="N15778" s="17"/>
    </row>
    <row r="15779">
      <c r="B15779" s="11">
        <f>IFERROR(__xludf.DUMMYFUNCTION("""COMPUTED_VALUE"""),23936.0)</f>
        <v>23936</v>
      </c>
      <c r="C15779" s="9">
        <f>IFERROR(__xludf.DUMMYFUNCTION("""COMPUTED_VALUE"""),4.21)</f>
        <v>4.21</v>
      </c>
      <c r="H15779" s="17"/>
      <c r="K15779" s="17"/>
      <c r="N15779" s="17"/>
    </row>
    <row r="15780">
      <c r="B15780" s="11">
        <f>IFERROR(__xludf.DUMMYFUNCTION("""COMPUTED_VALUE"""),23935.0)</f>
        <v>23935</v>
      </c>
      <c r="C15780" s="9">
        <f>IFERROR(__xludf.DUMMYFUNCTION("""COMPUTED_VALUE"""),4.21)</f>
        <v>4.21</v>
      </c>
      <c r="H15780" s="17"/>
      <c r="K15780" s="17"/>
      <c r="N15780" s="17"/>
    </row>
    <row r="15781">
      <c r="B15781" s="11">
        <f>IFERROR(__xludf.DUMMYFUNCTION("""COMPUTED_VALUE"""),23932.0)</f>
        <v>23932</v>
      </c>
      <c r="C15781" s="9">
        <f>IFERROR(__xludf.DUMMYFUNCTION("""COMPUTED_VALUE"""),4.21)</f>
        <v>4.21</v>
      </c>
      <c r="H15781" s="17"/>
      <c r="K15781" s="17"/>
      <c r="N15781" s="17"/>
    </row>
    <row r="15782">
      <c r="B15782" s="11">
        <f>IFERROR(__xludf.DUMMYFUNCTION("""COMPUTED_VALUE"""),23931.0)</f>
        <v>23931</v>
      </c>
      <c r="C15782" s="9">
        <f>IFERROR(__xludf.DUMMYFUNCTION("""COMPUTED_VALUE"""),4.2)</f>
        <v>4.2</v>
      </c>
      <c r="H15782" s="17"/>
      <c r="K15782" s="17"/>
      <c r="N15782" s="17"/>
    </row>
    <row r="15783">
      <c r="B15783" s="11">
        <f>IFERROR(__xludf.DUMMYFUNCTION("""COMPUTED_VALUE"""),23930.0)</f>
        <v>23930</v>
      </c>
      <c r="C15783" s="9">
        <f>IFERROR(__xludf.DUMMYFUNCTION("""COMPUTED_VALUE"""),4.21)</f>
        <v>4.21</v>
      </c>
      <c r="H15783" s="17"/>
      <c r="K15783" s="17"/>
      <c r="N15783" s="17"/>
    </row>
    <row r="15784">
      <c r="B15784" s="11">
        <f>IFERROR(__xludf.DUMMYFUNCTION("""COMPUTED_VALUE"""),23929.0)</f>
        <v>23929</v>
      </c>
      <c r="C15784" s="9">
        <f>IFERROR(__xludf.DUMMYFUNCTION("""COMPUTED_VALUE"""),4.21)</f>
        <v>4.21</v>
      </c>
      <c r="H15784" s="17"/>
      <c r="K15784" s="17"/>
      <c r="N15784" s="17"/>
    </row>
    <row r="15785">
      <c r="B15785" s="11">
        <f>IFERROR(__xludf.DUMMYFUNCTION("""COMPUTED_VALUE"""),23928.0)</f>
        <v>23928</v>
      </c>
      <c r="C15785" s="9"/>
      <c r="H15785" s="17"/>
      <c r="K15785" s="17"/>
      <c r="N15785" s="17"/>
    </row>
    <row r="15786">
      <c r="B15786" s="11">
        <f>IFERROR(__xludf.DUMMYFUNCTION("""COMPUTED_VALUE"""),23925.0)</f>
        <v>23925</v>
      </c>
      <c r="C15786" s="9">
        <f>IFERROR(__xludf.DUMMYFUNCTION("""COMPUTED_VALUE"""),4.21)</f>
        <v>4.21</v>
      </c>
      <c r="H15786" s="17"/>
      <c r="K15786" s="17"/>
      <c r="N15786" s="17"/>
    </row>
    <row r="15787">
      <c r="B15787" s="11">
        <f>IFERROR(__xludf.DUMMYFUNCTION("""COMPUTED_VALUE"""),23924.0)</f>
        <v>23924</v>
      </c>
      <c r="C15787" s="9">
        <f>IFERROR(__xludf.DUMMYFUNCTION("""COMPUTED_VALUE"""),4.2)</f>
        <v>4.2</v>
      </c>
      <c r="H15787" s="17"/>
      <c r="K15787" s="17"/>
      <c r="N15787" s="17"/>
    </row>
    <row r="15788">
      <c r="B15788" s="11">
        <f>IFERROR(__xludf.DUMMYFUNCTION("""COMPUTED_VALUE"""),23923.0)</f>
        <v>23923</v>
      </c>
      <c r="C15788" s="9">
        <f>IFERROR(__xludf.DUMMYFUNCTION("""COMPUTED_VALUE"""),4.2)</f>
        <v>4.2</v>
      </c>
      <c r="H15788" s="17"/>
      <c r="K15788" s="17"/>
      <c r="N15788" s="17"/>
    </row>
    <row r="15789">
      <c r="B15789" s="11">
        <f>IFERROR(__xludf.DUMMYFUNCTION("""COMPUTED_VALUE"""),23922.0)</f>
        <v>23922</v>
      </c>
      <c r="C15789" s="9">
        <f>IFERROR(__xludf.DUMMYFUNCTION("""COMPUTED_VALUE"""),4.2)</f>
        <v>4.2</v>
      </c>
      <c r="H15789" s="17"/>
      <c r="K15789" s="17"/>
      <c r="N15789" s="17"/>
    </row>
    <row r="15790">
      <c r="B15790" s="11">
        <f>IFERROR(__xludf.DUMMYFUNCTION("""COMPUTED_VALUE"""),23921.0)</f>
        <v>23921</v>
      </c>
      <c r="C15790" s="9">
        <f>IFERROR(__xludf.DUMMYFUNCTION("""COMPUTED_VALUE"""),4.19)</f>
        <v>4.19</v>
      </c>
      <c r="H15790" s="17"/>
      <c r="K15790" s="17"/>
      <c r="N15790" s="17"/>
    </row>
    <row r="15791">
      <c r="B15791" s="11">
        <f>IFERROR(__xludf.DUMMYFUNCTION("""COMPUTED_VALUE"""),23918.0)</f>
        <v>23918</v>
      </c>
      <c r="C15791" s="9">
        <f>IFERROR(__xludf.DUMMYFUNCTION("""COMPUTED_VALUE"""),4.19)</f>
        <v>4.19</v>
      </c>
      <c r="H15791" s="17"/>
      <c r="K15791" s="17"/>
      <c r="N15791" s="17"/>
    </row>
    <row r="15792">
      <c r="B15792" s="11">
        <f>IFERROR(__xludf.DUMMYFUNCTION("""COMPUTED_VALUE"""),23917.0)</f>
        <v>23917</v>
      </c>
      <c r="C15792" s="9">
        <f>IFERROR(__xludf.DUMMYFUNCTION("""COMPUTED_VALUE"""),4.19)</f>
        <v>4.19</v>
      </c>
      <c r="H15792" s="17"/>
      <c r="K15792" s="17"/>
      <c r="N15792" s="17"/>
    </row>
    <row r="15793">
      <c r="B15793" s="11">
        <f>IFERROR(__xludf.DUMMYFUNCTION("""COMPUTED_VALUE"""),23916.0)</f>
        <v>23916</v>
      </c>
      <c r="C15793" s="9">
        <f>IFERROR(__xludf.DUMMYFUNCTION("""COMPUTED_VALUE"""),4.2)</f>
        <v>4.2</v>
      </c>
      <c r="H15793" s="17"/>
      <c r="K15793" s="17"/>
      <c r="N15793" s="17"/>
    </row>
    <row r="15794">
      <c r="B15794" s="11">
        <f>IFERROR(__xludf.DUMMYFUNCTION("""COMPUTED_VALUE"""),23915.0)</f>
        <v>23915</v>
      </c>
      <c r="C15794" s="9">
        <f>IFERROR(__xludf.DUMMYFUNCTION("""COMPUTED_VALUE"""),4.2)</f>
        <v>4.2</v>
      </c>
      <c r="H15794" s="17"/>
      <c r="K15794" s="17"/>
      <c r="N15794" s="17"/>
    </row>
    <row r="15795">
      <c r="B15795" s="11">
        <f>IFERROR(__xludf.DUMMYFUNCTION("""COMPUTED_VALUE"""),23914.0)</f>
        <v>23914</v>
      </c>
      <c r="C15795" s="9">
        <f>IFERROR(__xludf.DUMMYFUNCTION("""COMPUTED_VALUE"""),4.2)</f>
        <v>4.2</v>
      </c>
      <c r="H15795" s="17"/>
      <c r="K15795" s="17"/>
      <c r="N15795" s="17"/>
    </row>
    <row r="15796">
      <c r="B15796" s="11">
        <f>IFERROR(__xludf.DUMMYFUNCTION("""COMPUTED_VALUE"""),23911.0)</f>
        <v>23911</v>
      </c>
      <c r="C15796" s="9">
        <f>IFERROR(__xludf.DUMMYFUNCTION("""COMPUTED_VALUE"""),4.21)</f>
        <v>4.21</v>
      </c>
      <c r="H15796" s="17"/>
      <c r="K15796" s="17"/>
      <c r="N15796" s="17"/>
    </row>
    <row r="15797">
      <c r="B15797" s="11">
        <f>IFERROR(__xludf.DUMMYFUNCTION("""COMPUTED_VALUE"""),23910.0)</f>
        <v>23910</v>
      </c>
      <c r="C15797" s="9">
        <f>IFERROR(__xludf.DUMMYFUNCTION("""COMPUTED_VALUE"""),4.21)</f>
        <v>4.21</v>
      </c>
      <c r="H15797" s="17"/>
      <c r="K15797" s="17"/>
      <c r="N15797" s="17"/>
    </row>
    <row r="15798">
      <c r="B15798" s="11">
        <f>IFERROR(__xludf.DUMMYFUNCTION("""COMPUTED_VALUE"""),23909.0)</f>
        <v>23909</v>
      </c>
      <c r="C15798" s="9">
        <f>IFERROR(__xludf.DUMMYFUNCTION("""COMPUTED_VALUE"""),4.21)</f>
        <v>4.21</v>
      </c>
      <c r="H15798" s="17"/>
      <c r="K15798" s="17"/>
      <c r="N15798" s="17"/>
    </row>
    <row r="15799">
      <c r="B15799" s="11">
        <f>IFERROR(__xludf.DUMMYFUNCTION("""COMPUTED_VALUE"""),23908.0)</f>
        <v>23908</v>
      </c>
      <c r="C15799" s="9">
        <f>IFERROR(__xludf.DUMMYFUNCTION("""COMPUTED_VALUE"""),4.21)</f>
        <v>4.21</v>
      </c>
      <c r="H15799" s="17"/>
      <c r="K15799" s="17"/>
      <c r="N15799" s="17"/>
    </row>
    <row r="15800">
      <c r="B15800" s="11">
        <f>IFERROR(__xludf.DUMMYFUNCTION("""COMPUTED_VALUE"""),23907.0)</f>
        <v>23907</v>
      </c>
      <c r="C15800" s="9">
        <f>IFERROR(__xludf.DUMMYFUNCTION("""COMPUTED_VALUE"""),4.21)</f>
        <v>4.21</v>
      </c>
      <c r="H15800" s="17"/>
      <c r="K15800" s="17"/>
      <c r="N15800" s="17"/>
    </row>
    <row r="15801">
      <c r="B15801" s="11">
        <f>IFERROR(__xludf.DUMMYFUNCTION("""COMPUTED_VALUE"""),23904.0)</f>
        <v>23904</v>
      </c>
      <c r="C15801" s="9">
        <f>IFERROR(__xludf.DUMMYFUNCTION("""COMPUTED_VALUE"""),4.23)</f>
        <v>4.23</v>
      </c>
      <c r="H15801" s="17"/>
      <c r="K15801" s="17"/>
      <c r="N15801" s="17"/>
    </row>
    <row r="15802">
      <c r="B15802" s="11">
        <f>IFERROR(__xludf.DUMMYFUNCTION("""COMPUTED_VALUE"""),23903.0)</f>
        <v>23903</v>
      </c>
      <c r="C15802" s="9">
        <f>IFERROR(__xludf.DUMMYFUNCTION("""COMPUTED_VALUE"""),4.23)</f>
        <v>4.23</v>
      </c>
      <c r="H15802" s="17"/>
      <c r="K15802" s="17"/>
      <c r="N15802" s="17"/>
    </row>
    <row r="15803">
      <c r="B15803" s="11">
        <f>IFERROR(__xludf.DUMMYFUNCTION("""COMPUTED_VALUE"""),23902.0)</f>
        <v>23902</v>
      </c>
      <c r="C15803" s="9">
        <f>IFERROR(__xludf.DUMMYFUNCTION("""COMPUTED_VALUE"""),4.23)</f>
        <v>4.23</v>
      </c>
      <c r="H15803" s="17"/>
      <c r="K15803" s="17"/>
      <c r="N15803" s="17"/>
    </row>
    <row r="15804">
      <c r="B15804" s="11">
        <f>IFERROR(__xludf.DUMMYFUNCTION("""COMPUTED_VALUE"""),23901.0)</f>
        <v>23901</v>
      </c>
      <c r="C15804" s="9">
        <f>IFERROR(__xludf.DUMMYFUNCTION("""COMPUTED_VALUE"""),4.23)</f>
        <v>4.23</v>
      </c>
      <c r="H15804" s="17"/>
      <c r="K15804" s="17"/>
      <c r="N15804" s="17"/>
    </row>
    <row r="15805">
      <c r="B15805" s="11">
        <f>IFERROR(__xludf.DUMMYFUNCTION("""COMPUTED_VALUE"""),23900.0)</f>
        <v>23900</v>
      </c>
      <c r="C15805" s="9">
        <f>IFERROR(__xludf.DUMMYFUNCTION("""COMPUTED_VALUE"""),4.23)</f>
        <v>4.23</v>
      </c>
      <c r="H15805" s="17"/>
      <c r="K15805" s="17"/>
      <c r="N15805" s="17"/>
    </row>
    <row r="15806">
      <c r="B15806" s="11">
        <f>IFERROR(__xludf.DUMMYFUNCTION("""COMPUTED_VALUE"""),23897.0)</f>
        <v>23897</v>
      </c>
      <c r="C15806" s="9">
        <f>IFERROR(__xludf.DUMMYFUNCTION("""COMPUTED_VALUE"""),4.23)</f>
        <v>4.23</v>
      </c>
      <c r="H15806" s="17"/>
      <c r="K15806" s="17"/>
      <c r="N15806" s="17"/>
    </row>
    <row r="15807">
      <c r="B15807" s="11">
        <f>IFERROR(__xludf.DUMMYFUNCTION("""COMPUTED_VALUE"""),23896.0)</f>
        <v>23896</v>
      </c>
      <c r="C15807" s="9">
        <f>IFERROR(__xludf.DUMMYFUNCTION("""COMPUTED_VALUE"""),4.23)</f>
        <v>4.23</v>
      </c>
      <c r="H15807" s="17"/>
      <c r="K15807" s="17"/>
      <c r="N15807" s="17"/>
    </row>
    <row r="15808">
      <c r="B15808" s="11">
        <f>IFERROR(__xludf.DUMMYFUNCTION("""COMPUTED_VALUE"""),23895.0)</f>
        <v>23895</v>
      </c>
      <c r="C15808" s="9">
        <f>IFERROR(__xludf.DUMMYFUNCTION("""COMPUTED_VALUE"""),4.23)</f>
        <v>4.23</v>
      </c>
      <c r="H15808" s="17"/>
      <c r="K15808" s="17"/>
      <c r="N15808" s="17"/>
    </row>
    <row r="15809">
      <c r="B15809" s="11">
        <f>IFERROR(__xludf.DUMMYFUNCTION("""COMPUTED_VALUE"""),23894.0)</f>
        <v>23894</v>
      </c>
      <c r="C15809" s="9">
        <f>IFERROR(__xludf.DUMMYFUNCTION("""COMPUTED_VALUE"""),4.23)</f>
        <v>4.23</v>
      </c>
      <c r="H15809" s="17"/>
      <c r="K15809" s="17"/>
      <c r="N15809" s="17"/>
    </row>
    <row r="15810">
      <c r="B15810" s="11">
        <f>IFERROR(__xludf.DUMMYFUNCTION("""COMPUTED_VALUE"""),23893.0)</f>
        <v>23893</v>
      </c>
      <c r="C15810" s="9"/>
      <c r="H15810" s="17"/>
      <c r="K15810" s="17"/>
      <c r="N15810" s="17"/>
    </row>
    <row r="15811">
      <c r="B15811" s="11">
        <f>IFERROR(__xludf.DUMMYFUNCTION("""COMPUTED_VALUE"""),23890.0)</f>
        <v>23890</v>
      </c>
      <c r="C15811" s="9">
        <f>IFERROR(__xludf.DUMMYFUNCTION("""COMPUTED_VALUE"""),4.23)</f>
        <v>4.23</v>
      </c>
      <c r="H15811" s="17"/>
      <c r="K15811" s="17"/>
      <c r="N15811" s="17"/>
    </row>
    <row r="15812">
      <c r="B15812" s="11">
        <f>IFERROR(__xludf.DUMMYFUNCTION("""COMPUTED_VALUE"""),23889.0)</f>
        <v>23889</v>
      </c>
      <c r="C15812" s="9">
        <f>IFERROR(__xludf.DUMMYFUNCTION("""COMPUTED_VALUE"""),4.22)</f>
        <v>4.22</v>
      </c>
      <c r="H15812" s="17"/>
      <c r="K15812" s="17"/>
      <c r="N15812" s="17"/>
    </row>
    <row r="15813">
      <c r="B15813" s="11">
        <f>IFERROR(__xludf.DUMMYFUNCTION("""COMPUTED_VALUE"""),23888.0)</f>
        <v>23888</v>
      </c>
      <c r="C15813" s="9">
        <f>IFERROR(__xludf.DUMMYFUNCTION("""COMPUTED_VALUE"""),4.22)</f>
        <v>4.22</v>
      </c>
      <c r="H15813" s="17"/>
      <c r="K15813" s="17"/>
      <c r="N15813" s="17"/>
    </row>
    <row r="15814">
      <c r="B15814" s="11">
        <f>IFERROR(__xludf.DUMMYFUNCTION("""COMPUTED_VALUE"""),23887.0)</f>
        <v>23887</v>
      </c>
      <c r="C15814" s="9">
        <f>IFERROR(__xludf.DUMMYFUNCTION("""COMPUTED_VALUE"""),4.22)</f>
        <v>4.22</v>
      </c>
      <c r="H15814" s="17"/>
      <c r="K15814" s="17"/>
      <c r="N15814" s="17"/>
    </row>
    <row r="15815">
      <c r="B15815" s="11">
        <f>IFERROR(__xludf.DUMMYFUNCTION("""COMPUTED_VALUE"""),23886.0)</f>
        <v>23886</v>
      </c>
      <c r="C15815" s="9">
        <f>IFERROR(__xludf.DUMMYFUNCTION("""COMPUTED_VALUE"""),4.22)</f>
        <v>4.22</v>
      </c>
      <c r="H15815" s="17"/>
      <c r="K15815" s="17"/>
      <c r="N15815" s="17"/>
    </row>
    <row r="15816">
      <c r="B15816" s="11">
        <f>IFERROR(__xludf.DUMMYFUNCTION("""COMPUTED_VALUE"""),23883.0)</f>
        <v>23883</v>
      </c>
      <c r="C15816" s="9">
        <f>IFERROR(__xludf.DUMMYFUNCTION("""COMPUTED_VALUE"""),4.22)</f>
        <v>4.22</v>
      </c>
      <c r="H15816" s="17"/>
      <c r="K15816" s="17"/>
      <c r="N15816" s="17"/>
    </row>
    <row r="15817">
      <c r="B15817" s="11">
        <f>IFERROR(__xludf.DUMMYFUNCTION("""COMPUTED_VALUE"""),23882.0)</f>
        <v>23882</v>
      </c>
      <c r="C15817" s="9">
        <f>IFERROR(__xludf.DUMMYFUNCTION("""COMPUTED_VALUE"""),4.22)</f>
        <v>4.22</v>
      </c>
      <c r="H15817" s="17"/>
      <c r="K15817" s="17"/>
      <c r="N15817" s="17"/>
    </row>
    <row r="15818">
      <c r="B15818" s="11">
        <f>IFERROR(__xludf.DUMMYFUNCTION("""COMPUTED_VALUE"""),23881.0)</f>
        <v>23881</v>
      </c>
      <c r="C15818" s="9">
        <f>IFERROR(__xludf.DUMMYFUNCTION("""COMPUTED_VALUE"""),4.22)</f>
        <v>4.22</v>
      </c>
      <c r="H15818" s="17"/>
      <c r="K15818" s="17"/>
      <c r="N15818" s="17"/>
    </row>
    <row r="15819">
      <c r="B15819" s="11">
        <f>IFERROR(__xludf.DUMMYFUNCTION("""COMPUTED_VALUE"""),23880.0)</f>
        <v>23880</v>
      </c>
      <c r="C15819" s="9">
        <f>IFERROR(__xludf.DUMMYFUNCTION("""COMPUTED_VALUE"""),4.22)</f>
        <v>4.22</v>
      </c>
      <c r="H15819" s="17"/>
      <c r="K15819" s="17"/>
      <c r="N15819" s="17"/>
    </row>
    <row r="15820">
      <c r="B15820" s="11">
        <f>IFERROR(__xludf.DUMMYFUNCTION("""COMPUTED_VALUE"""),23879.0)</f>
        <v>23879</v>
      </c>
      <c r="C15820" s="9">
        <f>IFERROR(__xludf.DUMMYFUNCTION("""COMPUTED_VALUE"""),4.21)</f>
        <v>4.21</v>
      </c>
      <c r="H15820" s="17"/>
      <c r="K15820" s="17"/>
      <c r="N15820" s="17"/>
    </row>
    <row r="15821">
      <c r="B15821" s="11">
        <f>IFERROR(__xludf.DUMMYFUNCTION("""COMPUTED_VALUE"""),23876.0)</f>
        <v>23876</v>
      </c>
      <c r="C15821" s="9">
        <f>IFERROR(__xludf.DUMMYFUNCTION("""COMPUTED_VALUE"""),4.21)</f>
        <v>4.21</v>
      </c>
      <c r="H15821" s="17"/>
      <c r="K15821" s="17"/>
      <c r="N15821" s="17"/>
    </row>
    <row r="15822">
      <c r="B15822" s="11">
        <f>IFERROR(__xludf.DUMMYFUNCTION("""COMPUTED_VALUE"""),23875.0)</f>
        <v>23875</v>
      </c>
      <c r="C15822" s="9">
        <f>IFERROR(__xludf.DUMMYFUNCTION("""COMPUTED_VALUE"""),4.21)</f>
        <v>4.21</v>
      </c>
      <c r="H15822" s="17"/>
      <c r="K15822" s="17"/>
      <c r="N15822" s="17"/>
    </row>
    <row r="15823">
      <c r="B15823" s="11">
        <f>IFERROR(__xludf.DUMMYFUNCTION("""COMPUTED_VALUE"""),23874.0)</f>
        <v>23874</v>
      </c>
      <c r="C15823" s="9">
        <f>IFERROR(__xludf.DUMMYFUNCTION("""COMPUTED_VALUE"""),4.2)</f>
        <v>4.2</v>
      </c>
      <c r="H15823" s="17"/>
      <c r="K15823" s="17"/>
      <c r="N15823" s="17"/>
    </row>
    <row r="15824">
      <c r="B15824" s="11">
        <f>IFERROR(__xludf.DUMMYFUNCTION("""COMPUTED_VALUE"""),23873.0)</f>
        <v>23873</v>
      </c>
      <c r="C15824" s="9">
        <f>IFERROR(__xludf.DUMMYFUNCTION("""COMPUTED_VALUE"""),4.2)</f>
        <v>4.2</v>
      </c>
      <c r="H15824" s="17"/>
      <c r="K15824" s="17"/>
      <c r="N15824" s="17"/>
    </row>
    <row r="15825">
      <c r="B15825" s="11">
        <f>IFERROR(__xludf.DUMMYFUNCTION("""COMPUTED_VALUE"""),23872.0)</f>
        <v>23872</v>
      </c>
      <c r="C15825" s="9">
        <f>IFERROR(__xludf.DUMMYFUNCTION("""COMPUTED_VALUE"""),4.2)</f>
        <v>4.2</v>
      </c>
      <c r="H15825" s="17"/>
      <c r="K15825" s="17"/>
      <c r="N15825" s="17"/>
    </row>
    <row r="15826">
      <c r="B15826" s="11">
        <f>IFERROR(__xludf.DUMMYFUNCTION("""COMPUTED_VALUE"""),23869.0)</f>
        <v>23869</v>
      </c>
      <c r="C15826" s="9">
        <f>IFERROR(__xludf.DUMMYFUNCTION("""COMPUTED_VALUE"""),4.2)</f>
        <v>4.2</v>
      </c>
      <c r="H15826" s="17"/>
      <c r="K15826" s="17"/>
      <c r="N15826" s="17"/>
    </row>
    <row r="15827">
      <c r="B15827" s="11">
        <f>IFERROR(__xludf.DUMMYFUNCTION("""COMPUTED_VALUE"""),23868.0)</f>
        <v>23868</v>
      </c>
      <c r="C15827" s="9">
        <f>IFERROR(__xludf.DUMMYFUNCTION("""COMPUTED_VALUE"""),4.2)</f>
        <v>4.2</v>
      </c>
      <c r="H15827" s="17"/>
      <c r="K15827" s="17"/>
      <c r="N15827" s="17"/>
    </row>
    <row r="15828">
      <c r="B15828" s="11">
        <f>IFERROR(__xludf.DUMMYFUNCTION("""COMPUTED_VALUE"""),23867.0)</f>
        <v>23867</v>
      </c>
      <c r="C15828" s="9">
        <f>IFERROR(__xludf.DUMMYFUNCTION("""COMPUTED_VALUE"""),4.2)</f>
        <v>4.2</v>
      </c>
      <c r="H15828" s="17"/>
      <c r="K15828" s="17"/>
      <c r="N15828" s="17"/>
    </row>
    <row r="15829">
      <c r="B15829" s="11">
        <f>IFERROR(__xludf.DUMMYFUNCTION("""COMPUTED_VALUE"""),23866.0)</f>
        <v>23866</v>
      </c>
      <c r="C15829" s="9">
        <f>IFERROR(__xludf.DUMMYFUNCTION("""COMPUTED_VALUE"""),4.2)</f>
        <v>4.2</v>
      </c>
      <c r="H15829" s="17"/>
      <c r="K15829" s="17"/>
      <c r="N15829" s="17"/>
    </row>
    <row r="15830">
      <c r="B15830" s="11">
        <f>IFERROR(__xludf.DUMMYFUNCTION("""COMPUTED_VALUE"""),23865.0)</f>
        <v>23865</v>
      </c>
      <c r="C15830" s="9">
        <f>IFERROR(__xludf.DUMMYFUNCTION("""COMPUTED_VALUE"""),4.21)</f>
        <v>4.21</v>
      </c>
      <c r="H15830" s="17"/>
      <c r="K15830" s="17"/>
      <c r="N15830" s="17"/>
    </row>
    <row r="15831">
      <c r="B15831" s="11">
        <f>IFERROR(__xludf.DUMMYFUNCTION("""COMPUTED_VALUE"""),23862.0)</f>
        <v>23862</v>
      </c>
      <c r="C15831" s="9">
        <f>IFERROR(__xludf.DUMMYFUNCTION("""COMPUTED_VALUE"""),4.21)</f>
        <v>4.21</v>
      </c>
      <c r="H15831" s="17"/>
      <c r="K15831" s="17"/>
      <c r="N15831" s="17"/>
    </row>
    <row r="15832">
      <c r="B15832" s="11">
        <f>IFERROR(__xludf.DUMMYFUNCTION("""COMPUTED_VALUE"""),23861.0)</f>
        <v>23861</v>
      </c>
      <c r="C15832" s="9">
        <f>IFERROR(__xludf.DUMMYFUNCTION("""COMPUTED_VALUE"""),4.21)</f>
        <v>4.21</v>
      </c>
      <c r="H15832" s="17"/>
      <c r="K15832" s="17"/>
      <c r="N15832" s="17"/>
    </row>
    <row r="15833">
      <c r="B15833" s="11">
        <f>IFERROR(__xludf.DUMMYFUNCTION("""COMPUTED_VALUE"""),23860.0)</f>
        <v>23860</v>
      </c>
      <c r="C15833" s="9">
        <f>IFERROR(__xludf.DUMMYFUNCTION("""COMPUTED_VALUE"""),4.21)</f>
        <v>4.21</v>
      </c>
      <c r="H15833" s="17"/>
      <c r="K15833" s="17"/>
      <c r="N15833" s="17"/>
    </row>
    <row r="15834">
      <c r="B15834" s="11">
        <f>IFERROR(__xludf.DUMMYFUNCTION("""COMPUTED_VALUE"""),23859.0)</f>
        <v>23859</v>
      </c>
      <c r="C15834" s="9">
        <f>IFERROR(__xludf.DUMMYFUNCTION("""COMPUTED_VALUE"""),4.21)</f>
        <v>4.21</v>
      </c>
      <c r="H15834" s="17"/>
      <c r="K15834" s="17"/>
      <c r="N15834" s="17"/>
    </row>
    <row r="15835">
      <c r="B15835" s="11">
        <f>IFERROR(__xludf.DUMMYFUNCTION("""COMPUTED_VALUE"""),23858.0)</f>
        <v>23858</v>
      </c>
      <c r="C15835" s="9">
        <f>IFERROR(__xludf.DUMMYFUNCTION("""COMPUTED_VALUE"""),4.21)</f>
        <v>4.21</v>
      </c>
      <c r="H15835" s="17"/>
      <c r="K15835" s="17"/>
      <c r="N15835" s="17"/>
    </row>
    <row r="15836">
      <c r="B15836" s="11">
        <f>IFERROR(__xludf.DUMMYFUNCTION("""COMPUTED_VALUE"""),23855.0)</f>
        <v>23855</v>
      </c>
      <c r="C15836" s="9">
        <f>IFERROR(__xludf.DUMMYFUNCTION("""COMPUTED_VALUE"""),4.21)</f>
        <v>4.21</v>
      </c>
      <c r="H15836" s="17"/>
      <c r="K15836" s="17"/>
      <c r="N15836" s="17"/>
    </row>
    <row r="15837">
      <c r="B15837" s="11">
        <f>IFERROR(__xludf.DUMMYFUNCTION("""COMPUTED_VALUE"""),23854.0)</f>
        <v>23854</v>
      </c>
      <c r="C15837" s="9">
        <f>IFERROR(__xludf.DUMMYFUNCTION("""COMPUTED_VALUE"""),4.21)</f>
        <v>4.21</v>
      </c>
      <c r="H15837" s="17"/>
      <c r="K15837" s="17"/>
      <c r="N15837" s="17"/>
    </row>
    <row r="15838">
      <c r="B15838" s="11">
        <f>IFERROR(__xludf.DUMMYFUNCTION("""COMPUTED_VALUE"""),23853.0)</f>
        <v>23853</v>
      </c>
      <c r="C15838" s="9">
        <f>IFERROR(__xludf.DUMMYFUNCTION("""COMPUTED_VALUE"""),4.21)</f>
        <v>4.21</v>
      </c>
      <c r="H15838" s="17"/>
      <c r="K15838" s="17"/>
      <c r="N15838" s="17"/>
    </row>
    <row r="15839">
      <c r="B15839" s="11">
        <f>IFERROR(__xludf.DUMMYFUNCTION("""COMPUTED_VALUE"""),23852.0)</f>
        <v>23852</v>
      </c>
      <c r="C15839" s="9">
        <f>IFERROR(__xludf.DUMMYFUNCTION("""COMPUTED_VALUE"""),4.21)</f>
        <v>4.21</v>
      </c>
      <c r="H15839" s="17"/>
      <c r="K15839" s="17"/>
      <c r="N15839" s="17"/>
    </row>
    <row r="15840">
      <c r="B15840" s="11">
        <f>IFERROR(__xludf.DUMMYFUNCTION("""COMPUTED_VALUE"""),23851.0)</f>
        <v>23851</v>
      </c>
      <c r="C15840" s="9">
        <f>IFERROR(__xludf.DUMMYFUNCTION("""COMPUTED_VALUE"""),4.21)</f>
        <v>4.21</v>
      </c>
      <c r="H15840" s="17"/>
      <c r="K15840" s="17"/>
      <c r="N15840" s="17"/>
    </row>
    <row r="15841">
      <c r="B15841" s="11">
        <f>IFERROR(__xludf.DUMMYFUNCTION("""COMPUTED_VALUE"""),23848.0)</f>
        <v>23848</v>
      </c>
      <c r="C15841" s="9"/>
      <c r="H15841" s="17"/>
      <c r="K15841" s="17"/>
      <c r="N15841" s="17"/>
    </row>
    <row r="15842">
      <c r="B15842" s="11">
        <f>IFERROR(__xludf.DUMMYFUNCTION("""COMPUTED_VALUE"""),23847.0)</f>
        <v>23847</v>
      </c>
      <c r="C15842" s="9">
        <f>IFERROR(__xludf.DUMMYFUNCTION("""COMPUTED_VALUE"""),4.2)</f>
        <v>4.2</v>
      </c>
      <c r="H15842" s="17"/>
      <c r="K15842" s="17"/>
      <c r="N15842" s="17"/>
    </row>
    <row r="15843">
      <c r="B15843" s="11">
        <f>IFERROR(__xludf.DUMMYFUNCTION("""COMPUTED_VALUE"""),23846.0)</f>
        <v>23846</v>
      </c>
      <c r="C15843" s="9">
        <f>IFERROR(__xludf.DUMMYFUNCTION("""COMPUTED_VALUE"""),4.19)</f>
        <v>4.19</v>
      </c>
      <c r="H15843" s="17"/>
      <c r="K15843" s="17"/>
      <c r="N15843" s="17"/>
    </row>
    <row r="15844">
      <c r="B15844" s="11">
        <f>IFERROR(__xludf.DUMMYFUNCTION("""COMPUTED_VALUE"""),23845.0)</f>
        <v>23845</v>
      </c>
      <c r="C15844" s="9">
        <f>IFERROR(__xludf.DUMMYFUNCTION("""COMPUTED_VALUE"""),4.2)</f>
        <v>4.2</v>
      </c>
      <c r="H15844" s="17"/>
      <c r="K15844" s="17"/>
      <c r="N15844" s="17"/>
    </row>
    <row r="15845">
      <c r="B15845" s="11">
        <f>IFERROR(__xludf.DUMMYFUNCTION("""COMPUTED_VALUE"""),23844.0)</f>
        <v>23844</v>
      </c>
      <c r="C15845" s="9">
        <f>IFERROR(__xludf.DUMMYFUNCTION("""COMPUTED_VALUE"""),4.2)</f>
        <v>4.2</v>
      </c>
      <c r="H15845" s="17"/>
      <c r="K15845" s="17"/>
      <c r="N15845" s="17"/>
    </row>
    <row r="15846">
      <c r="B15846" s="11">
        <f>IFERROR(__xludf.DUMMYFUNCTION("""COMPUTED_VALUE"""),23841.0)</f>
        <v>23841</v>
      </c>
      <c r="C15846" s="9">
        <f>IFERROR(__xludf.DUMMYFUNCTION("""COMPUTED_VALUE"""),4.2)</f>
        <v>4.2</v>
      </c>
      <c r="H15846" s="17"/>
      <c r="K15846" s="17"/>
      <c r="N15846" s="17"/>
    </row>
    <row r="15847">
      <c r="B15847" s="11">
        <f>IFERROR(__xludf.DUMMYFUNCTION("""COMPUTED_VALUE"""),23840.0)</f>
        <v>23840</v>
      </c>
      <c r="C15847" s="9">
        <f>IFERROR(__xludf.DUMMYFUNCTION("""COMPUTED_VALUE"""),4.19)</f>
        <v>4.19</v>
      </c>
      <c r="H15847" s="17"/>
      <c r="K15847" s="17"/>
      <c r="N15847" s="17"/>
    </row>
    <row r="15848">
      <c r="B15848" s="11">
        <f>IFERROR(__xludf.DUMMYFUNCTION("""COMPUTED_VALUE"""),23839.0)</f>
        <v>23839</v>
      </c>
      <c r="C15848" s="9">
        <f>IFERROR(__xludf.DUMMYFUNCTION("""COMPUTED_VALUE"""),4.2)</f>
        <v>4.2</v>
      </c>
      <c r="H15848" s="17"/>
      <c r="K15848" s="17"/>
      <c r="N15848" s="17"/>
    </row>
    <row r="15849">
      <c r="B15849" s="11">
        <f>IFERROR(__xludf.DUMMYFUNCTION("""COMPUTED_VALUE"""),23838.0)</f>
        <v>23838</v>
      </c>
      <c r="C15849" s="9">
        <f>IFERROR(__xludf.DUMMYFUNCTION("""COMPUTED_VALUE"""),4.2)</f>
        <v>4.2</v>
      </c>
      <c r="H15849" s="17"/>
      <c r="K15849" s="17"/>
      <c r="N15849" s="17"/>
    </row>
    <row r="15850">
      <c r="B15850" s="11">
        <f>IFERROR(__xludf.DUMMYFUNCTION("""COMPUTED_VALUE"""),23837.0)</f>
        <v>23837</v>
      </c>
      <c r="C15850" s="9">
        <f>IFERROR(__xludf.DUMMYFUNCTION("""COMPUTED_VALUE"""),4.2)</f>
        <v>4.2</v>
      </c>
      <c r="H15850" s="17"/>
      <c r="K15850" s="17"/>
      <c r="N15850" s="17"/>
    </row>
    <row r="15851">
      <c r="B15851" s="11">
        <f>IFERROR(__xludf.DUMMYFUNCTION("""COMPUTED_VALUE"""),23834.0)</f>
        <v>23834</v>
      </c>
      <c r="C15851" s="9">
        <f>IFERROR(__xludf.DUMMYFUNCTION("""COMPUTED_VALUE"""),4.2)</f>
        <v>4.2</v>
      </c>
      <c r="H15851" s="17"/>
      <c r="K15851" s="17"/>
      <c r="N15851" s="17"/>
    </row>
    <row r="15852">
      <c r="B15852" s="11">
        <f>IFERROR(__xludf.DUMMYFUNCTION("""COMPUTED_VALUE"""),23833.0)</f>
        <v>23833</v>
      </c>
      <c r="C15852" s="9">
        <f>IFERROR(__xludf.DUMMYFUNCTION("""COMPUTED_VALUE"""),4.2)</f>
        <v>4.2</v>
      </c>
      <c r="H15852" s="17"/>
      <c r="K15852" s="17"/>
      <c r="N15852" s="17"/>
    </row>
    <row r="15853">
      <c r="B15853" s="11">
        <f>IFERROR(__xludf.DUMMYFUNCTION("""COMPUTED_VALUE"""),23832.0)</f>
        <v>23832</v>
      </c>
      <c r="C15853" s="9">
        <f>IFERROR(__xludf.DUMMYFUNCTION("""COMPUTED_VALUE"""),4.2)</f>
        <v>4.2</v>
      </c>
      <c r="H15853" s="17"/>
      <c r="K15853" s="17"/>
      <c r="N15853" s="17"/>
    </row>
    <row r="15854">
      <c r="B15854" s="11">
        <f>IFERROR(__xludf.DUMMYFUNCTION("""COMPUTED_VALUE"""),23831.0)</f>
        <v>23831</v>
      </c>
      <c r="C15854" s="9">
        <f>IFERROR(__xludf.DUMMYFUNCTION("""COMPUTED_VALUE"""),4.2)</f>
        <v>4.2</v>
      </c>
      <c r="H15854" s="17"/>
      <c r="K15854" s="17"/>
      <c r="N15854" s="17"/>
    </row>
    <row r="15855">
      <c r="B15855" s="11">
        <f>IFERROR(__xludf.DUMMYFUNCTION("""COMPUTED_VALUE"""),23830.0)</f>
        <v>23830</v>
      </c>
      <c r="C15855" s="9">
        <f>IFERROR(__xludf.DUMMYFUNCTION("""COMPUTED_VALUE"""),4.2)</f>
        <v>4.2</v>
      </c>
      <c r="H15855" s="17"/>
      <c r="K15855" s="17"/>
      <c r="N15855" s="17"/>
    </row>
    <row r="15856">
      <c r="B15856" s="11">
        <f>IFERROR(__xludf.DUMMYFUNCTION("""COMPUTED_VALUE"""),23827.0)</f>
        <v>23827</v>
      </c>
      <c r="C15856" s="9">
        <f>IFERROR(__xludf.DUMMYFUNCTION("""COMPUTED_VALUE"""),4.2)</f>
        <v>4.2</v>
      </c>
      <c r="H15856" s="17"/>
      <c r="K15856" s="17"/>
      <c r="N15856" s="17"/>
    </row>
    <row r="15857">
      <c r="B15857" s="11">
        <f>IFERROR(__xludf.DUMMYFUNCTION("""COMPUTED_VALUE"""),23826.0)</f>
        <v>23826</v>
      </c>
      <c r="C15857" s="9">
        <f>IFERROR(__xludf.DUMMYFUNCTION("""COMPUTED_VALUE"""),4.19)</f>
        <v>4.19</v>
      </c>
      <c r="H15857" s="17"/>
      <c r="K15857" s="17"/>
      <c r="N15857" s="17"/>
    </row>
    <row r="15858">
      <c r="B15858" s="11">
        <f>IFERROR(__xludf.DUMMYFUNCTION("""COMPUTED_VALUE"""),23825.0)</f>
        <v>23825</v>
      </c>
      <c r="C15858" s="9">
        <f>IFERROR(__xludf.DUMMYFUNCTION("""COMPUTED_VALUE"""),4.18)</f>
        <v>4.18</v>
      </c>
      <c r="H15858" s="17"/>
      <c r="K15858" s="17"/>
      <c r="N15858" s="17"/>
    </row>
    <row r="15859">
      <c r="B15859" s="11">
        <f>IFERROR(__xludf.DUMMYFUNCTION("""COMPUTED_VALUE"""),23824.0)</f>
        <v>23824</v>
      </c>
      <c r="C15859" s="9">
        <f>IFERROR(__xludf.DUMMYFUNCTION("""COMPUTED_VALUE"""),4.19)</f>
        <v>4.19</v>
      </c>
      <c r="H15859" s="17"/>
      <c r="K15859" s="17"/>
      <c r="N15859" s="17"/>
    </row>
    <row r="15860">
      <c r="B15860" s="11">
        <f>IFERROR(__xludf.DUMMYFUNCTION("""COMPUTED_VALUE"""),23823.0)</f>
        <v>23823</v>
      </c>
      <c r="C15860" s="9">
        <f>IFERROR(__xludf.DUMMYFUNCTION("""COMPUTED_VALUE"""),4.19)</f>
        <v>4.19</v>
      </c>
      <c r="H15860" s="17"/>
      <c r="K15860" s="17"/>
      <c r="N15860" s="17"/>
    </row>
    <row r="15861">
      <c r="B15861" s="11">
        <f>IFERROR(__xludf.DUMMYFUNCTION("""COMPUTED_VALUE"""),23820.0)</f>
        <v>23820</v>
      </c>
      <c r="C15861" s="9">
        <f>IFERROR(__xludf.DUMMYFUNCTION("""COMPUTED_VALUE"""),4.2)</f>
        <v>4.2</v>
      </c>
      <c r="H15861" s="17"/>
      <c r="K15861" s="17"/>
      <c r="N15861" s="17"/>
    </row>
    <row r="15862">
      <c r="B15862" s="11">
        <f>IFERROR(__xludf.DUMMYFUNCTION("""COMPUTED_VALUE"""),23819.0)</f>
        <v>23819</v>
      </c>
      <c r="C15862" s="9">
        <f>IFERROR(__xludf.DUMMYFUNCTION("""COMPUTED_VALUE"""),4.2)</f>
        <v>4.2</v>
      </c>
      <c r="H15862" s="17"/>
      <c r="K15862" s="17"/>
      <c r="N15862" s="17"/>
    </row>
    <row r="15863">
      <c r="B15863" s="11">
        <f>IFERROR(__xludf.DUMMYFUNCTION("""COMPUTED_VALUE"""),23818.0)</f>
        <v>23818</v>
      </c>
      <c r="C15863" s="9">
        <f>IFERROR(__xludf.DUMMYFUNCTION("""COMPUTED_VALUE"""),4.2)</f>
        <v>4.2</v>
      </c>
      <c r="H15863" s="17"/>
      <c r="K15863" s="17"/>
      <c r="N15863" s="17"/>
    </row>
    <row r="15864">
      <c r="B15864" s="11">
        <f>IFERROR(__xludf.DUMMYFUNCTION("""COMPUTED_VALUE"""),23817.0)</f>
        <v>23817</v>
      </c>
      <c r="C15864" s="9">
        <f>IFERROR(__xludf.DUMMYFUNCTION("""COMPUTED_VALUE"""),4.21)</f>
        <v>4.21</v>
      </c>
      <c r="H15864" s="17"/>
      <c r="K15864" s="17"/>
      <c r="N15864" s="17"/>
    </row>
    <row r="15865">
      <c r="B15865" s="11">
        <f>IFERROR(__xludf.DUMMYFUNCTION("""COMPUTED_VALUE"""),23816.0)</f>
        <v>23816</v>
      </c>
      <c r="C15865" s="9">
        <f>IFERROR(__xludf.DUMMYFUNCTION("""COMPUTED_VALUE"""),4.21)</f>
        <v>4.21</v>
      </c>
      <c r="H15865" s="17"/>
      <c r="K15865" s="17"/>
      <c r="N15865" s="17"/>
    </row>
    <row r="15866">
      <c r="B15866" s="11">
        <f>IFERROR(__xludf.DUMMYFUNCTION("""COMPUTED_VALUE"""),23813.0)</f>
        <v>23813</v>
      </c>
      <c r="C15866" s="9">
        <f>IFERROR(__xludf.DUMMYFUNCTION("""COMPUTED_VALUE"""),4.22)</f>
        <v>4.22</v>
      </c>
      <c r="H15866" s="17"/>
      <c r="K15866" s="17"/>
      <c r="N15866" s="17"/>
    </row>
    <row r="15867">
      <c r="B15867" s="11">
        <f>IFERROR(__xludf.DUMMYFUNCTION("""COMPUTED_VALUE"""),23812.0)</f>
        <v>23812</v>
      </c>
      <c r="C15867" s="9">
        <f>IFERROR(__xludf.DUMMYFUNCTION("""COMPUTED_VALUE"""),4.22)</f>
        <v>4.22</v>
      </c>
      <c r="H15867" s="17"/>
      <c r="K15867" s="17"/>
      <c r="N15867" s="17"/>
    </row>
    <row r="15868">
      <c r="B15868" s="11">
        <f>IFERROR(__xludf.DUMMYFUNCTION("""COMPUTED_VALUE"""),23811.0)</f>
        <v>23811</v>
      </c>
      <c r="C15868" s="9">
        <f>IFERROR(__xludf.DUMMYFUNCTION("""COMPUTED_VALUE"""),4.23)</f>
        <v>4.23</v>
      </c>
      <c r="H15868" s="17"/>
      <c r="K15868" s="17"/>
      <c r="N15868" s="17"/>
    </row>
    <row r="15869">
      <c r="B15869" s="11">
        <f>IFERROR(__xludf.DUMMYFUNCTION("""COMPUTED_VALUE"""),23810.0)</f>
        <v>23810</v>
      </c>
      <c r="C15869" s="9">
        <f>IFERROR(__xludf.DUMMYFUNCTION("""COMPUTED_VALUE"""),4.23)</f>
        <v>4.23</v>
      </c>
      <c r="H15869" s="17"/>
      <c r="K15869" s="17"/>
      <c r="N15869" s="17"/>
    </row>
    <row r="15870">
      <c r="B15870" s="11">
        <f>IFERROR(__xludf.DUMMYFUNCTION("""COMPUTED_VALUE"""),23809.0)</f>
        <v>23809</v>
      </c>
      <c r="C15870" s="9">
        <f>IFERROR(__xludf.DUMMYFUNCTION("""COMPUTED_VALUE"""),4.23)</f>
        <v>4.23</v>
      </c>
      <c r="H15870" s="17"/>
      <c r="K15870" s="17"/>
      <c r="N15870" s="17"/>
    </row>
    <row r="15871">
      <c r="B15871" s="11">
        <f>IFERROR(__xludf.DUMMYFUNCTION("""COMPUTED_VALUE"""),23806.0)</f>
        <v>23806</v>
      </c>
      <c r="C15871" s="9">
        <f>IFERROR(__xludf.DUMMYFUNCTION("""COMPUTED_VALUE"""),4.23)</f>
        <v>4.23</v>
      </c>
      <c r="H15871" s="17"/>
      <c r="K15871" s="17"/>
      <c r="N15871" s="17"/>
    </row>
    <row r="15872">
      <c r="B15872" s="11">
        <f>IFERROR(__xludf.DUMMYFUNCTION("""COMPUTED_VALUE"""),23805.0)</f>
        <v>23805</v>
      </c>
      <c r="C15872" s="9">
        <f>IFERROR(__xludf.DUMMYFUNCTION("""COMPUTED_VALUE"""),4.22)</f>
        <v>4.22</v>
      </c>
      <c r="H15872" s="17"/>
      <c r="K15872" s="17"/>
      <c r="N15872" s="17"/>
    </row>
    <row r="15873">
      <c r="B15873" s="11">
        <f>IFERROR(__xludf.DUMMYFUNCTION("""COMPUTED_VALUE"""),23804.0)</f>
        <v>23804</v>
      </c>
      <c r="C15873" s="9">
        <f>IFERROR(__xludf.DUMMYFUNCTION("""COMPUTED_VALUE"""),4.23)</f>
        <v>4.23</v>
      </c>
      <c r="H15873" s="17"/>
      <c r="K15873" s="17"/>
      <c r="N15873" s="17"/>
    </row>
    <row r="15874">
      <c r="B15874" s="11">
        <f>IFERROR(__xludf.DUMMYFUNCTION("""COMPUTED_VALUE"""),23803.0)</f>
        <v>23803</v>
      </c>
      <c r="C15874" s="9">
        <f>IFERROR(__xludf.DUMMYFUNCTION("""COMPUTED_VALUE"""),4.24)</f>
        <v>4.24</v>
      </c>
      <c r="H15874" s="17"/>
      <c r="K15874" s="17"/>
      <c r="N15874" s="17"/>
    </row>
    <row r="15875">
      <c r="B15875" s="11">
        <f>IFERROR(__xludf.DUMMYFUNCTION("""COMPUTED_VALUE"""),23802.0)</f>
        <v>23802</v>
      </c>
      <c r="C15875" s="9">
        <f>IFERROR(__xludf.DUMMYFUNCTION("""COMPUTED_VALUE"""),4.22)</f>
        <v>4.22</v>
      </c>
      <c r="H15875" s="17"/>
      <c r="K15875" s="17"/>
      <c r="N15875" s="17"/>
    </row>
    <row r="15876">
      <c r="B15876" s="11">
        <f>IFERROR(__xludf.DUMMYFUNCTION("""COMPUTED_VALUE"""),23799.0)</f>
        <v>23799</v>
      </c>
      <c r="C15876" s="9">
        <f>IFERROR(__xludf.DUMMYFUNCTION("""COMPUTED_VALUE"""),4.22)</f>
        <v>4.22</v>
      </c>
      <c r="H15876" s="17"/>
      <c r="K15876" s="17"/>
      <c r="N15876" s="17"/>
    </row>
    <row r="15877">
      <c r="B15877" s="11">
        <f>IFERROR(__xludf.DUMMYFUNCTION("""COMPUTED_VALUE"""),23798.0)</f>
        <v>23798</v>
      </c>
      <c r="C15877" s="9">
        <f>IFERROR(__xludf.DUMMYFUNCTION("""COMPUTED_VALUE"""),4.21)</f>
        <v>4.21</v>
      </c>
      <c r="H15877" s="17"/>
      <c r="K15877" s="17"/>
      <c r="N15877" s="17"/>
    </row>
    <row r="15878">
      <c r="B15878" s="11">
        <f>IFERROR(__xludf.DUMMYFUNCTION("""COMPUTED_VALUE"""),23797.0)</f>
        <v>23797</v>
      </c>
      <c r="C15878" s="9">
        <f>IFERROR(__xludf.DUMMYFUNCTION("""COMPUTED_VALUE"""),4.22)</f>
        <v>4.22</v>
      </c>
      <c r="H15878" s="17"/>
      <c r="K15878" s="17"/>
      <c r="N15878" s="17"/>
    </row>
    <row r="15879">
      <c r="B15879" s="11">
        <f>IFERROR(__xludf.DUMMYFUNCTION("""COMPUTED_VALUE"""),23796.0)</f>
        <v>23796</v>
      </c>
      <c r="C15879" s="9">
        <f>IFERROR(__xludf.DUMMYFUNCTION("""COMPUTED_VALUE"""),4.21)</f>
        <v>4.21</v>
      </c>
      <c r="H15879" s="17"/>
      <c r="K15879" s="17"/>
      <c r="N15879" s="17"/>
    </row>
    <row r="15880">
      <c r="B15880" s="11">
        <f>IFERROR(__xludf.DUMMYFUNCTION("""COMPUTED_VALUE"""),23795.0)</f>
        <v>23795</v>
      </c>
      <c r="C15880" s="9"/>
      <c r="H15880" s="17"/>
      <c r="K15880" s="17"/>
      <c r="N15880" s="17"/>
    </row>
    <row r="15881">
      <c r="B15881" s="11">
        <f>IFERROR(__xludf.DUMMYFUNCTION("""COMPUTED_VALUE"""),23792.0)</f>
        <v>23792</v>
      </c>
      <c r="C15881" s="9">
        <f>IFERROR(__xludf.DUMMYFUNCTION("""COMPUTED_VALUE"""),4.22)</f>
        <v>4.22</v>
      </c>
      <c r="H15881" s="17"/>
      <c r="K15881" s="17"/>
      <c r="N15881" s="17"/>
    </row>
    <row r="15882">
      <c r="B15882" s="11">
        <f>IFERROR(__xludf.DUMMYFUNCTION("""COMPUTED_VALUE"""),23791.0)</f>
        <v>23791</v>
      </c>
      <c r="C15882" s="9">
        <f>IFERROR(__xludf.DUMMYFUNCTION("""COMPUTED_VALUE"""),4.21)</f>
        <v>4.21</v>
      </c>
      <c r="H15882" s="17"/>
      <c r="K15882" s="17"/>
      <c r="N15882" s="17"/>
    </row>
    <row r="15883">
      <c r="B15883" s="11">
        <f>IFERROR(__xludf.DUMMYFUNCTION("""COMPUTED_VALUE"""),23790.0)</f>
        <v>23790</v>
      </c>
      <c r="C15883" s="9">
        <f>IFERROR(__xludf.DUMMYFUNCTION("""COMPUTED_VALUE"""),4.21)</f>
        <v>4.21</v>
      </c>
      <c r="H15883" s="17"/>
      <c r="K15883" s="17"/>
      <c r="N15883" s="17"/>
    </row>
    <row r="15884">
      <c r="B15884" s="11">
        <f>IFERROR(__xludf.DUMMYFUNCTION("""COMPUTED_VALUE"""),23789.0)</f>
        <v>23789</v>
      </c>
      <c r="C15884" s="9">
        <f>IFERROR(__xludf.DUMMYFUNCTION("""COMPUTED_VALUE"""),4.21)</f>
        <v>4.21</v>
      </c>
      <c r="H15884" s="17"/>
      <c r="K15884" s="17"/>
      <c r="N15884" s="17"/>
    </row>
    <row r="15885">
      <c r="B15885" s="11">
        <f>IFERROR(__xludf.DUMMYFUNCTION("""COMPUTED_VALUE"""),23788.0)</f>
        <v>23788</v>
      </c>
      <c r="C15885" s="9">
        <f>IFERROR(__xludf.DUMMYFUNCTION("""COMPUTED_VALUE"""),4.22)</f>
        <v>4.22</v>
      </c>
      <c r="H15885" s="17"/>
      <c r="K15885" s="17"/>
      <c r="N15885" s="17"/>
    </row>
    <row r="15886">
      <c r="B15886" s="11">
        <f>IFERROR(__xludf.DUMMYFUNCTION("""COMPUTED_VALUE"""),23785.0)</f>
        <v>23785</v>
      </c>
      <c r="C15886" s="9"/>
      <c r="H15886" s="17"/>
      <c r="K15886" s="17"/>
      <c r="N15886" s="17"/>
    </row>
    <row r="15887">
      <c r="B15887" s="11">
        <f>IFERROR(__xludf.DUMMYFUNCTION("""COMPUTED_VALUE"""),23784.0)</f>
        <v>23784</v>
      </c>
      <c r="C15887" s="9">
        <f>IFERROR(__xludf.DUMMYFUNCTION("""COMPUTED_VALUE"""),4.21)</f>
        <v>4.21</v>
      </c>
      <c r="H15887" s="17"/>
      <c r="K15887" s="17"/>
      <c r="N15887" s="17"/>
    </row>
    <row r="15888">
      <c r="B15888" s="11">
        <f>IFERROR(__xludf.DUMMYFUNCTION("""COMPUTED_VALUE"""),23783.0)</f>
        <v>23783</v>
      </c>
      <c r="C15888" s="9">
        <f>IFERROR(__xludf.DUMMYFUNCTION("""COMPUTED_VALUE"""),4.21)</f>
        <v>4.21</v>
      </c>
      <c r="H15888" s="17"/>
      <c r="K15888" s="17"/>
      <c r="N15888" s="17"/>
    </row>
    <row r="15889">
      <c r="B15889" s="11">
        <f>IFERROR(__xludf.DUMMYFUNCTION("""COMPUTED_VALUE"""),23782.0)</f>
        <v>23782</v>
      </c>
      <c r="C15889" s="9">
        <f>IFERROR(__xludf.DUMMYFUNCTION("""COMPUTED_VALUE"""),4.21)</f>
        <v>4.21</v>
      </c>
      <c r="H15889" s="17"/>
      <c r="K15889" s="17"/>
      <c r="N15889" s="17"/>
    </row>
    <row r="15890">
      <c r="B15890" s="11">
        <f>IFERROR(__xludf.DUMMYFUNCTION("""COMPUTED_VALUE"""),23781.0)</f>
        <v>23781</v>
      </c>
      <c r="C15890" s="9">
        <f>IFERROR(__xludf.DUMMYFUNCTION("""COMPUTED_VALUE"""),4.21)</f>
        <v>4.21</v>
      </c>
      <c r="H15890" s="17"/>
      <c r="K15890" s="17"/>
      <c r="N15890" s="17"/>
    </row>
    <row r="15891">
      <c r="B15891" s="11">
        <f>IFERROR(__xludf.DUMMYFUNCTION("""COMPUTED_VALUE"""),23778.0)</f>
        <v>23778</v>
      </c>
      <c r="C15891" s="9">
        <f>IFERROR(__xludf.DUMMYFUNCTION("""COMPUTED_VALUE"""),4.22)</f>
        <v>4.22</v>
      </c>
      <c r="H15891" s="17"/>
      <c r="K15891" s="17"/>
      <c r="N15891" s="17"/>
    </row>
    <row r="15892">
      <c r="B15892" s="11">
        <f>IFERROR(__xludf.DUMMYFUNCTION("""COMPUTED_VALUE"""),23777.0)</f>
        <v>23777</v>
      </c>
      <c r="C15892" s="9">
        <f>IFERROR(__xludf.DUMMYFUNCTION("""COMPUTED_VALUE"""),4.21)</f>
        <v>4.21</v>
      </c>
      <c r="H15892" s="17"/>
      <c r="K15892" s="17"/>
      <c r="N15892" s="17"/>
    </row>
    <row r="15893">
      <c r="B15893" s="11">
        <f>IFERROR(__xludf.DUMMYFUNCTION("""COMPUTED_VALUE"""),23776.0)</f>
        <v>23776</v>
      </c>
      <c r="C15893" s="9">
        <f>IFERROR(__xludf.DUMMYFUNCTION("""COMPUTED_VALUE"""),4.2)</f>
        <v>4.2</v>
      </c>
      <c r="H15893" s="17"/>
      <c r="K15893" s="17"/>
      <c r="N15893" s="17"/>
    </row>
    <row r="15894">
      <c r="B15894" s="11">
        <f>IFERROR(__xludf.DUMMYFUNCTION("""COMPUTED_VALUE"""),23775.0)</f>
        <v>23775</v>
      </c>
      <c r="C15894" s="9">
        <f>IFERROR(__xludf.DUMMYFUNCTION("""COMPUTED_VALUE"""),4.2)</f>
        <v>4.2</v>
      </c>
      <c r="H15894" s="17"/>
      <c r="K15894" s="17"/>
      <c r="N15894" s="17"/>
    </row>
    <row r="15895">
      <c r="B15895" s="11">
        <f>IFERROR(__xludf.DUMMYFUNCTION("""COMPUTED_VALUE"""),23774.0)</f>
        <v>23774</v>
      </c>
      <c r="C15895" s="9">
        <f>IFERROR(__xludf.DUMMYFUNCTION("""COMPUTED_VALUE"""),4.2)</f>
        <v>4.2</v>
      </c>
      <c r="H15895" s="17"/>
      <c r="K15895" s="17"/>
      <c r="N15895" s="17"/>
    </row>
    <row r="15896">
      <c r="B15896" s="11">
        <f>IFERROR(__xludf.DUMMYFUNCTION("""COMPUTED_VALUE"""),23771.0)</f>
        <v>23771</v>
      </c>
      <c r="C15896" s="9">
        <f>IFERROR(__xludf.DUMMYFUNCTION("""COMPUTED_VALUE"""),4.19)</f>
        <v>4.19</v>
      </c>
      <c r="H15896" s="17"/>
      <c r="K15896" s="17"/>
      <c r="N15896" s="17"/>
    </row>
    <row r="15897">
      <c r="B15897" s="11">
        <f>IFERROR(__xludf.DUMMYFUNCTION("""COMPUTED_VALUE"""),23770.0)</f>
        <v>23770</v>
      </c>
      <c r="C15897" s="9">
        <f>IFERROR(__xludf.DUMMYFUNCTION("""COMPUTED_VALUE"""),4.19)</f>
        <v>4.19</v>
      </c>
      <c r="H15897" s="17"/>
      <c r="K15897" s="17"/>
      <c r="N15897" s="17"/>
    </row>
    <row r="15898">
      <c r="B15898" s="11">
        <f>IFERROR(__xludf.DUMMYFUNCTION("""COMPUTED_VALUE"""),23769.0)</f>
        <v>23769</v>
      </c>
      <c r="C15898" s="9">
        <f>IFERROR(__xludf.DUMMYFUNCTION("""COMPUTED_VALUE"""),4.19)</f>
        <v>4.19</v>
      </c>
      <c r="H15898" s="17"/>
      <c r="K15898" s="17"/>
      <c r="N15898" s="17"/>
    </row>
    <row r="15899">
      <c r="B15899" s="11">
        <f>IFERROR(__xludf.DUMMYFUNCTION("""COMPUTED_VALUE"""),23768.0)</f>
        <v>23768</v>
      </c>
      <c r="C15899" s="9">
        <f>IFERROR(__xludf.DUMMYFUNCTION("""COMPUTED_VALUE"""),4.19)</f>
        <v>4.19</v>
      </c>
      <c r="H15899" s="17"/>
      <c r="K15899" s="17"/>
      <c r="N15899" s="17"/>
    </row>
    <row r="15900">
      <c r="B15900" s="11">
        <f>IFERROR(__xludf.DUMMYFUNCTION("""COMPUTED_VALUE"""),23767.0)</f>
        <v>23767</v>
      </c>
      <c r="C15900" s="9">
        <f>IFERROR(__xludf.DUMMYFUNCTION("""COMPUTED_VALUE"""),4.18)</f>
        <v>4.18</v>
      </c>
      <c r="H15900" s="17"/>
      <c r="K15900" s="17"/>
      <c r="N15900" s="17"/>
    </row>
    <row r="15901">
      <c r="B15901" s="11">
        <f>IFERROR(__xludf.DUMMYFUNCTION("""COMPUTED_VALUE"""),23764.0)</f>
        <v>23764</v>
      </c>
      <c r="C15901" s="9">
        <f>IFERROR(__xludf.DUMMYFUNCTION("""COMPUTED_VALUE"""),4.17)</f>
        <v>4.17</v>
      </c>
      <c r="H15901" s="17"/>
      <c r="K15901" s="17"/>
      <c r="N15901" s="17"/>
    </row>
    <row r="15902">
      <c r="B15902" s="11">
        <f>IFERROR(__xludf.DUMMYFUNCTION("""COMPUTED_VALUE"""),23763.0)</f>
        <v>23763</v>
      </c>
      <c r="C15902" s="9">
        <f>IFERROR(__xludf.DUMMYFUNCTION("""COMPUTED_VALUE"""),4.17)</f>
        <v>4.17</v>
      </c>
      <c r="H15902" s="17"/>
      <c r="K15902" s="17"/>
      <c r="N15902" s="17"/>
    </row>
    <row r="15903">
      <c r="B15903" s="11">
        <f>IFERROR(__xludf.DUMMYFUNCTION("""COMPUTED_VALUE"""),23762.0)</f>
        <v>23762</v>
      </c>
      <c r="C15903" s="9">
        <f>IFERROR(__xludf.DUMMYFUNCTION("""COMPUTED_VALUE"""),4.18)</f>
        <v>4.18</v>
      </c>
      <c r="H15903" s="17"/>
      <c r="K15903" s="17"/>
      <c r="N15903" s="17"/>
    </row>
    <row r="15904">
      <c r="B15904" s="11">
        <f>IFERROR(__xludf.DUMMYFUNCTION("""COMPUTED_VALUE"""),23761.0)</f>
        <v>23761</v>
      </c>
      <c r="C15904" s="9">
        <f>IFERROR(__xludf.DUMMYFUNCTION("""COMPUTED_VALUE"""),4.18)</f>
        <v>4.18</v>
      </c>
      <c r="H15904" s="17"/>
      <c r="K15904" s="17"/>
      <c r="N15904" s="17"/>
    </row>
    <row r="15905">
      <c r="B15905" s="11">
        <f>IFERROR(__xludf.DUMMYFUNCTION("""COMPUTED_VALUE"""),23760.0)</f>
        <v>23760</v>
      </c>
      <c r="C15905" s="9">
        <f>IFERROR(__xludf.DUMMYFUNCTION("""COMPUTED_VALUE"""),4.19)</f>
        <v>4.19</v>
      </c>
      <c r="H15905" s="17"/>
      <c r="K15905" s="17"/>
      <c r="N15905" s="17"/>
    </row>
    <row r="15906">
      <c r="B15906" s="11">
        <f>IFERROR(__xludf.DUMMYFUNCTION("""COMPUTED_VALUE"""),23757.0)</f>
        <v>23757</v>
      </c>
      <c r="C15906" s="9">
        <f>IFERROR(__xludf.DUMMYFUNCTION("""COMPUTED_VALUE"""),4.19)</f>
        <v>4.19</v>
      </c>
      <c r="H15906" s="17"/>
      <c r="K15906" s="17"/>
      <c r="N15906" s="17"/>
    </row>
    <row r="15907">
      <c r="B15907" s="11">
        <f>IFERROR(__xludf.DUMMYFUNCTION("""COMPUTED_VALUE"""),23756.0)</f>
        <v>23756</v>
      </c>
      <c r="C15907" s="9">
        <f>IFERROR(__xludf.DUMMYFUNCTION("""COMPUTED_VALUE"""),4.19)</f>
        <v>4.19</v>
      </c>
      <c r="H15907" s="17"/>
      <c r="K15907" s="17"/>
      <c r="N15907" s="17"/>
    </row>
    <row r="15908">
      <c r="B15908" s="11">
        <f>IFERROR(__xludf.DUMMYFUNCTION("""COMPUTED_VALUE"""),23755.0)</f>
        <v>23755</v>
      </c>
      <c r="C15908" s="9">
        <f>IFERROR(__xludf.DUMMYFUNCTION("""COMPUTED_VALUE"""),4.19)</f>
        <v>4.19</v>
      </c>
      <c r="H15908" s="17"/>
      <c r="K15908" s="17"/>
      <c r="N15908" s="17"/>
    </row>
    <row r="15909">
      <c r="B15909" s="11">
        <f>IFERROR(__xludf.DUMMYFUNCTION("""COMPUTED_VALUE"""),23754.0)</f>
        <v>23754</v>
      </c>
      <c r="C15909" s="9">
        <f>IFERROR(__xludf.DUMMYFUNCTION("""COMPUTED_VALUE"""),4.19)</f>
        <v>4.19</v>
      </c>
      <c r="H15909" s="17"/>
      <c r="K15909" s="17"/>
      <c r="N15909" s="17"/>
    </row>
    <row r="15910">
      <c r="B15910" s="11">
        <f>IFERROR(__xludf.DUMMYFUNCTION("""COMPUTED_VALUE"""),23753.0)</f>
        <v>23753</v>
      </c>
      <c r="C15910" s="9">
        <f>IFERROR(__xludf.DUMMYFUNCTION("""COMPUTED_VALUE"""),4.2)</f>
        <v>4.2</v>
      </c>
      <c r="H15910" s="17"/>
      <c r="K15910" s="17"/>
      <c r="N15910" s="17"/>
    </row>
    <row r="15911">
      <c r="B15911" s="11">
        <f>IFERROR(__xludf.DUMMYFUNCTION("""COMPUTED_VALUE"""),23750.0)</f>
        <v>23750</v>
      </c>
      <c r="C15911" s="9">
        <f>IFERROR(__xludf.DUMMYFUNCTION("""COMPUTED_VALUE"""),4.2)</f>
        <v>4.2</v>
      </c>
      <c r="H15911" s="17"/>
      <c r="K15911" s="17"/>
      <c r="N15911" s="17"/>
    </row>
    <row r="15912">
      <c r="B15912" s="11">
        <f>IFERROR(__xludf.DUMMYFUNCTION("""COMPUTED_VALUE"""),23749.0)</f>
        <v>23749</v>
      </c>
      <c r="C15912" s="9">
        <f>IFERROR(__xludf.DUMMYFUNCTION("""COMPUTED_VALUE"""),4.2)</f>
        <v>4.2</v>
      </c>
      <c r="H15912" s="17"/>
      <c r="K15912" s="17"/>
      <c r="N15912" s="17"/>
    </row>
    <row r="15913">
      <c r="B15913" s="11">
        <f>IFERROR(__xludf.DUMMYFUNCTION("""COMPUTED_VALUE"""),23748.0)</f>
        <v>23748</v>
      </c>
      <c r="C15913" s="9">
        <f>IFERROR(__xludf.DUMMYFUNCTION("""COMPUTED_VALUE"""),4.2)</f>
        <v>4.2</v>
      </c>
      <c r="H15913" s="17"/>
      <c r="K15913" s="17"/>
      <c r="N15913" s="17"/>
    </row>
    <row r="15914">
      <c r="B15914" s="11">
        <f>IFERROR(__xludf.DUMMYFUNCTION("""COMPUTED_VALUE"""),23747.0)</f>
        <v>23747</v>
      </c>
      <c r="C15914" s="9">
        <f>IFERROR(__xludf.DUMMYFUNCTION("""COMPUTED_VALUE"""),4.2)</f>
        <v>4.2</v>
      </c>
      <c r="H15914" s="17"/>
      <c r="K15914" s="17"/>
      <c r="N15914" s="17"/>
    </row>
    <row r="15915">
      <c r="B15915" s="11">
        <f>IFERROR(__xludf.DUMMYFUNCTION("""COMPUTED_VALUE"""),23746.0)</f>
        <v>23746</v>
      </c>
      <c r="C15915" s="9">
        <f>IFERROR(__xludf.DUMMYFUNCTION("""COMPUTED_VALUE"""),4.2)</f>
        <v>4.2</v>
      </c>
      <c r="H15915" s="17"/>
      <c r="K15915" s="17"/>
      <c r="N15915" s="17"/>
    </row>
    <row r="15916">
      <c r="B15916" s="11">
        <f>IFERROR(__xludf.DUMMYFUNCTION("""COMPUTED_VALUE"""),23743.0)</f>
        <v>23743</v>
      </c>
      <c r="C15916" s="9"/>
      <c r="H15916" s="17"/>
      <c r="K15916" s="17"/>
      <c r="N15916" s="17"/>
    </row>
    <row r="15917">
      <c r="B15917" s="11">
        <f>IFERROR(__xludf.DUMMYFUNCTION("""COMPUTED_VALUE"""),23742.0)</f>
        <v>23742</v>
      </c>
      <c r="C15917" s="9">
        <f>IFERROR(__xludf.DUMMYFUNCTION("""COMPUTED_VALUE"""),4.21)</f>
        <v>4.21</v>
      </c>
      <c r="H15917" s="17"/>
      <c r="K15917" s="17"/>
      <c r="N15917" s="17"/>
    </row>
    <row r="15918">
      <c r="B15918" s="11">
        <f>IFERROR(__xludf.DUMMYFUNCTION("""COMPUTED_VALUE"""),23741.0)</f>
        <v>23741</v>
      </c>
      <c r="C15918" s="9">
        <f>IFERROR(__xludf.DUMMYFUNCTION("""COMPUTED_VALUE"""),4.2)</f>
        <v>4.2</v>
      </c>
      <c r="H15918" s="17"/>
      <c r="K15918" s="17"/>
      <c r="N15918" s="17"/>
    </row>
    <row r="15919">
      <c r="B15919" s="11">
        <f>IFERROR(__xludf.DUMMYFUNCTION("""COMPUTED_VALUE"""),23740.0)</f>
        <v>23740</v>
      </c>
      <c r="C15919" s="9">
        <f>IFERROR(__xludf.DUMMYFUNCTION("""COMPUTED_VALUE"""),4.19)</f>
        <v>4.19</v>
      </c>
      <c r="H15919" s="17"/>
      <c r="K15919" s="17"/>
      <c r="N15919" s="17"/>
    </row>
    <row r="15920">
      <c r="B15920" s="11">
        <f>IFERROR(__xludf.DUMMYFUNCTION("""COMPUTED_VALUE"""),23739.0)</f>
        <v>23739</v>
      </c>
      <c r="C15920" s="9">
        <f>IFERROR(__xludf.DUMMYFUNCTION("""COMPUTED_VALUE"""),4.19)</f>
        <v>4.19</v>
      </c>
      <c r="H15920" s="17"/>
      <c r="K15920" s="17"/>
      <c r="N15920" s="17"/>
    </row>
    <row r="15921">
      <c r="B15921" s="11">
        <f>IFERROR(__xludf.DUMMYFUNCTION("""COMPUTED_VALUE"""),23736.0)</f>
        <v>23736</v>
      </c>
      <c r="C15921" s="9"/>
      <c r="H15921" s="17"/>
      <c r="K15921" s="17"/>
      <c r="N15921" s="17"/>
    </row>
    <row r="15922">
      <c r="B15922" s="11">
        <f>IFERROR(__xludf.DUMMYFUNCTION("""COMPUTED_VALUE"""),23735.0)</f>
        <v>23735</v>
      </c>
      <c r="C15922" s="9">
        <f>IFERROR(__xludf.DUMMYFUNCTION("""COMPUTED_VALUE"""),4.19)</f>
        <v>4.19</v>
      </c>
      <c r="H15922" s="17"/>
      <c r="K15922" s="17"/>
      <c r="N15922" s="17"/>
    </row>
    <row r="15923">
      <c r="B15923" s="11">
        <f>IFERROR(__xludf.DUMMYFUNCTION("""COMPUTED_VALUE"""),23734.0)</f>
        <v>23734</v>
      </c>
      <c r="C15923" s="9">
        <f>IFERROR(__xludf.DUMMYFUNCTION("""COMPUTED_VALUE"""),4.19)</f>
        <v>4.19</v>
      </c>
      <c r="H15923" s="17"/>
      <c r="K15923" s="17"/>
      <c r="N15923" s="17"/>
    </row>
    <row r="15924">
      <c r="B15924" s="11">
        <f>IFERROR(__xludf.DUMMYFUNCTION("""COMPUTED_VALUE"""),23733.0)</f>
        <v>23733</v>
      </c>
      <c r="C15924" s="9">
        <f>IFERROR(__xludf.DUMMYFUNCTION("""COMPUTED_VALUE"""),4.18)</f>
        <v>4.18</v>
      </c>
      <c r="H15924" s="17"/>
      <c r="K15924" s="17"/>
      <c r="N15924" s="17"/>
    </row>
    <row r="15925">
      <c r="B15925" s="11">
        <f>IFERROR(__xludf.DUMMYFUNCTION("""COMPUTED_VALUE"""),23732.0)</f>
        <v>23732</v>
      </c>
      <c r="C15925" s="9">
        <f>IFERROR(__xludf.DUMMYFUNCTION("""COMPUTED_VALUE"""),4.18)</f>
        <v>4.18</v>
      </c>
      <c r="H15925" s="17"/>
      <c r="K15925" s="17"/>
      <c r="N15925" s="17"/>
    </row>
    <row r="15926">
      <c r="B15926" s="11">
        <f>IFERROR(__xludf.DUMMYFUNCTION("""COMPUTED_VALUE"""),23729.0)</f>
        <v>23729</v>
      </c>
      <c r="C15926" s="9">
        <f>IFERROR(__xludf.DUMMYFUNCTION("""COMPUTED_VALUE"""),4.19)</f>
        <v>4.19</v>
      </c>
      <c r="H15926" s="17"/>
      <c r="K15926" s="17"/>
      <c r="N15926" s="17"/>
    </row>
    <row r="15927">
      <c r="B15927" s="11">
        <f>IFERROR(__xludf.DUMMYFUNCTION("""COMPUTED_VALUE"""),23728.0)</f>
        <v>23728</v>
      </c>
      <c r="C15927" s="9">
        <f>IFERROR(__xludf.DUMMYFUNCTION("""COMPUTED_VALUE"""),4.18)</f>
        <v>4.18</v>
      </c>
      <c r="H15927" s="17"/>
      <c r="K15927" s="17"/>
      <c r="N15927" s="17"/>
    </row>
    <row r="15928">
      <c r="B15928" s="11">
        <f>IFERROR(__xludf.DUMMYFUNCTION("""COMPUTED_VALUE"""),23727.0)</f>
        <v>23727</v>
      </c>
      <c r="C15928" s="9">
        <f>IFERROR(__xludf.DUMMYFUNCTION("""COMPUTED_VALUE"""),4.18)</f>
        <v>4.18</v>
      </c>
      <c r="H15928" s="17"/>
      <c r="K15928" s="17"/>
      <c r="N15928" s="17"/>
    </row>
    <row r="15929">
      <c r="B15929" s="11">
        <f>IFERROR(__xludf.DUMMYFUNCTION("""COMPUTED_VALUE"""),23726.0)</f>
        <v>23726</v>
      </c>
      <c r="C15929" s="9">
        <f>IFERROR(__xludf.DUMMYFUNCTION("""COMPUTED_VALUE"""),4.17)</f>
        <v>4.17</v>
      </c>
      <c r="H15929" s="17"/>
      <c r="K15929" s="17"/>
      <c r="N15929" s="17"/>
    </row>
    <row r="15930">
      <c r="B15930" s="11">
        <f>IFERROR(__xludf.DUMMYFUNCTION("""COMPUTED_VALUE"""),23725.0)</f>
        <v>23725</v>
      </c>
      <c r="C15930" s="9">
        <f>IFERROR(__xludf.DUMMYFUNCTION("""COMPUTED_VALUE"""),4.16)</f>
        <v>4.16</v>
      </c>
      <c r="H15930" s="17"/>
      <c r="K15930" s="17"/>
      <c r="N15930" s="17"/>
    </row>
    <row r="15931">
      <c r="B15931" s="11">
        <f>IFERROR(__xludf.DUMMYFUNCTION("""COMPUTED_VALUE"""),23722.0)</f>
        <v>23722</v>
      </c>
      <c r="C15931" s="9">
        <f>IFERROR(__xludf.DUMMYFUNCTION("""COMPUTED_VALUE"""),4.15)</f>
        <v>4.15</v>
      </c>
      <c r="H15931" s="17"/>
      <c r="K15931" s="17"/>
      <c r="N15931" s="17"/>
    </row>
    <row r="15932">
      <c r="B15932" s="11">
        <f>IFERROR(__xludf.DUMMYFUNCTION("""COMPUTED_VALUE"""),23721.0)</f>
        <v>23721</v>
      </c>
      <c r="C15932" s="9">
        <f>IFERROR(__xludf.DUMMYFUNCTION("""COMPUTED_VALUE"""),4.15)</f>
        <v>4.15</v>
      </c>
      <c r="H15932" s="17"/>
      <c r="K15932" s="17"/>
      <c r="N15932" s="17"/>
    </row>
    <row r="15933">
      <c r="B15933" s="11">
        <f>IFERROR(__xludf.DUMMYFUNCTION("""COMPUTED_VALUE"""),23720.0)</f>
        <v>23720</v>
      </c>
      <c r="C15933" s="9">
        <f>IFERROR(__xludf.DUMMYFUNCTION("""COMPUTED_VALUE"""),4.16)</f>
        <v>4.16</v>
      </c>
      <c r="H15933" s="17"/>
      <c r="K15933" s="17"/>
      <c r="N15933" s="17"/>
    </row>
    <row r="15934">
      <c r="B15934" s="11">
        <f>IFERROR(__xludf.DUMMYFUNCTION("""COMPUTED_VALUE"""),23719.0)</f>
        <v>23719</v>
      </c>
      <c r="C15934" s="9">
        <f>IFERROR(__xludf.DUMMYFUNCTION("""COMPUTED_VALUE"""),4.16)</f>
        <v>4.16</v>
      </c>
      <c r="H15934" s="17"/>
      <c r="K15934" s="17"/>
      <c r="N15934" s="17"/>
    </row>
    <row r="15935">
      <c r="B15935" s="11">
        <f>IFERROR(__xludf.DUMMYFUNCTION("""COMPUTED_VALUE"""),23718.0)</f>
        <v>23718</v>
      </c>
      <c r="C15935" s="9">
        <f>IFERROR(__xludf.DUMMYFUNCTION("""COMPUTED_VALUE"""),4.17)</f>
        <v>4.17</v>
      </c>
      <c r="H15935" s="17"/>
      <c r="K15935" s="17"/>
      <c r="N15935" s="17"/>
    </row>
    <row r="15936">
      <c r="B15936" s="11">
        <f>IFERROR(__xludf.DUMMYFUNCTION("""COMPUTED_VALUE"""),23715.0)</f>
        <v>23715</v>
      </c>
      <c r="C15936" s="9">
        <f>IFERROR(__xludf.DUMMYFUNCTION("""COMPUTED_VALUE"""),4.18)</f>
        <v>4.18</v>
      </c>
      <c r="H15936" s="17"/>
      <c r="K15936" s="17"/>
      <c r="N15936" s="17"/>
    </row>
    <row r="15937">
      <c r="B15937" s="11">
        <f>IFERROR(__xludf.DUMMYFUNCTION("""COMPUTED_VALUE"""),23714.0)</f>
        <v>23714</v>
      </c>
      <c r="C15937" s="9">
        <f>IFERROR(__xludf.DUMMYFUNCTION("""COMPUTED_VALUE"""),4.18)</f>
        <v>4.18</v>
      </c>
      <c r="H15937" s="17"/>
      <c r="K15937" s="17"/>
      <c r="N15937" s="17"/>
    </row>
    <row r="15938">
      <c r="B15938" s="11">
        <f>IFERROR(__xludf.DUMMYFUNCTION("""COMPUTED_VALUE"""),23713.0)</f>
        <v>23713</v>
      </c>
      <c r="C15938" s="9">
        <f>IFERROR(__xludf.DUMMYFUNCTION("""COMPUTED_VALUE"""),4.19)</f>
        <v>4.19</v>
      </c>
      <c r="H15938" s="17"/>
      <c r="K15938" s="17"/>
      <c r="N15938" s="17"/>
    </row>
    <row r="15939">
      <c r="B15939" s="11">
        <f>IFERROR(__xludf.DUMMYFUNCTION("""COMPUTED_VALUE"""),23712.0)</f>
        <v>23712</v>
      </c>
      <c r="C15939" s="9">
        <f>IFERROR(__xludf.DUMMYFUNCTION("""COMPUTED_VALUE"""),4.2)</f>
        <v>4.2</v>
      </c>
      <c r="H15939" s="17"/>
      <c r="K15939" s="17"/>
      <c r="N15939" s="17"/>
    </row>
    <row r="15940">
      <c r="B15940" s="11">
        <f>IFERROR(__xludf.DUMMYFUNCTION("""COMPUTED_VALUE"""),23711.0)</f>
        <v>23711</v>
      </c>
      <c r="C15940" s="9">
        <f>IFERROR(__xludf.DUMMYFUNCTION("""COMPUTED_VALUE"""),4.2)</f>
        <v>4.2</v>
      </c>
      <c r="H15940" s="17"/>
      <c r="K15940" s="17"/>
      <c r="N15940" s="17"/>
    </row>
    <row r="15941">
      <c r="B15941" s="11">
        <f>IFERROR(__xludf.DUMMYFUNCTION("""COMPUTED_VALUE"""),23708.0)</f>
        <v>23708</v>
      </c>
      <c r="C15941" s="9">
        <f>IFERROR(__xludf.DUMMYFUNCTION("""COMPUTED_VALUE"""),4.19)</f>
        <v>4.19</v>
      </c>
      <c r="H15941" s="17"/>
      <c r="K15941" s="17"/>
      <c r="N15941" s="17"/>
    </row>
    <row r="15942">
      <c r="B15942" s="11">
        <f>IFERROR(__xludf.DUMMYFUNCTION("""COMPUTED_VALUE"""),23707.0)</f>
        <v>23707</v>
      </c>
      <c r="C15942" s="9"/>
      <c r="H15942" s="17"/>
      <c r="K15942" s="17"/>
      <c r="N15942" s="17"/>
    </row>
    <row r="15943">
      <c r="B15943" s="11">
        <f>IFERROR(__xludf.DUMMYFUNCTION("""COMPUTED_VALUE"""),23706.0)</f>
        <v>23706</v>
      </c>
      <c r="C15943" s="9">
        <f>IFERROR(__xludf.DUMMYFUNCTION("""COMPUTED_VALUE"""),4.19)</f>
        <v>4.19</v>
      </c>
      <c r="H15943" s="17"/>
      <c r="K15943" s="17"/>
      <c r="N15943" s="17"/>
    </row>
    <row r="15944">
      <c r="B15944" s="11">
        <f>IFERROR(__xludf.DUMMYFUNCTION("""COMPUTED_VALUE"""),23705.0)</f>
        <v>23705</v>
      </c>
      <c r="C15944" s="9">
        <f>IFERROR(__xludf.DUMMYFUNCTION("""COMPUTED_VALUE"""),4.18)</f>
        <v>4.18</v>
      </c>
      <c r="H15944" s="17"/>
      <c r="K15944" s="17"/>
      <c r="N15944" s="17"/>
    </row>
    <row r="15945">
      <c r="B15945" s="11">
        <f>IFERROR(__xludf.DUMMYFUNCTION("""COMPUTED_VALUE"""),23704.0)</f>
        <v>23704</v>
      </c>
      <c r="C15945" s="9">
        <f>IFERROR(__xludf.DUMMYFUNCTION("""COMPUTED_VALUE"""),4.18)</f>
        <v>4.18</v>
      </c>
      <c r="H15945" s="17"/>
      <c r="K15945" s="17"/>
      <c r="N15945" s="17"/>
    </row>
    <row r="15946">
      <c r="B15946" s="11">
        <f>IFERROR(__xludf.DUMMYFUNCTION("""COMPUTED_VALUE"""),23701.0)</f>
        <v>23701</v>
      </c>
      <c r="C15946" s="9">
        <f>IFERROR(__xludf.DUMMYFUNCTION("""COMPUTED_VALUE"""),4.13)</f>
        <v>4.13</v>
      </c>
      <c r="H15946" s="17"/>
      <c r="K15946" s="17"/>
      <c r="N15946" s="17"/>
    </row>
    <row r="15947">
      <c r="B15947" s="11">
        <f>IFERROR(__xludf.DUMMYFUNCTION("""COMPUTED_VALUE"""),23700.0)</f>
        <v>23700</v>
      </c>
      <c r="C15947" s="9">
        <f>IFERROR(__xludf.DUMMYFUNCTION("""COMPUTED_VALUE"""),4.13)</f>
        <v>4.13</v>
      </c>
      <c r="H15947" s="17"/>
      <c r="K15947" s="17"/>
      <c r="N15947" s="17"/>
    </row>
    <row r="15948">
      <c r="B15948" s="11">
        <f>IFERROR(__xludf.DUMMYFUNCTION("""COMPUTED_VALUE"""),23699.0)</f>
        <v>23699</v>
      </c>
      <c r="C15948" s="9">
        <f>IFERROR(__xludf.DUMMYFUNCTION("""COMPUTED_VALUE"""),4.14)</f>
        <v>4.14</v>
      </c>
      <c r="H15948" s="17"/>
      <c r="K15948" s="17"/>
      <c r="N15948" s="17"/>
    </row>
    <row r="15949">
      <c r="B15949" s="11">
        <f>IFERROR(__xludf.DUMMYFUNCTION("""COMPUTED_VALUE"""),23698.0)</f>
        <v>23698</v>
      </c>
      <c r="C15949" s="9">
        <f>IFERROR(__xludf.DUMMYFUNCTION("""COMPUTED_VALUE"""),4.14)</f>
        <v>4.14</v>
      </c>
      <c r="H15949" s="17"/>
      <c r="K15949" s="17"/>
      <c r="N15949" s="17"/>
    </row>
    <row r="15950">
      <c r="B15950" s="11">
        <f>IFERROR(__xludf.DUMMYFUNCTION("""COMPUTED_VALUE"""),23697.0)</f>
        <v>23697</v>
      </c>
      <c r="C15950" s="9">
        <f>IFERROR(__xludf.DUMMYFUNCTION("""COMPUTED_VALUE"""),4.13)</f>
        <v>4.13</v>
      </c>
      <c r="H15950" s="17"/>
      <c r="K15950" s="17"/>
      <c r="N15950" s="17"/>
    </row>
    <row r="15951">
      <c r="B15951" s="11">
        <f>IFERROR(__xludf.DUMMYFUNCTION("""COMPUTED_VALUE"""),23694.0)</f>
        <v>23694</v>
      </c>
      <c r="C15951" s="9">
        <f>IFERROR(__xludf.DUMMYFUNCTION("""COMPUTED_VALUE"""),4.13)</f>
        <v>4.13</v>
      </c>
      <c r="H15951" s="17"/>
      <c r="K15951" s="17"/>
      <c r="N15951" s="17"/>
    </row>
    <row r="15952">
      <c r="B15952" s="11">
        <f>IFERROR(__xludf.DUMMYFUNCTION("""COMPUTED_VALUE"""),23693.0)</f>
        <v>23693</v>
      </c>
      <c r="C15952" s="9">
        <f>IFERROR(__xludf.DUMMYFUNCTION("""COMPUTED_VALUE"""),4.12)</f>
        <v>4.12</v>
      </c>
      <c r="H15952" s="17"/>
      <c r="K15952" s="17"/>
      <c r="N15952" s="17"/>
    </row>
    <row r="15953">
      <c r="B15953" s="11">
        <f>IFERROR(__xludf.DUMMYFUNCTION("""COMPUTED_VALUE"""),23692.0)</f>
        <v>23692</v>
      </c>
      <c r="C15953" s="9"/>
      <c r="H15953" s="17"/>
      <c r="K15953" s="17"/>
      <c r="N15953" s="17"/>
    </row>
    <row r="15954">
      <c r="B15954" s="11">
        <f>IFERROR(__xludf.DUMMYFUNCTION("""COMPUTED_VALUE"""),23691.0)</f>
        <v>23691</v>
      </c>
      <c r="C15954" s="9">
        <f>IFERROR(__xludf.DUMMYFUNCTION("""COMPUTED_VALUE"""),4.14)</f>
        <v>4.14</v>
      </c>
      <c r="H15954" s="17"/>
      <c r="K15954" s="17"/>
      <c r="N15954" s="17"/>
    </row>
    <row r="15955">
      <c r="B15955" s="11">
        <f>IFERROR(__xludf.DUMMYFUNCTION("""COMPUTED_VALUE"""),23690.0)</f>
        <v>23690</v>
      </c>
      <c r="C15955" s="9">
        <f>IFERROR(__xludf.DUMMYFUNCTION("""COMPUTED_VALUE"""),4.15)</f>
        <v>4.15</v>
      </c>
      <c r="H15955" s="17"/>
      <c r="K15955" s="17"/>
      <c r="N15955" s="17"/>
    </row>
    <row r="15956">
      <c r="B15956" s="11">
        <f>IFERROR(__xludf.DUMMYFUNCTION("""COMPUTED_VALUE"""),23687.0)</f>
        <v>23687</v>
      </c>
      <c r="C15956" s="9">
        <f>IFERROR(__xludf.DUMMYFUNCTION("""COMPUTED_VALUE"""),4.15)</f>
        <v>4.15</v>
      </c>
      <c r="H15956" s="17"/>
      <c r="K15956" s="17"/>
      <c r="N15956" s="17"/>
    </row>
    <row r="15957">
      <c r="B15957" s="11">
        <f>IFERROR(__xludf.DUMMYFUNCTION("""COMPUTED_VALUE"""),23686.0)</f>
        <v>23686</v>
      </c>
      <c r="C15957" s="9">
        <f>IFERROR(__xludf.DUMMYFUNCTION("""COMPUTED_VALUE"""),4.15)</f>
        <v>4.15</v>
      </c>
      <c r="H15957" s="17"/>
      <c r="K15957" s="17"/>
      <c r="N15957" s="17"/>
    </row>
    <row r="15958">
      <c r="B15958" s="11">
        <f>IFERROR(__xludf.DUMMYFUNCTION("""COMPUTED_VALUE"""),23685.0)</f>
        <v>23685</v>
      </c>
      <c r="C15958" s="9">
        <f>IFERROR(__xludf.DUMMYFUNCTION("""COMPUTED_VALUE"""),4.15)</f>
        <v>4.15</v>
      </c>
      <c r="H15958" s="17"/>
      <c r="K15958" s="17"/>
      <c r="N15958" s="17"/>
    </row>
    <row r="15959">
      <c r="B15959" s="11">
        <f>IFERROR(__xludf.DUMMYFUNCTION("""COMPUTED_VALUE"""),23684.0)</f>
        <v>23684</v>
      </c>
      <c r="C15959" s="9"/>
      <c r="H15959" s="17"/>
      <c r="K15959" s="17"/>
      <c r="N15959" s="17"/>
    </row>
    <row r="15960">
      <c r="B15960" s="11">
        <f>IFERROR(__xludf.DUMMYFUNCTION("""COMPUTED_VALUE"""),23683.0)</f>
        <v>23683</v>
      </c>
      <c r="C15960" s="9">
        <f>IFERROR(__xludf.DUMMYFUNCTION("""COMPUTED_VALUE"""),4.15)</f>
        <v>4.15</v>
      </c>
      <c r="H15960" s="17"/>
      <c r="K15960" s="17"/>
      <c r="N15960" s="17"/>
    </row>
    <row r="15961">
      <c r="B15961" s="11">
        <f>IFERROR(__xludf.DUMMYFUNCTION("""COMPUTED_VALUE"""),23680.0)</f>
        <v>23680</v>
      </c>
      <c r="C15961" s="9">
        <f>IFERROR(__xludf.DUMMYFUNCTION("""COMPUTED_VALUE"""),4.16)</f>
        <v>4.16</v>
      </c>
      <c r="H15961" s="17"/>
      <c r="K15961" s="17"/>
      <c r="N15961" s="17"/>
    </row>
    <row r="15962">
      <c r="B15962" s="11">
        <f>IFERROR(__xludf.DUMMYFUNCTION("""COMPUTED_VALUE"""),23679.0)</f>
        <v>23679</v>
      </c>
      <c r="C15962" s="9">
        <f>IFERROR(__xludf.DUMMYFUNCTION("""COMPUTED_VALUE"""),4.16)</f>
        <v>4.16</v>
      </c>
      <c r="H15962" s="17"/>
      <c r="K15962" s="17"/>
      <c r="N15962" s="17"/>
    </row>
    <row r="15963">
      <c r="B15963" s="11">
        <f>IFERROR(__xludf.DUMMYFUNCTION("""COMPUTED_VALUE"""),23678.0)</f>
        <v>23678</v>
      </c>
      <c r="C15963" s="9">
        <f>IFERROR(__xludf.DUMMYFUNCTION("""COMPUTED_VALUE"""),4.17)</f>
        <v>4.17</v>
      </c>
      <c r="H15963" s="17"/>
      <c r="K15963" s="17"/>
      <c r="N15963" s="17"/>
    </row>
    <row r="15964">
      <c r="B15964" s="11">
        <f>IFERROR(__xludf.DUMMYFUNCTION("""COMPUTED_VALUE"""),23677.0)</f>
        <v>23677</v>
      </c>
      <c r="C15964" s="9">
        <f>IFERROR(__xludf.DUMMYFUNCTION("""COMPUTED_VALUE"""),4.18)</f>
        <v>4.18</v>
      </c>
      <c r="H15964" s="17"/>
      <c r="K15964" s="17"/>
      <c r="N15964" s="17"/>
    </row>
    <row r="15965">
      <c r="B15965" s="11">
        <f>IFERROR(__xludf.DUMMYFUNCTION("""COMPUTED_VALUE"""),23676.0)</f>
        <v>23676</v>
      </c>
      <c r="C15965" s="9">
        <f>IFERROR(__xludf.DUMMYFUNCTION("""COMPUTED_VALUE"""),4.19)</f>
        <v>4.19</v>
      </c>
      <c r="H15965" s="17"/>
      <c r="K15965" s="17"/>
      <c r="N15965" s="17"/>
    </row>
    <row r="15966">
      <c r="B15966" s="11">
        <f>IFERROR(__xludf.DUMMYFUNCTION("""COMPUTED_VALUE"""),23673.0)</f>
        <v>23673</v>
      </c>
      <c r="C15966" s="9">
        <f>IFERROR(__xludf.DUMMYFUNCTION("""COMPUTED_VALUE"""),4.19)</f>
        <v>4.19</v>
      </c>
      <c r="H15966" s="17"/>
      <c r="K15966" s="17"/>
      <c r="N15966" s="17"/>
    </row>
    <row r="15967">
      <c r="B15967" s="11">
        <f>IFERROR(__xludf.DUMMYFUNCTION("""COMPUTED_VALUE"""),23672.0)</f>
        <v>23672</v>
      </c>
      <c r="C15967" s="9">
        <f>IFERROR(__xludf.DUMMYFUNCTION("""COMPUTED_VALUE"""),4.19)</f>
        <v>4.19</v>
      </c>
      <c r="H15967" s="17"/>
      <c r="K15967" s="17"/>
      <c r="N15967" s="17"/>
    </row>
    <row r="15968">
      <c r="B15968" s="11">
        <f>IFERROR(__xludf.DUMMYFUNCTION("""COMPUTED_VALUE"""),23671.0)</f>
        <v>23671</v>
      </c>
      <c r="C15968" s="9">
        <f>IFERROR(__xludf.DUMMYFUNCTION("""COMPUTED_VALUE"""),4.19)</f>
        <v>4.19</v>
      </c>
      <c r="H15968" s="17"/>
      <c r="K15968" s="17"/>
      <c r="N15968" s="17"/>
    </row>
    <row r="15969">
      <c r="B15969" s="11">
        <f>IFERROR(__xludf.DUMMYFUNCTION("""COMPUTED_VALUE"""),23670.0)</f>
        <v>23670</v>
      </c>
      <c r="C15969" s="9">
        <f>IFERROR(__xludf.DUMMYFUNCTION("""COMPUTED_VALUE"""),4.2)</f>
        <v>4.2</v>
      </c>
      <c r="H15969" s="17"/>
      <c r="K15969" s="17"/>
      <c r="N15969" s="17"/>
    </row>
    <row r="15970">
      <c r="B15970" s="11">
        <f>IFERROR(__xludf.DUMMYFUNCTION("""COMPUTED_VALUE"""),23669.0)</f>
        <v>23669</v>
      </c>
      <c r="C15970" s="9">
        <f>IFERROR(__xludf.DUMMYFUNCTION("""COMPUTED_VALUE"""),4.21)</f>
        <v>4.21</v>
      </c>
      <c r="H15970" s="17"/>
      <c r="K15970" s="17"/>
      <c r="N15970" s="17"/>
    </row>
    <row r="15971">
      <c r="B15971" s="11">
        <f>IFERROR(__xludf.DUMMYFUNCTION("""COMPUTED_VALUE"""),23666.0)</f>
        <v>23666</v>
      </c>
      <c r="C15971" s="9">
        <f>IFERROR(__xludf.DUMMYFUNCTION("""COMPUTED_VALUE"""),4.21)</f>
        <v>4.21</v>
      </c>
      <c r="H15971" s="17"/>
      <c r="K15971" s="17"/>
      <c r="N15971" s="17"/>
    </row>
    <row r="15972">
      <c r="B15972" s="11">
        <f>IFERROR(__xludf.DUMMYFUNCTION("""COMPUTED_VALUE"""),23665.0)</f>
        <v>23665</v>
      </c>
      <c r="C15972" s="9">
        <f>IFERROR(__xludf.DUMMYFUNCTION("""COMPUTED_VALUE"""),4.2)</f>
        <v>4.2</v>
      </c>
      <c r="H15972" s="17"/>
      <c r="K15972" s="17"/>
      <c r="N15972" s="17"/>
    </row>
    <row r="15973">
      <c r="B15973" s="11">
        <f>IFERROR(__xludf.DUMMYFUNCTION("""COMPUTED_VALUE"""),23664.0)</f>
        <v>23664</v>
      </c>
      <c r="C15973" s="9">
        <f>IFERROR(__xludf.DUMMYFUNCTION("""COMPUTED_VALUE"""),4.19)</f>
        <v>4.19</v>
      </c>
      <c r="H15973" s="17"/>
      <c r="K15973" s="17"/>
      <c r="N15973" s="17"/>
    </row>
    <row r="15974">
      <c r="B15974" s="11">
        <f>IFERROR(__xludf.DUMMYFUNCTION("""COMPUTED_VALUE"""),23663.0)</f>
        <v>23663</v>
      </c>
      <c r="C15974" s="9">
        <f>IFERROR(__xludf.DUMMYFUNCTION("""COMPUTED_VALUE"""),4.19)</f>
        <v>4.19</v>
      </c>
      <c r="H15974" s="17"/>
      <c r="K15974" s="17"/>
      <c r="N15974" s="17"/>
    </row>
    <row r="15975">
      <c r="B15975" s="11">
        <f>IFERROR(__xludf.DUMMYFUNCTION("""COMPUTED_VALUE"""),23662.0)</f>
        <v>23662</v>
      </c>
      <c r="C15975" s="9"/>
      <c r="H15975" s="17"/>
      <c r="K15975" s="17"/>
      <c r="N15975" s="17"/>
    </row>
    <row r="15976">
      <c r="B15976" s="11">
        <f>IFERROR(__xludf.DUMMYFUNCTION("""COMPUTED_VALUE"""),23659.0)</f>
        <v>23659</v>
      </c>
      <c r="C15976" s="9">
        <f>IFERROR(__xludf.DUMMYFUNCTION("""COMPUTED_VALUE"""),4.19)</f>
        <v>4.19</v>
      </c>
      <c r="H15976" s="17"/>
      <c r="K15976" s="17"/>
      <c r="N15976" s="17"/>
    </row>
    <row r="15977">
      <c r="B15977" s="11">
        <f>IFERROR(__xludf.DUMMYFUNCTION("""COMPUTED_VALUE"""),23658.0)</f>
        <v>23658</v>
      </c>
      <c r="C15977" s="9">
        <f>IFERROR(__xludf.DUMMYFUNCTION("""COMPUTED_VALUE"""),4.19)</f>
        <v>4.19</v>
      </c>
      <c r="H15977" s="17"/>
      <c r="K15977" s="17"/>
      <c r="N15977" s="17"/>
    </row>
    <row r="15978">
      <c r="B15978" s="11">
        <f>IFERROR(__xludf.DUMMYFUNCTION("""COMPUTED_VALUE"""),23657.0)</f>
        <v>23657</v>
      </c>
      <c r="C15978" s="9">
        <f>IFERROR(__xludf.DUMMYFUNCTION("""COMPUTED_VALUE"""),4.19)</f>
        <v>4.19</v>
      </c>
      <c r="H15978" s="17"/>
      <c r="K15978" s="17"/>
      <c r="N15978" s="17"/>
    </row>
    <row r="15979">
      <c r="B15979" s="11">
        <f>IFERROR(__xludf.DUMMYFUNCTION("""COMPUTED_VALUE"""),23656.0)</f>
        <v>23656</v>
      </c>
      <c r="C15979" s="9">
        <f>IFERROR(__xludf.DUMMYFUNCTION("""COMPUTED_VALUE"""),4.19)</f>
        <v>4.19</v>
      </c>
      <c r="H15979" s="17"/>
      <c r="K15979" s="17"/>
      <c r="N15979" s="17"/>
    </row>
    <row r="15980">
      <c r="B15980" s="11">
        <f>IFERROR(__xludf.DUMMYFUNCTION("""COMPUTED_VALUE"""),23655.0)</f>
        <v>23655</v>
      </c>
      <c r="C15980" s="9">
        <f>IFERROR(__xludf.DUMMYFUNCTION("""COMPUTED_VALUE"""),4.2)</f>
        <v>4.2</v>
      </c>
      <c r="H15980" s="17"/>
      <c r="K15980" s="17"/>
      <c r="N15980" s="17"/>
    </row>
    <row r="15981">
      <c r="B15981" s="11">
        <f>IFERROR(__xludf.DUMMYFUNCTION("""COMPUTED_VALUE"""),23652.0)</f>
        <v>23652</v>
      </c>
      <c r="C15981" s="9">
        <f>IFERROR(__xludf.DUMMYFUNCTION("""COMPUTED_VALUE"""),4.18)</f>
        <v>4.18</v>
      </c>
      <c r="H15981" s="17"/>
      <c r="K15981" s="17"/>
      <c r="N15981" s="17"/>
    </row>
    <row r="15982">
      <c r="B15982" s="11">
        <f>IFERROR(__xludf.DUMMYFUNCTION("""COMPUTED_VALUE"""),23651.0)</f>
        <v>23651</v>
      </c>
      <c r="C15982" s="9">
        <f>IFERROR(__xludf.DUMMYFUNCTION("""COMPUTED_VALUE"""),4.18)</f>
        <v>4.18</v>
      </c>
      <c r="H15982" s="17"/>
      <c r="K15982" s="17"/>
      <c r="N15982" s="17"/>
    </row>
    <row r="15983">
      <c r="B15983" s="11">
        <f>IFERROR(__xludf.DUMMYFUNCTION("""COMPUTED_VALUE"""),23650.0)</f>
        <v>23650</v>
      </c>
      <c r="C15983" s="9">
        <f>IFERROR(__xludf.DUMMYFUNCTION("""COMPUTED_VALUE"""),4.18)</f>
        <v>4.18</v>
      </c>
      <c r="H15983" s="17"/>
      <c r="K15983" s="17"/>
      <c r="N15983" s="17"/>
    </row>
    <row r="15984">
      <c r="B15984" s="11">
        <f>IFERROR(__xludf.DUMMYFUNCTION("""COMPUTED_VALUE"""),23649.0)</f>
        <v>23649</v>
      </c>
      <c r="C15984" s="9">
        <f>IFERROR(__xludf.DUMMYFUNCTION("""COMPUTED_VALUE"""),4.18)</f>
        <v>4.18</v>
      </c>
      <c r="H15984" s="17"/>
      <c r="K15984" s="17"/>
      <c r="N15984" s="17"/>
    </row>
    <row r="15985">
      <c r="B15985" s="11">
        <f>IFERROR(__xludf.DUMMYFUNCTION("""COMPUTED_VALUE"""),23648.0)</f>
        <v>23648</v>
      </c>
      <c r="C15985" s="9">
        <f>IFERROR(__xludf.DUMMYFUNCTION("""COMPUTED_VALUE"""),4.17)</f>
        <v>4.17</v>
      </c>
      <c r="H15985" s="17"/>
      <c r="K15985" s="17"/>
      <c r="N15985" s="17"/>
    </row>
    <row r="15986">
      <c r="B15986" s="11">
        <f>IFERROR(__xludf.DUMMYFUNCTION("""COMPUTED_VALUE"""),23645.0)</f>
        <v>23645</v>
      </c>
      <c r="C15986" s="9">
        <f>IFERROR(__xludf.DUMMYFUNCTION("""COMPUTED_VALUE"""),4.19)</f>
        <v>4.19</v>
      </c>
      <c r="H15986" s="17"/>
      <c r="K15986" s="17"/>
      <c r="N15986" s="17"/>
    </row>
    <row r="15987">
      <c r="B15987" s="11">
        <f>IFERROR(__xludf.DUMMYFUNCTION("""COMPUTED_VALUE"""),23644.0)</f>
        <v>23644</v>
      </c>
      <c r="C15987" s="9">
        <f>IFERROR(__xludf.DUMMYFUNCTION("""COMPUTED_VALUE"""),4.19)</f>
        <v>4.19</v>
      </c>
      <c r="H15987" s="17"/>
      <c r="K15987" s="17"/>
      <c r="N15987" s="17"/>
    </row>
    <row r="15988">
      <c r="B15988" s="11">
        <f>IFERROR(__xludf.DUMMYFUNCTION("""COMPUTED_VALUE"""),23643.0)</f>
        <v>23643</v>
      </c>
      <c r="C15988" s="9">
        <f>IFERROR(__xludf.DUMMYFUNCTION("""COMPUTED_VALUE"""),4.19)</f>
        <v>4.19</v>
      </c>
      <c r="H15988" s="17"/>
      <c r="K15988" s="17"/>
      <c r="N15988" s="17"/>
    </row>
    <row r="15989">
      <c r="B15989" s="11">
        <f>IFERROR(__xludf.DUMMYFUNCTION("""COMPUTED_VALUE"""),23642.0)</f>
        <v>23642</v>
      </c>
      <c r="C15989" s="9">
        <f>IFERROR(__xludf.DUMMYFUNCTION("""COMPUTED_VALUE"""),4.19)</f>
        <v>4.19</v>
      </c>
      <c r="H15989" s="17"/>
      <c r="K15989" s="17"/>
      <c r="N15989" s="17"/>
    </row>
    <row r="15990">
      <c r="B15990" s="11">
        <f>IFERROR(__xludf.DUMMYFUNCTION("""COMPUTED_VALUE"""),23641.0)</f>
        <v>23641</v>
      </c>
      <c r="C15990" s="9">
        <f>IFERROR(__xludf.DUMMYFUNCTION("""COMPUTED_VALUE"""),4.19)</f>
        <v>4.19</v>
      </c>
      <c r="H15990" s="17"/>
      <c r="K15990" s="17"/>
      <c r="N15990" s="17"/>
    </row>
    <row r="15991">
      <c r="B15991" s="11">
        <f>IFERROR(__xludf.DUMMYFUNCTION("""COMPUTED_VALUE"""),23638.0)</f>
        <v>23638</v>
      </c>
      <c r="C15991" s="9">
        <f>IFERROR(__xludf.DUMMYFUNCTION("""COMPUTED_VALUE"""),4.2)</f>
        <v>4.2</v>
      </c>
      <c r="H15991" s="17"/>
      <c r="K15991" s="17"/>
      <c r="N15991" s="17"/>
    </row>
    <row r="15992">
      <c r="B15992" s="11">
        <f>IFERROR(__xludf.DUMMYFUNCTION("""COMPUTED_VALUE"""),23637.0)</f>
        <v>23637</v>
      </c>
      <c r="C15992" s="9">
        <f>IFERROR(__xludf.DUMMYFUNCTION("""COMPUTED_VALUE"""),4.2)</f>
        <v>4.2</v>
      </c>
      <c r="H15992" s="17"/>
      <c r="K15992" s="17"/>
      <c r="N15992" s="17"/>
    </row>
    <row r="15993">
      <c r="B15993" s="11">
        <f>IFERROR(__xludf.DUMMYFUNCTION("""COMPUTED_VALUE"""),23636.0)</f>
        <v>23636</v>
      </c>
      <c r="C15993" s="9">
        <f>IFERROR(__xludf.DUMMYFUNCTION("""COMPUTED_VALUE"""),4.21)</f>
        <v>4.21</v>
      </c>
      <c r="H15993" s="17"/>
      <c r="K15993" s="17"/>
      <c r="N15993" s="17"/>
    </row>
    <row r="15994">
      <c r="B15994" s="11">
        <f>IFERROR(__xludf.DUMMYFUNCTION("""COMPUTED_VALUE"""),23635.0)</f>
        <v>23635</v>
      </c>
      <c r="C15994" s="9">
        <f>IFERROR(__xludf.DUMMYFUNCTION("""COMPUTED_VALUE"""),4.22)</f>
        <v>4.22</v>
      </c>
      <c r="H15994" s="17"/>
      <c r="K15994" s="17"/>
      <c r="N15994" s="17"/>
    </row>
    <row r="15995">
      <c r="B15995" s="11">
        <f>IFERROR(__xludf.DUMMYFUNCTION("""COMPUTED_VALUE"""),23634.0)</f>
        <v>23634</v>
      </c>
      <c r="C15995" s="9">
        <f>IFERROR(__xludf.DUMMYFUNCTION("""COMPUTED_VALUE"""),4.22)</f>
        <v>4.22</v>
      </c>
      <c r="H15995" s="17"/>
      <c r="K15995" s="17"/>
      <c r="N15995" s="17"/>
    </row>
    <row r="15996">
      <c r="B15996" s="11">
        <f>IFERROR(__xludf.DUMMYFUNCTION("""COMPUTED_VALUE"""),23631.0)</f>
        <v>23631</v>
      </c>
      <c r="C15996" s="9">
        <f>IFERROR(__xludf.DUMMYFUNCTION("""COMPUTED_VALUE"""),4.22)</f>
        <v>4.22</v>
      </c>
      <c r="H15996" s="17"/>
      <c r="K15996" s="17"/>
      <c r="N15996" s="17"/>
    </row>
    <row r="15997">
      <c r="B15997" s="11">
        <f>IFERROR(__xludf.DUMMYFUNCTION("""COMPUTED_VALUE"""),23630.0)</f>
        <v>23630</v>
      </c>
      <c r="C15997" s="9">
        <f>IFERROR(__xludf.DUMMYFUNCTION("""COMPUTED_VALUE"""),4.22)</f>
        <v>4.22</v>
      </c>
      <c r="H15997" s="17"/>
      <c r="K15997" s="17"/>
      <c r="N15997" s="17"/>
    </row>
    <row r="15998">
      <c r="B15998" s="11">
        <f>IFERROR(__xludf.DUMMYFUNCTION("""COMPUTED_VALUE"""),23629.0)</f>
        <v>23629</v>
      </c>
      <c r="C15998" s="9">
        <f>IFERROR(__xludf.DUMMYFUNCTION("""COMPUTED_VALUE"""),4.22)</f>
        <v>4.22</v>
      </c>
      <c r="H15998" s="17"/>
      <c r="K15998" s="17"/>
      <c r="N15998" s="17"/>
    </row>
    <row r="15999">
      <c r="B15999" s="11">
        <f>IFERROR(__xludf.DUMMYFUNCTION("""COMPUTED_VALUE"""),23628.0)</f>
        <v>23628</v>
      </c>
      <c r="C15999" s="9">
        <f>IFERROR(__xludf.DUMMYFUNCTION("""COMPUTED_VALUE"""),4.22)</f>
        <v>4.22</v>
      </c>
      <c r="H15999" s="17"/>
      <c r="K15999" s="17"/>
      <c r="N15999" s="17"/>
    </row>
    <row r="16000">
      <c r="B16000" s="11">
        <f>IFERROR(__xludf.DUMMYFUNCTION("""COMPUTED_VALUE"""),23627.0)</f>
        <v>23627</v>
      </c>
      <c r="C16000" s="9"/>
      <c r="H16000" s="17"/>
      <c r="K16000" s="17"/>
      <c r="N16000" s="17"/>
    </row>
    <row r="16001">
      <c r="B16001" s="11">
        <f>IFERROR(__xludf.DUMMYFUNCTION("""COMPUTED_VALUE"""),23624.0)</f>
        <v>23624</v>
      </c>
      <c r="C16001" s="9">
        <f>IFERROR(__xludf.DUMMYFUNCTION("""COMPUTED_VALUE"""),4.22)</f>
        <v>4.22</v>
      </c>
      <c r="H16001" s="17"/>
      <c r="K16001" s="17"/>
      <c r="N16001" s="17"/>
    </row>
    <row r="16002">
      <c r="B16002" s="11">
        <f>IFERROR(__xludf.DUMMYFUNCTION("""COMPUTED_VALUE"""),23623.0)</f>
        <v>23623</v>
      </c>
      <c r="C16002" s="9">
        <f>IFERROR(__xludf.DUMMYFUNCTION("""COMPUTED_VALUE"""),4.22)</f>
        <v>4.22</v>
      </c>
      <c r="H16002" s="17"/>
      <c r="K16002" s="17"/>
      <c r="N16002" s="17"/>
    </row>
    <row r="16003">
      <c r="B16003" s="11">
        <f>IFERROR(__xludf.DUMMYFUNCTION("""COMPUTED_VALUE"""),23622.0)</f>
        <v>23622</v>
      </c>
      <c r="C16003" s="9">
        <f>IFERROR(__xludf.DUMMYFUNCTION("""COMPUTED_VALUE"""),4.22)</f>
        <v>4.22</v>
      </c>
      <c r="H16003" s="17"/>
      <c r="K16003" s="17"/>
      <c r="N16003" s="17"/>
    </row>
    <row r="16004">
      <c r="B16004" s="11">
        <f>IFERROR(__xludf.DUMMYFUNCTION("""COMPUTED_VALUE"""),23621.0)</f>
        <v>23621</v>
      </c>
      <c r="C16004" s="9">
        <f>IFERROR(__xludf.DUMMYFUNCTION("""COMPUTED_VALUE"""),4.21)</f>
        <v>4.21</v>
      </c>
      <c r="H16004" s="17"/>
      <c r="K16004" s="17"/>
      <c r="N16004" s="17"/>
    </row>
    <row r="16005">
      <c r="B16005" s="11">
        <f>IFERROR(__xludf.DUMMYFUNCTION("""COMPUTED_VALUE"""),23620.0)</f>
        <v>23620</v>
      </c>
      <c r="C16005" s="9">
        <f>IFERROR(__xludf.DUMMYFUNCTION("""COMPUTED_VALUE"""),4.21)</f>
        <v>4.21</v>
      </c>
      <c r="H16005" s="17"/>
      <c r="K16005" s="17"/>
      <c r="N16005" s="17"/>
    </row>
    <row r="16006">
      <c r="B16006" s="11">
        <f>IFERROR(__xludf.DUMMYFUNCTION("""COMPUTED_VALUE"""),23617.0)</f>
        <v>23617</v>
      </c>
      <c r="C16006" s="9">
        <f>IFERROR(__xludf.DUMMYFUNCTION("""COMPUTED_VALUE"""),4.21)</f>
        <v>4.21</v>
      </c>
      <c r="H16006" s="17"/>
      <c r="K16006" s="17"/>
      <c r="N16006" s="17"/>
    </row>
    <row r="16007">
      <c r="B16007" s="11">
        <f>IFERROR(__xludf.DUMMYFUNCTION("""COMPUTED_VALUE"""),23616.0)</f>
        <v>23616</v>
      </c>
      <c r="C16007" s="9">
        <f>IFERROR(__xludf.DUMMYFUNCTION("""COMPUTED_VALUE"""),4.2)</f>
        <v>4.2</v>
      </c>
      <c r="H16007" s="17"/>
      <c r="K16007" s="17"/>
      <c r="N16007" s="17"/>
    </row>
    <row r="16008">
      <c r="B16008" s="11">
        <f>IFERROR(__xludf.DUMMYFUNCTION("""COMPUTED_VALUE"""),23615.0)</f>
        <v>23615</v>
      </c>
      <c r="C16008" s="9">
        <f>IFERROR(__xludf.DUMMYFUNCTION("""COMPUTED_VALUE"""),4.2)</f>
        <v>4.2</v>
      </c>
      <c r="H16008" s="17"/>
      <c r="K16008" s="17"/>
      <c r="N16008" s="17"/>
    </row>
    <row r="16009">
      <c r="B16009" s="11">
        <f>IFERROR(__xludf.DUMMYFUNCTION("""COMPUTED_VALUE"""),23614.0)</f>
        <v>23614</v>
      </c>
      <c r="C16009" s="9">
        <f>IFERROR(__xludf.DUMMYFUNCTION("""COMPUTED_VALUE"""),4.2)</f>
        <v>4.2</v>
      </c>
      <c r="H16009" s="17"/>
      <c r="K16009" s="17"/>
      <c r="N16009" s="17"/>
    </row>
    <row r="16010">
      <c r="B16010" s="11">
        <f>IFERROR(__xludf.DUMMYFUNCTION("""COMPUTED_VALUE"""),23613.0)</f>
        <v>23613</v>
      </c>
      <c r="C16010" s="9">
        <f>IFERROR(__xludf.DUMMYFUNCTION("""COMPUTED_VALUE"""),4.19)</f>
        <v>4.19</v>
      </c>
      <c r="H16010" s="17"/>
      <c r="K16010" s="17"/>
      <c r="N16010" s="17"/>
    </row>
    <row r="16011">
      <c r="B16011" s="11">
        <f>IFERROR(__xludf.DUMMYFUNCTION("""COMPUTED_VALUE"""),23610.0)</f>
        <v>23610</v>
      </c>
      <c r="C16011" s="9">
        <f>IFERROR(__xludf.DUMMYFUNCTION("""COMPUTED_VALUE"""),4.19)</f>
        <v>4.19</v>
      </c>
      <c r="H16011" s="17"/>
      <c r="K16011" s="17"/>
      <c r="N16011" s="17"/>
    </row>
    <row r="16012">
      <c r="B16012" s="11">
        <f>IFERROR(__xludf.DUMMYFUNCTION("""COMPUTED_VALUE"""),23609.0)</f>
        <v>23609</v>
      </c>
      <c r="C16012" s="9">
        <f>IFERROR(__xludf.DUMMYFUNCTION("""COMPUTED_VALUE"""),4.19)</f>
        <v>4.19</v>
      </c>
      <c r="H16012" s="17"/>
      <c r="K16012" s="17"/>
      <c r="N16012" s="17"/>
    </row>
    <row r="16013">
      <c r="B16013" s="11">
        <f>IFERROR(__xludf.DUMMYFUNCTION("""COMPUTED_VALUE"""),23608.0)</f>
        <v>23608</v>
      </c>
      <c r="C16013" s="9">
        <f>IFERROR(__xludf.DUMMYFUNCTION("""COMPUTED_VALUE"""),4.19)</f>
        <v>4.19</v>
      </c>
      <c r="H16013" s="17"/>
      <c r="K16013" s="17"/>
      <c r="N16013" s="17"/>
    </row>
    <row r="16014">
      <c r="B16014" s="11">
        <f>IFERROR(__xludf.DUMMYFUNCTION("""COMPUTED_VALUE"""),23607.0)</f>
        <v>23607</v>
      </c>
      <c r="C16014" s="9">
        <f>IFERROR(__xludf.DUMMYFUNCTION("""COMPUTED_VALUE"""),4.19)</f>
        <v>4.19</v>
      </c>
      <c r="H16014" s="17"/>
      <c r="K16014" s="17"/>
      <c r="N16014" s="17"/>
    </row>
    <row r="16015">
      <c r="B16015" s="11">
        <f>IFERROR(__xludf.DUMMYFUNCTION("""COMPUTED_VALUE"""),23606.0)</f>
        <v>23606</v>
      </c>
      <c r="C16015" s="9">
        <f>IFERROR(__xludf.DUMMYFUNCTION("""COMPUTED_VALUE"""),4.19)</f>
        <v>4.19</v>
      </c>
      <c r="H16015" s="17"/>
      <c r="K16015" s="17"/>
      <c r="N16015" s="17"/>
    </row>
    <row r="16016">
      <c r="B16016" s="11">
        <f>IFERROR(__xludf.DUMMYFUNCTION("""COMPUTED_VALUE"""),23603.0)</f>
        <v>23603</v>
      </c>
      <c r="C16016" s="9">
        <f>IFERROR(__xludf.DUMMYFUNCTION("""COMPUTED_VALUE"""),4.19)</f>
        <v>4.19</v>
      </c>
      <c r="H16016" s="17"/>
      <c r="K16016" s="17"/>
      <c r="N16016" s="17"/>
    </row>
    <row r="16017">
      <c r="B16017" s="11">
        <f>IFERROR(__xludf.DUMMYFUNCTION("""COMPUTED_VALUE"""),23602.0)</f>
        <v>23602</v>
      </c>
      <c r="C16017" s="9">
        <f>IFERROR(__xludf.DUMMYFUNCTION("""COMPUTED_VALUE"""),4.19)</f>
        <v>4.19</v>
      </c>
      <c r="H16017" s="17"/>
      <c r="K16017" s="17"/>
      <c r="N16017" s="17"/>
    </row>
    <row r="16018">
      <c r="B16018" s="11">
        <f>IFERROR(__xludf.DUMMYFUNCTION("""COMPUTED_VALUE"""),23601.0)</f>
        <v>23601</v>
      </c>
      <c r="C16018" s="9">
        <f>IFERROR(__xludf.DUMMYFUNCTION("""COMPUTED_VALUE"""),4.2)</f>
        <v>4.2</v>
      </c>
      <c r="H16018" s="17"/>
      <c r="K16018" s="17"/>
      <c r="N16018" s="17"/>
    </row>
    <row r="16019">
      <c r="B16019" s="11">
        <f>IFERROR(__xludf.DUMMYFUNCTION("""COMPUTED_VALUE"""),23600.0)</f>
        <v>23600</v>
      </c>
      <c r="C16019" s="9">
        <f>IFERROR(__xludf.DUMMYFUNCTION("""COMPUTED_VALUE"""),4.2)</f>
        <v>4.2</v>
      </c>
      <c r="H16019" s="17"/>
      <c r="K16019" s="17"/>
      <c r="N16019" s="17"/>
    </row>
    <row r="16020">
      <c r="B16020" s="11">
        <f>IFERROR(__xludf.DUMMYFUNCTION("""COMPUTED_VALUE"""),23599.0)</f>
        <v>23599</v>
      </c>
      <c r="C16020" s="9">
        <f>IFERROR(__xludf.DUMMYFUNCTION("""COMPUTED_VALUE"""),4.19)</f>
        <v>4.19</v>
      </c>
      <c r="H16020" s="17"/>
      <c r="K16020" s="17"/>
      <c r="N16020" s="17"/>
    </row>
    <row r="16021">
      <c r="B16021" s="11">
        <f>IFERROR(__xludf.DUMMYFUNCTION("""COMPUTED_VALUE"""),23596.0)</f>
        <v>23596</v>
      </c>
      <c r="C16021" s="9">
        <f>IFERROR(__xludf.DUMMYFUNCTION("""COMPUTED_VALUE"""),4.19)</f>
        <v>4.19</v>
      </c>
      <c r="H16021" s="17"/>
      <c r="K16021" s="17"/>
      <c r="N16021" s="17"/>
    </row>
    <row r="16022">
      <c r="B16022" s="11">
        <f>IFERROR(__xludf.DUMMYFUNCTION("""COMPUTED_VALUE"""),23595.0)</f>
        <v>23595</v>
      </c>
      <c r="C16022" s="9">
        <f>IFERROR(__xludf.DUMMYFUNCTION("""COMPUTED_VALUE"""),4.18)</f>
        <v>4.18</v>
      </c>
      <c r="H16022" s="17"/>
      <c r="K16022" s="17"/>
      <c r="N16022" s="17"/>
    </row>
    <row r="16023">
      <c r="B16023" s="11">
        <f>IFERROR(__xludf.DUMMYFUNCTION("""COMPUTED_VALUE"""),23594.0)</f>
        <v>23594</v>
      </c>
      <c r="C16023" s="9">
        <f>IFERROR(__xludf.DUMMYFUNCTION("""COMPUTED_VALUE"""),4.19)</f>
        <v>4.19</v>
      </c>
      <c r="H16023" s="17"/>
      <c r="K16023" s="17"/>
      <c r="N16023" s="17"/>
    </row>
    <row r="16024">
      <c r="B16024" s="11">
        <f>IFERROR(__xludf.DUMMYFUNCTION("""COMPUTED_VALUE"""),23593.0)</f>
        <v>23593</v>
      </c>
      <c r="C16024" s="9">
        <f>IFERROR(__xludf.DUMMYFUNCTION("""COMPUTED_VALUE"""),4.19)</f>
        <v>4.19</v>
      </c>
      <c r="H16024" s="17"/>
      <c r="K16024" s="17"/>
      <c r="N16024" s="17"/>
    </row>
    <row r="16025">
      <c r="B16025" s="11">
        <f>IFERROR(__xludf.DUMMYFUNCTION("""COMPUTED_VALUE"""),23592.0)</f>
        <v>23592</v>
      </c>
      <c r="C16025" s="9">
        <f>IFERROR(__xludf.DUMMYFUNCTION("""COMPUTED_VALUE"""),4.19)</f>
        <v>4.19</v>
      </c>
      <c r="H16025" s="17"/>
      <c r="K16025" s="17"/>
      <c r="N16025" s="17"/>
    </row>
    <row r="16026">
      <c r="B16026" s="11">
        <f>IFERROR(__xludf.DUMMYFUNCTION("""COMPUTED_VALUE"""),23589.0)</f>
        <v>23589</v>
      </c>
      <c r="C16026" s="9">
        <f>IFERROR(__xludf.DUMMYFUNCTION("""COMPUTED_VALUE"""),4.19)</f>
        <v>4.19</v>
      </c>
      <c r="H16026" s="17"/>
      <c r="K16026" s="17"/>
      <c r="N16026" s="17"/>
    </row>
    <row r="16027">
      <c r="B16027" s="11">
        <f>IFERROR(__xludf.DUMMYFUNCTION("""COMPUTED_VALUE"""),23588.0)</f>
        <v>23588</v>
      </c>
      <c r="C16027" s="9">
        <f>IFERROR(__xludf.DUMMYFUNCTION("""COMPUTED_VALUE"""),4.19)</f>
        <v>4.19</v>
      </c>
      <c r="H16027" s="17"/>
      <c r="K16027" s="17"/>
      <c r="N16027" s="17"/>
    </row>
    <row r="16028">
      <c r="B16028" s="11">
        <f>IFERROR(__xludf.DUMMYFUNCTION("""COMPUTED_VALUE"""),23587.0)</f>
        <v>23587</v>
      </c>
      <c r="C16028" s="9">
        <f>IFERROR(__xludf.DUMMYFUNCTION("""COMPUTED_VALUE"""),4.2)</f>
        <v>4.2</v>
      </c>
      <c r="H16028" s="17"/>
      <c r="K16028" s="17"/>
      <c r="N16028" s="17"/>
    </row>
    <row r="16029">
      <c r="B16029" s="11">
        <f>IFERROR(__xludf.DUMMYFUNCTION("""COMPUTED_VALUE"""),23586.0)</f>
        <v>23586</v>
      </c>
      <c r="C16029" s="9">
        <f>IFERROR(__xludf.DUMMYFUNCTION("""COMPUTED_VALUE"""),4.2)</f>
        <v>4.2</v>
      </c>
      <c r="H16029" s="17"/>
      <c r="K16029" s="17"/>
      <c r="N16029" s="17"/>
    </row>
    <row r="16030">
      <c r="B16030" s="11">
        <f>IFERROR(__xludf.DUMMYFUNCTION("""COMPUTED_VALUE"""),23585.0)</f>
        <v>23585</v>
      </c>
      <c r="C16030" s="9">
        <f>IFERROR(__xludf.DUMMYFUNCTION("""COMPUTED_VALUE"""),4.2)</f>
        <v>4.2</v>
      </c>
      <c r="H16030" s="17"/>
      <c r="K16030" s="17"/>
      <c r="N16030" s="17"/>
    </row>
    <row r="16031">
      <c r="B16031" s="11">
        <f>IFERROR(__xludf.DUMMYFUNCTION("""COMPUTED_VALUE"""),23582.0)</f>
        <v>23582</v>
      </c>
      <c r="C16031" s="9">
        <f>IFERROR(__xludf.DUMMYFUNCTION("""COMPUTED_VALUE"""),4.2)</f>
        <v>4.2</v>
      </c>
      <c r="H16031" s="17"/>
      <c r="K16031" s="17"/>
      <c r="N16031" s="17"/>
    </row>
    <row r="16032">
      <c r="B16032" s="11">
        <f>IFERROR(__xludf.DUMMYFUNCTION("""COMPUTED_VALUE"""),23581.0)</f>
        <v>23581</v>
      </c>
      <c r="C16032" s="9">
        <f>IFERROR(__xludf.DUMMYFUNCTION("""COMPUTED_VALUE"""),4.2)</f>
        <v>4.2</v>
      </c>
      <c r="H16032" s="17"/>
      <c r="K16032" s="17"/>
      <c r="N16032" s="17"/>
    </row>
    <row r="16033">
      <c r="B16033" s="11">
        <f>IFERROR(__xludf.DUMMYFUNCTION("""COMPUTED_VALUE"""),23580.0)</f>
        <v>23580</v>
      </c>
      <c r="C16033" s="9">
        <f>IFERROR(__xludf.DUMMYFUNCTION("""COMPUTED_VALUE"""),4.21)</f>
        <v>4.21</v>
      </c>
      <c r="H16033" s="17"/>
      <c r="K16033" s="17"/>
      <c r="N16033" s="17"/>
    </row>
    <row r="16034">
      <c r="B16034" s="11">
        <f>IFERROR(__xludf.DUMMYFUNCTION("""COMPUTED_VALUE"""),23579.0)</f>
        <v>23579</v>
      </c>
      <c r="C16034" s="9">
        <f>IFERROR(__xludf.DUMMYFUNCTION("""COMPUTED_VALUE"""),4.2)</f>
        <v>4.2</v>
      </c>
      <c r="H16034" s="17"/>
      <c r="K16034" s="17"/>
      <c r="N16034" s="17"/>
    </row>
    <row r="16035">
      <c r="B16035" s="11">
        <f>IFERROR(__xludf.DUMMYFUNCTION("""COMPUTED_VALUE"""),23578.0)</f>
        <v>23578</v>
      </c>
      <c r="C16035" s="9">
        <f>IFERROR(__xludf.DUMMYFUNCTION("""COMPUTED_VALUE"""),4.21)</f>
        <v>4.21</v>
      </c>
      <c r="H16035" s="17"/>
      <c r="K16035" s="17"/>
      <c r="N16035" s="17"/>
    </row>
    <row r="16036">
      <c r="B16036" s="11">
        <f>IFERROR(__xludf.DUMMYFUNCTION("""COMPUTED_VALUE"""),23575.0)</f>
        <v>23575</v>
      </c>
      <c r="C16036" s="9">
        <f>IFERROR(__xludf.DUMMYFUNCTION("""COMPUTED_VALUE"""),4.2)</f>
        <v>4.2</v>
      </c>
      <c r="H16036" s="17"/>
      <c r="K16036" s="17"/>
      <c r="N16036" s="17"/>
    </row>
    <row r="16037">
      <c r="B16037" s="11">
        <f>IFERROR(__xludf.DUMMYFUNCTION("""COMPUTED_VALUE"""),23574.0)</f>
        <v>23574</v>
      </c>
      <c r="C16037" s="9">
        <f>IFERROR(__xludf.DUMMYFUNCTION("""COMPUTED_VALUE"""),4.19)</f>
        <v>4.19</v>
      </c>
      <c r="H16037" s="17"/>
      <c r="K16037" s="17"/>
      <c r="N16037" s="17"/>
    </row>
    <row r="16038">
      <c r="B16038" s="11">
        <f>IFERROR(__xludf.DUMMYFUNCTION("""COMPUTED_VALUE"""),23573.0)</f>
        <v>23573</v>
      </c>
      <c r="C16038" s="9">
        <f>IFERROR(__xludf.DUMMYFUNCTION("""COMPUTED_VALUE"""),4.19)</f>
        <v>4.19</v>
      </c>
      <c r="H16038" s="17"/>
      <c r="K16038" s="17"/>
      <c r="N16038" s="17"/>
    </row>
    <row r="16039">
      <c r="B16039" s="11">
        <f>IFERROR(__xludf.DUMMYFUNCTION("""COMPUTED_VALUE"""),23572.0)</f>
        <v>23572</v>
      </c>
      <c r="C16039" s="9">
        <f>IFERROR(__xludf.DUMMYFUNCTION("""COMPUTED_VALUE"""),4.19)</f>
        <v>4.19</v>
      </c>
      <c r="H16039" s="17"/>
      <c r="K16039" s="17"/>
      <c r="N16039" s="17"/>
    </row>
    <row r="16040">
      <c r="B16040" s="11">
        <f>IFERROR(__xludf.DUMMYFUNCTION("""COMPUTED_VALUE"""),23571.0)</f>
        <v>23571</v>
      </c>
      <c r="C16040" s="9">
        <f>IFERROR(__xludf.DUMMYFUNCTION("""COMPUTED_VALUE"""),4.19)</f>
        <v>4.19</v>
      </c>
      <c r="H16040" s="17"/>
      <c r="K16040" s="17"/>
      <c r="N16040" s="17"/>
    </row>
    <row r="16041">
      <c r="B16041" s="11">
        <f>IFERROR(__xludf.DUMMYFUNCTION("""COMPUTED_VALUE"""),23568.0)</f>
        <v>23568</v>
      </c>
      <c r="C16041" s="9">
        <f>IFERROR(__xludf.DUMMYFUNCTION("""COMPUTED_VALUE"""),4.19)</f>
        <v>4.19</v>
      </c>
      <c r="H16041" s="17"/>
      <c r="K16041" s="17"/>
      <c r="N16041" s="17"/>
    </row>
    <row r="16042">
      <c r="B16042" s="11">
        <f>IFERROR(__xludf.DUMMYFUNCTION("""COMPUTED_VALUE"""),23567.0)</f>
        <v>23567</v>
      </c>
      <c r="C16042" s="9">
        <f>IFERROR(__xludf.DUMMYFUNCTION("""COMPUTED_VALUE"""),4.18)</f>
        <v>4.18</v>
      </c>
      <c r="H16042" s="17"/>
      <c r="K16042" s="17"/>
      <c r="N16042" s="17"/>
    </row>
    <row r="16043">
      <c r="B16043" s="11">
        <f>IFERROR(__xludf.DUMMYFUNCTION("""COMPUTED_VALUE"""),23566.0)</f>
        <v>23566</v>
      </c>
      <c r="C16043" s="9">
        <f>IFERROR(__xludf.DUMMYFUNCTION("""COMPUTED_VALUE"""),4.15)</f>
        <v>4.15</v>
      </c>
      <c r="H16043" s="17"/>
      <c r="K16043" s="17"/>
      <c r="N16043" s="17"/>
    </row>
    <row r="16044">
      <c r="B16044" s="11">
        <f>IFERROR(__xludf.DUMMYFUNCTION("""COMPUTED_VALUE"""),23565.0)</f>
        <v>23565</v>
      </c>
      <c r="C16044" s="9">
        <f>IFERROR(__xludf.DUMMYFUNCTION("""COMPUTED_VALUE"""),4.15)</f>
        <v>4.15</v>
      </c>
      <c r="H16044" s="17"/>
      <c r="K16044" s="17"/>
      <c r="N16044" s="17"/>
    </row>
    <row r="16045">
      <c r="B16045" s="11">
        <f>IFERROR(__xludf.DUMMYFUNCTION("""COMPUTED_VALUE"""),23564.0)</f>
        <v>23564</v>
      </c>
      <c r="C16045" s="9">
        <f>IFERROR(__xludf.DUMMYFUNCTION("""COMPUTED_VALUE"""),4.16)</f>
        <v>4.16</v>
      </c>
      <c r="H16045" s="17"/>
      <c r="K16045" s="17"/>
      <c r="N16045" s="17"/>
    </row>
    <row r="16046">
      <c r="B16046" s="11">
        <f>IFERROR(__xludf.DUMMYFUNCTION("""COMPUTED_VALUE"""),23561.0)</f>
        <v>23561</v>
      </c>
      <c r="C16046" s="9"/>
      <c r="H16046" s="17"/>
      <c r="K16046" s="17"/>
      <c r="N16046" s="17"/>
    </row>
    <row r="16047">
      <c r="B16047" s="11">
        <f>IFERROR(__xludf.DUMMYFUNCTION("""COMPUTED_VALUE"""),23560.0)</f>
        <v>23560</v>
      </c>
      <c r="C16047" s="9">
        <f>IFERROR(__xludf.DUMMYFUNCTION("""COMPUTED_VALUE"""),4.15)</f>
        <v>4.15</v>
      </c>
      <c r="H16047" s="17"/>
      <c r="K16047" s="17"/>
      <c r="N16047" s="17"/>
    </row>
    <row r="16048">
      <c r="B16048" s="11">
        <f>IFERROR(__xludf.DUMMYFUNCTION("""COMPUTED_VALUE"""),23559.0)</f>
        <v>23559</v>
      </c>
      <c r="C16048" s="9">
        <f>IFERROR(__xludf.DUMMYFUNCTION("""COMPUTED_VALUE"""),4.15)</f>
        <v>4.15</v>
      </c>
      <c r="H16048" s="17"/>
      <c r="K16048" s="17"/>
      <c r="N16048" s="17"/>
    </row>
    <row r="16049">
      <c r="B16049" s="11">
        <f>IFERROR(__xludf.DUMMYFUNCTION("""COMPUTED_VALUE"""),23558.0)</f>
        <v>23558</v>
      </c>
      <c r="C16049" s="9">
        <f>IFERROR(__xludf.DUMMYFUNCTION("""COMPUTED_VALUE"""),4.15)</f>
        <v>4.15</v>
      </c>
      <c r="H16049" s="17"/>
      <c r="K16049" s="17"/>
      <c r="N16049" s="17"/>
    </row>
    <row r="16050">
      <c r="B16050" s="11">
        <f>IFERROR(__xludf.DUMMYFUNCTION("""COMPUTED_VALUE"""),23557.0)</f>
        <v>23557</v>
      </c>
      <c r="C16050" s="9">
        <f>IFERROR(__xludf.DUMMYFUNCTION("""COMPUTED_VALUE"""),4.15)</f>
        <v>4.15</v>
      </c>
      <c r="H16050" s="17"/>
      <c r="K16050" s="17"/>
      <c r="N16050" s="17"/>
    </row>
    <row r="16051">
      <c r="B16051" s="11">
        <f>IFERROR(__xludf.DUMMYFUNCTION("""COMPUTED_VALUE"""),23554.0)</f>
        <v>23554</v>
      </c>
      <c r="C16051" s="9">
        <f>IFERROR(__xludf.DUMMYFUNCTION("""COMPUTED_VALUE"""),4.15)</f>
        <v>4.15</v>
      </c>
      <c r="H16051" s="17"/>
      <c r="K16051" s="17"/>
      <c r="N16051" s="17"/>
    </row>
    <row r="16052">
      <c r="B16052" s="11">
        <f>IFERROR(__xludf.DUMMYFUNCTION("""COMPUTED_VALUE"""),23553.0)</f>
        <v>23553</v>
      </c>
      <c r="C16052" s="9">
        <f>IFERROR(__xludf.DUMMYFUNCTION("""COMPUTED_VALUE"""),4.15)</f>
        <v>4.15</v>
      </c>
      <c r="H16052" s="17"/>
      <c r="K16052" s="17"/>
      <c r="N16052" s="17"/>
    </row>
    <row r="16053">
      <c r="B16053" s="11">
        <f>IFERROR(__xludf.DUMMYFUNCTION("""COMPUTED_VALUE"""),23552.0)</f>
        <v>23552</v>
      </c>
      <c r="C16053" s="9">
        <f>IFERROR(__xludf.DUMMYFUNCTION("""COMPUTED_VALUE"""),4.15)</f>
        <v>4.15</v>
      </c>
      <c r="H16053" s="17"/>
      <c r="K16053" s="17"/>
      <c r="N16053" s="17"/>
    </row>
    <row r="16054">
      <c r="B16054" s="11">
        <f>IFERROR(__xludf.DUMMYFUNCTION("""COMPUTED_VALUE"""),23551.0)</f>
        <v>23551</v>
      </c>
      <c r="C16054" s="9">
        <f>IFERROR(__xludf.DUMMYFUNCTION("""COMPUTED_VALUE"""),4.15)</f>
        <v>4.15</v>
      </c>
      <c r="H16054" s="17"/>
      <c r="K16054" s="17"/>
      <c r="N16054" s="17"/>
    </row>
    <row r="16055">
      <c r="B16055" s="11">
        <f>IFERROR(__xludf.DUMMYFUNCTION("""COMPUTED_VALUE"""),23550.0)</f>
        <v>23550</v>
      </c>
      <c r="C16055" s="9">
        <f>IFERROR(__xludf.DUMMYFUNCTION("""COMPUTED_VALUE"""),4.15)</f>
        <v>4.15</v>
      </c>
      <c r="H16055" s="17"/>
      <c r="K16055" s="17"/>
      <c r="N16055" s="17"/>
    </row>
    <row r="16056">
      <c r="B16056" s="11">
        <f>IFERROR(__xludf.DUMMYFUNCTION("""COMPUTED_VALUE"""),23547.0)</f>
        <v>23547</v>
      </c>
      <c r="C16056" s="9">
        <f>IFERROR(__xludf.DUMMYFUNCTION("""COMPUTED_VALUE"""),4.16)</f>
        <v>4.16</v>
      </c>
      <c r="H16056" s="17"/>
      <c r="K16056" s="17"/>
      <c r="N16056" s="17"/>
    </row>
    <row r="16057">
      <c r="B16057" s="11">
        <f>IFERROR(__xludf.DUMMYFUNCTION("""COMPUTED_VALUE"""),23546.0)</f>
        <v>23546</v>
      </c>
      <c r="C16057" s="9">
        <f>IFERROR(__xludf.DUMMYFUNCTION("""COMPUTED_VALUE"""),4.17)</f>
        <v>4.17</v>
      </c>
      <c r="H16057" s="17"/>
      <c r="K16057" s="17"/>
      <c r="N16057" s="17"/>
    </row>
    <row r="16058">
      <c r="B16058" s="11">
        <f>IFERROR(__xludf.DUMMYFUNCTION("""COMPUTED_VALUE"""),23545.0)</f>
        <v>23545</v>
      </c>
      <c r="C16058" s="9">
        <f>IFERROR(__xludf.DUMMYFUNCTION("""COMPUTED_VALUE"""),4.18)</f>
        <v>4.18</v>
      </c>
      <c r="H16058" s="17"/>
      <c r="K16058" s="17"/>
      <c r="N16058" s="17"/>
    </row>
    <row r="16059">
      <c r="B16059" s="11">
        <f>IFERROR(__xludf.DUMMYFUNCTION("""COMPUTED_VALUE"""),23544.0)</f>
        <v>23544</v>
      </c>
      <c r="C16059" s="9">
        <f>IFERROR(__xludf.DUMMYFUNCTION("""COMPUTED_VALUE"""),4.18)</f>
        <v>4.18</v>
      </c>
      <c r="H16059" s="17"/>
      <c r="K16059" s="17"/>
      <c r="N16059" s="17"/>
    </row>
    <row r="16060">
      <c r="B16060" s="11">
        <f>IFERROR(__xludf.DUMMYFUNCTION("""COMPUTED_VALUE"""),23543.0)</f>
        <v>23543</v>
      </c>
      <c r="C16060" s="9">
        <f>IFERROR(__xludf.DUMMYFUNCTION("""COMPUTED_VALUE"""),4.18)</f>
        <v>4.18</v>
      </c>
      <c r="H16060" s="17"/>
      <c r="K16060" s="17"/>
      <c r="N16060" s="17"/>
    </row>
    <row r="16061">
      <c r="B16061" s="11">
        <f>IFERROR(__xludf.DUMMYFUNCTION("""COMPUTED_VALUE"""),23540.0)</f>
        <v>23540</v>
      </c>
      <c r="C16061" s="9">
        <f>IFERROR(__xludf.DUMMYFUNCTION("""COMPUTED_VALUE"""),4.18)</f>
        <v>4.18</v>
      </c>
      <c r="H16061" s="17"/>
      <c r="K16061" s="17"/>
      <c r="N16061" s="17"/>
    </row>
    <row r="16062">
      <c r="B16062" s="11">
        <f>IFERROR(__xludf.DUMMYFUNCTION("""COMPUTED_VALUE"""),23539.0)</f>
        <v>23539</v>
      </c>
      <c r="C16062" s="9">
        <f>IFERROR(__xludf.DUMMYFUNCTION("""COMPUTED_VALUE"""),4.18)</f>
        <v>4.18</v>
      </c>
      <c r="H16062" s="17"/>
      <c r="K16062" s="17"/>
      <c r="N16062" s="17"/>
    </row>
    <row r="16063">
      <c r="B16063" s="11">
        <f>IFERROR(__xludf.DUMMYFUNCTION("""COMPUTED_VALUE"""),23538.0)</f>
        <v>23538</v>
      </c>
      <c r="C16063" s="9">
        <f>IFERROR(__xludf.DUMMYFUNCTION("""COMPUTED_VALUE"""),4.17)</f>
        <v>4.17</v>
      </c>
      <c r="H16063" s="17"/>
      <c r="K16063" s="17"/>
      <c r="N16063" s="17"/>
    </row>
    <row r="16064">
      <c r="B16064" s="11">
        <f>IFERROR(__xludf.DUMMYFUNCTION("""COMPUTED_VALUE"""),23537.0)</f>
        <v>23537</v>
      </c>
      <c r="C16064" s="9">
        <f>IFERROR(__xludf.DUMMYFUNCTION("""COMPUTED_VALUE"""),4.17)</f>
        <v>4.17</v>
      </c>
      <c r="H16064" s="17"/>
      <c r="K16064" s="17"/>
      <c r="N16064" s="17"/>
    </row>
    <row r="16065">
      <c r="B16065" s="11">
        <f>IFERROR(__xludf.DUMMYFUNCTION("""COMPUTED_VALUE"""),23536.0)</f>
        <v>23536</v>
      </c>
      <c r="C16065" s="9">
        <f>IFERROR(__xludf.DUMMYFUNCTION("""COMPUTED_VALUE"""),4.18)</f>
        <v>4.18</v>
      </c>
      <c r="H16065" s="17"/>
      <c r="K16065" s="17"/>
      <c r="N16065" s="17"/>
    </row>
    <row r="16066">
      <c r="B16066" s="11">
        <f>IFERROR(__xludf.DUMMYFUNCTION("""COMPUTED_VALUE"""),23533.0)</f>
        <v>23533</v>
      </c>
      <c r="C16066" s="9">
        <f>IFERROR(__xludf.DUMMYFUNCTION("""COMPUTED_VALUE"""),4.18)</f>
        <v>4.18</v>
      </c>
      <c r="H16066" s="17"/>
      <c r="K16066" s="17"/>
      <c r="N16066" s="17"/>
    </row>
    <row r="16067">
      <c r="B16067" s="11">
        <f>IFERROR(__xludf.DUMMYFUNCTION("""COMPUTED_VALUE"""),23532.0)</f>
        <v>23532</v>
      </c>
      <c r="C16067" s="9">
        <f>IFERROR(__xludf.DUMMYFUNCTION("""COMPUTED_VALUE"""),4.19)</f>
        <v>4.19</v>
      </c>
      <c r="H16067" s="17"/>
      <c r="K16067" s="17"/>
      <c r="N16067" s="17"/>
    </row>
    <row r="16068">
      <c r="B16068" s="11">
        <f>IFERROR(__xludf.DUMMYFUNCTION("""COMPUTED_VALUE"""),23531.0)</f>
        <v>23531</v>
      </c>
      <c r="C16068" s="9">
        <f>IFERROR(__xludf.DUMMYFUNCTION("""COMPUTED_VALUE"""),4.19)</f>
        <v>4.19</v>
      </c>
      <c r="H16068" s="17"/>
      <c r="K16068" s="17"/>
      <c r="N16068" s="17"/>
    </row>
    <row r="16069">
      <c r="B16069" s="11">
        <f>IFERROR(__xludf.DUMMYFUNCTION("""COMPUTED_VALUE"""),23530.0)</f>
        <v>23530</v>
      </c>
      <c r="C16069" s="9">
        <f>IFERROR(__xludf.DUMMYFUNCTION("""COMPUTED_VALUE"""),4.19)</f>
        <v>4.19</v>
      </c>
      <c r="H16069" s="17"/>
      <c r="K16069" s="17"/>
      <c r="N16069" s="17"/>
    </row>
    <row r="16070">
      <c r="B16070" s="11">
        <f>IFERROR(__xludf.DUMMYFUNCTION("""COMPUTED_VALUE"""),23529.0)</f>
        <v>23529</v>
      </c>
      <c r="C16070" s="9">
        <f>IFERROR(__xludf.DUMMYFUNCTION("""COMPUTED_VALUE"""),4.19)</f>
        <v>4.19</v>
      </c>
      <c r="H16070" s="17"/>
      <c r="K16070" s="17"/>
      <c r="N16070" s="17"/>
    </row>
    <row r="16071">
      <c r="B16071" s="11">
        <f>IFERROR(__xludf.DUMMYFUNCTION("""COMPUTED_VALUE"""),23526.0)</f>
        <v>23526</v>
      </c>
      <c r="C16071" s="9"/>
      <c r="H16071" s="17"/>
      <c r="K16071" s="17"/>
      <c r="N16071" s="17"/>
    </row>
    <row r="16072">
      <c r="B16072" s="11">
        <f>IFERROR(__xludf.DUMMYFUNCTION("""COMPUTED_VALUE"""),23525.0)</f>
        <v>23525</v>
      </c>
      <c r="C16072" s="9">
        <f>IFERROR(__xludf.DUMMYFUNCTION("""COMPUTED_VALUE"""),4.19)</f>
        <v>4.19</v>
      </c>
      <c r="H16072" s="17"/>
      <c r="K16072" s="17"/>
      <c r="N16072" s="17"/>
    </row>
    <row r="16073">
      <c r="B16073" s="11">
        <f>IFERROR(__xludf.DUMMYFUNCTION("""COMPUTED_VALUE"""),23524.0)</f>
        <v>23524</v>
      </c>
      <c r="C16073" s="9">
        <f>IFERROR(__xludf.DUMMYFUNCTION("""COMPUTED_VALUE"""),4.2)</f>
        <v>4.2</v>
      </c>
      <c r="H16073" s="17"/>
      <c r="K16073" s="17"/>
      <c r="N16073" s="17"/>
    </row>
    <row r="16074">
      <c r="B16074" s="11">
        <f>IFERROR(__xludf.DUMMYFUNCTION("""COMPUTED_VALUE"""),23523.0)</f>
        <v>23523</v>
      </c>
      <c r="C16074" s="9">
        <f>IFERROR(__xludf.DUMMYFUNCTION("""COMPUTED_VALUE"""),4.19)</f>
        <v>4.19</v>
      </c>
      <c r="H16074" s="17"/>
      <c r="K16074" s="17"/>
      <c r="N16074" s="17"/>
    </row>
    <row r="16075">
      <c r="B16075" s="11">
        <f>IFERROR(__xludf.DUMMYFUNCTION("""COMPUTED_VALUE"""),23522.0)</f>
        <v>23522</v>
      </c>
      <c r="C16075" s="9">
        <f>IFERROR(__xludf.DUMMYFUNCTION("""COMPUTED_VALUE"""),4.19)</f>
        <v>4.19</v>
      </c>
      <c r="H16075" s="17"/>
      <c r="K16075" s="17"/>
      <c r="N16075" s="17"/>
    </row>
    <row r="16076">
      <c r="B16076" s="11">
        <f>IFERROR(__xludf.DUMMYFUNCTION("""COMPUTED_VALUE"""),23519.0)</f>
        <v>23519</v>
      </c>
      <c r="C16076" s="9">
        <f>IFERROR(__xludf.DUMMYFUNCTION("""COMPUTED_VALUE"""),4.2)</f>
        <v>4.2</v>
      </c>
      <c r="H16076" s="17"/>
      <c r="K16076" s="17"/>
      <c r="N16076" s="17"/>
    </row>
    <row r="16077">
      <c r="B16077" s="11">
        <f>IFERROR(__xludf.DUMMYFUNCTION("""COMPUTED_VALUE"""),23518.0)</f>
        <v>23518</v>
      </c>
      <c r="C16077" s="9">
        <f>IFERROR(__xludf.DUMMYFUNCTION("""COMPUTED_VALUE"""),4.2)</f>
        <v>4.2</v>
      </c>
      <c r="H16077" s="17"/>
      <c r="K16077" s="17"/>
      <c r="N16077" s="17"/>
    </row>
    <row r="16078">
      <c r="B16078" s="11">
        <f>IFERROR(__xludf.DUMMYFUNCTION("""COMPUTED_VALUE"""),23517.0)</f>
        <v>23517</v>
      </c>
      <c r="C16078" s="9">
        <f>IFERROR(__xludf.DUMMYFUNCTION("""COMPUTED_VALUE"""),4.2)</f>
        <v>4.2</v>
      </c>
      <c r="H16078" s="17"/>
      <c r="K16078" s="17"/>
      <c r="N16078" s="17"/>
    </row>
    <row r="16079">
      <c r="B16079" s="11">
        <f>IFERROR(__xludf.DUMMYFUNCTION("""COMPUTED_VALUE"""),23516.0)</f>
        <v>23516</v>
      </c>
      <c r="C16079" s="9">
        <f>IFERROR(__xludf.DUMMYFUNCTION("""COMPUTED_VALUE"""),4.19)</f>
        <v>4.19</v>
      </c>
      <c r="H16079" s="17"/>
      <c r="K16079" s="17"/>
      <c r="N16079" s="17"/>
    </row>
    <row r="16080">
      <c r="B16080" s="11">
        <f>IFERROR(__xludf.DUMMYFUNCTION("""COMPUTED_VALUE"""),23515.0)</f>
        <v>23515</v>
      </c>
      <c r="C16080" s="9">
        <f>IFERROR(__xludf.DUMMYFUNCTION("""COMPUTED_VALUE"""),4.19)</f>
        <v>4.19</v>
      </c>
      <c r="H16080" s="17"/>
      <c r="K16080" s="17"/>
      <c r="N16080" s="17"/>
    </row>
    <row r="16081">
      <c r="B16081" s="11">
        <f>IFERROR(__xludf.DUMMYFUNCTION("""COMPUTED_VALUE"""),23512.0)</f>
        <v>23512</v>
      </c>
      <c r="C16081" s="9">
        <f>IFERROR(__xludf.DUMMYFUNCTION("""COMPUTED_VALUE"""),4.19)</f>
        <v>4.19</v>
      </c>
      <c r="H16081" s="17"/>
      <c r="K16081" s="17"/>
      <c r="N16081" s="17"/>
    </row>
    <row r="16082">
      <c r="B16082" s="11">
        <f>IFERROR(__xludf.DUMMYFUNCTION("""COMPUTED_VALUE"""),23511.0)</f>
        <v>23511</v>
      </c>
      <c r="C16082" s="9">
        <f>IFERROR(__xludf.DUMMYFUNCTION("""COMPUTED_VALUE"""),4.19)</f>
        <v>4.19</v>
      </c>
      <c r="H16082" s="17"/>
      <c r="K16082" s="17"/>
      <c r="N16082" s="17"/>
    </row>
    <row r="16083">
      <c r="B16083" s="11">
        <f>IFERROR(__xludf.DUMMYFUNCTION("""COMPUTED_VALUE"""),23510.0)</f>
        <v>23510</v>
      </c>
      <c r="C16083" s="9">
        <f>IFERROR(__xludf.DUMMYFUNCTION("""COMPUTED_VALUE"""),4.19)</f>
        <v>4.19</v>
      </c>
      <c r="H16083" s="17"/>
      <c r="K16083" s="17"/>
      <c r="N16083" s="17"/>
    </row>
    <row r="16084">
      <c r="B16084" s="11">
        <f>IFERROR(__xludf.DUMMYFUNCTION("""COMPUTED_VALUE"""),23509.0)</f>
        <v>23509</v>
      </c>
      <c r="C16084" s="9">
        <f>IFERROR(__xludf.DUMMYFUNCTION("""COMPUTED_VALUE"""),4.19)</f>
        <v>4.19</v>
      </c>
      <c r="H16084" s="17"/>
      <c r="K16084" s="17"/>
      <c r="N16084" s="17"/>
    </row>
    <row r="16085">
      <c r="B16085" s="11">
        <f>IFERROR(__xludf.DUMMYFUNCTION("""COMPUTED_VALUE"""),23508.0)</f>
        <v>23508</v>
      </c>
      <c r="C16085" s="9">
        <f>IFERROR(__xludf.DUMMYFUNCTION("""COMPUTED_VALUE"""),4.19)</f>
        <v>4.19</v>
      </c>
      <c r="H16085" s="17"/>
      <c r="K16085" s="17"/>
      <c r="N16085" s="17"/>
    </row>
    <row r="16086">
      <c r="B16086" s="11">
        <f>IFERROR(__xludf.DUMMYFUNCTION("""COMPUTED_VALUE"""),23505.0)</f>
        <v>23505</v>
      </c>
      <c r="C16086" s="9">
        <f>IFERROR(__xludf.DUMMYFUNCTION("""COMPUTED_VALUE"""),4.2)</f>
        <v>4.2</v>
      </c>
      <c r="H16086" s="17"/>
      <c r="K16086" s="17"/>
      <c r="N16086" s="17"/>
    </row>
    <row r="16087">
      <c r="B16087" s="11">
        <f>IFERROR(__xludf.DUMMYFUNCTION("""COMPUTED_VALUE"""),23504.0)</f>
        <v>23504</v>
      </c>
      <c r="C16087" s="9">
        <f>IFERROR(__xludf.DUMMYFUNCTION("""COMPUTED_VALUE"""),4.22)</f>
        <v>4.22</v>
      </c>
      <c r="H16087" s="17"/>
      <c r="K16087" s="17"/>
      <c r="N16087" s="17"/>
    </row>
    <row r="16088">
      <c r="B16088" s="11">
        <f>IFERROR(__xludf.DUMMYFUNCTION("""COMPUTED_VALUE"""),23503.0)</f>
        <v>23503</v>
      </c>
      <c r="C16088" s="9">
        <f>IFERROR(__xludf.DUMMYFUNCTION("""COMPUTED_VALUE"""),4.22)</f>
        <v>4.22</v>
      </c>
      <c r="H16088" s="17"/>
      <c r="K16088" s="17"/>
      <c r="N16088" s="17"/>
    </row>
    <row r="16089">
      <c r="B16089" s="11">
        <f>IFERROR(__xludf.DUMMYFUNCTION("""COMPUTED_VALUE"""),23502.0)</f>
        <v>23502</v>
      </c>
      <c r="C16089" s="9">
        <f>IFERROR(__xludf.DUMMYFUNCTION("""COMPUTED_VALUE"""),4.22)</f>
        <v>4.22</v>
      </c>
      <c r="H16089" s="17"/>
      <c r="K16089" s="17"/>
      <c r="N16089" s="17"/>
    </row>
    <row r="16090">
      <c r="B16090" s="11">
        <f>IFERROR(__xludf.DUMMYFUNCTION("""COMPUTED_VALUE"""),23501.0)</f>
        <v>23501</v>
      </c>
      <c r="C16090" s="9">
        <f>IFERROR(__xludf.DUMMYFUNCTION("""COMPUTED_VALUE"""),4.22)</f>
        <v>4.22</v>
      </c>
      <c r="H16090" s="17"/>
      <c r="K16090" s="17"/>
      <c r="N16090" s="17"/>
    </row>
    <row r="16091">
      <c r="B16091" s="11">
        <f>IFERROR(__xludf.DUMMYFUNCTION("""COMPUTED_VALUE"""),23498.0)</f>
        <v>23498</v>
      </c>
      <c r="C16091" s="9">
        <f>IFERROR(__xludf.DUMMYFUNCTION("""COMPUTED_VALUE"""),4.22)</f>
        <v>4.22</v>
      </c>
      <c r="H16091" s="17"/>
      <c r="K16091" s="17"/>
      <c r="N16091" s="17"/>
    </row>
    <row r="16092">
      <c r="B16092" s="11">
        <f>IFERROR(__xludf.DUMMYFUNCTION("""COMPUTED_VALUE"""),23497.0)</f>
        <v>23497</v>
      </c>
      <c r="C16092" s="9">
        <f>IFERROR(__xludf.DUMMYFUNCTION("""COMPUTED_VALUE"""),4.22)</f>
        <v>4.22</v>
      </c>
      <c r="H16092" s="17"/>
      <c r="K16092" s="17"/>
      <c r="N16092" s="17"/>
    </row>
    <row r="16093">
      <c r="B16093" s="11">
        <f>IFERROR(__xludf.DUMMYFUNCTION("""COMPUTED_VALUE"""),23496.0)</f>
        <v>23496</v>
      </c>
      <c r="C16093" s="9">
        <f>IFERROR(__xludf.DUMMYFUNCTION("""COMPUTED_VALUE"""),4.22)</f>
        <v>4.22</v>
      </c>
      <c r="H16093" s="17"/>
      <c r="K16093" s="17"/>
      <c r="N16093" s="17"/>
    </row>
    <row r="16094">
      <c r="B16094" s="11">
        <f>IFERROR(__xludf.DUMMYFUNCTION("""COMPUTED_VALUE"""),23495.0)</f>
        <v>23495</v>
      </c>
      <c r="C16094" s="9">
        <f>IFERROR(__xludf.DUMMYFUNCTION("""COMPUTED_VALUE"""),4.23)</f>
        <v>4.23</v>
      </c>
      <c r="H16094" s="17"/>
      <c r="K16094" s="17"/>
      <c r="N16094" s="17"/>
    </row>
    <row r="16095">
      <c r="B16095" s="11">
        <f>IFERROR(__xludf.DUMMYFUNCTION("""COMPUTED_VALUE"""),23494.0)</f>
        <v>23494</v>
      </c>
      <c r="C16095" s="9">
        <f>IFERROR(__xludf.DUMMYFUNCTION("""COMPUTED_VALUE"""),4.23)</f>
        <v>4.23</v>
      </c>
      <c r="H16095" s="17"/>
      <c r="K16095" s="17"/>
      <c r="N16095" s="17"/>
    </row>
    <row r="16096">
      <c r="B16096" s="11">
        <f>IFERROR(__xludf.DUMMYFUNCTION("""COMPUTED_VALUE"""),23491.0)</f>
        <v>23491</v>
      </c>
      <c r="C16096" s="9">
        <f>IFERROR(__xludf.DUMMYFUNCTION("""COMPUTED_VALUE"""),4.23)</f>
        <v>4.23</v>
      </c>
      <c r="H16096" s="17"/>
      <c r="K16096" s="17"/>
      <c r="N16096" s="17"/>
    </row>
    <row r="16097">
      <c r="B16097" s="11">
        <f>IFERROR(__xludf.DUMMYFUNCTION("""COMPUTED_VALUE"""),23490.0)</f>
        <v>23490</v>
      </c>
      <c r="C16097" s="9">
        <f>IFERROR(__xludf.DUMMYFUNCTION("""COMPUTED_VALUE"""),4.23)</f>
        <v>4.23</v>
      </c>
      <c r="H16097" s="17"/>
      <c r="K16097" s="17"/>
      <c r="N16097" s="17"/>
    </row>
    <row r="16098">
      <c r="B16098" s="11">
        <f>IFERROR(__xludf.DUMMYFUNCTION("""COMPUTED_VALUE"""),23489.0)</f>
        <v>23489</v>
      </c>
      <c r="C16098" s="9">
        <f>IFERROR(__xludf.DUMMYFUNCTION("""COMPUTED_VALUE"""),4.23)</f>
        <v>4.23</v>
      </c>
      <c r="H16098" s="17"/>
      <c r="K16098" s="17"/>
      <c r="N16098" s="17"/>
    </row>
    <row r="16099">
      <c r="B16099" s="11">
        <f>IFERROR(__xludf.DUMMYFUNCTION("""COMPUTED_VALUE"""),23488.0)</f>
        <v>23488</v>
      </c>
      <c r="C16099" s="9">
        <f>IFERROR(__xludf.DUMMYFUNCTION("""COMPUTED_VALUE"""),4.23)</f>
        <v>4.23</v>
      </c>
      <c r="H16099" s="17"/>
      <c r="K16099" s="17"/>
      <c r="N16099" s="17"/>
    </row>
    <row r="16100">
      <c r="B16100" s="11">
        <f>IFERROR(__xludf.DUMMYFUNCTION("""COMPUTED_VALUE"""),23487.0)</f>
        <v>23487</v>
      </c>
      <c r="C16100" s="9">
        <f>IFERROR(__xludf.DUMMYFUNCTION("""COMPUTED_VALUE"""),4.24)</f>
        <v>4.24</v>
      </c>
      <c r="H16100" s="17"/>
      <c r="K16100" s="17"/>
      <c r="N16100" s="17"/>
    </row>
    <row r="16101">
      <c r="B16101" s="11">
        <f>IFERROR(__xludf.DUMMYFUNCTION("""COMPUTED_VALUE"""),23484.0)</f>
        <v>23484</v>
      </c>
      <c r="C16101" s="9">
        <f>IFERROR(__xludf.DUMMYFUNCTION("""COMPUTED_VALUE"""),4.24)</f>
        <v>4.24</v>
      </c>
      <c r="H16101" s="17"/>
      <c r="K16101" s="17"/>
      <c r="N16101" s="17"/>
    </row>
    <row r="16102">
      <c r="B16102" s="11">
        <f>IFERROR(__xludf.DUMMYFUNCTION("""COMPUTED_VALUE"""),23483.0)</f>
        <v>23483</v>
      </c>
      <c r="C16102" s="9">
        <f>IFERROR(__xludf.DUMMYFUNCTION("""COMPUTED_VALUE"""),4.23)</f>
        <v>4.23</v>
      </c>
      <c r="H16102" s="17"/>
      <c r="K16102" s="17"/>
      <c r="N16102" s="17"/>
    </row>
    <row r="16103">
      <c r="B16103" s="11">
        <f>IFERROR(__xludf.DUMMYFUNCTION("""COMPUTED_VALUE"""),23482.0)</f>
        <v>23482</v>
      </c>
      <c r="C16103" s="9">
        <f>IFERROR(__xludf.DUMMYFUNCTION("""COMPUTED_VALUE"""),4.23)</f>
        <v>4.23</v>
      </c>
      <c r="H16103" s="17"/>
      <c r="K16103" s="17"/>
      <c r="N16103" s="17"/>
    </row>
    <row r="16104">
      <c r="B16104" s="11">
        <f>IFERROR(__xludf.DUMMYFUNCTION("""COMPUTED_VALUE"""),23481.0)</f>
        <v>23481</v>
      </c>
      <c r="C16104" s="9">
        <f>IFERROR(__xludf.DUMMYFUNCTION("""COMPUTED_VALUE"""),4.24)</f>
        <v>4.24</v>
      </c>
      <c r="H16104" s="17"/>
      <c r="K16104" s="17"/>
      <c r="N16104" s="17"/>
    </row>
    <row r="16105">
      <c r="B16105" s="11">
        <f>IFERROR(__xludf.DUMMYFUNCTION("""COMPUTED_VALUE"""),23480.0)</f>
        <v>23480</v>
      </c>
      <c r="C16105" s="9">
        <f>IFERROR(__xludf.DUMMYFUNCTION("""COMPUTED_VALUE"""),4.23)</f>
        <v>4.23</v>
      </c>
      <c r="H16105" s="17"/>
      <c r="K16105" s="17"/>
      <c r="N16105" s="17"/>
    </row>
    <row r="16106">
      <c r="B16106" s="11">
        <f>IFERROR(__xludf.DUMMYFUNCTION("""COMPUTED_VALUE"""),23477.0)</f>
        <v>23477</v>
      </c>
      <c r="C16106" s="9">
        <f>IFERROR(__xludf.DUMMYFUNCTION("""COMPUTED_VALUE"""),4.22)</f>
        <v>4.22</v>
      </c>
      <c r="H16106" s="17"/>
      <c r="K16106" s="17"/>
      <c r="N16106" s="17"/>
    </row>
    <row r="16107">
      <c r="B16107" s="11">
        <f>IFERROR(__xludf.DUMMYFUNCTION("""COMPUTED_VALUE"""),23476.0)</f>
        <v>23476</v>
      </c>
      <c r="C16107" s="9">
        <f>IFERROR(__xludf.DUMMYFUNCTION("""COMPUTED_VALUE"""),4.22)</f>
        <v>4.22</v>
      </c>
      <c r="H16107" s="17"/>
      <c r="K16107" s="17"/>
      <c r="N16107" s="17"/>
    </row>
    <row r="16108">
      <c r="B16108" s="11">
        <f>IFERROR(__xludf.DUMMYFUNCTION("""COMPUTED_VALUE"""),23475.0)</f>
        <v>23475</v>
      </c>
      <c r="C16108" s="9">
        <f>IFERROR(__xludf.DUMMYFUNCTION("""COMPUTED_VALUE"""),4.22)</f>
        <v>4.22</v>
      </c>
      <c r="H16108" s="17"/>
      <c r="K16108" s="17"/>
      <c r="N16108" s="17"/>
    </row>
    <row r="16109">
      <c r="B16109" s="11">
        <f>IFERROR(__xludf.DUMMYFUNCTION("""COMPUTED_VALUE"""),23474.0)</f>
        <v>23474</v>
      </c>
      <c r="C16109" s="9">
        <f>IFERROR(__xludf.DUMMYFUNCTION("""COMPUTED_VALUE"""),4.25)</f>
        <v>4.25</v>
      </c>
      <c r="H16109" s="17"/>
      <c r="K16109" s="17"/>
      <c r="N16109" s="17"/>
    </row>
    <row r="16110">
      <c r="B16110" s="11">
        <f>IFERROR(__xludf.DUMMYFUNCTION("""COMPUTED_VALUE"""),23473.0)</f>
        <v>23473</v>
      </c>
      <c r="C16110" s="9">
        <f>IFERROR(__xludf.DUMMYFUNCTION("""COMPUTED_VALUE"""),4.25)</f>
        <v>4.25</v>
      </c>
      <c r="H16110" s="17"/>
      <c r="K16110" s="17"/>
      <c r="N16110" s="17"/>
    </row>
    <row r="16111">
      <c r="B16111" s="11">
        <f>IFERROR(__xludf.DUMMYFUNCTION("""COMPUTED_VALUE"""),23470.0)</f>
        <v>23470</v>
      </c>
      <c r="C16111" s="9">
        <f>IFERROR(__xludf.DUMMYFUNCTION("""COMPUTED_VALUE"""),4.25)</f>
        <v>4.25</v>
      </c>
      <c r="H16111" s="17"/>
      <c r="K16111" s="17"/>
      <c r="N16111" s="17"/>
    </row>
    <row r="16112">
      <c r="B16112" s="11">
        <f>IFERROR(__xludf.DUMMYFUNCTION("""COMPUTED_VALUE"""),23469.0)</f>
        <v>23469</v>
      </c>
      <c r="C16112" s="9">
        <f>IFERROR(__xludf.DUMMYFUNCTION("""COMPUTED_VALUE"""),4.24)</f>
        <v>4.24</v>
      </c>
      <c r="H16112" s="17"/>
      <c r="K16112" s="17"/>
      <c r="N16112" s="17"/>
    </row>
    <row r="16113">
      <c r="B16113" s="11">
        <f>IFERROR(__xludf.DUMMYFUNCTION("""COMPUTED_VALUE"""),23468.0)</f>
        <v>23468</v>
      </c>
      <c r="C16113" s="9">
        <f>IFERROR(__xludf.DUMMYFUNCTION("""COMPUTED_VALUE"""),4.23)</f>
        <v>4.23</v>
      </c>
      <c r="H16113" s="17"/>
      <c r="K16113" s="17"/>
      <c r="N16113" s="17"/>
    </row>
    <row r="16114">
      <c r="B16114" s="11">
        <f>IFERROR(__xludf.DUMMYFUNCTION("""COMPUTED_VALUE"""),23467.0)</f>
        <v>23467</v>
      </c>
      <c r="C16114" s="9">
        <f>IFERROR(__xludf.DUMMYFUNCTION("""COMPUTED_VALUE"""),4.23)</f>
        <v>4.23</v>
      </c>
      <c r="H16114" s="17"/>
      <c r="K16114" s="17"/>
      <c r="N16114" s="17"/>
    </row>
    <row r="16115">
      <c r="B16115" s="11">
        <f>IFERROR(__xludf.DUMMYFUNCTION("""COMPUTED_VALUE"""),23466.0)</f>
        <v>23466</v>
      </c>
      <c r="C16115" s="9">
        <f>IFERROR(__xludf.DUMMYFUNCTION("""COMPUTED_VALUE"""),4.25)</f>
        <v>4.25</v>
      </c>
      <c r="H16115" s="17"/>
      <c r="K16115" s="17"/>
      <c r="N16115" s="17"/>
    </row>
    <row r="16116">
      <c r="B16116" s="11">
        <f>IFERROR(__xludf.DUMMYFUNCTION("""COMPUTED_VALUE"""),23463.0)</f>
        <v>23463</v>
      </c>
      <c r="C16116" s="9"/>
      <c r="H16116" s="17"/>
      <c r="K16116" s="17"/>
      <c r="N16116" s="17"/>
    </row>
    <row r="16117">
      <c r="B16117" s="11">
        <f>IFERROR(__xludf.DUMMYFUNCTION("""COMPUTED_VALUE"""),23462.0)</f>
        <v>23462</v>
      </c>
      <c r="C16117" s="9">
        <f>IFERROR(__xludf.DUMMYFUNCTION("""COMPUTED_VALUE"""),4.25)</f>
        <v>4.25</v>
      </c>
      <c r="H16117" s="17"/>
      <c r="K16117" s="17"/>
      <c r="N16117" s="17"/>
    </row>
    <row r="16118">
      <c r="B16118" s="11">
        <f>IFERROR(__xludf.DUMMYFUNCTION("""COMPUTED_VALUE"""),23461.0)</f>
        <v>23461</v>
      </c>
      <c r="C16118" s="9">
        <f>IFERROR(__xludf.DUMMYFUNCTION("""COMPUTED_VALUE"""),4.26)</f>
        <v>4.26</v>
      </c>
      <c r="H16118" s="17"/>
      <c r="K16118" s="17"/>
      <c r="N16118" s="17"/>
    </row>
    <row r="16119">
      <c r="B16119" s="11">
        <f>IFERROR(__xludf.DUMMYFUNCTION("""COMPUTED_VALUE"""),23460.0)</f>
        <v>23460</v>
      </c>
      <c r="C16119" s="9">
        <f>IFERROR(__xludf.DUMMYFUNCTION("""COMPUTED_VALUE"""),4.26)</f>
        <v>4.26</v>
      </c>
      <c r="H16119" s="17"/>
      <c r="K16119" s="17"/>
      <c r="N16119" s="17"/>
    </row>
    <row r="16120">
      <c r="B16120" s="11">
        <f>IFERROR(__xludf.DUMMYFUNCTION("""COMPUTED_VALUE"""),23459.0)</f>
        <v>23459</v>
      </c>
      <c r="C16120" s="9">
        <f>IFERROR(__xludf.DUMMYFUNCTION("""COMPUTED_VALUE"""),4.25)</f>
        <v>4.25</v>
      </c>
      <c r="H16120" s="17"/>
      <c r="K16120" s="17"/>
      <c r="N16120" s="17"/>
    </row>
    <row r="16121">
      <c r="B16121" s="11">
        <f>IFERROR(__xludf.DUMMYFUNCTION("""COMPUTED_VALUE"""),23456.0)</f>
        <v>23456</v>
      </c>
      <c r="C16121" s="9">
        <f>IFERROR(__xludf.DUMMYFUNCTION("""COMPUTED_VALUE"""),4.25)</f>
        <v>4.25</v>
      </c>
      <c r="H16121" s="17"/>
      <c r="K16121" s="17"/>
      <c r="N16121" s="17"/>
    </row>
    <row r="16122">
      <c r="B16122" s="11">
        <f>IFERROR(__xludf.DUMMYFUNCTION("""COMPUTED_VALUE"""),23455.0)</f>
        <v>23455</v>
      </c>
      <c r="C16122" s="9">
        <f>IFERROR(__xludf.DUMMYFUNCTION("""COMPUTED_VALUE"""),4.24)</f>
        <v>4.24</v>
      </c>
      <c r="H16122" s="17"/>
      <c r="K16122" s="17"/>
      <c r="N16122" s="17"/>
    </row>
    <row r="16123">
      <c r="B16123" s="11">
        <f>IFERROR(__xludf.DUMMYFUNCTION("""COMPUTED_VALUE"""),23454.0)</f>
        <v>23454</v>
      </c>
      <c r="C16123" s="9">
        <f>IFERROR(__xludf.DUMMYFUNCTION("""COMPUTED_VALUE"""),4.23)</f>
        <v>4.23</v>
      </c>
      <c r="H16123" s="17"/>
      <c r="K16123" s="17"/>
      <c r="N16123" s="17"/>
    </row>
    <row r="16124">
      <c r="B16124" s="11">
        <f>IFERROR(__xludf.DUMMYFUNCTION("""COMPUTED_VALUE"""),23453.0)</f>
        <v>23453</v>
      </c>
      <c r="C16124" s="9">
        <f>IFERROR(__xludf.DUMMYFUNCTION("""COMPUTED_VALUE"""),4.22)</f>
        <v>4.22</v>
      </c>
      <c r="H16124" s="17"/>
      <c r="K16124" s="17"/>
      <c r="N16124" s="17"/>
    </row>
    <row r="16125">
      <c r="B16125" s="11">
        <f>IFERROR(__xludf.DUMMYFUNCTION("""COMPUTED_VALUE"""),23452.0)</f>
        <v>23452</v>
      </c>
      <c r="C16125" s="9">
        <f>IFERROR(__xludf.DUMMYFUNCTION("""COMPUTED_VALUE"""),4.21)</f>
        <v>4.21</v>
      </c>
      <c r="H16125" s="17"/>
      <c r="K16125" s="17"/>
      <c r="N16125" s="17"/>
    </row>
    <row r="16126">
      <c r="B16126" s="11">
        <f>IFERROR(__xludf.DUMMYFUNCTION("""COMPUTED_VALUE"""),23449.0)</f>
        <v>23449</v>
      </c>
      <c r="C16126" s="9">
        <f>IFERROR(__xludf.DUMMYFUNCTION("""COMPUTED_VALUE"""),4.22)</f>
        <v>4.22</v>
      </c>
      <c r="H16126" s="17"/>
      <c r="K16126" s="17"/>
      <c r="N16126" s="17"/>
    </row>
    <row r="16127">
      <c r="B16127" s="11">
        <f>IFERROR(__xludf.DUMMYFUNCTION("""COMPUTED_VALUE"""),23448.0)</f>
        <v>23448</v>
      </c>
      <c r="C16127" s="9">
        <f>IFERROR(__xludf.DUMMYFUNCTION("""COMPUTED_VALUE"""),4.21)</f>
        <v>4.21</v>
      </c>
      <c r="H16127" s="17"/>
      <c r="K16127" s="17"/>
      <c r="N16127" s="17"/>
    </row>
    <row r="16128">
      <c r="B16128" s="11">
        <f>IFERROR(__xludf.DUMMYFUNCTION("""COMPUTED_VALUE"""),23447.0)</f>
        <v>23447</v>
      </c>
      <c r="C16128" s="9">
        <f>IFERROR(__xludf.DUMMYFUNCTION("""COMPUTED_VALUE"""),4.21)</f>
        <v>4.21</v>
      </c>
      <c r="H16128" s="17"/>
      <c r="K16128" s="17"/>
      <c r="N16128" s="17"/>
    </row>
    <row r="16129">
      <c r="B16129" s="11">
        <f>IFERROR(__xludf.DUMMYFUNCTION("""COMPUTED_VALUE"""),23446.0)</f>
        <v>23446</v>
      </c>
      <c r="C16129" s="9">
        <f>IFERROR(__xludf.DUMMYFUNCTION("""COMPUTED_VALUE"""),4.2)</f>
        <v>4.2</v>
      </c>
      <c r="H16129" s="17"/>
      <c r="K16129" s="17"/>
      <c r="N16129" s="17"/>
    </row>
    <row r="16130">
      <c r="B16130" s="11">
        <f>IFERROR(__xludf.DUMMYFUNCTION("""COMPUTED_VALUE"""),23445.0)</f>
        <v>23445</v>
      </c>
      <c r="C16130" s="9">
        <f>IFERROR(__xludf.DUMMYFUNCTION("""COMPUTED_VALUE"""),4.2)</f>
        <v>4.2</v>
      </c>
      <c r="H16130" s="17"/>
      <c r="K16130" s="17"/>
      <c r="N16130" s="17"/>
    </row>
    <row r="16131">
      <c r="B16131" s="11">
        <f>IFERROR(__xludf.DUMMYFUNCTION("""COMPUTED_VALUE"""),23442.0)</f>
        <v>23442</v>
      </c>
      <c r="C16131" s="9">
        <f>IFERROR(__xludf.DUMMYFUNCTION("""COMPUTED_VALUE"""),4.19)</f>
        <v>4.19</v>
      </c>
      <c r="H16131" s="17"/>
      <c r="K16131" s="17"/>
      <c r="N16131" s="17"/>
    </row>
    <row r="16132">
      <c r="B16132" s="11">
        <f>IFERROR(__xludf.DUMMYFUNCTION("""COMPUTED_VALUE"""),23441.0)</f>
        <v>23441</v>
      </c>
      <c r="C16132" s="9">
        <f>IFERROR(__xludf.DUMMYFUNCTION("""COMPUTED_VALUE"""),4.19)</f>
        <v>4.19</v>
      </c>
      <c r="H16132" s="17"/>
      <c r="K16132" s="17"/>
      <c r="N16132" s="17"/>
    </row>
    <row r="16133">
      <c r="B16133" s="11">
        <f>IFERROR(__xludf.DUMMYFUNCTION("""COMPUTED_VALUE"""),23440.0)</f>
        <v>23440</v>
      </c>
      <c r="C16133" s="9">
        <f>IFERROR(__xludf.DUMMYFUNCTION("""COMPUTED_VALUE"""),4.19)</f>
        <v>4.19</v>
      </c>
      <c r="H16133" s="17"/>
      <c r="K16133" s="17"/>
      <c r="N16133" s="17"/>
    </row>
    <row r="16134">
      <c r="B16134" s="11">
        <f>IFERROR(__xludf.DUMMYFUNCTION("""COMPUTED_VALUE"""),23439.0)</f>
        <v>23439</v>
      </c>
      <c r="C16134" s="9">
        <f>IFERROR(__xludf.DUMMYFUNCTION("""COMPUTED_VALUE"""),4.18)</f>
        <v>4.18</v>
      </c>
      <c r="H16134" s="17"/>
      <c r="K16134" s="17"/>
      <c r="N16134" s="17"/>
    </row>
    <row r="16135">
      <c r="B16135" s="11">
        <f>IFERROR(__xludf.DUMMYFUNCTION("""COMPUTED_VALUE"""),23438.0)</f>
        <v>23438</v>
      </c>
      <c r="C16135" s="9">
        <f>IFERROR(__xludf.DUMMYFUNCTION("""COMPUTED_VALUE"""),4.17)</f>
        <v>4.17</v>
      </c>
      <c r="H16135" s="17"/>
      <c r="K16135" s="17"/>
      <c r="N16135" s="17"/>
    </row>
    <row r="16136">
      <c r="B16136" s="11">
        <f>IFERROR(__xludf.DUMMYFUNCTION("""COMPUTED_VALUE"""),23435.0)</f>
        <v>23435</v>
      </c>
      <c r="C16136" s="9">
        <f>IFERROR(__xludf.DUMMYFUNCTION("""COMPUTED_VALUE"""),4.18)</f>
        <v>4.18</v>
      </c>
      <c r="H16136" s="17"/>
      <c r="K16136" s="17"/>
      <c r="N16136" s="17"/>
    </row>
    <row r="16137">
      <c r="B16137" s="11">
        <f>IFERROR(__xludf.DUMMYFUNCTION("""COMPUTED_VALUE"""),23434.0)</f>
        <v>23434</v>
      </c>
      <c r="C16137" s="9">
        <f>IFERROR(__xludf.DUMMYFUNCTION("""COMPUTED_VALUE"""),4.17)</f>
        <v>4.17</v>
      </c>
      <c r="H16137" s="17"/>
      <c r="K16137" s="17"/>
      <c r="N16137" s="17"/>
    </row>
    <row r="16138">
      <c r="B16138" s="11">
        <f>IFERROR(__xludf.DUMMYFUNCTION("""COMPUTED_VALUE"""),23433.0)</f>
        <v>23433</v>
      </c>
      <c r="C16138" s="9">
        <f>IFERROR(__xludf.DUMMYFUNCTION("""COMPUTED_VALUE"""),4.15)</f>
        <v>4.15</v>
      </c>
      <c r="H16138" s="17"/>
      <c r="K16138" s="17"/>
      <c r="N16138" s="17"/>
    </row>
    <row r="16139">
      <c r="B16139" s="11">
        <f>IFERROR(__xludf.DUMMYFUNCTION("""COMPUTED_VALUE"""),23432.0)</f>
        <v>23432</v>
      </c>
      <c r="C16139" s="9">
        <f>IFERROR(__xludf.DUMMYFUNCTION("""COMPUTED_VALUE"""),4.15)</f>
        <v>4.15</v>
      </c>
      <c r="H16139" s="17"/>
      <c r="K16139" s="17"/>
      <c r="N16139" s="17"/>
    </row>
    <row r="16140">
      <c r="B16140" s="11">
        <f>IFERROR(__xludf.DUMMYFUNCTION("""COMPUTED_VALUE"""),23431.0)</f>
        <v>23431</v>
      </c>
      <c r="C16140" s="9">
        <f>IFERROR(__xludf.DUMMYFUNCTION("""COMPUTED_VALUE"""),4.15)</f>
        <v>4.15</v>
      </c>
      <c r="H16140" s="17"/>
      <c r="K16140" s="17"/>
      <c r="N16140" s="17"/>
    </row>
    <row r="16141">
      <c r="B16141" s="11">
        <f>IFERROR(__xludf.DUMMYFUNCTION("""COMPUTED_VALUE"""),23428.0)</f>
        <v>23428</v>
      </c>
      <c r="C16141" s="9"/>
      <c r="H16141" s="17"/>
      <c r="K16141" s="17"/>
      <c r="N16141" s="17"/>
    </row>
    <row r="16142">
      <c r="B16142" s="11">
        <f>IFERROR(__xludf.DUMMYFUNCTION("""COMPUTED_VALUE"""),23427.0)</f>
        <v>23427</v>
      </c>
      <c r="C16142" s="9">
        <f>IFERROR(__xludf.DUMMYFUNCTION("""COMPUTED_VALUE"""),4.14)</f>
        <v>4.14</v>
      </c>
      <c r="H16142" s="17"/>
      <c r="K16142" s="17"/>
      <c r="N16142" s="17"/>
    </row>
    <row r="16143">
      <c r="B16143" s="11">
        <f>IFERROR(__xludf.DUMMYFUNCTION("""COMPUTED_VALUE"""),23426.0)</f>
        <v>23426</v>
      </c>
      <c r="C16143" s="9">
        <f>IFERROR(__xludf.DUMMYFUNCTION("""COMPUTED_VALUE"""),4.14)</f>
        <v>4.14</v>
      </c>
      <c r="H16143" s="17"/>
      <c r="K16143" s="17"/>
      <c r="N16143" s="17"/>
    </row>
    <row r="16144">
      <c r="B16144" s="11">
        <f>IFERROR(__xludf.DUMMYFUNCTION("""COMPUTED_VALUE"""),23425.0)</f>
        <v>23425</v>
      </c>
      <c r="C16144" s="9">
        <f>IFERROR(__xludf.DUMMYFUNCTION("""COMPUTED_VALUE"""),4.14)</f>
        <v>4.14</v>
      </c>
      <c r="H16144" s="17"/>
      <c r="K16144" s="17"/>
      <c r="N16144" s="17"/>
    </row>
    <row r="16145">
      <c r="B16145" s="11">
        <f>IFERROR(__xludf.DUMMYFUNCTION("""COMPUTED_VALUE"""),23424.0)</f>
        <v>23424</v>
      </c>
      <c r="C16145" s="9">
        <f>IFERROR(__xludf.DUMMYFUNCTION("""COMPUTED_VALUE"""),4.13)</f>
        <v>4.13</v>
      </c>
      <c r="H16145" s="17"/>
      <c r="K16145" s="17"/>
      <c r="N16145" s="17"/>
    </row>
    <row r="16146">
      <c r="B16146" s="11">
        <f>IFERROR(__xludf.DUMMYFUNCTION("""COMPUTED_VALUE"""),23421.0)</f>
        <v>23421</v>
      </c>
      <c r="C16146" s="9">
        <f>IFERROR(__xludf.DUMMYFUNCTION("""COMPUTED_VALUE"""),4.13)</f>
        <v>4.13</v>
      </c>
      <c r="H16146" s="17"/>
      <c r="K16146" s="17"/>
      <c r="N16146" s="17"/>
    </row>
    <row r="16147">
      <c r="B16147" s="11">
        <f>IFERROR(__xludf.DUMMYFUNCTION("""COMPUTED_VALUE"""),23420.0)</f>
        <v>23420</v>
      </c>
      <c r="C16147" s="9">
        <f>IFERROR(__xludf.DUMMYFUNCTION("""COMPUTED_VALUE"""),4.13)</f>
        <v>4.13</v>
      </c>
      <c r="H16147" s="17"/>
      <c r="K16147" s="17"/>
      <c r="N16147" s="17"/>
    </row>
    <row r="16148">
      <c r="B16148" s="11">
        <f>IFERROR(__xludf.DUMMYFUNCTION("""COMPUTED_VALUE"""),23419.0)</f>
        <v>23419</v>
      </c>
      <c r="C16148" s="9"/>
      <c r="H16148" s="17"/>
      <c r="K16148" s="17"/>
      <c r="N16148" s="17"/>
    </row>
    <row r="16149">
      <c r="B16149" s="11">
        <f>IFERROR(__xludf.DUMMYFUNCTION("""COMPUTED_VALUE"""),23418.0)</f>
        <v>23418</v>
      </c>
      <c r="C16149" s="9">
        <f>IFERROR(__xludf.DUMMYFUNCTION("""COMPUTED_VALUE"""),4.14)</f>
        <v>4.14</v>
      </c>
      <c r="H16149" s="17"/>
      <c r="K16149" s="17"/>
      <c r="N16149" s="17"/>
    </row>
    <row r="16150">
      <c r="B16150" s="11">
        <f>IFERROR(__xludf.DUMMYFUNCTION("""COMPUTED_VALUE"""),23417.0)</f>
        <v>23417</v>
      </c>
      <c r="C16150" s="9">
        <f>IFERROR(__xludf.DUMMYFUNCTION("""COMPUTED_VALUE"""),4.14)</f>
        <v>4.14</v>
      </c>
      <c r="H16150" s="17"/>
      <c r="K16150" s="17"/>
      <c r="N16150" s="17"/>
    </row>
    <row r="16151">
      <c r="B16151" s="11">
        <f>IFERROR(__xludf.DUMMYFUNCTION("""COMPUTED_VALUE"""),23414.0)</f>
        <v>23414</v>
      </c>
      <c r="C16151" s="9">
        <f>IFERROR(__xludf.DUMMYFUNCTION("""COMPUTED_VALUE"""),4.14)</f>
        <v>4.14</v>
      </c>
      <c r="H16151" s="17"/>
      <c r="K16151" s="17"/>
      <c r="N16151" s="17"/>
    </row>
    <row r="16152">
      <c r="B16152" s="11">
        <f>IFERROR(__xludf.DUMMYFUNCTION("""COMPUTED_VALUE"""),23413.0)</f>
        <v>23413</v>
      </c>
      <c r="C16152" s="9">
        <f>IFERROR(__xludf.DUMMYFUNCTION("""COMPUTED_VALUE"""),4.14)</f>
        <v>4.14</v>
      </c>
      <c r="H16152" s="17"/>
      <c r="K16152" s="17"/>
      <c r="N16152" s="17"/>
    </row>
    <row r="16153">
      <c r="B16153" s="11">
        <f>IFERROR(__xludf.DUMMYFUNCTION("""COMPUTED_VALUE"""),23412.0)</f>
        <v>23412</v>
      </c>
      <c r="C16153" s="9">
        <f>IFERROR(__xludf.DUMMYFUNCTION("""COMPUTED_VALUE"""),4.15)</f>
        <v>4.15</v>
      </c>
      <c r="H16153" s="17"/>
      <c r="K16153" s="17"/>
      <c r="N16153" s="17"/>
    </row>
    <row r="16154">
      <c r="B16154" s="11">
        <f>IFERROR(__xludf.DUMMYFUNCTION("""COMPUTED_VALUE"""),23411.0)</f>
        <v>23411</v>
      </c>
      <c r="C16154" s="9">
        <f>IFERROR(__xludf.DUMMYFUNCTION("""COMPUTED_VALUE"""),4.15)</f>
        <v>4.15</v>
      </c>
      <c r="H16154" s="17"/>
      <c r="K16154" s="17"/>
      <c r="N16154" s="17"/>
    </row>
    <row r="16155">
      <c r="B16155" s="11">
        <f>IFERROR(__xludf.DUMMYFUNCTION("""COMPUTED_VALUE"""),23410.0)</f>
        <v>23410</v>
      </c>
      <c r="C16155" s="9">
        <f>IFERROR(__xludf.DUMMYFUNCTION("""COMPUTED_VALUE"""),4.15)</f>
        <v>4.15</v>
      </c>
      <c r="H16155" s="17"/>
      <c r="K16155" s="17"/>
      <c r="N16155" s="17"/>
    </row>
    <row r="16156">
      <c r="B16156" s="11">
        <f>IFERROR(__xludf.DUMMYFUNCTION("""COMPUTED_VALUE"""),23407.0)</f>
        <v>23407</v>
      </c>
      <c r="C16156" s="9">
        <f>IFERROR(__xludf.DUMMYFUNCTION("""COMPUTED_VALUE"""),4.15)</f>
        <v>4.15</v>
      </c>
      <c r="H16156" s="17"/>
      <c r="K16156" s="17"/>
      <c r="N16156" s="17"/>
    </row>
    <row r="16157">
      <c r="B16157" s="11">
        <f>IFERROR(__xludf.DUMMYFUNCTION("""COMPUTED_VALUE"""),23406.0)</f>
        <v>23406</v>
      </c>
      <c r="C16157" s="9">
        <f>IFERROR(__xludf.DUMMYFUNCTION("""COMPUTED_VALUE"""),4.16)</f>
        <v>4.16</v>
      </c>
      <c r="H16157" s="17"/>
      <c r="K16157" s="17"/>
      <c r="N16157" s="17"/>
    </row>
    <row r="16158">
      <c r="B16158" s="11">
        <f>IFERROR(__xludf.DUMMYFUNCTION("""COMPUTED_VALUE"""),23405.0)</f>
        <v>23405</v>
      </c>
      <c r="C16158" s="9">
        <f>IFERROR(__xludf.DUMMYFUNCTION("""COMPUTED_VALUE"""),4.17)</f>
        <v>4.17</v>
      </c>
      <c r="H16158" s="17"/>
      <c r="K16158" s="17"/>
      <c r="N16158" s="17"/>
    </row>
    <row r="16159">
      <c r="B16159" s="11">
        <f>IFERROR(__xludf.DUMMYFUNCTION("""COMPUTED_VALUE"""),23404.0)</f>
        <v>23404</v>
      </c>
      <c r="C16159" s="9">
        <f>IFERROR(__xludf.DUMMYFUNCTION("""COMPUTED_VALUE"""),4.17)</f>
        <v>4.17</v>
      </c>
      <c r="H16159" s="17"/>
      <c r="K16159" s="17"/>
      <c r="N16159" s="17"/>
    </row>
    <row r="16160">
      <c r="B16160" s="11">
        <f>IFERROR(__xludf.DUMMYFUNCTION("""COMPUTED_VALUE"""),23403.0)</f>
        <v>23403</v>
      </c>
      <c r="C16160" s="9">
        <f>IFERROR(__xludf.DUMMYFUNCTION("""COMPUTED_VALUE"""),4.18)</f>
        <v>4.18</v>
      </c>
      <c r="H16160" s="17"/>
      <c r="K16160" s="17"/>
      <c r="N16160" s="17"/>
    </row>
    <row r="16161">
      <c r="B16161" s="11">
        <f>IFERROR(__xludf.DUMMYFUNCTION("""COMPUTED_VALUE"""),23400.0)</f>
        <v>23400</v>
      </c>
      <c r="C16161" s="9">
        <f>IFERROR(__xludf.DUMMYFUNCTION("""COMPUTED_VALUE"""),4.18)</f>
        <v>4.18</v>
      </c>
      <c r="H16161" s="17"/>
      <c r="K16161" s="17"/>
      <c r="N16161" s="17"/>
    </row>
    <row r="16162">
      <c r="B16162" s="11">
        <f>IFERROR(__xludf.DUMMYFUNCTION("""COMPUTED_VALUE"""),23399.0)</f>
        <v>23399</v>
      </c>
      <c r="C16162" s="9">
        <f>IFERROR(__xludf.DUMMYFUNCTION("""COMPUTED_VALUE"""),4.16)</f>
        <v>4.16</v>
      </c>
      <c r="H16162" s="17"/>
      <c r="K16162" s="17"/>
      <c r="N16162" s="17"/>
    </row>
    <row r="16163">
      <c r="B16163" s="11">
        <f>IFERROR(__xludf.DUMMYFUNCTION("""COMPUTED_VALUE"""),23398.0)</f>
        <v>23398</v>
      </c>
      <c r="C16163" s="9">
        <f>IFERROR(__xludf.DUMMYFUNCTION("""COMPUTED_VALUE"""),4.16)</f>
        <v>4.16</v>
      </c>
      <c r="H16163" s="17"/>
      <c r="K16163" s="17"/>
      <c r="N16163" s="17"/>
    </row>
    <row r="16164">
      <c r="B16164" s="11">
        <f>IFERROR(__xludf.DUMMYFUNCTION("""COMPUTED_VALUE"""),23397.0)</f>
        <v>23397</v>
      </c>
      <c r="C16164" s="9">
        <f>IFERROR(__xludf.DUMMYFUNCTION("""COMPUTED_VALUE"""),4.16)</f>
        <v>4.16</v>
      </c>
      <c r="H16164" s="17"/>
      <c r="K16164" s="17"/>
      <c r="N16164" s="17"/>
    </row>
    <row r="16165">
      <c r="B16165" s="11">
        <f>IFERROR(__xludf.DUMMYFUNCTION("""COMPUTED_VALUE"""),23396.0)</f>
        <v>23396</v>
      </c>
      <c r="C16165" s="9">
        <f>IFERROR(__xludf.DUMMYFUNCTION("""COMPUTED_VALUE"""),4.16)</f>
        <v>4.16</v>
      </c>
      <c r="H16165" s="17"/>
      <c r="K16165" s="17"/>
      <c r="N16165" s="17"/>
    </row>
    <row r="16166">
      <c r="B16166" s="11">
        <f>IFERROR(__xludf.DUMMYFUNCTION("""COMPUTED_VALUE"""),23393.0)</f>
        <v>23393</v>
      </c>
      <c r="C16166" s="9">
        <f>IFERROR(__xludf.DUMMYFUNCTION("""COMPUTED_VALUE"""),4.17)</f>
        <v>4.17</v>
      </c>
      <c r="H16166" s="17"/>
      <c r="K16166" s="17"/>
      <c r="N16166" s="17"/>
    </row>
    <row r="16167">
      <c r="B16167" s="11">
        <f>IFERROR(__xludf.DUMMYFUNCTION("""COMPUTED_VALUE"""),23392.0)</f>
        <v>23392</v>
      </c>
      <c r="C16167" s="9">
        <f>IFERROR(__xludf.DUMMYFUNCTION("""COMPUTED_VALUE"""),4.17)</f>
        <v>4.17</v>
      </c>
      <c r="H16167" s="17"/>
      <c r="K16167" s="17"/>
      <c r="N16167" s="17"/>
    </row>
    <row r="16168">
      <c r="B16168" s="11">
        <f>IFERROR(__xludf.DUMMYFUNCTION("""COMPUTED_VALUE"""),23391.0)</f>
        <v>23391</v>
      </c>
      <c r="C16168" s="9">
        <f>IFERROR(__xludf.DUMMYFUNCTION("""COMPUTED_VALUE"""),4.18)</f>
        <v>4.18</v>
      </c>
      <c r="H16168" s="17"/>
      <c r="K16168" s="17"/>
      <c r="N16168" s="17"/>
    </row>
    <row r="16169">
      <c r="B16169" s="11">
        <f>IFERROR(__xludf.DUMMYFUNCTION("""COMPUTED_VALUE"""),23390.0)</f>
        <v>23390</v>
      </c>
      <c r="C16169" s="9">
        <f>IFERROR(__xludf.DUMMYFUNCTION("""COMPUTED_VALUE"""),4.18)</f>
        <v>4.18</v>
      </c>
      <c r="H16169" s="17"/>
      <c r="K16169" s="17"/>
      <c r="N16169" s="17"/>
    </row>
    <row r="16170">
      <c r="B16170" s="11">
        <f>IFERROR(__xludf.DUMMYFUNCTION("""COMPUTED_VALUE"""),23389.0)</f>
        <v>23389</v>
      </c>
      <c r="C16170" s="9">
        <f>IFERROR(__xludf.DUMMYFUNCTION("""COMPUTED_VALUE"""),4.18)</f>
        <v>4.18</v>
      </c>
      <c r="H16170" s="17"/>
      <c r="K16170" s="17"/>
      <c r="N16170" s="17"/>
    </row>
    <row r="16171">
      <c r="B16171" s="11">
        <f>IFERROR(__xludf.DUMMYFUNCTION("""COMPUTED_VALUE"""),23386.0)</f>
        <v>23386</v>
      </c>
      <c r="C16171" s="9">
        <f>IFERROR(__xludf.DUMMYFUNCTION("""COMPUTED_VALUE"""),4.18)</f>
        <v>4.18</v>
      </c>
      <c r="H16171" s="17"/>
      <c r="K16171" s="17"/>
      <c r="N16171" s="17"/>
    </row>
    <row r="16172">
      <c r="B16172" s="11">
        <f>IFERROR(__xludf.DUMMYFUNCTION("""COMPUTED_VALUE"""),23385.0)</f>
        <v>23385</v>
      </c>
      <c r="C16172" s="9">
        <f>IFERROR(__xludf.DUMMYFUNCTION("""COMPUTED_VALUE"""),4.18)</f>
        <v>4.18</v>
      </c>
      <c r="H16172" s="17"/>
      <c r="K16172" s="17"/>
      <c r="N16172" s="17"/>
    </row>
    <row r="16173">
      <c r="B16173" s="11">
        <f>IFERROR(__xludf.DUMMYFUNCTION("""COMPUTED_VALUE"""),23384.0)</f>
        <v>23384</v>
      </c>
      <c r="C16173" s="9">
        <f>IFERROR(__xludf.DUMMYFUNCTION("""COMPUTED_VALUE"""),4.18)</f>
        <v>4.18</v>
      </c>
      <c r="H16173" s="17"/>
      <c r="K16173" s="17"/>
      <c r="N16173" s="17"/>
    </row>
    <row r="16174">
      <c r="B16174" s="11">
        <f>IFERROR(__xludf.DUMMYFUNCTION("""COMPUTED_VALUE"""),23383.0)</f>
        <v>23383</v>
      </c>
      <c r="C16174" s="9">
        <f>IFERROR(__xludf.DUMMYFUNCTION("""COMPUTED_VALUE"""),4.15)</f>
        <v>4.15</v>
      </c>
      <c r="H16174" s="17"/>
      <c r="K16174" s="17"/>
      <c r="N16174" s="17"/>
    </row>
    <row r="16175">
      <c r="B16175" s="11">
        <f>IFERROR(__xludf.DUMMYFUNCTION("""COMPUTED_VALUE"""),23382.0)</f>
        <v>23382</v>
      </c>
      <c r="C16175" s="9">
        <f>IFERROR(__xludf.DUMMYFUNCTION("""COMPUTED_VALUE"""),4.16)</f>
        <v>4.16</v>
      </c>
      <c r="H16175" s="17"/>
      <c r="K16175" s="17"/>
      <c r="N16175" s="17"/>
    </row>
    <row r="16176">
      <c r="B16176" s="11">
        <f>IFERROR(__xludf.DUMMYFUNCTION("""COMPUTED_VALUE"""),23379.0)</f>
        <v>23379</v>
      </c>
      <c r="C16176" s="9">
        <f>IFERROR(__xludf.DUMMYFUNCTION("""COMPUTED_VALUE"""),4.15)</f>
        <v>4.15</v>
      </c>
      <c r="H16176" s="17"/>
      <c r="K16176" s="17"/>
      <c r="N16176" s="17"/>
    </row>
    <row r="16177">
      <c r="B16177" s="11">
        <f>IFERROR(__xludf.DUMMYFUNCTION("""COMPUTED_VALUE"""),23378.0)</f>
        <v>23378</v>
      </c>
      <c r="C16177" s="9">
        <f>IFERROR(__xludf.DUMMYFUNCTION("""COMPUTED_VALUE"""),4.14)</f>
        <v>4.14</v>
      </c>
      <c r="H16177" s="17"/>
      <c r="K16177" s="17"/>
      <c r="N16177" s="17"/>
    </row>
    <row r="16178">
      <c r="B16178" s="11">
        <f>IFERROR(__xludf.DUMMYFUNCTION("""COMPUTED_VALUE"""),23377.0)</f>
        <v>23377</v>
      </c>
      <c r="C16178" s="9"/>
      <c r="H16178" s="17"/>
      <c r="K16178" s="17"/>
      <c r="N16178" s="17"/>
    </row>
    <row r="16179">
      <c r="B16179" s="11">
        <f>IFERROR(__xludf.DUMMYFUNCTION("""COMPUTED_VALUE"""),23376.0)</f>
        <v>23376</v>
      </c>
      <c r="C16179" s="9">
        <f>IFERROR(__xludf.DUMMYFUNCTION("""COMPUTED_VALUE"""),4.14)</f>
        <v>4.14</v>
      </c>
      <c r="H16179" s="17"/>
      <c r="K16179" s="17"/>
      <c r="N16179" s="17"/>
    </row>
    <row r="16180">
      <c r="B16180" s="11">
        <f>IFERROR(__xludf.DUMMYFUNCTION("""COMPUTED_VALUE"""),23375.0)</f>
        <v>23375</v>
      </c>
      <c r="C16180" s="9">
        <f>IFERROR(__xludf.DUMMYFUNCTION("""COMPUTED_VALUE"""),4.14)</f>
        <v>4.14</v>
      </c>
      <c r="H16180" s="17"/>
      <c r="K16180" s="17"/>
      <c r="N16180" s="17"/>
    </row>
    <row r="16181">
      <c r="B16181" s="11">
        <f>IFERROR(__xludf.DUMMYFUNCTION("""COMPUTED_VALUE"""),23372.0)</f>
        <v>23372</v>
      </c>
      <c r="C16181" s="9">
        <f>IFERROR(__xludf.DUMMYFUNCTION("""COMPUTED_VALUE"""),4.15)</f>
        <v>4.15</v>
      </c>
      <c r="H16181" s="17"/>
      <c r="K16181" s="17"/>
      <c r="N16181" s="17"/>
    </row>
    <row r="16182">
      <c r="B16182" s="11">
        <f>IFERROR(__xludf.DUMMYFUNCTION("""COMPUTED_VALUE"""),23371.0)</f>
        <v>23371</v>
      </c>
      <c r="C16182" s="9">
        <f>IFERROR(__xludf.DUMMYFUNCTION("""COMPUTED_VALUE"""),4.15)</f>
        <v>4.15</v>
      </c>
      <c r="H16182" s="17"/>
      <c r="K16182" s="17"/>
      <c r="N16182" s="17"/>
    </row>
    <row r="16183">
      <c r="B16183" s="11">
        <f>IFERROR(__xludf.DUMMYFUNCTION("""COMPUTED_VALUE"""),23370.0)</f>
        <v>23370</v>
      </c>
      <c r="C16183" s="9"/>
      <c r="H16183" s="17"/>
      <c r="K16183" s="17"/>
      <c r="N16183" s="17"/>
    </row>
    <row r="16184">
      <c r="B16184" s="11">
        <f>IFERROR(__xludf.DUMMYFUNCTION("""COMPUTED_VALUE"""),23369.0)</f>
        <v>23369</v>
      </c>
      <c r="C16184" s="9">
        <f>IFERROR(__xludf.DUMMYFUNCTION("""COMPUTED_VALUE"""),4.15)</f>
        <v>4.15</v>
      </c>
      <c r="H16184" s="17"/>
      <c r="K16184" s="17"/>
      <c r="N16184" s="17"/>
    </row>
    <row r="16185">
      <c r="B16185" s="11">
        <f>IFERROR(__xludf.DUMMYFUNCTION("""COMPUTED_VALUE"""),23368.0)</f>
        <v>23368</v>
      </c>
      <c r="C16185" s="9">
        <f>IFERROR(__xludf.DUMMYFUNCTION("""COMPUTED_VALUE"""),4.15)</f>
        <v>4.15</v>
      </c>
      <c r="H16185" s="17"/>
      <c r="K16185" s="17"/>
      <c r="N16185" s="17"/>
    </row>
    <row r="16186">
      <c r="B16186" s="11">
        <f>IFERROR(__xludf.DUMMYFUNCTION("""COMPUTED_VALUE"""),23365.0)</f>
        <v>23365</v>
      </c>
      <c r="C16186" s="9">
        <f>IFERROR(__xludf.DUMMYFUNCTION("""COMPUTED_VALUE"""),4.15)</f>
        <v>4.15</v>
      </c>
      <c r="H16186" s="17"/>
      <c r="K16186" s="17"/>
      <c r="N16186" s="17"/>
    </row>
    <row r="16187">
      <c r="B16187" s="11">
        <f>IFERROR(__xludf.DUMMYFUNCTION("""COMPUTED_VALUE"""),23364.0)</f>
        <v>23364</v>
      </c>
      <c r="C16187" s="9">
        <f>IFERROR(__xludf.DUMMYFUNCTION("""COMPUTED_VALUE"""),4.14)</f>
        <v>4.14</v>
      </c>
      <c r="H16187" s="17"/>
      <c r="K16187" s="17"/>
      <c r="N16187" s="17"/>
    </row>
    <row r="16188">
      <c r="B16188" s="11">
        <f>IFERROR(__xludf.DUMMYFUNCTION("""COMPUTED_VALUE"""),23363.0)</f>
        <v>23363</v>
      </c>
      <c r="C16188" s="9">
        <f>IFERROR(__xludf.DUMMYFUNCTION("""COMPUTED_VALUE"""),4.15)</f>
        <v>4.15</v>
      </c>
      <c r="H16188" s="17"/>
      <c r="K16188" s="17"/>
      <c r="N16188" s="17"/>
    </row>
    <row r="16189">
      <c r="B16189" s="11">
        <f>IFERROR(__xludf.DUMMYFUNCTION("""COMPUTED_VALUE"""),23362.0)</f>
        <v>23362</v>
      </c>
      <c r="C16189" s="9">
        <f>IFERROR(__xludf.DUMMYFUNCTION("""COMPUTED_VALUE"""),4.15)</f>
        <v>4.15</v>
      </c>
      <c r="H16189" s="17"/>
      <c r="K16189" s="17"/>
      <c r="N16189" s="17"/>
    </row>
    <row r="16190">
      <c r="B16190" s="11">
        <f>IFERROR(__xludf.DUMMYFUNCTION("""COMPUTED_VALUE"""),23361.0)</f>
        <v>23361</v>
      </c>
      <c r="C16190" s="9">
        <f>IFERROR(__xludf.DUMMYFUNCTION("""COMPUTED_VALUE"""),4.15)</f>
        <v>4.15</v>
      </c>
      <c r="H16190" s="17"/>
      <c r="K16190" s="17"/>
      <c r="N16190" s="17"/>
    </row>
    <row r="16191">
      <c r="B16191" s="11">
        <f>IFERROR(__xludf.DUMMYFUNCTION("""COMPUTED_VALUE"""),23358.0)</f>
        <v>23358</v>
      </c>
      <c r="C16191" s="9">
        <f>IFERROR(__xludf.DUMMYFUNCTION("""COMPUTED_VALUE"""),4.13)</f>
        <v>4.13</v>
      </c>
      <c r="H16191" s="17"/>
      <c r="K16191" s="17"/>
      <c r="N16191" s="17"/>
    </row>
    <row r="16192">
      <c r="B16192" s="11">
        <f>IFERROR(__xludf.DUMMYFUNCTION("""COMPUTED_VALUE"""),23357.0)</f>
        <v>23357</v>
      </c>
      <c r="C16192" s="9">
        <f>IFERROR(__xludf.DUMMYFUNCTION("""COMPUTED_VALUE"""),4.12)</f>
        <v>4.12</v>
      </c>
      <c r="H16192" s="17"/>
      <c r="K16192" s="17"/>
      <c r="N16192" s="17"/>
    </row>
    <row r="16193">
      <c r="B16193" s="11">
        <f>IFERROR(__xludf.DUMMYFUNCTION("""COMPUTED_VALUE"""),23356.0)</f>
        <v>23356</v>
      </c>
      <c r="C16193" s="9">
        <f>IFERROR(__xludf.DUMMYFUNCTION("""COMPUTED_VALUE"""),4.12)</f>
        <v>4.12</v>
      </c>
      <c r="H16193" s="17"/>
      <c r="K16193" s="17"/>
      <c r="N16193" s="17"/>
    </row>
    <row r="16194">
      <c r="B16194" s="11">
        <f>IFERROR(__xludf.DUMMYFUNCTION("""COMPUTED_VALUE"""),23355.0)</f>
        <v>23355</v>
      </c>
      <c r="C16194" s="9">
        <f>IFERROR(__xludf.DUMMYFUNCTION("""COMPUTED_VALUE"""),4.1)</f>
        <v>4.1</v>
      </c>
      <c r="H16194" s="17"/>
      <c r="K16194" s="17"/>
      <c r="N16194" s="17"/>
    </row>
    <row r="16195">
      <c r="B16195" s="11">
        <f>IFERROR(__xludf.DUMMYFUNCTION("""COMPUTED_VALUE"""),23354.0)</f>
        <v>23354</v>
      </c>
      <c r="C16195" s="9">
        <f>IFERROR(__xludf.DUMMYFUNCTION("""COMPUTED_VALUE"""),4.1)</f>
        <v>4.1</v>
      </c>
      <c r="H16195" s="17"/>
      <c r="K16195" s="17"/>
      <c r="N16195" s="17"/>
    </row>
    <row r="16196">
      <c r="B16196" s="11">
        <f>IFERROR(__xludf.DUMMYFUNCTION("""COMPUTED_VALUE"""),23351.0)</f>
        <v>23351</v>
      </c>
      <c r="C16196" s="9">
        <f>IFERROR(__xludf.DUMMYFUNCTION("""COMPUTED_VALUE"""),4.11)</f>
        <v>4.11</v>
      </c>
      <c r="H16196" s="17"/>
      <c r="K16196" s="17"/>
      <c r="N16196" s="17"/>
    </row>
    <row r="16197">
      <c r="B16197" s="11">
        <f>IFERROR(__xludf.DUMMYFUNCTION("""COMPUTED_VALUE"""),23350.0)</f>
        <v>23350</v>
      </c>
      <c r="C16197" s="9">
        <f>IFERROR(__xludf.DUMMYFUNCTION("""COMPUTED_VALUE"""),4.11)</f>
        <v>4.11</v>
      </c>
      <c r="H16197" s="17"/>
      <c r="K16197" s="17"/>
      <c r="N16197" s="17"/>
    </row>
    <row r="16198">
      <c r="B16198" s="11">
        <f>IFERROR(__xludf.DUMMYFUNCTION("""COMPUTED_VALUE"""),23349.0)</f>
        <v>23349</v>
      </c>
      <c r="C16198" s="9">
        <f>IFERROR(__xludf.DUMMYFUNCTION("""COMPUTED_VALUE"""),4.1)</f>
        <v>4.1</v>
      </c>
      <c r="H16198" s="17"/>
      <c r="K16198" s="17"/>
      <c r="N16198" s="17"/>
    </row>
    <row r="16199">
      <c r="B16199" s="11">
        <f>IFERROR(__xludf.DUMMYFUNCTION("""COMPUTED_VALUE"""),23348.0)</f>
        <v>23348</v>
      </c>
      <c r="C16199" s="9">
        <f>IFERROR(__xludf.DUMMYFUNCTION("""COMPUTED_VALUE"""),4.1)</f>
        <v>4.1</v>
      </c>
      <c r="H16199" s="17"/>
      <c r="K16199" s="17"/>
      <c r="N16199" s="17"/>
    </row>
    <row r="16200">
      <c r="B16200" s="11">
        <f>IFERROR(__xludf.DUMMYFUNCTION("""COMPUTED_VALUE"""),23347.0)</f>
        <v>23347</v>
      </c>
      <c r="C16200" s="9">
        <f>IFERROR(__xludf.DUMMYFUNCTION("""COMPUTED_VALUE"""),4.09)</f>
        <v>4.09</v>
      </c>
      <c r="H16200" s="17"/>
      <c r="K16200" s="17"/>
      <c r="N16200" s="17"/>
    </row>
    <row r="16201">
      <c r="B16201" s="11">
        <f>IFERROR(__xludf.DUMMYFUNCTION("""COMPUTED_VALUE"""),23344.0)</f>
        <v>23344</v>
      </c>
      <c r="C16201" s="9">
        <f>IFERROR(__xludf.DUMMYFUNCTION("""COMPUTED_VALUE"""),4.08)</f>
        <v>4.08</v>
      </c>
      <c r="H16201" s="17"/>
      <c r="K16201" s="17"/>
      <c r="N16201" s="17"/>
    </row>
    <row r="16202">
      <c r="B16202" s="11">
        <f>IFERROR(__xludf.DUMMYFUNCTION("""COMPUTED_VALUE"""),23343.0)</f>
        <v>23343</v>
      </c>
      <c r="C16202" s="9"/>
      <c r="H16202" s="17"/>
      <c r="K16202" s="17"/>
      <c r="N16202" s="17"/>
    </row>
    <row r="16203">
      <c r="B16203" s="11">
        <f>IFERROR(__xludf.DUMMYFUNCTION("""COMPUTED_VALUE"""),23342.0)</f>
        <v>23342</v>
      </c>
      <c r="C16203" s="9">
        <f>IFERROR(__xludf.DUMMYFUNCTION("""COMPUTED_VALUE"""),4.08)</f>
        <v>4.08</v>
      </c>
      <c r="H16203" s="17"/>
      <c r="K16203" s="17"/>
      <c r="N16203" s="17"/>
    </row>
    <row r="16204">
      <c r="B16204" s="11">
        <f>IFERROR(__xludf.DUMMYFUNCTION("""COMPUTED_VALUE"""),23341.0)</f>
        <v>23341</v>
      </c>
      <c r="C16204" s="9">
        <f>IFERROR(__xludf.DUMMYFUNCTION("""COMPUTED_VALUE"""),4.08)</f>
        <v>4.08</v>
      </c>
      <c r="H16204" s="17"/>
      <c r="K16204" s="17"/>
      <c r="N16204" s="17"/>
    </row>
    <row r="16205">
      <c r="B16205" s="11">
        <f>IFERROR(__xludf.DUMMYFUNCTION("""COMPUTED_VALUE"""),23340.0)</f>
        <v>23340</v>
      </c>
      <c r="C16205" s="9"/>
      <c r="H16205" s="17"/>
      <c r="K16205" s="17"/>
      <c r="N16205" s="17"/>
    </row>
    <row r="16206">
      <c r="B16206" s="11">
        <f>IFERROR(__xludf.DUMMYFUNCTION("""COMPUTED_VALUE"""),23337.0)</f>
        <v>23337</v>
      </c>
      <c r="C16206" s="9">
        <f>IFERROR(__xludf.DUMMYFUNCTION("""COMPUTED_VALUE"""),4.09)</f>
        <v>4.09</v>
      </c>
      <c r="H16206" s="17"/>
      <c r="K16206" s="17"/>
      <c r="N16206" s="17"/>
    </row>
    <row r="16207">
      <c r="B16207" s="11">
        <f>IFERROR(__xludf.DUMMYFUNCTION("""COMPUTED_VALUE"""),23336.0)</f>
        <v>23336</v>
      </c>
      <c r="C16207" s="9">
        <f>IFERROR(__xludf.DUMMYFUNCTION("""COMPUTED_VALUE"""),4.1)</f>
        <v>4.1</v>
      </c>
      <c r="H16207" s="17"/>
      <c r="K16207" s="17"/>
      <c r="N16207" s="17"/>
    </row>
    <row r="16208">
      <c r="B16208" s="11">
        <f>IFERROR(__xludf.DUMMYFUNCTION("""COMPUTED_VALUE"""),23335.0)</f>
        <v>23335</v>
      </c>
      <c r="C16208" s="9">
        <f>IFERROR(__xludf.DUMMYFUNCTION("""COMPUTED_VALUE"""),4.09)</f>
        <v>4.09</v>
      </c>
      <c r="H16208" s="17"/>
      <c r="K16208" s="17"/>
      <c r="N16208" s="17"/>
    </row>
    <row r="16209">
      <c r="B16209" s="11">
        <f>IFERROR(__xludf.DUMMYFUNCTION("""COMPUTED_VALUE"""),23334.0)</f>
        <v>23334</v>
      </c>
      <c r="C16209" s="9">
        <f>IFERROR(__xludf.DUMMYFUNCTION("""COMPUTED_VALUE"""),4.1)</f>
        <v>4.1</v>
      </c>
      <c r="H16209" s="17"/>
      <c r="K16209" s="17"/>
      <c r="N16209" s="17"/>
    </row>
    <row r="16210">
      <c r="B16210" s="11">
        <f>IFERROR(__xludf.DUMMYFUNCTION("""COMPUTED_VALUE"""),23333.0)</f>
        <v>23333</v>
      </c>
      <c r="C16210" s="9">
        <f>IFERROR(__xludf.DUMMYFUNCTION("""COMPUTED_VALUE"""),4.11)</f>
        <v>4.11</v>
      </c>
      <c r="H16210" s="17"/>
      <c r="K16210" s="17"/>
      <c r="N16210" s="17"/>
    </row>
    <row r="16211">
      <c r="B16211" s="11">
        <f>IFERROR(__xludf.DUMMYFUNCTION("""COMPUTED_VALUE"""),23330.0)</f>
        <v>23330</v>
      </c>
      <c r="C16211" s="9">
        <f>IFERROR(__xludf.DUMMYFUNCTION("""COMPUTED_VALUE"""),4.11)</f>
        <v>4.11</v>
      </c>
      <c r="H16211" s="17"/>
      <c r="K16211" s="17"/>
      <c r="N16211" s="17"/>
    </row>
    <row r="16212">
      <c r="B16212" s="11">
        <f>IFERROR(__xludf.DUMMYFUNCTION("""COMPUTED_VALUE"""),23329.0)</f>
        <v>23329</v>
      </c>
      <c r="C16212" s="9">
        <f>IFERROR(__xludf.DUMMYFUNCTION("""COMPUTED_VALUE"""),4.12)</f>
        <v>4.12</v>
      </c>
      <c r="H16212" s="17"/>
      <c r="K16212" s="17"/>
      <c r="N16212" s="17"/>
    </row>
    <row r="16213">
      <c r="B16213" s="11">
        <f>IFERROR(__xludf.DUMMYFUNCTION("""COMPUTED_VALUE"""),23328.0)</f>
        <v>23328</v>
      </c>
      <c r="C16213" s="9">
        <f>IFERROR(__xludf.DUMMYFUNCTION("""COMPUTED_VALUE"""),4.15)</f>
        <v>4.15</v>
      </c>
      <c r="H16213" s="17"/>
      <c r="K16213" s="17"/>
      <c r="N16213" s="17"/>
    </row>
    <row r="16214">
      <c r="B16214" s="11">
        <f>IFERROR(__xludf.DUMMYFUNCTION("""COMPUTED_VALUE"""),23327.0)</f>
        <v>23327</v>
      </c>
      <c r="C16214" s="9">
        <f>IFERROR(__xludf.DUMMYFUNCTION("""COMPUTED_VALUE"""),4.16)</f>
        <v>4.16</v>
      </c>
      <c r="H16214" s="17"/>
      <c r="K16214" s="17"/>
      <c r="N16214" s="17"/>
    </row>
    <row r="16215">
      <c r="B16215" s="11">
        <f>IFERROR(__xludf.DUMMYFUNCTION("""COMPUTED_VALUE"""),23326.0)</f>
        <v>23326</v>
      </c>
      <c r="C16215" s="9"/>
      <c r="H16215" s="17"/>
      <c r="K16215" s="17"/>
      <c r="N16215" s="17"/>
    </row>
    <row r="16216">
      <c r="B16216" s="11">
        <f>IFERROR(__xludf.DUMMYFUNCTION("""COMPUTED_VALUE"""),23323.0)</f>
        <v>23323</v>
      </c>
      <c r="C16216" s="9">
        <f>IFERROR(__xludf.DUMMYFUNCTION("""COMPUTED_VALUE"""),4.16)</f>
        <v>4.16</v>
      </c>
      <c r="H16216" s="17"/>
      <c r="K16216" s="17"/>
      <c r="N16216" s="17"/>
    </row>
    <row r="16217">
      <c r="B16217" s="11">
        <f>IFERROR(__xludf.DUMMYFUNCTION("""COMPUTED_VALUE"""),23322.0)</f>
        <v>23322</v>
      </c>
      <c r="C16217" s="9">
        <f>IFERROR(__xludf.DUMMYFUNCTION("""COMPUTED_VALUE"""),4.17)</f>
        <v>4.17</v>
      </c>
      <c r="H16217" s="17"/>
      <c r="K16217" s="17"/>
      <c r="N16217" s="17"/>
    </row>
    <row r="16218">
      <c r="B16218" s="11">
        <f>IFERROR(__xludf.DUMMYFUNCTION("""COMPUTED_VALUE"""),23321.0)</f>
        <v>23321</v>
      </c>
      <c r="C16218" s="9">
        <f>IFERROR(__xludf.DUMMYFUNCTION("""COMPUTED_VALUE"""),4.17)</f>
        <v>4.17</v>
      </c>
      <c r="H16218" s="17"/>
      <c r="K16218" s="17"/>
      <c r="N16218" s="17"/>
    </row>
    <row r="16219">
      <c r="B16219" s="11">
        <f>IFERROR(__xludf.DUMMYFUNCTION("""COMPUTED_VALUE"""),23320.0)</f>
        <v>23320</v>
      </c>
      <c r="C16219" s="9"/>
      <c r="H16219" s="17"/>
      <c r="K16219" s="17"/>
      <c r="N16219" s="17"/>
    </row>
    <row r="16220">
      <c r="B16220" s="11">
        <f>IFERROR(__xludf.DUMMYFUNCTION("""COMPUTED_VALUE"""),23319.0)</f>
        <v>23319</v>
      </c>
      <c r="C16220" s="9">
        <f>IFERROR(__xludf.DUMMYFUNCTION("""COMPUTED_VALUE"""),4.15)</f>
        <v>4.15</v>
      </c>
      <c r="H16220" s="17"/>
      <c r="K16220" s="17"/>
      <c r="N16220" s="17"/>
    </row>
    <row r="16221">
      <c r="B16221" s="11">
        <f>IFERROR(__xludf.DUMMYFUNCTION("""COMPUTED_VALUE"""),23316.0)</f>
        <v>23316</v>
      </c>
      <c r="C16221" s="9">
        <f>IFERROR(__xludf.DUMMYFUNCTION("""COMPUTED_VALUE"""),4.15)</f>
        <v>4.15</v>
      </c>
      <c r="H16221" s="17"/>
      <c r="K16221" s="17"/>
      <c r="N16221" s="17"/>
    </row>
    <row r="16222">
      <c r="B16222" s="11">
        <f>IFERROR(__xludf.DUMMYFUNCTION("""COMPUTED_VALUE"""),23315.0)</f>
        <v>23315</v>
      </c>
      <c r="C16222" s="9">
        <f>IFERROR(__xludf.DUMMYFUNCTION("""COMPUTED_VALUE"""),4.15)</f>
        <v>4.15</v>
      </c>
      <c r="H16222" s="17"/>
      <c r="K16222" s="17"/>
      <c r="N16222" s="17"/>
    </row>
    <row r="16223">
      <c r="B16223" s="11">
        <f>IFERROR(__xludf.DUMMYFUNCTION("""COMPUTED_VALUE"""),23314.0)</f>
        <v>23314</v>
      </c>
      <c r="C16223" s="9">
        <f>IFERROR(__xludf.DUMMYFUNCTION("""COMPUTED_VALUE"""),4.14)</f>
        <v>4.14</v>
      </c>
      <c r="H16223" s="17"/>
      <c r="K16223" s="17"/>
      <c r="N16223" s="17"/>
    </row>
    <row r="16224">
      <c r="B16224" s="11">
        <f>IFERROR(__xludf.DUMMYFUNCTION("""COMPUTED_VALUE"""),23313.0)</f>
        <v>23313</v>
      </c>
      <c r="C16224" s="9">
        <f>IFERROR(__xludf.DUMMYFUNCTION("""COMPUTED_VALUE"""),4.13)</f>
        <v>4.13</v>
      </c>
      <c r="H16224" s="17"/>
      <c r="K16224" s="17"/>
      <c r="N16224" s="17"/>
    </row>
    <row r="16225">
      <c r="B16225" s="11">
        <f>IFERROR(__xludf.DUMMYFUNCTION("""COMPUTED_VALUE"""),23312.0)</f>
        <v>23312</v>
      </c>
      <c r="C16225" s="9">
        <f>IFERROR(__xludf.DUMMYFUNCTION("""COMPUTED_VALUE"""),4.12)</f>
        <v>4.12</v>
      </c>
      <c r="H16225" s="17"/>
      <c r="K16225" s="17"/>
      <c r="N16225" s="17"/>
    </row>
    <row r="16226">
      <c r="B16226" s="11">
        <f>IFERROR(__xludf.DUMMYFUNCTION("""COMPUTED_VALUE"""),23309.0)</f>
        <v>23309</v>
      </c>
      <c r="C16226" s="9">
        <f>IFERROR(__xludf.DUMMYFUNCTION("""COMPUTED_VALUE"""),4.12)</f>
        <v>4.12</v>
      </c>
      <c r="H16226" s="17"/>
      <c r="K16226" s="17"/>
      <c r="N16226" s="17"/>
    </row>
    <row r="16227">
      <c r="B16227" s="11">
        <f>IFERROR(__xludf.DUMMYFUNCTION("""COMPUTED_VALUE"""),23308.0)</f>
        <v>23308</v>
      </c>
      <c r="C16227" s="9">
        <f>IFERROR(__xludf.DUMMYFUNCTION("""COMPUTED_VALUE"""),4.11)</f>
        <v>4.11</v>
      </c>
      <c r="H16227" s="17"/>
      <c r="K16227" s="17"/>
      <c r="N16227" s="17"/>
    </row>
    <row r="16228">
      <c r="B16228" s="11">
        <f>IFERROR(__xludf.DUMMYFUNCTION("""COMPUTED_VALUE"""),23307.0)</f>
        <v>23307</v>
      </c>
      <c r="C16228" s="9">
        <f>IFERROR(__xludf.DUMMYFUNCTION("""COMPUTED_VALUE"""),4.12)</f>
        <v>4.12</v>
      </c>
      <c r="H16228" s="17"/>
      <c r="K16228" s="17"/>
      <c r="N16228" s="17"/>
    </row>
    <row r="16229">
      <c r="B16229" s="11">
        <f>IFERROR(__xludf.DUMMYFUNCTION("""COMPUTED_VALUE"""),23306.0)</f>
        <v>23306</v>
      </c>
      <c r="C16229" s="9">
        <f>IFERROR(__xludf.DUMMYFUNCTION("""COMPUTED_VALUE"""),4.11)</f>
        <v>4.11</v>
      </c>
      <c r="H16229" s="17"/>
      <c r="K16229" s="17"/>
      <c r="N16229" s="17"/>
    </row>
    <row r="16230">
      <c r="B16230" s="11">
        <f>IFERROR(__xludf.DUMMYFUNCTION("""COMPUTED_VALUE"""),23305.0)</f>
        <v>23305</v>
      </c>
      <c r="C16230" s="9">
        <f>IFERROR(__xludf.DUMMYFUNCTION("""COMPUTED_VALUE"""),4.12)</f>
        <v>4.12</v>
      </c>
      <c r="H16230" s="17"/>
      <c r="K16230" s="17"/>
      <c r="N16230" s="17"/>
    </row>
    <row r="16231">
      <c r="B16231" s="11">
        <f>IFERROR(__xludf.DUMMYFUNCTION("""COMPUTED_VALUE"""),23302.0)</f>
        <v>23302</v>
      </c>
      <c r="C16231" s="9">
        <f>IFERROR(__xludf.DUMMYFUNCTION("""COMPUTED_VALUE"""),4.12)</f>
        <v>4.12</v>
      </c>
      <c r="H16231" s="17"/>
      <c r="K16231" s="17"/>
      <c r="N16231" s="17"/>
    </row>
    <row r="16232">
      <c r="B16232" s="11">
        <f>IFERROR(__xludf.DUMMYFUNCTION("""COMPUTED_VALUE"""),23301.0)</f>
        <v>23301</v>
      </c>
      <c r="C16232" s="9">
        <f>IFERROR(__xludf.DUMMYFUNCTION("""COMPUTED_VALUE"""),4.12)</f>
        <v>4.12</v>
      </c>
      <c r="H16232" s="17"/>
      <c r="K16232" s="17"/>
      <c r="N16232" s="17"/>
    </row>
    <row r="16233">
      <c r="B16233" s="11">
        <f>IFERROR(__xludf.DUMMYFUNCTION("""COMPUTED_VALUE"""),23300.0)</f>
        <v>23300</v>
      </c>
      <c r="C16233" s="9">
        <f>IFERROR(__xludf.DUMMYFUNCTION("""COMPUTED_VALUE"""),4.11)</f>
        <v>4.11</v>
      </c>
      <c r="H16233" s="17"/>
      <c r="K16233" s="17"/>
      <c r="N16233" s="17"/>
    </row>
    <row r="16234">
      <c r="B16234" s="11">
        <f>IFERROR(__xludf.DUMMYFUNCTION("""COMPUTED_VALUE"""),23299.0)</f>
        <v>23299</v>
      </c>
      <c r="C16234" s="9">
        <f>IFERROR(__xludf.DUMMYFUNCTION("""COMPUTED_VALUE"""),4.11)</f>
        <v>4.11</v>
      </c>
      <c r="H16234" s="17"/>
      <c r="K16234" s="17"/>
      <c r="N16234" s="17"/>
    </row>
    <row r="16235">
      <c r="B16235" s="11">
        <f>IFERROR(__xludf.DUMMYFUNCTION("""COMPUTED_VALUE"""),23298.0)</f>
        <v>23298</v>
      </c>
      <c r="C16235" s="9">
        <f>IFERROR(__xludf.DUMMYFUNCTION("""COMPUTED_VALUE"""),4.1)</f>
        <v>4.1</v>
      </c>
      <c r="H16235" s="17"/>
      <c r="K16235" s="17"/>
      <c r="N16235" s="17"/>
    </row>
    <row r="16236">
      <c r="B16236" s="11">
        <f>IFERROR(__xludf.DUMMYFUNCTION("""COMPUTED_VALUE"""),23295.0)</f>
        <v>23295</v>
      </c>
      <c r="C16236" s="9">
        <f>IFERROR(__xludf.DUMMYFUNCTION("""COMPUTED_VALUE"""),4.1)</f>
        <v>4.1</v>
      </c>
      <c r="H16236" s="17"/>
      <c r="K16236" s="17"/>
      <c r="N16236" s="17"/>
    </row>
    <row r="16237">
      <c r="B16237" s="11">
        <f>IFERROR(__xludf.DUMMYFUNCTION("""COMPUTED_VALUE"""),23294.0)</f>
        <v>23294</v>
      </c>
      <c r="C16237" s="9">
        <f>IFERROR(__xludf.DUMMYFUNCTION("""COMPUTED_VALUE"""),4.1)</f>
        <v>4.1</v>
      </c>
      <c r="H16237" s="17"/>
      <c r="K16237" s="17"/>
      <c r="N16237" s="17"/>
    </row>
    <row r="16238">
      <c r="B16238" s="11">
        <f>IFERROR(__xludf.DUMMYFUNCTION("""COMPUTED_VALUE"""),23293.0)</f>
        <v>23293</v>
      </c>
      <c r="C16238" s="9">
        <f>IFERROR(__xludf.DUMMYFUNCTION("""COMPUTED_VALUE"""),4.1)</f>
        <v>4.1</v>
      </c>
      <c r="H16238" s="17"/>
      <c r="K16238" s="17"/>
      <c r="N16238" s="17"/>
    </row>
    <row r="16239">
      <c r="B16239" s="11">
        <f>IFERROR(__xludf.DUMMYFUNCTION("""COMPUTED_VALUE"""),23292.0)</f>
        <v>23292</v>
      </c>
      <c r="C16239" s="9">
        <f>IFERROR(__xludf.DUMMYFUNCTION("""COMPUTED_VALUE"""),4.09)</f>
        <v>4.09</v>
      </c>
      <c r="H16239" s="17"/>
      <c r="K16239" s="17"/>
      <c r="N16239" s="17"/>
    </row>
    <row r="16240">
      <c r="B16240" s="11">
        <f>IFERROR(__xludf.DUMMYFUNCTION("""COMPUTED_VALUE"""),23291.0)</f>
        <v>23291</v>
      </c>
      <c r="C16240" s="9">
        <f>IFERROR(__xludf.DUMMYFUNCTION("""COMPUTED_VALUE"""),4.08)</f>
        <v>4.08</v>
      </c>
      <c r="H16240" s="17"/>
      <c r="K16240" s="17"/>
      <c r="N16240" s="17"/>
    </row>
    <row r="16241">
      <c r="B16241" s="11">
        <f>IFERROR(__xludf.DUMMYFUNCTION("""COMPUTED_VALUE"""),23288.0)</f>
        <v>23288</v>
      </c>
      <c r="C16241" s="9">
        <f>IFERROR(__xludf.DUMMYFUNCTION("""COMPUTED_VALUE"""),4.08)</f>
        <v>4.08</v>
      </c>
      <c r="H16241" s="17"/>
      <c r="K16241" s="17"/>
      <c r="N16241" s="17"/>
    </row>
    <row r="16242">
      <c r="B16242" s="11">
        <f>IFERROR(__xludf.DUMMYFUNCTION("""COMPUTED_VALUE"""),23287.0)</f>
        <v>23287</v>
      </c>
      <c r="C16242" s="9">
        <f>IFERROR(__xludf.DUMMYFUNCTION("""COMPUTED_VALUE"""),4.07)</f>
        <v>4.07</v>
      </c>
      <c r="H16242" s="17"/>
      <c r="K16242" s="17"/>
      <c r="N16242" s="17"/>
    </row>
    <row r="16243">
      <c r="B16243" s="11">
        <f>IFERROR(__xludf.DUMMYFUNCTION("""COMPUTED_VALUE"""),23286.0)</f>
        <v>23286</v>
      </c>
      <c r="C16243" s="9">
        <f>IFERROR(__xludf.DUMMYFUNCTION("""COMPUTED_VALUE"""),4.07)</f>
        <v>4.07</v>
      </c>
      <c r="H16243" s="17"/>
      <c r="K16243" s="17"/>
      <c r="N16243" s="17"/>
    </row>
    <row r="16244">
      <c r="B16244" s="11">
        <f>IFERROR(__xludf.DUMMYFUNCTION("""COMPUTED_VALUE"""),23285.0)</f>
        <v>23285</v>
      </c>
      <c r="C16244" s="9">
        <f>IFERROR(__xludf.DUMMYFUNCTION("""COMPUTED_VALUE"""),4.07)</f>
        <v>4.07</v>
      </c>
      <c r="H16244" s="17"/>
      <c r="K16244" s="17"/>
      <c r="N16244" s="17"/>
    </row>
    <row r="16245">
      <c r="B16245" s="11">
        <f>IFERROR(__xludf.DUMMYFUNCTION("""COMPUTED_VALUE"""),23284.0)</f>
        <v>23284</v>
      </c>
      <c r="C16245" s="9">
        <f>IFERROR(__xludf.DUMMYFUNCTION("""COMPUTED_VALUE"""),4.07)</f>
        <v>4.07</v>
      </c>
      <c r="H16245" s="17"/>
      <c r="K16245" s="17"/>
      <c r="N16245" s="17"/>
    </row>
    <row r="16246">
      <c r="B16246" s="11">
        <f>IFERROR(__xludf.DUMMYFUNCTION("""COMPUTED_VALUE"""),23281.0)</f>
        <v>23281</v>
      </c>
      <c r="C16246" s="9">
        <f>IFERROR(__xludf.DUMMYFUNCTION("""COMPUTED_VALUE"""),4.07)</f>
        <v>4.07</v>
      </c>
      <c r="H16246" s="17"/>
      <c r="K16246" s="17"/>
      <c r="N16246" s="17"/>
    </row>
    <row r="16247">
      <c r="B16247" s="11">
        <f>IFERROR(__xludf.DUMMYFUNCTION("""COMPUTED_VALUE"""),23280.0)</f>
        <v>23280</v>
      </c>
      <c r="C16247" s="9">
        <f>IFERROR(__xludf.DUMMYFUNCTION("""COMPUTED_VALUE"""),4.08)</f>
        <v>4.08</v>
      </c>
      <c r="H16247" s="17"/>
      <c r="K16247" s="17"/>
      <c r="N16247" s="17"/>
    </row>
    <row r="16248">
      <c r="B16248" s="11">
        <f>IFERROR(__xludf.DUMMYFUNCTION("""COMPUTED_VALUE"""),23279.0)</f>
        <v>23279</v>
      </c>
      <c r="C16248" s="9">
        <f>IFERROR(__xludf.DUMMYFUNCTION("""COMPUTED_VALUE"""),4.08)</f>
        <v>4.08</v>
      </c>
      <c r="H16248" s="17"/>
      <c r="K16248" s="17"/>
      <c r="N16248" s="17"/>
    </row>
    <row r="16249">
      <c r="B16249" s="11">
        <f>IFERROR(__xludf.DUMMYFUNCTION("""COMPUTED_VALUE"""),23278.0)</f>
        <v>23278</v>
      </c>
      <c r="C16249" s="9">
        <f>IFERROR(__xludf.DUMMYFUNCTION("""COMPUTED_VALUE"""),4.08)</f>
        <v>4.08</v>
      </c>
      <c r="H16249" s="17"/>
      <c r="K16249" s="17"/>
      <c r="N16249" s="17"/>
    </row>
    <row r="16250">
      <c r="B16250" s="11">
        <f>IFERROR(__xludf.DUMMYFUNCTION("""COMPUTED_VALUE"""),23277.0)</f>
        <v>23277</v>
      </c>
      <c r="C16250" s="9">
        <f>IFERROR(__xludf.DUMMYFUNCTION("""COMPUTED_VALUE"""),4.07)</f>
        <v>4.07</v>
      </c>
      <c r="H16250" s="17"/>
      <c r="K16250" s="17"/>
      <c r="N16250" s="17"/>
    </row>
    <row r="16251">
      <c r="B16251" s="11">
        <f>IFERROR(__xludf.DUMMYFUNCTION("""COMPUTED_VALUE"""),23274.0)</f>
        <v>23274</v>
      </c>
      <c r="C16251" s="9">
        <f>IFERROR(__xludf.DUMMYFUNCTION("""COMPUTED_VALUE"""),4.07)</f>
        <v>4.07</v>
      </c>
      <c r="H16251" s="17"/>
      <c r="K16251" s="17"/>
      <c r="N16251" s="17"/>
    </row>
    <row r="16252">
      <c r="B16252" s="11">
        <f>IFERROR(__xludf.DUMMYFUNCTION("""COMPUTED_VALUE"""),23273.0)</f>
        <v>23273</v>
      </c>
      <c r="C16252" s="9">
        <f>IFERROR(__xludf.DUMMYFUNCTION("""COMPUTED_VALUE"""),4.08)</f>
        <v>4.08</v>
      </c>
      <c r="H16252" s="17"/>
      <c r="K16252" s="17"/>
      <c r="N16252" s="17"/>
    </row>
    <row r="16253">
      <c r="B16253" s="11">
        <f>IFERROR(__xludf.DUMMYFUNCTION("""COMPUTED_VALUE"""),23272.0)</f>
        <v>23272</v>
      </c>
      <c r="C16253" s="9">
        <f>IFERROR(__xludf.DUMMYFUNCTION("""COMPUTED_VALUE"""),4.08)</f>
        <v>4.08</v>
      </c>
      <c r="H16253" s="17"/>
      <c r="K16253" s="17"/>
      <c r="N16253" s="17"/>
    </row>
    <row r="16254">
      <c r="B16254" s="11">
        <f>IFERROR(__xludf.DUMMYFUNCTION("""COMPUTED_VALUE"""),23271.0)</f>
        <v>23271</v>
      </c>
      <c r="C16254" s="9">
        <f>IFERROR(__xludf.DUMMYFUNCTION("""COMPUTED_VALUE"""),4.09)</f>
        <v>4.09</v>
      </c>
      <c r="H16254" s="17"/>
      <c r="K16254" s="17"/>
      <c r="N16254" s="17"/>
    </row>
    <row r="16255">
      <c r="B16255" s="11">
        <f>IFERROR(__xludf.DUMMYFUNCTION("""COMPUTED_VALUE"""),23270.0)</f>
        <v>23270</v>
      </c>
      <c r="C16255" s="9">
        <f>IFERROR(__xludf.DUMMYFUNCTION("""COMPUTED_VALUE"""),4.09)</f>
        <v>4.09</v>
      </c>
      <c r="H16255" s="17"/>
      <c r="K16255" s="17"/>
      <c r="N16255" s="17"/>
    </row>
    <row r="16256">
      <c r="B16256" s="11">
        <f>IFERROR(__xludf.DUMMYFUNCTION("""COMPUTED_VALUE"""),23267.0)</f>
        <v>23267</v>
      </c>
      <c r="C16256" s="9">
        <f>IFERROR(__xludf.DUMMYFUNCTION("""COMPUTED_VALUE"""),4.09)</f>
        <v>4.09</v>
      </c>
      <c r="H16256" s="17"/>
      <c r="K16256" s="17"/>
      <c r="N16256" s="17"/>
    </row>
    <row r="16257">
      <c r="B16257" s="11">
        <f>IFERROR(__xludf.DUMMYFUNCTION("""COMPUTED_VALUE"""),23266.0)</f>
        <v>23266</v>
      </c>
      <c r="C16257" s="9">
        <f>IFERROR(__xludf.DUMMYFUNCTION("""COMPUTED_VALUE"""),4.09)</f>
        <v>4.09</v>
      </c>
      <c r="H16257" s="17"/>
      <c r="K16257" s="17"/>
      <c r="N16257" s="17"/>
    </row>
    <row r="16258">
      <c r="B16258" s="11">
        <f>IFERROR(__xludf.DUMMYFUNCTION("""COMPUTED_VALUE"""),23265.0)</f>
        <v>23265</v>
      </c>
      <c r="C16258" s="9">
        <f>IFERROR(__xludf.DUMMYFUNCTION("""COMPUTED_VALUE"""),4.09)</f>
        <v>4.09</v>
      </c>
      <c r="H16258" s="17"/>
      <c r="K16258" s="17"/>
      <c r="N16258" s="17"/>
    </row>
    <row r="16259">
      <c r="B16259" s="11">
        <f>IFERROR(__xludf.DUMMYFUNCTION("""COMPUTED_VALUE"""),23264.0)</f>
        <v>23264</v>
      </c>
      <c r="C16259" s="9">
        <f>IFERROR(__xludf.DUMMYFUNCTION("""COMPUTED_VALUE"""),4.09)</f>
        <v>4.09</v>
      </c>
      <c r="H16259" s="17"/>
      <c r="K16259" s="17"/>
      <c r="N16259" s="17"/>
    </row>
    <row r="16260">
      <c r="B16260" s="11">
        <f>IFERROR(__xludf.DUMMYFUNCTION("""COMPUTED_VALUE"""),23263.0)</f>
        <v>23263</v>
      </c>
      <c r="C16260" s="9">
        <f>IFERROR(__xludf.DUMMYFUNCTION("""COMPUTED_VALUE"""),4.09)</f>
        <v>4.09</v>
      </c>
      <c r="H16260" s="17"/>
      <c r="K16260" s="17"/>
      <c r="N16260" s="17"/>
    </row>
    <row r="16261">
      <c r="B16261" s="11">
        <f>IFERROR(__xludf.DUMMYFUNCTION("""COMPUTED_VALUE"""),23260.0)</f>
        <v>23260</v>
      </c>
      <c r="C16261" s="9">
        <f>IFERROR(__xludf.DUMMYFUNCTION("""COMPUTED_VALUE"""),4.09)</f>
        <v>4.09</v>
      </c>
      <c r="H16261" s="17"/>
      <c r="K16261" s="17"/>
      <c r="N16261" s="17"/>
    </row>
    <row r="16262">
      <c r="B16262" s="11">
        <f>IFERROR(__xludf.DUMMYFUNCTION("""COMPUTED_VALUE"""),23259.0)</f>
        <v>23259</v>
      </c>
      <c r="C16262" s="9">
        <f>IFERROR(__xludf.DUMMYFUNCTION("""COMPUTED_VALUE"""),4.08)</f>
        <v>4.08</v>
      </c>
      <c r="H16262" s="17"/>
      <c r="K16262" s="17"/>
      <c r="N16262" s="17"/>
    </row>
    <row r="16263">
      <c r="B16263" s="11">
        <f>IFERROR(__xludf.DUMMYFUNCTION("""COMPUTED_VALUE"""),23258.0)</f>
        <v>23258</v>
      </c>
      <c r="C16263" s="9">
        <f>IFERROR(__xludf.DUMMYFUNCTION("""COMPUTED_VALUE"""),4.04)</f>
        <v>4.04</v>
      </c>
      <c r="H16263" s="17"/>
      <c r="K16263" s="17"/>
      <c r="N16263" s="17"/>
    </row>
    <row r="16264">
      <c r="B16264" s="11">
        <f>IFERROR(__xludf.DUMMYFUNCTION("""COMPUTED_VALUE"""),23257.0)</f>
        <v>23257</v>
      </c>
      <c r="C16264" s="9">
        <f>IFERROR(__xludf.DUMMYFUNCTION("""COMPUTED_VALUE"""),4.03)</f>
        <v>4.03</v>
      </c>
      <c r="H16264" s="17"/>
      <c r="K16264" s="17"/>
      <c r="N16264" s="17"/>
    </row>
    <row r="16265">
      <c r="B16265" s="11">
        <f>IFERROR(__xludf.DUMMYFUNCTION("""COMPUTED_VALUE"""),23256.0)</f>
        <v>23256</v>
      </c>
      <c r="C16265" s="9"/>
      <c r="H16265" s="17"/>
      <c r="K16265" s="17"/>
      <c r="N16265" s="17"/>
    </row>
    <row r="16266">
      <c r="B16266" s="11">
        <f>IFERROR(__xludf.DUMMYFUNCTION("""COMPUTED_VALUE"""),23253.0)</f>
        <v>23253</v>
      </c>
      <c r="C16266" s="9">
        <f>IFERROR(__xludf.DUMMYFUNCTION("""COMPUTED_VALUE"""),4.02)</f>
        <v>4.02</v>
      </c>
      <c r="H16266" s="17"/>
      <c r="K16266" s="17"/>
      <c r="N16266" s="17"/>
    </row>
    <row r="16267">
      <c r="B16267" s="11">
        <f>IFERROR(__xludf.DUMMYFUNCTION("""COMPUTED_VALUE"""),23252.0)</f>
        <v>23252</v>
      </c>
      <c r="C16267" s="9">
        <f>IFERROR(__xludf.DUMMYFUNCTION("""COMPUTED_VALUE"""),4.01)</f>
        <v>4.01</v>
      </c>
      <c r="H16267" s="17"/>
      <c r="K16267" s="17"/>
      <c r="N16267" s="17"/>
    </row>
    <row r="16268">
      <c r="B16268" s="11">
        <f>IFERROR(__xludf.DUMMYFUNCTION("""COMPUTED_VALUE"""),23251.0)</f>
        <v>23251</v>
      </c>
      <c r="C16268" s="9">
        <f>IFERROR(__xludf.DUMMYFUNCTION("""COMPUTED_VALUE"""),4.0)</f>
        <v>4</v>
      </c>
      <c r="H16268" s="17"/>
      <c r="K16268" s="17"/>
      <c r="N16268" s="17"/>
    </row>
    <row r="16269">
      <c r="B16269" s="11">
        <f>IFERROR(__xludf.DUMMYFUNCTION("""COMPUTED_VALUE"""),23250.0)</f>
        <v>23250</v>
      </c>
      <c r="C16269" s="9">
        <f>IFERROR(__xludf.DUMMYFUNCTION("""COMPUTED_VALUE"""),4.0)</f>
        <v>4</v>
      </c>
      <c r="H16269" s="17"/>
      <c r="K16269" s="17"/>
      <c r="N16269" s="17"/>
    </row>
    <row r="16270">
      <c r="B16270" s="11">
        <f>IFERROR(__xludf.DUMMYFUNCTION("""COMPUTED_VALUE"""),23249.0)</f>
        <v>23249</v>
      </c>
      <c r="C16270" s="9">
        <f>IFERROR(__xludf.DUMMYFUNCTION("""COMPUTED_VALUE"""),4.0)</f>
        <v>4</v>
      </c>
      <c r="H16270" s="17"/>
      <c r="K16270" s="17"/>
      <c r="N16270" s="17"/>
    </row>
    <row r="16271">
      <c r="B16271" s="11">
        <f>IFERROR(__xludf.DUMMYFUNCTION("""COMPUTED_VALUE"""),23246.0)</f>
        <v>23246</v>
      </c>
      <c r="C16271" s="9">
        <f>IFERROR(__xludf.DUMMYFUNCTION("""COMPUTED_VALUE"""),4.0)</f>
        <v>4</v>
      </c>
      <c r="H16271" s="17"/>
      <c r="K16271" s="17"/>
      <c r="N16271" s="17"/>
    </row>
    <row r="16272">
      <c r="B16272" s="11">
        <f>IFERROR(__xludf.DUMMYFUNCTION("""COMPUTED_VALUE"""),23245.0)</f>
        <v>23245</v>
      </c>
      <c r="C16272" s="9">
        <f>IFERROR(__xludf.DUMMYFUNCTION("""COMPUTED_VALUE"""),4.0)</f>
        <v>4</v>
      </c>
      <c r="H16272" s="17"/>
      <c r="K16272" s="17"/>
      <c r="N16272" s="17"/>
    </row>
    <row r="16273">
      <c r="B16273" s="11">
        <f>IFERROR(__xludf.DUMMYFUNCTION("""COMPUTED_VALUE"""),23244.0)</f>
        <v>23244</v>
      </c>
      <c r="C16273" s="9">
        <f>IFERROR(__xludf.DUMMYFUNCTION("""COMPUTED_VALUE"""),4.0)</f>
        <v>4</v>
      </c>
      <c r="H16273" s="17"/>
      <c r="K16273" s="17"/>
      <c r="N16273" s="17"/>
    </row>
    <row r="16274">
      <c r="B16274" s="11">
        <f>IFERROR(__xludf.DUMMYFUNCTION("""COMPUTED_VALUE"""),23243.0)</f>
        <v>23243</v>
      </c>
      <c r="C16274" s="9">
        <f>IFERROR(__xludf.DUMMYFUNCTION("""COMPUTED_VALUE"""),3.99)</f>
        <v>3.99</v>
      </c>
      <c r="H16274" s="17"/>
      <c r="K16274" s="17"/>
      <c r="N16274" s="17"/>
    </row>
    <row r="16275">
      <c r="B16275" s="11">
        <f>IFERROR(__xludf.DUMMYFUNCTION("""COMPUTED_VALUE"""),23242.0)</f>
        <v>23242</v>
      </c>
      <c r="C16275" s="9">
        <f>IFERROR(__xludf.DUMMYFUNCTION("""COMPUTED_VALUE"""),3.99)</f>
        <v>3.99</v>
      </c>
      <c r="H16275" s="17"/>
      <c r="K16275" s="17"/>
      <c r="N16275" s="17"/>
    </row>
    <row r="16276">
      <c r="B16276" s="11">
        <f>IFERROR(__xludf.DUMMYFUNCTION("""COMPUTED_VALUE"""),23239.0)</f>
        <v>23239</v>
      </c>
      <c r="C16276" s="9">
        <f>IFERROR(__xludf.DUMMYFUNCTION("""COMPUTED_VALUE"""),4.0)</f>
        <v>4</v>
      </c>
      <c r="H16276" s="17"/>
      <c r="K16276" s="17"/>
      <c r="N16276" s="17"/>
    </row>
    <row r="16277">
      <c r="B16277" s="11">
        <f>IFERROR(__xludf.DUMMYFUNCTION("""COMPUTED_VALUE"""),23238.0)</f>
        <v>23238</v>
      </c>
      <c r="C16277" s="9">
        <f>IFERROR(__xludf.DUMMYFUNCTION("""COMPUTED_VALUE"""),4.01)</f>
        <v>4.01</v>
      </c>
      <c r="H16277" s="17"/>
      <c r="K16277" s="17"/>
      <c r="N16277" s="17"/>
    </row>
    <row r="16278">
      <c r="B16278" s="11">
        <f>IFERROR(__xludf.DUMMYFUNCTION("""COMPUTED_VALUE"""),23237.0)</f>
        <v>23237</v>
      </c>
      <c r="C16278" s="9">
        <f>IFERROR(__xludf.DUMMYFUNCTION("""COMPUTED_VALUE"""),4.02)</f>
        <v>4.02</v>
      </c>
      <c r="H16278" s="17"/>
      <c r="K16278" s="17"/>
      <c r="N16278" s="17"/>
    </row>
    <row r="16279">
      <c r="B16279" s="11">
        <f>IFERROR(__xludf.DUMMYFUNCTION("""COMPUTED_VALUE"""),23236.0)</f>
        <v>23236</v>
      </c>
      <c r="C16279" s="9">
        <f>IFERROR(__xludf.DUMMYFUNCTION("""COMPUTED_VALUE"""),4.02)</f>
        <v>4.02</v>
      </c>
      <c r="H16279" s="17"/>
      <c r="K16279" s="17"/>
      <c r="N16279" s="17"/>
    </row>
    <row r="16280">
      <c r="B16280" s="11">
        <f>IFERROR(__xludf.DUMMYFUNCTION("""COMPUTED_VALUE"""),23235.0)</f>
        <v>23235</v>
      </c>
      <c r="C16280" s="9">
        <f>IFERROR(__xludf.DUMMYFUNCTION("""COMPUTED_VALUE"""),4.01)</f>
        <v>4.01</v>
      </c>
      <c r="H16280" s="17"/>
      <c r="K16280" s="17"/>
      <c r="N16280" s="17"/>
    </row>
    <row r="16281">
      <c r="B16281" s="11">
        <f>IFERROR(__xludf.DUMMYFUNCTION("""COMPUTED_VALUE"""),23232.0)</f>
        <v>23232</v>
      </c>
      <c r="C16281" s="9">
        <f>IFERROR(__xludf.DUMMYFUNCTION("""COMPUTED_VALUE"""),4.0)</f>
        <v>4</v>
      </c>
      <c r="H16281" s="17"/>
      <c r="K16281" s="17"/>
      <c r="N16281" s="17"/>
    </row>
    <row r="16282">
      <c r="B16282" s="11">
        <f>IFERROR(__xludf.DUMMYFUNCTION("""COMPUTED_VALUE"""),23231.0)</f>
        <v>23231</v>
      </c>
      <c r="C16282" s="9">
        <f>IFERROR(__xludf.DUMMYFUNCTION("""COMPUTED_VALUE"""),4.0)</f>
        <v>4</v>
      </c>
      <c r="H16282" s="17"/>
      <c r="K16282" s="17"/>
      <c r="N16282" s="17"/>
    </row>
    <row r="16283">
      <c r="B16283" s="11">
        <f>IFERROR(__xludf.DUMMYFUNCTION("""COMPUTED_VALUE"""),23230.0)</f>
        <v>23230</v>
      </c>
      <c r="C16283" s="9">
        <f>IFERROR(__xludf.DUMMYFUNCTION("""COMPUTED_VALUE"""),4.01)</f>
        <v>4.01</v>
      </c>
      <c r="H16283" s="17"/>
      <c r="K16283" s="17"/>
      <c r="N16283" s="17"/>
    </row>
    <row r="16284">
      <c r="B16284" s="11">
        <f>IFERROR(__xludf.DUMMYFUNCTION("""COMPUTED_VALUE"""),23229.0)</f>
        <v>23229</v>
      </c>
      <c r="C16284" s="9">
        <f>IFERROR(__xludf.DUMMYFUNCTION("""COMPUTED_VALUE"""),4.0)</f>
        <v>4</v>
      </c>
      <c r="H16284" s="17"/>
      <c r="K16284" s="17"/>
      <c r="N16284" s="17"/>
    </row>
    <row r="16285">
      <c r="B16285" s="11">
        <f>IFERROR(__xludf.DUMMYFUNCTION("""COMPUTED_VALUE"""),23228.0)</f>
        <v>23228</v>
      </c>
      <c r="C16285" s="9">
        <f>IFERROR(__xludf.DUMMYFUNCTION("""COMPUTED_VALUE"""),3.99)</f>
        <v>3.99</v>
      </c>
      <c r="H16285" s="17"/>
      <c r="K16285" s="17"/>
      <c r="N16285" s="17"/>
    </row>
    <row r="16286">
      <c r="B16286" s="11">
        <f>IFERROR(__xludf.DUMMYFUNCTION("""COMPUTED_VALUE"""),23225.0)</f>
        <v>23225</v>
      </c>
      <c r="C16286" s="9">
        <f>IFERROR(__xludf.DUMMYFUNCTION("""COMPUTED_VALUE"""),3.99)</f>
        <v>3.99</v>
      </c>
      <c r="H16286" s="17"/>
      <c r="K16286" s="17"/>
      <c r="N16286" s="17"/>
    </row>
    <row r="16287">
      <c r="B16287" s="11">
        <f>IFERROR(__xludf.DUMMYFUNCTION("""COMPUTED_VALUE"""),23224.0)</f>
        <v>23224</v>
      </c>
      <c r="C16287" s="9">
        <f>IFERROR(__xludf.DUMMYFUNCTION("""COMPUTED_VALUE"""),3.99)</f>
        <v>3.99</v>
      </c>
      <c r="H16287" s="17"/>
      <c r="K16287" s="17"/>
      <c r="N16287" s="17"/>
    </row>
    <row r="16288">
      <c r="B16288" s="11">
        <f>IFERROR(__xludf.DUMMYFUNCTION("""COMPUTED_VALUE"""),23223.0)</f>
        <v>23223</v>
      </c>
      <c r="C16288" s="9">
        <f>IFERROR(__xludf.DUMMYFUNCTION("""COMPUTED_VALUE"""),4.0)</f>
        <v>4</v>
      </c>
      <c r="H16288" s="17"/>
      <c r="K16288" s="17"/>
      <c r="N16288" s="17"/>
    </row>
    <row r="16289">
      <c r="B16289" s="11">
        <f>IFERROR(__xludf.DUMMYFUNCTION("""COMPUTED_VALUE"""),23222.0)</f>
        <v>23222</v>
      </c>
      <c r="C16289" s="9">
        <f>IFERROR(__xludf.DUMMYFUNCTION("""COMPUTED_VALUE"""),4.0)</f>
        <v>4</v>
      </c>
      <c r="H16289" s="17"/>
      <c r="K16289" s="17"/>
      <c r="N16289" s="17"/>
    </row>
    <row r="16290">
      <c r="B16290" s="11">
        <f>IFERROR(__xludf.DUMMYFUNCTION("""COMPUTED_VALUE"""),23221.0)</f>
        <v>23221</v>
      </c>
      <c r="C16290" s="9">
        <f>IFERROR(__xludf.DUMMYFUNCTION("""COMPUTED_VALUE"""),3.99)</f>
        <v>3.99</v>
      </c>
      <c r="H16290" s="17"/>
      <c r="K16290" s="17"/>
      <c r="N16290" s="17"/>
    </row>
    <row r="16291">
      <c r="B16291" s="11">
        <f>IFERROR(__xludf.DUMMYFUNCTION("""COMPUTED_VALUE"""),23218.0)</f>
        <v>23218</v>
      </c>
      <c r="C16291" s="9">
        <f>IFERROR(__xludf.DUMMYFUNCTION("""COMPUTED_VALUE"""),3.99)</f>
        <v>3.99</v>
      </c>
      <c r="H16291" s="17"/>
      <c r="K16291" s="17"/>
      <c r="N16291" s="17"/>
    </row>
    <row r="16292">
      <c r="B16292" s="11">
        <f>IFERROR(__xludf.DUMMYFUNCTION("""COMPUTED_VALUE"""),23217.0)</f>
        <v>23217</v>
      </c>
      <c r="C16292" s="9">
        <f>IFERROR(__xludf.DUMMYFUNCTION("""COMPUTED_VALUE"""),4.01)</f>
        <v>4.01</v>
      </c>
      <c r="H16292" s="17"/>
      <c r="K16292" s="17"/>
      <c r="N16292" s="17"/>
    </row>
    <row r="16293">
      <c r="B16293" s="11">
        <f>IFERROR(__xludf.DUMMYFUNCTION("""COMPUTED_VALUE"""),23216.0)</f>
        <v>23216</v>
      </c>
      <c r="C16293" s="9">
        <f>IFERROR(__xludf.DUMMYFUNCTION("""COMPUTED_VALUE"""),4.01)</f>
        <v>4.01</v>
      </c>
      <c r="H16293" s="17"/>
      <c r="K16293" s="17"/>
      <c r="N16293" s="17"/>
    </row>
    <row r="16294">
      <c r="B16294" s="11">
        <f>IFERROR(__xludf.DUMMYFUNCTION("""COMPUTED_VALUE"""),23215.0)</f>
        <v>23215</v>
      </c>
      <c r="C16294" s="9">
        <f>IFERROR(__xludf.DUMMYFUNCTION("""COMPUTED_VALUE"""),4.02)</f>
        <v>4.02</v>
      </c>
      <c r="H16294" s="17"/>
      <c r="K16294" s="17"/>
      <c r="N16294" s="17"/>
    </row>
    <row r="16295">
      <c r="B16295" s="11">
        <f>IFERROR(__xludf.DUMMYFUNCTION("""COMPUTED_VALUE"""),23214.0)</f>
        <v>23214</v>
      </c>
      <c r="C16295" s="9">
        <f>IFERROR(__xludf.DUMMYFUNCTION("""COMPUTED_VALUE"""),4.02)</f>
        <v>4.02</v>
      </c>
      <c r="H16295" s="17"/>
      <c r="K16295" s="17"/>
      <c r="N16295" s="17"/>
    </row>
    <row r="16296">
      <c r="B16296" s="11">
        <f>IFERROR(__xludf.DUMMYFUNCTION("""COMPUTED_VALUE"""),23211.0)</f>
        <v>23211</v>
      </c>
      <c r="C16296" s="9">
        <f>IFERROR(__xludf.DUMMYFUNCTION("""COMPUTED_VALUE"""),4.02)</f>
        <v>4.02</v>
      </c>
      <c r="H16296" s="17"/>
      <c r="K16296" s="17"/>
      <c r="N16296" s="17"/>
    </row>
    <row r="16297">
      <c r="B16297" s="11">
        <f>IFERROR(__xludf.DUMMYFUNCTION("""COMPUTED_VALUE"""),23210.0)</f>
        <v>23210</v>
      </c>
      <c r="C16297" s="9">
        <f>IFERROR(__xludf.DUMMYFUNCTION("""COMPUTED_VALUE"""),4.02)</f>
        <v>4.02</v>
      </c>
      <c r="H16297" s="17"/>
      <c r="K16297" s="17"/>
      <c r="N16297" s="17"/>
    </row>
    <row r="16298">
      <c r="B16298" s="11">
        <f>IFERROR(__xludf.DUMMYFUNCTION("""COMPUTED_VALUE"""),23209.0)</f>
        <v>23209</v>
      </c>
      <c r="C16298" s="9">
        <f>IFERROR(__xludf.DUMMYFUNCTION("""COMPUTED_VALUE"""),4.03)</f>
        <v>4.03</v>
      </c>
      <c r="H16298" s="17"/>
      <c r="K16298" s="17"/>
      <c r="N16298" s="17"/>
    </row>
    <row r="16299">
      <c r="B16299" s="11">
        <f>IFERROR(__xludf.DUMMYFUNCTION("""COMPUTED_VALUE"""),23208.0)</f>
        <v>23208</v>
      </c>
      <c r="C16299" s="9">
        <f>IFERROR(__xludf.DUMMYFUNCTION("""COMPUTED_VALUE"""),4.02)</f>
        <v>4.02</v>
      </c>
      <c r="H16299" s="17"/>
      <c r="K16299" s="17"/>
      <c r="N16299" s="17"/>
    </row>
    <row r="16300">
      <c r="B16300" s="11">
        <f>IFERROR(__xludf.DUMMYFUNCTION("""COMPUTED_VALUE"""),23207.0)</f>
        <v>23207</v>
      </c>
      <c r="C16300" s="9">
        <f>IFERROR(__xludf.DUMMYFUNCTION("""COMPUTED_VALUE"""),4.02)</f>
        <v>4.02</v>
      </c>
      <c r="H16300" s="17"/>
      <c r="K16300" s="17"/>
      <c r="N16300" s="17"/>
    </row>
    <row r="16301">
      <c r="B16301" s="11">
        <f>IFERROR(__xludf.DUMMYFUNCTION("""COMPUTED_VALUE"""),23204.0)</f>
        <v>23204</v>
      </c>
      <c r="C16301" s="9">
        <f>IFERROR(__xludf.DUMMYFUNCTION("""COMPUTED_VALUE"""),4.03)</f>
        <v>4.03</v>
      </c>
      <c r="H16301" s="17"/>
      <c r="K16301" s="17"/>
      <c r="N16301" s="17"/>
    </row>
    <row r="16302">
      <c r="B16302" s="11">
        <f>IFERROR(__xludf.DUMMYFUNCTION("""COMPUTED_VALUE"""),23203.0)</f>
        <v>23203</v>
      </c>
      <c r="C16302" s="9">
        <f>IFERROR(__xludf.DUMMYFUNCTION("""COMPUTED_VALUE"""),4.04)</f>
        <v>4.04</v>
      </c>
      <c r="H16302" s="17"/>
      <c r="K16302" s="17"/>
      <c r="N16302" s="17"/>
    </row>
    <row r="16303">
      <c r="B16303" s="11">
        <f>IFERROR(__xludf.DUMMYFUNCTION("""COMPUTED_VALUE"""),23202.0)</f>
        <v>23202</v>
      </c>
      <c r="C16303" s="9">
        <f>IFERROR(__xludf.DUMMYFUNCTION("""COMPUTED_VALUE"""),4.03)</f>
        <v>4.03</v>
      </c>
      <c r="H16303" s="17"/>
      <c r="K16303" s="17"/>
      <c r="N16303" s="17"/>
    </row>
    <row r="16304">
      <c r="B16304" s="11">
        <f>IFERROR(__xludf.DUMMYFUNCTION("""COMPUTED_VALUE"""),23201.0)</f>
        <v>23201</v>
      </c>
      <c r="C16304" s="9">
        <f>IFERROR(__xludf.DUMMYFUNCTION("""COMPUTED_VALUE"""),4.04)</f>
        <v>4.04</v>
      </c>
      <c r="H16304" s="17"/>
      <c r="K16304" s="17"/>
      <c r="N16304" s="17"/>
    </row>
    <row r="16305">
      <c r="B16305" s="11">
        <f>IFERROR(__xludf.DUMMYFUNCTION("""COMPUTED_VALUE"""),23200.0)</f>
        <v>23200</v>
      </c>
      <c r="C16305" s="9">
        <f>IFERROR(__xludf.DUMMYFUNCTION("""COMPUTED_VALUE"""),4.05)</f>
        <v>4.05</v>
      </c>
      <c r="H16305" s="17"/>
      <c r="K16305" s="17"/>
      <c r="N16305" s="17"/>
    </row>
    <row r="16306">
      <c r="B16306" s="11">
        <f>IFERROR(__xludf.DUMMYFUNCTION("""COMPUTED_VALUE"""),23197.0)</f>
        <v>23197</v>
      </c>
      <c r="C16306" s="9">
        <f>IFERROR(__xludf.DUMMYFUNCTION("""COMPUTED_VALUE"""),4.04)</f>
        <v>4.04</v>
      </c>
      <c r="H16306" s="17"/>
      <c r="K16306" s="17"/>
      <c r="N16306" s="17"/>
    </row>
    <row r="16307">
      <c r="B16307" s="11">
        <f>IFERROR(__xludf.DUMMYFUNCTION("""COMPUTED_VALUE"""),23196.0)</f>
        <v>23196</v>
      </c>
      <c r="C16307" s="9"/>
      <c r="H16307" s="17"/>
      <c r="K16307" s="17"/>
      <c r="N16307" s="17"/>
    </row>
    <row r="16308">
      <c r="B16308" s="11">
        <f>IFERROR(__xludf.DUMMYFUNCTION("""COMPUTED_VALUE"""),23195.0)</f>
        <v>23195</v>
      </c>
      <c r="C16308" s="9">
        <f>IFERROR(__xludf.DUMMYFUNCTION("""COMPUTED_VALUE"""),4.03)</f>
        <v>4.03</v>
      </c>
      <c r="H16308" s="17"/>
      <c r="K16308" s="17"/>
      <c r="N16308" s="17"/>
    </row>
    <row r="16309">
      <c r="B16309" s="11">
        <f>IFERROR(__xludf.DUMMYFUNCTION("""COMPUTED_VALUE"""),23194.0)</f>
        <v>23194</v>
      </c>
      <c r="C16309" s="9">
        <f>IFERROR(__xludf.DUMMYFUNCTION("""COMPUTED_VALUE"""),4.03)</f>
        <v>4.03</v>
      </c>
      <c r="H16309" s="17"/>
      <c r="K16309" s="17"/>
      <c r="N16309" s="17"/>
    </row>
    <row r="16310">
      <c r="B16310" s="11">
        <f>IFERROR(__xludf.DUMMYFUNCTION("""COMPUTED_VALUE"""),23193.0)</f>
        <v>23193</v>
      </c>
      <c r="C16310" s="9">
        <f>IFERROR(__xludf.DUMMYFUNCTION("""COMPUTED_VALUE"""),4.01)</f>
        <v>4.01</v>
      </c>
      <c r="H16310" s="17"/>
      <c r="K16310" s="17"/>
      <c r="N16310" s="17"/>
    </row>
    <row r="16311">
      <c r="B16311" s="11">
        <f>IFERROR(__xludf.DUMMYFUNCTION("""COMPUTED_VALUE"""),23190.0)</f>
        <v>23190</v>
      </c>
      <c r="C16311" s="9">
        <f>IFERROR(__xludf.DUMMYFUNCTION("""COMPUTED_VALUE"""),4.0)</f>
        <v>4</v>
      </c>
      <c r="H16311" s="17"/>
      <c r="K16311" s="17"/>
      <c r="N16311" s="17"/>
    </row>
    <row r="16312">
      <c r="B16312" s="11">
        <f>IFERROR(__xludf.DUMMYFUNCTION("""COMPUTED_VALUE"""),23189.0)</f>
        <v>23189</v>
      </c>
      <c r="C16312" s="9">
        <f>IFERROR(__xludf.DUMMYFUNCTION("""COMPUTED_VALUE"""),4.0)</f>
        <v>4</v>
      </c>
      <c r="H16312" s="17"/>
      <c r="K16312" s="17"/>
      <c r="N16312" s="17"/>
    </row>
    <row r="16313">
      <c r="B16313" s="11">
        <f>IFERROR(__xludf.DUMMYFUNCTION("""COMPUTED_VALUE"""),23188.0)</f>
        <v>23188</v>
      </c>
      <c r="C16313" s="9">
        <f>IFERROR(__xludf.DUMMYFUNCTION("""COMPUTED_VALUE"""),4.0)</f>
        <v>4</v>
      </c>
      <c r="H16313" s="17"/>
      <c r="K16313" s="17"/>
      <c r="N16313" s="17"/>
    </row>
    <row r="16314">
      <c r="B16314" s="11">
        <f>IFERROR(__xludf.DUMMYFUNCTION("""COMPUTED_VALUE"""),23187.0)</f>
        <v>23187</v>
      </c>
      <c r="C16314" s="9">
        <f>IFERROR(__xludf.DUMMYFUNCTION("""COMPUTED_VALUE"""),4.0)</f>
        <v>4</v>
      </c>
      <c r="H16314" s="17"/>
      <c r="K16314" s="17"/>
      <c r="N16314" s="17"/>
    </row>
    <row r="16315">
      <c r="B16315" s="11">
        <f>IFERROR(__xludf.DUMMYFUNCTION("""COMPUTED_VALUE"""),23186.0)</f>
        <v>23186</v>
      </c>
      <c r="C16315" s="9">
        <f>IFERROR(__xludf.DUMMYFUNCTION("""COMPUTED_VALUE"""),4.0)</f>
        <v>4</v>
      </c>
      <c r="H16315" s="17"/>
      <c r="K16315" s="17"/>
      <c r="N16315" s="17"/>
    </row>
    <row r="16316">
      <c r="B16316" s="11">
        <f>IFERROR(__xludf.DUMMYFUNCTION("""COMPUTED_VALUE"""),23183.0)</f>
        <v>23183</v>
      </c>
      <c r="C16316" s="9">
        <f>IFERROR(__xludf.DUMMYFUNCTION("""COMPUTED_VALUE"""),4.0)</f>
        <v>4</v>
      </c>
      <c r="H16316" s="17"/>
      <c r="K16316" s="17"/>
      <c r="N16316" s="17"/>
    </row>
    <row r="16317">
      <c r="B16317" s="11">
        <f>IFERROR(__xludf.DUMMYFUNCTION("""COMPUTED_VALUE"""),23182.0)</f>
        <v>23182</v>
      </c>
      <c r="C16317" s="9">
        <f>IFERROR(__xludf.DUMMYFUNCTION("""COMPUTED_VALUE"""),4.0)</f>
        <v>4</v>
      </c>
      <c r="H16317" s="17"/>
      <c r="K16317" s="17"/>
      <c r="N16317" s="17"/>
    </row>
    <row r="16318">
      <c r="B16318" s="11">
        <f>IFERROR(__xludf.DUMMYFUNCTION("""COMPUTED_VALUE"""),23181.0)</f>
        <v>23181</v>
      </c>
      <c r="C16318" s="9">
        <f>IFERROR(__xludf.DUMMYFUNCTION("""COMPUTED_VALUE"""),4.0)</f>
        <v>4</v>
      </c>
      <c r="H16318" s="17"/>
      <c r="K16318" s="17"/>
      <c r="N16318" s="17"/>
    </row>
    <row r="16319">
      <c r="B16319" s="11">
        <f>IFERROR(__xludf.DUMMYFUNCTION("""COMPUTED_VALUE"""),23180.0)</f>
        <v>23180</v>
      </c>
      <c r="C16319" s="9">
        <f>IFERROR(__xludf.DUMMYFUNCTION("""COMPUTED_VALUE"""),4.0)</f>
        <v>4</v>
      </c>
      <c r="H16319" s="17"/>
      <c r="K16319" s="17"/>
      <c r="N16319" s="17"/>
    </row>
    <row r="16320">
      <c r="B16320" s="11">
        <f>IFERROR(__xludf.DUMMYFUNCTION("""COMPUTED_VALUE"""),23179.0)</f>
        <v>23179</v>
      </c>
      <c r="C16320" s="9">
        <f>IFERROR(__xludf.DUMMYFUNCTION("""COMPUTED_VALUE"""),4.0)</f>
        <v>4</v>
      </c>
      <c r="H16320" s="17"/>
      <c r="K16320" s="17"/>
      <c r="N16320" s="17"/>
    </row>
    <row r="16321">
      <c r="B16321" s="11">
        <f>IFERROR(__xludf.DUMMYFUNCTION("""COMPUTED_VALUE"""),23176.0)</f>
        <v>23176</v>
      </c>
      <c r="C16321" s="9">
        <f>IFERROR(__xludf.DUMMYFUNCTION("""COMPUTED_VALUE"""),3.99)</f>
        <v>3.99</v>
      </c>
      <c r="H16321" s="17"/>
      <c r="K16321" s="17"/>
      <c r="N16321" s="17"/>
    </row>
    <row r="16322">
      <c r="B16322" s="11">
        <f>IFERROR(__xludf.DUMMYFUNCTION("""COMPUTED_VALUE"""),23175.0)</f>
        <v>23175</v>
      </c>
      <c r="C16322" s="9">
        <f>IFERROR(__xludf.DUMMYFUNCTION("""COMPUTED_VALUE"""),3.99)</f>
        <v>3.99</v>
      </c>
      <c r="H16322" s="17"/>
      <c r="K16322" s="17"/>
      <c r="N16322" s="17"/>
    </row>
    <row r="16323">
      <c r="B16323" s="11">
        <f>IFERROR(__xludf.DUMMYFUNCTION("""COMPUTED_VALUE"""),23174.0)</f>
        <v>23174</v>
      </c>
      <c r="C16323" s="9">
        <f>IFERROR(__xludf.DUMMYFUNCTION("""COMPUTED_VALUE"""),3.99)</f>
        <v>3.99</v>
      </c>
      <c r="H16323" s="17"/>
      <c r="K16323" s="17"/>
      <c r="N16323" s="17"/>
    </row>
    <row r="16324">
      <c r="B16324" s="11">
        <f>IFERROR(__xludf.DUMMYFUNCTION("""COMPUTED_VALUE"""),23173.0)</f>
        <v>23173</v>
      </c>
      <c r="C16324" s="9">
        <f>IFERROR(__xludf.DUMMYFUNCTION("""COMPUTED_VALUE"""),3.98)</f>
        <v>3.98</v>
      </c>
      <c r="H16324" s="17"/>
      <c r="K16324" s="17"/>
      <c r="N16324" s="17"/>
    </row>
    <row r="16325">
      <c r="B16325" s="11">
        <f>IFERROR(__xludf.DUMMYFUNCTION("""COMPUTED_VALUE"""),23172.0)</f>
        <v>23172</v>
      </c>
      <c r="C16325" s="9">
        <f>IFERROR(__xludf.DUMMYFUNCTION("""COMPUTED_VALUE"""),3.99)</f>
        <v>3.99</v>
      </c>
      <c r="H16325" s="17"/>
      <c r="K16325" s="17"/>
      <c r="N16325" s="17"/>
    </row>
    <row r="16326">
      <c r="B16326" s="11">
        <f>IFERROR(__xludf.DUMMYFUNCTION("""COMPUTED_VALUE"""),23169.0)</f>
        <v>23169</v>
      </c>
      <c r="C16326" s="9">
        <f>IFERROR(__xludf.DUMMYFUNCTION("""COMPUTED_VALUE"""),3.99)</f>
        <v>3.99</v>
      </c>
      <c r="H16326" s="17"/>
      <c r="K16326" s="17"/>
      <c r="N16326" s="17"/>
    </row>
    <row r="16327">
      <c r="B16327" s="11">
        <f>IFERROR(__xludf.DUMMYFUNCTION("""COMPUTED_VALUE"""),23168.0)</f>
        <v>23168</v>
      </c>
      <c r="C16327" s="9">
        <f>IFERROR(__xludf.DUMMYFUNCTION("""COMPUTED_VALUE"""),3.99)</f>
        <v>3.99</v>
      </c>
      <c r="H16327" s="17"/>
      <c r="K16327" s="17"/>
      <c r="N16327" s="17"/>
    </row>
    <row r="16328">
      <c r="B16328" s="11">
        <f>IFERROR(__xludf.DUMMYFUNCTION("""COMPUTED_VALUE"""),23167.0)</f>
        <v>23167</v>
      </c>
      <c r="C16328" s="9">
        <f>IFERROR(__xludf.DUMMYFUNCTION("""COMPUTED_VALUE"""),3.98)</f>
        <v>3.98</v>
      </c>
      <c r="H16328" s="17"/>
      <c r="K16328" s="17"/>
      <c r="N16328" s="17"/>
    </row>
    <row r="16329">
      <c r="B16329" s="11">
        <f>IFERROR(__xludf.DUMMYFUNCTION("""COMPUTED_VALUE"""),23166.0)</f>
        <v>23166</v>
      </c>
      <c r="C16329" s="9">
        <f>IFERROR(__xludf.DUMMYFUNCTION("""COMPUTED_VALUE"""),3.98)</f>
        <v>3.98</v>
      </c>
      <c r="H16329" s="17"/>
      <c r="K16329" s="17"/>
      <c r="N16329" s="17"/>
    </row>
    <row r="16330">
      <c r="B16330" s="11">
        <f>IFERROR(__xludf.DUMMYFUNCTION("""COMPUTED_VALUE"""),23165.0)</f>
        <v>23165</v>
      </c>
      <c r="C16330" s="9">
        <f>IFERROR(__xludf.DUMMYFUNCTION("""COMPUTED_VALUE"""),3.98)</f>
        <v>3.98</v>
      </c>
      <c r="H16330" s="17"/>
      <c r="K16330" s="17"/>
      <c r="N16330" s="17"/>
    </row>
    <row r="16331">
      <c r="B16331" s="11">
        <f>IFERROR(__xludf.DUMMYFUNCTION("""COMPUTED_VALUE"""),23162.0)</f>
        <v>23162</v>
      </c>
      <c r="C16331" s="9">
        <f>IFERROR(__xludf.DUMMYFUNCTION("""COMPUTED_VALUE"""),3.96)</f>
        <v>3.96</v>
      </c>
      <c r="H16331" s="17"/>
      <c r="K16331" s="17"/>
      <c r="N16331" s="17"/>
    </row>
    <row r="16332">
      <c r="B16332" s="11">
        <f>IFERROR(__xludf.DUMMYFUNCTION("""COMPUTED_VALUE"""),23161.0)</f>
        <v>23161</v>
      </c>
      <c r="C16332" s="9"/>
      <c r="H16332" s="17"/>
      <c r="K16332" s="17"/>
      <c r="N16332" s="17"/>
    </row>
    <row r="16333">
      <c r="B16333" s="11">
        <f>IFERROR(__xludf.DUMMYFUNCTION("""COMPUTED_VALUE"""),23160.0)</f>
        <v>23160</v>
      </c>
      <c r="C16333" s="9">
        <f>IFERROR(__xludf.DUMMYFUNCTION("""COMPUTED_VALUE"""),3.96)</f>
        <v>3.96</v>
      </c>
      <c r="H16333" s="17"/>
      <c r="K16333" s="17"/>
      <c r="N16333" s="17"/>
    </row>
    <row r="16334">
      <c r="B16334" s="11">
        <f>IFERROR(__xludf.DUMMYFUNCTION("""COMPUTED_VALUE"""),23159.0)</f>
        <v>23159</v>
      </c>
      <c r="C16334" s="9">
        <f>IFERROR(__xludf.DUMMYFUNCTION("""COMPUTED_VALUE"""),3.96)</f>
        <v>3.96</v>
      </c>
      <c r="H16334" s="17"/>
      <c r="K16334" s="17"/>
      <c r="N16334" s="17"/>
    </row>
    <row r="16335">
      <c r="B16335" s="11">
        <f>IFERROR(__xludf.DUMMYFUNCTION("""COMPUTED_VALUE"""),23158.0)</f>
        <v>23158</v>
      </c>
      <c r="C16335" s="9">
        <f>IFERROR(__xludf.DUMMYFUNCTION("""COMPUTED_VALUE"""),3.95)</f>
        <v>3.95</v>
      </c>
      <c r="H16335" s="17"/>
      <c r="K16335" s="17"/>
      <c r="N16335" s="17"/>
    </row>
    <row r="16336">
      <c r="B16336" s="11">
        <f>IFERROR(__xludf.DUMMYFUNCTION("""COMPUTED_VALUE"""),23155.0)</f>
        <v>23155</v>
      </c>
      <c r="C16336" s="9">
        <f>IFERROR(__xludf.DUMMYFUNCTION("""COMPUTED_VALUE"""),3.95)</f>
        <v>3.95</v>
      </c>
      <c r="H16336" s="17"/>
      <c r="K16336" s="17"/>
      <c r="N16336" s="17"/>
    </row>
    <row r="16337">
      <c r="B16337" s="11">
        <f>IFERROR(__xludf.DUMMYFUNCTION("""COMPUTED_VALUE"""),23154.0)</f>
        <v>23154</v>
      </c>
      <c r="C16337" s="9">
        <f>IFERROR(__xludf.DUMMYFUNCTION("""COMPUTED_VALUE"""),3.93)</f>
        <v>3.93</v>
      </c>
      <c r="H16337" s="17"/>
      <c r="K16337" s="17"/>
      <c r="N16337" s="17"/>
    </row>
    <row r="16338">
      <c r="B16338" s="11">
        <f>IFERROR(__xludf.DUMMYFUNCTION("""COMPUTED_VALUE"""),23153.0)</f>
        <v>23153</v>
      </c>
      <c r="C16338" s="9">
        <f>IFERROR(__xludf.DUMMYFUNCTION("""COMPUTED_VALUE"""),3.92)</f>
        <v>3.92</v>
      </c>
      <c r="H16338" s="17"/>
      <c r="K16338" s="17"/>
      <c r="N16338" s="17"/>
    </row>
    <row r="16339">
      <c r="B16339" s="11">
        <f>IFERROR(__xludf.DUMMYFUNCTION("""COMPUTED_VALUE"""),23152.0)</f>
        <v>23152</v>
      </c>
      <c r="C16339" s="9">
        <f>IFERROR(__xludf.DUMMYFUNCTION("""COMPUTED_VALUE"""),3.92)</f>
        <v>3.92</v>
      </c>
      <c r="H16339" s="17"/>
      <c r="K16339" s="17"/>
      <c r="N16339" s="17"/>
    </row>
    <row r="16340">
      <c r="B16340" s="11">
        <f>IFERROR(__xludf.DUMMYFUNCTION("""COMPUTED_VALUE"""),23151.0)</f>
        <v>23151</v>
      </c>
      <c r="C16340" s="9">
        <f>IFERROR(__xludf.DUMMYFUNCTION("""COMPUTED_VALUE"""),3.93)</f>
        <v>3.93</v>
      </c>
      <c r="H16340" s="17"/>
      <c r="K16340" s="17"/>
      <c r="N16340" s="17"/>
    </row>
    <row r="16341">
      <c r="B16341" s="11">
        <f>IFERROR(__xludf.DUMMYFUNCTION("""COMPUTED_VALUE"""),23148.0)</f>
        <v>23148</v>
      </c>
      <c r="C16341" s="9">
        <f>IFERROR(__xludf.DUMMYFUNCTION("""COMPUTED_VALUE"""),3.92)</f>
        <v>3.92</v>
      </c>
      <c r="H16341" s="17"/>
      <c r="K16341" s="17"/>
      <c r="N16341" s="17"/>
    </row>
    <row r="16342">
      <c r="B16342" s="11">
        <f>IFERROR(__xludf.DUMMYFUNCTION("""COMPUTED_VALUE"""),23147.0)</f>
        <v>23147</v>
      </c>
      <c r="C16342" s="9">
        <f>IFERROR(__xludf.DUMMYFUNCTION("""COMPUTED_VALUE"""),3.9)</f>
        <v>3.9</v>
      </c>
      <c r="H16342" s="17"/>
      <c r="K16342" s="17"/>
      <c r="N16342" s="17"/>
    </row>
    <row r="16343">
      <c r="B16343" s="11">
        <f>IFERROR(__xludf.DUMMYFUNCTION("""COMPUTED_VALUE"""),23146.0)</f>
        <v>23146</v>
      </c>
      <c r="C16343" s="9">
        <f>IFERROR(__xludf.DUMMYFUNCTION("""COMPUTED_VALUE"""),3.91)</f>
        <v>3.91</v>
      </c>
      <c r="H16343" s="17"/>
      <c r="K16343" s="17"/>
      <c r="N16343" s="17"/>
    </row>
    <row r="16344">
      <c r="B16344" s="11">
        <f>IFERROR(__xludf.DUMMYFUNCTION("""COMPUTED_VALUE"""),23145.0)</f>
        <v>23145</v>
      </c>
      <c r="C16344" s="9">
        <f>IFERROR(__xludf.DUMMYFUNCTION("""COMPUTED_VALUE"""),3.91)</f>
        <v>3.91</v>
      </c>
      <c r="H16344" s="17"/>
      <c r="K16344" s="17"/>
      <c r="N16344" s="17"/>
    </row>
    <row r="16345">
      <c r="B16345" s="11">
        <f>IFERROR(__xludf.DUMMYFUNCTION("""COMPUTED_VALUE"""),23144.0)</f>
        <v>23144</v>
      </c>
      <c r="C16345" s="9">
        <f>IFERROR(__xludf.DUMMYFUNCTION("""COMPUTED_VALUE"""),3.92)</f>
        <v>3.92</v>
      </c>
      <c r="H16345" s="17"/>
      <c r="K16345" s="17"/>
      <c r="N16345" s="17"/>
    </row>
    <row r="16346">
      <c r="B16346" s="11">
        <f>IFERROR(__xludf.DUMMYFUNCTION("""COMPUTED_VALUE"""),23141.0)</f>
        <v>23141</v>
      </c>
      <c r="C16346" s="9">
        <f>IFERROR(__xludf.DUMMYFUNCTION("""COMPUTED_VALUE"""),3.93)</f>
        <v>3.93</v>
      </c>
      <c r="H16346" s="17"/>
      <c r="K16346" s="17"/>
      <c r="N16346" s="17"/>
    </row>
    <row r="16347">
      <c r="B16347" s="11">
        <f>IFERROR(__xludf.DUMMYFUNCTION("""COMPUTED_VALUE"""),23140.0)</f>
        <v>23140</v>
      </c>
      <c r="C16347" s="9">
        <f>IFERROR(__xludf.DUMMYFUNCTION("""COMPUTED_VALUE"""),3.93)</f>
        <v>3.93</v>
      </c>
      <c r="H16347" s="17"/>
      <c r="K16347" s="17"/>
      <c r="N16347" s="17"/>
    </row>
    <row r="16348">
      <c r="B16348" s="11">
        <f>IFERROR(__xludf.DUMMYFUNCTION("""COMPUTED_VALUE"""),23139.0)</f>
        <v>23139</v>
      </c>
      <c r="C16348" s="9">
        <f>IFERROR(__xludf.DUMMYFUNCTION("""COMPUTED_VALUE"""),3.92)</f>
        <v>3.92</v>
      </c>
      <c r="H16348" s="17"/>
      <c r="K16348" s="17"/>
      <c r="N16348" s="17"/>
    </row>
    <row r="16349">
      <c r="B16349" s="11">
        <f>IFERROR(__xludf.DUMMYFUNCTION("""COMPUTED_VALUE"""),23138.0)</f>
        <v>23138</v>
      </c>
      <c r="C16349" s="9">
        <f>IFERROR(__xludf.DUMMYFUNCTION("""COMPUTED_VALUE"""),3.91)</f>
        <v>3.91</v>
      </c>
      <c r="H16349" s="17"/>
      <c r="K16349" s="17"/>
      <c r="N16349" s="17"/>
    </row>
    <row r="16350">
      <c r="B16350" s="11">
        <f>IFERROR(__xludf.DUMMYFUNCTION("""COMPUTED_VALUE"""),23137.0)</f>
        <v>23137</v>
      </c>
      <c r="C16350" s="9">
        <f>IFERROR(__xludf.DUMMYFUNCTION("""COMPUTED_VALUE"""),3.92)</f>
        <v>3.92</v>
      </c>
      <c r="H16350" s="17"/>
      <c r="K16350" s="17"/>
      <c r="N16350" s="17"/>
    </row>
    <row r="16351">
      <c r="B16351" s="11">
        <f>IFERROR(__xludf.DUMMYFUNCTION("""COMPUTED_VALUE"""),23134.0)</f>
        <v>23134</v>
      </c>
      <c r="C16351" s="9">
        <f>IFERROR(__xludf.DUMMYFUNCTION("""COMPUTED_VALUE"""),3.93)</f>
        <v>3.93</v>
      </c>
      <c r="H16351" s="17"/>
      <c r="K16351" s="17"/>
      <c r="N16351" s="17"/>
    </row>
    <row r="16352">
      <c r="B16352" s="11">
        <f>IFERROR(__xludf.DUMMYFUNCTION("""COMPUTED_VALUE"""),23133.0)</f>
        <v>23133</v>
      </c>
      <c r="C16352" s="9">
        <f>IFERROR(__xludf.DUMMYFUNCTION("""COMPUTED_VALUE"""),3.94)</f>
        <v>3.94</v>
      </c>
      <c r="H16352" s="17"/>
      <c r="K16352" s="17"/>
      <c r="N16352" s="17"/>
    </row>
    <row r="16353">
      <c r="B16353" s="11">
        <f>IFERROR(__xludf.DUMMYFUNCTION("""COMPUTED_VALUE"""),23132.0)</f>
        <v>23132</v>
      </c>
      <c r="C16353" s="9">
        <f>IFERROR(__xludf.DUMMYFUNCTION("""COMPUTED_VALUE"""),3.94)</f>
        <v>3.94</v>
      </c>
      <c r="H16353" s="17"/>
      <c r="K16353" s="17"/>
      <c r="N16353" s="17"/>
    </row>
    <row r="16354">
      <c r="B16354" s="11">
        <f>IFERROR(__xludf.DUMMYFUNCTION("""COMPUTED_VALUE"""),23131.0)</f>
        <v>23131</v>
      </c>
      <c r="C16354" s="9">
        <f>IFERROR(__xludf.DUMMYFUNCTION("""COMPUTED_VALUE"""),3.95)</f>
        <v>3.95</v>
      </c>
      <c r="H16354" s="17"/>
      <c r="K16354" s="17"/>
      <c r="N16354" s="17"/>
    </row>
    <row r="16355">
      <c r="B16355" s="11">
        <f>IFERROR(__xludf.DUMMYFUNCTION("""COMPUTED_VALUE"""),23130.0)</f>
        <v>23130</v>
      </c>
      <c r="C16355" s="9">
        <f>IFERROR(__xludf.DUMMYFUNCTION("""COMPUTED_VALUE"""),3.95)</f>
        <v>3.95</v>
      </c>
      <c r="H16355" s="17"/>
      <c r="K16355" s="17"/>
      <c r="N16355" s="17"/>
    </row>
    <row r="16356">
      <c r="B16356" s="11">
        <f>IFERROR(__xludf.DUMMYFUNCTION("""COMPUTED_VALUE"""),23127.0)</f>
        <v>23127</v>
      </c>
      <c r="C16356" s="9">
        <f>IFERROR(__xludf.DUMMYFUNCTION("""COMPUTED_VALUE"""),3.95)</f>
        <v>3.95</v>
      </c>
      <c r="H16356" s="17"/>
      <c r="K16356" s="17"/>
      <c r="N16356" s="17"/>
    </row>
    <row r="16357">
      <c r="B16357" s="11">
        <f>IFERROR(__xludf.DUMMYFUNCTION("""COMPUTED_VALUE"""),23126.0)</f>
        <v>23126</v>
      </c>
      <c r="C16357" s="9">
        <f>IFERROR(__xludf.DUMMYFUNCTION("""COMPUTED_VALUE"""),3.95)</f>
        <v>3.95</v>
      </c>
      <c r="H16357" s="17"/>
      <c r="K16357" s="17"/>
      <c r="N16357" s="17"/>
    </row>
    <row r="16358">
      <c r="B16358" s="11">
        <f>IFERROR(__xludf.DUMMYFUNCTION("""COMPUTED_VALUE"""),23125.0)</f>
        <v>23125</v>
      </c>
      <c r="C16358" s="9">
        <f>IFERROR(__xludf.DUMMYFUNCTION("""COMPUTED_VALUE"""),3.96)</f>
        <v>3.96</v>
      </c>
      <c r="H16358" s="17"/>
      <c r="K16358" s="17"/>
      <c r="N16358" s="17"/>
    </row>
    <row r="16359">
      <c r="B16359" s="11">
        <f>IFERROR(__xludf.DUMMYFUNCTION("""COMPUTED_VALUE"""),23124.0)</f>
        <v>23124</v>
      </c>
      <c r="C16359" s="9">
        <f>IFERROR(__xludf.DUMMYFUNCTION("""COMPUTED_VALUE"""),3.97)</f>
        <v>3.97</v>
      </c>
      <c r="H16359" s="17"/>
      <c r="K16359" s="17"/>
      <c r="N16359" s="17"/>
    </row>
    <row r="16360">
      <c r="B16360" s="11">
        <f>IFERROR(__xludf.DUMMYFUNCTION("""COMPUTED_VALUE"""),23123.0)</f>
        <v>23123</v>
      </c>
      <c r="C16360" s="9">
        <f>IFERROR(__xludf.DUMMYFUNCTION("""COMPUTED_VALUE"""),3.97)</f>
        <v>3.97</v>
      </c>
      <c r="H16360" s="17"/>
      <c r="K16360" s="17"/>
      <c r="N16360" s="17"/>
    </row>
    <row r="16361">
      <c r="B16361" s="11">
        <f>IFERROR(__xludf.DUMMYFUNCTION("""COMPUTED_VALUE"""),23120.0)</f>
        <v>23120</v>
      </c>
      <c r="C16361" s="9">
        <f>IFERROR(__xludf.DUMMYFUNCTION("""COMPUTED_VALUE"""),3.97)</f>
        <v>3.97</v>
      </c>
      <c r="H16361" s="17"/>
      <c r="K16361" s="17"/>
      <c r="N16361" s="17"/>
    </row>
    <row r="16362">
      <c r="B16362" s="11">
        <f>IFERROR(__xludf.DUMMYFUNCTION("""COMPUTED_VALUE"""),23119.0)</f>
        <v>23119</v>
      </c>
      <c r="C16362" s="9">
        <f>IFERROR(__xludf.DUMMYFUNCTION("""COMPUTED_VALUE"""),3.99)</f>
        <v>3.99</v>
      </c>
      <c r="H16362" s="17"/>
      <c r="K16362" s="17"/>
      <c r="N16362" s="17"/>
    </row>
    <row r="16363">
      <c r="B16363" s="11">
        <f>IFERROR(__xludf.DUMMYFUNCTION("""COMPUTED_VALUE"""),23118.0)</f>
        <v>23118</v>
      </c>
      <c r="C16363" s="9">
        <f>IFERROR(__xludf.DUMMYFUNCTION("""COMPUTED_VALUE"""),4.0)</f>
        <v>4</v>
      </c>
      <c r="H16363" s="17"/>
      <c r="K16363" s="17"/>
      <c r="N16363" s="17"/>
    </row>
    <row r="16364">
      <c r="B16364" s="11">
        <f>IFERROR(__xludf.DUMMYFUNCTION("""COMPUTED_VALUE"""),23117.0)</f>
        <v>23117</v>
      </c>
      <c r="C16364" s="9">
        <f>IFERROR(__xludf.DUMMYFUNCTION("""COMPUTED_VALUE"""),4.0)</f>
        <v>4</v>
      </c>
      <c r="H16364" s="17"/>
      <c r="K16364" s="17"/>
      <c r="N16364" s="17"/>
    </row>
    <row r="16365">
      <c r="B16365" s="11">
        <f>IFERROR(__xludf.DUMMYFUNCTION("""COMPUTED_VALUE"""),23116.0)</f>
        <v>23116</v>
      </c>
      <c r="C16365" s="9">
        <f>IFERROR(__xludf.DUMMYFUNCTION("""COMPUTED_VALUE"""),4.01)</f>
        <v>4.01</v>
      </c>
      <c r="H16365" s="17"/>
      <c r="K16365" s="17"/>
      <c r="N16365" s="17"/>
    </row>
    <row r="16366">
      <c r="B16366" s="11">
        <f>IFERROR(__xludf.DUMMYFUNCTION("""COMPUTED_VALUE"""),23113.0)</f>
        <v>23113</v>
      </c>
      <c r="C16366" s="9"/>
      <c r="H16366" s="17"/>
      <c r="K16366" s="17"/>
      <c r="N16366" s="17"/>
    </row>
    <row r="16367">
      <c r="B16367" s="11">
        <f>IFERROR(__xludf.DUMMYFUNCTION("""COMPUTED_VALUE"""),23112.0)</f>
        <v>23112</v>
      </c>
      <c r="C16367" s="9">
        <f>IFERROR(__xludf.DUMMYFUNCTION("""COMPUTED_VALUE"""),4.0)</f>
        <v>4</v>
      </c>
      <c r="H16367" s="17"/>
      <c r="K16367" s="17"/>
      <c r="N16367" s="17"/>
    </row>
    <row r="16368">
      <c r="B16368" s="11">
        <f>IFERROR(__xludf.DUMMYFUNCTION("""COMPUTED_VALUE"""),23111.0)</f>
        <v>23111</v>
      </c>
      <c r="C16368" s="9">
        <f>IFERROR(__xludf.DUMMYFUNCTION("""COMPUTED_VALUE"""),4.0)</f>
        <v>4</v>
      </c>
      <c r="H16368" s="17"/>
      <c r="K16368" s="17"/>
      <c r="N16368" s="17"/>
    </row>
    <row r="16369">
      <c r="B16369" s="11">
        <f>IFERROR(__xludf.DUMMYFUNCTION("""COMPUTED_VALUE"""),23110.0)</f>
        <v>23110</v>
      </c>
      <c r="C16369" s="9">
        <f>IFERROR(__xludf.DUMMYFUNCTION("""COMPUTED_VALUE"""),3.98)</f>
        <v>3.98</v>
      </c>
      <c r="H16369" s="17"/>
      <c r="K16369" s="17"/>
      <c r="N16369" s="17"/>
    </row>
    <row r="16370">
      <c r="B16370" s="11">
        <f>IFERROR(__xludf.DUMMYFUNCTION("""COMPUTED_VALUE"""),23109.0)</f>
        <v>23109</v>
      </c>
      <c r="C16370" s="9">
        <f>IFERROR(__xludf.DUMMYFUNCTION("""COMPUTED_VALUE"""),3.97)</f>
        <v>3.97</v>
      </c>
      <c r="H16370" s="17"/>
      <c r="K16370" s="17"/>
      <c r="N16370" s="17"/>
    </row>
    <row r="16371">
      <c r="B16371" s="11">
        <f>IFERROR(__xludf.DUMMYFUNCTION("""COMPUTED_VALUE"""),23106.0)</f>
        <v>23106</v>
      </c>
      <c r="C16371" s="9">
        <f>IFERROR(__xludf.DUMMYFUNCTION("""COMPUTED_VALUE"""),3.95)</f>
        <v>3.95</v>
      </c>
      <c r="H16371" s="17"/>
      <c r="K16371" s="17"/>
      <c r="N16371" s="17"/>
    </row>
    <row r="16372">
      <c r="B16372" s="11">
        <f>IFERROR(__xludf.DUMMYFUNCTION("""COMPUTED_VALUE"""),23105.0)</f>
        <v>23105</v>
      </c>
      <c r="C16372" s="9">
        <f>IFERROR(__xludf.DUMMYFUNCTION("""COMPUTED_VALUE"""),3.95)</f>
        <v>3.95</v>
      </c>
      <c r="H16372" s="17"/>
      <c r="K16372" s="17"/>
      <c r="N16372" s="17"/>
    </row>
    <row r="16373">
      <c r="B16373" s="11">
        <f>IFERROR(__xludf.DUMMYFUNCTION("""COMPUTED_VALUE"""),23104.0)</f>
        <v>23104</v>
      </c>
      <c r="C16373" s="9">
        <f>IFERROR(__xludf.DUMMYFUNCTION("""COMPUTED_VALUE"""),3.96)</f>
        <v>3.96</v>
      </c>
      <c r="H16373" s="17"/>
      <c r="K16373" s="17"/>
      <c r="N16373" s="17"/>
    </row>
    <row r="16374">
      <c r="B16374" s="11">
        <f>IFERROR(__xludf.DUMMYFUNCTION("""COMPUTED_VALUE"""),23103.0)</f>
        <v>23103</v>
      </c>
      <c r="C16374" s="9">
        <f>IFERROR(__xludf.DUMMYFUNCTION("""COMPUTED_VALUE"""),3.96)</f>
        <v>3.96</v>
      </c>
      <c r="H16374" s="17"/>
      <c r="K16374" s="17"/>
      <c r="N16374" s="17"/>
    </row>
    <row r="16375">
      <c r="B16375" s="11">
        <f>IFERROR(__xludf.DUMMYFUNCTION("""COMPUTED_VALUE"""),23102.0)</f>
        <v>23102</v>
      </c>
      <c r="C16375" s="9">
        <f>IFERROR(__xludf.DUMMYFUNCTION("""COMPUTED_VALUE"""),3.95)</f>
        <v>3.95</v>
      </c>
      <c r="H16375" s="17"/>
      <c r="K16375" s="17"/>
      <c r="N16375" s="17"/>
    </row>
    <row r="16376">
      <c r="B16376" s="11">
        <f>IFERROR(__xludf.DUMMYFUNCTION("""COMPUTED_VALUE"""),23099.0)</f>
        <v>23099</v>
      </c>
      <c r="C16376" s="9">
        <f>IFERROR(__xludf.DUMMYFUNCTION("""COMPUTED_VALUE"""),3.95)</f>
        <v>3.95</v>
      </c>
      <c r="H16376" s="17"/>
      <c r="K16376" s="17"/>
      <c r="N16376" s="17"/>
    </row>
    <row r="16377">
      <c r="B16377" s="11">
        <f>IFERROR(__xludf.DUMMYFUNCTION("""COMPUTED_VALUE"""),23098.0)</f>
        <v>23098</v>
      </c>
      <c r="C16377" s="9">
        <f>IFERROR(__xludf.DUMMYFUNCTION("""COMPUTED_VALUE"""),3.96)</f>
        <v>3.96</v>
      </c>
      <c r="H16377" s="17"/>
      <c r="K16377" s="17"/>
      <c r="N16377" s="17"/>
    </row>
    <row r="16378">
      <c r="B16378" s="11">
        <f>IFERROR(__xludf.DUMMYFUNCTION("""COMPUTED_VALUE"""),23097.0)</f>
        <v>23097</v>
      </c>
      <c r="C16378" s="9">
        <f>IFERROR(__xludf.DUMMYFUNCTION("""COMPUTED_VALUE"""),3.96)</f>
        <v>3.96</v>
      </c>
      <c r="H16378" s="17"/>
      <c r="K16378" s="17"/>
      <c r="N16378" s="17"/>
    </row>
    <row r="16379">
      <c r="B16379" s="11">
        <f>IFERROR(__xludf.DUMMYFUNCTION("""COMPUTED_VALUE"""),23096.0)</f>
        <v>23096</v>
      </c>
      <c r="C16379" s="9">
        <f>IFERROR(__xludf.DUMMYFUNCTION("""COMPUTED_VALUE"""),3.96)</f>
        <v>3.96</v>
      </c>
      <c r="H16379" s="17"/>
      <c r="K16379" s="17"/>
      <c r="N16379" s="17"/>
    </row>
    <row r="16380">
      <c r="B16380" s="11">
        <f>IFERROR(__xludf.DUMMYFUNCTION("""COMPUTED_VALUE"""),23095.0)</f>
        <v>23095</v>
      </c>
      <c r="C16380" s="9">
        <f>IFERROR(__xludf.DUMMYFUNCTION("""COMPUTED_VALUE"""),3.94)</f>
        <v>3.94</v>
      </c>
      <c r="H16380" s="17"/>
      <c r="K16380" s="17"/>
      <c r="N16380" s="17"/>
    </row>
    <row r="16381">
      <c r="B16381" s="11">
        <f>IFERROR(__xludf.DUMMYFUNCTION("""COMPUTED_VALUE"""),23092.0)</f>
        <v>23092</v>
      </c>
      <c r="C16381" s="9">
        <f>IFERROR(__xludf.DUMMYFUNCTION("""COMPUTED_VALUE"""),3.93)</f>
        <v>3.93</v>
      </c>
      <c r="H16381" s="17"/>
      <c r="K16381" s="17"/>
      <c r="N16381" s="17"/>
    </row>
    <row r="16382">
      <c r="B16382" s="11">
        <f>IFERROR(__xludf.DUMMYFUNCTION("""COMPUTED_VALUE"""),23091.0)</f>
        <v>23091</v>
      </c>
      <c r="C16382" s="9">
        <f>IFERROR(__xludf.DUMMYFUNCTION("""COMPUTED_VALUE"""),3.92)</f>
        <v>3.92</v>
      </c>
      <c r="H16382" s="17"/>
      <c r="K16382" s="17"/>
      <c r="N16382" s="17"/>
    </row>
    <row r="16383">
      <c r="B16383" s="11">
        <f>IFERROR(__xludf.DUMMYFUNCTION("""COMPUTED_VALUE"""),23090.0)</f>
        <v>23090</v>
      </c>
      <c r="C16383" s="9">
        <f>IFERROR(__xludf.DUMMYFUNCTION("""COMPUTED_VALUE"""),3.92)</f>
        <v>3.92</v>
      </c>
      <c r="H16383" s="17"/>
      <c r="K16383" s="17"/>
      <c r="N16383" s="17"/>
    </row>
    <row r="16384">
      <c r="B16384" s="11">
        <f>IFERROR(__xludf.DUMMYFUNCTION("""COMPUTED_VALUE"""),23089.0)</f>
        <v>23089</v>
      </c>
      <c r="C16384" s="9">
        <f>IFERROR(__xludf.DUMMYFUNCTION("""COMPUTED_VALUE"""),3.92)</f>
        <v>3.92</v>
      </c>
      <c r="H16384" s="17"/>
      <c r="K16384" s="17"/>
      <c r="N16384" s="17"/>
    </row>
    <row r="16385">
      <c r="B16385" s="11">
        <f>IFERROR(__xludf.DUMMYFUNCTION("""COMPUTED_VALUE"""),23088.0)</f>
        <v>23088</v>
      </c>
      <c r="C16385" s="9">
        <f>IFERROR(__xludf.DUMMYFUNCTION("""COMPUTED_VALUE"""),3.92)</f>
        <v>3.92</v>
      </c>
      <c r="H16385" s="17"/>
      <c r="K16385" s="17"/>
      <c r="N16385" s="17"/>
    </row>
    <row r="16386">
      <c r="B16386" s="11">
        <f>IFERROR(__xludf.DUMMYFUNCTION("""COMPUTED_VALUE"""),23085.0)</f>
        <v>23085</v>
      </c>
      <c r="C16386" s="9">
        <f>IFERROR(__xludf.DUMMYFUNCTION("""COMPUTED_VALUE"""),3.92)</f>
        <v>3.92</v>
      </c>
      <c r="H16386" s="17"/>
      <c r="K16386" s="17"/>
      <c r="N16386" s="17"/>
    </row>
    <row r="16387">
      <c r="B16387" s="11">
        <f>IFERROR(__xludf.DUMMYFUNCTION("""COMPUTED_VALUE"""),23084.0)</f>
        <v>23084</v>
      </c>
      <c r="C16387" s="9">
        <f>IFERROR(__xludf.DUMMYFUNCTION("""COMPUTED_VALUE"""),3.92)</f>
        <v>3.92</v>
      </c>
      <c r="H16387" s="17"/>
      <c r="K16387" s="17"/>
      <c r="N16387" s="17"/>
    </row>
    <row r="16388">
      <c r="B16388" s="11">
        <f>IFERROR(__xludf.DUMMYFUNCTION("""COMPUTED_VALUE"""),23083.0)</f>
        <v>23083</v>
      </c>
      <c r="C16388" s="9">
        <f>IFERROR(__xludf.DUMMYFUNCTION("""COMPUTED_VALUE"""),3.92)</f>
        <v>3.92</v>
      </c>
      <c r="H16388" s="17"/>
      <c r="K16388" s="17"/>
      <c r="N16388" s="17"/>
    </row>
    <row r="16389">
      <c r="B16389" s="11">
        <f>IFERROR(__xludf.DUMMYFUNCTION("""COMPUTED_VALUE"""),23082.0)</f>
        <v>23082</v>
      </c>
      <c r="C16389" s="9">
        <f>IFERROR(__xludf.DUMMYFUNCTION("""COMPUTED_VALUE"""),3.92)</f>
        <v>3.92</v>
      </c>
      <c r="H16389" s="17"/>
      <c r="K16389" s="17"/>
      <c r="N16389" s="17"/>
    </row>
    <row r="16390">
      <c r="B16390" s="11">
        <f>IFERROR(__xludf.DUMMYFUNCTION("""COMPUTED_VALUE"""),23081.0)</f>
        <v>23081</v>
      </c>
      <c r="C16390" s="9">
        <f>IFERROR(__xludf.DUMMYFUNCTION("""COMPUTED_VALUE"""),3.92)</f>
        <v>3.92</v>
      </c>
      <c r="H16390" s="17"/>
      <c r="K16390" s="17"/>
      <c r="N16390" s="17"/>
    </row>
    <row r="16391">
      <c r="B16391" s="11">
        <f>IFERROR(__xludf.DUMMYFUNCTION("""COMPUTED_VALUE"""),23078.0)</f>
        <v>23078</v>
      </c>
      <c r="C16391" s="9">
        <f>IFERROR(__xludf.DUMMYFUNCTION("""COMPUTED_VALUE"""),3.92)</f>
        <v>3.92</v>
      </c>
      <c r="H16391" s="17"/>
      <c r="K16391" s="17"/>
      <c r="N16391" s="17"/>
    </row>
    <row r="16392">
      <c r="B16392" s="11">
        <f>IFERROR(__xludf.DUMMYFUNCTION("""COMPUTED_VALUE"""),23077.0)</f>
        <v>23077</v>
      </c>
      <c r="C16392" s="9">
        <f>IFERROR(__xludf.DUMMYFUNCTION("""COMPUTED_VALUE"""),3.92)</f>
        <v>3.92</v>
      </c>
      <c r="H16392" s="17"/>
      <c r="K16392" s="17"/>
      <c r="N16392" s="17"/>
    </row>
    <row r="16393">
      <c r="B16393" s="11">
        <f>IFERROR(__xludf.DUMMYFUNCTION("""COMPUTED_VALUE"""),23076.0)</f>
        <v>23076</v>
      </c>
      <c r="C16393" s="9">
        <f>IFERROR(__xludf.DUMMYFUNCTION("""COMPUTED_VALUE"""),3.91)</f>
        <v>3.91</v>
      </c>
      <c r="H16393" s="17"/>
      <c r="K16393" s="17"/>
      <c r="N16393" s="17"/>
    </row>
    <row r="16394">
      <c r="B16394" s="11">
        <f>IFERROR(__xludf.DUMMYFUNCTION("""COMPUTED_VALUE"""),23075.0)</f>
        <v>23075</v>
      </c>
      <c r="C16394" s="9">
        <f>IFERROR(__xludf.DUMMYFUNCTION("""COMPUTED_VALUE"""),3.92)</f>
        <v>3.92</v>
      </c>
      <c r="H16394" s="17"/>
      <c r="K16394" s="17"/>
      <c r="N16394" s="17"/>
    </row>
    <row r="16395">
      <c r="B16395" s="11">
        <f>IFERROR(__xludf.DUMMYFUNCTION("""COMPUTED_VALUE"""),23074.0)</f>
        <v>23074</v>
      </c>
      <c r="C16395" s="9">
        <f>IFERROR(__xludf.DUMMYFUNCTION("""COMPUTED_VALUE"""),3.92)</f>
        <v>3.92</v>
      </c>
      <c r="H16395" s="17"/>
      <c r="K16395" s="17"/>
      <c r="N16395" s="17"/>
    </row>
    <row r="16396">
      <c r="B16396" s="11">
        <f>IFERROR(__xludf.DUMMYFUNCTION("""COMPUTED_VALUE"""),23071.0)</f>
        <v>23071</v>
      </c>
      <c r="C16396" s="9">
        <f>IFERROR(__xludf.DUMMYFUNCTION("""COMPUTED_VALUE"""),3.93)</f>
        <v>3.93</v>
      </c>
      <c r="H16396" s="17"/>
      <c r="K16396" s="17"/>
      <c r="N16396" s="17"/>
    </row>
    <row r="16397">
      <c r="B16397" s="11">
        <f>IFERROR(__xludf.DUMMYFUNCTION("""COMPUTED_VALUE"""),23070.0)</f>
        <v>23070</v>
      </c>
      <c r="C16397" s="9">
        <f>IFERROR(__xludf.DUMMYFUNCTION("""COMPUTED_VALUE"""),3.94)</f>
        <v>3.94</v>
      </c>
      <c r="H16397" s="17"/>
      <c r="K16397" s="17"/>
      <c r="N16397" s="17"/>
    </row>
    <row r="16398">
      <c r="B16398" s="11">
        <f>IFERROR(__xludf.DUMMYFUNCTION("""COMPUTED_VALUE"""),23069.0)</f>
        <v>23069</v>
      </c>
      <c r="C16398" s="9">
        <f>IFERROR(__xludf.DUMMYFUNCTION("""COMPUTED_VALUE"""),3.95)</f>
        <v>3.95</v>
      </c>
      <c r="H16398" s="17"/>
      <c r="K16398" s="17"/>
      <c r="N16398" s="17"/>
    </row>
    <row r="16399">
      <c r="B16399" s="11">
        <f>IFERROR(__xludf.DUMMYFUNCTION("""COMPUTED_VALUE"""),23068.0)</f>
        <v>23068</v>
      </c>
      <c r="C16399" s="9">
        <f>IFERROR(__xludf.DUMMYFUNCTION("""COMPUTED_VALUE"""),3.95)</f>
        <v>3.95</v>
      </c>
      <c r="H16399" s="17"/>
      <c r="K16399" s="17"/>
      <c r="N16399" s="17"/>
    </row>
    <row r="16400">
      <c r="B16400" s="11">
        <f>IFERROR(__xludf.DUMMYFUNCTION("""COMPUTED_VALUE"""),23067.0)</f>
        <v>23067</v>
      </c>
      <c r="C16400" s="9">
        <f>IFERROR(__xludf.DUMMYFUNCTION("""COMPUTED_VALUE"""),3.95)</f>
        <v>3.95</v>
      </c>
      <c r="H16400" s="17"/>
      <c r="K16400" s="17"/>
      <c r="N16400" s="17"/>
    </row>
    <row r="16401">
      <c r="B16401" s="11">
        <f>IFERROR(__xludf.DUMMYFUNCTION("""COMPUTED_VALUE"""),23064.0)</f>
        <v>23064</v>
      </c>
      <c r="C16401" s="9"/>
      <c r="H16401" s="17"/>
      <c r="K16401" s="17"/>
      <c r="N16401" s="17"/>
    </row>
    <row r="16402">
      <c r="B16402" s="11">
        <f>IFERROR(__xludf.DUMMYFUNCTION("""COMPUTED_VALUE"""),23063.0)</f>
        <v>23063</v>
      </c>
      <c r="C16402" s="9">
        <f>IFERROR(__xludf.DUMMYFUNCTION("""COMPUTED_VALUE"""),3.95)</f>
        <v>3.95</v>
      </c>
      <c r="H16402" s="17"/>
      <c r="K16402" s="17"/>
      <c r="N16402" s="17"/>
    </row>
    <row r="16403">
      <c r="B16403" s="11">
        <f>IFERROR(__xludf.DUMMYFUNCTION("""COMPUTED_VALUE"""),23062.0)</f>
        <v>23062</v>
      </c>
      <c r="C16403" s="9">
        <f>IFERROR(__xludf.DUMMYFUNCTION("""COMPUTED_VALUE"""),3.94)</f>
        <v>3.94</v>
      </c>
      <c r="H16403" s="17"/>
      <c r="K16403" s="17"/>
      <c r="N16403" s="17"/>
    </row>
    <row r="16404">
      <c r="B16404" s="11">
        <f>IFERROR(__xludf.DUMMYFUNCTION("""COMPUTED_VALUE"""),23061.0)</f>
        <v>23061</v>
      </c>
      <c r="C16404" s="9">
        <f>IFERROR(__xludf.DUMMYFUNCTION("""COMPUTED_VALUE"""),3.93)</f>
        <v>3.93</v>
      </c>
      <c r="H16404" s="17"/>
      <c r="K16404" s="17"/>
      <c r="N16404" s="17"/>
    </row>
    <row r="16405">
      <c r="B16405" s="11">
        <f>IFERROR(__xludf.DUMMYFUNCTION("""COMPUTED_VALUE"""),23060.0)</f>
        <v>23060</v>
      </c>
      <c r="C16405" s="9">
        <f>IFERROR(__xludf.DUMMYFUNCTION("""COMPUTED_VALUE"""),3.91)</f>
        <v>3.91</v>
      </c>
      <c r="H16405" s="17"/>
      <c r="K16405" s="17"/>
      <c r="N16405" s="17"/>
    </row>
    <row r="16406">
      <c r="B16406" s="11">
        <f>IFERROR(__xludf.DUMMYFUNCTION("""COMPUTED_VALUE"""),23057.0)</f>
        <v>23057</v>
      </c>
      <c r="C16406" s="9">
        <f>IFERROR(__xludf.DUMMYFUNCTION("""COMPUTED_VALUE"""),3.91)</f>
        <v>3.91</v>
      </c>
      <c r="H16406" s="17"/>
      <c r="K16406" s="17"/>
      <c r="N16406" s="17"/>
    </row>
    <row r="16407">
      <c r="B16407" s="11">
        <f>IFERROR(__xludf.DUMMYFUNCTION("""COMPUTED_VALUE"""),23056.0)</f>
        <v>23056</v>
      </c>
      <c r="C16407" s="9">
        <f>IFERROR(__xludf.DUMMYFUNCTION("""COMPUTED_VALUE"""),3.91)</f>
        <v>3.91</v>
      </c>
      <c r="H16407" s="17"/>
      <c r="K16407" s="17"/>
      <c r="N16407" s="17"/>
    </row>
    <row r="16408">
      <c r="B16408" s="11">
        <f>IFERROR(__xludf.DUMMYFUNCTION("""COMPUTED_VALUE"""),23055.0)</f>
        <v>23055</v>
      </c>
      <c r="C16408" s="9">
        <f>IFERROR(__xludf.DUMMYFUNCTION("""COMPUTED_VALUE"""),3.92)</f>
        <v>3.92</v>
      </c>
      <c r="H16408" s="17"/>
      <c r="K16408" s="17"/>
      <c r="N16408" s="17"/>
    </row>
    <row r="16409">
      <c r="B16409" s="11">
        <f>IFERROR(__xludf.DUMMYFUNCTION("""COMPUTED_VALUE"""),23054.0)</f>
        <v>23054</v>
      </c>
      <c r="C16409" s="9"/>
      <c r="H16409" s="17"/>
      <c r="K16409" s="17"/>
      <c r="N16409" s="17"/>
    </row>
    <row r="16410">
      <c r="B16410" s="11">
        <f>IFERROR(__xludf.DUMMYFUNCTION("""COMPUTED_VALUE"""),23053.0)</f>
        <v>23053</v>
      </c>
      <c r="C16410" s="9">
        <f>IFERROR(__xludf.DUMMYFUNCTION("""COMPUTED_VALUE"""),3.92)</f>
        <v>3.92</v>
      </c>
      <c r="H16410" s="17"/>
      <c r="K16410" s="17"/>
      <c r="N16410" s="17"/>
    </row>
    <row r="16411">
      <c r="B16411" s="11">
        <f>IFERROR(__xludf.DUMMYFUNCTION("""COMPUTED_VALUE"""),23050.0)</f>
        <v>23050</v>
      </c>
      <c r="C16411" s="9">
        <f>IFERROR(__xludf.DUMMYFUNCTION("""COMPUTED_VALUE"""),3.91)</f>
        <v>3.91</v>
      </c>
      <c r="H16411" s="17"/>
      <c r="K16411" s="17"/>
      <c r="N16411" s="17"/>
    </row>
    <row r="16412">
      <c r="B16412" s="11">
        <f>IFERROR(__xludf.DUMMYFUNCTION("""COMPUTED_VALUE"""),23049.0)</f>
        <v>23049</v>
      </c>
      <c r="C16412" s="9">
        <f>IFERROR(__xludf.DUMMYFUNCTION("""COMPUTED_VALUE"""),3.91)</f>
        <v>3.91</v>
      </c>
      <c r="H16412" s="17"/>
      <c r="K16412" s="17"/>
      <c r="N16412" s="17"/>
    </row>
    <row r="16413">
      <c r="B16413" s="11">
        <f>IFERROR(__xludf.DUMMYFUNCTION("""COMPUTED_VALUE"""),23048.0)</f>
        <v>23048</v>
      </c>
      <c r="C16413" s="9">
        <f>IFERROR(__xludf.DUMMYFUNCTION("""COMPUTED_VALUE"""),3.91)</f>
        <v>3.91</v>
      </c>
      <c r="H16413" s="17"/>
      <c r="K16413" s="17"/>
      <c r="N16413" s="17"/>
    </row>
    <row r="16414">
      <c r="B16414" s="11">
        <f>IFERROR(__xludf.DUMMYFUNCTION("""COMPUTED_VALUE"""),23047.0)</f>
        <v>23047</v>
      </c>
      <c r="C16414" s="9">
        <f>IFERROR(__xludf.DUMMYFUNCTION("""COMPUTED_VALUE"""),3.9)</f>
        <v>3.9</v>
      </c>
      <c r="H16414" s="17"/>
      <c r="K16414" s="17"/>
      <c r="N16414" s="17"/>
    </row>
    <row r="16415">
      <c r="B16415" s="11">
        <f>IFERROR(__xludf.DUMMYFUNCTION("""COMPUTED_VALUE"""),23046.0)</f>
        <v>23046</v>
      </c>
      <c r="C16415" s="9">
        <f>IFERROR(__xludf.DUMMYFUNCTION("""COMPUTED_VALUE"""),3.89)</f>
        <v>3.89</v>
      </c>
      <c r="H16415" s="17"/>
      <c r="K16415" s="17"/>
      <c r="N16415" s="17"/>
    </row>
    <row r="16416">
      <c r="B16416" s="11">
        <f>IFERROR(__xludf.DUMMYFUNCTION("""COMPUTED_VALUE"""),23043.0)</f>
        <v>23043</v>
      </c>
      <c r="C16416" s="9">
        <f>IFERROR(__xludf.DUMMYFUNCTION("""COMPUTED_VALUE"""),3.88)</f>
        <v>3.88</v>
      </c>
      <c r="H16416" s="17"/>
      <c r="K16416" s="17"/>
      <c r="N16416" s="17"/>
    </row>
    <row r="16417">
      <c r="B16417" s="11">
        <f>IFERROR(__xludf.DUMMYFUNCTION("""COMPUTED_VALUE"""),23042.0)</f>
        <v>23042</v>
      </c>
      <c r="C16417" s="9">
        <f>IFERROR(__xludf.DUMMYFUNCTION("""COMPUTED_VALUE"""),3.87)</f>
        <v>3.87</v>
      </c>
      <c r="H16417" s="17"/>
      <c r="K16417" s="17"/>
      <c r="N16417" s="17"/>
    </row>
    <row r="16418">
      <c r="B16418" s="11">
        <f>IFERROR(__xludf.DUMMYFUNCTION("""COMPUTED_VALUE"""),23041.0)</f>
        <v>23041</v>
      </c>
      <c r="C16418" s="9">
        <f>IFERROR(__xludf.DUMMYFUNCTION("""COMPUTED_VALUE"""),3.86)</f>
        <v>3.86</v>
      </c>
      <c r="H16418" s="17"/>
      <c r="K16418" s="17"/>
      <c r="N16418" s="17"/>
    </row>
    <row r="16419">
      <c r="B16419" s="11">
        <f>IFERROR(__xludf.DUMMYFUNCTION("""COMPUTED_VALUE"""),23040.0)</f>
        <v>23040</v>
      </c>
      <c r="C16419" s="9">
        <f>IFERROR(__xludf.DUMMYFUNCTION("""COMPUTED_VALUE"""),3.86)</f>
        <v>3.86</v>
      </c>
      <c r="H16419" s="17"/>
      <c r="K16419" s="17"/>
      <c r="N16419" s="17"/>
    </row>
    <row r="16420">
      <c r="B16420" s="11">
        <f>IFERROR(__xludf.DUMMYFUNCTION("""COMPUTED_VALUE"""),23039.0)</f>
        <v>23039</v>
      </c>
      <c r="C16420" s="9">
        <f>IFERROR(__xludf.DUMMYFUNCTION("""COMPUTED_VALUE"""),3.86)</f>
        <v>3.86</v>
      </c>
      <c r="H16420" s="17"/>
      <c r="K16420" s="17"/>
      <c r="N16420" s="17"/>
    </row>
    <row r="16421">
      <c r="B16421" s="11">
        <f>IFERROR(__xludf.DUMMYFUNCTION("""COMPUTED_VALUE"""),23036.0)</f>
        <v>23036</v>
      </c>
      <c r="C16421" s="9">
        <f>IFERROR(__xludf.DUMMYFUNCTION("""COMPUTED_VALUE"""),3.85)</f>
        <v>3.85</v>
      </c>
      <c r="H16421" s="17"/>
      <c r="K16421" s="17"/>
      <c r="N16421" s="17"/>
    </row>
    <row r="16422">
      <c r="B16422" s="11">
        <f>IFERROR(__xludf.DUMMYFUNCTION("""COMPUTED_VALUE"""),23035.0)</f>
        <v>23035</v>
      </c>
      <c r="C16422" s="9">
        <f>IFERROR(__xludf.DUMMYFUNCTION("""COMPUTED_VALUE"""),3.86)</f>
        <v>3.86</v>
      </c>
      <c r="H16422" s="17"/>
      <c r="K16422" s="17"/>
      <c r="N16422" s="17"/>
    </row>
    <row r="16423">
      <c r="B16423" s="11">
        <f>IFERROR(__xludf.DUMMYFUNCTION("""COMPUTED_VALUE"""),23034.0)</f>
        <v>23034</v>
      </c>
      <c r="C16423" s="9">
        <f>IFERROR(__xludf.DUMMYFUNCTION("""COMPUTED_VALUE"""),3.86)</f>
        <v>3.86</v>
      </c>
      <c r="H16423" s="17"/>
      <c r="K16423" s="17"/>
      <c r="N16423" s="17"/>
    </row>
    <row r="16424">
      <c r="B16424" s="11">
        <f>IFERROR(__xludf.DUMMYFUNCTION("""COMPUTED_VALUE"""),23033.0)</f>
        <v>23033</v>
      </c>
      <c r="C16424" s="9">
        <f>IFERROR(__xludf.DUMMYFUNCTION("""COMPUTED_VALUE"""),3.86)</f>
        <v>3.86</v>
      </c>
      <c r="H16424" s="17"/>
      <c r="K16424" s="17"/>
      <c r="N16424" s="17"/>
    </row>
    <row r="16425">
      <c r="B16425" s="11">
        <f>IFERROR(__xludf.DUMMYFUNCTION("""COMPUTED_VALUE"""),23032.0)</f>
        <v>23032</v>
      </c>
      <c r="C16425" s="9">
        <f>IFERROR(__xludf.DUMMYFUNCTION("""COMPUTED_VALUE"""),3.85)</f>
        <v>3.85</v>
      </c>
      <c r="H16425" s="17"/>
      <c r="K16425" s="17"/>
      <c r="N16425" s="17"/>
    </row>
    <row r="16426">
      <c r="B16426" s="11">
        <f>IFERROR(__xludf.DUMMYFUNCTION("""COMPUTED_VALUE"""),23029.0)</f>
        <v>23029</v>
      </c>
      <c r="C16426" s="9">
        <f>IFERROR(__xludf.DUMMYFUNCTION("""COMPUTED_VALUE"""),3.84)</f>
        <v>3.84</v>
      </c>
      <c r="H16426" s="17"/>
      <c r="K16426" s="17"/>
      <c r="N16426" s="17"/>
    </row>
    <row r="16427">
      <c r="B16427" s="11">
        <f>IFERROR(__xludf.DUMMYFUNCTION("""COMPUTED_VALUE"""),23028.0)</f>
        <v>23028</v>
      </c>
      <c r="C16427" s="9">
        <f>IFERROR(__xludf.DUMMYFUNCTION("""COMPUTED_VALUE"""),3.82)</f>
        <v>3.82</v>
      </c>
      <c r="H16427" s="17"/>
      <c r="K16427" s="17"/>
      <c r="N16427" s="17"/>
    </row>
    <row r="16428">
      <c r="B16428" s="11">
        <f>IFERROR(__xludf.DUMMYFUNCTION("""COMPUTED_VALUE"""),23027.0)</f>
        <v>23027</v>
      </c>
      <c r="C16428" s="9">
        <f>IFERROR(__xludf.DUMMYFUNCTION("""COMPUTED_VALUE"""),3.8)</f>
        <v>3.8</v>
      </c>
      <c r="H16428" s="17"/>
      <c r="K16428" s="17"/>
      <c r="N16428" s="17"/>
    </row>
    <row r="16429">
      <c r="B16429" s="11">
        <f>IFERROR(__xludf.DUMMYFUNCTION("""COMPUTED_VALUE"""),23026.0)</f>
        <v>23026</v>
      </c>
      <c r="C16429" s="9">
        <f>IFERROR(__xludf.DUMMYFUNCTION("""COMPUTED_VALUE"""),3.8)</f>
        <v>3.8</v>
      </c>
      <c r="H16429" s="17"/>
      <c r="K16429" s="17"/>
      <c r="N16429" s="17"/>
    </row>
    <row r="16430">
      <c r="B16430" s="11">
        <f>IFERROR(__xludf.DUMMYFUNCTION("""COMPUTED_VALUE"""),23025.0)</f>
        <v>23025</v>
      </c>
      <c r="C16430" s="9">
        <f>IFERROR(__xludf.DUMMYFUNCTION("""COMPUTED_VALUE"""),3.81)</f>
        <v>3.81</v>
      </c>
      <c r="H16430" s="17"/>
      <c r="K16430" s="17"/>
      <c r="N16430" s="17"/>
    </row>
    <row r="16431">
      <c r="B16431" s="11">
        <f>IFERROR(__xludf.DUMMYFUNCTION("""COMPUTED_VALUE"""),23022.0)</f>
        <v>23022</v>
      </c>
      <c r="C16431" s="9">
        <f>IFERROR(__xludf.DUMMYFUNCTION("""COMPUTED_VALUE"""),3.8)</f>
        <v>3.8</v>
      </c>
      <c r="H16431" s="17"/>
      <c r="K16431" s="17"/>
      <c r="N16431" s="17"/>
    </row>
    <row r="16432">
      <c r="B16432" s="11">
        <f>IFERROR(__xludf.DUMMYFUNCTION("""COMPUTED_VALUE"""),23021.0)</f>
        <v>23021</v>
      </c>
      <c r="C16432" s="9">
        <f>IFERROR(__xludf.DUMMYFUNCTION("""COMPUTED_VALUE"""),3.81)</f>
        <v>3.81</v>
      </c>
      <c r="H16432" s="17"/>
      <c r="K16432" s="17"/>
      <c r="N16432" s="17"/>
    </row>
    <row r="16433">
      <c r="B16433" s="11">
        <f>IFERROR(__xludf.DUMMYFUNCTION("""COMPUTED_VALUE"""),23020.0)</f>
        <v>23020</v>
      </c>
      <c r="C16433" s="9">
        <f>IFERROR(__xludf.DUMMYFUNCTION("""COMPUTED_VALUE"""),3.82)</f>
        <v>3.82</v>
      </c>
      <c r="H16433" s="17"/>
      <c r="K16433" s="17"/>
      <c r="N16433" s="17"/>
    </row>
    <row r="16434">
      <c r="B16434" s="11">
        <f>IFERROR(__xludf.DUMMYFUNCTION("""COMPUTED_VALUE"""),23019.0)</f>
        <v>23019</v>
      </c>
      <c r="C16434" s="9">
        <f>IFERROR(__xludf.DUMMYFUNCTION("""COMPUTED_VALUE"""),3.81)</f>
        <v>3.81</v>
      </c>
      <c r="H16434" s="17"/>
      <c r="K16434" s="17"/>
      <c r="N16434" s="17"/>
    </row>
    <row r="16435">
      <c r="B16435" s="11">
        <f>IFERROR(__xludf.DUMMYFUNCTION("""COMPUTED_VALUE"""),23018.0)</f>
        <v>23018</v>
      </c>
      <c r="C16435" s="9">
        <f>IFERROR(__xludf.DUMMYFUNCTION("""COMPUTED_VALUE"""),3.83)</f>
        <v>3.83</v>
      </c>
      <c r="H16435" s="17"/>
      <c r="K16435" s="17"/>
      <c r="N16435" s="17"/>
    </row>
    <row r="16436">
      <c r="B16436" s="11">
        <f>IFERROR(__xludf.DUMMYFUNCTION("""COMPUTED_VALUE"""),23015.0)</f>
        <v>23015</v>
      </c>
      <c r="C16436" s="9">
        <f>IFERROR(__xludf.DUMMYFUNCTION("""COMPUTED_VALUE"""),3.84)</f>
        <v>3.84</v>
      </c>
      <c r="H16436" s="17"/>
      <c r="K16436" s="17"/>
      <c r="N16436" s="17"/>
    </row>
    <row r="16437">
      <c r="B16437" s="11">
        <f>IFERROR(__xludf.DUMMYFUNCTION("""COMPUTED_VALUE"""),23014.0)</f>
        <v>23014</v>
      </c>
      <c r="C16437" s="9">
        <f>IFERROR(__xludf.DUMMYFUNCTION("""COMPUTED_VALUE"""),3.81)</f>
        <v>3.81</v>
      </c>
      <c r="H16437" s="17"/>
      <c r="K16437" s="17"/>
      <c r="N16437" s="17"/>
    </row>
    <row r="16438">
      <c r="B16438" s="11">
        <f>IFERROR(__xludf.DUMMYFUNCTION("""COMPUTED_VALUE"""),23013.0)</f>
        <v>23013</v>
      </c>
      <c r="C16438" s="9">
        <f>IFERROR(__xludf.DUMMYFUNCTION("""COMPUTED_VALUE"""),3.82)</f>
        <v>3.82</v>
      </c>
      <c r="H16438" s="17"/>
      <c r="K16438" s="17"/>
      <c r="N16438" s="17"/>
    </row>
    <row r="16439">
      <c r="B16439" s="11">
        <f>IFERROR(__xludf.DUMMYFUNCTION("""COMPUTED_VALUE"""),23012.0)</f>
        <v>23012</v>
      </c>
      <c r="C16439" s="9"/>
      <c r="H16439" s="17"/>
      <c r="K16439" s="17"/>
      <c r="N16439" s="17"/>
    </row>
    <row r="16440">
      <c r="B16440" s="11">
        <f>IFERROR(__xludf.DUMMYFUNCTION("""COMPUTED_VALUE"""),23011.0)</f>
        <v>23011</v>
      </c>
      <c r="C16440" s="9">
        <f>IFERROR(__xludf.DUMMYFUNCTION("""COMPUTED_VALUE"""),3.85)</f>
        <v>3.85</v>
      </c>
      <c r="H16440" s="17"/>
      <c r="K16440" s="17"/>
      <c r="N16440" s="17"/>
    </row>
    <row r="16441">
      <c r="B16441" s="11">
        <f>IFERROR(__xludf.DUMMYFUNCTION("""COMPUTED_VALUE"""),23008.0)</f>
        <v>23008</v>
      </c>
      <c r="C16441" s="9">
        <f>IFERROR(__xludf.DUMMYFUNCTION("""COMPUTED_VALUE"""),3.84)</f>
        <v>3.84</v>
      </c>
      <c r="H16441" s="17"/>
      <c r="K16441" s="17"/>
      <c r="N16441" s="17"/>
    </row>
    <row r="16442">
      <c r="B16442" s="11">
        <f>IFERROR(__xludf.DUMMYFUNCTION("""COMPUTED_VALUE"""),23007.0)</f>
        <v>23007</v>
      </c>
      <c r="C16442" s="9">
        <f>IFERROR(__xludf.DUMMYFUNCTION("""COMPUTED_VALUE"""),3.81)</f>
        <v>3.81</v>
      </c>
      <c r="H16442" s="17"/>
      <c r="K16442" s="17"/>
      <c r="N16442" s="17"/>
    </row>
    <row r="16443">
      <c r="B16443" s="11">
        <f>IFERROR(__xludf.DUMMYFUNCTION("""COMPUTED_VALUE"""),23006.0)</f>
        <v>23006</v>
      </c>
      <c r="C16443" s="9">
        <f>IFERROR(__xludf.DUMMYFUNCTION("""COMPUTED_VALUE"""),3.79)</f>
        <v>3.79</v>
      </c>
      <c r="H16443" s="17"/>
      <c r="K16443" s="17"/>
      <c r="N16443" s="17"/>
    </row>
    <row r="16444">
      <c r="B16444" s="11">
        <f>IFERROR(__xludf.DUMMYFUNCTION("""COMPUTED_VALUE"""),23005.0)</f>
        <v>23005</v>
      </c>
      <c r="C16444" s="9"/>
      <c r="H16444" s="17"/>
      <c r="K16444" s="17"/>
      <c r="N16444" s="17"/>
    </row>
    <row r="16445">
      <c r="B16445" s="11">
        <f>IFERROR(__xludf.DUMMYFUNCTION("""COMPUTED_VALUE"""),23004.0)</f>
        <v>23004</v>
      </c>
      <c r="C16445" s="9">
        <f>IFERROR(__xludf.DUMMYFUNCTION("""COMPUTED_VALUE"""),3.79)</f>
        <v>3.79</v>
      </c>
      <c r="H16445" s="17"/>
      <c r="K16445" s="17"/>
      <c r="N16445" s="17"/>
    </row>
    <row r="16446">
      <c r="B16446" s="11">
        <f>IFERROR(__xludf.DUMMYFUNCTION("""COMPUTED_VALUE"""),23001.0)</f>
        <v>23001</v>
      </c>
      <c r="C16446" s="9">
        <f>IFERROR(__xludf.DUMMYFUNCTION("""COMPUTED_VALUE"""),3.81)</f>
        <v>3.81</v>
      </c>
      <c r="H16446" s="17"/>
      <c r="K16446" s="17"/>
      <c r="N16446" s="17"/>
    </row>
    <row r="16447">
      <c r="B16447" s="11">
        <f>IFERROR(__xludf.DUMMYFUNCTION("""COMPUTED_VALUE"""),23000.0)</f>
        <v>23000</v>
      </c>
      <c r="C16447" s="9">
        <f>IFERROR(__xludf.DUMMYFUNCTION("""COMPUTED_VALUE"""),3.83)</f>
        <v>3.83</v>
      </c>
      <c r="H16447" s="17"/>
      <c r="K16447" s="17"/>
      <c r="N16447" s="17"/>
    </row>
    <row r="16448">
      <c r="B16448" s="11">
        <f>IFERROR(__xludf.DUMMYFUNCTION("""COMPUTED_VALUE"""),22999.0)</f>
        <v>22999</v>
      </c>
      <c r="C16448" s="9">
        <f>IFERROR(__xludf.DUMMYFUNCTION("""COMPUTED_VALUE"""),3.84)</f>
        <v>3.84</v>
      </c>
      <c r="H16448" s="17"/>
      <c r="K16448" s="17"/>
      <c r="N16448" s="17"/>
    </row>
    <row r="16449">
      <c r="B16449" s="11">
        <f>IFERROR(__xludf.DUMMYFUNCTION("""COMPUTED_VALUE"""),22998.0)</f>
        <v>22998</v>
      </c>
      <c r="C16449" s="9">
        <f>IFERROR(__xludf.DUMMYFUNCTION("""COMPUTED_VALUE"""),3.83)</f>
        <v>3.83</v>
      </c>
      <c r="H16449" s="17"/>
      <c r="K16449" s="17"/>
      <c r="N16449" s="17"/>
    </row>
    <row r="16450">
      <c r="B16450" s="11">
        <f>IFERROR(__xludf.DUMMYFUNCTION("""COMPUTED_VALUE"""),22997.0)</f>
        <v>22997</v>
      </c>
      <c r="C16450" s="9">
        <f>IFERROR(__xludf.DUMMYFUNCTION("""COMPUTED_VALUE"""),3.85)</f>
        <v>3.85</v>
      </c>
      <c r="H16450" s="17"/>
      <c r="K16450" s="17"/>
      <c r="N16450" s="17"/>
    </row>
    <row r="16451">
      <c r="B16451" s="11">
        <f>IFERROR(__xludf.DUMMYFUNCTION("""COMPUTED_VALUE"""),22994.0)</f>
        <v>22994</v>
      </c>
      <c r="C16451" s="9">
        <f>IFERROR(__xludf.DUMMYFUNCTION("""COMPUTED_VALUE"""),3.87)</f>
        <v>3.87</v>
      </c>
      <c r="H16451" s="17"/>
      <c r="K16451" s="17"/>
      <c r="N16451" s="17"/>
    </row>
    <row r="16452">
      <c r="B16452" s="11">
        <f>IFERROR(__xludf.DUMMYFUNCTION("""COMPUTED_VALUE"""),22993.0)</f>
        <v>22993</v>
      </c>
      <c r="C16452" s="9">
        <f>IFERROR(__xludf.DUMMYFUNCTION("""COMPUTED_VALUE"""),3.88)</f>
        <v>3.88</v>
      </c>
      <c r="H16452" s="17"/>
      <c r="K16452" s="17"/>
      <c r="N16452" s="17"/>
    </row>
    <row r="16453">
      <c r="B16453" s="11">
        <f>IFERROR(__xludf.DUMMYFUNCTION("""COMPUTED_VALUE"""),22992.0)</f>
        <v>22992</v>
      </c>
      <c r="C16453" s="9">
        <f>IFERROR(__xludf.DUMMYFUNCTION("""COMPUTED_VALUE"""),3.88)</f>
        <v>3.88</v>
      </c>
      <c r="H16453" s="17"/>
      <c r="K16453" s="17"/>
      <c r="N16453" s="17"/>
    </row>
    <row r="16454">
      <c r="B16454" s="11">
        <f>IFERROR(__xludf.DUMMYFUNCTION("""COMPUTED_VALUE"""),22991.0)</f>
        <v>22991</v>
      </c>
      <c r="C16454" s="9">
        <f>IFERROR(__xludf.DUMMYFUNCTION("""COMPUTED_VALUE"""),3.89)</f>
        <v>3.89</v>
      </c>
      <c r="H16454" s="17"/>
      <c r="K16454" s="17"/>
      <c r="N16454" s="17"/>
    </row>
    <row r="16455">
      <c r="B16455" s="11">
        <f>IFERROR(__xludf.DUMMYFUNCTION("""COMPUTED_VALUE"""),22990.0)</f>
        <v>22990</v>
      </c>
      <c r="C16455" s="9">
        <f>IFERROR(__xludf.DUMMYFUNCTION("""COMPUTED_VALUE"""),3.9)</f>
        <v>3.9</v>
      </c>
      <c r="H16455" s="17"/>
      <c r="K16455" s="17"/>
      <c r="N16455" s="17"/>
    </row>
    <row r="16456">
      <c r="B16456" s="11">
        <f>IFERROR(__xludf.DUMMYFUNCTION("""COMPUTED_VALUE"""),22987.0)</f>
        <v>22987</v>
      </c>
      <c r="C16456" s="9">
        <f>IFERROR(__xludf.DUMMYFUNCTION("""COMPUTED_VALUE"""),3.91)</f>
        <v>3.91</v>
      </c>
      <c r="H16456" s="17"/>
      <c r="K16456" s="17"/>
      <c r="N16456" s="17"/>
    </row>
    <row r="16457">
      <c r="B16457" s="11">
        <f>IFERROR(__xludf.DUMMYFUNCTION("""COMPUTED_VALUE"""),22986.0)</f>
        <v>22986</v>
      </c>
      <c r="C16457" s="9">
        <f>IFERROR(__xludf.DUMMYFUNCTION("""COMPUTED_VALUE"""),3.92)</f>
        <v>3.92</v>
      </c>
      <c r="H16457" s="17"/>
      <c r="K16457" s="17"/>
      <c r="N16457" s="17"/>
    </row>
    <row r="16458">
      <c r="B16458" s="11">
        <f>IFERROR(__xludf.DUMMYFUNCTION("""COMPUTED_VALUE"""),22985.0)</f>
        <v>22985</v>
      </c>
      <c r="C16458" s="9">
        <f>IFERROR(__xludf.DUMMYFUNCTION("""COMPUTED_VALUE"""),3.93)</f>
        <v>3.93</v>
      </c>
      <c r="H16458" s="17"/>
      <c r="K16458" s="17"/>
      <c r="N16458" s="17"/>
    </row>
    <row r="16459">
      <c r="B16459" s="11">
        <f>IFERROR(__xludf.DUMMYFUNCTION("""COMPUTED_VALUE"""),22984.0)</f>
        <v>22984</v>
      </c>
      <c r="C16459" s="9">
        <f>IFERROR(__xludf.DUMMYFUNCTION("""COMPUTED_VALUE"""),3.94)</f>
        <v>3.94</v>
      </c>
      <c r="H16459" s="17"/>
      <c r="K16459" s="17"/>
      <c r="N16459" s="17"/>
    </row>
    <row r="16460">
      <c r="B16460" s="11">
        <f>IFERROR(__xludf.DUMMYFUNCTION("""COMPUTED_VALUE"""),22983.0)</f>
        <v>22983</v>
      </c>
      <c r="C16460" s="9">
        <f>IFERROR(__xludf.DUMMYFUNCTION("""COMPUTED_VALUE"""),3.93)</f>
        <v>3.93</v>
      </c>
      <c r="H16460" s="17"/>
      <c r="K16460" s="17"/>
      <c r="N16460" s="17"/>
    </row>
    <row r="16461">
      <c r="B16461" s="11">
        <f>IFERROR(__xludf.DUMMYFUNCTION("""COMPUTED_VALUE"""),22980.0)</f>
        <v>22980</v>
      </c>
      <c r="C16461" s="9">
        <f>IFERROR(__xludf.DUMMYFUNCTION("""COMPUTED_VALUE"""),3.92)</f>
        <v>3.92</v>
      </c>
      <c r="H16461" s="17"/>
      <c r="K16461" s="17"/>
      <c r="N16461" s="17"/>
    </row>
    <row r="16462">
      <c r="B16462" s="11">
        <f>IFERROR(__xludf.DUMMYFUNCTION("""COMPUTED_VALUE"""),22979.0)</f>
        <v>22979</v>
      </c>
      <c r="C16462" s="9">
        <f>IFERROR(__xludf.DUMMYFUNCTION("""COMPUTED_VALUE"""),3.92)</f>
        <v>3.92</v>
      </c>
      <c r="H16462" s="17"/>
      <c r="K16462" s="17"/>
      <c r="N16462" s="17"/>
    </row>
    <row r="16463">
      <c r="B16463" s="11">
        <f>IFERROR(__xludf.DUMMYFUNCTION("""COMPUTED_VALUE"""),22978.0)</f>
        <v>22978</v>
      </c>
      <c r="C16463" s="9">
        <f>IFERROR(__xludf.DUMMYFUNCTION("""COMPUTED_VALUE"""),3.92)</f>
        <v>3.92</v>
      </c>
      <c r="H16463" s="17"/>
      <c r="K16463" s="17"/>
      <c r="N16463" s="17"/>
    </row>
    <row r="16464">
      <c r="B16464" s="11">
        <f>IFERROR(__xludf.DUMMYFUNCTION("""COMPUTED_VALUE"""),22977.0)</f>
        <v>22977</v>
      </c>
      <c r="C16464" s="9">
        <f>IFERROR(__xludf.DUMMYFUNCTION("""COMPUTED_VALUE"""),3.92)</f>
        <v>3.92</v>
      </c>
      <c r="H16464" s="17"/>
      <c r="K16464" s="17"/>
      <c r="N16464" s="17"/>
    </row>
    <row r="16465">
      <c r="B16465" s="11">
        <f>IFERROR(__xludf.DUMMYFUNCTION("""COMPUTED_VALUE"""),22976.0)</f>
        <v>22976</v>
      </c>
      <c r="C16465" s="9">
        <f>IFERROR(__xludf.DUMMYFUNCTION("""COMPUTED_VALUE"""),3.93)</f>
        <v>3.93</v>
      </c>
      <c r="H16465" s="17"/>
      <c r="K16465" s="17"/>
      <c r="N16465" s="17"/>
    </row>
    <row r="16466">
      <c r="B16466" s="11">
        <f>IFERROR(__xludf.DUMMYFUNCTION("""COMPUTED_VALUE"""),22973.0)</f>
        <v>22973</v>
      </c>
      <c r="C16466" s="9">
        <f>IFERROR(__xludf.DUMMYFUNCTION("""COMPUTED_VALUE"""),3.92)</f>
        <v>3.92</v>
      </c>
      <c r="H16466" s="17"/>
      <c r="K16466" s="17"/>
      <c r="N16466" s="17"/>
    </row>
    <row r="16467">
      <c r="B16467" s="11">
        <f>IFERROR(__xludf.DUMMYFUNCTION("""COMPUTED_VALUE"""),22972.0)</f>
        <v>22972</v>
      </c>
      <c r="C16467" s="9"/>
      <c r="H16467" s="17"/>
      <c r="K16467" s="17"/>
      <c r="N16467" s="17"/>
    </row>
    <row r="16468">
      <c r="B16468" s="11">
        <f>IFERROR(__xludf.DUMMYFUNCTION("""COMPUTED_VALUE"""),22971.0)</f>
        <v>22971</v>
      </c>
      <c r="C16468" s="9">
        <f>IFERROR(__xludf.DUMMYFUNCTION("""COMPUTED_VALUE"""),3.92)</f>
        <v>3.92</v>
      </c>
      <c r="H16468" s="17"/>
      <c r="K16468" s="17"/>
      <c r="N16468" s="17"/>
    </row>
    <row r="16469">
      <c r="B16469" s="11">
        <f>IFERROR(__xludf.DUMMYFUNCTION("""COMPUTED_VALUE"""),22970.0)</f>
        <v>22970</v>
      </c>
      <c r="C16469" s="9">
        <f>IFERROR(__xludf.DUMMYFUNCTION("""COMPUTED_VALUE"""),3.93)</f>
        <v>3.93</v>
      </c>
      <c r="H16469" s="17"/>
      <c r="K16469" s="17"/>
      <c r="N16469" s="17"/>
    </row>
    <row r="16470">
      <c r="B16470" s="11">
        <f>IFERROR(__xludf.DUMMYFUNCTION("""COMPUTED_VALUE"""),22969.0)</f>
        <v>22969</v>
      </c>
      <c r="C16470" s="9">
        <f>IFERROR(__xludf.DUMMYFUNCTION("""COMPUTED_VALUE"""),3.93)</f>
        <v>3.93</v>
      </c>
      <c r="H16470" s="17"/>
      <c r="K16470" s="17"/>
      <c r="N16470" s="17"/>
    </row>
    <row r="16471">
      <c r="B16471" s="11">
        <f>IFERROR(__xludf.DUMMYFUNCTION("""COMPUTED_VALUE"""),22966.0)</f>
        <v>22966</v>
      </c>
      <c r="C16471" s="9">
        <f>IFERROR(__xludf.DUMMYFUNCTION("""COMPUTED_VALUE"""),3.93)</f>
        <v>3.93</v>
      </c>
      <c r="H16471" s="17"/>
      <c r="K16471" s="17"/>
      <c r="N16471" s="17"/>
    </row>
    <row r="16472">
      <c r="B16472" s="11">
        <f>IFERROR(__xludf.DUMMYFUNCTION("""COMPUTED_VALUE"""),22965.0)</f>
        <v>22965</v>
      </c>
      <c r="C16472" s="9">
        <f>IFERROR(__xludf.DUMMYFUNCTION("""COMPUTED_VALUE"""),3.91)</f>
        <v>3.91</v>
      </c>
      <c r="H16472" s="17"/>
      <c r="K16472" s="17"/>
      <c r="N16472" s="17"/>
    </row>
    <row r="16473">
      <c r="B16473" s="11">
        <f>IFERROR(__xludf.DUMMYFUNCTION("""COMPUTED_VALUE"""),22964.0)</f>
        <v>22964</v>
      </c>
      <c r="C16473" s="9">
        <f>IFERROR(__xludf.DUMMYFUNCTION("""COMPUTED_VALUE"""),3.91)</f>
        <v>3.91</v>
      </c>
      <c r="H16473" s="17"/>
      <c r="K16473" s="17"/>
      <c r="N16473" s="17"/>
    </row>
    <row r="16474">
      <c r="B16474" s="11">
        <f>IFERROR(__xludf.DUMMYFUNCTION("""COMPUTED_VALUE"""),22963.0)</f>
        <v>22963</v>
      </c>
      <c r="C16474" s="9">
        <f>IFERROR(__xludf.DUMMYFUNCTION("""COMPUTED_VALUE"""),3.9)</f>
        <v>3.9</v>
      </c>
      <c r="H16474" s="17"/>
      <c r="K16474" s="17"/>
      <c r="N16474" s="17"/>
    </row>
    <row r="16475">
      <c r="B16475" s="11">
        <f>IFERROR(__xludf.DUMMYFUNCTION("""COMPUTED_VALUE"""),22962.0)</f>
        <v>22962</v>
      </c>
      <c r="C16475" s="9"/>
      <c r="H16475" s="17"/>
      <c r="K16475" s="17"/>
      <c r="N16475" s="17"/>
    </row>
    <row r="16476">
      <c r="B16476" s="11">
        <f>IFERROR(__xludf.DUMMYFUNCTION("""COMPUTED_VALUE"""),22959.0)</f>
        <v>22959</v>
      </c>
      <c r="C16476" s="9">
        <f>IFERROR(__xludf.DUMMYFUNCTION("""COMPUTED_VALUE"""),3.89)</f>
        <v>3.89</v>
      </c>
      <c r="H16476" s="17"/>
      <c r="K16476" s="17"/>
      <c r="N16476" s="17"/>
    </row>
    <row r="16477">
      <c r="B16477" s="11">
        <f>IFERROR(__xludf.DUMMYFUNCTION("""COMPUTED_VALUE"""),22958.0)</f>
        <v>22958</v>
      </c>
      <c r="C16477" s="9">
        <f>IFERROR(__xludf.DUMMYFUNCTION("""COMPUTED_VALUE"""),3.9)</f>
        <v>3.9</v>
      </c>
      <c r="H16477" s="17"/>
      <c r="K16477" s="17"/>
      <c r="N16477" s="17"/>
    </row>
    <row r="16478">
      <c r="B16478" s="11">
        <f>IFERROR(__xludf.DUMMYFUNCTION("""COMPUTED_VALUE"""),22957.0)</f>
        <v>22957</v>
      </c>
      <c r="C16478" s="9">
        <f>IFERROR(__xludf.DUMMYFUNCTION("""COMPUTED_VALUE"""),3.91)</f>
        <v>3.91</v>
      </c>
      <c r="H16478" s="17"/>
      <c r="K16478" s="17"/>
      <c r="N16478" s="17"/>
    </row>
    <row r="16479">
      <c r="B16479" s="11">
        <f>IFERROR(__xludf.DUMMYFUNCTION("""COMPUTED_VALUE"""),22956.0)</f>
        <v>22956</v>
      </c>
      <c r="C16479" s="9"/>
      <c r="H16479" s="17"/>
      <c r="K16479" s="17"/>
      <c r="N16479" s="17"/>
    </row>
    <row r="16480">
      <c r="B16480" s="11">
        <f>IFERROR(__xludf.DUMMYFUNCTION("""COMPUTED_VALUE"""),22955.0)</f>
        <v>22955</v>
      </c>
      <c r="C16480" s="9">
        <f>IFERROR(__xludf.DUMMYFUNCTION("""COMPUTED_VALUE"""),3.91)</f>
        <v>3.91</v>
      </c>
      <c r="H16480" s="17"/>
      <c r="K16480" s="17"/>
      <c r="N16480" s="17"/>
    </row>
    <row r="16481">
      <c r="B16481" s="11">
        <f>IFERROR(__xludf.DUMMYFUNCTION("""COMPUTED_VALUE"""),22952.0)</f>
        <v>22952</v>
      </c>
      <c r="C16481" s="9">
        <f>IFERROR(__xludf.DUMMYFUNCTION("""COMPUTED_VALUE"""),3.91)</f>
        <v>3.91</v>
      </c>
      <c r="H16481" s="17"/>
      <c r="K16481" s="17"/>
      <c r="N16481" s="17"/>
    </row>
    <row r="16482">
      <c r="B16482" s="11">
        <f>IFERROR(__xludf.DUMMYFUNCTION("""COMPUTED_VALUE"""),22951.0)</f>
        <v>22951</v>
      </c>
      <c r="C16482" s="9">
        <f>IFERROR(__xludf.DUMMYFUNCTION("""COMPUTED_VALUE"""),3.92)</f>
        <v>3.92</v>
      </c>
      <c r="H16482" s="17"/>
      <c r="K16482" s="17"/>
      <c r="N16482" s="17"/>
    </row>
    <row r="16483">
      <c r="B16483" s="11">
        <f>IFERROR(__xludf.DUMMYFUNCTION("""COMPUTED_VALUE"""),22950.0)</f>
        <v>22950</v>
      </c>
      <c r="C16483" s="9">
        <f>IFERROR(__xludf.DUMMYFUNCTION("""COMPUTED_VALUE"""),3.92)</f>
        <v>3.92</v>
      </c>
      <c r="H16483" s="17"/>
      <c r="K16483" s="17"/>
      <c r="N16483" s="17"/>
    </row>
    <row r="16484">
      <c r="B16484" s="11">
        <f>IFERROR(__xludf.DUMMYFUNCTION("""COMPUTED_VALUE"""),22949.0)</f>
        <v>22949</v>
      </c>
      <c r="C16484" s="9">
        <f>IFERROR(__xludf.DUMMYFUNCTION("""COMPUTED_VALUE"""),3.92)</f>
        <v>3.92</v>
      </c>
      <c r="H16484" s="17"/>
      <c r="K16484" s="17"/>
      <c r="N16484" s="17"/>
    </row>
    <row r="16485">
      <c r="B16485" s="11">
        <f>IFERROR(__xludf.DUMMYFUNCTION("""COMPUTED_VALUE"""),22948.0)</f>
        <v>22948</v>
      </c>
      <c r="C16485" s="9">
        <f>IFERROR(__xludf.DUMMYFUNCTION("""COMPUTED_VALUE"""),3.92)</f>
        <v>3.92</v>
      </c>
      <c r="H16485" s="17"/>
      <c r="K16485" s="17"/>
      <c r="N16485" s="17"/>
    </row>
    <row r="16486">
      <c r="B16486" s="11">
        <f>IFERROR(__xludf.DUMMYFUNCTION("""COMPUTED_VALUE"""),22945.0)</f>
        <v>22945</v>
      </c>
      <c r="C16486" s="9">
        <f>IFERROR(__xludf.DUMMYFUNCTION("""COMPUTED_VALUE"""),3.93)</f>
        <v>3.93</v>
      </c>
      <c r="H16486" s="17"/>
      <c r="K16486" s="17"/>
      <c r="N16486" s="17"/>
    </row>
    <row r="16487">
      <c r="B16487" s="11">
        <f>IFERROR(__xludf.DUMMYFUNCTION("""COMPUTED_VALUE"""),22944.0)</f>
        <v>22944</v>
      </c>
      <c r="C16487" s="9">
        <f>IFERROR(__xludf.DUMMYFUNCTION("""COMPUTED_VALUE"""),3.94)</f>
        <v>3.94</v>
      </c>
      <c r="H16487" s="17"/>
      <c r="K16487" s="17"/>
      <c r="N16487" s="17"/>
    </row>
    <row r="16488">
      <c r="B16488" s="11">
        <f>IFERROR(__xludf.DUMMYFUNCTION("""COMPUTED_VALUE"""),22943.0)</f>
        <v>22943</v>
      </c>
      <c r="C16488" s="9">
        <f>IFERROR(__xludf.DUMMYFUNCTION("""COMPUTED_VALUE"""),3.94)</f>
        <v>3.94</v>
      </c>
      <c r="H16488" s="17"/>
      <c r="K16488" s="17"/>
      <c r="N16488" s="17"/>
    </row>
    <row r="16489">
      <c r="B16489" s="11">
        <f>IFERROR(__xludf.DUMMYFUNCTION("""COMPUTED_VALUE"""),22942.0)</f>
        <v>22942</v>
      </c>
      <c r="C16489" s="9">
        <f>IFERROR(__xludf.DUMMYFUNCTION("""COMPUTED_VALUE"""),3.94)</f>
        <v>3.94</v>
      </c>
      <c r="H16489" s="17"/>
      <c r="K16489" s="17"/>
      <c r="N16489" s="17"/>
    </row>
    <row r="16490">
      <c r="B16490" s="11">
        <f>IFERROR(__xludf.DUMMYFUNCTION("""COMPUTED_VALUE"""),22941.0)</f>
        <v>22941</v>
      </c>
      <c r="C16490" s="9">
        <f>IFERROR(__xludf.DUMMYFUNCTION("""COMPUTED_VALUE"""),3.91)</f>
        <v>3.91</v>
      </c>
      <c r="H16490" s="17"/>
      <c r="K16490" s="17"/>
      <c r="N16490" s="17"/>
    </row>
    <row r="16491">
      <c r="B16491" s="11">
        <f>IFERROR(__xludf.DUMMYFUNCTION("""COMPUTED_VALUE"""),22938.0)</f>
        <v>22938</v>
      </c>
      <c r="C16491" s="9">
        <f>IFERROR(__xludf.DUMMYFUNCTION("""COMPUTED_VALUE"""),3.88)</f>
        <v>3.88</v>
      </c>
      <c r="H16491" s="17"/>
      <c r="K16491" s="17"/>
      <c r="N16491" s="17"/>
    </row>
    <row r="16492">
      <c r="B16492" s="11">
        <f>IFERROR(__xludf.DUMMYFUNCTION("""COMPUTED_VALUE"""),22937.0)</f>
        <v>22937</v>
      </c>
      <c r="C16492" s="9">
        <f>IFERROR(__xludf.DUMMYFUNCTION("""COMPUTED_VALUE"""),3.92)</f>
        <v>3.92</v>
      </c>
      <c r="H16492" s="17"/>
      <c r="K16492" s="17"/>
      <c r="N16492" s="17"/>
    </row>
    <row r="16493">
      <c r="B16493" s="11">
        <f>IFERROR(__xludf.DUMMYFUNCTION("""COMPUTED_VALUE"""),22936.0)</f>
        <v>22936</v>
      </c>
      <c r="C16493" s="9">
        <f>IFERROR(__xludf.DUMMYFUNCTION("""COMPUTED_VALUE"""),3.94)</f>
        <v>3.94</v>
      </c>
      <c r="H16493" s="17"/>
      <c r="K16493" s="17"/>
      <c r="N16493" s="17"/>
    </row>
    <row r="16494">
      <c r="B16494" s="11">
        <f>IFERROR(__xludf.DUMMYFUNCTION("""COMPUTED_VALUE"""),22935.0)</f>
        <v>22935</v>
      </c>
      <c r="C16494" s="9">
        <f>IFERROR(__xludf.DUMMYFUNCTION("""COMPUTED_VALUE"""),3.94)</f>
        <v>3.94</v>
      </c>
      <c r="H16494" s="17"/>
      <c r="K16494" s="17"/>
      <c r="N16494" s="17"/>
    </row>
    <row r="16495">
      <c r="B16495" s="11">
        <f>IFERROR(__xludf.DUMMYFUNCTION("""COMPUTED_VALUE"""),22934.0)</f>
        <v>22934</v>
      </c>
      <c r="C16495" s="9">
        <f>IFERROR(__xludf.DUMMYFUNCTION("""COMPUTED_VALUE"""),3.94)</f>
        <v>3.94</v>
      </c>
      <c r="H16495" s="17"/>
      <c r="K16495" s="17"/>
      <c r="N16495" s="17"/>
    </row>
    <row r="16496">
      <c r="B16496" s="11">
        <f>IFERROR(__xludf.DUMMYFUNCTION("""COMPUTED_VALUE"""),22931.0)</f>
        <v>22931</v>
      </c>
      <c r="C16496" s="9"/>
      <c r="H16496" s="17"/>
      <c r="K16496" s="17"/>
      <c r="N16496" s="17"/>
    </row>
    <row r="16497">
      <c r="B16497" s="11">
        <f>IFERROR(__xludf.DUMMYFUNCTION("""COMPUTED_VALUE"""),22930.0)</f>
        <v>22930</v>
      </c>
      <c r="C16497" s="9">
        <f>IFERROR(__xludf.DUMMYFUNCTION("""COMPUTED_VALUE"""),3.94)</f>
        <v>3.94</v>
      </c>
      <c r="H16497" s="17"/>
      <c r="K16497" s="17"/>
      <c r="N16497" s="17"/>
    </row>
    <row r="16498">
      <c r="B16498" s="11">
        <f>IFERROR(__xludf.DUMMYFUNCTION("""COMPUTED_VALUE"""),22929.0)</f>
        <v>22929</v>
      </c>
      <c r="C16498" s="9">
        <f>IFERROR(__xludf.DUMMYFUNCTION("""COMPUTED_VALUE"""),3.93)</f>
        <v>3.93</v>
      </c>
      <c r="H16498" s="17"/>
      <c r="K16498" s="17"/>
      <c r="N16498" s="17"/>
    </row>
    <row r="16499">
      <c r="B16499" s="11">
        <f>IFERROR(__xludf.DUMMYFUNCTION("""COMPUTED_VALUE"""),22928.0)</f>
        <v>22928</v>
      </c>
      <c r="C16499" s="9">
        <f>IFERROR(__xludf.DUMMYFUNCTION("""COMPUTED_VALUE"""),3.95)</f>
        <v>3.95</v>
      </c>
      <c r="H16499" s="17"/>
      <c r="K16499" s="17"/>
      <c r="N16499" s="17"/>
    </row>
    <row r="16500">
      <c r="B16500" s="11">
        <f>IFERROR(__xludf.DUMMYFUNCTION("""COMPUTED_VALUE"""),22927.0)</f>
        <v>22927</v>
      </c>
      <c r="C16500" s="9">
        <f>IFERROR(__xludf.DUMMYFUNCTION("""COMPUTED_VALUE"""),3.93)</f>
        <v>3.93</v>
      </c>
      <c r="H16500" s="17"/>
      <c r="K16500" s="17"/>
      <c r="N16500" s="17"/>
    </row>
    <row r="16501">
      <c r="B16501" s="11">
        <f>IFERROR(__xludf.DUMMYFUNCTION("""COMPUTED_VALUE"""),22924.0)</f>
        <v>22924</v>
      </c>
      <c r="C16501" s="9">
        <f>IFERROR(__xludf.DUMMYFUNCTION("""COMPUTED_VALUE"""),3.92)</f>
        <v>3.92</v>
      </c>
      <c r="H16501" s="17"/>
      <c r="K16501" s="17"/>
      <c r="N16501" s="17"/>
    </row>
    <row r="16502">
      <c r="B16502" s="11">
        <f>IFERROR(__xludf.DUMMYFUNCTION("""COMPUTED_VALUE"""),22923.0)</f>
        <v>22923</v>
      </c>
      <c r="C16502" s="9">
        <f>IFERROR(__xludf.DUMMYFUNCTION("""COMPUTED_VALUE"""),3.9)</f>
        <v>3.9</v>
      </c>
      <c r="H16502" s="17"/>
      <c r="K16502" s="17"/>
      <c r="N16502" s="17"/>
    </row>
    <row r="16503">
      <c r="B16503" s="11">
        <f>IFERROR(__xludf.DUMMYFUNCTION("""COMPUTED_VALUE"""),22922.0)</f>
        <v>22922</v>
      </c>
      <c r="C16503" s="9">
        <f>IFERROR(__xludf.DUMMYFUNCTION("""COMPUTED_VALUE"""),3.9)</f>
        <v>3.9</v>
      </c>
      <c r="H16503" s="17"/>
      <c r="K16503" s="17"/>
      <c r="N16503" s="17"/>
    </row>
    <row r="16504">
      <c r="B16504" s="11">
        <f>IFERROR(__xludf.DUMMYFUNCTION("""COMPUTED_VALUE"""),22921.0)</f>
        <v>22921</v>
      </c>
      <c r="C16504" s="9">
        <f>IFERROR(__xludf.DUMMYFUNCTION("""COMPUTED_VALUE"""),3.92)</f>
        <v>3.92</v>
      </c>
      <c r="H16504" s="17"/>
      <c r="K16504" s="17"/>
      <c r="N16504" s="17"/>
    </row>
    <row r="16505">
      <c r="B16505" s="11">
        <f>IFERROR(__xludf.DUMMYFUNCTION("""COMPUTED_VALUE"""),22920.0)</f>
        <v>22920</v>
      </c>
      <c r="C16505" s="9">
        <f>IFERROR(__xludf.DUMMYFUNCTION("""COMPUTED_VALUE"""),3.93)</f>
        <v>3.93</v>
      </c>
      <c r="H16505" s="17"/>
      <c r="K16505" s="17"/>
      <c r="N16505" s="17"/>
    </row>
    <row r="16506">
      <c r="B16506" s="11">
        <f>IFERROR(__xludf.DUMMYFUNCTION("""COMPUTED_VALUE"""),22917.0)</f>
        <v>22917</v>
      </c>
      <c r="C16506" s="9">
        <f>IFERROR(__xludf.DUMMYFUNCTION("""COMPUTED_VALUE"""),3.94)</f>
        <v>3.94</v>
      </c>
      <c r="H16506" s="17"/>
      <c r="K16506" s="17"/>
      <c r="N16506" s="17"/>
    </row>
    <row r="16507">
      <c r="B16507" s="11">
        <f>IFERROR(__xludf.DUMMYFUNCTION("""COMPUTED_VALUE"""),22916.0)</f>
        <v>22916</v>
      </c>
      <c r="C16507" s="9">
        <f>IFERROR(__xludf.DUMMYFUNCTION("""COMPUTED_VALUE"""),3.95)</f>
        <v>3.95</v>
      </c>
      <c r="H16507" s="17"/>
      <c r="K16507" s="17"/>
      <c r="N16507" s="17"/>
    </row>
    <row r="16508">
      <c r="B16508" s="11">
        <f>IFERROR(__xludf.DUMMYFUNCTION("""COMPUTED_VALUE"""),22915.0)</f>
        <v>22915</v>
      </c>
      <c r="C16508" s="9">
        <f>IFERROR(__xludf.DUMMYFUNCTION("""COMPUTED_VALUE"""),3.95)</f>
        <v>3.95</v>
      </c>
      <c r="H16508" s="17"/>
      <c r="K16508" s="17"/>
      <c r="N16508" s="17"/>
    </row>
    <row r="16509">
      <c r="B16509" s="11">
        <f>IFERROR(__xludf.DUMMYFUNCTION("""COMPUTED_VALUE"""),22914.0)</f>
        <v>22914</v>
      </c>
      <c r="C16509" s="9">
        <f>IFERROR(__xludf.DUMMYFUNCTION("""COMPUTED_VALUE"""),3.96)</f>
        <v>3.96</v>
      </c>
      <c r="H16509" s="17"/>
      <c r="K16509" s="17"/>
      <c r="N16509" s="17"/>
    </row>
    <row r="16510">
      <c r="B16510" s="11">
        <f>IFERROR(__xludf.DUMMYFUNCTION("""COMPUTED_VALUE"""),22913.0)</f>
        <v>22913</v>
      </c>
      <c r="C16510" s="9">
        <f>IFERROR(__xludf.DUMMYFUNCTION("""COMPUTED_VALUE"""),3.97)</f>
        <v>3.97</v>
      </c>
      <c r="H16510" s="17"/>
      <c r="K16510" s="17"/>
      <c r="N16510" s="17"/>
    </row>
    <row r="16511">
      <c r="B16511" s="11">
        <f>IFERROR(__xludf.DUMMYFUNCTION("""COMPUTED_VALUE"""),22910.0)</f>
        <v>22910</v>
      </c>
      <c r="C16511" s="9">
        <f>IFERROR(__xludf.DUMMYFUNCTION("""COMPUTED_VALUE"""),3.98)</f>
        <v>3.98</v>
      </c>
      <c r="H16511" s="17"/>
      <c r="K16511" s="17"/>
      <c r="N16511" s="17"/>
    </row>
    <row r="16512">
      <c r="B16512" s="11">
        <f>IFERROR(__xludf.DUMMYFUNCTION("""COMPUTED_VALUE"""),22909.0)</f>
        <v>22909</v>
      </c>
      <c r="C16512" s="9">
        <f>IFERROR(__xludf.DUMMYFUNCTION("""COMPUTED_VALUE"""),3.98)</f>
        <v>3.98</v>
      </c>
      <c r="H16512" s="17"/>
      <c r="K16512" s="17"/>
      <c r="N16512" s="17"/>
    </row>
    <row r="16513">
      <c r="B16513" s="11">
        <f>IFERROR(__xludf.DUMMYFUNCTION("""COMPUTED_VALUE"""),22908.0)</f>
        <v>22908</v>
      </c>
      <c r="C16513" s="9">
        <f>IFERROR(__xludf.DUMMYFUNCTION("""COMPUTED_VALUE"""),3.99)</f>
        <v>3.99</v>
      </c>
      <c r="H16513" s="17"/>
      <c r="K16513" s="17"/>
      <c r="N16513" s="17"/>
    </row>
    <row r="16514">
      <c r="B16514" s="11">
        <f>IFERROR(__xludf.DUMMYFUNCTION("""COMPUTED_VALUE"""),22907.0)</f>
        <v>22907</v>
      </c>
      <c r="C16514" s="9">
        <f>IFERROR(__xludf.DUMMYFUNCTION("""COMPUTED_VALUE"""),3.98)</f>
        <v>3.98</v>
      </c>
      <c r="H16514" s="17"/>
      <c r="K16514" s="17"/>
      <c r="N16514" s="17"/>
    </row>
    <row r="16515">
      <c r="B16515" s="11">
        <f>IFERROR(__xludf.DUMMYFUNCTION("""COMPUTED_VALUE"""),22906.0)</f>
        <v>22906</v>
      </c>
      <c r="C16515" s="9">
        <f>IFERROR(__xludf.DUMMYFUNCTION("""COMPUTED_VALUE"""),3.99)</f>
        <v>3.99</v>
      </c>
      <c r="H16515" s="17"/>
      <c r="K16515" s="17"/>
      <c r="N16515" s="17"/>
    </row>
    <row r="16516">
      <c r="B16516" s="11">
        <f>IFERROR(__xludf.DUMMYFUNCTION("""COMPUTED_VALUE"""),22903.0)</f>
        <v>22903</v>
      </c>
      <c r="C16516" s="9">
        <f>IFERROR(__xludf.DUMMYFUNCTION("""COMPUTED_VALUE"""),3.99)</f>
        <v>3.99</v>
      </c>
      <c r="H16516" s="17"/>
      <c r="K16516" s="17"/>
      <c r="N16516" s="17"/>
    </row>
    <row r="16517">
      <c r="B16517" s="11">
        <f>IFERROR(__xludf.DUMMYFUNCTION("""COMPUTED_VALUE"""),22902.0)</f>
        <v>22902</v>
      </c>
      <c r="C16517" s="9">
        <f>IFERROR(__xludf.DUMMYFUNCTION("""COMPUTED_VALUE"""),3.99)</f>
        <v>3.99</v>
      </c>
      <c r="H16517" s="17"/>
      <c r="K16517" s="17"/>
      <c r="N16517" s="17"/>
    </row>
    <row r="16518">
      <c r="B16518" s="11">
        <f>IFERROR(__xludf.DUMMYFUNCTION("""COMPUTED_VALUE"""),22901.0)</f>
        <v>22901</v>
      </c>
      <c r="C16518" s="9">
        <f>IFERROR(__xludf.DUMMYFUNCTION("""COMPUTED_VALUE"""),4.0)</f>
        <v>4</v>
      </c>
      <c r="H16518" s="17"/>
      <c r="K16518" s="17"/>
      <c r="N16518" s="17"/>
    </row>
    <row r="16519">
      <c r="B16519" s="11">
        <f>IFERROR(__xludf.DUMMYFUNCTION("""COMPUTED_VALUE"""),22900.0)</f>
        <v>22900</v>
      </c>
      <c r="C16519" s="9">
        <f>IFERROR(__xludf.DUMMYFUNCTION("""COMPUTED_VALUE"""),4.0)</f>
        <v>4</v>
      </c>
      <c r="H16519" s="17"/>
      <c r="K16519" s="17"/>
      <c r="N16519" s="17"/>
    </row>
    <row r="16520">
      <c r="B16520" s="11">
        <f>IFERROR(__xludf.DUMMYFUNCTION("""COMPUTED_VALUE"""),22899.0)</f>
        <v>22899</v>
      </c>
      <c r="C16520" s="9">
        <f>IFERROR(__xludf.DUMMYFUNCTION("""COMPUTED_VALUE"""),4.0)</f>
        <v>4</v>
      </c>
      <c r="H16520" s="17"/>
      <c r="K16520" s="17"/>
      <c r="N16520" s="17"/>
    </row>
    <row r="16521">
      <c r="B16521" s="11">
        <f>IFERROR(__xludf.DUMMYFUNCTION("""COMPUTED_VALUE"""),22896.0)</f>
        <v>22896</v>
      </c>
      <c r="C16521" s="9">
        <f>IFERROR(__xludf.DUMMYFUNCTION("""COMPUTED_VALUE"""),4.01)</f>
        <v>4.01</v>
      </c>
      <c r="H16521" s="17"/>
      <c r="K16521" s="17"/>
      <c r="N16521" s="17"/>
    </row>
    <row r="16522">
      <c r="B16522" s="11">
        <f>IFERROR(__xludf.DUMMYFUNCTION("""COMPUTED_VALUE"""),22895.0)</f>
        <v>22895</v>
      </c>
      <c r="C16522" s="9">
        <f>IFERROR(__xludf.DUMMYFUNCTION("""COMPUTED_VALUE"""),3.99)</f>
        <v>3.99</v>
      </c>
      <c r="H16522" s="17"/>
      <c r="K16522" s="17"/>
      <c r="N16522" s="17"/>
    </row>
    <row r="16523">
      <c r="B16523" s="11">
        <f>IFERROR(__xludf.DUMMYFUNCTION("""COMPUTED_VALUE"""),22894.0)</f>
        <v>22894</v>
      </c>
      <c r="C16523" s="9">
        <f>IFERROR(__xludf.DUMMYFUNCTION("""COMPUTED_VALUE"""),3.97)</f>
        <v>3.97</v>
      </c>
      <c r="H16523" s="17"/>
      <c r="K16523" s="17"/>
      <c r="N16523" s="17"/>
    </row>
    <row r="16524">
      <c r="B16524" s="11">
        <f>IFERROR(__xludf.DUMMYFUNCTION("""COMPUTED_VALUE"""),22893.0)</f>
        <v>22893</v>
      </c>
      <c r="C16524" s="9">
        <f>IFERROR(__xludf.DUMMYFUNCTION("""COMPUTED_VALUE"""),3.96)</f>
        <v>3.96</v>
      </c>
      <c r="H16524" s="17"/>
      <c r="K16524" s="17"/>
      <c r="N16524" s="17"/>
    </row>
    <row r="16525">
      <c r="B16525" s="11">
        <f>IFERROR(__xludf.DUMMYFUNCTION("""COMPUTED_VALUE"""),22892.0)</f>
        <v>22892</v>
      </c>
      <c r="C16525" s="9"/>
      <c r="H16525" s="17"/>
      <c r="K16525" s="17"/>
      <c r="N16525" s="17"/>
    </row>
    <row r="16526">
      <c r="B16526" s="11">
        <f>IFERROR(__xludf.DUMMYFUNCTION("""COMPUTED_VALUE"""),22889.0)</f>
        <v>22889</v>
      </c>
      <c r="C16526" s="9">
        <f>IFERROR(__xludf.DUMMYFUNCTION("""COMPUTED_VALUE"""),3.96)</f>
        <v>3.96</v>
      </c>
      <c r="H16526" s="17"/>
      <c r="K16526" s="17"/>
      <c r="N16526" s="17"/>
    </row>
    <row r="16527">
      <c r="B16527" s="11">
        <f>IFERROR(__xludf.DUMMYFUNCTION("""COMPUTED_VALUE"""),22888.0)</f>
        <v>22888</v>
      </c>
      <c r="C16527" s="9">
        <f>IFERROR(__xludf.DUMMYFUNCTION("""COMPUTED_VALUE"""),3.95)</f>
        <v>3.95</v>
      </c>
      <c r="H16527" s="17"/>
      <c r="K16527" s="17"/>
      <c r="N16527" s="17"/>
    </row>
    <row r="16528">
      <c r="B16528" s="11">
        <f>IFERROR(__xludf.DUMMYFUNCTION("""COMPUTED_VALUE"""),22887.0)</f>
        <v>22887</v>
      </c>
      <c r="C16528" s="9">
        <f>IFERROR(__xludf.DUMMYFUNCTION("""COMPUTED_VALUE"""),3.96)</f>
        <v>3.96</v>
      </c>
      <c r="H16528" s="17"/>
      <c r="K16528" s="17"/>
      <c r="N16528" s="17"/>
    </row>
    <row r="16529">
      <c r="B16529" s="11">
        <f>IFERROR(__xludf.DUMMYFUNCTION("""COMPUTED_VALUE"""),22886.0)</f>
        <v>22886</v>
      </c>
      <c r="C16529" s="9">
        <f>IFERROR(__xludf.DUMMYFUNCTION("""COMPUTED_VALUE"""),3.96)</f>
        <v>3.96</v>
      </c>
      <c r="H16529" s="17"/>
      <c r="K16529" s="17"/>
      <c r="N16529" s="17"/>
    </row>
    <row r="16530">
      <c r="B16530" s="11">
        <f>IFERROR(__xludf.DUMMYFUNCTION("""COMPUTED_VALUE"""),22885.0)</f>
        <v>22885</v>
      </c>
      <c r="C16530" s="9">
        <f>IFERROR(__xludf.DUMMYFUNCTION("""COMPUTED_VALUE"""),3.95)</f>
        <v>3.95</v>
      </c>
      <c r="H16530" s="17"/>
      <c r="K16530" s="17"/>
      <c r="N16530" s="17"/>
    </row>
    <row r="16531">
      <c r="B16531" s="11">
        <f>IFERROR(__xludf.DUMMYFUNCTION("""COMPUTED_VALUE"""),22882.0)</f>
        <v>22882</v>
      </c>
      <c r="C16531" s="9">
        <f>IFERROR(__xludf.DUMMYFUNCTION("""COMPUTED_VALUE"""),3.95)</f>
        <v>3.95</v>
      </c>
      <c r="H16531" s="17"/>
      <c r="K16531" s="17"/>
      <c r="N16531" s="17"/>
    </row>
    <row r="16532">
      <c r="B16532" s="11">
        <f>IFERROR(__xludf.DUMMYFUNCTION("""COMPUTED_VALUE"""),22881.0)</f>
        <v>22881</v>
      </c>
      <c r="C16532" s="9">
        <f>IFERROR(__xludf.DUMMYFUNCTION("""COMPUTED_VALUE"""),3.95)</f>
        <v>3.95</v>
      </c>
      <c r="H16532" s="17"/>
      <c r="K16532" s="17"/>
      <c r="N16532" s="17"/>
    </row>
    <row r="16533">
      <c r="B16533" s="11">
        <f>IFERROR(__xludf.DUMMYFUNCTION("""COMPUTED_VALUE"""),22880.0)</f>
        <v>22880</v>
      </c>
      <c r="C16533" s="9">
        <f>IFERROR(__xludf.DUMMYFUNCTION("""COMPUTED_VALUE"""),3.95)</f>
        <v>3.95</v>
      </c>
      <c r="H16533" s="17"/>
      <c r="K16533" s="17"/>
      <c r="N16533" s="17"/>
    </row>
    <row r="16534">
      <c r="B16534" s="11">
        <f>IFERROR(__xludf.DUMMYFUNCTION("""COMPUTED_VALUE"""),22879.0)</f>
        <v>22879</v>
      </c>
      <c r="C16534" s="9">
        <f>IFERROR(__xludf.DUMMYFUNCTION("""COMPUTED_VALUE"""),3.94)</f>
        <v>3.94</v>
      </c>
      <c r="H16534" s="17"/>
      <c r="K16534" s="17"/>
      <c r="N16534" s="17"/>
    </row>
    <row r="16535">
      <c r="B16535" s="11">
        <f>IFERROR(__xludf.DUMMYFUNCTION("""COMPUTED_VALUE"""),22878.0)</f>
        <v>22878</v>
      </c>
      <c r="C16535" s="9">
        <f>IFERROR(__xludf.DUMMYFUNCTION("""COMPUTED_VALUE"""),3.94)</f>
        <v>3.94</v>
      </c>
      <c r="H16535" s="17"/>
      <c r="K16535" s="17"/>
      <c r="N16535" s="17"/>
    </row>
    <row r="16536">
      <c r="B16536" s="11">
        <f>IFERROR(__xludf.DUMMYFUNCTION("""COMPUTED_VALUE"""),22875.0)</f>
        <v>22875</v>
      </c>
      <c r="C16536" s="9">
        <f>IFERROR(__xludf.DUMMYFUNCTION("""COMPUTED_VALUE"""),3.96)</f>
        <v>3.96</v>
      </c>
      <c r="H16536" s="17"/>
      <c r="K16536" s="17"/>
      <c r="N16536" s="17"/>
    </row>
    <row r="16537">
      <c r="B16537" s="11">
        <f>IFERROR(__xludf.DUMMYFUNCTION("""COMPUTED_VALUE"""),22874.0)</f>
        <v>22874</v>
      </c>
      <c r="C16537" s="9">
        <f>IFERROR(__xludf.DUMMYFUNCTION("""COMPUTED_VALUE"""),3.96)</f>
        <v>3.96</v>
      </c>
      <c r="H16537" s="17"/>
      <c r="K16537" s="17"/>
      <c r="N16537" s="17"/>
    </row>
    <row r="16538">
      <c r="B16538" s="11">
        <f>IFERROR(__xludf.DUMMYFUNCTION("""COMPUTED_VALUE"""),22873.0)</f>
        <v>22873</v>
      </c>
      <c r="C16538" s="9">
        <f>IFERROR(__xludf.DUMMYFUNCTION("""COMPUTED_VALUE"""),3.98)</f>
        <v>3.98</v>
      </c>
      <c r="H16538" s="17"/>
      <c r="K16538" s="17"/>
      <c r="N16538" s="17"/>
    </row>
    <row r="16539">
      <c r="B16539" s="11">
        <f>IFERROR(__xludf.DUMMYFUNCTION("""COMPUTED_VALUE"""),22872.0)</f>
        <v>22872</v>
      </c>
      <c r="C16539" s="9">
        <f>IFERROR(__xludf.DUMMYFUNCTION("""COMPUTED_VALUE"""),3.98)</f>
        <v>3.98</v>
      </c>
      <c r="H16539" s="17"/>
      <c r="K16539" s="17"/>
      <c r="N16539" s="17"/>
    </row>
    <row r="16540">
      <c r="B16540" s="11">
        <f>IFERROR(__xludf.DUMMYFUNCTION("""COMPUTED_VALUE"""),22871.0)</f>
        <v>22871</v>
      </c>
      <c r="C16540" s="9">
        <f>IFERROR(__xludf.DUMMYFUNCTION("""COMPUTED_VALUE"""),3.99)</f>
        <v>3.99</v>
      </c>
      <c r="H16540" s="17"/>
      <c r="K16540" s="17"/>
      <c r="N16540" s="17"/>
    </row>
    <row r="16541">
      <c r="B16541" s="11">
        <f>IFERROR(__xludf.DUMMYFUNCTION("""COMPUTED_VALUE"""),22868.0)</f>
        <v>22868</v>
      </c>
      <c r="C16541" s="9">
        <f>IFERROR(__xludf.DUMMYFUNCTION("""COMPUTED_VALUE"""),3.99)</f>
        <v>3.99</v>
      </c>
      <c r="H16541" s="17"/>
      <c r="K16541" s="17"/>
      <c r="N16541" s="17"/>
    </row>
    <row r="16542">
      <c r="B16542" s="11">
        <f>IFERROR(__xludf.DUMMYFUNCTION("""COMPUTED_VALUE"""),22867.0)</f>
        <v>22867</v>
      </c>
      <c r="C16542" s="9">
        <f>IFERROR(__xludf.DUMMYFUNCTION("""COMPUTED_VALUE"""),3.99)</f>
        <v>3.99</v>
      </c>
      <c r="H16542" s="17"/>
      <c r="K16542" s="17"/>
      <c r="N16542" s="17"/>
    </row>
    <row r="16543">
      <c r="B16543" s="11">
        <f>IFERROR(__xludf.DUMMYFUNCTION("""COMPUTED_VALUE"""),22866.0)</f>
        <v>22866</v>
      </c>
      <c r="C16543" s="9">
        <f>IFERROR(__xludf.DUMMYFUNCTION("""COMPUTED_VALUE"""),4.01)</f>
        <v>4.01</v>
      </c>
      <c r="H16543" s="17"/>
      <c r="K16543" s="17"/>
      <c r="N16543" s="17"/>
    </row>
    <row r="16544">
      <c r="B16544" s="11">
        <f>IFERROR(__xludf.DUMMYFUNCTION("""COMPUTED_VALUE"""),22865.0)</f>
        <v>22865</v>
      </c>
      <c r="C16544" s="9">
        <f>IFERROR(__xludf.DUMMYFUNCTION("""COMPUTED_VALUE"""),4.02)</f>
        <v>4.02</v>
      </c>
      <c r="H16544" s="17"/>
      <c r="K16544" s="17"/>
      <c r="N16544" s="17"/>
    </row>
    <row r="16545">
      <c r="B16545" s="11">
        <f>IFERROR(__xludf.DUMMYFUNCTION("""COMPUTED_VALUE"""),22864.0)</f>
        <v>22864</v>
      </c>
      <c r="C16545" s="9">
        <f>IFERROR(__xludf.DUMMYFUNCTION("""COMPUTED_VALUE"""),4.01)</f>
        <v>4.01</v>
      </c>
      <c r="H16545" s="17"/>
      <c r="K16545" s="17"/>
      <c r="N16545" s="17"/>
    </row>
    <row r="16546">
      <c r="B16546" s="11">
        <f>IFERROR(__xludf.DUMMYFUNCTION("""COMPUTED_VALUE"""),22861.0)</f>
        <v>22861</v>
      </c>
      <c r="C16546" s="9">
        <f>IFERROR(__xludf.DUMMYFUNCTION("""COMPUTED_VALUE"""),4.01)</f>
        <v>4.01</v>
      </c>
      <c r="H16546" s="17"/>
      <c r="K16546" s="17"/>
      <c r="N16546" s="17"/>
    </row>
    <row r="16547">
      <c r="B16547" s="11">
        <f>IFERROR(__xludf.DUMMYFUNCTION("""COMPUTED_VALUE"""),22860.0)</f>
        <v>22860</v>
      </c>
      <c r="C16547" s="9">
        <f>IFERROR(__xludf.DUMMYFUNCTION("""COMPUTED_VALUE"""),4.0)</f>
        <v>4</v>
      </c>
      <c r="H16547" s="17"/>
      <c r="K16547" s="17"/>
      <c r="N16547" s="17"/>
    </row>
    <row r="16548">
      <c r="B16548" s="11">
        <f>IFERROR(__xludf.DUMMYFUNCTION("""COMPUTED_VALUE"""),22859.0)</f>
        <v>22859</v>
      </c>
      <c r="C16548" s="9">
        <f>IFERROR(__xludf.DUMMYFUNCTION("""COMPUTED_VALUE"""),4.03)</f>
        <v>4.03</v>
      </c>
      <c r="H16548" s="17"/>
      <c r="K16548" s="17"/>
      <c r="N16548" s="17"/>
    </row>
    <row r="16549">
      <c r="B16549" s="11">
        <f>IFERROR(__xludf.DUMMYFUNCTION("""COMPUTED_VALUE"""),22858.0)</f>
        <v>22858</v>
      </c>
      <c r="C16549" s="9">
        <f>IFERROR(__xludf.DUMMYFUNCTION("""COMPUTED_VALUE"""),4.04)</f>
        <v>4.04</v>
      </c>
      <c r="H16549" s="17"/>
      <c r="K16549" s="17"/>
      <c r="N16549" s="17"/>
    </row>
    <row r="16550">
      <c r="B16550" s="11">
        <f>IFERROR(__xludf.DUMMYFUNCTION("""COMPUTED_VALUE"""),22857.0)</f>
        <v>22857</v>
      </c>
      <c r="C16550" s="9">
        <f>IFERROR(__xludf.DUMMYFUNCTION("""COMPUTED_VALUE"""),4.03)</f>
        <v>4.03</v>
      </c>
      <c r="H16550" s="17"/>
      <c r="K16550" s="17"/>
      <c r="N16550" s="17"/>
    </row>
    <row r="16551">
      <c r="B16551" s="11">
        <f>IFERROR(__xludf.DUMMYFUNCTION("""COMPUTED_VALUE"""),22854.0)</f>
        <v>22854</v>
      </c>
      <c r="C16551" s="9">
        <f>IFERROR(__xludf.DUMMYFUNCTION("""COMPUTED_VALUE"""),4.02)</f>
        <v>4.02</v>
      </c>
      <c r="H16551" s="17"/>
      <c r="K16551" s="17"/>
      <c r="N16551" s="17"/>
    </row>
    <row r="16552">
      <c r="B16552" s="11">
        <f>IFERROR(__xludf.DUMMYFUNCTION("""COMPUTED_VALUE"""),22853.0)</f>
        <v>22853</v>
      </c>
      <c r="C16552" s="9">
        <f>IFERROR(__xludf.DUMMYFUNCTION("""COMPUTED_VALUE"""),4.01)</f>
        <v>4.01</v>
      </c>
      <c r="H16552" s="17"/>
      <c r="K16552" s="17"/>
      <c r="N16552" s="17"/>
    </row>
    <row r="16553">
      <c r="B16553" s="11">
        <f>IFERROR(__xludf.DUMMYFUNCTION("""COMPUTED_VALUE"""),22852.0)</f>
        <v>22852</v>
      </c>
      <c r="C16553" s="9">
        <f>IFERROR(__xludf.DUMMYFUNCTION("""COMPUTED_VALUE"""),4.02)</f>
        <v>4.02</v>
      </c>
      <c r="H16553" s="17"/>
      <c r="K16553" s="17"/>
      <c r="N16553" s="17"/>
    </row>
    <row r="16554">
      <c r="B16554" s="11">
        <f>IFERROR(__xludf.DUMMYFUNCTION("""COMPUTED_VALUE"""),22851.0)</f>
        <v>22851</v>
      </c>
      <c r="C16554" s="9">
        <f>IFERROR(__xludf.DUMMYFUNCTION("""COMPUTED_VALUE"""),4.01)</f>
        <v>4.01</v>
      </c>
      <c r="H16554" s="17"/>
      <c r="K16554" s="17"/>
      <c r="N16554" s="17"/>
    </row>
    <row r="16555">
      <c r="B16555" s="11">
        <f>IFERROR(__xludf.DUMMYFUNCTION("""COMPUTED_VALUE"""),22850.0)</f>
        <v>22850</v>
      </c>
      <c r="C16555" s="9">
        <f>IFERROR(__xludf.DUMMYFUNCTION("""COMPUTED_VALUE"""),4.0)</f>
        <v>4</v>
      </c>
      <c r="H16555" s="17"/>
      <c r="K16555" s="17"/>
      <c r="N16555" s="17"/>
    </row>
    <row r="16556">
      <c r="B16556" s="11">
        <f>IFERROR(__xludf.DUMMYFUNCTION("""COMPUTED_VALUE"""),22847.0)</f>
        <v>22847</v>
      </c>
      <c r="C16556" s="9">
        <f>IFERROR(__xludf.DUMMYFUNCTION("""COMPUTED_VALUE"""),4.01)</f>
        <v>4.01</v>
      </c>
      <c r="H16556" s="17"/>
      <c r="K16556" s="17"/>
      <c r="N16556" s="17"/>
    </row>
    <row r="16557">
      <c r="B16557" s="11">
        <f>IFERROR(__xludf.DUMMYFUNCTION("""COMPUTED_VALUE"""),22846.0)</f>
        <v>22846</v>
      </c>
      <c r="C16557" s="9">
        <f>IFERROR(__xludf.DUMMYFUNCTION("""COMPUTED_VALUE"""),4.02)</f>
        <v>4.02</v>
      </c>
      <c r="H16557" s="17"/>
      <c r="K16557" s="17"/>
      <c r="N16557" s="17"/>
    </row>
    <row r="16558">
      <c r="B16558" s="11">
        <f>IFERROR(__xludf.DUMMYFUNCTION("""COMPUTED_VALUE"""),22845.0)</f>
        <v>22845</v>
      </c>
      <c r="C16558" s="9">
        <f>IFERROR(__xludf.DUMMYFUNCTION("""COMPUTED_VALUE"""),4.02)</f>
        <v>4.02</v>
      </c>
      <c r="H16558" s="17"/>
      <c r="K16558" s="17"/>
      <c r="N16558" s="17"/>
    </row>
    <row r="16559">
      <c r="B16559" s="11">
        <f>IFERROR(__xludf.DUMMYFUNCTION("""COMPUTED_VALUE"""),22844.0)</f>
        <v>22844</v>
      </c>
      <c r="C16559" s="9">
        <f>IFERROR(__xludf.DUMMYFUNCTION("""COMPUTED_VALUE"""),4.03)</f>
        <v>4.03</v>
      </c>
      <c r="H16559" s="17"/>
      <c r="K16559" s="17"/>
      <c r="N16559" s="17"/>
    </row>
    <row r="16560">
      <c r="B16560" s="11">
        <f>IFERROR(__xludf.DUMMYFUNCTION("""COMPUTED_VALUE"""),22843.0)</f>
        <v>22843</v>
      </c>
      <c r="C16560" s="9">
        <f>IFERROR(__xludf.DUMMYFUNCTION("""COMPUTED_VALUE"""),4.01)</f>
        <v>4.01</v>
      </c>
      <c r="H16560" s="17"/>
      <c r="K16560" s="17"/>
      <c r="N16560" s="17"/>
    </row>
    <row r="16561">
      <c r="B16561" s="11">
        <f>IFERROR(__xludf.DUMMYFUNCTION("""COMPUTED_VALUE"""),22840.0)</f>
        <v>22840</v>
      </c>
      <c r="C16561" s="9">
        <f>IFERROR(__xludf.DUMMYFUNCTION("""COMPUTED_VALUE"""),4.0)</f>
        <v>4</v>
      </c>
      <c r="H16561" s="17"/>
      <c r="K16561" s="17"/>
      <c r="N16561" s="17"/>
    </row>
    <row r="16562">
      <c r="B16562" s="11">
        <f>IFERROR(__xludf.DUMMYFUNCTION("""COMPUTED_VALUE"""),22839.0)</f>
        <v>22839</v>
      </c>
      <c r="C16562" s="9">
        <f>IFERROR(__xludf.DUMMYFUNCTION("""COMPUTED_VALUE"""),4.0)</f>
        <v>4</v>
      </c>
      <c r="H16562" s="17"/>
      <c r="K16562" s="17"/>
      <c r="N16562" s="17"/>
    </row>
    <row r="16563">
      <c r="B16563" s="11">
        <f>IFERROR(__xludf.DUMMYFUNCTION("""COMPUTED_VALUE"""),22838.0)</f>
        <v>22838</v>
      </c>
      <c r="C16563" s="9">
        <f>IFERROR(__xludf.DUMMYFUNCTION("""COMPUTED_VALUE"""),3.99)</f>
        <v>3.99</v>
      </c>
      <c r="H16563" s="17"/>
      <c r="K16563" s="17"/>
      <c r="N16563" s="17"/>
    </row>
    <row r="16564">
      <c r="B16564" s="11">
        <f>IFERROR(__xludf.DUMMYFUNCTION("""COMPUTED_VALUE"""),22837.0)</f>
        <v>22837</v>
      </c>
      <c r="C16564" s="9">
        <f>IFERROR(__xludf.DUMMYFUNCTION("""COMPUTED_VALUE"""),4.02)</f>
        <v>4.02</v>
      </c>
      <c r="H16564" s="17"/>
      <c r="K16564" s="17"/>
      <c r="N16564" s="17"/>
    </row>
    <row r="16565">
      <c r="B16565" s="11">
        <f>IFERROR(__xludf.DUMMYFUNCTION("""COMPUTED_VALUE"""),22836.0)</f>
        <v>22836</v>
      </c>
      <c r="C16565" s="9">
        <f>IFERROR(__xludf.DUMMYFUNCTION("""COMPUTED_VALUE"""),4.05)</f>
        <v>4.05</v>
      </c>
      <c r="H16565" s="17"/>
      <c r="K16565" s="17"/>
      <c r="N16565" s="17"/>
    </row>
    <row r="16566">
      <c r="B16566" s="11">
        <f>IFERROR(__xludf.DUMMYFUNCTION("""COMPUTED_VALUE"""),22833.0)</f>
        <v>22833</v>
      </c>
      <c r="C16566" s="9">
        <f>IFERROR(__xludf.DUMMYFUNCTION("""COMPUTED_VALUE"""),4.02)</f>
        <v>4.02</v>
      </c>
      <c r="H16566" s="17"/>
      <c r="K16566" s="17"/>
      <c r="N16566" s="17"/>
    </row>
    <row r="16567">
      <c r="B16567" s="11">
        <f>IFERROR(__xludf.DUMMYFUNCTION("""COMPUTED_VALUE"""),22832.0)</f>
        <v>22832</v>
      </c>
      <c r="C16567" s="9">
        <f>IFERROR(__xludf.DUMMYFUNCTION("""COMPUTED_VALUE"""),4.0)</f>
        <v>4</v>
      </c>
      <c r="H16567" s="17"/>
      <c r="K16567" s="17"/>
      <c r="N16567" s="17"/>
    </row>
    <row r="16568">
      <c r="B16568" s="11">
        <f>IFERROR(__xludf.DUMMYFUNCTION("""COMPUTED_VALUE"""),22831.0)</f>
        <v>22831</v>
      </c>
      <c r="C16568" s="9"/>
      <c r="H16568" s="17"/>
      <c r="K16568" s="17"/>
      <c r="N16568" s="17"/>
    </row>
    <row r="16569">
      <c r="B16569" s="11">
        <f>IFERROR(__xludf.DUMMYFUNCTION("""COMPUTED_VALUE"""),22830.0)</f>
        <v>22830</v>
      </c>
      <c r="C16569" s="9">
        <f>IFERROR(__xludf.DUMMYFUNCTION("""COMPUTED_VALUE"""),4.0)</f>
        <v>4</v>
      </c>
      <c r="H16569" s="17"/>
      <c r="K16569" s="17"/>
      <c r="N16569" s="17"/>
    </row>
    <row r="16570">
      <c r="B16570" s="11">
        <f>IFERROR(__xludf.DUMMYFUNCTION("""COMPUTED_VALUE"""),22829.0)</f>
        <v>22829</v>
      </c>
      <c r="C16570" s="9">
        <f>IFERROR(__xludf.DUMMYFUNCTION("""COMPUTED_VALUE"""),4.0)</f>
        <v>4</v>
      </c>
      <c r="H16570" s="17"/>
      <c r="K16570" s="17"/>
      <c r="N16570" s="17"/>
    </row>
    <row r="16571">
      <c r="B16571" s="11">
        <f>IFERROR(__xludf.DUMMYFUNCTION("""COMPUTED_VALUE"""),22826.0)</f>
        <v>22826</v>
      </c>
      <c r="C16571" s="9">
        <f>IFERROR(__xludf.DUMMYFUNCTION("""COMPUTED_VALUE"""),4.0)</f>
        <v>4</v>
      </c>
      <c r="H16571" s="17"/>
      <c r="K16571" s="17"/>
      <c r="N16571" s="17"/>
    </row>
    <row r="16572">
      <c r="B16572" s="11">
        <f>IFERROR(__xludf.DUMMYFUNCTION("""COMPUTED_VALUE"""),22825.0)</f>
        <v>22825</v>
      </c>
      <c r="C16572" s="9">
        <f>IFERROR(__xludf.DUMMYFUNCTION("""COMPUTED_VALUE"""),3.98)</f>
        <v>3.98</v>
      </c>
      <c r="H16572" s="17"/>
      <c r="K16572" s="17"/>
      <c r="N16572" s="17"/>
    </row>
    <row r="16573">
      <c r="B16573" s="11">
        <f>IFERROR(__xludf.DUMMYFUNCTION("""COMPUTED_VALUE"""),22824.0)</f>
        <v>22824</v>
      </c>
      <c r="C16573" s="9">
        <f>IFERROR(__xludf.DUMMYFUNCTION("""COMPUTED_VALUE"""),3.96)</f>
        <v>3.96</v>
      </c>
      <c r="H16573" s="17"/>
      <c r="K16573" s="17"/>
      <c r="N16573" s="17"/>
    </row>
    <row r="16574">
      <c r="B16574" s="11">
        <f>IFERROR(__xludf.DUMMYFUNCTION("""COMPUTED_VALUE"""),22823.0)</f>
        <v>22823</v>
      </c>
      <c r="C16574" s="9">
        <f>IFERROR(__xludf.DUMMYFUNCTION("""COMPUTED_VALUE"""),3.97)</f>
        <v>3.97</v>
      </c>
      <c r="H16574" s="17"/>
      <c r="K16574" s="17"/>
      <c r="N16574" s="17"/>
    </row>
    <row r="16575">
      <c r="B16575" s="11">
        <f>IFERROR(__xludf.DUMMYFUNCTION("""COMPUTED_VALUE"""),22822.0)</f>
        <v>22822</v>
      </c>
      <c r="C16575" s="9">
        <f>IFERROR(__xludf.DUMMYFUNCTION("""COMPUTED_VALUE"""),3.95)</f>
        <v>3.95</v>
      </c>
      <c r="H16575" s="17"/>
      <c r="K16575" s="17"/>
      <c r="N16575" s="17"/>
    </row>
    <row r="16576">
      <c r="B16576" s="11">
        <f>IFERROR(__xludf.DUMMYFUNCTION("""COMPUTED_VALUE"""),22819.0)</f>
        <v>22819</v>
      </c>
      <c r="C16576" s="9">
        <f>IFERROR(__xludf.DUMMYFUNCTION("""COMPUTED_VALUE"""),3.9)</f>
        <v>3.9</v>
      </c>
      <c r="H16576" s="17"/>
      <c r="K16576" s="17"/>
      <c r="N16576" s="17"/>
    </row>
    <row r="16577">
      <c r="B16577" s="11">
        <f>IFERROR(__xludf.DUMMYFUNCTION("""COMPUTED_VALUE"""),22818.0)</f>
        <v>22818</v>
      </c>
      <c r="C16577" s="9">
        <f>IFERROR(__xludf.DUMMYFUNCTION("""COMPUTED_VALUE"""),3.9)</f>
        <v>3.9</v>
      </c>
      <c r="H16577" s="17"/>
      <c r="K16577" s="17"/>
      <c r="N16577" s="17"/>
    </row>
    <row r="16578">
      <c r="B16578" s="11">
        <f>IFERROR(__xludf.DUMMYFUNCTION("""COMPUTED_VALUE"""),22817.0)</f>
        <v>22817</v>
      </c>
      <c r="C16578" s="9">
        <f>IFERROR(__xludf.DUMMYFUNCTION("""COMPUTED_VALUE"""),3.92)</f>
        <v>3.92</v>
      </c>
      <c r="H16578" s="17"/>
      <c r="K16578" s="17"/>
      <c r="N16578" s="17"/>
    </row>
    <row r="16579">
      <c r="B16579" s="11">
        <f>IFERROR(__xludf.DUMMYFUNCTION("""COMPUTED_VALUE"""),22816.0)</f>
        <v>22816</v>
      </c>
      <c r="C16579" s="9">
        <f>IFERROR(__xludf.DUMMYFUNCTION("""COMPUTED_VALUE"""),3.93)</f>
        <v>3.93</v>
      </c>
      <c r="H16579" s="17"/>
      <c r="K16579" s="17"/>
      <c r="N16579" s="17"/>
    </row>
    <row r="16580">
      <c r="B16580" s="11">
        <f>IFERROR(__xludf.DUMMYFUNCTION("""COMPUTED_VALUE"""),22815.0)</f>
        <v>22815</v>
      </c>
      <c r="C16580" s="9">
        <f>IFERROR(__xludf.DUMMYFUNCTION("""COMPUTED_VALUE"""),3.91)</f>
        <v>3.91</v>
      </c>
      <c r="H16580" s="17"/>
      <c r="K16580" s="17"/>
      <c r="N16580" s="17"/>
    </row>
    <row r="16581">
      <c r="B16581" s="11">
        <f>IFERROR(__xludf.DUMMYFUNCTION("""COMPUTED_VALUE"""),22812.0)</f>
        <v>22812</v>
      </c>
      <c r="C16581" s="9">
        <f>IFERROR(__xludf.DUMMYFUNCTION("""COMPUTED_VALUE"""),3.89)</f>
        <v>3.89</v>
      </c>
      <c r="H16581" s="17"/>
      <c r="K16581" s="17"/>
      <c r="N16581" s="17"/>
    </row>
    <row r="16582">
      <c r="B16582" s="11">
        <f>IFERROR(__xludf.DUMMYFUNCTION("""COMPUTED_VALUE"""),22811.0)</f>
        <v>22811</v>
      </c>
      <c r="C16582" s="9">
        <f>IFERROR(__xludf.DUMMYFUNCTION("""COMPUTED_VALUE"""),3.9)</f>
        <v>3.9</v>
      </c>
      <c r="H16582" s="17"/>
      <c r="K16582" s="17"/>
      <c r="N16582" s="17"/>
    </row>
    <row r="16583">
      <c r="B16583" s="11">
        <f>IFERROR(__xludf.DUMMYFUNCTION("""COMPUTED_VALUE"""),22810.0)</f>
        <v>22810</v>
      </c>
      <c r="C16583" s="9">
        <f>IFERROR(__xludf.DUMMYFUNCTION("""COMPUTED_VALUE"""),3.87)</f>
        <v>3.87</v>
      </c>
      <c r="H16583" s="17"/>
      <c r="K16583" s="17"/>
      <c r="N16583" s="17"/>
    </row>
    <row r="16584">
      <c r="B16584" s="11">
        <f>IFERROR(__xludf.DUMMYFUNCTION("""COMPUTED_VALUE"""),22809.0)</f>
        <v>22809</v>
      </c>
      <c r="C16584" s="9">
        <f>IFERROR(__xludf.DUMMYFUNCTION("""COMPUTED_VALUE"""),3.86)</f>
        <v>3.86</v>
      </c>
      <c r="H16584" s="17"/>
      <c r="K16584" s="17"/>
      <c r="N16584" s="17"/>
    </row>
    <row r="16585">
      <c r="B16585" s="11">
        <f>IFERROR(__xludf.DUMMYFUNCTION("""COMPUTED_VALUE"""),22808.0)</f>
        <v>22808</v>
      </c>
      <c r="C16585" s="9">
        <f>IFERROR(__xludf.DUMMYFUNCTION("""COMPUTED_VALUE"""),3.87)</f>
        <v>3.87</v>
      </c>
      <c r="H16585" s="17"/>
      <c r="K16585" s="17"/>
      <c r="N16585" s="17"/>
    </row>
    <row r="16586">
      <c r="B16586" s="11">
        <f>IFERROR(__xludf.DUMMYFUNCTION("""COMPUTED_VALUE"""),22805.0)</f>
        <v>22805</v>
      </c>
      <c r="C16586" s="9">
        <f>IFERROR(__xludf.DUMMYFUNCTION("""COMPUTED_VALUE"""),3.86)</f>
        <v>3.86</v>
      </c>
      <c r="H16586" s="17"/>
      <c r="K16586" s="17"/>
      <c r="N16586" s="17"/>
    </row>
    <row r="16587">
      <c r="B16587" s="11">
        <f>IFERROR(__xludf.DUMMYFUNCTION("""COMPUTED_VALUE"""),22804.0)</f>
        <v>22804</v>
      </c>
      <c r="C16587" s="9">
        <f>IFERROR(__xludf.DUMMYFUNCTION("""COMPUTED_VALUE"""),3.87)</f>
        <v>3.87</v>
      </c>
      <c r="H16587" s="17"/>
      <c r="K16587" s="17"/>
      <c r="N16587" s="17"/>
    </row>
    <row r="16588">
      <c r="B16588" s="11">
        <f>IFERROR(__xludf.DUMMYFUNCTION("""COMPUTED_VALUE"""),22803.0)</f>
        <v>22803</v>
      </c>
      <c r="C16588" s="9">
        <f>IFERROR(__xludf.DUMMYFUNCTION("""COMPUTED_VALUE"""),3.89)</f>
        <v>3.89</v>
      </c>
      <c r="H16588" s="17"/>
      <c r="K16588" s="17"/>
      <c r="N16588" s="17"/>
    </row>
    <row r="16589">
      <c r="B16589" s="11">
        <f>IFERROR(__xludf.DUMMYFUNCTION("""COMPUTED_VALUE"""),22802.0)</f>
        <v>22802</v>
      </c>
      <c r="C16589" s="9">
        <f>IFERROR(__xludf.DUMMYFUNCTION("""COMPUTED_VALUE"""),3.89)</f>
        <v>3.89</v>
      </c>
      <c r="H16589" s="17"/>
      <c r="K16589" s="17"/>
      <c r="N16589" s="17"/>
    </row>
    <row r="16590">
      <c r="B16590" s="11">
        <f>IFERROR(__xludf.DUMMYFUNCTION("""COMPUTED_VALUE"""),22801.0)</f>
        <v>22801</v>
      </c>
      <c r="C16590" s="9">
        <f>IFERROR(__xludf.DUMMYFUNCTION("""COMPUTED_VALUE"""),3.88)</f>
        <v>3.88</v>
      </c>
      <c r="H16590" s="17"/>
      <c r="K16590" s="17"/>
      <c r="N16590" s="17"/>
    </row>
    <row r="16591">
      <c r="B16591" s="11">
        <f>IFERROR(__xludf.DUMMYFUNCTION("""COMPUTED_VALUE"""),22798.0)</f>
        <v>22798</v>
      </c>
      <c r="C16591" s="9">
        <f>IFERROR(__xludf.DUMMYFUNCTION("""COMPUTED_VALUE"""),3.89)</f>
        <v>3.89</v>
      </c>
      <c r="H16591" s="17"/>
      <c r="K16591" s="17"/>
      <c r="N16591" s="17"/>
    </row>
    <row r="16592">
      <c r="B16592" s="11">
        <f>IFERROR(__xludf.DUMMYFUNCTION("""COMPUTED_VALUE"""),22797.0)</f>
        <v>22797</v>
      </c>
      <c r="C16592" s="9">
        <f>IFERROR(__xludf.DUMMYFUNCTION("""COMPUTED_VALUE"""),3.9)</f>
        <v>3.9</v>
      </c>
      <c r="H16592" s="17"/>
      <c r="K16592" s="17"/>
      <c r="N16592" s="17"/>
    </row>
    <row r="16593">
      <c r="B16593" s="11">
        <f>IFERROR(__xludf.DUMMYFUNCTION("""COMPUTED_VALUE"""),22796.0)</f>
        <v>22796</v>
      </c>
      <c r="C16593" s="9"/>
      <c r="H16593" s="17"/>
      <c r="K16593" s="17"/>
      <c r="N16593" s="17"/>
    </row>
    <row r="16594">
      <c r="B16594" s="11">
        <f>IFERROR(__xludf.DUMMYFUNCTION("""COMPUTED_VALUE"""),22795.0)</f>
        <v>22795</v>
      </c>
      <c r="C16594" s="9">
        <f>IFERROR(__xludf.DUMMYFUNCTION("""COMPUTED_VALUE"""),3.89)</f>
        <v>3.89</v>
      </c>
      <c r="H16594" s="17"/>
      <c r="K16594" s="17"/>
      <c r="N16594" s="17"/>
    </row>
    <row r="16595">
      <c r="B16595" s="11">
        <f>IFERROR(__xludf.DUMMYFUNCTION("""COMPUTED_VALUE"""),22794.0)</f>
        <v>22794</v>
      </c>
      <c r="C16595" s="9">
        <f>IFERROR(__xludf.DUMMYFUNCTION("""COMPUTED_VALUE"""),3.87)</f>
        <v>3.87</v>
      </c>
      <c r="H16595" s="17"/>
      <c r="K16595" s="17"/>
      <c r="N16595" s="17"/>
    </row>
    <row r="16596">
      <c r="B16596" s="11">
        <f>IFERROR(__xludf.DUMMYFUNCTION("""COMPUTED_VALUE"""),22791.0)</f>
        <v>22791</v>
      </c>
      <c r="C16596" s="9">
        <f>IFERROR(__xludf.DUMMYFUNCTION("""COMPUTED_VALUE"""),3.88)</f>
        <v>3.88</v>
      </c>
      <c r="H16596" s="17"/>
      <c r="K16596" s="17"/>
      <c r="N16596" s="17"/>
    </row>
    <row r="16597">
      <c r="B16597" s="11">
        <f>IFERROR(__xludf.DUMMYFUNCTION("""COMPUTED_VALUE"""),22790.0)</f>
        <v>22790</v>
      </c>
      <c r="C16597" s="9">
        <f>IFERROR(__xludf.DUMMYFUNCTION("""COMPUTED_VALUE"""),3.9)</f>
        <v>3.9</v>
      </c>
      <c r="H16597" s="17"/>
      <c r="K16597" s="17"/>
      <c r="N16597" s="17"/>
    </row>
    <row r="16598">
      <c r="B16598" s="11">
        <f>IFERROR(__xludf.DUMMYFUNCTION("""COMPUTED_VALUE"""),22789.0)</f>
        <v>22789</v>
      </c>
      <c r="C16598" s="9">
        <f>IFERROR(__xludf.DUMMYFUNCTION("""COMPUTED_VALUE"""),3.91)</f>
        <v>3.91</v>
      </c>
      <c r="H16598" s="17"/>
      <c r="K16598" s="17"/>
      <c r="N16598" s="17"/>
    </row>
    <row r="16599">
      <c r="B16599" s="11">
        <f>IFERROR(__xludf.DUMMYFUNCTION("""COMPUTED_VALUE"""),22788.0)</f>
        <v>22788</v>
      </c>
      <c r="C16599" s="9">
        <f>IFERROR(__xludf.DUMMYFUNCTION("""COMPUTED_VALUE"""),3.93)</f>
        <v>3.93</v>
      </c>
      <c r="H16599" s="17"/>
      <c r="K16599" s="17"/>
      <c r="N16599" s="17"/>
    </row>
    <row r="16600">
      <c r="B16600" s="11">
        <f>IFERROR(__xludf.DUMMYFUNCTION("""COMPUTED_VALUE"""),22787.0)</f>
        <v>22787</v>
      </c>
      <c r="C16600" s="9">
        <f>IFERROR(__xludf.DUMMYFUNCTION("""COMPUTED_VALUE"""),3.94)</f>
        <v>3.94</v>
      </c>
      <c r="H16600" s="17"/>
      <c r="K16600" s="17"/>
      <c r="N16600" s="17"/>
    </row>
    <row r="16601">
      <c r="B16601" s="11">
        <f>IFERROR(__xludf.DUMMYFUNCTION("""COMPUTED_VALUE"""),22784.0)</f>
        <v>22784</v>
      </c>
      <c r="C16601" s="9">
        <f>IFERROR(__xludf.DUMMYFUNCTION("""COMPUTED_VALUE"""),3.93)</f>
        <v>3.93</v>
      </c>
      <c r="H16601" s="17"/>
      <c r="K16601" s="17"/>
      <c r="N16601" s="17"/>
    </row>
    <row r="16602">
      <c r="B16602" s="11">
        <f>IFERROR(__xludf.DUMMYFUNCTION("""COMPUTED_VALUE"""),22783.0)</f>
        <v>22783</v>
      </c>
      <c r="C16602" s="9">
        <f>IFERROR(__xludf.DUMMYFUNCTION("""COMPUTED_VALUE"""),3.87)</f>
        <v>3.87</v>
      </c>
      <c r="H16602" s="17"/>
      <c r="K16602" s="17"/>
      <c r="N16602" s="17"/>
    </row>
    <row r="16603">
      <c r="B16603" s="11">
        <f>IFERROR(__xludf.DUMMYFUNCTION("""COMPUTED_VALUE"""),22782.0)</f>
        <v>22782</v>
      </c>
      <c r="C16603" s="9">
        <f>IFERROR(__xludf.DUMMYFUNCTION("""COMPUTED_VALUE"""),3.86)</f>
        <v>3.86</v>
      </c>
      <c r="H16603" s="17"/>
      <c r="K16603" s="17"/>
      <c r="N16603" s="17"/>
    </row>
    <row r="16604">
      <c r="B16604" s="11">
        <f>IFERROR(__xludf.DUMMYFUNCTION("""COMPUTED_VALUE"""),22781.0)</f>
        <v>22781</v>
      </c>
      <c r="C16604" s="9">
        <f>IFERROR(__xludf.DUMMYFUNCTION("""COMPUTED_VALUE"""),3.87)</f>
        <v>3.87</v>
      </c>
      <c r="H16604" s="17"/>
      <c r="K16604" s="17"/>
      <c r="N16604" s="17"/>
    </row>
    <row r="16605">
      <c r="B16605" s="11">
        <f>IFERROR(__xludf.DUMMYFUNCTION("""COMPUTED_VALUE"""),22780.0)</f>
        <v>22780</v>
      </c>
      <c r="C16605" s="9">
        <f>IFERROR(__xludf.DUMMYFUNCTION("""COMPUTED_VALUE"""),3.85)</f>
        <v>3.85</v>
      </c>
      <c r="H16605" s="17"/>
      <c r="K16605" s="17"/>
      <c r="N16605" s="17"/>
    </row>
    <row r="16606">
      <c r="B16606" s="11">
        <f>IFERROR(__xludf.DUMMYFUNCTION("""COMPUTED_VALUE"""),22777.0)</f>
        <v>22777</v>
      </c>
      <c r="C16606" s="9">
        <f>IFERROR(__xludf.DUMMYFUNCTION("""COMPUTED_VALUE"""),3.82)</f>
        <v>3.82</v>
      </c>
      <c r="H16606" s="17"/>
      <c r="K16606" s="17"/>
      <c r="N16606" s="17"/>
    </row>
    <row r="16607">
      <c r="B16607" s="11">
        <f>IFERROR(__xludf.DUMMYFUNCTION("""COMPUTED_VALUE"""),22776.0)</f>
        <v>22776</v>
      </c>
      <c r="C16607" s="9">
        <f>IFERROR(__xludf.DUMMYFUNCTION("""COMPUTED_VALUE"""),3.83)</f>
        <v>3.83</v>
      </c>
      <c r="H16607" s="17"/>
      <c r="K16607" s="17"/>
      <c r="N16607" s="17"/>
    </row>
    <row r="16608">
      <c r="B16608" s="11">
        <f>IFERROR(__xludf.DUMMYFUNCTION("""COMPUTED_VALUE"""),22775.0)</f>
        <v>22775</v>
      </c>
      <c r="C16608" s="9">
        <f>IFERROR(__xludf.DUMMYFUNCTION("""COMPUTED_VALUE"""),3.82)</f>
        <v>3.82</v>
      </c>
      <c r="H16608" s="17"/>
      <c r="K16608" s="17"/>
      <c r="N16608" s="17"/>
    </row>
    <row r="16609">
      <c r="B16609" s="11">
        <f>IFERROR(__xludf.DUMMYFUNCTION("""COMPUTED_VALUE"""),22774.0)</f>
        <v>22774</v>
      </c>
      <c r="C16609" s="9">
        <f>IFERROR(__xludf.DUMMYFUNCTION("""COMPUTED_VALUE"""),3.85)</f>
        <v>3.85</v>
      </c>
      <c r="H16609" s="17"/>
      <c r="K16609" s="17"/>
      <c r="N16609" s="17"/>
    </row>
    <row r="16610">
      <c r="B16610" s="11">
        <f>IFERROR(__xludf.DUMMYFUNCTION("""COMPUTED_VALUE"""),22773.0)</f>
        <v>22773</v>
      </c>
      <c r="C16610" s="9">
        <f>IFERROR(__xludf.DUMMYFUNCTION("""COMPUTED_VALUE"""),3.86)</f>
        <v>3.86</v>
      </c>
      <c r="H16610" s="17"/>
      <c r="K16610" s="17"/>
      <c r="N16610" s="17"/>
    </row>
    <row r="16611">
      <c r="B16611" s="11">
        <f>IFERROR(__xludf.DUMMYFUNCTION("""COMPUTED_VALUE"""),22770.0)</f>
        <v>22770</v>
      </c>
      <c r="C16611" s="9">
        <f>IFERROR(__xludf.DUMMYFUNCTION("""COMPUTED_VALUE"""),3.87)</f>
        <v>3.87</v>
      </c>
      <c r="H16611" s="17"/>
      <c r="K16611" s="17"/>
      <c r="N16611" s="17"/>
    </row>
    <row r="16612">
      <c r="B16612" s="11">
        <f>IFERROR(__xludf.DUMMYFUNCTION("""COMPUTED_VALUE"""),22769.0)</f>
        <v>22769</v>
      </c>
      <c r="C16612" s="9">
        <f>IFERROR(__xludf.DUMMYFUNCTION("""COMPUTED_VALUE"""),3.86)</f>
        <v>3.86</v>
      </c>
      <c r="H16612" s="17"/>
      <c r="K16612" s="17"/>
      <c r="N16612" s="17"/>
    </row>
    <row r="16613">
      <c r="B16613" s="11">
        <f>IFERROR(__xludf.DUMMYFUNCTION("""COMPUTED_VALUE"""),22768.0)</f>
        <v>22768</v>
      </c>
      <c r="C16613" s="9">
        <f>IFERROR(__xludf.DUMMYFUNCTION("""COMPUTED_VALUE"""),3.86)</f>
        <v>3.86</v>
      </c>
      <c r="H16613" s="17"/>
      <c r="K16613" s="17"/>
      <c r="N16613" s="17"/>
    </row>
    <row r="16614">
      <c r="B16614" s="11">
        <f>IFERROR(__xludf.DUMMYFUNCTION("""COMPUTED_VALUE"""),22767.0)</f>
        <v>22767</v>
      </c>
      <c r="C16614" s="9">
        <f>IFERROR(__xludf.DUMMYFUNCTION("""COMPUTED_VALUE"""),3.85)</f>
        <v>3.85</v>
      </c>
      <c r="H16614" s="17"/>
      <c r="K16614" s="17"/>
      <c r="N16614" s="17"/>
    </row>
    <row r="16615">
      <c r="B16615" s="11">
        <f>IFERROR(__xludf.DUMMYFUNCTION("""COMPUTED_VALUE"""),22766.0)</f>
        <v>22766</v>
      </c>
      <c r="C16615" s="9">
        <f>IFERROR(__xludf.DUMMYFUNCTION("""COMPUTED_VALUE"""),3.86)</f>
        <v>3.86</v>
      </c>
      <c r="H16615" s="17"/>
      <c r="K16615" s="17"/>
      <c r="N16615" s="17"/>
    </row>
    <row r="16616">
      <c r="B16616" s="11">
        <f>IFERROR(__xludf.DUMMYFUNCTION("""COMPUTED_VALUE"""),22763.0)</f>
        <v>22763</v>
      </c>
      <c r="C16616" s="9">
        <f>IFERROR(__xludf.DUMMYFUNCTION("""COMPUTED_VALUE"""),3.86)</f>
        <v>3.86</v>
      </c>
      <c r="H16616" s="17"/>
      <c r="K16616" s="17"/>
      <c r="N16616" s="17"/>
    </row>
    <row r="16617">
      <c r="B16617" s="11">
        <f>IFERROR(__xludf.DUMMYFUNCTION("""COMPUTED_VALUE"""),22762.0)</f>
        <v>22762</v>
      </c>
      <c r="C16617" s="9">
        <f>IFERROR(__xludf.DUMMYFUNCTION("""COMPUTED_VALUE"""),3.89)</f>
        <v>3.89</v>
      </c>
      <c r="H16617" s="17"/>
      <c r="K16617" s="17"/>
      <c r="N16617" s="17"/>
    </row>
    <row r="16618">
      <c r="B16618" s="11">
        <f>IFERROR(__xludf.DUMMYFUNCTION("""COMPUTED_VALUE"""),22761.0)</f>
        <v>22761</v>
      </c>
      <c r="C16618" s="9">
        <f>IFERROR(__xludf.DUMMYFUNCTION("""COMPUTED_VALUE"""),3.88)</f>
        <v>3.88</v>
      </c>
      <c r="H16618" s="17"/>
      <c r="K16618" s="17"/>
      <c r="N16618" s="17"/>
    </row>
    <row r="16619">
      <c r="B16619" s="11">
        <f>IFERROR(__xludf.DUMMYFUNCTION("""COMPUTED_VALUE"""),22760.0)</f>
        <v>22760</v>
      </c>
      <c r="C16619" s="9">
        <f>IFERROR(__xludf.DUMMYFUNCTION("""COMPUTED_VALUE"""),3.87)</f>
        <v>3.87</v>
      </c>
      <c r="H16619" s="17"/>
      <c r="K16619" s="17"/>
      <c r="N16619" s="17"/>
    </row>
    <row r="16620">
      <c r="B16620" s="11">
        <f>IFERROR(__xludf.DUMMYFUNCTION("""COMPUTED_VALUE"""),22759.0)</f>
        <v>22759</v>
      </c>
      <c r="C16620" s="9">
        <f>IFERROR(__xludf.DUMMYFUNCTION("""COMPUTED_VALUE"""),3.86)</f>
        <v>3.86</v>
      </c>
      <c r="H16620" s="17"/>
      <c r="K16620" s="17"/>
      <c r="N16620" s="17"/>
    </row>
    <row r="16621">
      <c r="B16621" s="11">
        <f>IFERROR(__xludf.DUMMYFUNCTION("""COMPUTED_VALUE"""),22756.0)</f>
        <v>22756</v>
      </c>
      <c r="C16621" s="9"/>
      <c r="H16621" s="17"/>
      <c r="K16621" s="17"/>
      <c r="N16621" s="17"/>
    </row>
    <row r="16622">
      <c r="B16622" s="11">
        <f>IFERROR(__xludf.DUMMYFUNCTION("""COMPUTED_VALUE"""),22755.0)</f>
        <v>22755</v>
      </c>
      <c r="C16622" s="9">
        <f>IFERROR(__xludf.DUMMYFUNCTION("""COMPUTED_VALUE"""),3.82)</f>
        <v>3.82</v>
      </c>
      <c r="H16622" s="17"/>
      <c r="K16622" s="17"/>
      <c r="N16622" s="17"/>
    </row>
    <row r="16623">
      <c r="B16623" s="11">
        <f>IFERROR(__xludf.DUMMYFUNCTION("""COMPUTED_VALUE"""),22754.0)</f>
        <v>22754</v>
      </c>
      <c r="C16623" s="9">
        <f>IFERROR(__xludf.DUMMYFUNCTION("""COMPUTED_VALUE"""),3.81)</f>
        <v>3.81</v>
      </c>
      <c r="H16623" s="17"/>
      <c r="K16623" s="17"/>
      <c r="N16623" s="17"/>
    </row>
    <row r="16624">
      <c r="B16624" s="11">
        <f>IFERROR(__xludf.DUMMYFUNCTION("""COMPUTED_VALUE"""),22753.0)</f>
        <v>22753</v>
      </c>
      <c r="C16624" s="9">
        <f>IFERROR(__xludf.DUMMYFUNCTION("""COMPUTED_VALUE"""),3.82)</f>
        <v>3.82</v>
      </c>
      <c r="H16624" s="17"/>
      <c r="K16624" s="17"/>
      <c r="N16624" s="17"/>
    </row>
    <row r="16625">
      <c r="B16625" s="11">
        <f>IFERROR(__xludf.DUMMYFUNCTION("""COMPUTED_VALUE"""),22752.0)</f>
        <v>22752</v>
      </c>
      <c r="C16625" s="9">
        <f>IFERROR(__xludf.DUMMYFUNCTION("""COMPUTED_VALUE"""),3.83)</f>
        <v>3.83</v>
      </c>
      <c r="H16625" s="17"/>
      <c r="K16625" s="17"/>
      <c r="N16625" s="17"/>
    </row>
    <row r="16626">
      <c r="B16626" s="11">
        <f>IFERROR(__xludf.DUMMYFUNCTION("""COMPUTED_VALUE"""),22749.0)</f>
        <v>22749</v>
      </c>
      <c r="C16626" s="9">
        <f>IFERROR(__xludf.DUMMYFUNCTION("""COMPUTED_VALUE"""),3.85)</f>
        <v>3.85</v>
      </c>
      <c r="H16626" s="17"/>
      <c r="K16626" s="17"/>
      <c r="N16626" s="17"/>
    </row>
    <row r="16627">
      <c r="B16627" s="11">
        <f>IFERROR(__xludf.DUMMYFUNCTION("""COMPUTED_VALUE"""),22748.0)</f>
        <v>22748</v>
      </c>
      <c r="C16627" s="9">
        <f>IFERROR(__xludf.DUMMYFUNCTION("""COMPUTED_VALUE"""),3.86)</f>
        <v>3.86</v>
      </c>
      <c r="H16627" s="17"/>
      <c r="K16627" s="17"/>
      <c r="N16627" s="17"/>
    </row>
    <row r="16628">
      <c r="B16628" s="11">
        <f>IFERROR(__xludf.DUMMYFUNCTION("""COMPUTED_VALUE"""),22747.0)</f>
        <v>22747</v>
      </c>
      <c r="C16628" s="9">
        <f>IFERROR(__xludf.DUMMYFUNCTION("""COMPUTED_VALUE"""),3.87)</f>
        <v>3.87</v>
      </c>
      <c r="H16628" s="17"/>
      <c r="K16628" s="17"/>
      <c r="N16628" s="17"/>
    </row>
    <row r="16629">
      <c r="B16629" s="11">
        <f>IFERROR(__xludf.DUMMYFUNCTION("""COMPUTED_VALUE"""),22746.0)</f>
        <v>22746</v>
      </c>
      <c r="C16629" s="9">
        <f>IFERROR(__xludf.DUMMYFUNCTION("""COMPUTED_VALUE"""),3.83)</f>
        <v>3.83</v>
      </c>
      <c r="H16629" s="17"/>
      <c r="K16629" s="17"/>
      <c r="N16629" s="17"/>
    </row>
    <row r="16630">
      <c r="B16630" s="11">
        <f>IFERROR(__xludf.DUMMYFUNCTION("""COMPUTED_VALUE"""),22745.0)</f>
        <v>22745</v>
      </c>
      <c r="C16630" s="9">
        <f>IFERROR(__xludf.DUMMYFUNCTION("""COMPUTED_VALUE"""),3.83)</f>
        <v>3.83</v>
      </c>
      <c r="H16630" s="17"/>
      <c r="K16630" s="17"/>
      <c r="N16630" s="17"/>
    </row>
    <row r="16631">
      <c r="B16631" s="11">
        <f>IFERROR(__xludf.DUMMYFUNCTION("""COMPUTED_VALUE"""),22742.0)</f>
        <v>22742</v>
      </c>
      <c r="C16631" s="9">
        <f>IFERROR(__xludf.DUMMYFUNCTION("""COMPUTED_VALUE"""),3.81)</f>
        <v>3.81</v>
      </c>
      <c r="H16631" s="17"/>
      <c r="K16631" s="17"/>
      <c r="N16631" s="17"/>
    </row>
    <row r="16632">
      <c r="B16632" s="11">
        <f>IFERROR(__xludf.DUMMYFUNCTION("""COMPUTED_VALUE"""),22741.0)</f>
        <v>22741</v>
      </c>
      <c r="C16632" s="9">
        <f>IFERROR(__xludf.DUMMYFUNCTION("""COMPUTED_VALUE"""),3.84)</f>
        <v>3.84</v>
      </c>
      <c r="H16632" s="17"/>
      <c r="K16632" s="17"/>
      <c r="N16632" s="17"/>
    </row>
    <row r="16633">
      <c r="B16633" s="11">
        <f>IFERROR(__xludf.DUMMYFUNCTION("""COMPUTED_VALUE"""),22740.0)</f>
        <v>22740</v>
      </c>
      <c r="C16633" s="9">
        <f>IFERROR(__xludf.DUMMYFUNCTION("""COMPUTED_VALUE"""),3.78)</f>
        <v>3.78</v>
      </c>
      <c r="H16633" s="17"/>
      <c r="K16633" s="17"/>
      <c r="N16633" s="17"/>
    </row>
    <row r="16634">
      <c r="B16634" s="11">
        <f>IFERROR(__xludf.DUMMYFUNCTION("""COMPUTED_VALUE"""),22739.0)</f>
        <v>22739</v>
      </c>
      <c r="C16634" s="9">
        <f>IFERROR(__xludf.DUMMYFUNCTION("""COMPUTED_VALUE"""),3.83)</f>
        <v>3.83</v>
      </c>
      <c r="H16634" s="17"/>
      <c r="K16634" s="17"/>
      <c r="N16634" s="17"/>
    </row>
    <row r="16635">
      <c r="B16635" s="11">
        <f>IFERROR(__xludf.DUMMYFUNCTION("""COMPUTED_VALUE"""),22738.0)</f>
        <v>22738</v>
      </c>
      <c r="C16635" s="9">
        <f>IFERROR(__xludf.DUMMYFUNCTION("""COMPUTED_VALUE"""),3.86)</f>
        <v>3.86</v>
      </c>
      <c r="H16635" s="17"/>
      <c r="K16635" s="17"/>
      <c r="N16635" s="17"/>
    </row>
    <row r="16636">
      <c r="B16636" s="11">
        <f>IFERROR(__xludf.DUMMYFUNCTION("""COMPUTED_VALUE"""),22735.0)</f>
        <v>22735</v>
      </c>
      <c r="C16636" s="9">
        <f>IFERROR(__xludf.DUMMYFUNCTION("""COMPUTED_VALUE"""),3.86)</f>
        <v>3.86</v>
      </c>
      <c r="H16636" s="17"/>
      <c r="K16636" s="17"/>
      <c r="N16636" s="17"/>
    </row>
    <row r="16637">
      <c r="B16637" s="11">
        <f>IFERROR(__xludf.DUMMYFUNCTION("""COMPUTED_VALUE"""),22734.0)</f>
        <v>22734</v>
      </c>
      <c r="C16637" s="9">
        <f>IFERROR(__xludf.DUMMYFUNCTION("""COMPUTED_VALUE"""),3.9)</f>
        <v>3.9</v>
      </c>
      <c r="H16637" s="17"/>
      <c r="K16637" s="17"/>
      <c r="N16637" s="17"/>
    </row>
    <row r="16638">
      <c r="B16638" s="11">
        <f>IFERROR(__xludf.DUMMYFUNCTION("""COMPUTED_VALUE"""),22733.0)</f>
        <v>22733</v>
      </c>
      <c r="C16638" s="9">
        <f>IFERROR(__xludf.DUMMYFUNCTION("""COMPUTED_VALUE"""),3.9)</f>
        <v>3.9</v>
      </c>
      <c r="H16638" s="17"/>
      <c r="K16638" s="17"/>
      <c r="N16638" s="17"/>
    </row>
    <row r="16639">
      <c r="B16639" s="11">
        <f>IFERROR(__xludf.DUMMYFUNCTION("""COMPUTED_VALUE"""),22732.0)</f>
        <v>22732</v>
      </c>
      <c r="C16639" s="9">
        <f>IFERROR(__xludf.DUMMYFUNCTION("""COMPUTED_VALUE"""),3.9)</f>
        <v>3.9</v>
      </c>
      <c r="H16639" s="17"/>
      <c r="K16639" s="17"/>
      <c r="N16639" s="17"/>
    </row>
    <row r="16640">
      <c r="B16640" s="11">
        <f>IFERROR(__xludf.DUMMYFUNCTION("""COMPUTED_VALUE"""),22731.0)</f>
        <v>22731</v>
      </c>
      <c r="C16640" s="9">
        <f>IFERROR(__xludf.DUMMYFUNCTION("""COMPUTED_VALUE"""),3.89)</f>
        <v>3.89</v>
      </c>
      <c r="H16640" s="17"/>
      <c r="K16640" s="17"/>
      <c r="N16640" s="17"/>
    </row>
    <row r="16641">
      <c r="B16641" s="11">
        <f>IFERROR(__xludf.DUMMYFUNCTION("""COMPUTED_VALUE"""),22728.0)</f>
        <v>22728</v>
      </c>
      <c r="C16641" s="9">
        <f>IFERROR(__xludf.DUMMYFUNCTION("""COMPUTED_VALUE"""),3.87)</f>
        <v>3.87</v>
      </c>
      <c r="H16641" s="17"/>
      <c r="K16641" s="17"/>
      <c r="N16641" s="17"/>
    </row>
    <row r="16642">
      <c r="B16642" s="11">
        <f>IFERROR(__xludf.DUMMYFUNCTION("""COMPUTED_VALUE"""),22727.0)</f>
        <v>22727</v>
      </c>
      <c r="C16642" s="9">
        <f>IFERROR(__xludf.DUMMYFUNCTION("""COMPUTED_VALUE"""),3.83)</f>
        <v>3.83</v>
      </c>
      <c r="H16642" s="17"/>
      <c r="K16642" s="17"/>
      <c r="N16642" s="17"/>
    </row>
    <row r="16643">
      <c r="B16643" s="11">
        <f>IFERROR(__xludf.DUMMYFUNCTION("""COMPUTED_VALUE"""),22726.0)</f>
        <v>22726</v>
      </c>
      <c r="C16643" s="9">
        <f>IFERROR(__xludf.DUMMYFUNCTION("""COMPUTED_VALUE"""),3.86)</f>
        <v>3.86</v>
      </c>
      <c r="H16643" s="17"/>
      <c r="K16643" s="17"/>
      <c r="N16643" s="17"/>
    </row>
    <row r="16644">
      <c r="B16644" s="11">
        <f>IFERROR(__xludf.DUMMYFUNCTION("""COMPUTED_VALUE"""),22725.0)</f>
        <v>22725</v>
      </c>
      <c r="C16644" s="9">
        <f>IFERROR(__xludf.DUMMYFUNCTION("""COMPUTED_VALUE"""),3.91)</f>
        <v>3.91</v>
      </c>
      <c r="H16644" s="17"/>
      <c r="K16644" s="17"/>
      <c r="N16644" s="17"/>
    </row>
    <row r="16645">
      <c r="B16645" s="11">
        <f>IFERROR(__xludf.DUMMYFUNCTION("""COMPUTED_VALUE"""),22724.0)</f>
        <v>22724</v>
      </c>
      <c r="C16645" s="9">
        <f>IFERROR(__xludf.DUMMYFUNCTION("""COMPUTED_VALUE"""),3.93)</f>
        <v>3.93</v>
      </c>
      <c r="H16645" s="17"/>
      <c r="K16645" s="17"/>
      <c r="N16645" s="17"/>
    </row>
    <row r="16646">
      <c r="B16646" s="11">
        <f>IFERROR(__xludf.DUMMYFUNCTION("""COMPUTED_VALUE"""),22721.0)</f>
        <v>22721</v>
      </c>
      <c r="C16646" s="9">
        <f>IFERROR(__xludf.DUMMYFUNCTION("""COMPUTED_VALUE"""),3.96)</f>
        <v>3.96</v>
      </c>
      <c r="H16646" s="17"/>
      <c r="K16646" s="17"/>
      <c r="N16646" s="17"/>
    </row>
    <row r="16647">
      <c r="B16647" s="11">
        <f>IFERROR(__xludf.DUMMYFUNCTION("""COMPUTED_VALUE"""),22720.0)</f>
        <v>22720</v>
      </c>
      <c r="C16647" s="9">
        <f>IFERROR(__xludf.DUMMYFUNCTION("""COMPUTED_VALUE"""),3.96)</f>
        <v>3.96</v>
      </c>
      <c r="H16647" s="17"/>
      <c r="K16647" s="17"/>
      <c r="N16647" s="17"/>
    </row>
    <row r="16648">
      <c r="B16648" s="11">
        <f>IFERROR(__xludf.DUMMYFUNCTION("""COMPUTED_VALUE"""),22719.0)</f>
        <v>22719</v>
      </c>
      <c r="C16648" s="9">
        <f>IFERROR(__xludf.DUMMYFUNCTION("""COMPUTED_VALUE"""),3.93)</f>
        <v>3.93</v>
      </c>
      <c r="H16648" s="17"/>
      <c r="K16648" s="17"/>
      <c r="N16648" s="17"/>
    </row>
    <row r="16649">
      <c r="B16649" s="11">
        <f>IFERROR(__xludf.DUMMYFUNCTION("""COMPUTED_VALUE"""),22718.0)</f>
        <v>22718</v>
      </c>
      <c r="C16649" s="9">
        <f>IFERROR(__xludf.DUMMYFUNCTION("""COMPUTED_VALUE"""),3.92)</f>
        <v>3.92</v>
      </c>
      <c r="H16649" s="17"/>
      <c r="K16649" s="17"/>
      <c r="N16649" s="17"/>
    </row>
    <row r="16650">
      <c r="B16650" s="11">
        <f>IFERROR(__xludf.DUMMYFUNCTION("""COMPUTED_VALUE"""),22717.0)</f>
        <v>22717</v>
      </c>
      <c r="C16650" s="9">
        <f>IFERROR(__xludf.DUMMYFUNCTION("""COMPUTED_VALUE"""),3.94)</f>
        <v>3.94</v>
      </c>
      <c r="H16650" s="17"/>
      <c r="K16650" s="17"/>
      <c r="N16650" s="17"/>
    </row>
    <row r="16651">
      <c r="B16651" s="11">
        <f>IFERROR(__xludf.DUMMYFUNCTION("""COMPUTED_VALUE"""),22714.0)</f>
        <v>22714</v>
      </c>
      <c r="C16651" s="9">
        <f>IFERROR(__xludf.DUMMYFUNCTION("""COMPUTED_VALUE"""),3.96)</f>
        <v>3.96</v>
      </c>
      <c r="H16651" s="17"/>
      <c r="K16651" s="17"/>
      <c r="N16651" s="17"/>
    </row>
    <row r="16652">
      <c r="B16652" s="11">
        <f>IFERROR(__xludf.DUMMYFUNCTION("""COMPUTED_VALUE"""),22713.0)</f>
        <v>22713</v>
      </c>
      <c r="C16652" s="9">
        <f>IFERROR(__xludf.DUMMYFUNCTION("""COMPUTED_VALUE"""),3.98)</f>
        <v>3.98</v>
      </c>
      <c r="H16652" s="17"/>
      <c r="K16652" s="17"/>
      <c r="N16652" s="17"/>
    </row>
    <row r="16653">
      <c r="B16653" s="11">
        <f>IFERROR(__xludf.DUMMYFUNCTION("""COMPUTED_VALUE"""),22712.0)</f>
        <v>22712</v>
      </c>
      <c r="C16653" s="9">
        <f>IFERROR(__xludf.DUMMYFUNCTION("""COMPUTED_VALUE"""),4.0)</f>
        <v>4</v>
      </c>
      <c r="H16653" s="17"/>
      <c r="K16653" s="17"/>
      <c r="N16653" s="17"/>
    </row>
    <row r="16654">
      <c r="B16654" s="11">
        <f>IFERROR(__xludf.DUMMYFUNCTION("""COMPUTED_VALUE"""),22711.0)</f>
        <v>22711</v>
      </c>
      <c r="C16654" s="9">
        <f>IFERROR(__xludf.DUMMYFUNCTION("""COMPUTED_VALUE"""),4.01)</f>
        <v>4.01</v>
      </c>
      <c r="H16654" s="17"/>
      <c r="K16654" s="17"/>
      <c r="N16654" s="17"/>
    </row>
    <row r="16655">
      <c r="B16655" s="11">
        <f>IFERROR(__xludf.DUMMYFUNCTION("""COMPUTED_VALUE"""),22710.0)</f>
        <v>22710</v>
      </c>
      <c r="C16655" s="9">
        <f>IFERROR(__xludf.DUMMYFUNCTION("""COMPUTED_VALUE"""),4.0)</f>
        <v>4</v>
      </c>
      <c r="H16655" s="17"/>
      <c r="K16655" s="17"/>
      <c r="N16655" s="17"/>
    </row>
    <row r="16656">
      <c r="B16656" s="11">
        <f>IFERROR(__xludf.DUMMYFUNCTION("""COMPUTED_VALUE"""),22707.0)</f>
        <v>22707</v>
      </c>
      <c r="C16656" s="9">
        <f>IFERROR(__xludf.DUMMYFUNCTION("""COMPUTED_VALUE"""),3.98)</f>
        <v>3.98</v>
      </c>
      <c r="H16656" s="17"/>
      <c r="K16656" s="17"/>
      <c r="N16656" s="17"/>
    </row>
    <row r="16657">
      <c r="B16657" s="11">
        <f>IFERROR(__xludf.DUMMYFUNCTION("""COMPUTED_VALUE"""),22706.0)</f>
        <v>22706</v>
      </c>
      <c r="C16657" s="9">
        <f>IFERROR(__xludf.DUMMYFUNCTION("""COMPUTED_VALUE"""),3.98)</f>
        <v>3.98</v>
      </c>
      <c r="H16657" s="17"/>
      <c r="K16657" s="17"/>
      <c r="N16657" s="17"/>
    </row>
    <row r="16658">
      <c r="B16658" s="11">
        <f>IFERROR(__xludf.DUMMYFUNCTION("""COMPUTED_VALUE"""),22705.0)</f>
        <v>22705</v>
      </c>
      <c r="C16658" s="9">
        <f>IFERROR(__xludf.DUMMYFUNCTION("""COMPUTED_VALUE"""),4.0)</f>
        <v>4</v>
      </c>
      <c r="H16658" s="17"/>
      <c r="K16658" s="17"/>
      <c r="N16658" s="17"/>
    </row>
    <row r="16659">
      <c r="B16659" s="11">
        <f>IFERROR(__xludf.DUMMYFUNCTION("""COMPUTED_VALUE"""),22704.0)</f>
        <v>22704</v>
      </c>
      <c r="C16659" s="9">
        <f>IFERROR(__xludf.DUMMYFUNCTION("""COMPUTED_VALUE"""),4.01)</f>
        <v>4.01</v>
      </c>
      <c r="H16659" s="17"/>
      <c r="K16659" s="17"/>
      <c r="N16659" s="17"/>
    </row>
    <row r="16660">
      <c r="B16660" s="11">
        <f>IFERROR(__xludf.DUMMYFUNCTION("""COMPUTED_VALUE"""),22703.0)</f>
        <v>22703</v>
      </c>
      <c r="C16660" s="9">
        <f>IFERROR(__xludf.DUMMYFUNCTION("""COMPUTED_VALUE"""),4.0)</f>
        <v>4</v>
      </c>
      <c r="H16660" s="17"/>
      <c r="K16660" s="17"/>
      <c r="N16660" s="17"/>
    </row>
    <row r="16661">
      <c r="B16661" s="11">
        <f>IFERROR(__xludf.DUMMYFUNCTION("""COMPUTED_VALUE"""),22700.0)</f>
        <v>22700</v>
      </c>
      <c r="C16661" s="9">
        <f>IFERROR(__xludf.DUMMYFUNCTION("""COMPUTED_VALUE"""),4.02)</f>
        <v>4.02</v>
      </c>
      <c r="H16661" s="17"/>
      <c r="K16661" s="17"/>
      <c r="N16661" s="17"/>
    </row>
    <row r="16662">
      <c r="B16662" s="11">
        <f>IFERROR(__xludf.DUMMYFUNCTION("""COMPUTED_VALUE"""),22699.0)</f>
        <v>22699</v>
      </c>
      <c r="C16662" s="9"/>
      <c r="H16662" s="17"/>
      <c r="K16662" s="17"/>
      <c r="N16662" s="17"/>
    </row>
    <row r="16663">
      <c r="B16663" s="11">
        <f>IFERROR(__xludf.DUMMYFUNCTION("""COMPUTED_VALUE"""),22698.0)</f>
        <v>22698</v>
      </c>
      <c r="C16663" s="9">
        <f>IFERROR(__xludf.DUMMYFUNCTION("""COMPUTED_VALUE"""),4.03)</f>
        <v>4.03</v>
      </c>
      <c r="H16663" s="17"/>
      <c r="K16663" s="17"/>
      <c r="N16663" s="17"/>
    </row>
    <row r="16664">
      <c r="B16664" s="11">
        <f>IFERROR(__xludf.DUMMYFUNCTION("""COMPUTED_VALUE"""),22697.0)</f>
        <v>22697</v>
      </c>
      <c r="C16664" s="9">
        <f>IFERROR(__xludf.DUMMYFUNCTION("""COMPUTED_VALUE"""),4.05)</f>
        <v>4.05</v>
      </c>
      <c r="H16664" s="17"/>
      <c r="K16664" s="17"/>
      <c r="N16664" s="17"/>
    </row>
    <row r="16665">
      <c r="B16665" s="11">
        <f>IFERROR(__xludf.DUMMYFUNCTION("""COMPUTED_VALUE"""),22696.0)</f>
        <v>22696</v>
      </c>
      <c r="C16665" s="9">
        <f>IFERROR(__xludf.DUMMYFUNCTION("""COMPUTED_VALUE"""),4.01)</f>
        <v>4.01</v>
      </c>
      <c r="H16665" s="17"/>
      <c r="K16665" s="17"/>
      <c r="N16665" s="17"/>
    </row>
    <row r="16666">
      <c r="B16666" s="11">
        <f>IFERROR(__xludf.DUMMYFUNCTION("""COMPUTED_VALUE"""),22693.0)</f>
        <v>22693</v>
      </c>
      <c r="C16666" s="9">
        <f>IFERROR(__xludf.DUMMYFUNCTION("""COMPUTED_VALUE"""),4.02)</f>
        <v>4.02</v>
      </c>
      <c r="H16666" s="17"/>
      <c r="K16666" s="17"/>
      <c r="N16666" s="17"/>
    </row>
    <row r="16667">
      <c r="B16667" s="11">
        <f>IFERROR(__xludf.DUMMYFUNCTION("""COMPUTED_VALUE"""),22692.0)</f>
        <v>22692</v>
      </c>
      <c r="C16667" s="9">
        <f>IFERROR(__xludf.DUMMYFUNCTION("""COMPUTED_VALUE"""),4.02)</f>
        <v>4.02</v>
      </c>
      <c r="H16667" s="17"/>
      <c r="K16667" s="17"/>
      <c r="N16667" s="17"/>
    </row>
    <row r="16668">
      <c r="B16668" s="11">
        <f>IFERROR(__xludf.DUMMYFUNCTION("""COMPUTED_VALUE"""),22691.0)</f>
        <v>22691</v>
      </c>
      <c r="C16668" s="9">
        <f>IFERROR(__xludf.DUMMYFUNCTION("""COMPUTED_VALUE"""),4.03)</f>
        <v>4.03</v>
      </c>
      <c r="H16668" s="17"/>
      <c r="K16668" s="17"/>
      <c r="N16668" s="17"/>
    </row>
    <row r="16669">
      <c r="B16669" s="11">
        <f>IFERROR(__xludf.DUMMYFUNCTION("""COMPUTED_VALUE"""),22690.0)</f>
        <v>22690</v>
      </c>
      <c r="C16669" s="9">
        <f>IFERROR(__xludf.DUMMYFUNCTION("""COMPUTED_VALUE"""),4.03)</f>
        <v>4.03</v>
      </c>
      <c r="H16669" s="17"/>
      <c r="K16669" s="17"/>
      <c r="N16669" s="17"/>
    </row>
    <row r="16670">
      <c r="B16670" s="11">
        <f>IFERROR(__xludf.DUMMYFUNCTION("""COMPUTED_VALUE"""),22689.0)</f>
        <v>22689</v>
      </c>
      <c r="C16670" s="9"/>
      <c r="H16670" s="17"/>
      <c r="K16670" s="17"/>
      <c r="N16670" s="17"/>
    </row>
    <row r="16671">
      <c r="B16671" s="11">
        <f>IFERROR(__xludf.DUMMYFUNCTION("""COMPUTED_VALUE"""),22686.0)</f>
        <v>22686</v>
      </c>
      <c r="C16671" s="9">
        <f>IFERROR(__xludf.DUMMYFUNCTION("""COMPUTED_VALUE"""),4.05)</f>
        <v>4.05</v>
      </c>
      <c r="H16671" s="17"/>
      <c r="K16671" s="17"/>
      <c r="N16671" s="17"/>
    </row>
    <row r="16672">
      <c r="B16672" s="11">
        <f>IFERROR(__xludf.DUMMYFUNCTION("""COMPUTED_VALUE"""),22685.0)</f>
        <v>22685</v>
      </c>
      <c r="C16672" s="9">
        <f>IFERROR(__xludf.DUMMYFUNCTION("""COMPUTED_VALUE"""),4.07)</f>
        <v>4.07</v>
      </c>
      <c r="H16672" s="17"/>
      <c r="K16672" s="17"/>
      <c r="N16672" s="17"/>
    </row>
    <row r="16673">
      <c r="B16673" s="11">
        <f>IFERROR(__xludf.DUMMYFUNCTION("""COMPUTED_VALUE"""),22684.0)</f>
        <v>22684</v>
      </c>
      <c r="C16673" s="9">
        <f>IFERROR(__xludf.DUMMYFUNCTION("""COMPUTED_VALUE"""),4.07)</f>
        <v>4.07</v>
      </c>
      <c r="H16673" s="17"/>
      <c r="K16673" s="17"/>
      <c r="N16673" s="17"/>
    </row>
    <row r="16674">
      <c r="B16674" s="11">
        <f>IFERROR(__xludf.DUMMYFUNCTION("""COMPUTED_VALUE"""),22683.0)</f>
        <v>22683</v>
      </c>
      <c r="C16674" s="9">
        <f>IFERROR(__xludf.DUMMYFUNCTION("""COMPUTED_VALUE"""),4.06)</f>
        <v>4.06</v>
      </c>
      <c r="H16674" s="17"/>
      <c r="K16674" s="17"/>
      <c r="N16674" s="17"/>
    </row>
    <row r="16675">
      <c r="B16675" s="11">
        <f>IFERROR(__xludf.DUMMYFUNCTION("""COMPUTED_VALUE"""),22682.0)</f>
        <v>22682</v>
      </c>
      <c r="C16675" s="9">
        <f>IFERROR(__xludf.DUMMYFUNCTION("""COMPUTED_VALUE"""),4.07)</f>
        <v>4.07</v>
      </c>
      <c r="H16675" s="17"/>
      <c r="K16675" s="17"/>
      <c r="N16675" s="17"/>
    </row>
    <row r="16676">
      <c r="B16676" s="11">
        <f>IFERROR(__xludf.DUMMYFUNCTION("""COMPUTED_VALUE"""),22679.0)</f>
        <v>22679</v>
      </c>
      <c r="C16676" s="9">
        <f>IFERROR(__xludf.DUMMYFUNCTION("""COMPUTED_VALUE"""),4.08)</f>
        <v>4.08</v>
      </c>
      <c r="H16676" s="17"/>
      <c r="K16676" s="17"/>
      <c r="N16676" s="17"/>
    </row>
    <row r="16677">
      <c r="B16677" s="11">
        <f>IFERROR(__xludf.DUMMYFUNCTION("""COMPUTED_VALUE"""),22678.0)</f>
        <v>22678</v>
      </c>
      <c r="C16677" s="9">
        <f>IFERROR(__xludf.DUMMYFUNCTION("""COMPUTED_VALUE"""),4.09)</f>
        <v>4.09</v>
      </c>
      <c r="H16677" s="17"/>
      <c r="K16677" s="17"/>
      <c r="N16677" s="17"/>
    </row>
    <row r="16678">
      <c r="B16678" s="11">
        <f>IFERROR(__xludf.DUMMYFUNCTION("""COMPUTED_VALUE"""),22677.0)</f>
        <v>22677</v>
      </c>
      <c r="C16678" s="9">
        <f>IFERROR(__xludf.DUMMYFUNCTION("""COMPUTED_VALUE"""),4.1)</f>
        <v>4.1</v>
      </c>
      <c r="H16678" s="17"/>
      <c r="K16678" s="17"/>
      <c r="N16678" s="17"/>
    </row>
    <row r="16679">
      <c r="B16679" s="11">
        <f>IFERROR(__xludf.DUMMYFUNCTION("""COMPUTED_VALUE"""),22676.0)</f>
        <v>22676</v>
      </c>
      <c r="C16679" s="9">
        <f>IFERROR(__xludf.DUMMYFUNCTION("""COMPUTED_VALUE"""),4.11)</f>
        <v>4.11</v>
      </c>
      <c r="H16679" s="17"/>
      <c r="K16679" s="17"/>
      <c r="N16679" s="17"/>
    </row>
    <row r="16680">
      <c r="B16680" s="11">
        <f>IFERROR(__xludf.DUMMYFUNCTION("""COMPUTED_VALUE"""),22675.0)</f>
        <v>22675</v>
      </c>
      <c r="C16680" s="9">
        <f>IFERROR(__xludf.DUMMYFUNCTION("""COMPUTED_VALUE"""),4.12)</f>
        <v>4.12</v>
      </c>
      <c r="H16680" s="17"/>
      <c r="K16680" s="17"/>
      <c r="N16680" s="17"/>
    </row>
    <row r="16681">
      <c r="B16681" s="11">
        <f>IFERROR(__xludf.DUMMYFUNCTION("""COMPUTED_VALUE"""),22672.0)</f>
        <v>22672</v>
      </c>
      <c r="C16681" s="9">
        <f>IFERROR(__xludf.DUMMYFUNCTION("""COMPUTED_VALUE"""),4.11)</f>
        <v>4.11</v>
      </c>
      <c r="H16681" s="17"/>
      <c r="K16681" s="17"/>
      <c r="N16681" s="17"/>
    </row>
    <row r="16682">
      <c r="B16682" s="11">
        <f>IFERROR(__xludf.DUMMYFUNCTION("""COMPUTED_VALUE"""),22671.0)</f>
        <v>22671</v>
      </c>
      <c r="C16682" s="9">
        <f>IFERROR(__xludf.DUMMYFUNCTION("""COMPUTED_VALUE"""),4.11)</f>
        <v>4.11</v>
      </c>
      <c r="H16682" s="17"/>
      <c r="K16682" s="17"/>
      <c r="N16682" s="17"/>
    </row>
    <row r="16683">
      <c r="B16683" s="11">
        <f>IFERROR(__xludf.DUMMYFUNCTION("""COMPUTED_VALUE"""),22670.0)</f>
        <v>22670</v>
      </c>
      <c r="C16683" s="9">
        <f>IFERROR(__xludf.DUMMYFUNCTION("""COMPUTED_VALUE"""),4.1)</f>
        <v>4.1</v>
      </c>
      <c r="H16683" s="17"/>
      <c r="K16683" s="17"/>
      <c r="N16683" s="17"/>
    </row>
    <row r="16684">
      <c r="B16684" s="11">
        <f>IFERROR(__xludf.DUMMYFUNCTION("""COMPUTED_VALUE"""),22669.0)</f>
        <v>22669</v>
      </c>
      <c r="C16684" s="9">
        <f>IFERROR(__xludf.DUMMYFUNCTION("""COMPUTED_VALUE"""),4.11)</f>
        <v>4.11</v>
      </c>
      <c r="H16684" s="17"/>
      <c r="K16684" s="17"/>
      <c r="N16684" s="17"/>
    </row>
    <row r="16685">
      <c r="B16685" s="11">
        <f>IFERROR(__xludf.DUMMYFUNCTION("""COMPUTED_VALUE"""),22668.0)</f>
        <v>22668</v>
      </c>
      <c r="C16685" s="9">
        <f>IFERROR(__xludf.DUMMYFUNCTION("""COMPUTED_VALUE"""),4.09)</f>
        <v>4.09</v>
      </c>
      <c r="H16685" s="17"/>
      <c r="K16685" s="17"/>
      <c r="N16685" s="17"/>
    </row>
    <row r="16686">
      <c r="B16686" s="11">
        <f>IFERROR(__xludf.DUMMYFUNCTION("""COMPUTED_VALUE"""),22665.0)</f>
        <v>22665</v>
      </c>
      <c r="C16686" s="9">
        <f>IFERROR(__xludf.DUMMYFUNCTION("""COMPUTED_VALUE"""),4.11)</f>
        <v>4.11</v>
      </c>
      <c r="H16686" s="17"/>
      <c r="K16686" s="17"/>
      <c r="N16686" s="17"/>
    </row>
    <row r="16687">
      <c r="B16687" s="11">
        <f>IFERROR(__xludf.DUMMYFUNCTION("""COMPUTED_VALUE"""),22664.0)</f>
        <v>22664</v>
      </c>
      <c r="C16687" s="9">
        <f>IFERROR(__xludf.DUMMYFUNCTION("""COMPUTED_VALUE"""),4.11)</f>
        <v>4.11</v>
      </c>
      <c r="H16687" s="17"/>
      <c r="K16687" s="17"/>
      <c r="N16687" s="17"/>
    </row>
    <row r="16688">
      <c r="B16688" s="11">
        <f>IFERROR(__xludf.DUMMYFUNCTION("""COMPUTED_VALUE"""),22663.0)</f>
        <v>22663</v>
      </c>
      <c r="C16688" s="9">
        <f>IFERROR(__xludf.DUMMYFUNCTION("""COMPUTED_VALUE"""),4.12)</f>
        <v>4.12</v>
      </c>
      <c r="H16688" s="17"/>
      <c r="K16688" s="17"/>
      <c r="N16688" s="17"/>
    </row>
    <row r="16689">
      <c r="B16689" s="11">
        <f>IFERROR(__xludf.DUMMYFUNCTION("""COMPUTED_VALUE"""),22662.0)</f>
        <v>22662</v>
      </c>
      <c r="C16689" s="9">
        <f>IFERROR(__xludf.DUMMYFUNCTION("""COMPUTED_VALUE"""),4.13)</f>
        <v>4.13</v>
      </c>
      <c r="H16689" s="17"/>
      <c r="K16689" s="17"/>
      <c r="N16689" s="17"/>
    </row>
    <row r="16690">
      <c r="B16690" s="11">
        <f>IFERROR(__xludf.DUMMYFUNCTION("""COMPUTED_VALUE"""),22661.0)</f>
        <v>22661</v>
      </c>
      <c r="C16690" s="9">
        <f>IFERROR(__xludf.DUMMYFUNCTION("""COMPUTED_VALUE"""),4.1)</f>
        <v>4.1</v>
      </c>
      <c r="H16690" s="17"/>
      <c r="K16690" s="17"/>
      <c r="N16690" s="17"/>
    </row>
    <row r="16691">
      <c r="B16691" s="11">
        <f>IFERROR(__xludf.DUMMYFUNCTION("""COMPUTED_VALUE"""),22658.0)</f>
        <v>22658</v>
      </c>
      <c r="C16691" s="9">
        <f>IFERROR(__xludf.DUMMYFUNCTION("""COMPUTED_VALUE"""),4.08)</f>
        <v>4.08</v>
      </c>
      <c r="H16691" s="17"/>
      <c r="K16691" s="17"/>
      <c r="N16691" s="17"/>
    </row>
    <row r="16692">
      <c r="B16692" s="11">
        <f>IFERROR(__xludf.DUMMYFUNCTION("""COMPUTED_VALUE"""),22657.0)</f>
        <v>22657</v>
      </c>
      <c r="C16692" s="9">
        <f>IFERROR(__xludf.DUMMYFUNCTION("""COMPUTED_VALUE"""),4.08)</f>
        <v>4.08</v>
      </c>
      <c r="H16692" s="17"/>
      <c r="K16692" s="17"/>
      <c r="N16692" s="17"/>
    </row>
    <row r="16693">
      <c r="B16693" s="11">
        <f>IFERROR(__xludf.DUMMYFUNCTION("""COMPUTED_VALUE"""),22656.0)</f>
        <v>22656</v>
      </c>
      <c r="C16693" s="9">
        <f>IFERROR(__xludf.DUMMYFUNCTION("""COMPUTED_VALUE"""),4.07)</f>
        <v>4.07</v>
      </c>
      <c r="H16693" s="17"/>
      <c r="K16693" s="17"/>
      <c r="N16693" s="17"/>
    </row>
    <row r="16694">
      <c r="B16694" s="11">
        <f>IFERROR(__xludf.DUMMYFUNCTION("""COMPUTED_VALUE"""),22655.0)</f>
        <v>22655</v>
      </c>
      <c r="C16694" s="9">
        <f>IFERROR(__xludf.DUMMYFUNCTION("""COMPUTED_VALUE"""),4.05)</f>
        <v>4.05</v>
      </c>
      <c r="H16694" s="17"/>
      <c r="K16694" s="17"/>
      <c r="N16694" s="17"/>
    </row>
    <row r="16695">
      <c r="B16695" s="11">
        <f>IFERROR(__xludf.DUMMYFUNCTION("""COMPUTED_VALUE"""),22654.0)</f>
        <v>22654</v>
      </c>
      <c r="C16695" s="9">
        <f>IFERROR(__xludf.DUMMYFUNCTION("""COMPUTED_VALUE"""),4.03)</f>
        <v>4.03</v>
      </c>
      <c r="H16695" s="17"/>
      <c r="K16695" s="17"/>
      <c r="N16695" s="17"/>
    </row>
    <row r="16696">
      <c r="B16696" s="11">
        <f>IFERROR(__xludf.DUMMYFUNCTION("""COMPUTED_VALUE"""),22651.0)</f>
        <v>22651</v>
      </c>
      <c r="C16696" s="9">
        <f>IFERROR(__xludf.DUMMYFUNCTION("""COMPUTED_VALUE"""),4.02)</f>
        <v>4.02</v>
      </c>
      <c r="H16696" s="17"/>
      <c r="K16696" s="17"/>
      <c r="N16696" s="17"/>
    </row>
    <row r="16697">
      <c r="B16697" s="11">
        <f>IFERROR(__xludf.DUMMYFUNCTION("""COMPUTED_VALUE"""),22650.0)</f>
        <v>22650</v>
      </c>
      <c r="C16697" s="9">
        <f>IFERROR(__xludf.DUMMYFUNCTION("""COMPUTED_VALUE"""),3.99)</f>
        <v>3.99</v>
      </c>
      <c r="H16697" s="17"/>
      <c r="K16697" s="17"/>
      <c r="N16697" s="17"/>
    </row>
    <row r="16698">
      <c r="B16698" s="11">
        <f>IFERROR(__xludf.DUMMYFUNCTION("""COMPUTED_VALUE"""),22649.0)</f>
        <v>22649</v>
      </c>
      <c r="C16698" s="9">
        <f>IFERROR(__xludf.DUMMYFUNCTION("""COMPUTED_VALUE"""),4.03)</f>
        <v>4.03</v>
      </c>
      <c r="H16698" s="17"/>
      <c r="K16698" s="17"/>
      <c r="N16698" s="17"/>
    </row>
    <row r="16699">
      <c r="B16699" s="11">
        <f>IFERROR(__xludf.DUMMYFUNCTION("""COMPUTED_VALUE"""),22648.0)</f>
        <v>22648</v>
      </c>
      <c r="C16699" s="9">
        <f>IFERROR(__xludf.DUMMYFUNCTION("""COMPUTED_VALUE"""),4.06)</f>
        <v>4.06</v>
      </c>
      <c r="H16699" s="17"/>
      <c r="K16699" s="17"/>
      <c r="N16699" s="17"/>
    </row>
    <row r="16700">
      <c r="B16700" s="11"/>
      <c r="H16700" s="17"/>
      <c r="K16700" s="17"/>
      <c r="N16700" s="17"/>
    </row>
    <row r="16701">
      <c r="B16701" s="11"/>
      <c r="H16701" s="17"/>
      <c r="K16701" s="17"/>
      <c r="N16701" s="17"/>
    </row>
    <row r="16702">
      <c r="B16702" s="11"/>
      <c r="H16702" s="17"/>
      <c r="K16702" s="17"/>
      <c r="N16702" s="17"/>
    </row>
    <row r="16703">
      <c r="B16703" s="11"/>
      <c r="H16703" s="17"/>
      <c r="K16703" s="17"/>
      <c r="N16703" s="17"/>
    </row>
    <row r="16704">
      <c r="B16704" s="11"/>
      <c r="H16704" s="17"/>
      <c r="K16704" s="17"/>
      <c r="N16704" s="17"/>
    </row>
    <row r="16705">
      <c r="B16705" s="11"/>
      <c r="H16705" s="17"/>
      <c r="K16705" s="17"/>
      <c r="N16705" s="17"/>
    </row>
    <row r="16706">
      <c r="B16706" s="11"/>
      <c r="H16706" s="17"/>
      <c r="K16706" s="17"/>
      <c r="N16706" s="17"/>
    </row>
    <row r="16707">
      <c r="B16707" s="11"/>
      <c r="H16707" s="17"/>
      <c r="K16707" s="17"/>
      <c r="N16707" s="17"/>
    </row>
    <row r="16708">
      <c r="B16708" s="11"/>
      <c r="H16708" s="17"/>
      <c r="K16708" s="17"/>
      <c r="N16708" s="17"/>
    </row>
    <row r="16709">
      <c r="B16709" s="11"/>
      <c r="H16709" s="17"/>
      <c r="K16709" s="17"/>
      <c r="N16709" s="17"/>
    </row>
    <row r="16710">
      <c r="B16710" s="11"/>
      <c r="H16710" s="17"/>
      <c r="K16710" s="17"/>
      <c r="N16710" s="17"/>
    </row>
    <row r="16711">
      <c r="B16711" s="11"/>
      <c r="H16711" s="17"/>
      <c r="K16711" s="17"/>
      <c r="N16711" s="17"/>
    </row>
    <row r="16712">
      <c r="B16712" s="11"/>
      <c r="H16712" s="17"/>
      <c r="K16712" s="17"/>
      <c r="N16712" s="17"/>
    </row>
    <row r="16713">
      <c r="B16713" s="11"/>
      <c r="H16713" s="17"/>
      <c r="K16713" s="17"/>
      <c r="N16713" s="17"/>
    </row>
    <row r="16714">
      <c r="B16714" s="11"/>
      <c r="H16714" s="17"/>
      <c r="K16714" s="17"/>
      <c r="N16714" s="17"/>
    </row>
    <row r="16715">
      <c r="B16715" s="11"/>
      <c r="H16715" s="17"/>
      <c r="K16715" s="17"/>
      <c r="N16715" s="17"/>
    </row>
    <row r="16716">
      <c r="B16716" s="11"/>
      <c r="H16716" s="17"/>
      <c r="K16716" s="17"/>
      <c r="N16716" s="17"/>
    </row>
    <row r="16717">
      <c r="B16717" s="11"/>
      <c r="H16717" s="17"/>
      <c r="K16717" s="17"/>
      <c r="N16717" s="17"/>
    </row>
    <row r="16718">
      <c r="B16718" s="11"/>
      <c r="H16718" s="17"/>
      <c r="K16718" s="17"/>
      <c r="N16718" s="17"/>
    </row>
    <row r="16719">
      <c r="B16719" s="11"/>
      <c r="H16719" s="17"/>
      <c r="K16719" s="17"/>
      <c r="N16719" s="17"/>
    </row>
    <row r="16720">
      <c r="B16720" s="11"/>
      <c r="H16720" s="17"/>
      <c r="K16720" s="17"/>
      <c r="N16720" s="17"/>
    </row>
    <row r="16721">
      <c r="B16721" s="11"/>
      <c r="H16721" s="17"/>
      <c r="K16721" s="17"/>
      <c r="N16721" s="17"/>
    </row>
    <row r="16722">
      <c r="B16722" s="11"/>
      <c r="H16722" s="17"/>
      <c r="K16722" s="17"/>
      <c r="N16722" s="17"/>
    </row>
    <row r="16723">
      <c r="B16723" s="11"/>
      <c r="H16723" s="17"/>
      <c r="K16723" s="17"/>
      <c r="N16723" s="17"/>
    </row>
    <row r="16724">
      <c r="B16724" s="11"/>
      <c r="H16724" s="17"/>
      <c r="K16724" s="17"/>
      <c r="N16724" s="17"/>
    </row>
    <row r="16725">
      <c r="B16725" s="11"/>
      <c r="H16725" s="17"/>
      <c r="K16725" s="17"/>
      <c r="N16725" s="17"/>
    </row>
    <row r="16726">
      <c r="B16726" s="11"/>
      <c r="H16726" s="17"/>
      <c r="K16726" s="17"/>
      <c r="N16726" s="17"/>
    </row>
    <row r="16727">
      <c r="B16727" s="11"/>
      <c r="H16727" s="17"/>
      <c r="K16727" s="17"/>
      <c r="N16727" s="17"/>
    </row>
    <row r="16728">
      <c r="B16728" s="11"/>
      <c r="H16728" s="17"/>
      <c r="K16728" s="17"/>
      <c r="N16728" s="17"/>
    </row>
    <row r="16729">
      <c r="B16729" s="11"/>
      <c r="H16729" s="17"/>
      <c r="K16729" s="17"/>
      <c r="N16729" s="17"/>
    </row>
    <row r="16730">
      <c r="B16730" s="11"/>
      <c r="H16730" s="17"/>
      <c r="K16730" s="17"/>
      <c r="N16730" s="17"/>
    </row>
    <row r="16731">
      <c r="B16731" s="11"/>
      <c r="H16731" s="17"/>
      <c r="K16731" s="17"/>
      <c r="N16731" s="17"/>
    </row>
    <row r="16732">
      <c r="B16732" s="11"/>
      <c r="H16732" s="17"/>
      <c r="K16732" s="17"/>
      <c r="N16732" s="17"/>
    </row>
    <row r="16733">
      <c r="B16733" s="11"/>
      <c r="H16733" s="17"/>
      <c r="K16733" s="17"/>
      <c r="N16733" s="17"/>
    </row>
    <row r="16734">
      <c r="B16734" s="11"/>
      <c r="H16734" s="17"/>
      <c r="K16734" s="17"/>
      <c r="N16734" s="17"/>
    </row>
    <row r="16735">
      <c r="B16735" s="11"/>
      <c r="H16735" s="17"/>
      <c r="K16735" s="17"/>
      <c r="N16735" s="17"/>
    </row>
    <row r="16736">
      <c r="B16736" s="11"/>
      <c r="H16736" s="17"/>
      <c r="K16736" s="17"/>
      <c r="N16736" s="17"/>
    </row>
    <row r="16737">
      <c r="B16737" s="11"/>
      <c r="H16737" s="17"/>
      <c r="K16737" s="17"/>
      <c r="N16737" s="17"/>
    </row>
    <row r="16738">
      <c r="B16738" s="11"/>
      <c r="H16738" s="17"/>
      <c r="K16738" s="17"/>
      <c r="N16738" s="17"/>
    </row>
    <row r="16739">
      <c r="B16739" s="11"/>
      <c r="H16739" s="17"/>
      <c r="K16739" s="17"/>
      <c r="N16739" s="17"/>
    </row>
    <row r="16740">
      <c r="B16740" s="11"/>
      <c r="H16740" s="17"/>
      <c r="K16740" s="17"/>
      <c r="N16740" s="17"/>
    </row>
    <row r="16741">
      <c r="B16741" s="11"/>
      <c r="H16741" s="17"/>
      <c r="K16741" s="17"/>
      <c r="N16741" s="17"/>
    </row>
    <row r="16742">
      <c r="B16742" s="11"/>
      <c r="H16742" s="17"/>
      <c r="K16742" s="17"/>
      <c r="N16742" s="17"/>
    </row>
    <row r="16743">
      <c r="B16743" s="11"/>
      <c r="H16743" s="17"/>
      <c r="K16743" s="17"/>
      <c r="N16743" s="17"/>
    </row>
    <row r="16744">
      <c r="B16744" s="11"/>
      <c r="H16744" s="17"/>
      <c r="K16744" s="17"/>
      <c r="N16744" s="17"/>
    </row>
    <row r="16745">
      <c r="B16745" s="11"/>
      <c r="H16745" s="17"/>
      <c r="K16745" s="17"/>
      <c r="N16745" s="17"/>
    </row>
    <row r="16746">
      <c r="B16746" s="11"/>
      <c r="H16746" s="17"/>
      <c r="K16746" s="17"/>
      <c r="N16746" s="17"/>
    </row>
    <row r="16747">
      <c r="B16747" s="11"/>
      <c r="H16747" s="17"/>
      <c r="K16747" s="17"/>
      <c r="N16747" s="17"/>
    </row>
    <row r="16748">
      <c r="B16748" s="11"/>
      <c r="H16748" s="17"/>
      <c r="K16748" s="17"/>
      <c r="N16748" s="17"/>
    </row>
    <row r="16749">
      <c r="B16749" s="11"/>
      <c r="H16749" s="17"/>
      <c r="K16749" s="17"/>
      <c r="N16749" s="17"/>
    </row>
    <row r="16750">
      <c r="B16750" s="11"/>
      <c r="H16750" s="17"/>
      <c r="K16750" s="17"/>
      <c r="N16750" s="17"/>
    </row>
    <row r="16751">
      <c r="B16751" s="11"/>
      <c r="H16751" s="17"/>
      <c r="K16751" s="17"/>
      <c r="N16751" s="17"/>
    </row>
    <row r="16752">
      <c r="B16752" s="11"/>
      <c r="H16752" s="17"/>
      <c r="K16752" s="17"/>
      <c r="N16752" s="17"/>
    </row>
    <row r="16753">
      <c r="B16753" s="11"/>
      <c r="H16753" s="17"/>
      <c r="K16753" s="17"/>
      <c r="N16753" s="17"/>
    </row>
    <row r="16754">
      <c r="B16754" s="11"/>
      <c r="H16754" s="17"/>
      <c r="K16754" s="17"/>
      <c r="N16754" s="17"/>
    </row>
    <row r="16755">
      <c r="B16755" s="11"/>
      <c r="H16755" s="17"/>
      <c r="K16755" s="17"/>
      <c r="N16755" s="17"/>
    </row>
    <row r="16756">
      <c r="B16756" s="11"/>
      <c r="H16756" s="17"/>
      <c r="K16756" s="17"/>
      <c r="N16756" s="17"/>
    </row>
    <row r="16757">
      <c r="B16757" s="11"/>
      <c r="H16757" s="17"/>
      <c r="K16757" s="17"/>
      <c r="N16757" s="17"/>
    </row>
    <row r="16758">
      <c r="B16758" s="11"/>
      <c r="H16758" s="17"/>
      <c r="K16758" s="17"/>
      <c r="N16758" s="17"/>
    </row>
    <row r="16759">
      <c r="B16759" s="11"/>
      <c r="H16759" s="17"/>
      <c r="K16759" s="17"/>
      <c r="N16759" s="17"/>
    </row>
    <row r="16760">
      <c r="B16760" s="11"/>
      <c r="H16760" s="17"/>
      <c r="K16760" s="17"/>
      <c r="N16760" s="17"/>
    </row>
    <row r="16761">
      <c r="B16761" s="11"/>
      <c r="H16761" s="17"/>
      <c r="K16761" s="17"/>
      <c r="N16761" s="17"/>
    </row>
    <row r="16762">
      <c r="B16762" s="11"/>
      <c r="H16762" s="17"/>
      <c r="K16762" s="17"/>
      <c r="N16762" s="17"/>
    </row>
    <row r="16763">
      <c r="B16763" s="11"/>
      <c r="H16763" s="17"/>
      <c r="K16763" s="17"/>
      <c r="N16763" s="17"/>
    </row>
    <row r="16764">
      <c r="B16764" s="11"/>
      <c r="H16764" s="17"/>
      <c r="K16764" s="17"/>
      <c r="N16764" s="17"/>
    </row>
    <row r="16765">
      <c r="B16765" s="11"/>
      <c r="H16765" s="17"/>
      <c r="K16765" s="17"/>
      <c r="N16765" s="17"/>
    </row>
    <row r="16766">
      <c r="B16766" s="11"/>
      <c r="H16766" s="17"/>
      <c r="K16766" s="17"/>
      <c r="N16766" s="17"/>
    </row>
    <row r="16767">
      <c r="B16767" s="11"/>
      <c r="H16767" s="17"/>
      <c r="K16767" s="17"/>
      <c r="N16767" s="17"/>
    </row>
    <row r="16768">
      <c r="B16768" s="11"/>
      <c r="H16768" s="17"/>
      <c r="K16768" s="17"/>
      <c r="N16768" s="17"/>
    </row>
    <row r="16769">
      <c r="B16769" s="11"/>
      <c r="H16769" s="17"/>
      <c r="K16769" s="17"/>
      <c r="N16769" s="17"/>
    </row>
    <row r="16770">
      <c r="B16770" s="11"/>
      <c r="H16770" s="17"/>
      <c r="K16770" s="17"/>
      <c r="N16770" s="17"/>
    </row>
    <row r="16771">
      <c r="B16771" s="11"/>
      <c r="H16771" s="17"/>
      <c r="K16771" s="17"/>
      <c r="N16771" s="17"/>
    </row>
    <row r="16772">
      <c r="B16772" s="11"/>
      <c r="H16772" s="17"/>
      <c r="K16772" s="17"/>
      <c r="N16772" s="17"/>
    </row>
    <row r="16773">
      <c r="B16773" s="11"/>
      <c r="H16773" s="17"/>
      <c r="K16773" s="17"/>
      <c r="N16773" s="17"/>
    </row>
    <row r="16774">
      <c r="B16774" s="11"/>
      <c r="H16774" s="17"/>
      <c r="K16774" s="17"/>
      <c r="N16774" s="17"/>
    </row>
    <row r="16775">
      <c r="B16775" s="11"/>
      <c r="H16775" s="17"/>
      <c r="K16775" s="17"/>
      <c r="N16775" s="17"/>
    </row>
    <row r="16776">
      <c r="B16776" s="11"/>
      <c r="H16776" s="17"/>
      <c r="K16776" s="17"/>
      <c r="N16776" s="17"/>
    </row>
    <row r="16777">
      <c r="B16777" s="11"/>
      <c r="H16777" s="17"/>
      <c r="K16777" s="17"/>
      <c r="N16777" s="17"/>
    </row>
    <row r="16778">
      <c r="B16778" s="11"/>
      <c r="H16778" s="17"/>
      <c r="K16778" s="17"/>
      <c r="N16778" s="17"/>
    </row>
    <row r="16779">
      <c r="B16779" s="11"/>
      <c r="H16779" s="17"/>
      <c r="K16779" s="17"/>
      <c r="N16779" s="17"/>
    </row>
    <row r="16780">
      <c r="B16780" s="11"/>
      <c r="H16780" s="17"/>
      <c r="K16780" s="17"/>
      <c r="N16780" s="17"/>
    </row>
    <row r="16781">
      <c r="B16781" s="11"/>
      <c r="H16781" s="17"/>
      <c r="K16781" s="17"/>
      <c r="N16781" s="17"/>
    </row>
    <row r="16782">
      <c r="B16782" s="11"/>
      <c r="H16782" s="17"/>
      <c r="K16782" s="17"/>
      <c r="N16782" s="17"/>
    </row>
    <row r="16783">
      <c r="B16783" s="11"/>
      <c r="H16783" s="17"/>
      <c r="K16783" s="17"/>
      <c r="N16783" s="17"/>
    </row>
    <row r="16784">
      <c r="B16784" s="11"/>
      <c r="H16784" s="17"/>
      <c r="K16784" s="17"/>
      <c r="N16784" s="17"/>
    </row>
    <row r="16785">
      <c r="B16785" s="11"/>
      <c r="H16785" s="17"/>
      <c r="K16785" s="17"/>
      <c r="N16785" s="17"/>
    </row>
    <row r="16786">
      <c r="B16786" s="11"/>
      <c r="H16786" s="17"/>
      <c r="K16786" s="17"/>
      <c r="N16786" s="17"/>
    </row>
    <row r="16787">
      <c r="B16787" s="11"/>
      <c r="H16787" s="17"/>
      <c r="K16787" s="17"/>
      <c r="N16787" s="17"/>
    </row>
    <row r="16788">
      <c r="B16788" s="11"/>
      <c r="H16788" s="17"/>
      <c r="K16788" s="17"/>
      <c r="N16788" s="17"/>
    </row>
    <row r="16789">
      <c r="B16789" s="11"/>
      <c r="H16789" s="17"/>
      <c r="K16789" s="17"/>
      <c r="N16789" s="17"/>
    </row>
    <row r="16790">
      <c r="B16790" s="11"/>
      <c r="H16790" s="17"/>
      <c r="K16790" s="17"/>
      <c r="N16790" s="17"/>
    </row>
    <row r="16791">
      <c r="B16791" s="11"/>
      <c r="H16791" s="17"/>
      <c r="K16791" s="17"/>
      <c r="N16791" s="17"/>
    </row>
    <row r="16792">
      <c r="B16792" s="11"/>
      <c r="H16792" s="17"/>
      <c r="K16792" s="17"/>
      <c r="N16792" s="17"/>
    </row>
    <row r="16793">
      <c r="B16793" s="11"/>
      <c r="H16793" s="17"/>
      <c r="K16793" s="17"/>
      <c r="N16793" s="17"/>
    </row>
    <row r="16794">
      <c r="B16794" s="11"/>
      <c r="H16794" s="17"/>
      <c r="K16794" s="17"/>
      <c r="N16794" s="17"/>
    </row>
    <row r="16795">
      <c r="B16795" s="11"/>
      <c r="H16795" s="17"/>
      <c r="K16795" s="17"/>
      <c r="N16795" s="17"/>
    </row>
    <row r="16796">
      <c r="B16796" s="11"/>
      <c r="H16796" s="17"/>
      <c r="K16796" s="17"/>
      <c r="N16796" s="17"/>
    </row>
    <row r="16797">
      <c r="B16797" s="11"/>
      <c r="H16797" s="17"/>
      <c r="K16797" s="17"/>
      <c r="N16797" s="17"/>
    </row>
    <row r="16798">
      <c r="B16798" s="11"/>
      <c r="H16798" s="17"/>
      <c r="K16798" s="17"/>
      <c r="N16798" s="17"/>
    </row>
    <row r="16799">
      <c r="B16799" s="11"/>
      <c r="H16799" s="17"/>
      <c r="K16799" s="17"/>
      <c r="N16799" s="17"/>
    </row>
    <row r="16800">
      <c r="B16800" s="11"/>
      <c r="H16800" s="17"/>
      <c r="K16800" s="17"/>
      <c r="N16800" s="17"/>
    </row>
    <row r="16801">
      <c r="B16801" s="11"/>
      <c r="H16801" s="17"/>
      <c r="K16801" s="17"/>
      <c r="N16801" s="17"/>
    </row>
    <row r="16802">
      <c r="B16802" s="11"/>
      <c r="H16802" s="17"/>
      <c r="K16802" s="17"/>
      <c r="N16802" s="17"/>
    </row>
    <row r="16803">
      <c r="B16803" s="11"/>
      <c r="H16803" s="17"/>
      <c r="K16803" s="17"/>
      <c r="N16803" s="17"/>
    </row>
    <row r="16804">
      <c r="B16804" s="11"/>
      <c r="H16804" s="17"/>
      <c r="K16804" s="17"/>
      <c r="N16804" s="17"/>
    </row>
    <row r="16805">
      <c r="B16805" s="11"/>
      <c r="H16805" s="17"/>
      <c r="K16805" s="17"/>
      <c r="N16805" s="17"/>
    </row>
    <row r="16806">
      <c r="B16806" s="11"/>
      <c r="H16806" s="17"/>
      <c r="K16806" s="17"/>
      <c r="N16806" s="17"/>
    </row>
    <row r="16807">
      <c r="B16807" s="11"/>
      <c r="H16807" s="17"/>
      <c r="K16807" s="17"/>
      <c r="N16807" s="17"/>
    </row>
    <row r="16808">
      <c r="B16808" s="11"/>
      <c r="H16808" s="17"/>
      <c r="K16808" s="17"/>
      <c r="N16808" s="17"/>
    </row>
    <row r="16809">
      <c r="B16809" s="11"/>
      <c r="H16809" s="17"/>
      <c r="K16809" s="17"/>
      <c r="N16809" s="17"/>
    </row>
    <row r="16810">
      <c r="B16810" s="11"/>
      <c r="H16810" s="17"/>
      <c r="K16810" s="17"/>
      <c r="N16810" s="17"/>
    </row>
    <row r="16811">
      <c r="B16811" s="11"/>
      <c r="H16811" s="17"/>
      <c r="K16811" s="17"/>
      <c r="N16811" s="17"/>
    </row>
    <row r="16812">
      <c r="B16812" s="11"/>
      <c r="H16812" s="17"/>
      <c r="K16812" s="17"/>
      <c r="N16812" s="17"/>
    </row>
    <row r="16813">
      <c r="B16813" s="11"/>
      <c r="H16813" s="17"/>
      <c r="K16813" s="17"/>
      <c r="N16813" s="17"/>
    </row>
    <row r="16814">
      <c r="B16814" s="11"/>
      <c r="H16814" s="17"/>
      <c r="K16814" s="17"/>
      <c r="N16814" s="17"/>
    </row>
    <row r="16815">
      <c r="B16815" s="11"/>
      <c r="H16815" s="17"/>
      <c r="K16815" s="17"/>
      <c r="N16815" s="17"/>
    </row>
    <row r="16816">
      <c r="B16816" s="11"/>
      <c r="H16816" s="17"/>
      <c r="K16816" s="17"/>
      <c r="N16816" s="17"/>
    </row>
    <row r="16817">
      <c r="B16817" s="11"/>
      <c r="H16817" s="17"/>
      <c r="K16817" s="17"/>
      <c r="N16817" s="17"/>
    </row>
    <row r="16818">
      <c r="B16818" s="11"/>
      <c r="H16818" s="17"/>
      <c r="K16818" s="17"/>
      <c r="N16818" s="17"/>
    </row>
    <row r="16819">
      <c r="B16819" s="11"/>
      <c r="H16819" s="17"/>
      <c r="K16819" s="17"/>
      <c r="N16819" s="17"/>
    </row>
    <row r="16820">
      <c r="B16820" s="11"/>
      <c r="H16820" s="17"/>
      <c r="K16820" s="17"/>
      <c r="N16820" s="17"/>
    </row>
    <row r="16821">
      <c r="B16821" s="11"/>
      <c r="H16821" s="17"/>
      <c r="K16821" s="17"/>
      <c r="N16821" s="17"/>
    </row>
    <row r="16822">
      <c r="B16822" s="11"/>
      <c r="H16822" s="17"/>
      <c r="K16822" s="17"/>
      <c r="N16822" s="17"/>
    </row>
    <row r="16823">
      <c r="B16823" s="11"/>
      <c r="H16823" s="17"/>
      <c r="K16823" s="17"/>
      <c r="N16823" s="17"/>
    </row>
    <row r="16824">
      <c r="B16824" s="11"/>
      <c r="H16824" s="17"/>
      <c r="K16824" s="17"/>
      <c r="N16824" s="17"/>
    </row>
    <row r="16825">
      <c r="B16825" s="11"/>
      <c r="H16825" s="17"/>
      <c r="K16825" s="17"/>
      <c r="N16825" s="17"/>
    </row>
    <row r="16826">
      <c r="B16826" s="11"/>
      <c r="H16826" s="17"/>
      <c r="K16826" s="17"/>
      <c r="N16826" s="17"/>
    </row>
    <row r="16827">
      <c r="B16827" s="11"/>
      <c r="H16827" s="17"/>
      <c r="K16827" s="17"/>
      <c r="N16827" s="17"/>
    </row>
    <row r="16828">
      <c r="B16828" s="11"/>
      <c r="H16828" s="17"/>
      <c r="K16828" s="17"/>
      <c r="N16828" s="17"/>
    </row>
    <row r="16829">
      <c r="B16829" s="11"/>
      <c r="H16829" s="17"/>
      <c r="K16829" s="17"/>
      <c r="N16829" s="17"/>
    </row>
    <row r="16830">
      <c r="B16830" s="11"/>
      <c r="H16830" s="17"/>
      <c r="K16830" s="17"/>
      <c r="N16830" s="17"/>
    </row>
    <row r="16831">
      <c r="B16831" s="11"/>
      <c r="H16831" s="17"/>
      <c r="K16831" s="17"/>
      <c r="N16831" s="17"/>
    </row>
    <row r="16832">
      <c r="B16832" s="11"/>
      <c r="H16832" s="17"/>
      <c r="K16832" s="17"/>
      <c r="N16832" s="17"/>
    </row>
    <row r="16833">
      <c r="B16833" s="11"/>
      <c r="H16833" s="17"/>
      <c r="K16833" s="17"/>
      <c r="N16833" s="17"/>
    </row>
    <row r="16834">
      <c r="B16834" s="11"/>
      <c r="H16834" s="17"/>
      <c r="K16834" s="17"/>
      <c r="N16834" s="17"/>
    </row>
    <row r="16835">
      <c r="B16835" s="11"/>
      <c r="H16835" s="17"/>
      <c r="K16835" s="17"/>
      <c r="N16835" s="17"/>
    </row>
    <row r="16836">
      <c r="B16836" s="11"/>
      <c r="H16836" s="17"/>
      <c r="K16836" s="17"/>
      <c r="N16836" s="17"/>
    </row>
    <row r="16837">
      <c r="B16837" s="11"/>
      <c r="H16837" s="17"/>
      <c r="K16837" s="17"/>
      <c r="N16837" s="17"/>
    </row>
    <row r="16838">
      <c r="B16838" s="11"/>
      <c r="H16838" s="17"/>
      <c r="K16838" s="17"/>
      <c r="N16838" s="17"/>
    </row>
    <row r="16839">
      <c r="B16839" s="11"/>
      <c r="H16839" s="17"/>
      <c r="K16839" s="17"/>
      <c r="N16839" s="17"/>
    </row>
    <row r="16840">
      <c r="B16840" s="11"/>
      <c r="H16840" s="17"/>
      <c r="K16840" s="17"/>
      <c r="N16840" s="17"/>
    </row>
    <row r="16841">
      <c r="B16841" s="11"/>
      <c r="H16841" s="17"/>
      <c r="K16841" s="17"/>
      <c r="N16841" s="17"/>
    </row>
    <row r="16842">
      <c r="B16842" s="11"/>
      <c r="H16842" s="17"/>
      <c r="K16842" s="17"/>
      <c r="N16842" s="17"/>
    </row>
    <row r="16843">
      <c r="B16843" s="11"/>
      <c r="H16843" s="17"/>
      <c r="K16843" s="17"/>
      <c r="N16843" s="17"/>
    </row>
    <row r="16844">
      <c r="B16844" s="11"/>
      <c r="H16844" s="17"/>
      <c r="K16844" s="17"/>
      <c r="N16844" s="17"/>
    </row>
    <row r="16845">
      <c r="B16845" s="11"/>
      <c r="H16845" s="17"/>
      <c r="K16845" s="17"/>
      <c r="N16845" s="17"/>
    </row>
    <row r="16846">
      <c r="B16846" s="11"/>
      <c r="H16846" s="17"/>
      <c r="K16846" s="17"/>
      <c r="N16846" s="17"/>
    </row>
    <row r="16847">
      <c r="B16847" s="11"/>
      <c r="H16847" s="17"/>
      <c r="K16847" s="17"/>
      <c r="N16847" s="17"/>
    </row>
    <row r="16848">
      <c r="B16848" s="11"/>
      <c r="H16848" s="17"/>
      <c r="K16848" s="17"/>
      <c r="N16848" s="17"/>
    </row>
    <row r="16849">
      <c r="B16849" s="11"/>
      <c r="H16849" s="17"/>
      <c r="K16849" s="17"/>
      <c r="N16849" s="17"/>
    </row>
    <row r="16850">
      <c r="B16850" s="11"/>
      <c r="H16850" s="17"/>
      <c r="K16850" s="17"/>
      <c r="N16850" s="17"/>
    </row>
    <row r="16851">
      <c r="B16851" s="11"/>
      <c r="H16851" s="17"/>
      <c r="K16851" s="17"/>
      <c r="N16851" s="17"/>
    </row>
    <row r="16852">
      <c r="B16852" s="11"/>
      <c r="H16852" s="17"/>
      <c r="K16852" s="17"/>
      <c r="N16852" s="17"/>
    </row>
    <row r="16853">
      <c r="B16853" s="11"/>
      <c r="H16853" s="17"/>
      <c r="K16853" s="17"/>
      <c r="N16853" s="17"/>
    </row>
    <row r="16854">
      <c r="B16854" s="11"/>
      <c r="H16854" s="17"/>
      <c r="K16854" s="17"/>
      <c r="N16854" s="17"/>
    </row>
    <row r="16855">
      <c r="B16855" s="11"/>
      <c r="H16855" s="17"/>
      <c r="K16855" s="17"/>
      <c r="N16855" s="17"/>
    </row>
    <row r="16856">
      <c r="B16856" s="11"/>
      <c r="H16856" s="17"/>
      <c r="K16856" s="17"/>
      <c r="N16856" s="17"/>
    </row>
    <row r="16857">
      <c r="B16857" s="11"/>
      <c r="H16857" s="17"/>
      <c r="K16857" s="17"/>
      <c r="N16857" s="17"/>
    </row>
    <row r="16858">
      <c r="B16858" s="11"/>
      <c r="H16858" s="17"/>
      <c r="K16858" s="17"/>
      <c r="N16858" s="17"/>
    </row>
    <row r="16859">
      <c r="B16859" s="11"/>
      <c r="H16859" s="17"/>
      <c r="K16859" s="17"/>
      <c r="N16859" s="17"/>
    </row>
    <row r="16860">
      <c r="B16860" s="11"/>
      <c r="H16860" s="17"/>
      <c r="K16860" s="17"/>
      <c r="N16860" s="17"/>
    </row>
    <row r="16861">
      <c r="B16861" s="11"/>
      <c r="H16861" s="17"/>
      <c r="K16861" s="17"/>
      <c r="N16861" s="17"/>
    </row>
    <row r="16862">
      <c r="B16862" s="11"/>
      <c r="H16862" s="17"/>
      <c r="K16862" s="17"/>
      <c r="N16862" s="17"/>
    </row>
    <row r="16863">
      <c r="B16863" s="11"/>
      <c r="H16863" s="17"/>
      <c r="K16863" s="17"/>
      <c r="N16863" s="17"/>
    </row>
    <row r="16864">
      <c r="B16864" s="11"/>
      <c r="H16864" s="17"/>
      <c r="K16864" s="17"/>
      <c r="N16864" s="17"/>
    </row>
    <row r="16865">
      <c r="B16865" s="11"/>
      <c r="H16865" s="17"/>
      <c r="K16865" s="17"/>
      <c r="N16865" s="17"/>
    </row>
    <row r="16866">
      <c r="B16866" s="11"/>
      <c r="H16866" s="17"/>
      <c r="K16866" s="17"/>
      <c r="N16866" s="17"/>
    </row>
    <row r="16867">
      <c r="B16867" s="11"/>
      <c r="H16867" s="17"/>
      <c r="K16867" s="17"/>
      <c r="N16867" s="17"/>
    </row>
    <row r="16868">
      <c r="B16868" s="11"/>
      <c r="H16868" s="17"/>
      <c r="K16868" s="17"/>
      <c r="N16868" s="17"/>
    </row>
    <row r="16869">
      <c r="B16869" s="11"/>
      <c r="H16869" s="17"/>
      <c r="K16869" s="17"/>
      <c r="N16869" s="17"/>
    </row>
    <row r="16870">
      <c r="B16870" s="11"/>
      <c r="H16870" s="17"/>
      <c r="K16870" s="17"/>
      <c r="N16870" s="17"/>
    </row>
    <row r="16871">
      <c r="B16871" s="11"/>
      <c r="H16871" s="17"/>
      <c r="K16871" s="17"/>
      <c r="N16871" s="17"/>
    </row>
    <row r="16872">
      <c r="B16872" s="11"/>
      <c r="H16872" s="17"/>
      <c r="K16872" s="17"/>
      <c r="N16872" s="17"/>
    </row>
    <row r="16873">
      <c r="B16873" s="11"/>
      <c r="H16873" s="17"/>
      <c r="K16873" s="17"/>
      <c r="N16873" s="17"/>
    </row>
    <row r="16874">
      <c r="B16874" s="11"/>
      <c r="H16874" s="17"/>
      <c r="K16874" s="17"/>
      <c r="N16874" s="17"/>
    </row>
    <row r="16875">
      <c r="B16875" s="11"/>
      <c r="H16875" s="17"/>
      <c r="K16875" s="17"/>
      <c r="N16875" s="17"/>
    </row>
    <row r="16876">
      <c r="B16876" s="11"/>
      <c r="H16876" s="17"/>
      <c r="K16876" s="17"/>
      <c r="N16876" s="17"/>
    </row>
    <row r="16877">
      <c r="B16877" s="11"/>
      <c r="H16877" s="17"/>
      <c r="K16877" s="17"/>
      <c r="N16877" s="17"/>
    </row>
    <row r="16878">
      <c r="B16878" s="11"/>
      <c r="H16878" s="17"/>
      <c r="K16878" s="17"/>
      <c r="N16878" s="17"/>
    </row>
    <row r="16879">
      <c r="B16879" s="11"/>
      <c r="H16879" s="17"/>
      <c r="K16879" s="17"/>
      <c r="N16879" s="17"/>
    </row>
    <row r="16880">
      <c r="B16880" s="11"/>
      <c r="H16880" s="17"/>
      <c r="K16880" s="17"/>
      <c r="N16880" s="17"/>
    </row>
    <row r="16881">
      <c r="B16881" s="11"/>
      <c r="H16881" s="17"/>
      <c r="K16881" s="17"/>
      <c r="N16881" s="17"/>
    </row>
    <row r="16882">
      <c r="B16882" s="11"/>
      <c r="H16882" s="17"/>
      <c r="K16882" s="17"/>
      <c r="N16882" s="17"/>
    </row>
    <row r="16883">
      <c r="B16883" s="11"/>
      <c r="H16883" s="17"/>
      <c r="K16883" s="17"/>
      <c r="N16883" s="17"/>
    </row>
    <row r="16884">
      <c r="B16884" s="11"/>
      <c r="H16884" s="17"/>
      <c r="K16884" s="17"/>
      <c r="N16884" s="17"/>
    </row>
    <row r="16885">
      <c r="B16885" s="11"/>
      <c r="H16885" s="17"/>
      <c r="K16885" s="17"/>
      <c r="N16885" s="17"/>
    </row>
    <row r="16886">
      <c r="B16886" s="11"/>
      <c r="H16886" s="17"/>
      <c r="K16886" s="17"/>
      <c r="N16886" s="17"/>
    </row>
    <row r="16887">
      <c r="B16887" s="11"/>
      <c r="H16887" s="17"/>
      <c r="K16887" s="17"/>
      <c r="N16887" s="17"/>
    </row>
    <row r="16888">
      <c r="B16888" s="11"/>
      <c r="H16888" s="17"/>
      <c r="K16888" s="17"/>
      <c r="N16888" s="17"/>
    </row>
    <row r="16889">
      <c r="B16889" s="11"/>
      <c r="H16889" s="17"/>
      <c r="K16889" s="17"/>
      <c r="N16889" s="17"/>
    </row>
    <row r="16890">
      <c r="B16890" s="11"/>
      <c r="H16890" s="17"/>
      <c r="K16890" s="17"/>
      <c r="N16890" s="17"/>
    </row>
    <row r="16891">
      <c r="B16891" s="11"/>
      <c r="H16891" s="17"/>
      <c r="K16891" s="17"/>
      <c r="N16891" s="17"/>
    </row>
    <row r="16892">
      <c r="B16892" s="11"/>
      <c r="H16892" s="17"/>
      <c r="K16892" s="17"/>
      <c r="N16892" s="17"/>
    </row>
    <row r="16893">
      <c r="B16893" s="11"/>
      <c r="H16893" s="17"/>
      <c r="K16893" s="17"/>
      <c r="N16893" s="17"/>
    </row>
    <row r="16894">
      <c r="B16894" s="11"/>
      <c r="H16894" s="17"/>
      <c r="K16894" s="17"/>
      <c r="N16894" s="17"/>
    </row>
    <row r="16895">
      <c r="B16895" s="11"/>
      <c r="H16895" s="17"/>
      <c r="K16895" s="17"/>
      <c r="N16895" s="17"/>
    </row>
    <row r="16896">
      <c r="B16896" s="11"/>
      <c r="H16896" s="17"/>
      <c r="K16896" s="17"/>
      <c r="N16896" s="17"/>
    </row>
    <row r="16897">
      <c r="B16897" s="11"/>
      <c r="H16897" s="17"/>
      <c r="K16897" s="17"/>
      <c r="N16897" s="17"/>
    </row>
    <row r="16898">
      <c r="B16898" s="11"/>
      <c r="H16898" s="17"/>
      <c r="K16898" s="17"/>
      <c r="N16898" s="17"/>
    </row>
    <row r="16899">
      <c r="B16899" s="11"/>
      <c r="H16899" s="17"/>
      <c r="K16899" s="17"/>
      <c r="N16899" s="17"/>
    </row>
    <row r="16900">
      <c r="B16900" s="11"/>
      <c r="H16900" s="17"/>
      <c r="K16900" s="17"/>
      <c r="N16900" s="17"/>
    </row>
    <row r="16901">
      <c r="B16901" s="11"/>
      <c r="H16901" s="17"/>
      <c r="K16901" s="17"/>
      <c r="N16901" s="17"/>
    </row>
    <row r="16902">
      <c r="B16902" s="11"/>
      <c r="H16902" s="17"/>
      <c r="K16902" s="17"/>
      <c r="N16902" s="17"/>
    </row>
    <row r="16903">
      <c r="B16903" s="11"/>
      <c r="H16903" s="17"/>
      <c r="K16903" s="17"/>
      <c r="N16903" s="17"/>
    </row>
    <row r="16904">
      <c r="B16904" s="11"/>
      <c r="H16904" s="17"/>
      <c r="K16904" s="17"/>
      <c r="N16904" s="17"/>
    </row>
    <row r="16905">
      <c r="B16905" s="11"/>
      <c r="H16905" s="17"/>
      <c r="K16905" s="17"/>
      <c r="N16905" s="17"/>
    </row>
    <row r="16906">
      <c r="B16906" s="11"/>
      <c r="H16906" s="17"/>
      <c r="K16906" s="17"/>
      <c r="N16906" s="17"/>
    </row>
    <row r="16907">
      <c r="B16907" s="11"/>
      <c r="H16907" s="17"/>
      <c r="K16907" s="17"/>
      <c r="N16907" s="17"/>
    </row>
    <row r="16908">
      <c r="B16908" s="11"/>
      <c r="H16908" s="17"/>
      <c r="K16908" s="17"/>
      <c r="N16908" s="17"/>
    </row>
    <row r="16909">
      <c r="B16909" s="11"/>
      <c r="H16909" s="17"/>
      <c r="K16909" s="17"/>
      <c r="N16909" s="17"/>
    </row>
    <row r="16910">
      <c r="B16910" s="11"/>
      <c r="H16910" s="17"/>
      <c r="K16910" s="17"/>
      <c r="N16910" s="17"/>
    </row>
    <row r="16911">
      <c r="B16911" s="11"/>
      <c r="H16911" s="17"/>
      <c r="K16911" s="17"/>
      <c r="N16911" s="17"/>
    </row>
    <row r="16912">
      <c r="B16912" s="11"/>
      <c r="H16912" s="17"/>
      <c r="K16912" s="17"/>
      <c r="N16912" s="17"/>
    </row>
    <row r="16913">
      <c r="B16913" s="11"/>
      <c r="H16913" s="17"/>
      <c r="K16913" s="17"/>
      <c r="N16913" s="17"/>
    </row>
    <row r="16914">
      <c r="B16914" s="11"/>
      <c r="H16914" s="17"/>
      <c r="K16914" s="17"/>
      <c r="N16914" s="17"/>
    </row>
    <row r="16915">
      <c r="B16915" s="11"/>
      <c r="H16915" s="17"/>
      <c r="K16915" s="17"/>
      <c r="N16915" s="17"/>
    </row>
    <row r="16916">
      <c r="B16916" s="11"/>
      <c r="H16916" s="17"/>
      <c r="K16916" s="17"/>
      <c r="N16916" s="17"/>
    </row>
    <row r="16917">
      <c r="B16917" s="11"/>
      <c r="H16917" s="17"/>
      <c r="K16917" s="17"/>
      <c r="N16917" s="17"/>
    </row>
    <row r="16918">
      <c r="B16918" s="11"/>
      <c r="H16918" s="17"/>
      <c r="K16918" s="17"/>
      <c r="N16918" s="17"/>
    </row>
    <row r="16919">
      <c r="B16919" s="11"/>
      <c r="H16919" s="17"/>
      <c r="K16919" s="17"/>
      <c r="N16919" s="17"/>
    </row>
    <row r="16920">
      <c r="B16920" s="11"/>
      <c r="H16920" s="17"/>
      <c r="K16920" s="17"/>
      <c r="N16920" s="17"/>
    </row>
    <row r="16921">
      <c r="B16921" s="11"/>
      <c r="H16921" s="17"/>
      <c r="K16921" s="17"/>
      <c r="N16921" s="17"/>
    </row>
    <row r="16922">
      <c r="B16922" s="11"/>
      <c r="H16922" s="17"/>
      <c r="K16922" s="17"/>
      <c r="N16922" s="17"/>
    </row>
    <row r="16923">
      <c r="B16923" s="11"/>
      <c r="H16923" s="17"/>
      <c r="K16923" s="17"/>
      <c r="N16923" s="17"/>
    </row>
    <row r="16924">
      <c r="B16924" s="11"/>
      <c r="H16924" s="17"/>
      <c r="K16924" s="17"/>
      <c r="N16924" s="17"/>
    </row>
    <row r="16925">
      <c r="B16925" s="11"/>
      <c r="H16925" s="17"/>
      <c r="K16925" s="17"/>
      <c r="N16925" s="17"/>
    </row>
    <row r="16926">
      <c r="B16926" s="11"/>
      <c r="H16926" s="17"/>
      <c r="K16926" s="17"/>
      <c r="N16926" s="17"/>
    </row>
    <row r="16927">
      <c r="B16927" s="11"/>
      <c r="H16927" s="17"/>
      <c r="K16927" s="17"/>
      <c r="N16927" s="17"/>
    </row>
    <row r="16928">
      <c r="B16928" s="11"/>
      <c r="H16928" s="17"/>
      <c r="K16928" s="17"/>
      <c r="N16928" s="17"/>
    </row>
    <row r="16929">
      <c r="B16929" s="11"/>
      <c r="H16929" s="17"/>
      <c r="K16929" s="17"/>
      <c r="N16929" s="17"/>
    </row>
    <row r="16930">
      <c r="B16930" s="11"/>
      <c r="H16930" s="17"/>
      <c r="K16930" s="17"/>
      <c r="N16930" s="17"/>
    </row>
    <row r="16931">
      <c r="B16931" s="11"/>
      <c r="H16931" s="17"/>
      <c r="K16931" s="17"/>
      <c r="N16931" s="17"/>
    </row>
    <row r="16932">
      <c r="B16932" s="11"/>
      <c r="H16932" s="17"/>
      <c r="K16932" s="17"/>
      <c r="N16932" s="17"/>
    </row>
    <row r="16933">
      <c r="B16933" s="11"/>
      <c r="H16933" s="17"/>
      <c r="K16933" s="17"/>
      <c r="N16933" s="17"/>
    </row>
    <row r="16934">
      <c r="B16934" s="11"/>
      <c r="H16934" s="17"/>
      <c r="K16934" s="17"/>
      <c r="N16934" s="17"/>
    </row>
    <row r="16935">
      <c r="B16935" s="11"/>
      <c r="H16935" s="17"/>
      <c r="K16935" s="17"/>
      <c r="N16935" s="17"/>
    </row>
    <row r="16936">
      <c r="B16936" s="11"/>
      <c r="H16936" s="17"/>
      <c r="K16936" s="17"/>
      <c r="N16936" s="17"/>
    </row>
    <row r="16937">
      <c r="B16937" s="11"/>
      <c r="H16937" s="17"/>
      <c r="K16937" s="17"/>
      <c r="N16937" s="17"/>
    </row>
    <row r="16938">
      <c r="B16938" s="11"/>
      <c r="H16938" s="17"/>
      <c r="K16938" s="17"/>
      <c r="N16938" s="17"/>
    </row>
    <row r="16939">
      <c r="B16939" s="11"/>
      <c r="H16939" s="17"/>
      <c r="K16939" s="17"/>
      <c r="N16939" s="17"/>
    </row>
    <row r="16940">
      <c r="B16940" s="11"/>
      <c r="H16940" s="17"/>
      <c r="K16940" s="17"/>
      <c r="N16940" s="17"/>
    </row>
    <row r="16941">
      <c r="B16941" s="11"/>
      <c r="H16941" s="17"/>
      <c r="K16941" s="17"/>
      <c r="N16941" s="17"/>
    </row>
    <row r="16942">
      <c r="B16942" s="11"/>
      <c r="H16942" s="17"/>
      <c r="K16942" s="17"/>
      <c r="N16942" s="17"/>
    </row>
    <row r="16943">
      <c r="B16943" s="11"/>
      <c r="H16943" s="17"/>
      <c r="K16943" s="17"/>
      <c r="N16943" s="17"/>
    </row>
    <row r="16944">
      <c r="B16944" s="11"/>
      <c r="H16944" s="17"/>
      <c r="K16944" s="17"/>
      <c r="N16944" s="17"/>
    </row>
    <row r="16945">
      <c r="B16945" s="11"/>
      <c r="H16945" s="17"/>
      <c r="K16945" s="17"/>
      <c r="N16945" s="17"/>
    </row>
    <row r="16946">
      <c r="B16946" s="11"/>
      <c r="H16946" s="17"/>
      <c r="K16946" s="17"/>
      <c r="N16946" s="17"/>
    </row>
    <row r="16947">
      <c r="B16947" s="11"/>
      <c r="H16947" s="17"/>
      <c r="K16947" s="17"/>
      <c r="N16947" s="17"/>
    </row>
    <row r="16948">
      <c r="B16948" s="11"/>
      <c r="H16948" s="17"/>
      <c r="K16948" s="17"/>
      <c r="N16948" s="17"/>
    </row>
    <row r="16949">
      <c r="B16949" s="11"/>
      <c r="H16949" s="17"/>
      <c r="K16949" s="17"/>
      <c r="N16949" s="17"/>
    </row>
    <row r="16950">
      <c r="B16950" s="11"/>
      <c r="H16950" s="17"/>
      <c r="K16950" s="17"/>
      <c r="N16950" s="17"/>
    </row>
    <row r="16951">
      <c r="B16951" s="11"/>
      <c r="H16951" s="17"/>
      <c r="K16951" s="17"/>
      <c r="N16951" s="17"/>
    </row>
    <row r="16952">
      <c r="B16952" s="11"/>
      <c r="H16952" s="17"/>
      <c r="K16952" s="17"/>
      <c r="N16952" s="17"/>
    </row>
    <row r="16953">
      <c r="B16953" s="11"/>
      <c r="H16953" s="17"/>
      <c r="K16953" s="17"/>
      <c r="N16953" s="17"/>
    </row>
    <row r="16954">
      <c r="B16954" s="11"/>
      <c r="H16954" s="17"/>
      <c r="K16954" s="17"/>
      <c r="N16954" s="17"/>
    </row>
    <row r="16955">
      <c r="B16955" s="11"/>
      <c r="H16955" s="17"/>
      <c r="K16955" s="17"/>
      <c r="N16955" s="17"/>
    </row>
    <row r="16956">
      <c r="B16956" s="11"/>
      <c r="H16956" s="17"/>
      <c r="K16956" s="17"/>
      <c r="N16956" s="17"/>
    </row>
    <row r="16957">
      <c r="B16957" s="11"/>
      <c r="H16957" s="17"/>
      <c r="K16957" s="17"/>
      <c r="N16957" s="17"/>
    </row>
    <row r="16958">
      <c r="B16958" s="11"/>
      <c r="H16958" s="17"/>
      <c r="K16958" s="17"/>
      <c r="N16958" s="17"/>
    </row>
    <row r="16959">
      <c r="B16959" s="11"/>
      <c r="H16959" s="17"/>
      <c r="K16959" s="17"/>
      <c r="N16959" s="17"/>
    </row>
    <row r="16960">
      <c r="B16960" s="11"/>
      <c r="H16960" s="17"/>
      <c r="K16960" s="17"/>
      <c r="N16960" s="17"/>
    </row>
    <row r="16961">
      <c r="B16961" s="11"/>
      <c r="H16961" s="17"/>
      <c r="K16961" s="17"/>
      <c r="N16961" s="17"/>
    </row>
    <row r="16962">
      <c r="B16962" s="11"/>
      <c r="H16962" s="17"/>
      <c r="K16962" s="17"/>
      <c r="N16962" s="17"/>
    </row>
    <row r="16963">
      <c r="B16963" s="11"/>
      <c r="H16963" s="17"/>
      <c r="K16963" s="17"/>
      <c r="N16963" s="17"/>
    </row>
    <row r="16964">
      <c r="B16964" s="11"/>
      <c r="H16964" s="17"/>
      <c r="K16964" s="17"/>
      <c r="N16964" s="17"/>
    </row>
    <row r="16965">
      <c r="B16965" s="11"/>
      <c r="H16965" s="17"/>
      <c r="K16965" s="17"/>
      <c r="N16965" s="17"/>
    </row>
    <row r="16966">
      <c r="B16966" s="11"/>
      <c r="H16966" s="17"/>
      <c r="K16966" s="17"/>
      <c r="N16966" s="17"/>
    </row>
    <row r="16967">
      <c r="B16967" s="11"/>
      <c r="H16967" s="17"/>
      <c r="K16967" s="17"/>
      <c r="N16967" s="17"/>
    </row>
    <row r="16968">
      <c r="B16968" s="11"/>
      <c r="H16968" s="17"/>
      <c r="K16968" s="17"/>
      <c r="N16968" s="17"/>
    </row>
    <row r="16969">
      <c r="B16969" s="11"/>
      <c r="H16969" s="17"/>
      <c r="K16969" s="17"/>
      <c r="N16969" s="17"/>
    </row>
    <row r="16970">
      <c r="B16970" s="11"/>
      <c r="H16970" s="17"/>
      <c r="K16970" s="17"/>
      <c r="N16970" s="17"/>
    </row>
    <row r="16971">
      <c r="B16971" s="11"/>
      <c r="H16971" s="17"/>
      <c r="K16971" s="17"/>
      <c r="N16971" s="17"/>
    </row>
    <row r="16972">
      <c r="B16972" s="11"/>
      <c r="H16972" s="17"/>
      <c r="K16972" s="17"/>
      <c r="N16972" s="17"/>
    </row>
    <row r="16973">
      <c r="B16973" s="11"/>
      <c r="H16973" s="17"/>
      <c r="K16973" s="17"/>
      <c r="N16973" s="17"/>
    </row>
    <row r="16974">
      <c r="B16974" s="11"/>
      <c r="H16974" s="17"/>
      <c r="K16974" s="17"/>
      <c r="N16974" s="17"/>
    </row>
    <row r="16975">
      <c r="B16975" s="11"/>
      <c r="H16975" s="17"/>
      <c r="K16975" s="17"/>
      <c r="N16975" s="17"/>
    </row>
    <row r="16976">
      <c r="B16976" s="11"/>
      <c r="H16976" s="17"/>
      <c r="K16976" s="17"/>
      <c r="N16976" s="17"/>
    </row>
    <row r="16977">
      <c r="B16977" s="11"/>
      <c r="H16977" s="17"/>
      <c r="K16977" s="17"/>
      <c r="N16977" s="17"/>
    </row>
    <row r="16978">
      <c r="B16978" s="11"/>
      <c r="H16978" s="17"/>
      <c r="K16978" s="17"/>
      <c r="N16978" s="17"/>
    </row>
    <row r="16979">
      <c r="B16979" s="11"/>
      <c r="H16979" s="17"/>
      <c r="K16979" s="17"/>
      <c r="N16979" s="17"/>
    </row>
    <row r="16980">
      <c r="B16980" s="11"/>
      <c r="H16980" s="17"/>
      <c r="K16980" s="17"/>
      <c r="N16980" s="17"/>
    </row>
    <row r="16981">
      <c r="B16981" s="11"/>
      <c r="H16981" s="17"/>
      <c r="K16981" s="17"/>
      <c r="N16981" s="17"/>
    </row>
    <row r="16982">
      <c r="B16982" s="11"/>
      <c r="H16982" s="17"/>
      <c r="K16982" s="17"/>
      <c r="N16982" s="17"/>
    </row>
    <row r="16983">
      <c r="B16983" s="11"/>
      <c r="H16983" s="17"/>
      <c r="K16983" s="17"/>
      <c r="N16983" s="17"/>
    </row>
    <row r="16984">
      <c r="B16984" s="11"/>
      <c r="H16984" s="17"/>
      <c r="K16984" s="17"/>
      <c r="N16984" s="17"/>
    </row>
    <row r="16985">
      <c r="B16985" s="11"/>
      <c r="H16985" s="17"/>
      <c r="K16985" s="17"/>
      <c r="N16985" s="17"/>
    </row>
    <row r="16986">
      <c r="B16986" s="11"/>
      <c r="H16986" s="17"/>
      <c r="K16986" s="17"/>
      <c r="N16986" s="17"/>
    </row>
    <row r="16987">
      <c r="B16987" s="11"/>
      <c r="H16987" s="17"/>
      <c r="K16987" s="17"/>
      <c r="N16987" s="17"/>
    </row>
    <row r="16988">
      <c r="B16988" s="11"/>
      <c r="H16988" s="17"/>
      <c r="K16988" s="17"/>
      <c r="N16988" s="17"/>
    </row>
    <row r="16989">
      <c r="B16989" s="11"/>
      <c r="H16989" s="17"/>
      <c r="K16989" s="17"/>
      <c r="N16989" s="17"/>
    </row>
    <row r="16990">
      <c r="B16990" s="11"/>
      <c r="H16990" s="17"/>
      <c r="K16990" s="17"/>
      <c r="N16990" s="17"/>
    </row>
    <row r="16991">
      <c r="B16991" s="11"/>
      <c r="H16991" s="17"/>
      <c r="K16991" s="17"/>
      <c r="N16991" s="17"/>
    </row>
    <row r="16992">
      <c r="B16992" s="11"/>
      <c r="H16992" s="17"/>
      <c r="K16992" s="17"/>
      <c r="N16992" s="17"/>
    </row>
    <row r="16993">
      <c r="B16993" s="11"/>
      <c r="H16993" s="17"/>
      <c r="K16993" s="17"/>
      <c r="N16993" s="17"/>
    </row>
    <row r="16994">
      <c r="B16994" s="11"/>
      <c r="H16994" s="17"/>
      <c r="K16994" s="17"/>
      <c r="N16994" s="17"/>
    </row>
    <row r="16995">
      <c r="B16995" s="11"/>
      <c r="H16995" s="17"/>
      <c r="K16995" s="17"/>
      <c r="N16995" s="17"/>
    </row>
    <row r="16996">
      <c r="B16996" s="11"/>
      <c r="H16996" s="17"/>
      <c r="K16996" s="17"/>
      <c r="N16996" s="17"/>
    </row>
    <row r="16997">
      <c r="B16997" s="11"/>
      <c r="H16997" s="17"/>
      <c r="K16997" s="17"/>
      <c r="N16997" s="17"/>
    </row>
    <row r="16998">
      <c r="B16998" s="11"/>
      <c r="H16998" s="17"/>
      <c r="K16998" s="17"/>
      <c r="N16998" s="17"/>
    </row>
    <row r="16999">
      <c r="B16999" s="11"/>
      <c r="H16999" s="17"/>
      <c r="K16999" s="17"/>
      <c r="N16999" s="17"/>
    </row>
    <row r="17000">
      <c r="B17000" s="11"/>
      <c r="H17000" s="17"/>
      <c r="K17000" s="17"/>
      <c r="N17000" s="17"/>
    </row>
    <row r="17001">
      <c r="B17001" s="11"/>
      <c r="H17001" s="17"/>
      <c r="K17001" s="17"/>
      <c r="N17001" s="17"/>
    </row>
    <row r="17002">
      <c r="B17002" s="11"/>
      <c r="H17002" s="17"/>
      <c r="K17002" s="17"/>
      <c r="N17002" s="17"/>
    </row>
    <row r="17003">
      <c r="B17003" s="11"/>
      <c r="H17003" s="17"/>
      <c r="K17003" s="17"/>
      <c r="N17003" s="17"/>
    </row>
    <row r="17004">
      <c r="B17004" s="11"/>
      <c r="H17004" s="17"/>
      <c r="K17004" s="17"/>
      <c r="N17004" s="17"/>
    </row>
    <row r="17005">
      <c r="B17005" s="11"/>
      <c r="H17005" s="17"/>
      <c r="K17005" s="17"/>
      <c r="N17005" s="17"/>
    </row>
    <row r="17006">
      <c r="B17006" s="11"/>
      <c r="H17006" s="17"/>
      <c r="K17006" s="17"/>
      <c r="N17006" s="17"/>
    </row>
    <row r="17007">
      <c r="B17007" s="11"/>
      <c r="H17007" s="17"/>
      <c r="K17007" s="17"/>
      <c r="N17007" s="17"/>
    </row>
    <row r="17008">
      <c r="B17008" s="11"/>
      <c r="H17008" s="17"/>
      <c r="K17008" s="17"/>
      <c r="N17008" s="1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77</v>
      </c>
      <c r="B1" s="11"/>
      <c r="E1" s="17"/>
      <c r="M1" s="17"/>
      <c r="P1" s="17"/>
    </row>
    <row r="2">
      <c r="B2" s="11"/>
      <c r="E2" s="41" t="s">
        <v>78</v>
      </c>
      <c r="M2" s="14" t="s">
        <v>59</v>
      </c>
      <c r="P2" s="14" t="s">
        <v>60</v>
      </c>
    </row>
    <row r="3">
      <c r="B3" s="11" t="str">
        <f>IFERROR(__xludf.DUMMYFUNCTION("SORT(GOOGLEFINANCE(""NYSE:PLD"", ""close"", DATE(2006,5,1), TODAY(), ""DAILY""),1,FALSE)"),"Date")</f>
        <v>Date</v>
      </c>
      <c r="C3" s="9" t="str">
        <f>IFERROR(__xludf.DUMMYFUNCTION("""COMPUTED_VALUE"""),"Close")</f>
        <v>Close</v>
      </c>
      <c r="E3" s="42" t="str">
        <f>IFERROR(__xludf.DUMMYFUNCTION("SORT(GOOGLEFINANCE(""NYSE:PLD"", ""close"", DATE(2024,1,1), TODAY(), ""DAILY""),1,FALSE)"),"Date")</f>
        <v>Date</v>
      </c>
      <c r="F3" s="9" t="str">
        <f>IFERROR(__xludf.DUMMYFUNCTION("""COMPUTED_VALUE"""),"Close")</f>
        <v>Close</v>
      </c>
      <c r="M3" s="17" t="str">
        <f>IFERROR(__xludf.DUMMYFUNCTION("SORT(GOOGLEFINANCE(""NYSE:PLD"", ""close"", EDATE(TODAY(), -6), TODAY(), ""DAILY""), 1, FALSE)"),"Date")</f>
        <v>Date</v>
      </c>
      <c r="N3" s="9" t="str">
        <f>IFERROR(__xludf.DUMMYFUNCTION("""COMPUTED_VALUE"""),"Close")</f>
        <v>Close</v>
      </c>
      <c r="P3" s="18" t="str">
        <f>IFERROR(__xludf.DUMMYFUNCTION("SORT(GOOGLEFINANCE(""BATS:ITA"", ""close"", EDATE(TODAY(), -1), TODAY(), ""DAILY""), 1, FALSE)"),"Date")</f>
        <v>Date</v>
      </c>
      <c r="Q3" s="9" t="str">
        <f>IFERROR(__xludf.DUMMYFUNCTION("""COMPUTED_VALUE"""),"Close")</f>
        <v>Close</v>
      </c>
    </row>
    <row r="4">
      <c r="B4" s="11">
        <f>IFERROR(__xludf.DUMMYFUNCTION("""COMPUTED_VALUE"""),46024.66666666667)</f>
        <v>46024.66667</v>
      </c>
      <c r="C4" s="9">
        <f>IFERROR(__xludf.DUMMYFUNCTION("""COMPUTED_VALUE"""),129.05)</f>
        <v>129.05</v>
      </c>
      <c r="E4" s="17">
        <f>IFERROR(__xludf.DUMMYFUNCTION("""COMPUTED_VALUE"""),46024.66666666667)</f>
        <v>46024.66667</v>
      </c>
      <c r="F4" s="9">
        <f>IFERROR(__xludf.DUMMYFUNCTION("""COMPUTED_VALUE"""),129.05)</f>
        <v>129.05</v>
      </c>
      <c r="M4" s="17">
        <f>IFERROR(__xludf.DUMMYFUNCTION("""COMPUTED_VALUE"""),46024.66666666667)</f>
        <v>46024.66667</v>
      </c>
      <c r="N4" s="9">
        <f>IFERROR(__xludf.DUMMYFUNCTION("""COMPUTED_VALUE"""),129.05)</f>
        <v>129.05</v>
      </c>
      <c r="P4" s="17">
        <f>IFERROR(__xludf.DUMMYFUNCTION("""COMPUTED_VALUE"""),46024.66666666667)</f>
        <v>46024.66667</v>
      </c>
      <c r="Q4" s="9">
        <f>IFERROR(__xludf.DUMMYFUNCTION("""COMPUTED_VALUE"""),222.01)</f>
        <v>222.01</v>
      </c>
    </row>
    <row r="5">
      <c r="B5" s="11">
        <f>IFERROR(__xludf.DUMMYFUNCTION("""COMPUTED_VALUE"""),46022.66666666667)</f>
        <v>46022.66667</v>
      </c>
      <c r="C5" s="9">
        <f>IFERROR(__xludf.DUMMYFUNCTION("""COMPUTED_VALUE"""),127.66)</f>
        <v>127.66</v>
      </c>
      <c r="E5" s="17">
        <f>IFERROR(__xludf.DUMMYFUNCTION("""COMPUTED_VALUE"""),46022.66666666667)</f>
        <v>46022.66667</v>
      </c>
      <c r="F5" s="9">
        <f>IFERROR(__xludf.DUMMYFUNCTION("""COMPUTED_VALUE"""),127.66)</f>
        <v>127.66</v>
      </c>
      <c r="M5" s="17">
        <f>IFERROR(__xludf.DUMMYFUNCTION("""COMPUTED_VALUE"""),46022.66666666667)</f>
        <v>46022.66667</v>
      </c>
      <c r="N5" s="9">
        <f>IFERROR(__xludf.DUMMYFUNCTION("""COMPUTED_VALUE"""),127.66)</f>
        <v>127.66</v>
      </c>
      <c r="P5" s="17">
        <f>IFERROR(__xludf.DUMMYFUNCTION("""COMPUTED_VALUE"""),46022.66666666667)</f>
        <v>46022.66667</v>
      </c>
      <c r="Q5" s="9">
        <f>IFERROR(__xludf.DUMMYFUNCTION("""COMPUTED_VALUE"""),214.69)</f>
        <v>214.69</v>
      </c>
    </row>
    <row r="6">
      <c r="B6" s="11">
        <f>IFERROR(__xludf.DUMMYFUNCTION("""COMPUTED_VALUE"""),46021.66666666667)</f>
        <v>46021.66667</v>
      </c>
      <c r="C6" s="9">
        <f>IFERROR(__xludf.DUMMYFUNCTION("""COMPUTED_VALUE"""),129.01)</f>
        <v>129.01</v>
      </c>
      <c r="E6" s="17">
        <f>IFERROR(__xludf.DUMMYFUNCTION("""COMPUTED_VALUE"""),46021.66666666667)</f>
        <v>46021.66667</v>
      </c>
      <c r="F6" s="9">
        <f>IFERROR(__xludf.DUMMYFUNCTION("""COMPUTED_VALUE"""),129.01)</f>
        <v>129.01</v>
      </c>
      <c r="M6" s="17">
        <f>IFERROR(__xludf.DUMMYFUNCTION("""COMPUTED_VALUE"""),46021.66666666667)</f>
        <v>46021.66667</v>
      </c>
      <c r="N6" s="9">
        <f>IFERROR(__xludf.DUMMYFUNCTION("""COMPUTED_VALUE"""),129.01)</f>
        <v>129.01</v>
      </c>
      <c r="P6" s="17">
        <f>IFERROR(__xludf.DUMMYFUNCTION("""COMPUTED_VALUE"""),46021.66666666667)</f>
        <v>46021.66667</v>
      </c>
      <c r="Q6" s="9">
        <f>IFERROR(__xludf.DUMMYFUNCTION("""COMPUTED_VALUE"""),216.34)</f>
        <v>216.34</v>
      </c>
    </row>
    <row r="7">
      <c r="B7" s="11">
        <f>IFERROR(__xludf.DUMMYFUNCTION("""COMPUTED_VALUE"""),46020.66666666667)</f>
        <v>46020.66667</v>
      </c>
      <c r="C7" s="9">
        <f>IFERROR(__xludf.DUMMYFUNCTION("""COMPUTED_VALUE"""),128.48)</f>
        <v>128.48</v>
      </c>
      <c r="E7" s="17">
        <f>IFERROR(__xludf.DUMMYFUNCTION("""COMPUTED_VALUE"""),46020.66666666667)</f>
        <v>46020.66667</v>
      </c>
      <c r="F7" s="9">
        <f>IFERROR(__xludf.DUMMYFUNCTION("""COMPUTED_VALUE"""),128.48)</f>
        <v>128.48</v>
      </c>
      <c r="M7" s="17">
        <f>IFERROR(__xludf.DUMMYFUNCTION("""COMPUTED_VALUE"""),46020.66666666667)</f>
        <v>46020.66667</v>
      </c>
      <c r="N7" s="9">
        <f>IFERROR(__xludf.DUMMYFUNCTION("""COMPUTED_VALUE"""),128.48)</f>
        <v>128.48</v>
      </c>
      <c r="P7" s="17">
        <f>IFERROR(__xludf.DUMMYFUNCTION("""COMPUTED_VALUE"""),46020.66666666667)</f>
        <v>46020.66667</v>
      </c>
      <c r="Q7" s="9">
        <f>IFERROR(__xludf.DUMMYFUNCTION("""COMPUTED_VALUE"""),217.0)</f>
        <v>217</v>
      </c>
    </row>
    <row r="8">
      <c r="B8" s="11">
        <f>IFERROR(__xludf.DUMMYFUNCTION("""COMPUTED_VALUE"""),46017.66666666667)</f>
        <v>46017.66667</v>
      </c>
      <c r="C8" s="9">
        <f>IFERROR(__xludf.DUMMYFUNCTION("""COMPUTED_VALUE"""),128.71)</f>
        <v>128.71</v>
      </c>
      <c r="E8" s="17">
        <f>IFERROR(__xludf.DUMMYFUNCTION("""COMPUTED_VALUE"""),46017.66666666667)</f>
        <v>46017.66667</v>
      </c>
      <c r="F8" s="9">
        <f>IFERROR(__xludf.DUMMYFUNCTION("""COMPUTED_VALUE"""),128.71)</f>
        <v>128.71</v>
      </c>
      <c r="M8" s="17">
        <f>IFERROR(__xludf.DUMMYFUNCTION("""COMPUTED_VALUE"""),46017.66666666667)</f>
        <v>46017.66667</v>
      </c>
      <c r="N8" s="9">
        <f>IFERROR(__xludf.DUMMYFUNCTION("""COMPUTED_VALUE"""),128.71)</f>
        <v>128.71</v>
      </c>
      <c r="P8" s="17">
        <f>IFERROR(__xludf.DUMMYFUNCTION("""COMPUTED_VALUE"""),46017.66666666667)</f>
        <v>46017.66667</v>
      </c>
      <c r="Q8" s="9">
        <f>IFERROR(__xludf.DUMMYFUNCTION("""COMPUTED_VALUE"""),218.07)</f>
        <v>218.07</v>
      </c>
    </row>
    <row r="9">
      <c r="B9" s="11">
        <f>IFERROR(__xludf.DUMMYFUNCTION("""COMPUTED_VALUE"""),46015.54166666667)</f>
        <v>46015.54167</v>
      </c>
      <c r="C9" s="9">
        <f>IFERROR(__xludf.DUMMYFUNCTION("""COMPUTED_VALUE"""),129.15)</f>
        <v>129.15</v>
      </c>
      <c r="E9" s="17">
        <f>IFERROR(__xludf.DUMMYFUNCTION("""COMPUTED_VALUE"""),46015.54166666667)</f>
        <v>46015.54167</v>
      </c>
      <c r="F9" s="9">
        <f>IFERROR(__xludf.DUMMYFUNCTION("""COMPUTED_VALUE"""),129.15)</f>
        <v>129.15</v>
      </c>
      <c r="M9" s="17">
        <f>IFERROR(__xludf.DUMMYFUNCTION("""COMPUTED_VALUE"""),46015.54166666667)</f>
        <v>46015.54167</v>
      </c>
      <c r="N9" s="9">
        <f>IFERROR(__xludf.DUMMYFUNCTION("""COMPUTED_VALUE"""),129.15)</f>
        <v>129.15</v>
      </c>
      <c r="P9" s="17">
        <f>IFERROR(__xludf.DUMMYFUNCTION("""COMPUTED_VALUE"""),46015.51041666667)</f>
        <v>46015.51042</v>
      </c>
      <c r="Q9" s="9">
        <f>IFERROR(__xludf.DUMMYFUNCTION("""COMPUTED_VALUE"""),220.2)</f>
        <v>220.2</v>
      </c>
    </row>
    <row r="10">
      <c r="B10" s="11">
        <f>IFERROR(__xludf.DUMMYFUNCTION("""COMPUTED_VALUE"""),46014.66666666667)</f>
        <v>46014.66667</v>
      </c>
      <c r="C10" s="9">
        <f>IFERROR(__xludf.DUMMYFUNCTION("""COMPUTED_VALUE"""),127.77)</f>
        <v>127.77</v>
      </c>
      <c r="E10" s="17">
        <f>IFERROR(__xludf.DUMMYFUNCTION("""COMPUTED_VALUE"""),46014.66666666667)</f>
        <v>46014.66667</v>
      </c>
      <c r="F10" s="9">
        <f>IFERROR(__xludf.DUMMYFUNCTION("""COMPUTED_VALUE"""),127.77)</f>
        <v>127.77</v>
      </c>
      <c r="M10" s="17">
        <f>IFERROR(__xludf.DUMMYFUNCTION("""COMPUTED_VALUE"""),46014.66666666667)</f>
        <v>46014.66667</v>
      </c>
      <c r="N10" s="9">
        <f>IFERROR(__xludf.DUMMYFUNCTION("""COMPUTED_VALUE"""),127.77)</f>
        <v>127.77</v>
      </c>
      <c r="P10" s="17">
        <f>IFERROR(__xludf.DUMMYFUNCTION("""COMPUTED_VALUE"""),46014.66666666667)</f>
        <v>46014.66667</v>
      </c>
      <c r="Q10" s="9">
        <f>IFERROR(__xludf.DUMMYFUNCTION("""COMPUTED_VALUE"""),219.69)</f>
        <v>219.69</v>
      </c>
    </row>
    <row r="11">
      <c r="B11" s="11">
        <f>IFERROR(__xludf.DUMMYFUNCTION("""COMPUTED_VALUE"""),46013.66666666667)</f>
        <v>46013.66667</v>
      </c>
      <c r="C11" s="9">
        <f>IFERROR(__xludf.DUMMYFUNCTION("""COMPUTED_VALUE"""),127.59)</f>
        <v>127.59</v>
      </c>
      <c r="E11" s="17">
        <f>IFERROR(__xludf.DUMMYFUNCTION("""COMPUTED_VALUE"""),46013.66666666667)</f>
        <v>46013.66667</v>
      </c>
      <c r="F11" s="9">
        <f>IFERROR(__xludf.DUMMYFUNCTION("""COMPUTED_VALUE"""),127.59)</f>
        <v>127.59</v>
      </c>
      <c r="M11" s="17">
        <f>IFERROR(__xludf.DUMMYFUNCTION("""COMPUTED_VALUE"""),46013.66666666667)</f>
        <v>46013.66667</v>
      </c>
      <c r="N11" s="9">
        <f>IFERROR(__xludf.DUMMYFUNCTION("""COMPUTED_VALUE"""),127.59)</f>
        <v>127.59</v>
      </c>
      <c r="P11" s="17">
        <f>IFERROR(__xludf.DUMMYFUNCTION("""COMPUTED_VALUE"""),46013.66666666667)</f>
        <v>46013.66667</v>
      </c>
      <c r="Q11" s="9">
        <f>IFERROR(__xludf.DUMMYFUNCTION("""COMPUTED_VALUE"""),219.36)</f>
        <v>219.36</v>
      </c>
    </row>
    <row r="12">
      <c r="B12" s="11">
        <f>IFERROR(__xludf.DUMMYFUNCTION("""COMPUTED_VALUE"""),46010.66666666667)</f>
        <v>46010.66667</v>
      </c>
      <c r="C12" s="9">
        <f>IFERROR(__xludf.DUMMYFUNCTION("""COMPUTED_VALUE"""),127.23)</f>
        <v>127.23</v>
      </c>
      <c r="E12" s="17">
        <f>IFERROR(__xludf.DUMMYFUNCTION("""COMPUTED_VALUE"""),46010.66666666667)</f>
        <v>46010.66667</v>
      </c>
      <c r="F12" s="9">
        <f>IFERROR(__xludf.DUMMYFUNCTION("""COMPUTED_VALUE"""),127.23)</f>
        <v>127.23</v>
      </c>
      <c r="M12" s="17">
        <f>IFERROR(__xludf.DUMMYFUNCTION("""COMPUTED_VALUE"""),46010.66666666667)</f>
        <v>46010.66667</v>
      </c>
      <c r="N12" s="9">
        <f>IFERROR(__xludf.DUMMYFUNCTION("""COMPUTED_VALUE"""),127.23)</f>
        <v>127.23</v>
      </c>
      <c r="P12" s="17">
        <f>IFERROR(__xludf.DUMMYFUNCTION("""COMPUTED_VALUE"""),46010.66666666667)</f>
        <v>46010.66667</v>
      </c>
      <c r="Q12" s="9">
        <f>IFERROR(__xludf.DUMMYFUNCTION("""COMPUTED_VALUE"""),213.91)</f>
        <v>213.91</v>
      </c>
    </row>
    <row r="13">
      <c r="B13" s="11">
        <f>IFERROR(__xludf.DUMMYFUNCTION("""COMPUTED_VALUE"""),46009.66666666667)</f>
        <v>46009.66667</v>
      </c>
      <c r="C13" s="9">
        <f>IFERROR(__xludf.DUMMYFUNCTION("""COMPUTED_VALUE"""),127.66)</f>
        <v>127.66</v>
      </c>
      <c r="E13" s="17">
        <f>IFERROR(__xludf.DUMMYFUNCTION("""COMPUTED_VALUE"""),46009.66666666667)</f>
        <v>46009.66667</v>
      </c>
      <c r="F13" s="9">
        <f>IFERROR(__xludf.DUMMYFUNCTION("""COMPUTED_VALUE"""),127.66)</f>
        <v>127.66</v>
      </c>
      <c r="M13" s="17">
        <f>IFERROR(__xludf.DUMMYFUNCTION("""COMPUTED_VALUE"""),46009.66666666667)</f>
        <v>46009.66667</v>
      </c>
      <c r="N13" s="9">
        <f>IFERROR(__xludf.DUMMYFUNCTION("""COMPUTED_VALUE"""),127.66)</f>
        <v>127.66</v>
      </c>
      <c r="P13" s="17">
        <f>IFERROR(__xludf.DUMMYFUNCTION("""COMPUTED_VALUE"""),46009.66666666667)</f>
        <v>46009.66667</v>
      </c>
      <c r="Q13" s="9">
        <f>IFERROR(__xludf.DUMMYFUNCTION("""COMPUTED_VALUE"""),208.25)</f>
        <v>208.25</v>
      </c>
    </row>
    <row r="14">
      <c r="B14" s="11">
        <f>IFERROR(__xludf.DUMMYFUNCTION("""COMPUTED_VALUE"""),46008.66666666667)</f>
        <v>46008.66667</v>
      </c>
      <c r="C14" s="9">
        <f>IFERROR(__xludf.DUMMYFUNCTION("""COMPUTED_VALUE"""),128.07)</f>
        <v>128.07</v>
      </c>
      <c r="E14" s="17">
        <f>IFERROR(__xludf.DUMMYFUNCTION("""COMPUTED_VALUE"""),46008.66666666667)</f>
        <v>46008.66667</v>
      </c>
      <c r="F14" s="9">
        <f>IFERROR(__xludf.DUMMYFUNCTION("""COMPUTED_VALUE"""),128.07)</f>
        <v>128.07</v>
      </c>
      <c r="M14" s="17">
        <f>IFERROR(__xludf.DUMMYFUNCTION("""COMPUTED_VALUE"""),46008.66666666667)</f>
        <v>46008.66667</v>
      </c>
      <c r="N14" s="9">
        <f>IFERROR(__xludf.DUMMYFUNCTION("""COMPUTED_VALUE"""),128.07)</f>
        <v>128.07</v>
      </c>
      <c r="P14" s="17">
        <f>IFERROR(__xludf.DUMMYFUNCTION("""COMPUTED_VALUE"""),46008.66666666667)</f>
        <v>46008.66667</v>
      </c>
      <c r="Q14" s="9">
        <f>IFERROR(__xludf.DUMMYFUNCTION("""COMPUTED_VALUE"""),204.8)</f>
        <v>204.8</v>
      </c>
    </row>
    <row r="15">
      <c r="B15" s="11">
        <f>IFERROR(__xludf.DUMMYFUNCTION("""COMPUTED_VALUE"""),46007.66666666667)</f>
        <v>46007.66667</v>
      </c>
      <c r="C15" s="9">
        <f>IFERROR(__xludf.DUMMYFUNCTION("""COMPUTED_VALUE"""),127.61)</f>
        <v>127.61</v>
      </c>
      <c r="E15" s="17">
        <f>IFERROR(__xludf.DUMMYFUNCTION("""COMPUTED_VALUE"""),46007.66666666667)</f>
        <v>46007.66667</v>
      </c>
      <c r="F15" s="9">
        <f>IFERROR(__xludf.DUMMYFUNCTION("""COMPUTED_VALUE"""),127.61)</f>
        <v>127.61</v>
      </c>
      <c r="M15" s="17">
        <f>IFERROR(__xludf.DUMMYFUNCTION("""COMPUTED_VALUE"""),46007.66666666667)</f>
        <v>46007.66667</v>
      </c>
      <c r="N15" s="9">
        <f>IFERROR(__xludf.DUMMYFUNCTION("""COMPUTED_VALUE"""),127.61)</f>
        <v>127.61</v>
      </c>
      <c r="P15" s="17">
        <f>IFERROR(__xludf.DUMMYFUNCTION("""COMPUTED_VALUE"""),46007.66666666667)</f>
        <v>46007.66667</v>
      </c>
      <c r="Q15" s="9">
        <f>IFERROR(__xludf.DUMMYFUNCTION("""COMPUTED_VALUE"""),207.95)</f>
        <v>207.95</v>
      </c>
    </row>
    <row r="16">
      <c r="B16" s="11">
        <f>IFERROR(__xludf.DUMMYFUNCTION("""COMPUTED_VALUE"""),46006.66666666667)</f>
        <v>46006.66667</v>
      </c>
      <c r="C16" s="9">
        <f>IFERROR(__xludf.DUMMYFUNCTION("""COMPUTED_VALUE"""),130.66)</f>
        <v>130.66</v>
      </c>
      <c r="E16" s="17">
        <f>IFERROR(__xludf.DUMMYFUNCTION("""COMPUTED_VALUE"""),46006.66666666667)</f>
        <v>46006.66667</v>
      </c>
      <c r="F16" s="9">
        <f>IFERROR(__xludf.DUMMYFUNCTION("""COMPUTED_VALUE"""),130.66)</f>
        <v>130.66</v>
      </c>
      <c r="M16" s="17">
        <f>IFERROR(__xludf.DUMMYFUNCTION("""COMPUTED_VALUE"""),46006.66666666667)</f>
        <v>46006.66667</v>
      </c>
      <c r="N16" s="9">
        <f>IFERROR(__xludf.DUMMYFUNCTION("""COMPUTED_VALUE"""),130.66)</f>
        <v>130.66</v>
      </c>
      <c r="P16" s="17">
        <f>IFERROR(__xludf.DUMMYFUNCTION("""COMPUTED_VALUE"""),46006.66666666667)</f>
        <v>46006.66667</v>
      </c>
      <c r="Q16" s="9">
        <f>IFERROR(__xludf.DUMMYFUNCTION("""COMPUTED_VALUE"""),209.64)</f>
        <v>209.64</v>
      </c>
    </row>
    <row r="17">
      <c r="B17" s="11">
        <f>IFERROR(__xludf.DUMMYFUNCTION("""COMPUTED_VALUE"""),46003.66666666667)</f>
        <v>46003.66667</v>
      </c>
      <c r="C17" s="9">
        <f>IFERROR(__xludf.DUMMYFUNCTION("""COMPUTED_VALUE"""),130.18)</f>
        <v>130.18</v>
      </c>
      <c r="E17" s="17">
        <f>IFERROR(__xludf.DUMMYFUNCTION("""COMPUTED_VALUE"""),46003.66666666667)</f>
        <v>46003.66667</v>
      </c>
      <c r="F17" s="9">
        <f>IFERROR(__xludf.DUMMYFUNCTION("""COMPUTED_VALUE"""),130.18)</f>
        <v>130.18</v>
      </c>
      <c r="M17" s="17">
        <f>IFERROR(__xludf.DUMMYFUNCTION("""COMPUTED_VALUE"""),46003.66666666667)</f>
        <v>46003.66667</v>
      </c>
      <c r="N17" s="9">
        <f>IFERROR(__xludf.DUMMYFUNCTION("""COMPUTED_VALUE"""),130.18)</f>
        <v>130.18</v>
      </c>
      <c r="P17" s="17">
        <f>IFERROR(__xludf.DUMMYFUNCTION("""COMPUTED_VALUE"""),46003.66666666667)</f>
        <v>46003.66667</v>
      </c>
      <c r="Q17" s="9">
        <f>IFERROR(__xludf.DUMMYFUNCTION("""COMPUTED_VALUE"""),209.41)</f>
        <v>209.41</v>
      </c>
    </row>
    <row r="18">
      <c r="B18" s="11">
        <f>IFERROR(__xludf.DUMMYFUNCTION("""COMPUTED_VALUE"""),46002.66666666667)</f>
        <v>46002.66667</v>
      </c>
      <c r="C18" s="9">
        <f>IFERROR(__xludf.DUMMYFUNCTION("""COMPUTED_VALUE"""),130.56)</f>
        <v>130.56</v>
      </c>
      <c r="E18" s="17">
        <f>IFERROR(__xludf.DUMMYFUNCTION("""COMPUTED_VALUE"""),46002.66666666667)</f>
        <v>46002.66667</v>
      </c>
      <c r="F18" s="9">
        <f>IFERROR(__xludf.DUMMYFUNCTION("""COMPUTED_VALUE"""),130.56)</f>
        <v>130.56</v>
      </c>
      <c r="M18" s="17">
        <f>IFERROR(__xludf.DUMMYFUNCTION("""COMPUTED_VALUE"""),46002.66666666667)</f>
        <v>46002.66667</v>
      </c>
      <c r="N18" s="9">
        <f>IFERROR(__xludf.DUMMYFUNCTION("""COMPUTED_VALUE"""),130.56)</f>
        <v>130.56</v>
      </c>
      <c r="P18" s="17">
        <f>IFERROR(__xludf.DUMMYFUNCTION("""COMPUTED_VALUE"""),46002.66666666667)</f>
        <v>46002.66667</v>
      </c>
      <c r="Q18" s="9">
        <f>IFERROR(__xludf.DUMMYFUNCTION("""COMPUTED_VALUE"""),208.27)</f>
        <v>208.27</v>
      </c>
    </row>
    <row r="19">
      <c r="B19" s="11">
        <f>IFERROR(__xludf.DUMMYFUNCTION("""COMPUTED_VALUE"""),46001.66666666667)</f>
        <v>46001.66667</v>
      </c>
      <c r="C19" s="9">
        <f>IFERROR(__xludf.DUMMYFUNCTION("""COMPUTED_VALUE"""),129.71)</f>
        <v>129.71</v>
      </c>
      <c r="E19" s="17">
        <f>IFERROR(__xludf.DUMMYFUNCTION("""COMPUTED_VALUE"""),46001.66666666667)</f>
        <v>46001.66667</v>
      </c>
      <c r="F19" s="9">
        <f>IFERROR(__xludf.DUMMYFUNCTION("""COMPUTED_VALUE"""),129.71)</f>
        <v>129.71</v>
      </c>
      <c r="M19" s="17">
        <f>IFERROR(__xludf.DUMMYFUNCTION("""COMPUTED_VALUE"""),46001.66666666667)</f>
        <v>46001.66667</v>
      </c>
      <c r="N19" s="9">
        <f>IFERROR(__xludf.DUMMYFUNCTION("""COMPUTED_VALUE"""),129.71)</f>
        <v>129.71</v>
      </c>
      <c r="P19" s="17">
        <f>IFERROR(__xludf.DUMMYFUNCTION("""COMPUTED_VALUE"""),46001.66666666667)</f>
        <v>46001.66667</v>
      </c>
      <c r="Q19" s="9">
        <f>IFERROR(__xludf.DUMMYFUNCTION("""COMPUTED_VALUE"""),204.44)</f>
        <v>204.44</v>
      </c>
    </row>
    <row r="20">
      <c r="B20" s="11">
        <f>IFERROR(__xludf.DUMMYFUNCTION("""COMPUTED_VALUE"""),46000.66666666667)</f>
        <v>46000.66667</v>
      </c>
      <c r="C20" s="9">
        <f>IFERROR(__xludf.DUMMYFUNCTION("""COMPUTED_VALUE"""),127.45)</f>
        <v>127.45</v>
      </c>
      <c r="E20" s="17">
        <f>IFERROR(__xludf.DUMMYFUNCTION("""COMPUTED_VALUE"""),46000.66666666667)</f>
        <v>46000.66667</v>
      </c>
      <c r="F20" s="9">
        <f>IFERROR(__xludf.DUMMYFUNCTION("""COMPUTED_VALUE"""),127.45)</f>
        <v>127.45</v>
      </c>
      <c r="M20" s="17">
        <f>IFERROR(__xludf.DUMMYFUNCTION("""COMPUTED_VALUE"""),46000.66666666667)</f>
        <v>46000.66667</v>
      </c>
      <c r="N20" s="9">
        <f>IFERROR(__xludf.DUMMYFUNCTION("""COMPUTED_VALUE"""),127.45)</f>
        <v>127.45</v>
      </c>
      <c r="P20" s="17">
        <f>IFERROR(__xludf.DUMMYFUNCTION("""COMPUTED_VALUE"""),46000.66666666667)</f>
        <v>46000.66667</v>
      </c>
      <c r="Q20" s="9">
        <f>IFERROR(__xludf.DUMMYFUNCTION("""COMPUTED_VALUE"""),202.63)</f>
        <v>202.63</v>
      </c>
    </row>
    <row r="21">
      <c r="B21" s="11">
        <f>IFERROR(__xludf.DUMMYFUNCTION("""COMPUTED_VALUE"""),45999.66666666667)</f>
        <v>45999.66667</v>
      </c>
      <c r="C21" s="9">
        <f>IFERROR(__xludf.DUMMYFUNCTION("""COMPUTED_VALUE"""),126.67)</f>
        <v>126.67</v>
      </c>
      <c r="E21" s="17">
        <f>IFERROR(__xludf.DUMMYFUNCTION("""COMPUTED_VALUE"""),45999.66666666667)</f>
        <v>45999.66667</v>
      </c>
      <c r="F21" s="9">
        <f>IFERROR(__xludf.DUMMYFUNCTION("""COMPUTED_VALUE"""),126.67)</f>
        <v>126.67</v>
      </c>
      <c r="M21" s="17">
        <f>IFERROR(__xludf.DUMMYFUNCTION("""COMPUTED_VALUE"""),45999.66666666667)</f>
        <v>45999.66667</v>
      </c>
      <c r="N21" s="9">
        <f>IFERROR(__xludf.DUMMYFUNCTION("""COMPUTED_VALUE"""),126.67)</f>
        <v>126.67</v>
      </c>
      <c r="P21" s="17">
        <f>IFERROR(__xludf.DUMMYFUNCTION("""COMPUTED_VALUE"""),45999.66666666667)</f>
        <v>45999.66667</v>
      </c>
      <c r="Q21" s="9">
        <f>IFERROR(__xludf.DUMMYFUNCTION("""COMPUTED_VALUE"""),204.35)</f>
        <v>204.35</v>
      </c>
    </row>
    <row r="22">
      <c r="B22" s="11">
        <f>IFERROR(__xludf.DUMMYFUNCTION("""COMPUTED_VALUE"""),45996.66666666667)</f>
        <v>45996.66667</v>
      </c>
      <c r="C22" s="9">
        <f>IFERROR(__xludf.DUMMYFUNCTION("""COMPUTED_VALUE"""),127.98)</f>
        <v>127.98</v>
      </c>
      <c r="E22" s="17">
        <f>IFERROR(__xludf.DUMMYFUNCTION("""COMPUTED_VALUE"""),45996.66666666667)</f>
        <v>45996.66667</v>
      </c>
      <c r="F22" s="9">
        <f>IFERROR(__xludf.DUMMYFUNCTION("""COMPUTED_VALUE"""),127.98)</f>
        <v>127.98</v>
      </c>
      <c r="M22" s="17">
        <f>IFERROR(__xludf.DUMMYFUNCTION("""COMPUTED_VALUE"""),45996.66666666667)</f>
        <v>45996.66667</v>
      </c>
      <c r="N22" s="9">
        <f>IFERROR(__xludf.DUMMYFUNCTION("""COMPUTED_VALUE"""),127.98)</f>
        <v>127.98</v>
      </c>
      <c r="P22" s="17">
        <f>IFERROR(__xludf.DUMMYFUNCTION("""COMPUTED_VALUE"""),45996.66666666667)</f>
        <v>45996.66667</v>
      </c>
      <c r="Q22" s="9">
        <f>IFERROR(__xludf.DUMMYFUNCTION("""COMPUTED_VALUE"""),202.41)</f>
        <v>202.41</v>
      </c>
    </row>
    <row r="23">
      <c r="B23" s="11">
        <f>IFERROR(__xludf.DUMMYFUNCTION("""COMPUTED_VALUE"""),45995.66666666667)</f>
        <v>45995.66667</v>
      </c>
      <c r="C23" s="9">
        <f>IFERROR(__xludf.DUMMYFUNCTION("""COMPUTED_VALUE"""),128.18)</f>
        <v>128.18</v>
      </c>
      <c r="E23" s="17">
        <f>IFERROR(__xludf.DUMMYFUNCTION("""COMPUTED_VALUE"""),45995.66666666667)</f>
        <v>45995.66667</v>
      </c>
      <c r="F23" s="9">
        <f>IFERROR(__xludf.DUMMYFUNCTION("""COMPUTED_VALUE"""),128.18)</f>
        <v>128.18</v>
      </c>
      <c r="M23" s="17">
        <f>IFERROR(__xludf.DUMMYFUNCTION("""COMPUTED_VALUE"""),45995.66666666667)</f>
        <v>45995.66667</v>
      </c>
      <c r="N23" s="9">
        <f>IFERROR(__xludf.DUMMYFUNCTION("""COMPUTED_VALUE"""),128.18)</f>
        <v>128.18</v>
      </c>
      <c r="P23" s="17">
        <f>IFERROR(__xludf.DUMMYFUNCTION("""COMPUTED_VALUE"""),45995.66666666667)</f>
        <v>45995.66667</v>
      </c>
      <c r="Q23" s="9">
        <f>IFERROR(__xludf.DUMMYFUNCTION("""COMPUTED_VALUE"""),204.67)</f>
        <v>204.67</v>
      </c>
    </row>
    <row r="24">
      <c r="B24" s="11">
        <f>IFERROR(__xludf.DUMMYFUNCTION("""COMPUTED_VALUE"""),45994.66666666667)</f>
        <v>45994.66667</v>
      </c>
      <c r="C24" s="9">
        <f>IFERROR(__xludf.DUMMYFUNCTION("""COMPUTED_VALUE"""),129.19)</f>
        <v>129.19</v>
      </c>
      <c r="E24" s="17">
        <f>IFERROR(__xludf.DUMMYFUNCTION("""COMPUTED_VALUE"""),45994.66666666667)</f>
        <v>45994.66667</v>
      </c>
      <c r="F24" s="9">
        <f>IFERROR(__xludf.DUMMYFUNCTION("""COMPUTED_VALUE"""),129.19)</f>
        <v>129.19</v>
      </c>
      <c r="M24" s="17">
        <f>IFERROR(__xludf.DUMMYFUNCTION("""COMPUTED_VALUE"""),45994.66666666667)</f>
        <v>45994.66667</v>
      </c>
      <c r="N24" s="9">
        <f>IFERROR(__xludf.DUMMYFUNCTION("""COMPUTED_VALUE"""),129.19)</f>
        <v>129.19</v>
      </c>
      <c r="P24" s="17">
        <f>IFERROR(__xludf.DUMMYFUNCTION("""COMPUTED_VALUE"""),45994.66666666667)</f>
        <v>45994.66667</v>
      </c>
      <c r="Q24" s="9">
        <f>IFERROR(__xludf.DUMMYFUNCTION("""COMPUTED_VALUE"""),201.62)</f>
        <v>201.62</v>
      </c>
    </row>
    <row r="25">
      <c r="B25" s="11">
        <f>IFERROR(__xludf.DUMMYFUNCTION("""COMPUTED_VALUE"""),45993.66666666667)</f>
        <v>45993.66667</v>
      </c>
      <c r="C25" s="9">
        <f>IFERROR(__xludf.DUMMYFUNCTION("""COMPUTED_VALUE"""),128.93)</f>
        <v>128.93</v>
      </c>
      <c r="E25" s="17">
        <f>IFERROR(__xludf.DUMMYFUNCTION("""COMPUTED_VALUE"""),45993.66666666667)</f>
        <v>45993.66667</v>
      </c>
      <c r="F25" s="9">
        <f>IFERROR(__xludf.DUMMYFUNCTION("""COMPUTED_VALUE"""),128.93)</f>
        <v>128.93</v>
      </c>
      <c r="M25" s="17">
        <f>IFERROR(__xludf.DUMMYFUNCTION("""COMPUTED_VALUE"""),45993.66666666667)</f>
        <v>45993.66667</v>
      </c>
      <c r="N25" s="9">
        <f>IFERROR(__xludf.DUMMYFUNCTION("""COMPUTED_VALUE"""),128.93)</f>
        <v>128.93</v>
      </c>
      <c r="P25" s="17"/>
    </row>
    <row r="26">
      <c r="B26" s="11">
        <f>IFERROR(__xludf.DUMMYFUNCTION("""COMPUTED_VALUE"""),45992.66666666667)</f>
        <v>45992.66667</v>
      </c>
      <c r="C26" s="9">
        <f>IFERROR(__xludf.DUMMYFUNCTION("""COMPUTED_VALUE"""),128.93)</f>
        <v>128.93</v>
      </c>
      <c r="E26" s="17">
        <f>IFERROR(__xludf.DUMMYFUNCTION("""COMPUTED_VALUE"""),45992.66666666667)</f>
        <v>45992.66667</v>
      </c>
      <c r="F26" s="9">
        <f>IFERROR(__xludf.DUMMYFUNCTION("""COMPUTED_VALUE"""),128.93)</f>
        <v>128.93</v>
      </c>
      <c r="M26" s="17">
        <f>IFERROR(__xludf.DUMMYFUNCTION("""COMPUTED_VALUE"""),45992.66666666667)</f>
        <v>45992.66667</v>
      </c>
      <c r="N26" s="9">
        <f>IFERROR(__xludf.DUMMYFUNCTION("""COMPUTED_VALUE"""),128.93)</f>
        <v>128.93</v>
      </c>
      <c r="P26" s="17"/>
    </row>
    <row r="27">
      <c r="B27" s="11">
        <f>IFERROR(__xludf.DUMMYFUNCTION("""COMPUTED_VALUE"""),45989.54166666667)</f>
        <v>45989.54167</v>
      </c>
      <c r="C27" s="9">
        <f>IFERROR(__xludf.DUMMYFUNCTION("""COMPUTED_VALUE"""),128.53)</f>
        <v>128.53</v>
      </c>
      <c r="E27" s="17">
        <f>IFERROR(__xludf.DUMMYFUNCTION("""COMPUTED_VALUE"""),45989.54166666667)</f>
        <v>45989.54167</v>
      </c>
      <c r="F27" s="9">
        <f>IFERROR(__xludf.DUMMYFUNCTION("""COMPUTED_VALUE"""),128.53)</f>
        <v>128.53</v>
      </c>
      <c r="M27" s="17">
        <f>IFERROR(__xludf.DUMMYFUNCTION("""COMPUTED_VALUE"""),45989.54166666667)</f>
        <v>45989.54167</v>
      </c>
      <c r="N27" s="9">
        <f>IFERROR(__xludf.DUMMYFUNCTION("""COMPUTED_VALUE"""),128.53)</f>
        <v>128.53</v>
      </c>
      <c r="P27" s="17"/>
    </row>
    <row r="28">
      <c r="B28" s="11">
        <f>IFERROR(__xludf.DUMMYFUNCTION("""COMPUTED_VALUE"""),45987.66666666667)</f>
        <v>45987.66667</v>
      </c>
      <c r="C28" s="9">
        <f>IFERROR(__xludf.DUMMYFUNCTION("""COMPUTED_VALUE"""),128.16)</f>
        <v>128.16</v>
      </c>
      <c r="E28" s="17">
        <f>IFERROR(__xludf.DUMMYFUNCTION("""COMPUTED_VALUE"""),45987.66666666667)</f>
        <v>45987.66667</v>
      </c>
      <c r="F28" s="9">
        <f>IFERROR(__xludf.DUMMYFUNCTION("""COMPUTED_VALUE"""),128.16)</f>
        <v>128.16</v>
      </c>
      <c r="M28" s="17">
        <f>IFERROR(__xludf.DUMMYFUNCTION("""COMPUTED_VALUE"""),45987.66666666667)</f>
        <v>45987.66667</v>
      </c>
      <c r="N28" s="9">
        <f>IFERROR(__xludf.DUMMYFUNCTION("""COMPUTED_VALUE"""),128.16)</f>
        <v>128.16</v>
      </c>
      <c r="P28" s="17"/>
    </row>
    <row r="29">
      <c r="B29" s="11">
        <f>IFERROR(__xludf.DUMMYFUNCTION("""COMPUTED_VALUE"""),45986.66666666667)</f>
        <v>45986.66667</v>
      </c>
      <c r="C29" s="9">
        <f>IFERROR(__xludf.DUMMYFUNCTION("""COMPUTED_VALUE"""),127.39)</f>
        <v>127.39</v>
      </c>
      <c r="E29" s="17">
        <f>IFERROR(__xludf.DUMMYFUNCTION("""COMPUTED_VALUE"""),45986.66666666667)</f>
        <v>45986.66667</v>
      </c>
      <c r="F29" s="9">
        <f>IFERROR(__xludf.DUMMYFUNCTION("""COMPUTED_VALUE"""),127.39)</f>
        <v>127.39</v>
      </c>
      <c r="M29" s="17">
        <f>IFERROR(__xludf.DUMMYFUNCTION("""COMPUTED_VALUE"""),45986.66666666667)</f>
        <v>45986.66667</v>
      </c>
      <c r="N29" s="9">
        <f>IFERROR(__xludf.DUMMYFUNCTION("""COMPUTED_VALUE"""),127.39)</f>
        <v>127.39</v>
      </c>
      <c r="P29" s="17"/>
    </row>
    <row r="30">
      <c r="B30" s="11">
        <f>IFERROR(__xludf.DUMMYFUNCTION("""COMPUTED_VALUE"""),45985.66666666667)</f>
        <v>45985.66667</v>
      </c>
      <c r="C30" s="9">
        <f>IFERROR(__xludf.DUMMYFUNCTION("""COMPUTED_VALUE"""),126.45)</f>
        <v>126.45</v>
      </c>
      <c r="E30" s="17">
        <f>IFERROR(__xludf.DUMMYFUNCTION("""COMPUTED_VALUE"""),45985.66666666667)</f>
        <v>45985.66667</v>
      </c>
      <c r="F30" s="9">
        <f>IFERROR(__xludf.DUMMYFUNCTION("""COMPUTED_VALUE"""),126.45)</f>
        <v>126.45</v>
      </c>
      <c r="M30" s="17">
        <f>IFERROR(__xludf.DUMMYFUNCTION("""COMPUTED_VALUE"""),45985.66666666667)</f>
        <v>45985.66667</v>
      </c>
      <c r="N30" s="9">
        <f>IFERROR(__xludf.DUMMYFUNCTION("""COMPUTED_VALUE"""),126.45)</f>
        <v>126.45</v>
      </c>
      <c r="P30" s="17"/>
    </row>
    <row r="31">
      <c r="B31" s="11">
        <f>IFERROR(__xludf.DUMMYFUNCTION("""COMPUTED_VALUE"""),45982.66666666667)</f>
        <v>45982.66667</v>
      </c>
      <c r="C31" s="9">
        <f>IFERROR(__xludf.DUMMYFUNCTION("""COMPUTED_VALUE"""),125.79)</f>
        <v>125.79</v>
      </c>
      <c r="E31" s="17">
        <f>IFERROR(__xludf.DUMMYFUNCTION("""COMPUTED_VALUE"""),45982.66666666667)</f>
        <v>45982.66667</v>
      </c>
      <c r="F31" s="9">
        <f>IFERROR(__xludf.DUMMYFUNCTION("""COMPUTED_VALUE"""),125.79)</f>
        <v>125.79</v>
      </c>
      <c r="M31" s="17">
        <f>IFERROR(__xludf.DUMMYFUNCTION("""COMPUTED_VALUE"""),45982.66666666667)</f>
        <v>45982.66667</v>
      </c>
      <c r="N31" s="9">
        <f>IFERROR(__xludf.DUMMYFUNCTION("""COMPUTED_VALUE"""),125.79)</f>
        <v>125.79</v>
      </c>
      <c r="P31" s="17"/>
    </row>
    <row r="32">
      <c r="B32" s="11">
        <f>IFERROR(__xludf.DUMMYFUNCTION("""COMPUTED_VALUE"""),45981.66666666667)</f>
        <v>45981.66667</v>
      </c>
      <c r="C32" s="9">
        <f>IFERROR(__xludf.DUMMYFUNCTION("""COMPUTED_VALUE"""),123.12)</f>
        <v>123.12</v>
      </c>
      <c r="E32" s="17">
        <f>IFERROR(__xludf.DUMMYFUNCTION("""COMPUTED_VALUE"""),45981.66666666667)</f>
        <v>45981.66667</v>
      </c>
      <c r="F32" s="9">
        <f>IFERROR(__xludf.DUMMYFUNCTION("""COMPUTED_VALUE"""),123.12)</f>
        <v>123.12</v>
      </c>
      <c r="M32" s="17">
        <f>IFERROR(__xludf.DUMMYFUNCTION("""COMPUTED_VALUE"""),45981.66666666667)</f>
        <v>45981.66667</v>
      </c>
      <c r="N32" s="9">
        <f>IFERROR(__xludf.DUMMYFUNCTION("""COMPUTED_VALUE"""),123.12)</f>
        <v>123.12</v>
      </c>
      <c r="P32" s="17"/>
    </row>
    <row r="33">
      <c r="B33" s="11">
        <f>IFERROR(__xludf.DUMMYFUNCTION("""COMPUTED_VALUE"""),45980.66666666667)</f>
        <v>45980.66667</v>
      </c>
      <c r="C33" s="9">
        <f>IFERROR(__xludf.DUMMYFUNCTION("""COMPUTED_VALUE"""),122.4)</f>
        <v>122.4</v>
      </c>
      <c r="E33" s="17">
        <f>IFERROR(__xludf.DUMMYFUNCTION("""COMPUTED_VALUE"""),45980.66666666667)</f>
        <v>45980.66667</v>
      </c>
      <c r="F33" s="9">
        <f>IFERROR(__xludf.DUMMYFUNCTION("""COMPUTED_VALUE"""),122.4)</f>
        <v>122.4</v>
      </c>
      <c r="M33" s="17">
        <f>IFERROR(__xludf.DUMMYFUNCTION("""COMPUTED_VALUE"""),45980.66666666667)</f>
        <v>45980.66667</v>
      </c>
      <c r="N33" s="9">
        <f>IFERROR(__xludf.DUMMYFUNCTION("""COMPUTED_VALUE"""),122.4)</f>
        <v>122.4</v>
      </c>
      <c r="P33" s="17"/>
    </row>
    <row r="34">
      <c r="B34" s="11">
        <f>IFERROR(__xludf.DUMMYFUNCTION("""COMPUTED_VALUE"""),45979.66666666667)</f>
        <v>45979.66667</v>
      </c>
      <c r="C34" s="9">
        <f>IFERROR(__xludf.DUMMYFUNCTION("""COMPUTED_VALUE"""),123.8)</f>
        <v>123.8</v>
      </c>
      <c r="E34" s="17">
        <f>IFERROR(__xludf.DUMMYFUNCTION("""COMPUTED_VALUE"""),45979.66666666667)</f>
        <v>45979.66667</v>
      </c>
      <c r="F34" s="9">
        <f>IFERROR(__xludf.DUMMYFUNCTION("""COMPUTED_VALUE"""),123.8)</f>
        <v>123.8</v>
      </c>
      <c r="M34" s="17">
        <f>IFERROR(__xludf.DUMMYFUNCTION("""COMPUTED_VALUE"""),45979.66666666667)</f>
        <v>45979.66667</v>
      </c>
      <c r="N34" s="9">
        <f>IFERROR(__xludf.DUMMYFUNCTION("""COMPUTED_VALUE"""),123.8)</f>
        <v>123.8</v>
      </c>
      <c r="P34" s="17"/>
    </row>
    <row r="35">
      <c r="B35" s="11">
        <f>IFERROR(__xludf.DUMMYFUNCTION("""COMPUTED_VALUE"""),45978.66666666667)</f>
        <v>45978.66667</v>
      </c>
      <c r="C35" s="9">
        <f>IFERROR(__xludf.DUMMYFUNCTION("""COMPUTED_VALUE"""),123.52)</f>
        <v>123.52</v>
      </c>
      <c r="E35" s="17">
        <f>IFERROR(__xludf.DUMMYFUNCTION("""COMPUTED_VALUE"""),45978.66666666667)</f>
        <v>45978.66667</v>
      </c>
      <c r="F35" s="9">
        <f>IFERROR(__xludf.DUMMYFUNCTION("""COMPUTED_VALUE"""),123.52)</f>
        <v>123.52</v>
      </c>
      <c r="M35" s="17">
        <f>IFERROR(__xludf.DUMMYFUNCTION("""COMPUTED_VALUE"""),45978.66666666667)</f>
        <v>45978.66667</v>
      </c>
      <c r="N35" s="9">
        <f>IFERROR(__xludf.DUMMYFUNCTION("""COMPUTED_VALUE"""),123.52)</f>
        <v>123.52</v>
      </c>
      <c r="P35" s="17"/>
    </row>
    <row r="36">
      <c r="B36" s="11">
        <f>IFERROR(__xludf.DUMMYFUNCTION("""COMPUTED_VALUE"""),45975.66666666667)</f>
        <v>45975.66667</v>
      </c>
      <c r="C36" s="9">
        <f>IFERROR(__xludf.DUMMYFUNCTION("""COMPUTED_VALUE"""),122.83)</f>
        <v>122.83</v>
      </c>
      <c r="E36" s="17">
        <f>IFERROR(__xludf.DUMMYFUNCTION("""COMPUTED_VALUE"""),45975.66666666667)</f>
        <v>45975.66667</v>
      </c>
      <c r="F36" s="9">
        <f>IFERROR(__xludf.DUMMYFUNCTION("""COMPUTED_VALUE"""),122.83)</f>
        <v>122.83</v>
      </c>
      <c r="M36" s="17">
        <f>IFERROR(__xludf.DUMMYFUNCTION("""COMPUTED_VALUE"""),45975.66666666667)</f>
        <v>45975.66667</v>
      </c>
      <c r="N36" s="9">
        <f>IFERROR(__xludf.DUMMYFUNCTION("""COMPUTED_VALUE"""),122.83)</f>
        <v>122.83</v>
      </c>
      <c r="P36" s="17"/>
    </row>
    <row r="37">
      <c r="B37" s="11">
        <f>IFERROR(__xludf.DUMMYFUNCTION("""COMPUTED_VALUE"""),45974.66666666667)</f>
        <v>45974.66667</v>
      </c>
      <c r="C37" s="9">
        <f>IFERROR(__xludf.DUMMYFUNCTION("""COMPUTED_VALUE"""),124.0)</f>
        <v>124</v>
      </c>
      <c r="E37" s="17">
        <f>IFERROR(__xludf.DUMMYFUNCTION("""COMPUTED_VALUE"""),45974.66666666667)</f>
        <v>45974.66667</v>
      </c>
      <c r="F37" s="9">
        <f>IFERROR(__xludf.DUMMYFUNCTION("""COMPUTED_VALUE"""),124.0)</f>
        <v>124</v>
      </c>
      <c r="M37" s="17">
        <f>IFERROR(__xludf.DUMMYFUNCTION("""COMPUTED_VALUE"""),45974.66666666667)</f>
        <v>45974.66667</v>
      </c>
      <c r="N37" s="9">
        <f>IFERROR(__xludf.DUMMYFUNCTION("""COMPUTED_VALUE"""),124.0)</f>
        <v>124</v>
      </c>
      <c r="P37" s="17"/>
    </row>
    <row r="38">
      <c r="B38" s="11">
        <f>IFERROR(__xludf.DUMMYFUNCTION("""COMPUTED_VALUE"""),45973.66666666667)</f>
        <v>45973.66667</v>
      </c>
      <c r="C38" s="9">
        <f>IFERROR(__xludf.DUMMYFUNCTION("""COMPUTED_VALUE"""),124.84)</f>
        <v>124.84</v>
      </c>
      <c r="E38" s="17">
        <f>IFERROR(__xludf.DUMMYFUNCTION("""COMPUTED_VALUE"""),45973.66666666667)</f>
        <v>45973.66667</v>
      </c>
      <c r="F38" s="9">
        <f>IFERROR(__xludf.DUMMYFUNCTION("""COMPUTED_VALUE"""),124.84)</f>
        <v>124.84</v>
      </c>
      <c r="M38" s="17">
        <f>IFERROR(__xludf.DUMMYFUNCTION("""COMPUTED_VALUE"""),45973.66666666667)</f>
        <v>45973.66667</v>
      </c>
      <c r="N38" s="9">
        <f>IFERROR(__xludf.DUMMYFUNCTION("""COMPUTED_VALUE"""),124.84)</f>
        <v>124.84</v>
      </c>
      <c r="P38" s="17"/>
    </row>
    <row r="39">
      <c r="B39" s="11">
        <f>IFERROR(__xludf.DUMMYFUNCTION("""COMPUTED_VALUE"""),45972.66666666667)</f>
        <v>45972.66667</v>
      </c>
      <c r="C39" s="9">
        <f>IFERROR(__xludf.DUMMYFUNCTION("""COMPUTED_VALUE"""),126.26)</f>
        <v>126.26</v>
      </c>
      <c r="E39" s="17">
        <f>IFERROR(__xludf.DUMMYFUNCTION("""COMPUTED_VALUE"""),45972.66666666667)</f>
        <v>45972.66667</v>
      </c>
      <c r="F39" s="9">
        <f>IFERROR(__xludf.DUMMYFUNCTION("""COMPUTED_VALUE"""),126.26)</f>
        <v>126.26</v>
      </c>
      <c r="M39" s="17">
        <f>IFERROR(__xludf.DUMMYFUNCTION("""COMPUTED_VALUE"""),45972.66666666667)</f>
        <v>45972.66667</v>
      </c>
      <c r="N39" s="9">
        <f>IFERROR(__xludf.DUMMYFUNCTION("""COMPUTED_VALUE"""),126.26)</f>
        <v>126.26</v>
      </c>
      <c r="P39" s="17"/>
    </row>
    <row r="40">
      <c r="B40" s="11">
        <f>IFERROR(__xludf.DUMMYFUNCTION("""COMPUTED_VALUE"""),45971.66666666667)</f>
        <v>45971.66667</v>
      </c>
      <c r="C40" s="9">
        <f>IFERROR(__xludf.DUMMYFUNCTION("""COMPUTED_VALUE"""),124.9)</f>
        <v>124.9</v>
      </c>
      <c r="E40" s="17">
        <f>IFERROR(__xludf.DUMMYFUNCTION("""COMPUTED_VALUE"""),45971.66666666667)</f>
        <v>45971.66667</v>
      </c>
      <c r="F40" s="9">
        <f>IFERROR(__xludf.DUMMYFUNCTION("""COMPUTED_VALUE"""),124.9)</f>
        <v>124.9</v>
      </c>
      <c r="M40" s="17">
        <f>IFERROR(__xludf.DUMMYFUNCTION("""COMPUTED_VALUE"""),45971.66666666667)</f>
        <v>45971.66667</v>
      </c>
      <c r="N40" s="9">
        <f>IFERROR(__xludf.DUMMYFUNCTION("""COMPUTED_VALUE"""),124.9)</f>
        <v>124.9</v>
      </c>
      <c r="P40" s="17"/>
    </row>
    <row r="41">
      <c r="B41" s="11">
        <f>IFERROR(__xludf.DUMMYFUNCTION("""COMPUTED_VALUE"""),45968.66666666667)</f>
        <v>45968.66667</v>
      </c>
      <c r="C41" s="9">
        <f>IFERROR(__xludf.DUMMYFUNCTION("""COMPUTED_VALUE"""),125.6)</f>
        <v>125.6</v>
      </c>
      <c r="E41" s="17">
        <f>IFERROR(__xludf.DUMMYFUNCTION("""COMPUTED_VALUE"""),45968.66666666667)</f>
        <v>45968.66667</v>
      </c>
      <c r="F41" s="9">
        <f>IFERROR(__xludf.DUMMYFUNCTION("""COMPUTED_VALUE"""),125.6)</f>
        <v>125.6</v>
      </c>
      <c r="M41" s="17">
        <f>IFERROR(__xludf.DUMMYFUNCTION("""COMPUTED_VALUE"""),45968.66666666667)</f>
        <v>45968.66667</v>
      </c>
      <c r="N41" s="9">
        <f>IFERROR(__xludf.DUMMYFUNCTION("""COMPUTED_VALUE"""),125.6)</f>
        <v>125.6</v>
      </c>
      <c r="P41" s="17"/>
    </row>
    <row r="42">
      <c r="B42" s="11">
        <f>IFERROR(__xludf.DUMMYFUNCTION("""COMPUTED_VALUE"""),45967.66666666667)</f>
        <v>45967.66667</v>
      </c>
      <c r="C42" s="9">
        <f>IFERROR(__xludf.DUMMYFUNCTION("""COMPUTED_VALUE"""),124.0)</f>
        <v>124</v>
      </c>
      <c r="E42" s="17">
        <f>IFERROR(__xludf.DUMMYFUNCTION("""COMPUTED_VALUE"""),45967.66666666667)</f>
        <v>45967.66667</v>
      </c>
      <c r="F42" s="9">
        <f>IFERROR(__xludf.DUMMYFUNCTION("""COMPUTED_VALUE"""),124.0)</f>
        <v>124</v>
      </c>
      <c r="M42" s="17">
        <f>IFERROR(__xludf.DUMMYFUNCTION("""COMPUTED_VALUE"""),45967.66666666667)</f>
        <v>45967.66667</v>
      </c>
      <c r="N42" s="9">
        <f>IFERROR(__xludf.DUMMYFUNCTION("""COMPUTED_VALUE"""),124.0)</f>
        <v>124</v>
      </c>
      <c r="P42" s="17"/>
    </row>
    <row r="43">
      <c r="B43" s="11">
        <f>IFERROR(__xludf.DUMMYFUNCTION("""COMPUTED_VALUE"""),45966.66666666667)</f>
        <v>45966.66667</v>
      </c>
      <c r="C43" s="9">
        <f>IFERROR(__xludf.DUMMYFUNCTION("""COMPUTED_VALUE"""),123.82)</f>
        <v>123.82</v>
      </c>
      <c r="E43" s="17">
        <f>IFERROR(__xludf.DUMMYFUNCTION("""COMPUTED_VALUE"""),45966.66666666667)</f>
        <v>45966.66667</v>
      </c>
      <c r="F43" s="9">
        <f>IFERROR(__xludf.DUMMYFUNCTION("""COMPUTED_VALUE"""),123.82)</f>
        <v>123.82</v>
      </c>
      <c r="M43" s="17">
        <f>IFERROR(__xludf.DUMMYFUNCTION("""COMPUTED_VALUE"""),45966.66666666667)</f>
        <v>45966.66667</v>
      </c>
      <c r="N43" s="9">
        <f>IFERROR(__xludf.DUMMYFUNCTION("""COMPUTED_VALUE"""),123.82)</f>
        <v>123.82</v>
      </c>
      <c r="P43" s="17"/>
    </row>
    <row r="44">
      <c r="B44" s="11">
        <f>IFERROR(__xludf.DUMMYFUNCTION("""COMPUTED_VALUE"""),45965.66666666667)</f>
        <v>45965.66667</v>
      </c>
      <c r="C44" s="9">
        <f>IFERROR(__xludf.DUMMYFUNCTION("""COMPUTED_VALUE"""),124.0)</f>
        <v>124</v>
      </c>
      <c r="E44" s="17">
        <f>IFERROR(__xludf.DUMMYFUNCTION("""COMPUTED_VALUE"""),45965.66666666667)</f>
        <v>45965.66667</v>
      </c>
      <c r="F44" s="9">
        <f>IFERROR(__xludf.DUMMYFUNCTION("""COMPUTED_VALUE"""),124.0)</f>
        <v>124</v>
      </c>
      <c r="M44" s="17">
        <f>IFERROR(__xludf.DUMMYFUNCTION("""COMPUTED_VALUE"""),45965.66666666667)</f>
        <v>45965.66667</v>
      </c>
      <c r="N44" s="9">
        <f>IFERROR(__xludf.DUMMYFUNCTION("""COMPUTED_VALUE"""),124.0)</f>
        <v>124</v>
      </c>
      <c r="P44" s="17"/>
    </row>
    <row r="45">
      <c r="B45" s="11">
        <f>IFERROR(__xludf.DUMMYFUNCTION("""COMPUTED_VALUE"""),45964.66666666667)</f>
        <v>45964.66667</v>
      </c>
      <c r="C45" s="9">
        <f>IFERROR(__xludf.DUMMYFUNCTION("""COMPUTED_VALUE"""),124.22)</f>
        <v>124.22</v>
      </c>
      <c r="E45" s="17">
        <f>IFERROR(__xludf.DUMMYFUNCTION("""COMPUTED_VALUE"""),45964.66666666667)</f>
        <v>45964.66667</v>
      </c>
      <c r="F45" s="9">
        <f>IFERROR(__xludf.DUMMYFUNCTION("""COMPUTED_VALUE"""),124.22)</f>
        <v>124.22</v>
      </c>
      <c r="M45" s="17">
        <f>IFERROR(__xludf.DUMMYFUNCTION("""COMPUTED_VALUE"""),45964.66666666667)</f>
        <v>45964.66667</v>
      </c>
      <c r="N45" s="9">
        <f>IFERROR(__xludf.DUMMYFUNCTION("""COMPUTED_VALUE"""),124.22)</f>
        <v>124.22</v>
      </c>
      <c r="P45" s="17"/>
    </row>
    <row r="46">
      <c r="B46" s="11">
        <f>IFERROR(__xludf.DUMMYFUNCTION("""COMPUTED_VALUE"""),45961.66666666667)</f>
        <v>45961.66667</v>
      </c>
      <c r="C46" s="9">
        <f>IFERROR(__xludf.DUMMYFUNCTION("""COMPUTED_VALUE"""),124.09)</f>
        <v>124.09</v>
      </c>
      <c r="E46" s="17">
        <f>IFERROR(__xludf.DUMMYFUNCTION("""COMPUTED_VALUE"""),45961.66666666667)</f>
        <v>45961.66667</v>
      </c>
      <c r="F46" s="9">
        <f>IFERROR(__xludf.DUMMYFUNCTION("""COMPUTED_VALUE"""),124.09)</f>
        <v>124.09</v>
      </c>
      <c r="M46" s="17">
        <f>IFERROR(__xludf.DUMMYFUNCTION("""COMPUTED_VALUE"""),45961.66666666667)</f>
        <v>45961.66667</v>
      </c>
      <c r="N46" s="9">
        <f>IFERROR(__xludf.DUMMYFUNCTION("""COMPUTED_VALUE"""),124.09)</f>
        <v>124.09</v>
      </c>
      <c r="P46" s="17"/>
    </row>
    <row r="47">
      <c r="B47" s="11">
        <f>IFERROR(__xludf.DUMMYFUNCTION("""COMPUTED_VALUE"""),45960.66666666667)</f>
        <v>45960.66667</v>
      </c>
      <c r="C47" s="9">
        <f>IFERROR(__xludf.DUMMYFUNCTION("""COMPUTED_VALUE"""),124.23)</f>
        <v>124.23</v>
      </c>
      <c r="E47" s="17">
        <f>IFERROR(__xludf.DUMMYFUNCTION("""COMPUTED_VALUE"""),45960.66666666667)</f>
        <v>45960.66667</v>
      </c>
      <c r="F47" s="9">
        <f>IFERROR(__xludf.DUMMYFUNCTION("""COMPUTED_VALUE"""),124.23)</f>
        <v>124.23</v>
      </c>
      <c r="M47" s="17">
        <f>IFERROR(__xludf.DUMMYFUNCTION("""COMPUTED_VALUE"""),45960.66666666667)</f>
        <v>45960.66667</v>
      </c>
      <c r="N47" s="9">
        <f>IFERROR(__xludf.DUMMYFUNCTION("""COMPUTED_VALUE"""),124.23)</f>
        <v>124.23</v>
      </c>
      <c r="P47" s="17"/>
    </row>
    <row r="48">
      <c r="B48" s="11">
        <f>IFERROR(__xludf.DUMMYFUNCTION("""COMPUTED_VALUE"""),45959.66666666667)</f>
        <v>45959.66667</v>
      </c>
      <c r="C48" s="9">
        <f>IFERROR(__xludf.DUMMYFUNCTION("""COMPUTED_VALUE"""),123.47)</f>
        <v>123.47</v>
      </c>
      <c r="E48" s="17">
        <f>IFERROR(__xludf.DUMMYFUNCTION("""COMPUTED_VALUE"""),45959.66666666667)</f>
        <v>45959.66667</v>
      </c>
      <c r="F48" s="9">
        <f>IFERROR(__xludf.DUMMYFUNCTION("""COMPUTED_VALUE"""),123.47)</f>
        <v>123.47</v>
      </c>
      <c r="M48" s="17">
        <f>IFERROR(__xludf.DUMMYFUNCTION("""COMPUTED_VALUE"""),45959.66666666667)</f>
        <v>45959.66667</v>
      </c>
      <c r="N48" s="9">
        <f>IFERROR(__xludf.DUMMYFUNCTION("""COMPUTED_VALUE"""),123.47)</f>
        <v>123.47</v>
      </c>
      <c r="P48" s="17"/>
    </row>
    <row r="49">
      <c r="B49" s="11">
        <f>IFERROR(__xludf.DUMMYFUNCTION("""COMPUTED_VALUE"""),45958.66666666667)</f>
        <v>45958.66667</v>
      </c>
      <c r="C49" s="9">
        <f>IFERROR(__xludf.DUMMYFUNCTION("""COMPUTED_VALUE"""),125.72)</f>
        <v>125.72</v>
      </c>
      <c r="E49" s="17">
        <f>IFERROR(__xludf.DUMMYFUNCTION("""COMPUTED_VALUE"""),45958.66666666667)</f>
        <v>45958.66667</v>
      </c>
      <c r="F49" s="9">
        <f>IFERROR(__xludf.DUMMYFUNCTION("""COMPUTED_VALUE"""),125.72)</f>
        <v>125.72</v>
      </c>
      <c r="M49" s="17">
        <f>IFERROR(__xludf.DUMMYFUNCTION("""COMPUTED_VALUE"""),45958.66666666667)</f>
        <v>45958.66667</v>
      </c>
      <c r="N49" s="9">
        <f>IFERROR(__xludf.DUMMYFUNCTION("""COMPUTED_VALUE"""),125.72)</f>
        <v>125.72</v>
      </c>
      <c r="P49" s="17"/>
    </row>
    <row r="50">
      <c r="B50" s="11">
        <f>IFERROR(__xludf.DUMMYFUNCTION("""COMPUTED_VALUE"""),45957.66666666667)</f>
        <v>45957.66667</v>
      </c>
      <c r="C50" s="9">
        <f>IFERROR(__xludf.DUMMYFUNCTION("""COMPUTED_VALUE"""),127.08)</f>
        <v>127.08</v>
      </c>
      <c r="E50" s="17">
        <f>IFERROR(__xludf.DUMMYFUNCTION("""COMPUTED_VALUE"""),45957.66666666667)</f>
        <v>45957.66667</v>
      </c>
      <c r="F50" s="9">
        <f>IFERROR(__xludf.DUMMYFUNCTION("""COMPUTED_VALUE"""),127.08)</f>
        <v>127.08</v>
      </c>
      <c r="M50" s="17">
        <f>IFERROR(__xludf.DUMMYFUNCTION("""COMPUTED_VALUE"""),45957.66666666667)</f>
        <v>45957.66667</v>
      </c>
      <c r="N50" s="9">
        <f>IFERROR(__xludf.DUMMYFUNCTION("""COMPUTED_VALUE"""),127.08)</f>
        <v>127.08</v>
      </c>
      <c r="P50" s="17"/>
    </row>
    <row r="51">
      <c r="B51" s="11">
        <f>IFERROR(__xludf.DUMMYFUNCTION("""COMPUTED_VALUE"""),45954.66666666667)</f>
        <v>45954.66667</v>
      </c>
      <c r="C51" s="9">
        <f>IFERROR(__xludf.DUMMYFUNCTION("""COMPUTED_VALUE"""),126.43)</f>
        <v>126.43</v>
      </c>
      <c r="E51" s="17">
        <f>IFERROR(__xludf.DUMMYFUNCTION("""COMPUTED_VALUE"""),45954.66666666667)</f>
        <v>45954.66667</v>
      </c>
      <c r="F51" s="9">
        <f>IFERROR(__xludf.DUMMYFUNCTION("""COMPUTED_VALUE"""),126.43)</f>
        <v>126.43</v>
      </c>
      <c r="M51" s="17">
        <f>IFERROR(__xludf.DUMMYFUNCTION("""COMPUTED_VALUE"""),45954.66666666667)</f>
        <v>45954.66667</v>
      </c>
      <c r="N51" s="9">
        <f>IFERROR(__xludf.DUMMYFUNCTION("""COMPUTED_VALUE"""),126.43)</f>
        <v>126.43</v>
      </c>
      <c r="P51" s="17"/>
    </row>
    <row r="52">
      <c r="B52" s="11">
        <f>IFERROR(__xludf.DUMMYFUNCTION("""COMPUTED_VALUE"""),45953.66666666667)</f>
        <v>45953.66667</v>
      </c>
      <c r="C52" s="9">
        <f>IFERROR(__xludf.DUMMYFUNCTION("""COMPUTED_VALUE"""),125.77)</f>
        <v>125.77</v>
      </c>
      <c r="E52" s="17">
        <f>IFERROR(__xludf.DUMMYFUNCTION("""COMPUTED_VALUE"""),45953.66666666667)</f>
        <v>45953.66667</v>
      </c>
      <c r="F52" s="9">
        <f>IFERROR(__xludf.DUMMYFUNCTION("""COMPUTED_VALUE"""),125.77)</f>
        <v>125.77</v>
      </c>
      <c r="M52" s="17">
        <f>IFERROR(__xludf.DUMMYFUNCTION("""COMPUTED_VALUE"""),45953.66666666667)</f>
        <v>45953.66667</v>
      </c>
      <c r="N52" s="9">
        <f>IFERROR(__xludf.DUMMYFUNCTION("""COMPUTED_VALUE"""),125.77)</f>
        <v>125.77</v>
      </c>
      <c r="P52" s="17"/>
    </row>
    <row r="53">
      <c r="B53" s="11">
        <f>IFERROR(__xludf.DUMMYFUNCTION("""COMPUTED_VALUE"""),45952.66666666667)</f>
        <v>45952.66667</v>
      </c>
      <c r="C53" s="9">
        <f>IFERROR(__xludf.DUMMYFUNCTION("""COMPUTED_VALUE"""),125.95)</f>
        <v>125.95</v>
      </c>
      <c r="E53" s="17">
        <f>IFERROR(__xludf.DUMMYFUNCTION("""COMPUTED_VALUE"""),45952.66666666667)</f>
        <v>45952.66667</v>
      </c>
      <c r="F53" s="9">
        <f>IFERROR(__xludf.DUMMYFUNCTION("""COMPUTED_VALUE"""),125.95)</f>
        <v>125.95</v>
      </c>
      <c r="M53" s="17">
        <f>IFERROR(__xludf.DUMMYFUNCTION("""COMPUTED_VALUE"""),45952.66666666667)</f>
        <v>45952.66667</v>
      </c>
      <c r="N53" s="9">
        <f>IFERROR(__xludf.DUMMYFUNCTION("""COMPUTED_VALUE"""),125.95)</f>
        <v>125.95</v>
      </c>
      <c r="P53" s="17"/>
    </row>
    <row r="54">
      <c r="B54" s="11">
        <f>IFERROR(__xludf.DUMMYFUNCTION("""COMPUTED_VALUE"""),45951.66666666667)</f>
        <v>45951.66667</v>
      </c>
      <c r="C54" s="9">
        <f>IFERROR(__xludf.DUMMYFUNCTION("""COMPUTED_VALUE"""),125.99)</f>
        <v>125.99</v>
      </c>
      <c r="E54" s="17">
        <f>IFERROR(__xludf.DUMMYFUNCTION("""COMPUTED_VALUE"""),45951.66666666667)</f>
        <v>45951.66667</v>
      </c>
      <c r="F54" s="9">
        <f>IFERROR(__xludf.DUMMYFUNCTION("""COMPUTED_VALUE"""),125.99)</f>
        <v>125.99</v>
      </c>
      <c r="M54" s="17">
        <f>IFERROR(__xludf.DUMMYFUNCTION("""COMPUTED_VALUE"""),45951.66666666667)</f>
        <v>45951.66667</v>
      </c>
      <c r="N54" s="9">
        <f>IFERROR(__xludf.DUMMYFUNCTION("""COMPUTED_VALUE"""),125.99)</f>
        <v>125.99</v>
      </c>
      <c r="P54" s="17"/>
    </row>
    <row r="55">
      <c r="B55" s="11">
        <f>IFERROR(__xludf.DUMMYFUNCTION("""COMPUTED_VALUE"""),45950.66666666667)</f>
        <v>45950.66667</v>
      </c>
      <c r="C55" s="9">
        <f>IFERROR(__xludf.DUMMYFUNCTION("""COMPUTED_VALUE"""),127.18)</f>
        <v>127.18</v>
      </c>
      <c r="E55" s="17">
        <f>IFERROR(__xludf.DUMMYFUNCTION("""COMPUTED_VALUE"""),45950.66666666667)</f>
        <v>45950.66667</v>
      </c>
      <c r="F55" s="9">
        <f>IFERROR(__xludf.DUMMYFUNCTION("""COMPUTED_VALUE"""),127.18)</f>
        <v>127.18</v>
      </c>
      <c r="M55" s="17">
        <f>IFERROR(__xludf.DUMMYFUNCTION("""COMPUTED_VALUE"""),45950.66666666667)</f>
        <v>45950.66667</v>
      </c>
      <c r="N55" s="9">
        <f>IFERROR(__xludf.DUMMYFUNCTION("""COMPUTED_VALUE"""),127.18)</f>
        <v>127.18</v>
      </c>
      <c r="P55" s="17"/>
    </row>
    <row r="56">
      <c r="B56" s="11">
        <f>IFERROR(__xludf.DUMMYFUNCTION("""COMPUTED_VALUE"""),45947.66666666667)</f>
        <v>45947.66667</v>
      </c>
      <c r="C56" s="9">
        <f>IFERROR(__xludf.DUMMYFUNCTION("""COMPUTED_VALUE"""),124.08)</f>
        <v>124.08</v>
      </c>
      <c r="E56" s="17">
        <f>IFERROR(__xludf.DUMMYFUNCTION("""COMPUTED_VALUE"""),45947.66666666667)</f>
        <v>45947.66667</v>
      </c>
      <c r="F56" s="9">
        <f>IFERROR(__xludf.DUMMYFUNCTION("""COMPUTED_VALUE"""),124.08)</f>
        <v>124.08</v>
      </c>
      <c r="M56" s="17">
        <f>IFERROR(__xludf.DUMMYFUNCTION("""COMPUTED_VALUE"""),45947.66666666667)</f>
        <v>45947.66667</v>
      </c>
      <c r="N56" s="9">
        <f>IFERROR(__xludf.DUMMYFUNCTION("""COMPUTED_VALUE"""),124.08)</f>
        <v>124.08</v>
      </c>
      <c r="P56" s="17"/>
    </row>
    <row r="57">
      <c r="B57" s="11">
        <f>IFERROR(__xludf.DUMMYFUNCTION("""COMPUTED_VALUE"""),45946.66666666667)</f>
        <v>45946.66667</v>
      </c>
      <c r="C57" s="9">
        <f>IFERROR(__xludf.DUMMYFUNCTION("""COMPUTED_VALUE"""),121.17)</f>
        <v>121.17</v>
      </c>
      <c r="E57" s="17">
        <f>IFERROR(__xludf.DUMMYFUNCTION("""COMPUTED_VALUE"""),45946.66666666667)</f>
        <v>45946.66667</v>
      </c>
      <c r="F57" s="9">
        <f>IFERROR(__xludf.DUMMYFUNCTION("""COMPUTED_VALUE"""),121.17)</f>
        <v>121.17</v>
      </c>
      <c r="M57" s="17">
        <f>IFERROR(__xludf.DUMMYFUNCTION("""COMPUTED_VALUE"""),45946.66666666667)</f>
        <v>45946.66667</v>
      </c>
      <c r="N57" s="9">
        <f>IFERROR(__xludf.DUMMYFUNCTION("""COMPUTED_VALUE"""),121.17)</f>
        <v>121.17</v>
      </c>
      <c r="P57" s="17"/>
    </row>
    <row r="58">
      <c r="B58" s="11">
        <f>IFERROR(__xludf.DUMMYFUNCTION("""COMPUTED_VALUE"""),45945.66666666667)</f>
        <v>45945.66667</v>
      </c>
      <c r="C58" s="9">
        <f>IFERROR(__xludf.DUMMYFUNCTION("""COMPUTED_VALUE"""),122.76)</f>
        <v>122.76</v>
      </c>
      <c r="E58" s="17">
        <f>IFERROR(__xludf.DUMMYFUNCTION("""COMPUTED_VALUE"""),45945.66666666667)</f>
        <v>45945.66667</v>
      </c>
      <c r="F58" s="9">
        <f>IFERROR(__xludf.DUMMYFUNCTION("""COMPUTED_VALUE"""),122.76)</f>
        <v>122.76</v>
      </c>
      <c r="M58" s="17">
        <f>IFERROR(__xludf.DUMMYFUNCTION("""COMPUTED_VALUE"""),45945.66666666667)</f>
        <v>45945.66667</v>
      </c>
      <c r="N58" s="9">
        <f>IFERROR(__xludf.DUMMYFUNCTION("""COMPUTED_VALUE"""),122.76)</f>
        <v>122.76</v>
      </c>
      <c r="P58" s="17"/>
    </row>
    <row r="59">
      <c r="B59" s="11">
        <f>IFERROR(__xludf.DUMMYFUNCTION("""COMPUTED_VALUE"""),45944.66666666667)</f>
        <v>45944.66667</v>
      </c>
      <c r="C59" s="9">
        <f>IFERROR(__xludf.DUMMYFUNCTION("""COMPUTED_VALUE"""),115.45)</f>
        <v>115.45</v>
      </c>
      <c r="E59" s="17">
        <f>IFERROR(__xludf.DUMMYFUNCTION("""COMPUTED_VALUE"""),45944.66666666667)</f>
        <v>45944.66667</v>
      </c>
      <c r="F59" s="9">
        <f>IFERROR(__xludf.DUMMYFUNCTION("""COMPUTED_VALUE"""),115.45)</f>
        <v>115.45</v>
      </c>
      <c r="M59" s="17">
        <f>IFERROR(__xludf.DUMMYFUNCTION("""COMPUTED_VALUE"""),45944.66666666667)</f>
        <v>45944.66667</v>
      </c>
      <c r="N59" s="9">
        <f>IFERROR(__xludf.DUMMYFUNCTION("""COMPUTED_VALUE"""),115.45)</f>
        <v>115.45</v>
      </c>
      <c r="P59" s="17"/>
    </row>
    <row r="60">
      <c r="B60" s="11">
        <f>IFERROR(__xludf.DUMMYFUNCTION("""COMPUTED_VALUE"""),45943.66666666667)</f>
        <v>45943.66667</v>
      </c>
      <c r="C60" s="9">
        <f>IFERROR(__xludf.DUMMYFUNCTION("""COMPUTED_VALUE"""),112.72)</f>
        <v>112.72</v>
      </c>
      <c r="E60" s="17">
        <f>IFERROR(__xludf.DUMMYFUNCTION("""COMPUTED_VALUE"""),45943.66666666667)</f>
        <v>45943.66667</v>
      </c>
      <c r="F60" s="9">
        <f>IFERROR(__xludf.DUMMYFUNCTION("""COMPUTED_VALUE"""),112.72)</f>
        <v>112.72</v>
      </c>
      <c r="M60" s="17">
        <f>IFERROR(__xludf.DUMMYFUNCTION("""COMPUTED_VALUE"""),45943.66666666667)</f>
        <v>45943.66667</v>
      </c>
      <c r="N60" s="9">
        <f>IFERROR(__xludf.DUMMYFUNCTION("""COMPUTED_VALUE"""),112.72)</f>
        <v>112.72</v>
      </c>
      <c r="P60" s="17"/>
    </row>
    <row r="61">
      <c r="B61" s="11">
        <f>IFERROR(__xludf.DUMMYFUNCTION("""COMPUTED_VALUE"""),45940.66666666667)</f>
        <v>45940.66667</v>
      </c>
      <c r="C61" s="9">
        <f>IFERROR(__xludf.DUMMYFUNCTION("""COMPUTED_VALUE"""),111.23)</f>
        <v>111.23</v>
      </c>
      <c r="E61" s="17">
        <f>IFERROR(__xludf.DUMMYFUNCTION("""COMPUTED_VALUE"""),45940.66666666667)</f>
        <v>45940.66667</v>
      </c>
      <c r="F61" s="9">
        <f>IFERROR(__xludf.DUMMYFUNCTION("""COMPUTED_VALUE"""),111.23)</f>
        <v>111.23</v>
      </c>
      <c r="M61" s="17">
        <f>IFERROR(__xludf.DUMMYFUNCTION("""COMPUTED_VALUE"""),45940.66666666667)</f>
        <v>45940.66667</v>
      </c>
      <c r="N61" s="9">
        <f>IFERROR(__xludf.DUMMYFUNCTION("""COMPUTED_VALUE"""),111.23)</f>
        <v>111.23</v>
      </c>
      <c r="P61" s="17"/>
    </row>
    <row r="62">
      <c r="B62" s="11">
        <f>IFERROR(__xludf.DUMMYFUNCTION("""COMPUTED_VALUE"""),45939.66666666667)</f>
        <v>45939.66667</v>
      </c>
      <c r="C62" s="9">
        <f>IFERROR(__xludf.DUMMYFUNCTION("""COMPUTED_VALUE"""),114.45)</f>
        <v>114.45</v>
      </c>
      <c r="E62" s="17">
        <f>IFERROR(__xludf.DUMMYFUNCTION("""COMPUTED_VALUE"""),45939.66666666667)</f>
        <v>45939.66667</v>
      </c>
      <c r="F62" s="9">
        <f>IFERROR(__xludf.DUMMYFUNCTION("""COMPUTED_VALUE"""),114.45)</f>
        <v>114.45</v>
      </c>
      <c r="M62" s="17">
        <f>IFERROR(__xludf.DUMMYFUNCTION("""COMPUTED_VALUE"""),45939.66666666667)</f>
        <v>45939.66667</v>
      </c>
      <c r="N62" s="9">
        <f>IFERROR(__xludf.DUMMYFUNCTION("""COMPUTED_VALUE"""),114.45)</f>
        <v>114.45</v>
      </c>
      <c r="P62" s="17"/>
    </row>
    <row r="63">
      <c r="B63" s="11">
        <f>IFERROR(__xludf.DUMMYFUNCTION("""COMPUTED_VALUE"""),45938.66666666667)</f>
        <v>45938.66667</v>
      </c>
      <c r="C63" s="9">
        <f>IFERROR(__xludf.DUMMYFUNCTION("""COMPUTED_VALUE"""),115.99)</f>
        <v>115.99</v>
      </c>
      <c r="E63" s="17">
        <f>IFERROR(__xludf.DUMMYFUNCTION("""COMPUTED_VALUE"""),45938.66666666667)</f>
        <v>45938.66667</v>
      </c>
      <c r="F63" s="9">
        <f>IFERROR(__xludf.DUMMYFUNCTION("""COMPUTED_VALUE"""),115.99)</f>
        <v>115.99</v>
      </c>
      <c r="M63" s="17">
        <f>IFERROR(__xludf.DUMMYFUNCTION("""COMPUTED_VALUE"""),45938.66666666667)</f>
        <v>45938.66667</v>
      </c>
      <c r="N63" s="9">
        <f>IFERROR(__xludf.DUMMYFUNCTION("""COMPUTED_VALUE"""),115.99)</f>
        <v>115.99</v>
      </c>
      <c r="P63" s="17"/>
    </row>
    <row r="64">
      <c r="B64" s="11">
        <f>IFERROR(__xludf.DUMMYFUNCTION("""COMPUTED_VALUE"""),45937.66666666667)</f>
        <v>45937.66667</v>
      </c>
      <c r="C64" s="9">
        <f>IFERROR(__xludf.DUMMYFUNCTION("""COMPUTED_VALUE"""),115.97)</f>
        <v>115.97</v>
      </c>
      <c r="E64" s="17">
        <f>IFERROR(__xludf.DUMMYFUNCTION("""COMPUTED_VALUE"""),45937.66666666667)</f>
        <v>45937.66667</v>
      </c>
      <c r="F64" s="9">
        <f>IFERROR(__xludf.DUMMYFUNCTION("""COMPUTED_VALUE"""),115.97)</f>
        <v>115.97</v>
      </c>
      <c r="M64" s="17">
        <f>IFERROR(__xludf.DUMMYFUNCTION("""COMPUTED_VALUE"""),45937.66666666667)</f>
        <v>45937.66667</v>
      </c>
      <c r="N64" s="9">
        <f>IFERROR(__xludf.DUMMYFUNCTION("""COMPUTED_VALUE"""),115.97)</f>
        <v>115.97</v>
      </c>
      <c r="P64" s="17"/>
    </row>
    <row r="65">
      <c r="B65" s="11">
        <f>IFERROR(__xludf.DUMMYFUNCTION("""COMPUTED_VALUE"""),45936.66666666667)</f>
        <v>45936.66667</v>
      </c>
      <c r="C65" s="9">
        <f>IFERROR(__xludf.DUMMYFUNCTION("""COMPUTED_VALUE"""),117.13)</f>
        <v>117.13</v>
      </c>
      <c r="E65" s="17">
        <f>IFERROR(__xludf.DUMMYFUNCTION("""COMPUTED_VALUE"""),45936.66666666667)</f>
        <v>45936.66667</v>
      </c>
      <c r="F65" s="9">
        <f>IFERROR(__xludf.DUMMYFUNCTION("""COMPUTED_VALUE"""),117.13)</f>
        <v>117.13</v>
      </c>
      <c r="M65" s="17">
        <f>IFERROR(__xludf.DUMMYFUNCTION("""COMPUTED_VALUE"""),45936.66666666667)</f>
        <v>45936.66667</v>
      </c>
      <c r="N65" s="9">
        <f>IFERROR(__xludf.DUMMYFUNCTION("""COMPUTED_VALUE"""),117.13)</f>
        <v>117.13</v>
      </c>
      <c r="P65" s="17"/>
    </row>
    <row r="66">
      <c r="B66" s="11">
        <f>IFERROR(__xludf.DUMMYFUNCTION("""COMPUTED_VALUE"""),45933.66666666667)</f>
        <v>45933.66667</v>
      </c>
      <c r="C66" s="9">
        <f>IFERROR(__xludf.DUMMYFUNCTION("""COMPUTED_VALUE"""),117.06)</f>
        <v>117.06</v>
      </c>
      <c r="E66" s="17">
        <f>IFERROR(__xludf.DUMMYFUNCTION("""COMPUTED_VALUE"""),45933.66666666667)</f>
        <v>45933.66667</v>
      </c>
      <c r="F66" s="9">
        <f>IFERROR(__xludf.DUMMYFUNCTION("""COMPUTED_VALUE"""),117.06)</f>
        <v>117.06</v>
      </c>
      <c r="M66" s="17">
        <f>IFERROR(__xludf.DUMMYFUNCTION("""COMPUTED_VALUE"""),45933.66666666667)</f>
        <v>45933.66667</v>
      </c>
      <c r="N66" s="9">
        <f>IFERROR(__xludf.DUMMYFUNCTION("""COMPUTED_VALUE"""),117.06)</f>
        <v>117.06</v>
      </c>
      <c r="P66" s="17"/>
    </row>
    <row r="67">
      <c r="B67" s="11">
        <f>IFERROR(__xludf.DUMMYFUNCTION("""COMPUTED_VALUE"""),45932.66666666667)</f>
        <v>45932.66667</v>
      </c>
      <c r="C67" s="9">
        <f>IFERROR(__xludf.DUMMYFUNCTION("""COMPUTED_VALUE"""),116.12)</f>
        <v>116.12</v>
      </c>
      <c r="E67" s="17">
        <f>IFERROR(__xludf.DUMMYFUNCTION("""COMPUTED_VALUE"""),45932.66666666667)</f>
        <v>45932.66667</v>
      </c>
      <c r="F67" s="9">
        <f>IFERROR(__xludf.DUMMYFUNCTION("""COMPUTED_VALUE"""),116.12)</f>
        <v>116.12</v>
      </c>
      <c r="M67" s="17">
        <f>IFERROR(__xludf.DUMMYFUNCTION("""COMPUTED_VALUE"""),45932.66666666667)</f>
        <v>45932.66667</v>
      </c>
      <c r="N67" s="9">
        <f>IFERROR(__xludf.DUMMYFUNCTION("""COMPUTED_VALUE"""),116.12)</f>
        <v>116.12</v>
      </c>
      <c r="P67" s="17"/>
    </row>
    <row r="68">
      <c r="B68" s="11">
        <f>IFERROR(__xludf.DUMMYFUNCTION("""COMPUTED_VALUE"""),45931.66666666667)</f>
        <v>45931.66667</v>
      </c>
      <c r="C68" s="9">
        <f>IFERROR(__xludf.DUMMYFUNCTION("""COMPUTED_VALUE"""),116.48)</f>
        <v>116.48</v>
      </c>
      <c r="E68" s="17">
        <f>IFERROR(__xludf.DUMMYFUNCTION("""COMPUTED_VALUE"""),45931.66666666667)</f>
        <v>45931.66667</v>
      </c>
      <c r="F68" s="9">
        <f>IFERROR(__xludf.DUMMYFUNCTION("""COMPUTED_VALUE"""),116.48)</f>
        <v>116.48</v>
      </c>
      <c r="M68" s="17">
        <f>IFERROR(__xludf.DUMMYFUNCTION("""COMPUTED_VALUE"""),45931.66666666667)</f>
        <v>45931.66667</v>
      </c>
      <c r="N68" s="9">
        <f>IFERROR(__xludf.DUMMYFUNCTION("""COMPUTED_VALUE"""),116.48)</f>
        <v>116.48</v>
      </c>
      <c r="P68" s="17"/>
    </row>
    <row r="69">
      <c r="B69" s="11">
        <f>IFERROR(__xludf.DUMMYFUNCTION("""COMPUTED_VALUE"""),45930.66666666667)</f>
        <v>45930.66667</v>
      </c>
      <c r="C69" s="9">
        <f>IFERROR(__xludf.DUMMYFUNCTION("""COMPUTED_VALUE"""),114.52)</f>
        <v>114.52</v>
      </c>
      <c r="E69" s="17">
        <f>IFERROR(__xludf.DUMMYFUNCTION("""COMPUTED_VALUE"""),45930.66666666667)</f>
        <v>45930.66667</v>
      </c>
      <c r="F69" s="9">
        <f>IFERROR(__xludf.DUMMYFUNCTION("""COMPUTED_VALUE"""),114.52)</f>
        <v>114.52</v>
      </c>
      <c r="M69" s="17">
        <f>IFERROR(__xludf.DUMMYFUNCTION("""COMPUTED_VALUE"""),45930.66666666667)</f>
        <v>45930.66667</v>
      </c>
      <c r="N69" s="9">
        <f>IFERROR(__xludf.DUMMYFUNCTION("""COMPUTED_VALUE"""),114.52)</f>
        <v>114.52</v>
      </c>
      <c r="P69" s="17"/>
    </row>
    <row r="70">
      <c r="B70" s="11">
        <f>IFERROR(__xludf.DUMMYFUNCTION("""COMPUTED_VALUE"""),45929.66666666667)</f>
        <v>45929.66667</v>
      </c>
      <c r="C70" s="9">
        <f>IFERROR(__xludf.DUMMYFUNCTION("""COMPUTED_VALUE"""),114.24)</f>
        <v>114.24</v>
      </c>
      <c r="E70" s="17">
        <f>IFERROR(__xludf.DUMMYFUNCTION("""COMPUTED_VALUE"""),45929.66666666667)</f>
        <v>45929.66667</v>
      </c>
      <c r="F70" s="9">
        <f>IFERROR(__xludf.DUMMYFUNCTION("""COMPUTED_VALUE"""),114.24)</f>
        <v>114.24</v>
      </c>
      <c r="M70" s="17">
        <f>IFERROR(__xludf.DUMMYFUNCTION("""COMPUTED_VALUE"""),45929.66666666667)</f>
        <v>45929.66667</v>
      </c>
      <c r="N70" s="9">
        <f>IFERROR(__xludf.DUMMYFUNCTION("""COMPUTED_VALUE"""),114.24)</f>
        <v>114.24</v>
      </c>
      <c r="P70" s="17"/>
    </row>
    <row r="71">
      <c r="B71" s="11">
        <f>IFERROR(__xludf.DUMMYFUNCTION("""COMPUTED_VALUE"""),45926.66666666667)</f>
        <v>45926.66667</v>
      </c>
      <c r="C71" s="9">
        <f>IFERROR(__xludf.DUMMYFUNCTION("""COMPUTED_VALUE"""),114.19)</f>
        <v>114.19</v>
      </c>
      <c r="E71" s="17">
        <f>IFERROR(__xludf.DUMMYFUNCTION("""COMPUTED_VALUE"""),45926.66666666667)</f>
        <v>45926.66667</v>
      </c>
      <c r="F71" s="9">
        <f>IFERROR(__xludf.DUMMYFUNCTION("""COMPUTED_VALUE"""),114.19)</f>
        <v>114.19</v>
      </c>
      <c r="M71" s="17">
        <f>IFERROR(__xludf.DUMMYFUNCTION("""COMPUTED_VALUE"""),45926.66666666667)</f>
        <v>45926.66667</v>
      </c>
      <c r="N71" s="9">
        <f>IFERROR(__xludf.DUMMYFUNCTION("""COMPUTED_VALUE"""),114.19)</f>
        <v>114.19</v>
      </c>
      <c r="P71" s="17"/>
    </row>
    <row r="72">
      <c r="B72" s="11">
        <f>IFERROR(__xludf.DUMMYFUNCTION("""COMPUTED_VALUE"""),45925.66666666667)</f>
        <v>45925.66667</v>
      </c>
      <c r="C72" s="9">
        <f>IFERROR(__xludf.DUMMYFUNCTION("""COMPUTED_VALUE"""),113.21)</f>
        <v>113.21</v>
      </c>
      <c r="E72" s="17">
        <f>IFERROR(__xludf.DUMMYFUNCTION("""COMPUTED_VALUE"""),45925.66666666667)</f>
        <v>45925.66667</v>
      </c>
      <c r="F72" s="9">
        <f>IFERROR(__xludf.DUMMYFUNCTION("""COMPUTED_VALUE"""),113.21)</f>
        <v>113.21</v>
      </c>
      <c r="M72" s="17">
        <f>IFERROR(__xludf.DUMMYFUNCTION("""COMPUTED_VALUE"""),45925.66666666667)</f>
        <v>45925.66667</v>
      </c>
      <c r="N72" s="9">
        <f>IFERROR(__xludf.DUMMYFUNCTION("""COMPUTED_VALUE"""),113.21)</f>
        <v>113.21</v>
      </c>
      <c r="P72" s="17"/>
    </row>
    <row r="73">
      <c r="B73" s="11">
        <f>IFERROR(__xludf.DUMMYFUNCTION("""COMPUTED_VALUE"""),45924.66666666667)</f>
        <v>45924.66667</v>
      </c>
      <c r="C73" s="9">
        <f>IFERROR(__xludf.DUMMYFUNCTION("""COMPUTED_VALUE"""),112.86)</f>
        <v>112.86</v>
      </c>
      <c r="E73" s="17">
        <f>IFERROR(__xludf.DUMMYFUNCTION("""COMPUTED_VALUE"""),45924.66666666667)</f>
        <v>45924.66667</v>
      </c>
      <c r="F73" s="9">
        <f>IFERROR(__xludf.DUMMYFUNCTION("""COMPUTED_VALUE"""),112.86)</f>
        <v>112.86</v>
      </c>
      <c r="M73" s="17">
        <f>IFERROR(__xludf.DUMMYFUNCTION("""COMPUTED_VALUE"""),45924.66666666667)</f>
        <v>45924.66667</v>
      </c>
      <c r="N73" s="9">
        <f>IFERROR(__xludf.DUMMYFUNCTION("""COMPUTED_VALUE"""),112.86)</f>
        <v>112.86</v>
      </c>
      <c r="P73" s="17"/>
    </row>
    <row r="74">
      <c r="B74" s="11">
        <f>IFERROR(__xludf.DUMMYFUNCTION("""COMPUTED_VALUE"""),45923.66666666667)</f>
        <v>45923.66667</v>
      </c>
      <c r="C74" s="9">
        <f>IFERROR(__xludf.DUMMYFUNCTION("""COMPUTED_VALUE"""),114.44)</f>
        <v>114.44</v>
      </c>
      <c r="E74" s="17">
        <f>IFERROR(__xludf.DUMMYFUNCTION("""COMPUTED_VALUE"""),45923.66666666667)</f>
        <v>45923.66667</v>
      </c>
      <c r="F74" s="9">
        <f>IFERROR(__xludf.DUMMYFUNCTION("""COMPUTED_VALUE"""),114.44)</f>
        <v>114.44</v>
      </c>
      <c r="M74" s="17">
        <f>IFERROR(__xludf.DUMMYFUNCTION("""COMPUTED_VALUE"""),45923.66666666667)</f>
        <v>45923.66667</v>
      </c>
      <c r="N74" s="9">
        <f>IFERROR(__xludf.DUMMYFUNCTION("""COMPUTED_VALUE"""),114.44)</f>
        <v>114.44</v>
      </c>
      <c r="P74" s="17"/>
    </row>
    <row r="75">
      <c r="B75" s="11">
        <f>IFERROR(__xludf.DUMMYFUNCTION("""COMPUTED_VALUE"""),45922.66666666667)</f>
        <v>45922.66667</v>
      </c>
      <c r="C75" s="9">
        <f>IFERROR(__xludf.DUMMYFUNCTION("""COMPUTED_VALUE"""),113.93)</f>
        <v>113.93</v>
      </c>
      <c r="E75" s="17">
        <f>IFERROR(__xludf.DUMMYFUNCTION("""COMPUTED_VALUE"""),45922.66666666667)</f>
        <v>45922.66667</v>
      </c>
      <c r="F75" s="9">
        <f>IFERROR(__xludf.DUMMYFUNCTION("""COMPUTED_VALUE"""),113.93)</f>
        <v>113.93</v>
      </c>
      <c r="M75" s="17">
        <f>IFERROR(__xludf.DUMMYFUNCTION("""COMPUTED_VALUE"""),45922.66666666667)</f>
        <v>45922.66667</v>
      </c>
      <c r="N75" s="9">
        <f>IFERROR(__xludf.DUMMYFUNCTION("""COMPUTED_VALUE"""),113.93)</f>
        <v>113.93</v>
      </c>
      <c r="P75" s="17"/>
    </row>
    <row r="76">
      <c r="B76" s="11">
        <f>IFERROR(__xludf.DUMMYFUNCTION("""COMPUTED_VALUE"""),45919.66666666667)</f>
        <v>45919.66667</v>
      </c>
      <c r="C76" s="9">
        <f>IFERROR(__xludf.DUMMYFUNCTION("""COMPUTED_VALUE"""),113.51)</f>
        <v>113.51</v>
      </c>
      <c r="E76" s="17">
        <f>IFERROR(__xludf.DUMMYFUNCTION("""COMPUTED_VALUE"""),45919.66666666667)</f>
        <v>45919.66667</v>
      </c>
      <c r="F76" s="9">
        <f>IFERROR(__xludf.DUMMYFUNCTION("""COMPUTED_VALUE"""),113.51)</f>
        <v>113.51</v>
      </c>
      <c r="M76" s="17">
        <f>IFERROR(__xludf.DUMMYFUNCTION("""COMPUTED_VALUE"""),45919.66666666667)</f>
        <v>45919.66667</v>
      </c>
      <c r="N76" s="9">
        <f>IFERROR(__xludf.DUMMYFUNCTION("""COMPUTED_VALUE"""),113.51)</f>
        <v>113.51</v>
      </c>
      <c r="P76" s="17"/>
    </row>
    <row r="77">
      <c r="B77" s="11">
        <f>IFERROR(__xludf.DUMMYFUNCTION("""COMPUTED_VALUE"""),45918.66666666667)</f>
        <v>45918.66667</v>
      </c>
      <c r="C77" s="9">
        <f>IFERROR(__xludf.DUMMYFUNCTION("""COMPUTED_VALUE"""),115.16)</f>
        <v>115.16</v>
      </c>
      <c r="E77" s="17">
        <f>IFERROR(__xludf.DUMMYFUNCTION("""COMPUTED_VALUE"""),45918.66666666667)</f>
        <v>45918.66667</v>
      </c>
      <c r="F77" s="9">
        <f>IFERROR(__xludf.DUMMYFUNCTION("""COMPUTED_VALUE"""),115.16)</f>
        <v>115.16</v>
      </c>
      <c r="M77" s="17">
        <f>IFERROR(__xludf.DUMMYFUNCTION("""COMPUTED_VALUE"""),45918.66666666667)</f>
        <v>45918.66667</v>
      </c>
      <c r="N77" s="9">
        <f>IFERROR(__xludf.DUMMYFUNCTION("""COMPUTED_VALUE"""),115.16)</f>
        <v>115.16</v>
      </c>
      <c r="P77" s="17"/>
    </row>
    <row r="78">
      <c r="B78" s="11">
        <f>IFERROR(__xludf.DUMMYFUNCTION("""COMPUTED_VALUE"""),45917.66666666667)</f>
        <v>45917.66667</v>
      </c>
      <c r="C78" s="9">
        <f>IFERROR(__xludf.DUMMYFUNCTION("""COMPUTED_VALUE"""),113.89)</f>
        <v>113.89</v>
      </c>
      <c r="E78" s="17">
        <f>IFERROR(__xludf.DUMMYFUNCTION("""COMPUTED_VALUE"""),45917.66666666667)</f>
        <v>45917.66667</v>
      </c>
      <c r="F78" s="9">
        <f>IFERROR(__xludf.DUMMYFUNCTION("""COMPUTED_VALUE"""),113.89)</f>
        <v>113.89</v>
      </c>
      <c r="M78" s="17">
        <f>IFERROR(__xludf.DUMMYFUNCTION("""COMPUTED_VALUE"""),45917.66666666667)</f>
        <v>45917.66667</v>
      </c>
      <c r="N78" s="9">
        <f>IFERROR(__xludf.DUMMYFUNCTION("""COMPUTED_VALUE"""),113.89)</f>
        <v>113.89</v>
      </c>
      <c r="P78" s="17"/>
    </row>
    <row r="79">
      <c r="B79" s="11">
        <f>IFERROR(__xludf.DUMMYFUNCTION("""COMPUTED_VALUE"""),45916.66666666667)</f>
        <v>45916.66667</v>
      </c>
      <c r="C79" s="9">
        <f>IFERROR(__xludf.DUMMYFUNCTION("""COMPUTED_VALUE"""),114.03)</f>
        <v>114.03</v>
      </c>
      <c r="E79" s="17">
        <f>IFERROR(__xludf.DUMMYFUNCTION("""COMPUTED_VALUE"""),45916.66666666667)</f>
        <v>45916.66667</v>
      </c>
      <c r="F79" s="9">
        <f>IFERROR(__xludf.DUMMYFUNCTION("""COMPUTED_VALUE"""),114.03)</f>
        <v>114.03</v>
      </c>
      <c r="M79" s="17">
        <f>IFERROR(__xludf.DUMMYFUNCTION("""COMPUTED_VALUE"""),45916.66666666667)</f>
        <v>45916.66667</v>
      </c>
      <c r="N79" s="9">
        <f>IFERROR(__xludf.DUMMYFUNCTION("""COMPUTED_VALUE"""),114.03)</f>
        <v>114.03</v>
      </c>
      <c r="P79" s="17"/>
    </row>
    <row r="80">
      <c r="B80" s="11">
        <f>IFERROR(__xludf.DUMMYFUNCTION("""COMPUTED_VALUE"""),45915.66666666667)</f>
        <v>45915.66667</v>
      </c>
      <c r="C80" s="9">
        <f>IFERROR(__xludf.DUMMYFUNCTION("""COMPUTED_VALUE"""),114.27)</f>
        <v>114.27</v>
      </c>
      <c r="E80" s="17">
        <f>IFERROR(__xludf.DUMMYFUNCTION("""COMPUTED_VALUE"""),45915.66666666667)</f>
        <v>45915.66667</v>
      </c>
      <c r="F80" s="9">
        <f>IFERROR(__xludf.DUMMYFUNCTION("""COMPUTED_VALUE"""),114.27)</f>
        <v>114.27</v>
      </c>
      <c r="M80" s="17">
        <f>IFERROR(__xludf.DUMMYFUNCTION("""COMPUTED_VALUE"""),45915.66666666667)</f>
        <v>45915.66667</v>
      </c>
      <c r="N80" s="9">
        <f>IFERROR(__xludf.DUMMYFUNCTION("""COMPUTED_VALUE"""),114.27)</f>
        <v>114.27</v>
      </c>
      <c r="P80" s="17"/>
    </row>
    <row r="81">
      <c r="B81" s="11">
        <f>IFERROR(__xludf.DUMMYFUNCTION("""COMPUTED_VALUE"""),45912.66666666667)</f>
        <v>45912.66667</v>
      </c>
      <c r="C81" s="9">
        <f>IFERROR(__xludf.DUMMYFUNCTION("""COMPUTED_VALUE"""),115.35)</f>
        <v>115.35</v>
      </c>
      <c r="E81" s="17">
        <f>IFERROR(__xludf.DUMMYFUNCTION("""COMPUTED_VALUE"""),45912.66666666667)</f>
        <v>45912.66667</v>
      </c>
      <c r="F81" s="9">
        <f>IFERROR(__xludf.DUMMYFUNCTION("""COMPUTED_VALUE"""),115.35)</f>
        <v>115.35</v>
      </c>
      <c r="M81" s="17">
        <f>IFERROR(__xludf.DUMMYFUNCTION("""COMPUTED_VALUE"""),45912.66666666667)</f>
        <v>45912.66667</v>
      </c>
      <c r="N81" s="9">
        <f>IFERROR(__xludf.DUMMYFUNCTION("""COMPUTED_VALUE"""),115.35)</f>
        <v>115.35</v>
      </c>
      <c r="P81" s="17"/>
    </row>
    <row r="82">
      <c r="B82" s="11">
        <f>IFERROR(__xludf.DUMMYFUNCTION("""COMPUTED_VALUE"""),45911.66666666667)</f>
        <v>45911.66667</v>
      </c>
      <c r="C82" s="9">
        <f>IFERROR(__xludf.DUMMYFUNCTION("""COMPUTED_VALUE"""),114.82)</f>
        <v>114.82</v>
      </c>
      <c r="E82" s="17">
        <f>IFERROR(__xludf.DUMMYFUNCTION("""COMPUTED_VALUE"""),45911.66666666667)</f>
        <v>45911.66667</v>
      </c>
      <c r="F82" s="9">
        <f>IFERROR(__xludf.DUMMYFUNCTION("""COMPUTED_VALUE"""),114.82)</f>
        <v>114.82</v>
      </c>
      <c r="M82" s="17">
        <f>IFERROR(__xludf.DUMMYFUNCTION("""COMPUTED_VALUE"""),45911.66666666667)</f>
        <v>45911.66667</v>
      </c>
      <c r="N82" s="9">
        <f>IFERROR(__xludf.DUMMYFUNCTION("""COMPUTED_VALUE"""),114.82)</f>
        <v>114.82</v>
      </c>
      <c r="P82" s="17"/>
    </row>
    <row r="83">
      <c r="B83" s="11">
        <f>IFERROR(__xludf.DUMMYFUNCTION("""COMPUTED_VALUE"""),45910.66666666667)</f>
        <v>45910.66667</v>
      </c>
      <c r="C83" s="9">
        <f>IFERROR(__xludf.DUMMYFUNCTION("""COMPUTED_VALUE"""),110.98)</f>
        <v>110.98</v>
      </c>
      <c r="E83" s="17">
        <f>IFERROR(__xludf.DUMMYFUNCTION("""COMPUTED_VALUE"""),45910.66666666667)</f>
        <v>45910.66667</v>
      </c>
      <c r="F83" s="9">
        <f>IFERROR(__xludf.DUMMYFUNCTION("""COMPUTED_VALUE"""),110.98)</f>
        <v>110.98</v>
      </c>
      <c r="M83" s="17">
        <f>IFERROR(__xludf.DUMMYFUNCTION("""COMPUTED_VALUE"""),45910.66666666667)</f>
        <v>45910.66667</v>
      </c>
      <c r="N83" s="9">
        <f>IFERROR(__xludf.DUMMYFUNCTION("""COMPUTED_VALUE"""),110.98)</f>
        <v>110.98</v>
      </c>
      <c r="P83" s="17"/>
    </row>
    <row r="84">
      <c r="B84" s="11">
        <f>IFERROR(__xludf.DUMMYFUNCTION("""COMPUTED_VALUE"""),45909.66666666667)</f>
        <v>45909.66667</v>
      </c>
      <c r="C84" s="9">
        <f>IFERROR(__xludf.DUMMYFUNCTION("""COMPUTED_VALUE"""),111.97)</f>
        <v>111.97</v>
      </c>
      <c r="E84" s="17">
        <f>IFERROR(__xludf.DUMMYFUNCTION("""COMPUTED_VALUE"""),45909.66666666667)</f>
        <v>45909.66667</v>
      </c>
      <c r="F84" s="9">
        <f>IFERROR(__xludf.DUMMYFUNCTION("""COMPUTED_VALUE"""),111.97)</f>
        <v>111.97</v>
      </c>
      <c r="M84" s="17">
        <f>IFERROR(__xludf.DUMMYFUNCTION("""COMPUTED_VALUE"""),45909.66666666667)</f>
        <v>45909.66667</v>
      </c>
      <c r="N84" s="9">
        <f>IFERROR(__xludf.DUMMYFUNCTION("""COMPUTED_VALUE"""),111.97)</f>
        <v>111.97</v>
      </c>
      <c r="P84" s="17"/>
    </row>
    <row r="85">
      <c r="B85" s="11">
        <f>IFERROR(__xludf.DUMMYFUNCTION("""COMPUTED_VALUE"""),45908.66666666667)</f>
        <v>45908.66667</v>
      </c>
      <c r="C85" s="9">
        <f>IFERROR(__xludf.DUMMYFUNCTION("""COMPUTED_VALUE"""),113.56)</f>
        <v>113.56</v>
      </c>
      <c r="E85" s="17">
        <f>IFERROR(__xludf.DUMMYFUNCTION("""COMPUTED_VALUE"""),45908.66666666667)</f>
        <v>45908.66667</v>
      </c>
      <c r="F85" s="9">
        <f>IFERROR(__xludf.DUMMYFUNCTION("""COMPUTED_VALUE"""),113.56)</f>
        <v>113.56</v>
      </c>
      <c r="M85" s="17">
        <f>IFERROR(__xludf.DUMMYFUNCTION("""COMPUTED_VALUE"""),45908.66666666667)</f>
        <v>45908.66667</v>
      </c>
      <c r="N85" s="9">
        <f>IFERROR(__xludf.DUMMYFUNCTION("""COMPUTED_VALUE"""),113.56)</f>
        <v>113.56</v>
      </c>
      <c r="P85" s="17"/>
    </row>
    <row r="86">
      <c r="B86" s="11">
        <f>IFERROR(__xludf.DUMMYFUNCTION("""COMPUTED_VALUE"""),45905.66666666667)</f>
        <v>45905.66667</v>
      </c>
      <c r="C86" s="9">
        <f>IFERROR(__xludf.DUMMYFUNCTION("""COMPUTED_VALUE"""),113.65)</f>
        <v>113.65</v>
      </c>
      <c r="E86" s="17">
        <f>IFERROR(__xludf.DUMMYFUNCTION("""COMPUTED_VALUE"""),45905.66666666667)</f>
        <v>45905.66667</v>
      </c>
      <c r="F86" s="9">
        <f>IFERROR(__xludf.DUMMYFUNCTION("""COMPUTED_VALUE"""),113.65)</f>
        <v>113.65</v>
      </c>
      <c r="M86" s="17">
        <f>IFERROR(__xludf.DUMMYFUNCTION("""COMPUTED_VALUE"""),45905.66666666667)</f>
        <v>45905.66667</v>
      </c>
      <c r="N86" s="9">
        <f>IFERROR(__xludf.DUMMYFUNCTION("""COMPUTED_VALUE"""),113.65)</f>
        <v>113.65</v>
      </c>
      <c r="P86" s="17"/>
    </row>
    <row r="87">
      <c r="B87" s="11">
        <f>IFERROR(__xludf.DUMMYFUNCTION("""COMPUTED_VALUE"""),45904.66666666667)</f>
        <v>45904.66667</v>
      </c>
      <c r="C87" s="9">
        <f>IFERROR(__xludf.DUMMYFUNCTION("""COMPUTED_VALUE"""),112.61)</f>
        <v>112.61</v>
      </c>
      <c r="E87" s="17">
        <f>IFERROR(__xludf.DUMMYFUNCTION("""COMPUTED_VALUE"""),45904.66666666667)</f>
        <v>45904.66667</v>
      </c>
      <c r="F87" s="9">
        <f>IFERROR(__xludf.DUMMYFUNCTION("""COMPUTED_VALUE"""),112.61)</f>
        <v>112.61</v>
      </c>
      <c r="M87" s="17">
        <f>IFERROR(__xludf.DUMMYFUNCTION("""COMPUTED_VALUE"""),45904.66666666667)</f>
        <v>45904.66667</v>
      </c>
      <c r="N87" s="9">
        <f>IFERROR(__xludf.DUMMYFUNCTION("""COMPUTED_VALUE"""),112.61)</f>
        <v>112.61</v>
      </c>
      <c r="P87" s="17"/>
    </row>
    <row r="88">
      <c r="B88" s="11">
        <f>IFERROR(__xludf.DUMMYFUNCTION("""COMPUTED_VALUE"""),45903.66666666667)</f>
        <v>45903.66667</v>
      </c>
      <c r="C88" s="9">
        <f>IFERROR(__xludf.DUMMYFUNCTION("""COMPUTED_VALUE"""),110.95)</f>
        <v>110.95</v>
      </c>
      <c r="E88" s="17">
        <f>IFERROR(__xludf.DUMMYFUNCTION("""COMPUTED_VALUE"""),45903.66666666667)</f>
        <v>45903.66667</v>
      </c>
      <c r="F88" s="9">
        <f>IFERROR(__xludf.DUMMYFUNCTION("""COMPUTED_VALUE"""),110.95)</f>
        <v>110.95</v>
      </c>
      <c r="M88" s="17">
        <f>IFERROR(__xludf.DUMMYFUNCTION("""COMPUTED_VALUE"""),45903.66666666667)</f>
        <v>45903.66667</v>
      </c>
      <c r="N88" s="9">
        <f>IFERROR(__xludf.DUMMYFUNCTION("""COMPUTED_VALUE"""),110.95)</f>
        <v>110.95</v>
      </c>
      <c r="P88" s="17"/>
    </row>
    <row r="89">
      <c r="B89" s="11">
        <f>IFERROR(__xludf.DUMMYFUNCTION("""COMPUTED_VALUE"""),45902.66666666667)</f>
        <v>45902.66667</v>
      </c>
      <c r="C89" s="9">
        <f>IFERROR(__xludf.DUMMYFUNCTION("""COMPUTED_VALUE"""),111.3)</f>
        <v>111.3</v>
      </c>
      <c r="E89" s="17">
        <f>IFERROR(__xludf.DUMMYFUNCTION("""COMPUTED_VALUE"""),45902.66666666667)</f>
        <v>45902.66667</v>
      </c>
      <c r="F89" s="9">
        <f>IFERROR(__xludf.DUMMYFUNCTION("""COMPUTED_VALUE"""),111.3)</f>
        <v>111.3</v>
      </c>
      <c r="M89" s="17">
        <f>IFERROR(__xludf.DUMMYFUNCTION("""COMPUTED_VALUE"""),45902.66666666667)</f>
        <v>45902.66667</v>
      </c>
      <c r="N89" s="9">
        <f>IFERROR(__xludf.DUMMYFUNCTION("""COMPUTED_VALUE"""),111.3)</f>
        <v>111.3</v>
      </c>
      <c r="P89" s="17"/>
    </row>
    <row r="90">
      <c r="B90" s="11">
        <f>IFERROR(__xludf.DUMMYFUNCTION("""COMPUTED_VALUE"""),45898.66666666667)</f>
        <v>45898.66667</v>
      </c>
      <c r="C90" s="9">
        <f>IFERROR(__xludf.DUMMYFUNCTION("""COMPUTED_VALUE"""),113.78)</f>
        <v>113.78</v>
      </c>
      <c r="E90" s="17">
        <f>IFERROR(__xludf.DUMMYFUNCTION("""COMPUTED_VALUE"""),45898.66666666667)</f>
        <v>45898.66667</v>
      </c>
      <c r="F90" s="9">
        <f>IFERROR(__xludf.DUMMYFUNCTION("""COMPUTED_VALUE"""),113.78)</f>
        <v>113.78</v>
      </c>
      <c r="M90" s="17">
        <f>IFERROR(__xludf.DUMMYFUNCTION("""COMPUTED_VALUE"""),45898.66666666667)</f>
        <v>45898.66667</v>
      </c>
      <c r="N90" s="9">
        <f>IFERROR(__xludf.DUMMYFUNCTION("""COMPUTED_VALUE"""),113.78)</f>
        <v>113.78</v>
      </c>
      <c r="P90" s="17"/>
    </row>
    <row r="91">
      <c r="B91" s="11">
        <f>IFERROR(__xludf.DUMMYFUNCTION("""COMPUTED_VALUE"""),45897.66666666667)</f>
        <v>45897.66667</v>
      </c>
      <c r="C91" s="9">
        <f>IFERROR(__xludf.DUMMYFUNCTION("""COMPUTED_VALUE"""),112.64)</f>
        <v>112.64</v>
      </c>
      <c r="E91" s="17">
        <f>IFERROR(__xludf.DUMMYFUNCTION("""COMPUTED_VALUE"""),45897.66666666667)</f>
        <v>45897.66667</v>
      </c>
      <c r="F91" s="9">
        <f>IFERROR(__xludf.DUMMYFUNCTION("""COMPUTED_VALUE"""),112.64)</f>
        <v>112.64</v>
      </c>
      <c r="M91" s="17">
        <f>IFERROR(__xludf.DUMMYFUNCTION("""COMPUTED_VALUE"""),45897.66666666667)</f>
        <v>45897.66667</v>
      </c>
      <c r="N91" s="9">
        <f>IFERROR(__xludf.DUMMYFUNCTION("""COMPUTED_VALUE"""),112.64)</f>
        <v>112.64</v>
      </c>
      <c r="P91" s="17"/>
    </row>
    <row r="92">
      <c r="B92" s="11">
        <f>IFERROR(__xludf.DUMMYFUNCTION("""COMPUTED_VALUE"""),45896.66666666667)</f>
        <v>45896.66667</v>
      </c>
      <c r="C92" s="9">
        <f>IFERROR(__xludf.DUMMYFUNCTION("""COMPUTED_VALUE"""),112.68)</f>
        <v>112.68</v>
      </c>
      <c r="E92" s="17">
        <f>IFERROR(__xludf.DUMMYFUNCTION("""COMPUTED_VALUE"""),45896.66666666667)</f>
        <v>45896.66667</v>
      </c>
      <c r="F92" s="9">
        <f>IFERROR(__xludf.DUMMYFUNCTION("""COMPUTED_VALUE"""),112.68)</f>
        <v>112.68</v>
      </c>
      <c r="M92" s="17">
        <f>IFERROR(__xludf.DUMMYFUNCTION("""COMPUTED_VALUE"""),45896.66666666667)</f>
        <v>45896.66667</v>
      </c>
      <c r="N92" s="9">
        <f>IFERROR(__xludf.DUMMYFUNCTION("""COMPUTED_VALUE"""),112.68)</f>
        <v>112.68</v>
      </c>
      <c r="P92" s="17"/>
    </row>
    <row r="93">
      <c r="B93" s="11">
        <f>IFERROR(__xludf.DUMMYFUNCTION("""COMPUTED_VALUE"""),45895.66666666667)</f>
        <v>45895.66667</v>
      </c>
      <c r="C93" s="9">
        <f>IFERROR(__xludf.DUMMYFUNCTION("""COMPUTED_VALUE"""),111.35)</f>
        <v>111.35</v>
      </c>
      <c r="E93" s="17">
        <f>IFERROR(__xludf.DUMMYFUNCTION("""COMPUTED_VALUE"""),45895.66666666667)</f>
        <v>45895.66667</v>
      </c>
      <c r="F93" s="9">
        <f>IFERROR(__xludf.DUMMYFUNCTION("""COMPUTED_VALUE"""),111.35)</f>
        <v>111.35</v>
      </c>
      <c r="M93" s="17">
        <f>IFERROR(__xludf.DUMMYFUNCTION("""COMPUTED_VALUE"""),45895.66666666667)</f>
        <v>45895.66667</v>
      </c>
      <c r="N93" s="9">
        <f>IFERROR(__xludf.DUMMYFUNCTION("""COMPUTED_VALUE"""),111.35)</f>
        <v>111.35</v>
      </c>
      <c r="P93" s="17"/>
    </row>
    <row r="94">
      <c r="B94" s="11">
        <f>IFERROR(__xludf.DUMMYFUNCTION("""COMPUTED_VALUE"""),45894.66666666667)</f>
        <v>45894.66667</v>
      </c>
      <c r="C94" s="9">
        <f>IFERROR(__xludf.DUMMYFUNCTION("""COMPUTED_VALUE"""),111.62)</f>
        <v>111.62</v>
      </c>
      <c r="E94" s="17">
        <f>IFERROR(__xludf.DUMMYFUNCTION("""COMPUTED_VALUE"""),45894.66666666667)</f>
        <v>45894.66667</v>
      </c>
      <c r="F94" s="9">
        <f>IFERROR(__xludf.DUMMYFUNCTION("""COMPUTED_VALUE"""),111.62)</f>
        <v>111.62</v>
      </c>
      <c r="M94" s="17">
        <f>IFERROR(__xludf.DUMMYFUNCTION("""COMPUTED_VALUE"""),45894.66666666667)</f>
        <v>45894.66667</v>
      </c>
      <c r="N94" s="9">
        <f>IFERROR(__xludf.DUMMYFUNCTION("""COMPUTED_VALUE"""),111.62)</f>
        <v>111.62</v>
      </c>
      <c r="P94" s="17"/>
    </row>
    <row r="95">
      <c r="B95" s="11">
        <f>IFERROR(__xludf.DUMMYFUNCTION("""COMPUTED_VALUE"""),45891.66666666667)</f>
        <v>45891.66667</v>
      </c>
      <c r="C95" s="9">
        <f>IFERROR(__xludf.DUMMYFUNCTION("""COMPUTED_VALUE"""),112.28)</f>
        <v>112.28</v>
      </c>
      <c r="E95" s="17">
        <f>IFERROR(__xludf.DUMMYFUNCTION("""COMPUTED_VALUE"""),45891.66666666667)</f>
        <v>45891.66667</v>
      </c>
      <c r="F95" s="9">
        <f>IFERROR(__xludf.DUMMYFUNCTION("""COMPUTED_VALUE"""),112.28)</f>
        <v>112.28</v>
      </c>
      <c r="M95" s="17">
        <f>IFERROR(__xludf.DUMMYFUNCTION("""COMPUTED_VALUE"""),45891.66666666667)</f>
        <v>45891.66667</v>
      </c>
      <c r="N95" s="9">
        <f>IFERROR(__xludf.DUMMYFUNCTION("""COMPUTED_VALUE"""),112.28)</f>
        <v>112.28</v>
      </c>
      <c r="P95" s="17"/>
    </row>
    <row r="96">
      <c r="B96" s="11">
        <f>IFERROR(__xludf.DUMMYFUNCTION("""COMPUTED_VALUE"""),45890.66666666667)</f>
        <v>45890.66667</v>
      </c>
      <c r="C96" s="9">
        <f>IFERROR(__xludf.DUMMYFUNCTION("""COMPUTED_VALUE"""),108.39)</f>
        <v>108.39</v>
      </c>
      <c r="E96" s="17">
        <f>IFERROR(__xludf.DUMMYFUNCTION("""COMPUTED_VALUE"""),45890.66666666667)</f>
        <v>45890.66667</v>
      </c>
      <c r="F96" s="9">
        <f>IFERROR(__xludf.DUMMYFUNCTION("""COMPUTED_VALUE"""),108.39)</f>
        <v>108.39</v>
      </c>
      <c r="M96" s="17">
        <f>IFERROR(__xludf.DUMMYFUNCTION("""COMPUTED_VALUE"""),45890.66666666667)</f>
        <v>45890.66667</v>
      </c>
      <c r="N96" s="9">
        <f>IFERROR(__xludf.DUMMYFUNCTION("""COMPUTED_VALUE"""),108.39)</f>
        <v>108.39</v>
      </c>
      <c r="P96" s="17"/>
    </row>
    <row r="97">
      <c r="B97" s="11">
        <f>IFERROR(__xludf.DUMMYFUNCTION("""COMPUTED_VALUE"""),45889.66666666667)</f>
        <v>45889.66667</v>
      </c>
      <c r="C97" s="9">
        <f>IFERROR(__xludf.DUMMYFUNCTION("""COMPUTED_VALUE"""),110.18)</f>
        <v>110.18</v>
      </c>
      <c r="E97" s="17">
        <f>IFERROR(__xludf.DUMMYFUNCTION("""COMPUTED_VALUE"""),45889.66666666667)</f>
        <v>45889.66667</v>
      </c>
      <c r="F97" s="9">
        <f>IFERROR(__xludf.DUMMYFUNCTION("""COMPUTED_VALUE"""),110.18)</f>
        <v>110.18</v>
      </c>
      <c r="M97" s="17">
        <f>IFERROR(__xludf.DUMMYFUNCTION("""COMPUTED_VALUE"""),45889.66666666667)</f>
        <v>45889.66667</v>
      </c>
      <c r="N97" s="9">
        <f>IFERROR(__xludf.DUMMYFUNCTION("""COMPUTED_VALUE"""),110.18)</f>
        <v>110.18</v>
      </c>
      <c r="P97" s="17"/>
    </row>
    <row r="98">
      <c r="B98" s="11">
        <f>IFERROR(__xludf.DUMMYFUNCTION("""COMPUTED_VALUE"""),45888.66666666667)</f>
        <v>45888.66667</v>
      </c>
      <c r="C98" s="9">
        <f>IFERROR(__xludf.DUMMYFUNCTION("""COMPUTED_VALUE"""),110.76)</f>
        <v>110.76</v>
      </c>
      <c r="E98" s="17">
        <f>IFERROR(__xludf.DUMMYFUNCTION("""COMPUTED_VALUE"""),45888.66666666667)</f>
        <v>45888.66667</v>
      </c>
      <c r="F98" s="9">
        <f>IFERROR(__xludf.DUMMYFUNCTION("""COMPUTED_VALUE"""),110.76)</f>
        <v>110.76</v>
      </c>
      <c r="M98" s="17">
        <f>IFERROR(__xludf.DUMMYFUNCTION("""COMPUTED_VALUE"""),45888.66666666667)</f>
        <v>45888.66667</v>
      </c>
      <c r="N98" s="9">
        <f>IFERROR(__xludf.DUMMYFUNCTION("""COMPUTED_VALUE"""),110.76)</f>
        <v>110.76</v>
      </c>
      <c r="P98" s="17"/>
    </row>
    <row r="99">
      <c r="B99" s="11">
        <f>IFERROR(__xludf.DUMMYFUNCTION("""COMPUTED_VALUE"""),45887.66666666667)</f>
        <v>45887.66667</v>
      </c>
      <c r="C99" s="9">
        <f>IFERROR(__xludf.DUMMYFUNCTION("""COMPUTED_VALUE"""),105.44)</f>
        <v>105.44</v>
      </c>
      <c r="E99" s="17">
        <f>IFERROR(__xludf.DUMMYFUNCTION("""COMPUTED_VALUE"""),45887.66666666667)</f>
        <v>45887.66667</v>
      </c>
      <c r="F99" s="9">
        <f>IFERROR(__xludf.DUMMYFUNCTION("""COMPUTED_VALUE"""),105.44)</f>
        <v>105.44</v>
      </c>
      <c r="M99" s="17">
        <f>IFERROR(__xludf.DUMMYFUNCTION("""COMPUTED_VALUE"""),45887.66666666667)</f>
        <v>45887.66667</v>
      </c>
      <c r="N99" s="9">
        <f>IFERROR(__xludf.DUMMYFUNCTION("""COMPUTED_VALUE"""),105.44)</f>
        <v>105.44</v>
      </c>
      <c r="P99" s="17"/>
    </row>
    <row r="100">
      <c r="B100" s="11">
        <f>IFERROR(__xludf.DUMMYFUNCTION("""COMPUTED_VALUE"""),45884.66666666667)</f>
        <v>45884.66667</v>
      </c>
      <c r="C100" s="9">
        <f>IFERROR(__xludf.DUMMYFUNCTION("""COMPUTED_VALUE"""),106.59)</f>
        <v>106.59</v>
      </c>
      <c r="E100" s="17">
        <f>IFERROR(__xludf.DUMMYFUNCTION("""COMPUTED_VALUE"""),45884.66666666667)</f>
        <v>45884.66667</v>
      </c>
      <c r="F100" s="9">
        <f>IFERROR(__xludf.DUMMYFUNCTION("""COMPUTED_VALUE"""),106.59)</f>
        <v>106.59</v>
      </c>
      <c r="M100" s="17">
        <f>IFERROR(__xludf.DUMMYFUNCTION("""COMPUTED_VALUE"""),45884.66666666667)</f>
        <v>45884.66667</v>
      </c>
      <c r="N100" s="9">
        <f>IFERROR(__xludf.DUMMYFUNCTION("""COMPUTED_VALUE"""),106.59)</f>
        <v>106.59</v>
      </c>
      <c r="P100" s="17"/>
    </row>
    <row r="101">
      <c r="B101" s="11">
        <f>IFERROR(__xludf.DUMMYFUNCTION("""COMPUTED_VALUE"""),45883.66666666667)</f>
        <v>45883.66667</v>
      </c>
      <c r="C101" s="9">
        <f>IFERROR(__xludf.DUMMYFUNCTION("""COMPUTED_VALUE"""),105.85)</f>
        <v>105.85</v>
      </c>
      <c r="E101" s="17">
        <f>IFERROR(__xludf.DUMMYFUNCTION("""COMPUTED_VALUE"""),45883.66666666667)</f>
        <v>45883.66667</v>
      </c>
      <c r="F101" s="9">
        <f>IFERROR(__xludf.DUMMYFUNCTION("""COMPUTED_VALUE"""),105.85)</f>
        <v>105.85</v>
      </c>
      <c r="M101" s="17">
        <f>IFERROR(__xludf.DUMMYFUNCTION("""COMPUTED_VALUE"""),45883.66666666667)</f>
        <v>45883.66667</v>
      </c>
      <c r="N101" s="9">
        <f>IFERROR(__xludf.DUMMYFUNCTION("""COMPUTED_VALUE"""),105.85)</f>
        <v>105.85</v>
      </c>
      <c r="P101" s="17"/>
    </row>
    <row r="102">
      <c r="B102" s="11">
        <f>IFERROR(__xludf.DUMMYFUNCTION("""COMPUTED_VALUE"""),45882.66666666667)</f>
        <v>45882.66667</v>
      </c>
      <c r="C102" s="9">
        <f>IFERROR(__xludf.DUMMYFUNCTION("""COMPUTED_VALUE"""),106.19)</f>
        <v>106.19</v>
      </c>
      <c r="E102" s="17">
        <f>IFERROR(__xludf.DUMMYFUNCTION("""COMPUTED_VALUE"""),45882.66666666667)</f>
        <v>45882.66667</v>
      </c>
      <c r="F102" s="9">
        <f>IFERROR(__xludf.DUMMYFUNCTION("""COMPUTED_VALUE"""),106.19)</f>
        <v>106.19</v>
      </c>
      <c r="M102" s="17">
        <f>IFERROR(__xludf.DUMMYFUNCTION("""COMPUTED_VALUE"""),45882.66666666667)</f>
        <v>45882.66667</v>
      </c>
      <c r="N102" s="9">
        <f>IFERROR(__xludf.DUMMYFUNCTION("""COMPUTED_VALUE"""),106.19)</f>
        <v>106.19</v>
      </c>
      <c r="P102" s="17"/>
    </row>
    <row r="103">
      <c r="B103" s="11">
        <f>IFERROR(__xludf.DUMMYFUNCTION("""COMPUTED_VALUE"""),45881.66666666667)</f>
        <v>45881.66667</v>
      </c>
      <c r="C103" s="9">
        <f>IFERROR(__xludf.DUMMYFUNCTION("""COMPUTED_VALUE"""),104.81)</f>
        <v>104.81</v>
      </c>
      <c r="E103" s="17">
        <f>IFERROR(__xludf.DUMMYFUNCTION("""COMPUTED_VALUE"""),45881.66666666667)</f>
        <v>45881.66667</v>
      </c>
      <c r="F103" s="9">
        <f>IFERROR(__xludf.DUMMYFUNCTION("""COMPUTED_VALUE"""),104.81)</f>
        <v>104.81</v>
      </c>
      <c r="M103" s="17">
        <f>IFERROR(__xludf.DUMMYFUNCTION("""COMPUTED_VALUE"""),45881.66666666667)</f>
        <v>45881.66667</v>
      </c>
      <c r="N103" s="9">
        <f>IFERROR(__xludf.DUMMYFUNCTION("""COMPUTED_VALUE"""),104.81)</f>
        <v>104.81</v>
      </c>
      <c r="P103" s="17"/>
    </row>
    <row r="104">
      <c r="B104" s="11">
        <f>IFERROR(__xludf.DUMMYFUNCTION("""COMPUTED_VALUE"""),45880.66666666667)</f>
        <v>45880.66667</v>
      </c>
      <c r="C104" s="9">
        <f>IFERROR(__xludf.DUMMYFUNCTION("""COMPUTED_VALUE"""),104.08)</f>
        <v>104.08</v>
      </c>
      <c r="E104" s="17">
        <f>IFERROR(__xludf.DUMMYFUNCTION("""COMPUTED_VALUE"""),45880.66666666667)</f>
        <v>45880.66667</v>
      </c>
      <c r="F104" s="9">
        <f>IFERROR(__xludf.DUMMYFUNCTION("""COMPUTED_VALUE"""),104.08)</f>
        <v>104.08</v>
      </c>
      <c r="M104" s="17">
        <f>IFERROR(__xludf.DUMMYFUNCTION("""COMPUTED_VALUE"""),45880.66666666667)</f>
        <v>45880.66667</v>
      </c>
      <c r="N104" s="9">
        <f>IFERROR(__xludf.DUMMYFUNCTION("""COMPUTED_VALUE"""),104.08)</f>
        <v>104.08</v>
      </c>
      <c r="P104" s="17"/>
    </row>
    <row r="105">
      <c r="B105" s="11">
        <f>IFERROR(__xludf.DUMMYFUNCTION("""COMPUTED_VALUE"""),45877.66666666667)</f>
        <v>45877.66667</v>
      </c>
      <c r="C105" s="9">
        <f>IFERROR(__xludf.DUMMYFUNCTION("""COMPUTED_VALUE"""),105.68)</f>
        <v>105.68</v>
      </c>
      <c r="E105" s="17">
        <f>IFERROR(__xludf.DUMMYFUNCTION("""COMPUTED_VALUE"""),45877.66666666667)</f>
        <v>45877.66667</v>
      </c>
      <c r="F105" s="9">
        <f>IFERROR(__xludf.DUMMYFUNCTION("""COMPUTED_VALUE"""),105.68)</f>
        <v>105.68</v>
      </c>
      <c r="M105" s="17">
        <f>IFERROR(__xludf.DUMMYFUNCTION("""COMPUTED_VALUE"""),45877.66666666667)</f>
        <v>45877.66667</v>
      </c>
      <c r="N105" s="9">
        <f>IFERROR(__xludf.DUMMYFUNCTION("""COMPUTED_VALUE"""),105.68)</f>
        <v>105.68</v>
      </c>
      <c r="P105" s="17"/>
    </row>
    <row r="106">
      <c r="B106" s="11">
        <f>IFERROR(__xludf.DUMMYFUNCTION("""COMPUTED_VALUE"""),45876.66666666667)</f>
        <v>45876.66667</v>
      </c>
      <c r="C106" s="9">
        <f>IFERROR(__xludf.DUMMYFUNCTION("""COMPUTED_VALUE"""),106.29)</f>
        <v>106.29</v>
      </c>
      <c r="E106" s="17">
        <f>IFERROR(__xludf.DUMMYFUNCTION("""COMPUTED_VALUE"""),45876.66666666667)</f>
        <v>45876.66667</v>
      </c>
      <c r="F106" s="9">
        <f>IFERROR(__xludf.DUMMYFUNCTION("""COMPUTED_VALUE"""),106.29)</f>
        <v>106.29</v>
      </c>
      <c r="M106" s="17">
        <f>IFERROR(__xludf.DUMMYFUNCTION("""COMPUTED_VALUE"""),45876.66666666667)</f>
        <v>45876.66667</v>
      </c>
      <c r="N106" s="9">
        <f>IFERROR(__xludf.DUMMYFUNCTION("""COMPUTED_VALUE"""),106.29)</f>
        <v>106.29</v>
      </c>
      <c r="P106" s="17"/>
    </row>
    <row r="107">
      <c r="B107" s="11">
        <f>IFERROR(__xludf.DUMMYFUNCTION("""COMPUTED_VALUE"""),45875.66666666667)</f>
        <v>45875.66667</v>
      </c>
      <c r="C107" s="9">
        <f>IFERROR(__xludf.DUMMYFUNCTION("""COMPUTED_VALUE"""),105.73)</f>
        <v>105.73</v>
      </c>
      <c r="E107" s="17">
        <f>IFERROR(__xludf.DUMMYFUNCTION("""COMPUTED_VALUE"""),45875.66666666667)</f>
        <v>45875.66667</v>
      </c>
      <c r="F107" s="9">
        <f>IFERROR(__xludf.DUMMYFUNCTION("""COMPUTED_VALUE"""),105.73)</f>
        <v>105.73</v>
      </c>
      <c r="M107" s="17">
        <f>IFERROR(__xludf.DUMMYFUNCTION("""COMPUTED_VALUE"""),45875.66666666667)</f>
        <v>45875.66667</v>
      </c>
      <c r="N107" s="9">
        <f>IFERROR(__xludf.DUMMYFUNCTION("""COMPUTED_VALUE"""),105.73)</f>
        <v>105.73</v>
      </c>
      <c r="P107" s="17"/>
    </row>
    <row r="108">
      <c r="B108" s="11">
        <f>IFERROR(__xludf.DUMMYFUNCTION("""COMPUTED_VALUE"""),45874.66666666667)</f>
        <v>45874.66667</v>
      </c>
      <c r="C108" s="9">
        <f>IFERROR(__xludf.DUMMYFUNCTION("""COMPUTED_VALUE"""),107.04)</f>
        <v>107.04</v>
      </c>
      <c r="E108" s="17">
        <f>IFERROR(__xludf.DUMMYFUNCTION("""COMPUTED_VALUE"""),45874.66666666667)</f>
        <v>45874.66667</v>
      </c>
      <c r="F108" s="9">
        <f>IFERROR(__xludf.DUMMYFUNCTION("""COMPUTED_VALUE"""),107.04)</f>
        <v>107.04</v>
      </c>
      <c r="M108" s="17">
        <f>IFERROR(__xludf.DUMMYFUNCTION("""COMPUTED_VALUE"""),45874.66666666667)</f>
        <v>45874.66667</v>
      </c>
      <c r="N108" s="9">
        <f>IFERROR(__xludf.DUMMYFUNCTION("""COMPUTED_VALUE"""),107.04)</f>
        <v>107.04</v>
      </c>
      <c r="P108" s="17"/>
    </row>
    <row r="109">
      <c r="B109" s="11">
        <f>IFERROR(__xludf.DUMMYFUNCTION("""COMPUTED_VALUE"""),45873.66666666667)</f>
        <v>45873.66667</v>
      </c>
      <c r="C109" s="9">
        <f>IFERROR(__xludf.DUMMYFUNCTION("""COMPUTED_VALUE"""),105.21)</f>
        <v>105.21</v>
      </c>
      <c r="E109" s="17">
        <f>IFERROR(__xludf.DUMMYFUNCTION("""COMPUTED_VALUE"""),45873.66666666667)</f>
        <v>45873.66667</v>
      </c>
      <c r="F109" s="9">
        <f>IFERROR(__xludf.DUMMYFUNCTION("""COMPUTED_VALUE"""),105.21)</f>
        <v>105.21</v>
      </c>
      <c r="M109" s="17">
        <f>IFERROR(__xludf.DUMMYFUNCTION("""COMPUTED_VALUE"""),45873.66666666667)</f>
        <v>45873.66667</v>
      </c>
      <c r="N109" s="9">
        <f>IFERROR(__xludf.DUMMYFUNCTION("""COMPUTED_VALUE"""),105.21)</f>
        <v>105.21</v>
      </c>
      <c r="P109" s="17"/>
    </row>
    <row r="110">
      <c r="B110" s="11">
        <f>IFERROR(__xludf.DUMMYFUNCTION("""COMPUTED_VALUE"""),45870.66666666667)</f>
        <v>45870.66667</v>
      </c>
      <c r="C110" s="9">
        <f>IFERROR(__xludf.DUMMYFUNCTION("""COMPUTED_VALUE"""),104.91)</f>
        <v>104.91</v>
      </c>
      <c r="E110" s="17">
        <f>IFERROR(__xludf.DUMMYFUNCTION("""COMPUTED_VALUE"""),45870.66666666667)</f>
        <v>45870.66667</v>
      </c>
      <c r="F110" s="9">
        <f>IFERROR(__xludf.DUMMYFUNCTION("""COMPUTED_VALUE"""),104.91)</f>
        <v>104.91</v>
      </c>
      <c r="M110" s="17">
        <f>IFERROR(__xludf.DUMMYFUNCTION("""COMPUTED_VALUE"""),45870.66666666667)</f>
        <v>45870.66667</v>
      </c>
      <c r="N110" s="9">
        <f>IFERROR(__xludf.DUMMYFUNCTION("""COMPUTED_VALUE"""),104.91)</f>
        <v>104.91</v>
      </c>
      <c r="P110" s="17"/>
    </row>
    <row r="111">
      <c r="B111" s="11">
        <f>IFERROR(__xludf.DUMMYFUNCTION("""COMPUTED_VALUE"""),45869.66666666667)</f>
        <v>45869.66667</v>
      </c>
      <c r="C111" s="9">
        <f>IFERROR(__xludf.DUMMYFUNCTION("""COMPUTED_VALUE"""),106.78)</f>
        <v>106.78</v>
      </c>
      <c r="E111" s="17">
        <f>IFERROR(__xludf.DUMMYFUNCTION("""COMPUTED_VALUE"""),45869.66666666667)</f>
        <v>45869.66667</v>
      </c>
      <c r="F111" s="9">
        <f>IFERROR(__xludf.DUMMYFUNCTION("""COMPUTED_VALUE"""),106.78)</f>
        <v>106.78</v>
      </c>
      <c r="M111" s="17">
        <f>IFERROR(__xludf.DUMMYFUNCTION("""COMPUTED_VALUE"""),45869.66666666667)</f>
        <v>45869.66667</v>
      </c>
      <c r="N111" s="9">
        <f>IFERROR(__xludf.DUMMYFUNCTION("""COMPUTED_VALUE"""),106.78)</f>
        <v>106.78</v>
      </c>
      <c r="P111" s="17"/>
    </row>
    <row r="112">
      <c r="B112" s="11">
        <f>IFERROR(__xludf.DUMMYFUNCTION("""COMPUTED_VALUE"""),45868.66666666667)</f>
        <v>45868.66667</v>
      </c>
      <c r="C112" s="9">
        <f>IFERROR(__xludf.DUMMYFUNCTION("""COMPUTED_VALUE"""),108.49)</f>
        <v>108.49</v>
      </c>
      <c r="E112" s="17">
        <f>IFERROR(__xludf.DUMMYFUNCTION("""COMPUTED_VALUE"""),45868.66666666667)</f>
        <v>45868.66667</v>
      </c>
      <c r="F112" s="9">
        <f>IFERROR(__xludf.DUMMYFUNCTION("""COMPUTED_VALUE"""),108.49)</f>
        <v>108.49</v>
      </c>
      <c r="M112" s="17">
        <f>IFERROR(__xludf.DUMMYFUNCTION("""COMPUTED_VALUE"""),45868.66666666667)</f>
        <v>45868.66667</v>
      </c>
      <c r="N112" s="9">
        <f>IFERROR(__xludf.DUMMYFUNCTION("""COMPUTED_VALUE"""),108.49)</f>
        <v>108.49</v>
      </c>
      <c r="P112" s="17"/>
    </row>
    <row r="113">
      <c r="B113" s="11">
        <f>IFERROR(__xludf.DUMMYFUNCTION("""COMPUTED_VALUE"""),45867.66666666667)</f>
        <v>45867.66667</v>
      </c>
      <c r="C113" s="9">
        <f>IFERROR(__xludf.DUMMYFUNCTION("""COMPUTED_VALUE"""),109.72)</f>
        <v>109.72</v>
      </c>
      <c r="E113" s="17">
        <f>IFERROR(__xludf.DUMMYFUNCTION("""COMPUTED_VALUE"""),45867.66666666667)</f>
        <v>45867.66667</v>
      </c>
      <c r="F113" s="9">
        <f>IFERROR(__xludf.DUMMYFUNCTION("""COMPUTED_VALUE"""),109.72)</f>
        <v>109.72</v>
      </c>
      <c r="M113" s="17">
        <f>IFERROR(__xludf.DUMMYFUNCTION("""COMPUTED_VALUE"""),45867.66666666667)</f>
        <v>45867.66667</v>
      </c>
      <c r="N113" s="9">
        <f>IFERROR(__xludf.DUMMYFUNCTION("""COMPUTED_VALUE"""),109.72)</f>
        <v>109.72</v>
      </c>
      <c r="P113" s="17"/>
    </row>
    <row r="114">
      <c r="B114" s="11">
        <f>IFERROR(__xludf.DUMMYFUNCTION("""COMPUTED_VALUE"""),45866.66666666667)</f>
        <v>45866.66667</v>
      </c>
      <c r="C114" s="9">
        <f>IFERROR(__xludf.DUMMYFUNCTION("""COMPUTED_VALUE"""),107.12)</f>
        <v>107.12</v>
      </c>
      <c r="E114" s="17">
        <f>IFERROR(__xludf.DUMMYFUNCTION("""COMPUTED_VALUE"""),45866.66666666667)</f>
        <v>45866.66667</v>
      </c>
      <c r="F114" s="9">
        <f>IFERROR(__xludf.DUMMYFUNCTION("""COMPUTED_VALUE"""),107.12)</f>
        <v>107.12</v>
      </c>
      <c r="M114" s="17">
        <f>IFERROR(__xludf.DUMMYFUNCTION("""COMPUTED_VALUE"""),45866.66666666667)</f>
        <v>45866.66667</v>
      </c>
      <c r="N114" s="9">
        <f>IFERROR(__xludf.DUMMYFUNCTION("""COMPUTED_VALUE"""),107.12)</f>
        <v>107.12</v>
      </c>
      <c r="P114" s="17"/>
    </row>
    <row r="115">
      <c r="B115" s="11">
        <f>IFERROR(__xludf.DUMMYFUNCTION("""COMPUTED_VALUE"""),45863.66666666667)</f>
        <v>45863.66667</v>
      </c>
      <c r="C115" s="9">
        <f>IFERROR(__xludf.DUMMYFUNCTION("""COMPUTED_VALUE"""),110.29)</f>
        <v>110.29</v>
      </c>
      <c r="E115" s="17">
        <f>IFERROR(__xludf.DUMMYFUNCTION("""COMPUTED_VALUE"""),45863.66666666667)</f>
        <v>45863.66667</v>
      </c>
      <c r="F115" s="9">
        <f>IFERROR(__xludf.DUMMYFUNCTION("""COMPUTED_VALUE"""),110.29)</f>
        <v>110.29</v>
      </c>
      <c r="M115" s="17">
        <f>IFERROR(__xludf.DUMMYFUNCTION("""COMPUTED_VALUE"""),45863.66666666667)</f>
        <v>45863.66667</v>
      </c>
      <c r="N115" s="9">
        <f>IFERROR(__xludf.DUMMYFUNCTION("""COMPUTED_VALUE"""),110.29)</f>
        <v>110.29</v>
      </c>
      <c r="P115" s="17"/>
    </row>
    <row r="116">
      <c r="B116" s="11">
        <f>IFERROR(__xludf.DUMMYFUNCTION("""COMPUTED_VALUE"""),45862.66666666667)</f>
        <v>45862.66667</v>
      </c>
      <c r="C116" s="9">
        <f>IFERROR(__xludf.DUMMYFUNCTION("""COMPUTED_VALUE"""),109.72)</f>
        <v>109.72</v>
      </c>
      <c r="E116" s="17">
        <f>IFERROR(__xludf.DUMMYFUNCTION("""COMPUTED_VALUE"""),45862.66666666667)</f>
        <v>45862.66667</v>
      </c>
      <c r="F116" s="9">
        <f>IFERROR(__xludf.DUMMYFUNCTION("""COMPUTED_VALUE"""),109.72)</f>
        <v>109.72</v>
      </c>
      <c r="M116" s="17">
        <f>IFERROR(__xludf.DUMMYFUNCTION("""COMPUTED_VALUE"""),45862.66666666667)</f>
        <v>45862.66667</v>
      </c>
      <c r="N116" s="9">
        <f>IFERROR(__xludf.DUMMYFUNCTION("""COMPUTED_VALUE"""),109.72)</f>
        <v>109.72</v>
      </c>
      <c r="P116" s="17"/>
    </row>
    <row r="117">
      <c r="B117" s="11">
        <f>IFERROR(__xludf.DUMMYFUNCTION("""COMPUTED_VALUE"""),45861.66666666667)</f>
        <v>45861.66667</v>
      </c>
      <c r="C117" s="9">
        <f>IFERROR(__xludf.DUMMYFUNCTION("""COMPUTED_VALUE"""),110.0)</f>
        <v>110</v>
      </c>
      <c r="E117" s="17">
        <f>IFERROR(__xludf.DUMMYFUNCTION("""COMPUTED_VALUE"""),45861.66666666667)</f>
        <v>45861.66667</v>
      </c>
      <c r="F117" s="9">
        <f>IFERROR(__xludf.DUMMYFUNCTION("""COMPUTED_VALUE"""),110.0)</f>
        <v>110</v>
      </c>
      <c r="M117" s="17">
        <f>IFERROR(__xludf.DUMMYFUNCTION("""COMPUTED_VALUE"""),45861.66666666667)</f>
        <v>45861.66667</v>
      </c>
      <c r="N117" s="9">
        <f>IFERROR(__xludf.DUMMYFUNCTION("""COMPUTED_VALUE"""),110.0)</f>
        <v>110</v>
      </c>
      <c r="P117" s="17"/>
    </row>
    <row r="118">
      <c r="B118" s="11">
        <f>IFERROR(__xludf.DUMMYFUNCTION("""COMPUTED_VALUE"""),45860.66666666667)</f>
        <v>45860.66667</v>
      </c>
      <c r="C118" s="9">
        <f>IFERROR(__xludf.DUMMYFUNCTION("""COMPUTED_VALUE"""),109.19)</f>
        <v>109.19</v>
      </c>
      <c r="E118" s="17">
        <f>IFERROR(__xludf.DUMMYFUNCTION("""COMPUTED_VALUE"""),45860.66666666667)</f>
        <v>45860.66667</v>
      </c>
      <c r="F118" s="9">
        <f>IFERROR(__xludf.DUMMYFUNCTION("""COMPUTED_VALUE"""),109.19)</f>
        <v>109.19</v>
      </c>
      <c r="M118" s="17">
        <f>IFERROR(__xludf.DUMMYFUNCTION("""COMPUTED_VALUE"""),45860.66666666667)</f>
        <v>45860.66667</v>
      </c>
      <c r="N118" s="9">
        <f>IFERROR(__xludf.DUMMYFUNCTION("""COMPUTED_VALUE"""),109.19)</f>
        <v>109.19</v>
      </c>
      <c r="P118" s="17"/>
    </row>
    <row r="119">
      <c r="B119" s="11">
        <f>IFERROR(__xludf.DUMMYFUNCTION("""COMPUTED_VALUE"""),45859.66666666667)</f>
        <v>45859.66667</v>
      </c>
      <c r="C119" s="9">
        <f>IFERROR(__xludf.DUMMYFUNCTION("""COMPUTED_VALUE"""),107.86)</f>
        <v>107.86</v>
      </c>
      <c r="E119" s="17">
        <f>IFERROR(__xludf.DUMMYFUNCTION("""COMPUTED_VALUE"""),45859.66666666667)</f>
        <v>45859.66667</v>
      </c>
      <c r="F119" s="9">
        <f>IFERROR(__xludf.DUMMYFUNCTION("""COMPUTED_VALUE"""),107.86)</f>
        <v>107.86</v>
      </c>
      <c r="M119" s="17">
        <f>IFERROR(__xludf.DUMMYFUNCTION("""COMPUTED_VALUE"""),45859.66666666667)</f>
        <v>45859.66667</v>
      </c>
      <c r="N119" s="9">
        <f>IFERROR(__xludf.DUMMYFUNCTION("""COMPUTED_VALUE"""),107.86)</f>
        <v>107.86</v>
      </c>
      <c r="P119" s="17"/>
    </row>
    <row r="120">
      <c r="B120" s="11">
        <f>IFERROR(__xludf.DUMMYFUNCTION("""COMPUTED_VALUE"""),45856.66666666667)</f>
        <v>45856.66667</v>
      </c>
      <c r="C120" s="9">
        <f>IFERROR(__xludf.DUMMYFUNCTION("""COMPUTED_VALUE"""),106.78)</f>
        <v>106.78</v>
      </c>
      <c r="E120" s="17">
        <f>IFERROR(__xludf.DUMMYFUNCTION("""COMPUTED_VALUE"""),45856.66666666667)</f>
        <v>45856.66667</v>
      </c>
      <c r="F120" s="9">
        <f>IFERROR(__xludf.DUMMYFUNCTION("""COMPUTED_VALUE"""),106.78)</f>
        <v>106.78</v>
      </c>
      <c r="M120" s="17">
        <f>IFERROR(__xludf.DUMMYFUNCTION("""COMPUTED_VALUE"""),45856.66666666667)</f>
        <v>45856.66667</v>
      </c>
      <c r="N120" s="9">
        <f>IFERROR(__xludf.DUMMYFUNCTION("""COMPUTED_VALUE"""),106.78)</f>
        <v>106.78</v>
      </c>
      <c r="P120" s="17"/>
    </row>
    <row r="121">
      <c r="B121" s="11">
        <f>IFERROR(__xludf.DUMMYFUNCTION("""COMPUTED_VALUE"""),45855.66666666667)</f>
        <v>45855.66667</v>
      </c>
      <c r="C121" s="9">
        <f>IFERROR(__xludf.DUMMYFUNCTION("""COMPUTED_VALUE"""),106.43)</f>
        <v>106.43</v>
      </c>
      <c r="E121" s="17">
        <f>IFERROR(__xludf.DUMMYFUNCTION("""COMPUTED_VALUE"""),45855.66666666667)</f>
        <v>45855.66667</v>
      </c>
      <c r="F121" s="9">
        <f>IFERROR(__xludf.DUMMYFUNCTION("""COMPUTED_VALUE"""),106.43)</f>
        <v>106.43</v>
      </c>
      <c r="M121" s="17">
        <f>IFERROR(__xludf.DUMMYFUNCTION("""COMPUTED_VALUE"""),45855.66666666667)</f>
        <v>45855.66667</v>
      </c>
      <c r="N121" s="9">
        <f>IFERROR(__xludf.DUMMYFUNCTION("""COMPUTED_VALUE"""),106.43)</f>
        <v>106.43</v>
      </c>
      <c r="P121" s="17"/>
    </row>
    <row r="122">
      <c r="B122" s="11">
        <f>IFERROR(__xludf.DUMMYFUNCTION("""COMPUTED_VALUE"""),45854.66666666667)</f>
        <v>45854.66667</v>
      </c>
      <c r="C122" s="9">
        <f>IFERROR(__xludf.DUMMYFUNCTION("""COMPUTED_VALUE"""),110.17)</f>
        <v>110.17</v>
      </c>
      <c r="E122" s="17">
        <f>IFERROR(__xludf.DUMMYFUNCTION("""COMPUTED_VALUE"""),45854.66666666667)</f>
        <v>45854.66667</v>
      </c>
      <c r="F122" s="9">
        <f>IFERROR(__xludf.DUMMYFUNCTION("""COMPUTED_VALUE"""),110.17)</f>
        <v>110.17</v>
      </c>
      <c r="M122" s="17">
        <f>IFERROR(__xludf.DUMMYFUNCTION("""COMPUTED_VALUE"""),45854.66666666667)</f>
        <v>45854.66667</v>
      </c>
      <c r="N122" s="9">
        <f>IFERROR(__xludf.DUMMYFUNCTION("""COMPUTED_VALUE"""),110.17)</f>
        <v>110.17</v>
      </c>
      <c r="P122" s="17"/>
    </row>
    <row r="123">
      <c r="B123" s="11">
        <f>IFERROR(__xludf.DUMMYFUNCTION("""COMPUTED_VALUE"""),45853.66666666667)</f>
        <v>45853.66667</v>
      </c>
      <c r="C123" s="9">
        <f>IFERROR(__xludf.DUMMYFUNCTION("""COMPUTED_VALUE"""),108.62)</f>
        <v>108.62</v>
      </c>
      <c r="E123" s="17">
        <f>IFERROR(__xludf.DUMMYFUNCTION("""COMPUTED_VALUE"""),45853.66666666667)</f>
        <v>45853.66667</v>
      </c>
      <c r="F123" s="9">
        <f>IFERROR(__xludf.DUMMYFUNCTION("""COMPUTED_VALUE"""),108.62)</f>
        <v>108.62</v>
      </c>
      <c r="M123" s="17">
        <f>IFERROR(__xludf.DUMMYFUNCTION("""COMPUTED_VALUE"""),45853.66666666667)</f>
        <v>45853.66667</v>
      </c>
      <c r="N123" s="9">
        <f>IFERROR(__xludf.DUMMYFUNCTION("""COMPUTED_VALUE"""),108.62)</f>
        <v>108.62</v>
      </c>
      <c r="P123" s="17"/>
    </row>
    <row r="124">
      <c r="B124" s="11">
        <f>IFERROR(__xludf.DUMMYFUNCTION("""COMPUTED_VALUE"""),45852.66666666667)</f>
        <v>45852.66667</v>
      </c>
      <c r="C124" s="9">
        <f>IFERROR(__xludf.DUMMYFUNCTION("""COMPUTED_VALUE"""),109.35)</f>
        <v>109.35</v>
      </c>
      <c r="E124" s="17">
        <f>IFERROR(__xludf.DUMMYFUNCTION("""COMPUTED_VALUE"""),45852.66666666667)</f>
        <v>45852.66667</v>
      </c>
      <c r="F124" s="9">
        <f>IFERROR(__xludf.DUMMYFUNCTION("""COMPUTED_VALUE"""),109.35)</f>
        <v>109.35</v>
      </c>
      <c r="M124" s="17">
        <f>IFERROR(__xludf.DUMMYFUNCTION("""COMPUTED_VALUE"""),45852.66666666667)</f>
        <v>45852.66667</v>
      </c>
      <c r="N124" s="9">
        <f>IFERROR(__xludf.DUMMYFUNCTION("""COMPUTED_VALUE"""),109.35)</f>
        <v>109.35</v>
      </c>
      <c r="P124" s="17"/>
    </row>
    <row r="125">
      <c r="B125" s="11">
        <f>IFERROR(__xludf.DUMMYFUNCTION("""COMPUTED_VALUE"""),45849.66666666667)</f>
        <v>45849.66667</v>
      </c>
      <c r="C125" s="9">
        <f>IFERROR(__xludf.DUMMYFUNCTION("""COMPUTED_VALUE"""),109.17)</f>
        <v>109.17</v>
      </c>
      <c r="E125" s="17">
        <f>IFERROR(__xludf.DUMMYFUNCTION("""COMPUTED_VALUE"""),45849.66666666667)</f>
        <v>45849.66667</v>
      </c>
      <c r="F125" s="9">
        <f>IFERROR(__xludf.DUMMYFUNCTION("""COMPUTED_VALUE"""),109.17)</f>
        <v>109.17</v>
      </c>
      <c r="M125" s="17">
        <f>IFERROR(__xludf.DUMMYFUNCTION("""COMPUTED_VALUE"""),45849.66666666667)</f>
        <v>45849.66667</v>
      </c>
      <c r="N125" s="9">
        <f>IFERROR(__xludf.DUMMYFUNCTION("""COMPUTED_VALUE"""),109.17)</f>
        <v>109.17</v>
      </c>
      <c r="P125" s="17"/>
    </row>
    <row r="126">
      <c r="B126" s="11">
        <f>IFERROR(__xludf.DUMMYFUNCTION("""COMPUTED_VALUE"""),45848.66666666667)</f>
        <v>45848.66667</v>
      </c>
      <c r="C126" s="9">
        <f>IFERROR(__xludf.DUMMYFUNCTION("""COMPUTED_VALUE"""),108.41)</f>
        <v>108.41</v>
      </c>
      <c r="E126" s="17">
        <f>IFERROR(__xludf.DUMMYFUNCTION("""COMPUTED_VALUE"""),45848.66666666667)</f>
        <v>45848.66667</v>
      </c>
      <c r="F126" s="9">
        <f>IFERROR(__xludf.DUMMYFUNCTION("""COMPUTED_VALUE"""),108.41)</f>
        <v>108.41</v>
      </c>
      <c r="M126" s="17">
        <f>IFERROR(__xludf.DUMMYFUNCTION("""COMPUTED_VALUE"""),45848.66666666667)</f>
        <v>45848.66667</v>
      </c>
      <c r="N126" s="9">
        <f>IFERROR(__xludf.DUMMYFUNCTION("""COMPUTED_VALUE"""),108.41)</f>
        <v>108.41</v>
      </c>
      <c r="P126" s="17"/>
    </row>
    <row r="127">
      <c r="B127" s="11">
        <f>IFERROR(__xludf.DUMMYFUNCTION("""COMPUTED_VALUE"""),45847.66666666667)</f>
        <v>45847.66667</v>
      </c>
      <c r="C127" s="9">
        <f>IFERROR(__xludf.DUMMYFUNCTION("""COMPUTED_VALUE"""),106.39)</f>
        <v>106.39</v>
      </c>
      <c r="E127" s="17">
        <f>IFERROR(__xludf.DUMMYFUNCTION("""COMPUTED_VALUE"""),45847.66666666667)</f>
        <v>45847.66667</v>
      </c>
      <c r="F127" s="9">
        <f>IFERROR(__xludf.DUMMYFUNCTION("""COMPUTED_VALUE"""),106.39)</f>
        <v>106.39</v>
      </c>
      <c r="M127" s="17">
        <f>IFERROR(__xludf.DUMMYFUNCTION("""COMPUTED_VALUE"""),45847.66666666667)</f>
        <v>45847.66667</v>
      </c>
      <c r="N127" s="9">
        <f>IFERROR(__xludf.DUMMYFUNCTION("""COMPUTED_VALUE"""),106.39)</f>
        <v>106.39</v>
      </c>
      <c r="P127" s="17"/>
    </row>
    <row r="128">
      <c r="B128" s="11">
        <f>IFERROR(__xludf.DUMMYFUNCTION("""COMPUTED_VALUE"""),45846.66666666667)</f>
        <v>45846.66667</v>
      </c>
      <c r="C128" s="9">
        <f>IFERROR(__xludf.DUMMYFUNCTION("""COMPUTED_VALUE"""),106.85)</f>
        <v>106.85</v>
      </c>
      <c r="E128" s="17">
        <f>IFERROR(__xludf.DUMMYFUNCTION("""COMPUTED_VALUE"""),45846.66666666667)</f>
        <v>45846.66667</v>
      </c>
      <c r="F128" s="9">
        <f>IFERROR(__xludf.DUMMYFUNCTION("""COMPUTED_VALUE"""),106.85)</f>
        <v>106.85</v>
      </c>
      <c r="M128" s="17">
        <f>IFERROR(__xludf.DUMMYFUNCTION("""COMPUTED_VALUE"""),45846.66666666667)</f>
        <v>45846.66667</v>
      </c>
      <c r="N128" s="9">
        <f>IFERROR(__xludf.DUMMYFUNCTION("""COMPUTED_VALUE"""),106.85)</f>
        <v>106.85</v>
      </c>
      <c r="P128" s="17"/>
    </row>
    <row r="129">
      <c r="B129" s="11">
        <f>IFERROR(__xludf.DUMMYFUNCTION("""COMPUTED_VALUE"""),45845.66666666667)</f>
        <v>45845.66667</v>
      </c>
      <c r="C129" s="9">
        <f>IFERROR(__xludf.DUMMYFUNCTION("""COMPUTED_VALUE"""),106.33)</f>
        <v>106.33</v>
      </c>
      <c r="E129" s="17">
        <f>IFERROR(__xludf.DUMMYFUNCTION("""COMPUTED_VALUE"""),45845.66666666667)</f>
        <v>45845.66667</v>
      </c>
      <c r="F129" s="9">
        <f>IFERROR(__xludf.DUMMYFUNCTION("""COMPUTED_VALUE"""),106.33)</f>
        <v>106.33</v>
      </c>
      <c r="M129" s="17">
        <f>IFERROR(__xludf.DUMMYFUNCTION("""COMPUTED_VALUE"""),45845.66666666667)</f>
        <v>45845.66667</v>
      </c>
      <c r="N129" s="9">
        <f>IFERROR(__xludf.DUMMYFUNCTION("""COMPUTED_VALUE"""),106.33)</f>
        <v>106.33</v>
      </c>
      <c r="P129" s="17"/>
    </row>
    <row r="130">
      <c r="B130" s="11">
        <f>IFERROR(__xludf.DUMMYFUNCTION("""COMPUTED_VALUE"""),45841.54166666667)</f>
        <v>45841.54167</v>
      </c>
      <c r="C130" s="9">
        <f>IFERROR(__xludf.DUMMYFUNCTION("""COMPUTED_VALUE"""),108.02)</f>
        <v>108.02</v>
      </c>
      <c r="E130" s="17">
        <f>IFERROR(__xludf.DUMMYFUNCTION("""COMPUTED_VALUE"""),45841.54166666667)</f>
        <v>45841.54167</v>
      </c>
      <c r="F130" s="9">
        <f>IFERROR(__xludf.DUMMYFUNCTION("""COMPUTED_VALUE"""),108.02)</f>
        <v>108.02</v>
      </c>
      <c r="M130" s="17">
        <f>IFERROR(__xludf.DUMMYFUNCTION("""COMPUTED_VALUE"""),45841.54166666667)</f>
        <v>45841.54167</v>
      </c>
      <c r="N130" s="9">
        <f>IFERROR(__xludf.DUMMYFUNCTION("""COMPUTED_VALUE"""),108.02)</f>
        <v>108.02</v>
      </c>
      <c r="P130" s="17"/>
    </row>
    <row r="131">
      <c r="B131" s="11">
        <f>IFERROR(__xludf.DUMMYFUNCTION("""COMPUTED_VALUE"""),45840.66666666667)</f>
        <v>45840.66667</v>
      </c>
      <c r="C131" s="9">
        <f>IFERROR(__xludf.DUMMYFUNCTION("""COMPUTED_VALUE"""),108.31)</f>
        <v>108.31</v>
      </c>
      <c r="E131" s="17">
        <f>IFERROR(__xludf.DUMMYFUNCTION("""COMPUTED_VALUE"""),45840.66666666667)</f>
        <v>45840.66667</v>
      </c>
      <c r="F131" s="9">
        <f>IFERROR(__xludf.DUMMYFUNCTION("""COMPUTED_VALUE"""),108.31)</f>
        <v>108.31</v>
      </c>
      <c r="M131" s="17"/>
      <c r="P131" s="17"/>
    </row>
    <row r="132">
      <c r="B132" s="11">
        <f>IFERROR(__xludf.DUMMYFUNCTION("""COMPUTED_VALUE"""),45839.66666666667)</f>
        <v>45839.66667</v>
      </c>
      <c r="C132" s="9">
        <f>IFERROR(__xludf.DUMMYFUNCTION("""COMPUTED_VALUE"""),106.58)</f>
        <v>106.58</v>
      </c>
      <c r="E132" s="17">
        <f>IFERROR(__xludf.DUMMYFUNCTION("""COMPUTED_VALUE"""),45839.66666666667)</f>
        <v>45839.66667</v>
      </c>
      <c r="F132" s="9">
        <f>IFERROR(__xludf.DUMMYFUNCTION("""COMPUTED_VALUE"""),106.58)</f>
        <v>106.58</v>
      </c>
      <c r="M132" s="17"/>
      <c r="P132" s="17"/>
    </row>
    <row r="133">
      <c r="B133" s="11">
        <f>IFERROR(__xludf.DUMMYFUNCTION("""COMPUTED_VALUE"""),45838.66666666667)</f>
        <v>45838.66667</v>
      </c>
      <c r="C133" s="9">
        <f>IFERROR(__xludf.DUMMYFUNCTION("""COMPUTED_VALUE"""),105.12)</f>
        <v>105.12</v>
      </c>
      <c r="E133" s="17">
        <f>IFERROR(__xludf.DUMMYFUNCTION("""COMPUTED_VALUE"""),45838.66666666667)</f>
        <v>45838.66667</v>
      </c>
      <c r="F133" s="9">
        <f>IFERROR(__xludf.DUMMYFUNCTION("""COMPUTED_VALUE"""),105.12)</f>
        <v>105.12</v>
      </c>
      <c r="M133" s="17"/>
      <c r="P133" s="17"/>
    </row>
    <row r="134">
      <c r="B134" s="11">
        <f>IFERROR(__xludf.DUMMYFUNCTION("""COMPUTED_VALUE"""),45835.66666666667)</f>
        <v>45835.66667</v>
      </c>
      <c r="C134" s="9">
        <f>IFERROR(__xludf.DUMMYFUNCTION("""COMPUTED_VALUE"""),105.62)</f>
        <v>105.62</v>
      </c>
      <c r="E134" s="17">
        <f>IFERROR(__xludf.DUMMYFUNCTION("""COMPUTED_VALUE"""),45835.66666666667)</f>
        <v>45835.66667</v>
      </c>
      <c r="F134" s="9">
        <f>IFERROR(__xludf.DUMMYFUNCTION("""COMPUTED_VALUE"""),105.62)</f>
        <v>105.62</v>
      </c>
      <c r="M134" s="17"/>
      <c r="P134" s="17"/>
    </row>
    <row r="135">
      <c r="B135" s="11">
        <f>IFERROR(__xludf.DUMMYFUNCTION("""COMPUTED_VALUE"""),45834.66666666667)</f>
        <v>45834.66667</v>
      </c>
      <c r="C135" s="9">
        <f>IFERROR(__xludf.DUMMYFUNCTION("""COMPUTED_VALUE"""),104.39)</f>
        <v>104.39</v>
      </c>
      <c r="E135" s="17">
        <f>IFERROR(__xludf.DUMMYFUNCTION("""COMPUTED_VALUE"""),45834.66666666667)</f>
        <v>45834.66667</v>
      </c>
      <c r="F135" s="9">
        <f>IFERROR(__xludf.DUMMYFUNCTION("""COMPUTED_VALUE"""),104.39)</f>
        <v>104.39</v>
      </c>
      <c r="M135" s="17"/>
      <c r="P135" s="17"/>
    </row>
    <row r="136">
      <c r="B136" s="11">
        <f>IFERROR(__xludf.DUMMYFUNCTION("""COMPUTED_VALUE"""),45833.66666666667)</f>
        <v>45833.66667</v>
      </c>
      <c r="C136" s="9">
        <f>IFERROR(__xludf.DUMMYFUNCTION("""COMPUTED_VALUE"""),104.78)</f>
        <v>104.78</v>
      </c>
      <c r="E136" s="17">
        <f>IFERROR(__xludf.DUMMYFUNCTION("""COMPUTED_VALUE"""),45833.66666666667)</f>
        <v>45833.66667</v>
      </c>
      <c r="F136" s="9">
        <f>IFERROR(__xludf.DUMMYFUNCTION("""COMPUTED_VALUE"""),104.78)</f>
        <v>104.78</v>
      </c>
      <c r="M136" s="17"/>
      <c r="P136" s="17"/>
    </row>
    <row r="137">
      <c r="B137" s="11">
        <f>IFERROR(__xludf.DUMMYFUNCTION("""COMPUTED_VALUE"""),45832.66666666667)</f>
        <v>45832.66667</v>
      </c>
      <c r="C137" s="9">
        <f>IFERROR(__xludf.DUMMYFUNCTION("""COMPUTED_VALUE"""),108.13)</f>
        <v>108.13</v>
      </c>
      <c r="E137" s="17">
        <f>IFERROR(__xludf.DUMMYFUNCTION("""COMPUTED_VALUE"""),45832.66666666667)</f>
        <v>45832.66667</v>
      </c>
      <c r="F137" s="9">
        <f>IFERROR(__xludf.DUMMYFUNCTION("""COMPUTED_VALUE"""),108.13)</f>
        <v>108.13</v>
      </c>
      <c r="M137" s="17"/>
      <c r="P137" s="17"/>
    </row>
    <row r="138">
      <c r="B138" s="11">
        <f>IFERROR(__xludf.DUMMYFUNCTION("""COMPUTED_VALUE"""),45831.66666666667)</f>
        <v>45831.66667</v>
      </c>
      <c r="C138" s="9">
        <f>IFERROR(__xludf.DUMMYFUNCTION("""COMPUTED_VALUE"""),107.13)</f>
        <v>107.13</v>
      </c>
      <c r="E138" s="17">
        <f>IFERROR(__xludf.DUMMYFUNCTION("""COMPUTED_VALUE"""),45831.66666666667)</f>
        <v>45831.66667</v>
      </c>
      <c r="F138" s="9">
        <f>IFERROR(__xludf.DUMMYFUNCTION("""COMPUTED_VALUE"""),107.13)</f>
        <v>107.13</v>
      </c>
      <c r="M138" s="17"/>
      <c r="P138" s="17"/>
    </row>
    <row r="139">
      <c r="B139" s="11">
        <f>IFERROR(__xludf.DUMMYFUNCTION("""COMPUTED_VALUE"""),45828.66666666667)</f>
        <v>45828.66667</v>
      </c>
      <c r="C139" s="9">
        <f>IFERROR(__xludf.DUMMYFUNCTION("""COMPUTED_VALUE"""),105.69)</f>
        <v>105.69</v>
      </c>
      <c r="E139" s="17">
        <f>IFERROR(__xludf.DUMMYFUNCTION("""COMPUTED_VALUE"""),45828.66666666667)</f>
        <v>45828.66667</v>
      </c>
      <c r="F139" s="9">
        <f>IFERROR(__xludf.DUMMYFUNCTION("""COMPUTED_VALUE"""),105.69)</f>
        <v>105.69</v>
      </c>
      <c r="M139" s="17"/>
      <c r="P139" s="17"/>
    </row>
    <row r="140">
      <c r="B140" s="11">
        <f>IFERROR(__xludf.DUMMYFUNCTION("""COMPUTED_VALUE"""),45826.66666666667)</f>
        <v>45826.66667</v>
      </c>
      <c r="C140" s="9">
        <f>IFERROR(__xludf.DUMMYFUNCTION("""COMPUTED_VALUE"""),105.08)</f>
        <v>105.08</v>
      </c>
      <c r="E140" s="17">
        <f>IFERROR(__xludf.DUMMYFUNCTION("""COMPUTED_VALUE"""),45826.66666666667)</f>
        <v>45826.66667</v>
      </c>
      <c r="F140" s="9">
        <f>IFERROR(__xludf.DUMMYFUNCTION("""COMPUTED_VALUE"""),105.08)</f>
        <v>105.08</v>
      </c>
      <c r="M140" s="17"/>
      <c r="P140" s="17"/>
    </row>
    <row r="141">
      <c r="B141" s="11">
        <f>IFERROR(__xludf.DUMMYFUNCTION("""COMPUTED_VALUE"""),45825.66666666667)</f>
        <v>45825.66667</v>
      </c>
      <c r="C141" s="9">
        <f>IFERROR(__xludf.DUMMYFUNCTION("""COMPUTED_VALUE"""),105.09)</f>
        <v>105.09</v>
      </c>
      <c r="E141" s="17">
        <f>IFERROR(__xludf.DUMMYFUNCTION("""COMPUTED_VALUE"""),45825.66666666667)</f>
        <v>45825.66667</v>
      </c>
      <c r="F141" s="9">
        <f>IFERROR(__xludf.DUMMYFUNCTION("""COMPUTED_VALUE"""),105.09)</f>
        <v>105.09</v>
      </c>
      <c r="M141" s="17"/>
      <c r="P141" s="17"/>
    </row>
    <row r="142">
      <c r="B142" s="11">
        <f>IFERROR(__xludf.DUMMYFUNCTION("""COMPUTED_VALUE"""),45824.66666666667)</f>
        <v>45824.66667</v>
      </c>
      <c r="C142" s="9">
        <f>IFERROR(__xludf.DUMMYFUNCTION("""COMPUTED_VALUE"""),106.82)</f>
        <v>106.82</v>
      </c>
      <c r="E142" s="17">
        <f>IFERROR(__xludf.DUMMYFUNCTION("""COMPUTED_VALUE"""),45824.66666666667)</f>
        <v>45824.66667</v>
      </c>
      <c r="F142" s="9">
        <f>IFERROR(__xludf.DUMMYFUNCTION("""COMPUTED_VALUE"""),106.82)</f>
        <v>106.82</v>
      </c>
      <c r="M142" s="17"/>
      <c r="P142" s="17"/>
    </row>
    <row r="143">
      <c r="B143" s="11">
        <f>IFERROR(__xludf.DUMMYFUNCTION("""COMPUTED_VALUE"""),45821.66666666667)</f>
        <v>45821.66667</v>
      </c>
      <c r="C143" s="9">
        <f>IFERROR(__xludf.DUMMYFUNCTION("""COMPUTED_VALUE"""),107.28)</f>
        <v>107.28</v>
      </c>
      <c r="E143" s="17">
        <f>IFERROR(__xludf.DUMMYFUNCTION("""COMPUTED_VALUE"""),45821.66666666667)</f>
        <v>45821.66667</v>
      </c>
      <c r="F143" s="9">
        <f>IFERROR(__xludf.DUMMYFUNCTION("""COMPUTED_VALUE"""),107.28)</f>
        <v>107.28</v>
      </c>
      <c r="M143" s="17"/>
      <c r="P143" s="17"/>
    </row>
    <row r="144">
      <c r="B144" s="11">
        <f>IFERROR(__xludf.DUMMYFUNCTION("""COMPUTED_VALUE"""),45820.66666666667)</f>
        <v>45820.66667</v>
      </c>
      <c r="C144" s="9">
        <f>IFERROR(__xludf.DUMMYFUNCTION("""COMPUTED_VALUE"""),108.44)</f>
        <v>108.44</v>
      </c>
      <c r="E144" s="17">
        <f>IFERROR(__xludf.DUMMYFUNCTION("""COMPUTED_VALUE"""),45820.66666666667)</f>
        <v>45820.66667</v>
      </c>
      <c r="F144" s="9">
        <f>IFERROR(__xludf.DUMMYFUNCTION("""COMPUTED_VALUE"""),108.44)</f>
        <v>108.44</v>
      </c>
      <c r="M144" s="17"/>
      <c r="P144" s="17"/>
    </row>
    <row r="145">
      <c r="B145" s="11">
        <f>IFERROR(__xludf.DUMMYFUNCTION("""COMPUTED_VALUE"""),45819.66666666667)</f>
        <v>45819.66667</v>
      </c>
      <c r="C145" s="9">
        <f>IFERROR(__xludf.DUMMYFUNCTION("""COMPUTED_VALUE"""),108.5)</f>
        <v>108.5</v>
      </c>
      <c r="E145" s="17">
        <f>IFERROR(__xludf.DUMMYFUNCTION("""COMPUTED_VALUE"""),45819.66666666667)</f>
        <v>45819.66667</v>
      </c>
      <c r="F145" s="9">
        <f>IFERROR(__xludf.DUMMYFUNCTION("""COMPUTED_VALUE"""),108.5)</f>
        <v>108.5</v>
      </c>
      <c r="M145" s="17"/>
      <c r="P145" s="17"/>
    </row>
    <row r="146">
      <c r="B146" s="11">
        <f>IFERROR(__xludf.DUMMYFUNCTION("""COMPUTED_VALUE"""),45818.66666666667)</f>
        <v>45818.66667</v>
      </c>
      <c r="C146" s="9">
        <f>IFERROR(__xludf.DUMMYFUNCTION("""COMPUTED_VALUE"""),109.49)</f>
        <v>109.49</v>
      </c>
      <c r="E146" s="17">
        <f>IFERROR(__xludf.DUMMYFUNCTION("""COMPUTED_VALUE"""),45818.66666666667)</f>
        <v>45818.66667</v>
      </c>
      <c r="F146" s="9">
        <f>IFERROR(__xludf.DUMMYFUNCTION("""COMPUTED_VALUE"""),109.49)</f>
        <v>109.49</v>
      </c>
      <c r="M146" s="17"/>
      <c r="P146" s="17"/>
    </row>
    <row r="147">
      <c r="B147" s="11">
        <f>IFERROR(__xludf.DUMMYFUNCTION("""COMPUTED_VALUE"""),45817.66666666667)</f>
        <v>45817.66667</v>
      </c>
      <c r="C147" s="9">
        <f>IFERROR(__xludf.DUMMYFUNCTION("""COMPUTED_VALUE"""),108.93)</f>
        <v>108.93</v>
      </c>
      <c r="E147" s="17">
        <f>IFERROR(__xludf.DUMMYFUNCTION("""COMPUTED_VALUE"""),45817.66666666667)</f>
        <v>45817.66667</v>
      </c>
      <c r="F147" s="9">
        <f>IFERROR(__xludf.DUMMYFUNCTION("""COMPUTED_VALUE"""),108.93)</f>
        <v>108.93</v>
      </c>
      <c r="M147" s="17"/>
      <c r="P147" s="17"/>
    </row>
    <row r="148">
      <c r="B148" s="11">
        <f>IFERROR(__xludf.DUMMYFUNCTION("""COMPUTED_VALUE"""),45814.66666666667)</f>
        <v>45814.66667</v>
      </c>
      <c r="C148" s="9">
        <f>IFERROR(__xludf.DUMMYFUNCTION("""COMPUTED_VALUE"""),108.79)</f>
        <v>108.79</v>
      </c>
      <c r="E148" s="17">
        <f>IFERROR(__xludf.DUMMYFUNCTION("""COMPUTED_VALUE"""),45814.66666666667)</f>
        <v>45814.66667</v>
      </c>
      <c r="F148" s="9">
        <f>IFERROR(__xludf.DUMMYFUNCTION("""COMPUTED_VALUE"""),108.79)</f>
        <v>108.79</v>
      </c>
      <c r="M148" s="17"/>
      <c r="P148" s="17"/>
    </row>
    <row r="149">
      <c r="B149" s="11">
        <f>IFERROR(__xludf.DUMMYFUNCTION("""COMPUTED_VALUE"""),45813.66666666667)</f>
        <v>45813.66667</v>
      </c>
      <c r="C149" s="9">
        <f>IFERROR(__xludf.DUMMYFUNCTION("""COMPUTED_VALUE"""),107.82)</f>
        <v>107.82</v>
      </c>
      <c r="E149" s="17">
        <f>IFERROR(__xludf.DUMMYFUNCTION("""COMPUTED_VALUE"""),45813.66666666667)</f>
        <v>45813.66667</v>
      </c>
      <c r="F149" s="9">
        <f>IFERROR(__xludf.DUMMYFUNCTION("""COMPUTED_VALUE"""),107.82)</f>
        <v>107.82</v>
      </c>
      <c r="M149" s="17"/>
      <c r="P149" s="17"/>
    </row>
    <row r="150">
      <c r="B150" s="11">
        <f>IFERROR(__xludf.DUMMYFUNCTION("""COMPUTED_VALUE"""),45812.66666666667)</f>
        <v>45812.66667</v>
      </c>
      <c r="C150" s="9">
        <f>IFERROR(__xludf.DUMMYFUNCTION("""COMPUTED_VALUE"""),108.43)</f>
        <v>108.43</v>
      </c>
      <c r="E150" s="17">
        <f>IFERROR(__xludf.DUMMYFUNCTION("""COMPUTED_VALUE"""),45812.66666666667)</f>
        <v>45812.66667</v>
      </c>
      <c r="F150" s="9">
        <f>IFERROR(__xludf.DUMMYFUNCTION("""COMPUTED_VALUE"""),108.43)</f>
        <v>108.43</v>
      </c>
      <c r="M150" s="17"/>
      <c r="P150" s="17"/>
    </row>
    <row r="151">
      <c r="B151" s="11">
        <f>IFERROR(__xludf.DUMMYFUNCTION("""COMPUTED_VALUE"""),45811.66666666667)</f>
        <v>45811.66667</v>
      </c>
      <c r="C151" s="9">
        <f>IFERROR(__xludf.DUMMYFUNCTION("""COMPUTED_VALUE"""),109.02)</f>
        <v>109.02</v>
      </c>
      <c r="E151" s="17">
        <f>IFERROR(__xludf.DUMMYFUNCTION("""COMPUTED_VALUE"""),45811.66666666667)</f>
        <v>45811.66667</v>
      </c>
      <c r="F151" s="9">
        <f>IFERROR(__xludf.DUMMYFUNCTION("""COMPUTED_VALUE"""),109.02)</f>
        <v>109.02</v>
      </c>
      <c r="M151" s="17"/>
      <c r="P151" s="17"/>
    </row>
    <row r="152">
      <c r="B152" s="11">
        <f>IFERROR(__xludf.DUMMYFUNCTION("""COMPUTED_VALUE"""),45810.66666666667)</f>
        <v>45810.66667</v>
      </c>
      <c r="C152" s="9">
        <f>IFERROR(__xludf.DUMMYFUNCTION("""COMPUTED_VALUE"""),108.75)</f>
        <v>108.75</v>
      </c>
      <c r="E152" s="17">
        <f>IFERROR(__xludf.DUMMYFUNCTION("""COMPUTED_VALUE"""),45810.66666666667)</f>
        <v>45810.66667</v>
      </c>
      <c r="F152" s="9">
        <f>IFERROR(__xludf.DUMMYFUNCTION("""COMPUTED_VALUE"""),108.75)</f>
        <v>108.75</v>
      </c>
      <c r="M152" s="17"/>
      <c r="P152" s="17"/>
    </row>
    <row r="153">
      <c r="B153" s="11">
        <f>IFERROR(__xludf.DUMMYFUNCTION("""COMPUTED_VALUE"""),45807.66666666667)</f>
        <v>45807.66667</v>
      </c>
      <c r="C153" s="9">
        <f>IFERROR(__xludf.DUMMYFUNCTION("""COMPUTED_VALUE"""),108.6)</f>
        <v>108.6</v>
      </c>
      <c r="E153" s="17">
        <f>IFERROR(__xludf.DUMMYFUNCTION("""COMPUTED_VALUE"""),45807.66666666667)</f>
        <v>45807.66667</v>
      </c>
      <c r="F153" s="9">
        <f>IFERROR(__xludf.DUMMYFUNCTION("""COMPUTED_VALUE"""),108.6)</f>
        <v>108.6</v>
      </c>
      <c r="M153" s="17"/>
      <c r="P153" s="17"/>
    </row>
    <row r="154">
      <c r="B154" s="11">
        <f>IFERROR(__xludf.DUMMYFUNCTION("""COMPUTED_VALUE"""),45806.66666666667)</f>
        <v>45806.66667</v>
      </c>
      <c r="C154" s="9">
        <f>IFERROR(__xludf.DUMMYFUNCTION("""COMPUTED_VALUE"""),109.23)</f>
        <v>109.23</v>
      </c>
      <c r="E154" s="17">
        <f>IFERROR(__xludf.DUMMYFUNCTION("""COMPUTED_VALUE"""),45806.66666666667)</f>
        <v>45806.66667</v>
      </c>
      <c r="F154" s="9">
        <f>IFERROR(__xludf.DUMMYFUNCTION("""COMPUTED_VALUE"""),109.23)</f>
        <v>109.23</v>
      </c>
      <c r="M154" s="17"/>
      <c r="P154" s="17"/>
    </row>
    <row r="155">
      <c r="B155" s="11">
        <f>IFERROR(__xludf.DUMMYFUNCTION("""COMPUTED_VALUE"""),45805.66666666667)</f>
        <v>45805.66667</v>
      </c>
      <c r="C155" s="9">
        <f>IFERROR(__xludf.DUMMYFUNCTION("""COMPUTED_VALUE"""),107.92)</f>
        <v>107.92</v>
      </c>
      <c r="E155" s="17">
        <f>IFERROR(__xludf.DUMMYFUNCTION("""COMPUTED_VALUE"""),45805.66666666667)</f>
        <v>45805.66667</v>
      </c>
      <c r="F155" s="9">
        <f>IFERROR(__xludf.DUMMYFUNCTION("""COMPUTED_VALUE"""),107.92)</f>
        <v>107.92</v>
      </c>
      <c r="M155" s="17"/>
      <c r="P155" s="17"/>
    </row>
    <row r="156">
      <c r="B156" s="11">
        <f>IFERROR(__xludf.DUMMYFUNCTION("""COMPUTED_VALUE"""),45804.66666666667)</f>
        <v>45804.66667</v>
      </c>
      <c r="C156" s="9">
        <f>IFERROR(__xludf.DUMMYFUNCTION("""COMPUTED_VALUE"""),106.62)</f>
        <v>106.62</v>
      </c>
      <c r="E156" s="17">
        <f>IFERROR(__xludf.DUMMYFUNCTION("""COMPUTED_VALUE"""),45804.66666666667)</f>
        <v>45804.66667</v>
      </c>
      <c r="F156" s="9">
        <f>IFERROR(__xludf.DUMMYFUNCTION("""COMPUTED_VALUE"""),106.62)</f>
        <v>106.62</v>
      </c>
      <c r="M156" s="17"/>
      <c r="P156" s="17"/>
    </row>
    <row r="157">
      <c r="B157" s="11">
        <f>IFERROR(__xludf.DUMMYFUNCTION("""COMPUTED_VALUE"""),45800.66666666667)</f>
        <v>45800.66667</v>
      </c>
      <c r="C157" s="9">
        <f>IFERROR(__xludf.DUMMYFUNCTION("""COMPUTED_VALUE"""),104.04)</f>
        <v>104.04</v>
      </c>
      <c r="E157" s="17">
        <f>IFERROR(__xludf.DUMMYFUNCTION("""COMPUTED_VALUE"""),45800.66666666667)</f>
        <v>45800.66667</v>
      </c>
      <c r="F157" s="9">
        <f>IFERROR(__xludf.DUMMYFUNCTION("""COMPUTED_VALUE"""),104.04)</f>
        <v>104.04</v>
      </c>
      <c r="M157" s="17"/>
      <c r="P157" s="17"/>
    </row>
    <row r="158">
      <c r="B158" s="11">
        <f>IFERROR(__xludf.DUMMYFUNCTION("""COMPUTED_VALUE"""),45799.66666666667)</f>
        <v>45799.66667</v>
      </c>
      <c r="C158" s="9">
        <f>IFERROR(__xludf.DUMMYFUNCTION("""COMPUTED_VALUE"""),105.09)</f>
        <v>105.09</v>
      </c>
      <c r="E158" s="17">
        <f>IFERROR(__xludf.DUMMYFUNCTION("""COMPUTED_VALUE"""),45799.66666666667)</f>
        <v>45799.66667</v>
      </c>
      <c r="F158" s="9">
        <f>IFERROR(__xludf.DUMMYFUNCTION("""COMPUTED_VALUE"""),105.09)</f>
        <v>105.09</v>
      </c>
      <c r="M158" s="17"/>
      <c r="P158" s="17"/>
    </row>
    <row r="159">
      <c r="B159" s="11">
        <f>IFERROR(__xludf.DUMMYFUNCTION("""COMPUTED_VALUE"""),45798.66666666667)</f>
        <v>45798.66667</v>
      </c>
      <c r="C159" s="9">
        <f>IFERROR(__xludf.DUMMYFUNCTION("""COMPUTED_VALUE"""),104.67)</f>
        <v>104.67</v>
      </c>
      <c r="E159" s="17">
        <f>IFERROR(__xludf.DUMMYFUNCTION("""COMPUTED_VALUE"""),45798.66666666667)</f>
        <v>45798.66667</v>
      </c>
      <c r="F159" s="9">
        <f>IFERROR(__xludf.DUMMYFUNCTION("""COMPUTED_VALUE"""),104.67)</f>
        <v>104.67</v>
      </c>
      <c r="M159" s="17"/>
      <c r="P159" s="17"/>
    </row>
    <row r="160">
      <c r="B160" s="11">
        <f>IFERROR(__xludf.DUMMYFUNCTION("""COMPUTED_VALUE"""),45797.66666666667)</f>
        <v>45797.66667</v>
      </c>
      <c r="C160" s="9">
        <f>IFERROR(__xludf.DUMMYFUNCTION("""COMPUTED_VALUE"""),108.73)</f>
        <v>108.73</v>
      </c>
      <c r="E160" s="17">
        <f>IFERROR(__xludf.DUMMYFUNCTION("""COMPUTED_VALUE"""),45797.66666666667)</f>
        <v>45797.66667</v>
      </c>
      <c r="F160" s="9">
        <f>IFERROR(__xludf.DUMMYFUNCTION("""COMPUTED_VALUE"""),108.73)</f>
        <v>108.73</v>
      </c>
      <c r="M160" s="17"/>
      <c r="P160" s="17"/>
    </row>
    <row r="161">
      <c r="B161" s="11">
        <f>IFERROR(__xludf.DUMMYFUNCTION("""COMPUTED_VALUE"""),45796.66666666667)</f>
        <v>45796.66667</v>
      </c>
      <c r="C161" s="9">
        <f>IFERROR(__xludf.DUMMYFUNCTION("""COMPUTED_VALUE"""),110.65)</f>
        <v>110.65</v>
      </c>
      <c r="E161" s="17">
        <f>IFERROR(__xludf.DUMMYFUNCTION("""COMPUTED_VALUE"""),45796.66666666667)</f>
        <v>45796.66667</v>
      </c>
      <c r="F161" s="9">
        <f>IFERROR(__xludf.DUMMYFUNCTION("""COMPUTED_VALUE"""),110.65)</f>
        <v>110.65</v>
      </c>
      <c r="M161" s="17"/>
      <c r="P161" s="17"/>
    </row>
    <row r="162">
      <c r="B162" s="11">
        <f>IFERROR(__xludf.DUMMYFUNCTION("""COMPUTED_VALUE"""),45793.66666666667)</f>
        <v>45793.66667</v>
      </c>
      <c r="C162" s="9">
        <f>IFERROR(__xludf.DUMMYFUNCTION("""COMPUTED_VALUE"""),110.55)</f>
        <v>110.55</v>
      </c>
      <c r="E162" s="17">
        <f>IFERROR(__xludf.DUMMYFUNCTION("""COMPUTED_VALUE"""),45793.66666666667)</f>
        <v>45793.66667</v>
      </c>
      <c r="F162" s="9">
        <f>IFERROR(__xludf.DUMMYFUNCTION("""COMPUTED_VALUE"""),110.55)</f>
        <v>110.55</v>
      </c>
      <c r="M162" s="17"/>
      <c r="P162" s="17"/>
    </row>
    <row r="163">
      <c r="B163" s="11">
        <f>IFERROR(__xludf.DUMMYFUNCTION("""COMPUTED_VALUE"""),45792.66666666667)</f>
        <v>45792.66667</v>
      </c>
      <c r="C163" s="9">
        <f>IFERROR(__xludf.DUMMYFUNCTION("""COMPUTED_VALUE"""),109.23)</f>
        <v>109.23</v>
      </c>
      <c r="E163" s="17">
        <f>IFERROR(__xludf.DUMMYFUNCTION("""COMPUTED_VALUE"""),45792.66666666667)</f>
        <v>45792.66667</v>
      </c>
      <c r="F163" s="9">
        <f>IFERROR(__xludf.DUMMYFUNCTION("""COMPUTED_VALUE"""),109.23)</f>
        <v>109.23</v>
      </c>
      <c r="M163" s="17"/>
      <c r="P163" s="17"/>
    </row>
    <row r="164">
      <c r="B164" s="11">
        <f>IFERROR(__xludf.DUMMYFUNCTION("""COMPUTED_VALUE"""),45791.66666666667)</f>
        <v>45791.66667</v>
      </c>
      <c r="C164" s="9">
        <f>IFERROR(__xludf.DUMMYFUNCTION("""COMPUTED_VALUE"""),107.6)</f>
        <v>107.6</v>
      </c>
      <c r="E164" s="17">
        <f>IFERROR(__xludf.DUMMYFUNCTION("""COMPUTED_VALUE"""),45791.66666666667)</f>
        <v>45791.66667</v>
      </c>
      <c r="F164" s="9">
        <f>IFERROR(__xludf.DUMMYFUNCTION("""COMPUTED_VALUE"""),107.6)</f>
        <v>107.6</v>
      </c>
      <c r="M164" s="17"/>
      <c r="P164" s="17"/>
    </row>
    <row r="165">
      <c r="B165" s="11">
        <f>IFERROR(__xludf.DUMMYFUNCTION("""COMPUTED_VALUE"""),45790.66666666667)</f>
        <v>45790.66667</v>
      </c>
      <c r="C165" s="9">
        <f>IFERROR(__xludf.DUMMYFUNCTION("""COMPUTED_VALUE"""),109.7)</f>
        <v>109.7</v>
      </c>
      <c r="E165" s="17">
        <f>IFERROR(__xludf.DUMMYFUNCTION("""COMPUTED_VALUE"""),45790.66666666667)</f>
        <v>45790.66667</v>
      </c>
      <c r="F165" s="9">
        <f>IFERROR(__xludf.DUMMYFUNCTION("""COMPUTED_VALUE"""),109.7)</f>
        <v>109.7</v>
      </c>
      <c r="M165" s="17"/>
      <c r="P165" s="17"/>
    </row>
    <row r="166">
      <c r="B166" s="11">
        <f>IFERROR(__xludf.DUMMYFUNCTION("""COMPUTED_VALUE"""),45789.66666666667)</f>
        <v>45789.66667</v>
      </c>
      <c r="C166" s="9">
        <f>IFERROR(__xludf.DUMMYFUNCTION("""COMPUTED_VALUE"""),110.33)</f>
        <v>110.33</v>
      </c>
      <c r="E166" s="17">
        <f>IFERROR(__xludf.DUMMYFUNCTION("""COMPUTED_VALUE"""),45789.66666666667)</f>
        <v>45789.66667</v>
      </c>
      <c r="F166" s="9">
        <f>IFERROR(__xludf.DUMMYFUNCTION("""COMPUTED_VALUE"""),110.33)</f>
        <v>110.33</v>
      </c>
      <c r="M166" s="17"/>
      <c r="P166" s="17"/>
    </row>
    <row r="167">
      <c r="B167" s="11">
        <f>IFERROR(__xludf.DUMMYFUNCTION("""COMPUTED_VALUE"""),45786.66666666667)</f>
        <v>45786.66667</v>
      </c>
      <c r="C167" s="9">
        <f>IFERROR(__xludf.DUMMYFUNCTION("""COMPUTED_VALUE"""),106.91)</f>
        <v>106.91</v>
      </c>
      <c r="E167" s="17">
        <f>IFERROR(__xludf.DUMMYFUNCTION("""COMPUTED_VALUE"""),45786.66666666667)</f>
        <v>45786.66667</v>
      </c>
      <c r="F167" s="9">
        <f>IFERROR(__xludf.DUMMYFUNCTION("""COMPUTED_VALUE"""),106.91)</f>
        <v>106.91</v>
      </c>
      <c r="M167" s="17"/>
      <c r="P167" s="17"/>
    </row>
    <row r="168">
      <c r="B168" s="11">
        <f>IFERROR(__xludf.DUMMYFUNCTION("""COMPUTED_VALUE"""),45785.66666666667)</f>
        <v>45785.66667</v>
      </c>
      <c r="C168" s="9">
        <f>IFERROR(__xludf.DUMMYFUNCTION("""COMPUTED_VALUE"""),105.49)</f>
        <v>105.49</v>
      </c>
      <c r="E168" s="17">
        <f>IFERROR(__xludf.DUMMYFUNCTION("""COMPUTED_VALUE"""),45785.66666666667)</f>
        <v>45785.66667</v>
      </c>
      <c r="F168" s="9">
        <f>IFERROR(__xludf.DUMMYFUNCTION("""COMPUTED_VALUE"""),105.49)</f>
        <v>105.49</v>
      </c>
      <c r="M168" s="17"/>
      <c r="P168" s="17"/>
    </row>
    <row r="169">
      <c r="B169" s="11">
        <f>IFERROR(__xludf.DUMMYFUNCTION("""COMPUTED_VALUE"""),45784.66666666667)</f>
        <v>45784.66667</v>
      </c>
      <c r="C169" s="9">
        <f>IFERROR(__xludf.DUMMYFUNCTION("""COMPUTED_VALUE"""),105.04)</f>
        <v>105.04</v>
      </c>
      <c r="E169" s="17">
        <f>IFERROR(__xludf.DUMMYFUNCTION("""COMPUTED_VALUE"""),45784.66666666667)</f>
        <v>45784.66667</v>
      </c>
      <c r="F169" s="9">
        <f>IFERROR(__xludf.DUMMYFUNCTION("""COMPUTED_VALUE"""),105.04)</f>
        <v>105.04</v>
      </c>
      <c r="M169" s="17"/>
      <c r="P169" s="17"/>
    </row>
    <row r="170">
      <c r="B170" s="11">
        <f>IFERROR(__xludf.DUMMYFUNCTION("""COMPUTED_VALUE"""),45783.66666666667)</f>
        <v>45783.66667</v>
      </c>
      <c r="C170" s="9">
        <f>IFERROR(__xludf.DUMMYFUNCTION("""COMPUTED_VALUE"""),104.5)</f>
        <v>104.5</v>
      </c>
      <c r="E170" s="17">
        <f>IFERROR(__xludf.DUMMYFUNCTION("""COMPUTED_VALUE"""),45783.66666666667)</f>
        <v>45783.66667</v>
      </c>
      <c r="F170" s="9">
        <f>IFERROR(__xludf.DUMMYFUNCTION("""COMPUTED_VALUE"""),104.5)</f>
        <v>104.5</v>
      </c>
      <c r="M170" s="17"/>
      <c r="P170" s="17"/>
    </row>
    <row r="171">
      <c r="B171" s="11">
        <f>IFERROR(__xludf.DUMMYFUNCTION("""COMPUTED_VALUE"""),45782.66666666667)</f>
        <v>45782.66667</v>
      </c>
      <c r="C171" s="9">
        <f>IFERROR(__xludf.DUMMYFUNCTION("""COMPUTED_VALUE"""),105.33)</f>
        <v>105.33</v>
      </c>
      <c r="E171" s="17">
        <f>IFERROR(__xludf.DUMMYFUNCTION("""COMPUTED_VALUE"""),45782.66666666667)</f>
        <v>45782.66667</v>
      </c>
      <c r="F171" s="9">
        <f>IFERROR(__xludf.DUMMYFUNCTION("""COMPUTED_VALUE"""),105.33)</f>
        <v>105.33</v>
      </c>
      <c r="M171" s="17"/>
      <c r="P171" s="17"/>
    </row>
    <row r="172">
      <c r="B172" s="11">
        <f>IFERROR(__xludf.DUMMYFUNCTION("""COMPUTED_VALUE"""),45779.66666666667)</f>
        <v>45779.66667</v>
      </c>
      <c r="C172" s="9">
        <f>IFERROR(__xludf.DUMMYFUNCTION("""COMPUTED_VALUE"""),105.41)</f>
        <v>105.41</v>
      </c>
      <c r="E172" s="17">
        <f>IFERROR(__xludf.DUMMYFUNCTION("""COMPUTED_VALUE"""),45779.66666666667)</f>
        <v>45779.66667</v>
      </c>
      <c r="F172" s="9">
        <f>IFERROR(__xludf.DUMMYFUNCTION("""COMPUTED_VALUE"""),105.41)</f>
        <v>105.41</v>
      </c>
      <c r="M172" s="17"/>
      <c r="P172" s="17"/>
    </row>
    <row r="173">
      <c r="B173" s="11">
        <f>IFERROR(__xludf.DUMMYFUNCTION("""COMPUTED_VALUE"""),45778.66666666667)</f>
        <v>45778.66667</v>
      </c>
      <c r="C173" s="9">
        <f>IFERROR(__xludf.DUMMYFUNCTION("""COMPUTED_VALUE"""),103.08)</f>
        <v>103.08</v>
      </c>
      <c r="E173" s="17">
        <f>IFERROR(__xludf.DUMMYFUNCTION("""COMPUTED_VALUE"""),45778.66666666667)</f>
        <v>45778.66667</v>
      </c>
      <c r="F173" s="9">
        <f>IFERROR(__xludf.DUMMYFUNCTION("""COMPUTED_VALUE"""),103.08)</f>
        <v>103.08</v>
      </c>
      <c r="M173" s="17"/>
      <c r="P173" s="17"/>
    </row>
    <row r="174">
      <c r="B174" s="11">
        <f>IFERROR(__xludf.DUMMYFUNCTION("""COMPUTED_VALUE"""),45777.66666666667)</f>
        <v>45777.66667</v>
      </c>
      <c r="C174" s="9">
        <f>IFERROR(__xludf.DUMMYFUNCTION("""COMPUTED_VALUE"""),102.2)</f>
        <v>102.2</v>
      </c>
      <c r="E174" s="17">
        <f>IFERROR(__xludf.DUMMYFUNCTION("""COMPUTED_VALUE"""),45777.66666666667)</f>
        <v>45777.66667</v>
      </c>
      <c r="F174" s="9">
        <f>IFERROR(__xludf.DUMMYFUNCTION("""COMPUTED_VALUE"""),102.2)</f>
        <v>102.2</v>
      </c>
      <c r="M174" s="17"/>
      <c r="P174" s="17"/>
    </row>
    <row r="175">
      <c r="B175" s="11">
        <f>IFERROR(__xludf.DUMMYFUNCTION("""COMPUTED_VALUE"""),45776.66666666667)</f>
        <v>45776.66667</v>
      </c>
      <c r="C175" s="9">
        <f>IFERROR(__xludf.DUMMYFUNCTION("""COMPUTED_VALUE"""),103.1)</f>
        <v>103.1</v>
      </c>
      <c r="E175" s="17">
        <f>IFERROR(__xludf.DUMMYFUNCTION("""COMPUTED_VALUE"""),45776.66666666667)</f>
        <v>45776.66667</v>
      </c>
      <c r="F175" s="9">
        <f>IFERROR(__xludf.DUMMYFUNCTION("""COMPUTED_VALUE"""),103.1)</f>
        <v>103.1</v>
      </c>
      <c r="M175" s="17"/>
      <c r="P175" s="17"/>
    </row>
    <row r="176">
      <c r="B176" s="11">
        <f>IFERROR(__xludf.DUMMYFUNCTION("""COMPUTED_VALUE"""),45775.66666666667)</f>
        <v>45775.66667</v>
      </c>
      <c r="C176" s="9">
        <f>IFERROR(__xludf.DUMMYFUNCTION("""COMPUTED_VALUE"""),103.32)</f>
        <v>103.32</v>
      </c>
      <c r="E176" s="17">
        <f>IFERROR(__xludf.DUMMYFUNCTION("""COMPUTED_VALUE"""),45775.66666666667)</f>
        <v>45775.66667</v>
      </c>
      <c r="F176" s="9">
        <f>IFERROR(__xludf.DUMMYFUNCTION("""COMPUTED_VALUE"""),103.32)</f>
        <v>103.32</v>
      </c>
      <c r="M176" s="17"/>
      <c r="P176" s="17"/>
    </row>
    <row r="177">
      <c r="B177" s="11">
        <f>IFERROR(__xludf.DUMMYFUNCTION("""COMPUTED_VALUE"""),45772.66666666667)</f>
        <v>45772.66667</v>
      </c>
      <c r="C177" s="9">
        <f>IFERROR(__xludf.DUMMYFUNCTION("""COMPUTED_VALUE"""),102.24)</f>
        <v>102.24</v>
      </c>
      <c r="E177" s="17">
        <f>IFERROR(__xludf.DUMMYFUNCTION("""COMPUTED_VALUE"""),45772.66666666667)</f>
        <v>45772.66667</v>
      </c>
      <c r="F177" s="9">
        <f>IFERROR(__xludf.DUMMYFUNCTION("""COMPUTED_VALUE"""),102.24)</f>
        <v>102.24</v>
      </c>
      <c r="M177" s="17"/>
      <c r="P177" s="17"/>
    </row>
    <row r="178">
      <c r="B178" s="11">
        <f>IFERROR(__xludf.DUMMYFUNCTION("""COMPUTED_VALUE"""),45771.66666666667)</f>
        <v>45771.66667</v>
      </c>
      <c r="C178" s="9">
        <f>IFERROR(__xludf.DUMMYFUNCTION("""COMPUTED_VALUE"""),103.36)</f>
        <v>103.36</v>
      </c>
      <c r="E178" s="17">
        <f>IFERROR(__xludf.DUMMYFUNCTION("""COMPUTED_VALUE"""),45771.66666666667)</f>
        <v>45771.66667</v>
      </c>
      <c r="F178" s="9">
        <f>IFERROR(__xludf.DUMMYFUNCTION("""COMPUTED_VALUE"""),103.36)</f>
        <v>103.36</v>
      </c>
      <c r="M178" s="17"/>
      <c r="P178" s="17"/>
    </row>
    <row r="179">
      <c r="B179" s="11">
        <f>IFERROR(__xludf.DUMMYFUNCTION("""COMPUTED_VALUE"""),45770.66666666667)</f>
        <v>45770.66667</v>
      </c>
      <c r="C179" s="9">
        <f>IFERROR(__xludf.DUMMYFUNCTION("""COMPUTED_VALUE"""),101.48)</f>
        <v>101.48</v>
      </c>
      <c r="E179" s="17">
        <f>IFERROR(__xludf.DUMMYFUNCTION("""COMPUTED_VALUE"""),45770.66666666667)</f>
        <v>45770.66667</v>
      </c>
      <c r="F179" s="9">
        <f>IFERROR(__xludf.DUMMYFUNCTION("""COMPUTED_VALUE"""),101.48)</f>
        <v>101.48</v>
      </c>
      <c r="M179" s="17"/>
      <c r="P179" s="17"/>
    </row>
    <row r="180">
      <c r="B180" s="11">
        <f>IFERROR(__xludf.DUMMYFUNCTION("""COMPUTED_VALUE"""),45769.66666666667)</f>
        <v>45769.66667</v>
      </c>
      <c r="C180" s="9">
        <f>IFERROR(__xludf.DUMMYFUNCTION("""COMPUTED_VALUE"""),99.95)</f>
        <v>99.95</v>
      </c>
      <c r="E180" s="17">
        <f>IFERROR(__xludf.DUMMYFUNCTION("""COMPUTED_VALUE"""),45769.66666666667)</f>
        <v>45769.66667</v>
      </c>
      <c r="F180" s="9">
        <f>IFERROR(__xludf.DUMMYFUNCTION("""COMPUTED_VALUE"""),99.95)</f>
        <v>99.95</v>
      </c>
      <c r="M180" s="17"/>
      <c r="P180" s="17"/>
    </row>
    <row r="181">
      <c r="B181" s="11">
        <f>IFERROR(__xludf.DUMMYFUNCTION("""COMPUTED_VALUE"""),45768.66666666667)</f>
        <v>45768.66667</v>
      </c>
      <c r="C181" s="9">
        <f>IFERROR(__xludf.DUMMYFUNCTION("""COMPUTED_VALUE"""),98.63)</f>
        <v>98.63</v>
      </c>
      <c r="E181" s="17">
        <f>IFERROR(__xludf.DUMMYFUNCTION("""COMPUTED_VALUE"""),45768.66666666667)</f>
        <v>45768.66667</v>
      </c>
      <c r="F181" s="9">
        <f>IFERROR(__xludf.DUMMYFUNCTION("""COMPUTED_VALUE"""),98.63)</f>
        <v>98.63</v>
      </c>
      <c r="M181" s="17"/>
      <c r="P181" s="17"/>
    </row>
    <row r="182">
      <c r="B182" s="11">
        <f>IFERROR(__xludf.DUMMYFUNCTION("""COMPUTED_VALUE"""),45764.66666666667)</f>
        <v>45764.66667</v>
      </c>
      <c r="C182" s="9">
        <f>IFERROR(__xludf.DUMMYFUNCTION("""COMPUTED_VALUE"""),102.1)</f>
        <v>102.1</v>
      </c>
      <c r="E182" s="17">
        <f>IFERROR(__xludf.DUMMYFUNCTION("""COMPUTED_VALUE"""),45764.66666666667)</f>
        <v>45764.66667</v>
      </c>
      <c r="F182" s="9">
        <f>IFERROR(__xludf.DUMMYFUNCTION("""COMPUTED_VALUE"""),102.1)</f>
        <v>102.1</v>
      </c>
      <c r="M182" s="17"/>
      <c r="P182" s="17"/>
    </row>
    <row r="183">
      <c r="B183" s="11">
        <f>IFERROR(__xludf.DUMMYFUNCTION("""COMPUTED_VALUE"""),45763.66666666667)</f>
        <v>45763.66667</v>
      </c>
      <c r="C183" s="9">
        <f>IFERROR(__xludf.DUMMYFUNCTION("""COMPUTED_VALUE"""),100.29)</f>
        <v>100.29</v>
      </c>
      <c r="E183" s="17">
        <f>IFERROR(__xludf.DUMMYFUNCTION("""COMPUTED_VALUE"""),45763.66666666667)</f>
        <v>45763.66667</v>
      </c>
      <c r="F183" s="9">
        <f>IFERROR(__xludf.DUMMYFUNCTION("""COMPUTED_VALUE"""),100.29)</f>
        <v>100.29</v>
      </c>
      <c r="M183" s="17"/>
      <c r="P183" s="17"/>
    </row>
    <row r="184">
      <c r="B184" s="11">
        <f>IFERROR(__xludf.DUMMYFUNCTION("""COMPUTED_VALUE"""),45762.66666666667)</f>
        <v>45762.66667</v>
      </c>
      <c r="C184" s="9">
        <f>IFERROR(__xludf.DUMMYFUNCTION("""COMPUTED_VALUE"""),98.48)</f>
        <v>98.48</v>
      </c>
      <c r="E184" s="17">
        <f>IFERROR(__xludf.DUMMYFUNCTION("""COMPUTED_VALUE"""),45762.66666666667)</f>
        <v>45762.66667</v>
      </c>
      <c r="F184" s="9">
        <f>IFERROR(__xludf.DUMMYFUNCTION("""COMPUTED_VALUE"""),98.48)</f>
        <v>98.48</v>
      </c>
      <c r="M184" s="17"/>
      <c r="P184" s="17"/>
    </row>
    <row r="185">
      <c r="B185" s="11">
        <f>IFERROR(__xludf.DUMMYFUNCTION("""COMPUTED_VALUE"""),45761.66666666667)</f>
        <v>45761.66667</v>
      </c>
      <c r="C185" s="9">
        <f>IFERROR(__xludf.DUMMYFUNCTION("""COMPUTED_VALUE"""),98.3)</f>
        <v>98.3</v>
      </c>
      <c r="E185" s="17">
        <f>IFERROR(__xludf.DUMMYFUNCTION("""COMPUTED_VALUE"""),45761.66666666667)</f>
        <v>45761.66667</v>
      </c>
      <c r="F185" s="9">
        <f>IFERROR(__xludf.DUMMYFUNCTION("""COMPUTED_VALUE"""),98.3)</f>
        <v>98.3</v>
      </c>
      <c r="M185" s="17"/>
      <c r="P185" s="17"/>
    </row>
    <row r="186">
      <c r="B186" s="11">
        <f>IFERROR(__xludf.DUMMYFUNCTION("""COMPUTED_VALUE"""),45758.66666666667)</f>
        <v>45758.66667</v>
      </c>
      <c r="C186" s="9">
        <f>IFERROR(__xludf.DUMMYFUNCTION("""COMPUTED_VALUE"""),96.23)</f>
        <v>96.23</v>
      </c>
      <c r="E186" s="17">
        <f>IFERROR(__xludf.DUMMYFUNCTION("""COMPUTED_VALUE"""),45758.66666666667)</f>
        <v>45758.66667</v>
      </c>
      <c r="F186" s="9">
        <f>IFERROR(__xludf.DUMMYFUNCTION("""COMPUTED_VALUE"""),96.23)</f>
        <v>96.23</v>
      </c>
      <c r="M186" s="17"/>
      <c r="P186" s="17"/>
    </row>
    <row r="187">
      <c r="B187" s="11">
        <f>IFERROR(__xludf.DUMMYFUNCTION("""COMPUTED_VALUE"""),45757.66666666667)</f>
        <v>45757.66667</v>
      </c>
      <c r="C187" s="9">
        <f>IFERROR(__xludf.DUMMYFUNCTION("""COMPUTED_VALUE"""),94.89)</f>
        <v>94.89</v>
      </c>
      <c r="E187" s="17">
        <f>IFERROR(__xludf.DUMMYFUNCTION("""COMPUTED_VALUE"""),45757.66666666667)</f>
        <v>45757.66667</v>
      </c>
      <c r="F187" s="9">
        <f>IFERROR(__xludf.DUMMYFUNCTION("""COMPUTED_VALUE"""),94.89)</f>
        <v>94.89</v>
      </c>
      <c r="M187" s="17"/>
      <c r="P187" s="17"/>
    </row>
    <row r="188">
      <c r="B188" s="11">
        <f>IFERROR(__xludf.DUMMYFUNCTION("""COMPUTED_VALUE"""),45756.66666666667)</f>
        <v>45756.66667</v>
      </c>
      <c r="C188" s="9">
        <f>IFERROR(__xludf.DUMMYFUNCTION("""COMPUTED_VALUE"""),98.22)</f>
        <v>98.22</v>
      </c>
      <c r="E188" s="17">
        <f>IFERROR(__xludf.DUMMYFUNCTION("""COMPUTED_VALUE"""),45756.66666666667)</f>
        <v>45756.66667</v>
      </c>
      <c r="F188" s="9">
        <f>IFERROR(__xludf.DUMMYFUNCTION("""COMPUTED_VALUE"""),98.22)</f>
        <v>98.22</v>
      </c>
      <c r="M188" s="17"/>
      <c r="P188" s="17"/>
    </row>
    <row r="189">
      <c r="B189" s="11">
        <f>IFERROR(__xludf.DUMMYFUNCTION("""COMPUTED_VALUE"""),45755.66666666667)</f>
        <v>45755.66667</v>
      </c>
      <c r="C189" s="9">
        <f>IFERROR(__xludf.DUMMYFUNCTION("""COMPUTED_VALUE"""),89.76)</f>
        <v>89.76</v>
      </c>
      <c r="E189" s="17">
        <f>IFERROR(__xludf.DUMMYFUNCTION("""COMPUTED_VALUE"""),45755.66666666667)</f>
        <v>45755.66667</v>
      </c>
      <c r="F189" s="9">
        <f>IFERROR(__xludf.DUMMYFUNCTION("""COMPUTED_VALUE"""),89.76)</f>
        <v>89.76</v>
      </c>
      <c r="M189" s="17"/>
      <c r="P189" s="17"/>
    </row>
    <row r="190">
      <c r="B190" s="11">
        <f>IFERROR(__xludf.DUMMYFUNCTION("""COMPUTED_VALUE"""),45754.66666666667)</f>
        <v>45754.66667</v>
      </c>
      <c r="C190" s="9">
        <f>IFERROR(__xludf.DUMMYFUNCTION("""COMPUTED_VALUE"""),94.52)</f>
        <v>94.52</v>
      </c>
      <c r="E190" s="17">
        <f>IFERROR(__xludf.DUMMYFUNCTION("""COMPUTED_VALUE"""),45754.66666666667)</f>
        <v>45754.66667</v>
      </c>
      <c r="F190" s="9">
        <f>IFERROR(__xludf.DUMMYFUNCTION("""COMPUTED_VALUE"""),94.52)</f>
        <v>94.52</v>
      </c>
      <c r="M190" s="17"/>
      <c r="P190" s="17"/>
    </row>
    <row r="191">
      <c r="B191" s="11">
        <f>IFERROR(__xludf.DUMMYFUNCTION("""COMPUTED_VALUE"""),45751.66666666667)</f>
        <v>45751.66667</v>
      </c>
      <c r="C191" s="9">
        <f>IFERROR(__xludf.DUMMYFUNCTION("""COMPUTED_VALUE"""),98.23)</f>
        <v>98.23</v>
      </c>
      <c r="E191" s="17">
        <f>IFERROR(__xludf.DUMMYFUNCTION("""COMPUTED_VALUE"""),45751.66666666667)</f>
        <v>45751.66667</v>
      </c>
      <c r="F191" s="9">
        <f>IFERROR(__xludf.DUMMYFUNCTION("""COMPUTED_VALUE"""),98.23)</f>
        <v>98.23</v>
      </c>
      <c r="M191" s="17"/>
      <c r="P191" s="17"/>
    </row>
    <row r="192">
      <c r="B192" s="11">
        <f>IFERROR(__xludf.DUMMYFUNCTION("""COMPUTED_VALUE"""),45750.66666666667)</f>
        <v>45750.66667</v>
      </c>
      <c r="C192" s="9">
        <f>IFERROR(__xludf.DUMMYFUNCTION("""COMPUTED_VALUE"""),101.59)</f>
        <v>101.59</v>
      </c>
      <c r="E192" s="17">
        <f>IFERROR(__xludf.DUMMYFUNCTION("""COMPUTED_VALUE"""),45750.66666666667)</f>
        <v>45750.66667</v>
      </c>
      <c r="F192" s="9">
        <f>IFERROR(__xludf.DUMMYFUNCTION("""COMPUTED_VALUE"""),101.59)</f>
        <v>101.59</v>
      </c>
      <c r="M192" s="17"/>
      <c r="P192" s="17"/>
    </row>
    <row r="193">
      <c r="B193" s="11">
        <f>IFERROR(__xludf.DUMMYFUNCTION("""COMPUTED_VALUE"""),45749.66666666667)</f>
        <v>45749.66667</v>
      </c>
      <c r="C193" s="9">
        <f>IFERROR(__xludf.DUMMYFUNCTION("""COMPUTED_VALUE"""),112.34)</f>
        <v>112.34</v>
      </c>
      <c r="E193" s="17">
        <f>IFERROR(__xludf.DUMMYFUNCTION("""COMPUTED_VALUE"""),45749.66666666667)</f>
        <v>45749.66667</v>
      </c>
      <c r="F193" s="9">
        <f>IFERROR(__xludf.DUMMYFUNCTION("""COMPUTED_VALUE"""),112.34)</f>
        <v>112.34</v>
      </c>
      <c r="M193" s="17"/>
      <c r="P193" s="17"/>
    </row>
    <row r="194">
      <c r="B194" s="11">
        <f>IFERROR(__xludf.DUMMYFUNCTION("""COMPUTED_VALUE"""),45748.66666666667)</f>
        <v>45748.66667</v>
      </c>
      <c r="C194" s="9">
        <f>IFERROR(__xludf.DUMMYFUNCTION("""COMPUTED_VALUE"""),111.45)</f>
        <v>111.45</v>
      </c>
      <c r="E194" s="17">
        <f>IFERROR(__xludf.DUMMYFUNCTION("""COMPUTED_VALUE"""),45748.66666666667)</f>
        <v>45748.66667</v>
      </c>
      <c r="F194" s="9">
        <f>IFERROR(__xludf.DUMMYFUNCTION("""COMPUTED_VALUE"""),111.45)</f>
        <v>111.45</v>
      </c>
      <c r="M194" s="17"/>
      <c r="P194" s="17"/>
    </row>
    <row r="195">
      <c r="B195" s="11">
        <f>IFERROR(__xludf.DUMMYFUNCTION("""COMPUTED_VALUE"""),45747.66666666667)</f>
        <v>45747.66667</v>
      </c>
      <c r="C195" s="9">
        <f>IFERROR(__xludf.DUMMYFUNCTION("""COMPUTED_VALUE"""),111.79)</f>
        <v>111.79</v>
      </c>
      <c r="E195" s="17">
        <f>IFERROR(__xludf.DUMMYFUNCTION("""COMPUTED_VALUE"""),45747.66666666667)</f>
        <v>45747.66667</v>
      </c>
      <c r="F195" s="9">
        <f>IFERROR(__xludf.DUMMYFUNCTION("""COMPUTED_VALUE"""),111.79)</f>
        <v>111.79</v>
      </c>
      <c r="M195" s="17"/>
      <c r="P195" s="17"/>
    </row>
    <row r="196">
      <c r="B196" s="11">
        <f>IFERROR(__xludf.DUMMYFUNCTION("""COMPUTED_VALUE"""),45744.66666666667)</f>
        <v>45744.66667</v>
      </c>
      <c r="C196" s="9">
        <f>IFERROR(__xludf.DUMMYFUNCTION("""COMPUTED_VALUE"""),110.45)</f>
        <v>110.45</v>
      </c>
      <c r="E196" s="17">
        <f>IFERROR(__xludf.DUMMYFUNCTION("""COMPUTED_VALUE"""),45744.66666666667)</f>
        <v>45744.66667</v>
      </c>
      <c r="F196" s="9">
        <f>IFERROR(__xludf.DUMMYFUNCTION("""COMPUTED_VALUE"""),110.45)</f>
        <v>110.45</v>
      </c>
      <c r="M196" s="17"/>
      <c r="P196" s="17"/>
    </row>
    <row r="197">
      <c r="B197" s="11">
        <f>IFERROR(__xludf.DUMMYFUNCTION("""COMPUTED_VALUE"""),45743.66666666667)</f>
        <v>45743.66667</v>
      </c>
      <c r="C197" s="9">
        <f>IFERROR(__xludf.DUMMYFUNCTION("""COMPUTED_VALUE"""),110.75)</f>
        <v>110.75</v>
      </c>
      <c r="E197" s="17">
        <f>IFERROR(__xludf.DUMMYFUNCTION("""COMPUTED_VALUE"""),45743.66666666667)</f>
        <v>45743.66667</v>
      </c>
      <c r="F197" s="9">
        <f>IFERROR(__xludf.DUMMYFUNCTION("""COMPUTED_VALUE"""),110.75)</f>
        <v>110.75</v>
      </c>
      <c r="M197" s="17"/>
      <c r="P197" s="17"/>
    </row>
    <row r="198">
      <c r="B198" s="11">
        <f>IFERROR(__xludf.DUMMYFUNCTION("""COMPUTED_VALUE"""),45742.66666666667)</f>
        <v>45742.66667</v>
      </c>
      <c r="C198" s="9">
        <f>IFERROR(__xludf.DUMMYFUNCTION("""COMPUTED_VALUE"""),111.13)</f>
        <v>111.13</v>
      </c>
      <c r="E198" s="17">
        <f>IFERROR(__xludf.DUMMYFUNCTION("""COMPUTED_VALUE"""),45742.66666666667)</f>
        <v>45742.66667</v>
      </c>
      <c r="F198" s="9">
        <f>IFERROR(__xludf.DUMMYFUNCTION("""COMPUTED_VALUE"""),111.13)</f>
        <v>111.13</v>
      </c>
      <c r="M198" s="17"/>
      <c r="P198" s="17"/>
    </row>
    <row r="199">
      <c r="B199" s="11">
        <f>IFERROR(__xludf.DUMMYFUNCTION("""COMPUTED_VALUE"""),45741.66666666667)</f>
        <v>45741.66667</v>
      </c>
      <c r="C199" s="9">
        <f>IFERROR(__xludf.DUMMYFUNCTION("""COMPUTED_VALUE"""),109.23)</f>
        <v>109.23</v>
      </c>
      <c r="E199" s="17">
        <f>IFERROR(__xludf.DUMMYFUNCTION("""COMPUTED_VALUE"""),45741.66666666667)</f>
        <v>45741.66667</v>
      </c>
      <c r="F199" s="9">
        <f>IFERROR(__xludf.DUMMYFUNCTION("""COMPUTED_VALUE"""),109.23)</f>
        <v>109.23</v>
      </c>
      <c r="M199" s="17"/>
      <c r="P199" s="17"/>
    </row>
    <row r="200">
      <c r="B200" s="11">
        <f>IFERROR(__xludf.DUMMYFUNCTION("""COMPUTED_VALUE"""),45740.66666666667)</f>
        <v>45740.66667</v>
      </c>
      <c r="C200" s="9">
        <f>IFERROR(__xludf.DUMMYFUNCTION("""COMPUTED_VALUE"""),110.26)</f>
        <v>110.26</v>
      </c>
      <c r="E200" s="17">
        <f>IFERROR(__xludf.DUMMYFUNCTION("""COMPUTED_VALUE"""),45740.66666666667)</f>
        <v>45740.66667</v>
      </c>
      <c r="F200" s="9">
        <f>IFERROR(__xludf.DUMMYFUNCTION("""COMPUTED_VALUE"""),110.26)</f>
        <v>110.26</v>
      </c>
      <c r="M200" s="17"/>
      <c r="P200" s="17"/>
    </row>
    <row r="201">
      <c r="B201" s="11">
        <f>IFERROR(__xludf.DUMMYFUNCTION("""COMPUTED_VALUE"""),45737.66666666667)</f>
        <v>45737.66667</v>
      </c>
      <c r="C201" s="9">
        <f>IFERROR(__xludf.DUMMYFUNCTION("""COMPUTED_VALUE"""),108.42)</f>
        <v>108.42</v>
      </c>
      <c r="E201" s="17">
        <f>IFERROR(__xludf.DUMMYFUNCTION("""COMPUTED_VALUE"""),45737.66666666667)</f>
        <v>45737.66667</v>
      </c>
      <c r="F201" s="9">
        <f>IFERROR(__xludf.DUMMYFUNCTION("""COMPUTED_VALUE"""),108.42)</f>
        <v>108.42</v>
      </c>
      <c r="M201" s="17"/>
      <c r="P201" s="17"/>
    </row>
    <row r="202">
      <c r="B202" s="11">
        <f>IFERROR(__xludf.DUMMYFUNCTION("""COMPUTED_VALUE"""),45736.66666666667)</f>
        <v>45736.66667</v>
      </c>
      <c r="C202" s="9">
        <f>IFERROR(__xludf.DUMMYFUNCTION("""COMPUTED_VALUE"""),112.07)</f>
        <v>112.07</v>
      </c>
      <c r="E202" s="17">
        <f>IFERROR(__xludf.DUMMYFUNCTION("""COMPUTED_VALUE"""),45736.66666666667)</f>
        <v>45736.66667</v>
      </c>
      <c r="F202" s="9">
        <f>IFERROR(__xludf.DUMMYFUNCTION("""COMPUTED_VALUE"""),112.07)</f>
        <v>112.07</v>
      </c>
      <c r="M202" s="17"/>
      <c r="P202" s="17"/>
    </row>
    <row r="203">
      <c r="B203" s="11">
        <f>IFERROR(__xludf.DUMMYFUNCTION("""COMPUTED_VALUE"""),45735.66666666667)</f>
        <v>45735.66667</v>
      </c>
      <c r="C203" s="9">
        <f>IFERROR(__xludf.DUMMYFUNCTION("""COMPUTED_VALUE"""),112.97)</f>
        <v>112.97</v>
      </c>
      <c r="E203" s="17">
        <f>IFERROR(__xludf.DUMMYFUNCTION("""COMPUTED_VALUE"""),45735.66666666667)</f>
        <v>45735.66667</v>
      </c>
      <c r="F203" s="9">
        <f>IFERROR(__xludf.DUMMYFUNCTION("""COMPUTED_VALUE"""),112.97)</f>
        <v>112.97</v>
      </c>
      <c r="M203" s="17"/>
      <c r="P203" s="17"/>
    </row>
    <row r="204">
      <c r="B204" s="11">
        <f>IFERROR(__xludf.DUMMYFUNCTION("""COMPUTED_VALUE"""),45734.66666666667)</f>
        <v>45734.66667</v>
      </c>
      <c r="C204" s="9">
        <f>IFERROR(__xludf.DUMMYFUNCTION("""COMPUTED_VALUE"""),112.38)</f>
        <v>112.38</v>
      </c>
      <c r="E204" s="17">
        <f>IFERROR(__xludf.DUMMYFUNCTION("""COMPUTED_VALUE"""),45734.66666666667)</f>
        <v>45734.66667</v>
      </c>
      <c r="F204" s="9">
        <f>IFERROR(__xludf.DUMMYFUNCTION("""COMPUTED_VALUE"""),112.38)</f>
        <v>112.38</v>
      </c>
      <c r="M204" s="17"/>
      <c r="P204" s="17"/>
    </row>
    <row r="205">
      <c r="B205" s="11">
        <f>IFERROR(__xludf.DUMMYFUNCTION("""COMPUTED_VALUE"""),45733.66666666667)</f>
        <v>45733.66667</v>
      </c>
      <c r="C205" s="9">
        <f>IFERROR(__xludf.DUMMYFUNCTION("""COMPUTED_VALUE"""),114.44)</f>
        <v>114.44</v>
      </c>
      <c r="E205" s="17">
        <f>IFERROR(__xludf.DUMMYFUNCTION("""COMPUTED_VALUE"""),45733.66666666667)</f>
        <v>45733.66667</v>
      </c>
      <c r="F205" s="9">
        <f>IFERROR(__xludf.DUMMYFUNCTION("""COMPUTED_VALUE"""),114.44)</f>
        <v>114.44</v>
      </c>
      <c r="M205" s="17"/>
      <c r="P205" s="17"/>
    </row>
    <row r="206">
      <c r="B206" s="11">
        <f>IFERROR(__xludf.DUMMYFUNCTION("""COMPUTED_VALUE"""),45730.66666666667)</f>
        <v>45730.66667</v>
      </c>
      <c r="C206" s="9">
        <f>IFERROR(__xludf.DUMMYFUNCTION("""COMPUTED_VALUE"""),111.89)</f>
        <v>111.89</v>
      </c>
      <c r="E206" s="17">
        <f>IFERROR(__xludf.DUMMYFUNCTION("""COMPUTED_VALUE"""),45730.66666666667)</f>
        <v>45730.66667</v>
      </c>
      <c r="F206" s="9">
        <f>IFERROR(__xludf.DUMMYFUNCTION("""COMPUTED_VALUE"""),111.89)</f>
        <v>111.89</v>
      </c>
      <c r="M206" s="17"/>
      <c r="P206" s="17"/>
    </row>
    <row r="207">
      <c r="B207" s="11">
        <f>IFERROR(__xludf.DUMMYFUNCTION("""COMPUTED_VALUE"""),45729.66666666667)</f>
        <v>45729.66667</v>
      </c>
      <c r="C207" s="9">
        <f>IFERROR(__xludf.DUMMYFUNCTION("""COMPUTED_VALUE"""),110.36)</f>
        <v>110.36</v>
      </c>
      <c r="E207" s="17">
        <f>IFERROR(__xludf.DUMMYFUNCTION("""COMPUTED_VALUE"""),45729.66666666667)</f>
        <v>45729.66667</v>
      </c>
      <c r="F207" s="9">
        <f>IFERROR(__xludf.DUMMYFUNCTION("""COMPUTED_VALUE"""),110.36)</f>
        <v>110.36</v>
      </c>
      <c r="M207" s="17"/>
      <c r="P207" s="17"/>
    </row>
    <row r="208">
      <c r="B208" s="11">
        <f>IFERROR(__xludf.DUMMYFUNCTION("""COMPUTED_VALUE"""),45728.66666666667)</f>
        <v>45728.66667</v>
      </c>
      <c r="C208" s="9">
        <f>IFERROR(__xludf.DUMMYFUNCTION("""COMPUTED_VALUE"""),115.73)</f>
        <v>115.73</v>
      </c>
      <c r="E208" s="17">
        <f>IFERROR(__xludf.DUMMYFUNCTION("""COMPUTED_VALUE"""),45728.66666666667)</f>
        <v>45728.66667</v>
      </c>
      <c r="F208" s="9">
        <f>IFERROR(__xludf.DUMMYFUNCTION("""COMPUTED_VALUE"""),115.73)</f>
        <v>115.73</v>
      </c>
      <c r="M208" s="17"/>
      <c r="P208" s="17"/>
    </row>
    <row r="209">
      <c r="B209" s="11">
        <f>IFERROR(__xludf.DUMMYFUNCTION("""COMPUTED_VALUE"""),45727.66666666667)</f>
        <v>45727.66667</v>
      </c>
      <c r="C209" s="9">
        <f>IFERROR(__xludf.DUMMYFUNCTION("""COMPUTED_VALUE"""),117.18)</f>
        <v>117.18</v>
      </c>
      <c r="E209" s="17">
        <f>IFERROR(__xludf.DUMMYFUNCTION("""COMPUTED_VALUE"""),45727.66666666667)</f>
        <v>45727.66667</v>
      </c>
      <c r="F209" s="9">
        <f>IFERROR(__xludf.DUMMYFUNCTION("""COMPUTED_VALUE"""),117.18)</f>
        <v>117.18</v>
      </c>
      <c r="M209" s="17"/>
      <c r="P209" s="17"/>
    </row>
    <row r="210">
      <c r="B210" s="11">
        <f>IFERROR(__xludf.DUMMYFUNCTION("""COMPUTED_VALUE"""),45726.66666666667)</f>
        <v>45726.66667</v>
      </c>
      <c r="C210" s="9">
        <f>IFERROR(__xludf.DUMMYFUNCTION("""COMPUTED_VALUE"""),117.87)</f>
        <v>117.87</v>
      </c>
      <c r="E210" s="17">
        <f>IFERROR(__xludf.DUMMYFUNCTION("""COMPUTED_VALUE"""),45726.66666666667)</f>
        <v>45726.66667</v>
      </c>
      <c r="F210" s="9">
        <f>IFERROR(__xludf.DUMMYFUNCTION("""COMPUTED_VALUE"""),117.87)</f>
        <v>117.87</v>
      </c>
      <c r="M210" s="17"/>
      <c r="P210" s="17"/>
    </row>
    <row r="211">
      <c r="B211" s="11">
        <f>IFERROR(__xludf.DUMMYFUNCTION("""COMPUTED_VALUE"""),45723.66666666667)</f>
        <v>45723.66667</v>
      </c>
      <c r="C211" s="9">
        <f>IFERROR(__xludf.DUMMYFUNCTION("""COMPUTED_VALUE"""),119.91)</f>
        <v>119.91</v>
      </c>
      <c r="E211" s="17">
        <f>IFERROR(__xludf.DUMMYFUNCTION("""COMPUTED_VALUE"""),45723.66666666667)</f>
        <v>45723.66667</v>
      </c>
      <c r="F211" s="9">
        <f>IFERROR(__xludf.DUMMYFUNCTION("""COMPUTED_VALUE"""),119.91)</f>
        <v>119.91</v>
      </c>
      <c r="M211" s="17"/>
      <c r="P211" s="17"/>
    </row>
    <row r="212">
      <c r="B212" s="11">
        <f>IFERROR(__xludf.DUMMYFUNCTION("""COMPUTED_VALUE"""),45722.66666666667)</f>
        <v>45722.66667</v>
      </c>
      <c r="C212" s="9">
        <f>IFERROR(__xludf.DUMMYFUNCTION("""COMPUTED_VALUE"""),120.3)</f>
        <v>120.3</v>
      </c>
      <c r="E212" s="17">
        <f>IFERROR(__xludf.DUMMYFUNCTION("""COMPUTED_VALUE"""),45722.66666666667)</f>
        <v>45722.66667</v>
      </c>
      <c r="F212" s="9">
        <f>IFERROR(__xludf.DUMMYFUNCTION("""COMPUTED_VALUE"""),120.3)</f>
        <v>120.3</v>
      </c>
      <c r="M212" s="17"/>
      <c r="P212" s="17"/>
    </row>
    <row r="213">
      <c r="B213" s="11">
        <f>IFERROR(__xludf.DUMMYFUNCTION("""COMPUTED_VALUE"""),45721.66666666667)</f>
        <v>45721.66667</v>
      </c>
      <c r="C213" s="9">
        <f>IFERROR(__xludf.DUMMYFUNCTION("""COMPUTED_VALUE"""),124.04)</f>
        <v>124.04</v>
      </c>
      <c r="E213" s="17">
        <f>IFERROR(__xludf.DUMMYFUNCTION("""COMPUTED_VALUE"""),45721.66666666667)</f>
        <v>45721.66667</v>
      </c>
      <c r="F213" s="9">
        <f>IFERROR(__xludf.DUMMYFUNCTION("""COMPUTED_VALUE"""),124.04)</f>
        <v>124.04</v>
      </c>
      <c r="M213" s="17"/>
      <c r="P213" s="17"/>
    </row>
    <row r="214">
      <c r="B214" s="11">
        <f>IFERROR(__xludf.DUMMYFUNCTION("""COMPUTED_VALUE"""),45720.66666666667)</f>
        <v>45720.66667</v>
      </c>
      <c r="C214" s="9">
        <f>IFERROR(__xludf.DUMMYFUNCTION("""COMPUTED_VALUE"""),121.78)</f>
        <v>121.78</v>
      </c>
      <c r="E214" s="17">
        <f>IFERROR(__xludf.DUMMYFUNCTION("""COMPUTED_VALUE"""),45720.66666666667)</f>
        <v>45720.66667</v>
      </c>
      <c r="F214" s="9">
        <f>IFERROR(__xludf.DUMMYFUNCTION("""COMPUTED_VALUE"""),121.78)</f>
        <v>121.78</v>
      </c>
      <c r="M214" s="17"/>
      <c r="P214" s="17"/>
    </row>
    <row r="215">
      <c r="B215" s="11">
        <f>IFERROR(__xludf.DUMMYFUNCTION("""COMPUTED_VALUE"""),45719.66666666667)</f>
        <v>45719.66667</v>
      </c>
      <c r="C215" s="9">
        <f>IFERROR(__xludf.DUMMYFUNCTION("""COMPUTED_VALUE"""),123.54)</f>
        <v>123.54</v>
      </c>
      <c r="E215" s="17">
        <f>IFERROR(__xludf.DUMMYFUNCTION("""COMPUTED_VALUE"""),45719.66666666667)</f>
        <v>45719.66667</v>
      </c>
      <c r="F215" s="9">
        <f>IFERROR(__xludf.DUMMYFUNCTION("""COMPUTED_VALUE"""),123.54)</f>
        <v>123.54</v>
      </c>
      <c r="M215" s="17"/>
      <c r="P215" s="17"/>
    </row>
    <row r="216">
      <c r="B216" s="11">
        <f>IFERROR(__xludf.DUMMYFUNCTION("""COMPUTED_VALUE"""),45716.66666666667)</f>
        <v>45716.66667</v>
      </c>
      <c r="C216" s="9">
        <f>IFERROR(__xludf.DUMMYFUNCTION("""COMPUTED_VALUE"""),123.92)</f>
        <v>123.92</v>
      </c>
      <c r="E216" s="17">
        <f>IFERROR(__xludf.DUMMYFUNCTION("""COMPUTED_VALUE"""),45716.66666666667)</f>
        <v>45716.66667</v>
      </c>
      <c r="F216" s="9">
        <f>IFERROR(__xludf.DUMMYFUNCTION("""COMPUTED_VALUE"""),123.92)</f>
        <v>123.92</v>
      </c>
      <c r="M216" s="17"/>
      <c r="P216" s="17"/>
    </row>
    <row r="217">
      <c r="B217" s="11">
        <f>IFERROR(__xludf.DUMMYFUNCTION("""COMPUTED_VALUE"""),45715.66666666667)</f>
        <v>45715.66667</v>
      </c>
      <c r="C217" s="9">
        <f>IFERROR(__xludf.DUMMYFUNCTION("""COMPUTED_VALUE"""),122.77)</f>
        <v>122.77</v>
      </c>
      <c r="E217" s="17">
        <f>IFERROR(__xludf.DUMMYFUNCTION("""COMPUTED_VALUE"""),45715.66666666667)</f>
        <v>45715.66667</v>
      </c>
      <c r="F217" s="9">
        <f>IFERROR(__xludf.DUMMYFUNCTION("""COMPUTED_VALUE"""),122.77)</f>
        <v>122.77</v>
      </c>
      <c r="M217" s="17"/>
      <c r="P217" s="17"/>
    </row>
    <row r="218">
      <c r="B218" s="11">
        <f>IFERROR(__xludf.DUMMYFUNCTION("""COMPUTED_VALUE"""),45714.66666666667)</f>
        <v>45714.66667</v>
      </c>
      <c r="C218" s="9">
        <f>IFERROR(__xludf.DUMMYFUNCTION("""COMPUTED_VALUE"""),122.16)</f>
        <v>122.16</v>
      </c>
      <c r="E218" s="17">
        <f>IFERROR(__xludf.DUMMYFUNCTION("""COMPUTED_VALUE"""),45714.66666666667)</f>
        <v>45714.66667</v>
      </c>
      <c r="F218" s="9">
        <f>IFERROR(__xludf.DUMMYFUNCTION("""COMPUTED_VALUE"""),122.16)</f>
        <v>122.16</v>
      </c>
      <c r="M218" s="17"/>
      <c r="P218" s="17"/>
    </row>
    <row r="219">
      <c r="B219" s="11">
        <f>IFERROR(__xludf.DUMMYFUNCTION("""COMPUTED_VALUE"""),45713.66666666667)</f>
        <v>45713.66667</v>
      </c>
      <c r="C219" s="9">
        <f>IFERROR(__xludf.DUMMYFUNCTION("""COMPUTED_VALUE"""),122.61)</f>
        <v>122.61</v>
      </c>
      <c r="E219" s="17">
        <f>IFERROR(__xludf.DUMMYFUNCTION("""COMPUTED_VALUE"""),45713.66666666667)</f>
        <v>45713.66667</v>
      </c>
      <c r="F219" s="9">
        <f>IFERROR(__xludf.DUMMYFUNCTION("""COMPUTED_VALUE"""),122.61)</f>
        <v>122.61</v>
      </c>
      <c r="M219" s="17"/>
      <c r="P219" s="17"/>
    </row>
    <row r="220">
      <c r="B220" s="11">
        <f>IFERROR(__xludf.DUMMYFUNCTION("""COMPUTED_VALUE"""),45712.66666666667)</f>
        <v>45712.66667</v>
      </c>
      <c r="C220" s="9">
        <f>IFERROR(__xludf.DUMMYFUNCTION("""COMPUTED_VALUE"""),120.73)</f>
        <v>120.73</v>
      </c>
      <c r="E220" s="17">
        <f>IFERROR(__xludf.DUMMYFUNCTION("""COMPUTED_VALUE"""),45712.66666666667)</f>
        <v>45712.66667</v>
      </c>
      <c r="F220" s="9">
        <f>IFERROR(__xludf.DUMMYFUNCTION("""COMPUTED_VALUE"""),120.73)</f>
        <v>120.73</v>
      </c>
      <c r="M220" s="17"/>
      <c r="P220" s="17"/>
    </row>
    <row r="221">
      <c r="B221" s="11">
        <f>IFERROR(__xludf.DUMMYFUNCTION("""COMPUTED_VALUE"""),45709.66666666667)</f>
        <v>45709.66667</v>
      </c>
      <c r="C221" s="9">
        <f>IFERROR(__xludf.DUMMYFUNCTION("""COMPUTED_VALUE"""),120.97)</f>
        <v>120.97</v>
      </c>
      <c r="E221" s="17">
        <f>IFERROR(__xludf.DUMMYFUNCTION("""COMPUTED_VALUE"""),45709.66666666667)</f>
        <v>45709.66667</v>
      </c>
      <c r="F221" s="9">
        <f>IFERROR(__xludf.DUMMYFUNCTION("""COMPUTED_VALUE"""),120.97)</f>
        <v>120.97</v>
      </c>
      <c r="M221" s="17"/>
      <c r="P221" s="17"/>
    </row>
    <row r="222">
      <c r="B222" s="11">
        <f>IFERROR(__xludf.DUMMYFUNCTION("""COMPUTED_VALUE"""),45708.66666666667)</f>
        <v>45708.66667</v>
      </c>
      <c r="C222" s="9">
        <f>IFERROR(__xludf.DUMMYFUNCTION("""COMPUTED_VALUE"""),120.9)</f>
        <v>120.9</v>
      </c>
      <c r="E222" s="17">
        <f>IFERROR(__xludf.DUMMYFUNCTION("""COMPUTED_VALUE"""),45708.66666666667)</f>
        <v>45708.66667</v>
      </c>
      <c r="F222" s="9">
        <f>IFERROR(__xludf.DUMMYFUNCTION("""COMPUTED_VALUE"""),120.9)</f>
        <v>120.9</v>
      </c>
      <c r="M222" s="17"/>
      <c r="P222" s="17"/>
    </row>
    <row r="223">
      <c r="B223" s="11">
        <f>IFERROR(__xludf.DUMMYFUNCTION("""COMPUTED_VALUE"""),45707.66666666667)</f>
        <v>45707.66667</v>
      </c>
      <c r="C223" s="9">
        <f>IFERROR(__xludf.DUMMYFUNCTION("""COMPUTED_VALUE"""),121.63)</f>
        <v>121.63</v>
      </c>
      <c r="E223" s="17">
        <f>IFERROR(__xludf.DUMMYFUNCTION("""COMPUTED_VALUE"""),45707.66666666667)</f>
        <v>45707.66667</v>
      </c>
      <c r="F223" s="9">
        <f>IFERROR(__xludf.DUMMYFUNCTION("""COMPUTED_VALUE"""),121.63)</f>
        <v>121.63</v>
      </c>
      <c r="M223" s="17"/>
      <c r="P223" s="17"/>
    </row>
    <row r="224">
      <c r="B224" s="11">
        <f>IFERROR(__xludf.DUMMYFUNCTION("""COMPUTED_VALUE"""),45706.66666666667)</f>
        <v>45706.66667</v>
      </c>
      <c r="C224" s="9">
        <f>IFERROR(__xludf.DUMMYFUNCTION("""COMPUTED_VALUE"""),121.31)</f>
        <v>121.31</v>
      </c>
      <c r="E224" s="17">
        <f>IFERROR(__xludf.DUMMYFUNCTION("""COMPUTED_VALUE"""),45706.66666666667)</f>
        <v>45706.66667</v>
      </c>
      <c r="F224" s="9">
        <f>IFERROR(__xludf.DUMMYFUNCTION("""COMPUTED_VALUE"""),121.31)</f>
        <v>121.31</v>
      </c>
      <c r="M224" s="17"/>
      <c r="P224" s="17"/>
    </row>
    <row r="225">
      <c r="B225" s="11">
        <f>IFERROR(__xludf.DUMMYFUNCTION("""COMPUTED_VALUE"""),45702.66666666667)</f>
        <v>45702.66667</v>
      </c>
      <c r="C225" s="9">
        <f>IFERROR(__xludf.DUMMYFUNCTION("""COMPUTED_VALUE"""),120.85)</f>
        <v>120.85</v>
      </c>
      <c r="E225" s="17">
        <f>IFERROR(__xludf.DUMMYFUNCTION("""COMPUTED_VALUE"""),45702.66666666667)</f>
        <v>45702.66667</v>
      </c>
      <c r="F225" s="9">
        <f>IFERROR(__xludf.DUMMYFUNCTION("""COMPUTED_VALUE"""),120.85)</f>
        <v>120.85</v>
      </c>
      <c r="M225" s="17"/>
      <c r="P225" s="17"/>
    </row>
    <row r="226">
      <c r="B226" s="11">
        <f>IFERROR(__xludf.DUMMYFUNCTION("""COMPUTED_VALUE"""),45701.66666666667)</f>
        <v>45701.66667</v>
      </c>
      <c r="C226" s="9">
        <f>IFERROR(__xludf.DUMMYFUNCTION("""COMPUTED_VALUE"""),120.9)</f>
        <v>120.9</v>
      </c>
      <c r="E226" s="17">
        <f>IFERROR(__xludf.DUMMYFUNCTION("""COMPUTED_VALUE"""),45701.66666666667)</f>
        <v>45701.66667</v>
      </c>
      <c r="F226" s="9">
        <f>IFERROR(__xludf.DUMMYFUNCTION("""COMPUTED_VALUE"""),120.9)</f>
        <v>120.9</v>
      </c>
      <c r="M226" s="17"/>
      <c r="P226" s="17"/>
    </row>
    <row r="227">
      <c r="B227" s="11">
        <f>IFERROR(__xludf.DUMMYFUNCTION("""COMPUTED_VALUE"""),45700.66666666667)</f>
        <v>45700.66667</v>
      </c>
      <c r="C227" s="9">
        <f>IFERROR(__xludf.DUMMYFUNCTION("""COMPUTED_VALUE"""),119.77)</f>
        <v>119.77</v>
      </c>
      <c r="E227" s="17">
        <f>IFERROR(__xludf.DUMMYFUNCTION("""COMPUTED_VALUE"""),45700.66666666667)</f>
        <v>45700.66667</v>
      </c>
      <c r="F227" s="9">
        <f>IFERROR(__xludf.DUMMYFUNCTION("""COMPUTED_VALUE"""),119.77)</f>
        <v>119.77</v>
      </c>
      <c r="M227" s="17"/>
      <c r="P227" s="17"/>
    </row>
    <row r="228">
      <c r="B228" s="11">
        <f>IFERROR(__xludf.DUMMYFUNCTION("""COMPUTED_VALUE"""),45699.66666666667)</f>
        <v>45699.66667</v>
      </c>
      <c r="C228" s="9">
        <f>IFERROR(__xludf.DUMMYFUNCTION("""COMPUTED_VALUE"""),121.77)</f>
        <v>121.77</v>
      </c>
      <c r="E228" s="17">
        <f>IFERROR(__xludf.DUMMYFUNCTION("""COMPUTED_VALUE"""),45699.66666666667)</f>
        <v>45699.66667</v>
      </c>
      <c r="F228" s="9">
        <f>IFERROR(__xludf.DUMMYFUNCTION("""COMPUTED_VALUE"""),121.77)</f>
        <v>121.77</v>
      </c>
      <c r="M228" s="17"/>
      <c r="P228" s="17"/>
    </row>
    <row r="229">
      <c r="B229" s="11">
        <f>IFERROR(__xludf.DUMMYFUNCTION("""COMPUTED_VALUE"""),45698.66666666667)</f>
        <v>45698.66667</v>
      </c>
      <c r="C229" s="9">
        <f>IFERROR(__xludf.DUMMYFUNCTION("""COMPUTED_VALUE"""),119.47)</f>
        <v>119.47</v>
      </c>
      <c r="E229" s="17">
        <f>IFERROR(__xludf.DUMMYFUNCTION("""COMPUTED_VALUE"""),45698.66666666667)</f>
        <v>45698.66667</v>
      </c>
      <c r="F229" s="9">
        <f>IFERROR(__xludf.DUMMYFUNCTION("""COMPUTED_VALUE"""),119.47)</f>
        <v>119.47</v>
      </c>
      <c r="M229" s="17"/>
      <c r="P229" s="17"/>
    </row>
    <row r="230">
      <c r="B230" s="11">
        <f>IFERROR(__xludf.DUMMYFUNCTION("""COMPUTED_VALUE"""),45695.66666666667)</f>
        <v>45695.66667</v>
      </c>
      <c r="C230" s="9">
        <f>IFERROR(__xludf.DUMMYFUNCTION("""COMPUTED_VALUE"""),117.35)</f>
        <v>117.35</v>
      </c>
      <c r="E230" s="17">
        <f>IFERROR(__xludf.DUMMYFUNCTION("""COMPUTED_VALUE"""),45695.66666666667)</f>
        <v>45695.66667</v>
      </c>
      <c r="F230" s="9">
        <f>IFERROR(__xludf.DUMMYFUNCTION("""COMPUTED_VALUE"""),117.35)</f>
        <v>117.35</v>
      </c>
      <c r="M230" s="17"/>
      <c r="P230" s="17"/>
    </row>
    <row r="231">
      <c r="B231" s="11">
        <f>IFERROR(__xludf.DUMMYFUNCTION("""COMPUTED_VALUE"""),45694.66666666667)</f>
        <v>45694.66667</v>
      </c>
      <c r="C231" s="9">
        <f>IFERROR(__xludf.DUMMYFUNCTION("""COMPUTED_VALUE"""),118.54)</f>
        <v>118.54</v>
      </c>
      <c r="E231" s="17">
        <f>IFERROR(__xludf.DUMMYFUNCTION("""COMPUTED_VALUE"""),45694.66666666667)</f>
        <v>45694.66667</v>
      </c>
      <c r="F231" s="9">
        <f>IFERROR(__xludf.DUMMYFUNCTION("""COMPUTED_VALUE"""),118.54)</f>
        <v>118.54</v>
      </c>
      <c r="M231" s="17"/>
      <c r="P231" s="17"/>
    </row>
    <row r="232">
      <c r="B232" s="11">
        <f>IFERROR(__xludf.DUMMYFUNCTION("""COMPUTED_VALUE"""),45693.66666666667)</f>
        <v>45693.66667</v>
      </c>
      <c r="C232" s="9">
        <f>IFERROR(__xludf.DUMMYFUNCTION("""COMPUTED_VALUE"""),118.78)</f>
        <v>118.78</v>
      </c>
      <c r="E232" s="17">
        <f>IFERROR(__xludf.DUMMYFUNCTION("""COMPUTED_VALUE"""),45693.66666666667)</f>
        <v>45693.66667</v>
      </c>
      <c r="F232" s="9">
        <f>IFERROR(__xludf.DUMMYFUNCTION("""COMPUTED_VALUE"""),118.78)</f>
        <v>118.78</v>
      </c>
      <c r="M232" s="17"/>
      <c r="P232" s="17"/>
    </row>
    <row r="233">
      <c r="B233" s="11">
        <f>IFERROR(__xludf.DUMMYFUNCTION("""COMPUTED_VALUE"""),45692.66666666667)</f>
        <v>45692.66667</v>
      </c>
      <c r="C233" s="9">
        <f>IFERROR(__xludf.DUMMYFUNCTION("""COMPUTED_VALUE"""),118.31)</f>
        <v>118.31</v>
      </c>
      <c r="E233" s="17">
        <f>IFERROR(__xludf.DUMMYFUNCTION("""COMPUTED_VALUE"""),45692.66666666667)</f>
        <v>45692.66667</v>
      </c>
      <c r="F233" s="9">
        <f>IFERROR(__xludf.DUMMYFUNCTION("""COMPUTED_VALUE"""),118.31)</f>
        <v>118.31</v>
      </c>
      <c r="M233" s="17"/>
      <c r="P233" s="17"/>
    </row>
    <row r="234">
      <c r="B234" s="11">
        <f>IFERROR(__xludf.DUMMYFUNCTION("""COMPUTED_VALUE"""),45691.66666666667)</f>
        <v>45691.66667</v>
      </c>
      <c r="C234" s="9">
        <f>IFERROR(__xludf.DUMMYFUNCTION("""COMPUTED_VALUE"""),117.84)</f>
        <v>117.84</v>
      </c>
      <c r="E234" s="17">
        <f>IFERROR(__xludf.DUMMYFUNCTION("""COMPUTED_VALUE"""),45691.66666666667)</f>
        <v>45691.66667</v>
      </c>
      <c r="F234" s="9">
        <f>IFERROR(__xludf.DUMMYFUNCTION("""COMPUTED_VALUE"""),117.84)</f>
        <v>117.84</v>
      </c>
      <c r="M234" s="17"/>
      <c r="P234" s="17"/>
    </row>
    <row r="235">
      <c r="B235" s="11">
        <f>IFERROR(__xludf.DUMMYFUNCTION("""COMPUTED_VALUE"""),45688.66666666667)</f>
        <v>45688.66667</v>
      </c>
      <c r="C235" s="9">
        <f>IFERROR(__xludf.DUMMYFUNCTION("""COMPUTED_VALUE"""),119.25)</f>
        <v>119.25</v>
      </c>
      <c r="E235" s="17">
        <f>IFERROR(__xludf.DUMMYFUNCTION("""COMPUTED_VALUE"""),45688.66666666667)</f>
        <v>45688.66667</v>
      </c>
      <c r="F235" s="9">
        <f>IFERROR(__xludf.DUMMYFUNCTION("""COMPUTED_VALUE"""),119.25)</f>
        <v>119.25</v>
      </c>
      <c r="M235" s="17"/>
      <c r="P235" s="17"/>
    </row>
    <row r="236">
      <c r="B236" s="11">
        <f>IFERROR(__xludf.DUMMYFUNCTION("""COMPUTED_VALUE"""),45687.66666666667)</f>
        <v>45687.66667</v>
      </c>
      <c r="C236" s="9">
        <f>IFERROR(__xludf.DUMMYFUNCTION("""COMPUTED_VALUE"""),120.65)</f>
        <v>120.65</v>
      </c>
      <c r="E236" s="17">
        <f>IFERROR(__xludf.DUMMYFUNCTION("""COMPUTED_VALUE"""),45687.66666666667)</f>
        <v>45687.66667</v>
      </c>
      <c r="F236" s="9">
        <f>IFERROR(__xludf.DUMMYFUNCTION("""COMPUTED_VALUE"""),120.65)</f>
        <v>120.65</v>
      </c>
      <c r="M236" s="17"/>
      <c r="P236" s="17"/>
    </row>
    <row r="237">
      <c r="B237" s="11">
        <f>IFERROR(__xludf.DUMMYFUNCTION("""COMPUTED_VALUE"""),45686.66666666667)</f>
        <v>45686.66667</v>
      </c>
      <c r="C237" s="9">
        <f>IFERROR(__xludf.DUMMYFUNCTION("""COMPUTED_VALUE"""),119.17)</f>
        <v>119.17</v>
      </c>
      <c r="E237" s="17">
        <f>IFERROR(__xludf.DUMMYFUNCTION("""COMPUTED_VALUE"""),45686.66666666667)</f>
        <v>45686.66667</v>
      </c>
      <c r="F237" s="9">
        <f>IFERROR(__xludf.DUMMYFUNCTION("""COMPUTED_VALUE"""),119.17)</f>
        <v>119.17</v>
      </c>
      <c r="M237" s="17"/>
      <c r="P237" s="17"/>
    </row>
    <row r="238">
      <c r="B238" s="11">
        <f>IFERROR(__xludf.DUMMYFUNCTION("""COMPUTED_VALUE"""),45685.66666666667)</f>
        <v>45685.66667</v>
      </c>
      <c r="C238" s="9">
        <f>IFERROR(__xludf.DUMMYFUNCTION("""COMPUTED_VALUE"""),120.21)</f>
        <v>120.21</v>
      </c>
      <c r="E238" s="17">
        <f>IFERROR(__xludf.DUMMYFUNCTION("""COMPUTED_VALUE"""),45685.66666666667)</f>
        <v>45685.66667</v>
      </c>
      <c r="F238" s="9">
        <f>IFERROR(__xludf.DUMMYFUNCTION("""COMPUTED_VALUE"""),120.21)</f>
        <v>120.21</v>
      </c>
      <c r="M238" s="17"/>
      <c r="P238" s="17"/>
    </row>
    <row r="239">
      <c r="B239" s="11">
        <f>IFERROR(__xludf.DUMMYFUNCTION("""COMPUTED_VALUE"""),45684.66666666667)</f>
        <v>45684.66667</v>
      </c>
      <c r="C239" s="9">
        <f>IFERROR(__xludf.DUMMYFUNCTION("""COMPUTED_VALUE"""),121.25)</f>
        <v>121.25</v>
      </c>
      <c r="E239" s="17">
        <f>IFERROR(__xludf.DUMMYFUNCTION("""COMPUTED_VALUE"""),45684.66666666667)</f>
        <v>45684.66667</v>
      </c>
      <c r="F239" s="9">
        <f>IFERROR(__xludf.DUMMYFUNCTION("""COMPUTED_VALUE"""),121.25)</f>
        <v>121.25</v>
      </c>
      <c r="M239" s="17"/>
      <c r="P239" s="17"/>
    </row>
    <row r="240">
      <c r="B240" s="11">
        <f>IFERROR(__xludf.DUMMYFUNCTION("""COMPUTED_VALUE"""),45681.66666666667)</f>
        <v>45681.66667</v>
      </c>
      <c r="C240" s="9">
        <f>IFERROR(__xludf.DUMMYFUNCTION("""COMPUTED_VALUE"""),118.93)</f>
        <v>118.93</v>
      </c>
      <c r="E240" s="17">
        <f>IFERROR(__xludf.DUMMYFUNCTION("""COMPUTED_VALUE"""),45681.66666666667)</f>
        <v>45681.66667</v>
      </c>
      <c r="F240" s="9">
        <f>IFERROR(__xludf.DUMMYFUNCTION("""COMPUTED_VALUE"""),118.93)</f>
        <v>118.93</v>
      </c>
      <c r="M240" s="17"/>
      <c r="P240" s="17"/>
    </row>
    <row r="241">
      <c r="B241" s="11">
        <f>IFERROR(__xludf.DUMMYFUNCTION("""COMPUTED_VALUE"""),45680.66666666667)</f>
        <v>45680.66667</v>
      </c>
      <c r="C241" s="9">
        <f>IFERROR(__xludf.DUMMYFUNCTION("""COMPUTED_VALUE"""),118.54)</f>
        <v>118.54</v>
      </c>
      <c r="E241" s="17">
        <f>IFERROR(__xludf.DUMMYFUNCTION("""COMPUTED_VALUE"""),45680.66666666667)</f>
        <v>45680.66667</v>
      </c>
      <c r="F241" s="9">
        <f>IFERROR(__xludf.DUMMYFUNCTION("""COMPUTED_VALUE"""),118.54)</f>
        <v>118.54</v>
      </c>
      <c r="M241" s="17"/>
      <c r="P241" s="17"/>
    </row>
    <row r="242">
      <c r="B242" s="11">
        <f>IFERROR(__xludf.DUMMYFUNCTION("""COMPUTED_VALUE"""),45679.66666666667)</f>
        <v>45679.66667</v>
      </c>
      <c r="C242" s="9">
        <f>IFERROR(__xludf.DUMMYFUNCTION("""COMPUTED_VALUE"""),115.13)</f>
        <v>115.13</v>
      </c>
      <c r="E242" s="17">
        <f>IFERROR(__xludf.DUMMYFUNCTION("""COMPUTED_VALUE"""),45679.66666666667)</f>
        <v>45679.66667</v>
      </c>
      <c r="F242" s="9">
        <f>IFERROR(__xludf.DUMMYFUNCTION("""COMPUTED_VALUE"""),115.13)</f>
        <v>115.13</v>
      </c>
      <c r="M242" s="17"/>
      <c r="P242" s="17"/>
    </row>
    <row r="243">
      <c r="B243" s="11">
        <f>IFERROR(__xludf.DUMMYFUNCTION("""COMPUTED_VALUE"""),45678.66666666667)</f>
        <v>45678.66667</v>
      </c>
      <c r="C243" s="9">
        <f>IFERROR(__xludf.DUMMYFUNCTION("""COMPUTED_VALUE"""),117.27)</f>
        <v>117.27</v>
      </c>
      <c r="E243" s="17">
        <f>IFERROR(__xludf.DUMMYFUNCTION("""COMPUTED_VALUE"""),45678.66666666667)</f>
        <v>45678.66667</v>
      </c>
      <c r="F243" s="9">
        <f>IFERROR(__xludf.DUMMYFUNCTION("""COMPUTED_VALUE"""),117.27)</f>
        <v>117.27</v>
      </c>
      <c r="M243" s="17"/>
      <c r="P243" s="17"/>
    </row>
    <row r="244">
      <c r="B244" s="11">
        <f>IFERROR(__xludf.DUMMYFUNCTION("""COMPUTED_VALUE"""),45674.66666666667)</f>
        <v>45674.66667</v>
      </c>
      <c r="C244" s="9">
        <f>IFERROR(__xludf.DUMMYFUNCTION("""COMPUTED_VALUE"""),109.48)</f>
        <v>109.48</v>
      </c>
      <c r="E244" s="17">
        <f>IFERROR(__xludf.DUMMYFUNCTION("""COMPUTED_VALUE"""),45674.66666666667)</f>
        <v>45674.66667</v>
      </c>
      <c r="F244" s="9">
        <f>IFERROR(__xludf.DUMMYFUNCTION("""COMPUTED_VALUE"""),109.48)</f>
        <v>109.48</v>
      </c>
      <c r="M244" s="17"/>
      <c r="P244" s="17"/>
    </row>
    <row r="245">
      <c r="B245" s="11">
        <f>IFERROR(__xludf.DUMMYFUNCTION("""COMPUTED_VALUE"""),45673.66666666667)</f>
        <v>45673.66667</v>
      </c>
      <c r="C245" s="9">
        <f>IFERROR(__xludf.DUMMYFUNCTION("""COMPUTED_VALUE"""),110.93)</f>
        <v>110.93</v>
      </c>
      <c r="E245" s="17">
        <f>IFERROR(__xludf.DUMMYFUNCTION("""COMPUTED_VALUE"""),45673.66666666667)</f>
        <v>45673.66667</v>
      </c>
      <c r="F245" s="9">
        <f>IFERROR(__xludf.DUMMYFUNCTION("""COMPUTED_VALUE"""),110.93)</f>
        <v>110.93</v>
      </c>
      <c r="M245" s="17"/>
      <c r="P245" s="17"/>
    </row>
    <row r="246">
      <c r="B246" s="11">
        <f>IFERROR(__xludf.DUMMYFUNCTION("""COMPUTED_VALUE"""),45672.66666666667)</f>
        <v>45672.66667</v>
      </c>
      <c r="C246" s="9">
        <f>IFERROR(__xludf.DUMMYFUNCTION("""COMPUTED_VALUE"""),107.85)</f>
        <v>107.85</v>
      </c>
      <c r="E246" s="17">
        <f>IFERROR(__xludf.DUMMYFUNCTION("""COMPUTED_VALUE"""),45672.66666666667)</f>
        <v>45672.66667</v>
      </c>
      <c r="F246" s="9">
        <f>IFERROR(__xludf.DUMMYFUNCTION("""COMPUTED_VALUE"""),107.85)</f>
        <v>107.85</v>
      </c>
      <c r="M246" s="17"/>
      <c r="P246" s="17"/>
    </row>
    <row r="247">
      <c r="B247" s="11">
        <f>IFERROR(__xludf.DUMMYFUNCTION("""COMPUTED_VALUE"""),45671.66666666667)</f>
        <v>45671.66667</v>
      </c>
      <c r="C247" s="9">
        <f>IFERROR(__xludf.DUMMYFUNCTION("""COMPUTED_VALUE"""),108.12)</f>
        <v>108.12</v>
      </c>
      <c r="E247" s="17">
        <f>IFERROR(__xludf.DUMMYFUNCTION("""COMPUTED_VALUE"""),45671.66666666667)</f>
        <v>45671.66667</v>
      </c>
      <c r="F247" s="9">
        <f>IFERROR(__xludf.DUMMYFUNCTION("""COMPUTED_VALUE"""),108.12)</f>
        <v>108.12</v>
      </c>
      <c r="M247" s="17"/>
      <c r="P247" s="17"/>
    </row>
    <row r="248">
      <c r="B248" s="11">
        <f>IFERROR(__xludf.DUMMYFUNCTION("""COMPUTED_VALUE"""),45670.66666666667)</f>
        <v>45670.66667</v>
      </c>
      <c r="C248" s="9">
        <f>IFERROR(__xludf.DUMMYFUNCTION("""COMPUTED_VALUE"""),105.37)</f>
        <v>105.37</v>
      </c>
      <c r="E248" s="17">
        <f>IFERROR(__xludf.DUMMYFUNCTION("""COMPUTED_VALUE"""),45670.66666666667)</f>
        <v>45670.66667</v>
      </c>
      <c r="F248" s="9">
        <f>IFERROR(__xludf.DUMMYFUNCTION("""COMPUTED_VALUE"""),105.37)</f>
        <v>105.37</v>
      </c>
      <c r="M248" s="17"/>
      <c r="P248" s="17"/>
    </row>
    <row r="249">
      <c r="B249" s="11">
        <f>IFERROR(__xludf.DUMMYFUNCTION("""COMPUTED_VALUE"""),45667.66666666667)</f>
        <v>45667.66667</v>
      </c>
      <c r="C249" s="9">
        <f>IFERROR(__xludf.DUMMYFUNCTION("""COMPUTED_VALUE"""),103.59)</f>
        <v>103.59</v>
      </c>
      <c r="E249" s="17">
        <f>IFERROR(__xludf.DUMMYFUNCTION("""COMPUTED_VALUE"""),45667.66666666667)</f>
        <v>45667.66667</v>
      </c>
      <c r="F249" s="9">
        <f>IFERROR(__xludf.DUMMYFUNCTION("""COMPUTED_VALUE"""),103.59)</f>
        <v>103.59</v>
      </c>
      <c r="M249" s="17"/>
      <c r="P249" s="17"/>
    </row>
    <row r="250">
      <c r="B250" s="11">
        <f>IFERROR(__xludf.DUMMYFUNCTION("""COMPUTED_VALUE"""),45665.66666666667)</f>
        <v>45665.66667</v>
      </c>
      <c r="C250" s="9">
        <f>IFERROR(__xludf.DUMMYFUNCTION("""COMPUTED_VALUE"""),105.5)</f>
        <v>105.5</v>
      </c>
      <c r="E250" s="17">
        <f>IFERROR(__xludf.DUMMYFUNCTION("""COMPUTED_VALUE"""),45665.66666666667)</f>
        <v>45665.66667</v>
      </c>
      <c r="F250" s="9">
        <f>IFERROR(__xludf.DUMMYFUNCTION("""COMPUTED_VALUE"""),105.5)</f>
        <v>105.5</v>
      </c>
      <c r="M250" s="17"/>
      <c r="P250" s="17"/>
    </row>
    <row r="251">
      <c r="B251" s="11">
        <f>IFERROR(__xludf.DUMMYFUNCTION("""COMPUTED_VALUE"""),45664.66666666667)</f>
        <v>45664.66667</v>
      </c>
      <c r="C251" s="9">
        <f>IFERROR(__xludf.DUMMYFUNCTION("""COMPUTED_VALUE"""),106.58)</f>
        <v>106.58</v>
      </c>
      <c r="E251" s="17">
        <f>IFERROR(__xludf.DUMMYFUNCTION("""COMPUTED_VALUE"""),45664.66666666667)</f>
        <v>45664.66667</v>
      </c>
      <c r="F251" s="9">
        <f>IFERROR(__xludf.DUMMYFUNCTION("""COMPUTED_VALUE"""),106.58)</f>
        <v>106.58</v>
      </c>
      <c r="M251" s="17"/>
      <c r="P251" s="17"/>
    </row>
    <row r="252">
      <c r="B252" s="11">
        <f>IFERROR(__xludf.DUMMYFUNCTION("""COMPUTED_VALUE"""),45663.66666666667)</f>
        <v>45663.66667</v>
      </c>
      <c r="C252" s="9">
        <f>IFERROR(__xludf.DUMMYFUNCTION("""COMPUTED_VALUE"""),106.66)</f>
        <v>106.66</v>
      </c>
      <c r="E252" s="17">
        <f>IFERROR(__xludf.DUMMYFUNCTION("""COMPUTED_VALUE"""),45663.66666666667)</f>
        <v>45663.66667</v>
      </c>
      <c r="F252" s="9">
        <f>IFERROR(__xludf.DUMMYFUNCTION("""COMPUTED_VALUE"""),106.66)</f>
        <v>106.66</v>
      </c>
      <c r="M252" s="17"/>
      <c r="P252" s="17"/>
    </row>
    <row r="253">
      <c r="B253" s="11">
        <f>IFERROR(__xludf.DUMMYFUNCTION("""COMPUTED_VALUE"""),45660.66666666667)</f>
        <v>45660.66667</v>
      </c>
      <c r="C253" s="9">
        <f>IFERROR(__xludf.DUMMYFUNCTION("""COMPUTED_VALUE"""),105.63)</f>
        <v>105.63</v>
      </c>
      <c r="E253" s="17">
        <f>IFERROR(__xludf.DUMMYFUNCTION("""COMPUTED_VALUE"""),45660.66666666667)</f>
        <v>45660.66667</v>
      </c>
      <c r="F253" s="9">
        <f>IFERROR(__xludf.DUMMYFUNCTION("""COMPUTED_VALUE"""),105.63)</f>
        <v>105.63</v>
      </c>
      <c r="M253" s="17"/>
      <c r="P253" s="17"/>
    </row>
    <row r="254">
      <c r="B254" s="11">
        <f>IFERROR(__xludf.DUMMYFUNCTION("""COMPUTED_VALUE"""),45659.66666666667)</f>
        <v>45659.66667</v>
      </c>
      <c r="C254" s="9">
        <f>IFERROR(__xludf.DUMMYFUNCTION("""COMPUTED_VALUE"""),104.26)</f>
        <v>104.26</v>
      </c>
      <c r="E254" s="17">
        <f>IFERROR(__xludf.DUMMYFUNCTION("""COMPUTED_VALUE"""),45659.66666666667)</f>
        <v>45659.66667</v>
      </c>
      <c r="F254" s="9">
        <f>IFERROR(__xludf.DUMMYFUNCTION("""COMPUTED_VALUE"""),104.26)</f>
        <v>104.26</v>
      </c>
      <c r="M254" s="17"/>
      <c r="P254" s="17"/>
    </row>
    <row r="255">
      <c r="B255" s="11">
        <f>IFERROR(__xludf.DUMMYFUNCTION("""COMPUTED_VALUE"""),45657.66666666667)</f>
        <v>45657.66667</v>
      </c>
      <c r="C255" s="9">
        <f>IFERROR(__xludf.DUMMYFUNCTION("""COMPUTED_VALUE"""),105.7)</f>
        <v>105.7</v>
      </c>
      <c r="E255" s="17">
        <f>IFERROR(__xludf.DUMMYFUNCTION("""COMPUTED_VALUE"""),45657.66666666667)</f>
        <v>45657.66667</v>
      </c>
      <c r="F255" s="9">
        <f>IFERROR(__xludf.DUMMYFUNCTION("""COMPUTED_VALUE"""),105.7)</f>
        <v>105.7</v>
      </c>
      <c r="M255" s="17"/>
      <c r="P255" s="17"/>
    </row>
    <row r="256">
      <c r="B256" s="11">
        <f>IFERROR(__xludf.DUMMYFUNCTION("""COMPUTED_VALUE"""),45656.66666666667)</f>
        <v>45656.66667</v>
      </c>
      <c r="C256" s="9">
        <f>IFERROR(__xludf.DUMMYFUNCTION("""COMPUTED_VALUE"""),105.1)</f>
        <v>105.1</v>
      </c>
      <c r="E256" s="17">
        <f>IFERROR(__xludf.DUMMYFUNCTION("""COMPUTED_VALUE"""),45656.66666666667)</f>
        <v>45656.66667</v>
      </c>
      <c r="F256" s="9">
        <f>IFERROR(__xludf.DUMMYFUNCTION("""COMPUTED_VALUE"""),105.1)</f>
        <v>105.1</v>
      </c>
      <c r="M256" s="17"/>
      <c r="P256" s="17"/>
    </row>
    <row r="257">
      <c r="B257" s="11">
        <f>IFERROR(__xludf.DUMMYFUNCTION("""COMPUTED_VALUE"""),45653.66666666667)</f>
        <v>45653.66667</v>
      </c>
      <c r="C257" s="9">
        <f>IFERROR(__xludf.DUMMYFUNCTION("""COMPUTED_VALUE"""),105.24)</f>
        <v>105.24</v>
      </c>
      <c r="E257" s="17">
        <f>IFERROR(__xludf.DUMMYFUNCTION("""COMPUTED_VALUE"""),45653.66666666667)</f>
        <v>45653.66667</v>
      </c>
      <c r="F257" s="9">
        <f>IFERROR(__xludf.DUMMYFUNCTION("""COMPUTED_VALUE"""),105.24)</f>
        <v>105.24</v>
      </c>
      <c r="M257" s="17"/>
      <c r="P257" s="17"/>
    </row>
    <row r="258">
      <c r="B258" s="11">
        <f>IFERROR(__xludf.DUMMYFUNCTION("""COMPUTED_VALUE"""),45652.66666666667)</f>
        <v>45652.66667</v>
      </c>
      <c r="C258" s="9">
        <f>IFERROR(__xludf.DUMMYFUNCTION("""COMPUTED_VALUE"""),106.89)</f>
        <v>106.89</v>
      </c>
      <c r="E258" s="17">
        <f>IFERROR(__xludf.DUMMYFUNCTION("""COMPUTED_VALUE"""),45652.66666666667)</f>
        <v>45652.66667</v>
      </c>
      <c r="F258" s="9">
        <f>IFERROR(__xludf.DUMMYFUNCTION("""COMPUTED_VALUE"""),106.89)</f>
        <v>106.89</v>
      </c>
      <c r="M258" s="17"/>
      <c r="P258" s="17"/>
    </row>
    <row r="259">
      <c r="B259" s="11">
        <f>IFERROR(__xludf.DUMMYFUNCTION("""COMPUTED_VALUE"""),45650.54166666667)</f>
        <v>45650.54167</v>
      </c>
      <c r="C259" s="9">
        <f>IFERROR(__xludf.DUMMYFUNCTION("""COMPUTED_VALUE"""),104.7)</f>
        <v>104.7</v>
      </c>
      <c r="E259" s="17">
        <f>IFERROR(__xludf.DUMMYFUNCTION("""COMPUTED_VALUE"""),45650.54166666667)</f>
        <v>45650.54167</v>
      </c>
      <c r="F259" s="9">
        <f>IFERROR(__xludf.DUMMYFUNCTION("""COMPUTED_VALUE"""),104.7)</f>
        <v>104.7</v>
      </c>
      <c r="M259" s="17"/>
      <c r="P259" s="17"/>
    </row>
    <row r="260">
      <c r="B260" s="11">
        <f>IFERROR(__xludf.DUMMYFUNCTION("""COMPUTED_VALUE"""),45649.66666666667)</f>
        <v>45649.66667</v>
      </c>
      <c r="C260" s="9">
        <f>IFERROR(__xludf.DUMMYFUNCTION("""COMPUTED_VALUE"""),104.14)</f>
        <v>104.14</v>
      </c>
      <c r="E260" s="17">
        <f>IFERROR(__xludf.DUMMYFUNCTION("""COMPUTED_VALUE"""),45649.66666666667)</f>
        <v>45649.66667</v>
      </c>
      <c r="F260" s="9">
        <f>IFERROR(__xludf.DUMMYFUNCTION("""COMPUTED_VALUE"""),104.14)</f>
        <v>104.14</v>
      </c>
      <c r="M260" s="17"/>
      <c r="P260" s="17"/>
    </row>
    <row r="261">
      <c r="B261" s="11">
        <f>IFERROR(__xludf.DUMMYFUNCTION("""COMPUTED_VALUE"""),45646.66666666667)</f>
        <v>45646.66667</v>
      </c>
      <c r="C261" s="9">
        <f>IFERROR(__xludf.DUMMYFUNCTION("""COMPUTED_VALUE"""),103.32)</f>
        <v>103.32</v>
      </c>
      <c r="E261" s="17">
        <f>IFERROR(__xludf.DUMMYFUNCTION("""COMPUTED_VALUE"""),45646.66666666667)</f>
        <v>45646.66667</v>
      </c>
      <c r="F261" s="9">
        <f>IFERROR(__xludf.DUMMYFUNCTION("""COMPUTED_VALUE"""),103.32)</f>
        <v>103.32</v>
      </c>
      <c r="M261" s="17"/>
      <c r="P261" s="17"/>
    </row>
    <row r="262">
      <c r="B262" s="11">
        <f>IFERROR(__xludf.DUMMYFUNCTION("""COMPUTED_VALUE"""),45645.66666666667)</f>
        <v>45645.66667</v>
      </c>
      <c r="C262" s="9">
        <f>IFERROR(__xludf.DUMMYFUNCTION("""COMPUTED_VALUE"""),101.4)</f>
        <v>101.4</v>
      </c>
      <c r="E262" s="17">
        <f>IFERROR(__xludf.DUMMYFUNCTION("""COMPUTED_VALUE"""),45645.66666666667)</f>
        <v>45645.66667</v>
      </c>
      <c r="F262" s="9">
        <f>IFERROR(__xludf.DUMMYFUNCTION("""COMPUTED_VALUE"""),101.4)</f>
        <v>101.4</v>
      </c>
      <c r="M262" s="17"/>
      <c r="P262" s="17"/>
    </row>
    <row r="263">
      <c r="B263" s="11">
        <f>IFERROR(__xludf.DUMMYFUNCTION("""COMPUTED_VALUE"""),45644.66666666667)</f>
        <v>45644.66667</v>
      </c>
      <c r="C263" s="9">
        <f>IFERROR(__xludf.DUMMYFUNCTION("""COMPUTED_VALUE"""),103.91)</f>
        <v>103.91</v>
      </c>
      <c r="E263" s="17">
        <f>IFERROR(__xludf.DUMMYFUNCTION("""COMPUTED_VALUE"""),45644.66666666667)</f>
        <v>45644.66667</v>
      </c>
      <c r="F263" s="9">
        <f>IFERROR(__xludf.DUMMYFUNCTION("""COMPUTED_VALUE"""),103.91)</f>
        <v>103.91</v>
      </c>
      <c r="M263" s="17"/>
      <c r="P263" s="17"/>
    </row>
    <row r="264">
      <c r="B264" s="11">
        <f>IFERROR(__xludf.DUMMYFUNCTION("""COMPUTED_VALUE"""),45643.66666666667)</f>
        <v>45643.66667</v>
      </c>
      <c r="C264" s="9">
        <f>IFERROR(__xludf.DUMMYFUNCTION("""COMPUTED_VALUE"""),108.87)</f>
        <v>108.87</v>
      </c>
      <c r="E264" s="17">
        <f>IFERROR(__xludf.DUMMYFUNCTION("""COMPUTED_VALUE"""),45643.66666666667)</f>
        <v>45643.66667</v>
      </c>
      <c r="F264" s="9">
        <f>IFERROR(__xludf.DUMMYFUNCTION("""COMPUTED_VALUE"""),108.87)</f>
        <v>108.87</v>
      </c>
      <c r="M264" s="17"/>
      <c r="P264" s="17"/>
    </row>
    <row r="265">
      <c r="B265" s="11">
        <f>IFERROR(__xludf.DUMMYFUNCTION("""COMPUTED_VALUE"""),45642.66666666667)</f>
        <v>45642.66667</v>
      </c>
      <c r="C265" s="9">
        <f>IFERROR(__xludf.DUMMYFUNCTION("""COMPUTED_VALUE"""),108.87)</f>
        <v>108.87</v>
      </c>
      <c r="E265" s="17">
        <f>IFERROR(__xludf.DUMMYFUNCTION("""COMPUTED_VALUE"""),45642.66666666667)</f>
        <v>45642.66667</v>
      </c>
      <c r="F265" s="9">
        <f>IFERROR(__xludf.DUMMYFUNCTION("""COMPUTED_VALUE"""),108.87)</f>
        <v>108.87</v>
      </c>
      <c r="M265" s="17"/>
      <c r="P265" s="17"/>
    </row>
    <row r="266">
      <c r="B266" s="11">
        <f>IFERROR(__xludf.DUMMYFUNCTION("""COMPUTED_VALUE"""),45639.66666666667)</f>
        <v>45639.66667</v>
      </c>
      <c r="C266" s="9">
        <f>IFERROR(__xludf.DUMMYFUNCTION("""COMPUTED_VALUE"""),111.13)</f>
        <v>111.13</v>
      </c>
      <c r="E266" s="17">
        <f>IFERROR(__xludf.DUMMYFUNCTION("""COMPUTED_VALUE"""),45639.66666666667)</f>
        <v>45639.66667</v>
      </c>
      <c r="F266" s="9">
        <f>IFERROR(__xludf.DUMMYFUNCTION("""COMPUTED_VALUE"""),111.13)</f>
        <v>111.13</v>
      </c>
      <c r="M266" s="17"/>
      <c r="P266" s="17"/>
    </row>
    <row r="267">
      <c r="B267" s="11">
        <f>IFERROR(__xludf.DUMMYFUNCTION("""COMPUTED_VALUE"""),45638.66666666667)</f>
        <v>45638.66667</v>
      </c>
      <c r="C267" s="9">
        <f>IFERROR(__xludf.DUMMYFUNCTION("""COMPUTED_VALUE"""),111.65)</f>
        <v>111.65</v>
      </c>
      <c r="E267" s="17">
        <f>IFERROR(__xludf.DUMMYFUNCTION("""COMPUTED_VALUE"""),45638.66666666667)</f>
        <v>45638.66667</v>
      </c>
      <c r="F267" s="9">
        <f>IFERROR(__xludf.DUMMYFUNCTION("""COMPUTED_VALUE"""),111.65)</f>
        <v>111.65</v>
      </c>
      <c r="M267" s="17"/>
      <c r="P267" s="17"/>
    </row>
    <row r="268">
      <c r="B268" s="11">
        <f>IFERROR(__xludf.DUMMYFUNCTION("""COMPUTED_VALUE"""),45637.66666666667)</f>
        <v>45637.66667</v>
      </c>
      <c r="C268" s="9">
        <f>IFERROR(__xludf.DUMMYFUNCTION("""COMPUTED_VALUE"""),111.96)</f>
        <v>111.96</v>
      </c>
      <c r="E268" s="17">
        <f>IFERROR(__xludf.DUMMYFUNCTION("""COMPUTED_VALUE"""),45637.66666666667)</f>
        <v>45637.66667</v>
      </c>
      <c r="F268" s="9">
        <f>IFERROR(__xludf.DUMMYFUNCTION("""COMPUTED_VALUE"""),111.96)</f>
        <v>111.96</v>
      </c>
      <c r="M268" s="17"/>
      <c r="P268" s="17"/>
    </row>
    <row r="269">
      <c r="B269" s="11">
        <f>IFERROR(__xludf.DUMMYFUNCTION("""COMPUTED_VALUE"""),45636.66666666667)</f>
        <v>45636.66667</v>
      </c>
      <c r="C269" s="9">
        <f>IFERROR(__xludf.DUMMYFUNCTION("""COMPUTED_VALUE"""),113.15)</f>
        <v>113.15</v>
      </c>
      <c r="E269" s="17">
        <f>IFERROR(__xludf.DUMMYFUNCTION("""COMPUTED_VALUE"""),45636.66666666667)</f>
        <v>45636.66667</v>
      </c>
      <c r="F269" s="9">
        <f>IFERROR(__xludf.DUMMYFUNCTION("""COMPUTED_VALUE"""),113.15)</f>
        <v>113.15</v>
      </c>
      <c r="M269" s="17"/>
      <c r="P269" s="17"/>
    </row>
    <row r="270">
      <c r="B270" s="11">
        <f>IFERROR(__xludf.DUMMYFUNCTION("""COMPUTED_VALUE"""),45635.66666666667)</f>
        <v>45635.66667</v>
      </c>
      <c r="C270" s="9">
        <f>IFERROR(__xludf.DUMMYFUNCTION("""COMPUTED_VALUE"""),115.42)</f>
        <v>115.42</v>
      </c>
      <c r="E270" s="17">
        <f>IFERROR(__xludf.DUMMYFUNCTION("""COMPUTED_VALUE"""),45635.66666666667)</f>
        <v>45635.66667</v>
      </c>
      <c r="F270" s="9">
        <f>IFERROR(__xludf.DUMMYFUNCTION("""COMPUTED_VALUE"""),115.42)</f>
        <v>115.42</v>
      </c>
      <c r="M270" s="17"/>
      <c r="P270" s="17"/>
    </row>
    <row r="271">
      <c r="B271" s="11">
        <f>IFERROR(__xludf.DUMMYFUNCTION("""COMPUTED_VALUE"""),45632.66666666667)</f>
        <v>45632.66667</v>
      </c>
      <c r="C271" s="9">
        <f>IFERROR(__xludf.DUMMYFUNCTION("""COMPUTED_VALUE"""),112.0)</f>
        <v>112</v>
      </c>
      <c r="E271" s="17">
        <f>IFERROR(__xludf.DUMMYFUNCTION("""COMPUTED_VALUE"""),45632.66666666667)</f>
        <v>45632.66667</v>
      </c>
      <c r="F271" s="9">
        <f>IFERROR(__xludf.DUMMYFUNCTION("""COMPUTED_VALUE"""),112.0)</f>
        <v>112</v>
      </c>
      <c r="M271" s="17"/>
      <c r="P271" s="17"/>
    </row>
    <row r="272">
      <c r="B272" s="11">
        <f>IFERROR(__xludf.DUMMYFUNCTION("""COMPUTED_VALUE"""),45631.66666666667)</f>
        <v>45631.66667</v>
      </c>
      <c r="C272" s="9">
        <f>IFERROR(__xludf.DUMMYFUNCTION("""COMPUTED_VALUE"""),113.79)</f>
        <v>113.79</v>
      </c>
      <c r="E272" s="17">
        <f>IFERROR(__xludf.DUMMYFUNCTION("""COMPUTED_VALUE"""),45631.66666666667)</f>
        <v>45631.66667</v>
      </c>
      <c r="F272" s="9">
        <f>IFERROR(__xludf.DUMMYFUNCTION("""COMPUTED_VALUE"""),113.79)</f>
        <v>113.79</v>
      </c>
      <c r="M272" s="17"/>
      <c r="P272" s="17"/>
    </row>
    <row r="273">
      <c r="B273" s="11">
        <f>IFERROR(__xludf.DUMMYFUNCTION("""COMPUTED_VALUE"""),45630.66666666667)</f>
        <v>45630.66667</v>
      </c>
      <c r="C273" s="9">
        <f>IFERROR(__xludf.DUMMYFUNCTION("""COMPUTED_VALUE"""),115.05)</f>
        <v>115.05</v>
      </c>
      <c r="E273" s="17">
        <f>IFERROR(__xludf.DUMMYFUNCTION("""COMPUTED_VALUE"""),45630.66666666667)</f>
        <v>45630.66667</v>
      </c>
      <c r="F273" s="9">
        <f>IFERROR(__xludf.DUMMYFUNCTION("""COMPUTED_VALUE"""),115.05)</f>
        <v>115.05</v>
      </c>
      <c r="M273" s="17"/>
      <c r="P273" s="17"/>
    </row>
    <row r="274">
      <c r="B274" s="11">
        <f>IFERROR(__xludf.DUMMYFUNCTION("""COMPUTED_VALUE"""),45629.66666666667)</f>
        <v>45629.66667</v>
      </c>
      <c r="C274" s="9">
        <f>IFERROR(__xludf.DUMMYFUNCTION("""COMPUTED_VALUE"""),116.4)</f>
        <v>116.4</v>
      </c>
      <c r="E274" s="17">
        <f>IFERROR(__xludf.DUMMYFUNCTION("""COMPUTED_VALUE"""),45629.66666666667)</f>
        <v>45629.66667</v>
      </c>
      <c r="F274" s="9">
        <f>IFERROR(__xludf.DUMMYFUNCTION("""COMPUTED_VALUE"""),116.4)</f>
        <v>116.4</v>
      </c>
      <c r="M274" s="17"/>
      <c r="P274" s="17"/>
    </row>
    <row r="275">
      <c r="B275" s="11">
        <f>IFERROR(__xludf.DUMMYFUNCTION("""COMPUTED_VALUE"""),45628.66666666667)</f>
        <v>45628.66667</v>
      </c>
      <c r="C275" s="9">
        <f>IFERROR(__xludf.DUMMYFUNCTION("""COMPUTED_VALUE"""),115.84)</f>
        <v>115.84</v>
      </c>
      <c r="E275" s="17">
        <f>IFERROR(__xludf.DUMMYFUNCTION("""COMPUTED_VALUE"""),45628.66666666667)</f>
        <v>45628.66667</v>
      </c>
      <c r="F275" s="9">
        <f>IFERROR(__xludf.DUMMYFUNCTION("""COMPUTED_VALUE"""),115.84)</f>
        <v>115.84</v>
      </c>
      <c r="M275" s="17"/>
      <c r="P275" s="17"/>
    </row>
    <row r="276">
      <c r="B276" s="11">
        <f>IFERROR(__xludf.DUMMYFUNCTION("""COMPUTED_VALUE"""),45625.54166666667)</f>
        <v>45625.54167</v>
      </c>
      <c r="C276" s="9">
        <f>IFERROR(__xludf.DUMMYFUNCTION("""COMPUTED_VALUE"""),116.78)</f>
        <v>116.78</v>
      </c>
      <c r="E276" s="17">
        <f>IFERROR(__xludf.DUMMYFUNCTION("""COMPUTED_VALUE"""),45625.54166666667)</f>
        <v>45625.54167</v>
      </c>
      <c r="F276" s="9">
        <f>IFERROR(__xludf.DUMMYFUNCTION("""COMPUTED_VALUE"""),116.78)</f>
        <v>116.78</v>
      </c>
      <c r="M276" s="17"/>
      <c r="P276" s="17"/>
    </row>
    <row r="277">
      <c r="B277" s="11">
        <f>IFERROR(__xludf.DUMMYFUNCTION("""COMPUTED_VALUE"""),45623.66666666667)</f>
        <v>45623.66667</v>
      </c>
      <c r="C277" s="9">
        <f>IFERROR(__xludf.DUMMYFUNCTION("""COMPUTED_VALUE"""),117.8)</f>
        <v>117.8</v>
      </c>
      <c r="E277" s="17">
        <f>IFERROR(__xludf.DUMMYFUNCTION("""COMPUTED_VALUE"""),45623.66666666667)</f>
        <v>45623.66667</v>
      </c>
      <c r="F277" s="9">
        <f>IFERROR(__xludf.DUMMYFUNCTION("""COMPUTED_VALUE"""),117.8)</f>
        <v>117.8</v>
      </c>
      <c r="M277" s="17"/>
      <c r="P277" s="17"/>
    </row>
    <row r="278">
      <c r="B278" s="11">
        <f>IFERROR(__xludf.DUMMYFUNCTION("""COMPUTED_VALUE"""),45622.66666666667)</f>
        <v>45622.66667</v>
      </c>
      <c r="C278" s="9">
        <f>IFERROR(__xludf.DUMMYFUNCTION("""COMPUTED_VALUE"""),116.17)</f>
        <v>116.17</v>
      </c>
      <c r="E278" s="17">
        <f>IFERROR(__xludf.DUMMYFUNCTION("""COMPUTED_VALUE"""),45622.66666666667)</f>
        <v>45622.66667</v>
      </c>
      <c r="F278" s="9">
        <f>IFERROR(__xludf.DUMMYFUNCTION("""COMPUTED_VALUE"""),116.17)</f>
        <v>116.17</v>
      </c>
      <c r="M278" s="17"/>
      <c r="P278" s="17"/>
    </row>
    <row r="279">
      <c r="B279" s="11">
        <f>IFERROR(__xludf.DUMMYFUNCTION("""COMPUTED_VALUE"""),45621.66666666667)</f>
        <v>45621.66667</v>
      </c>
      <c r="C279" s="9">
        <f>IFERROR(__xludf.DUMMYFUNCTION("""COMPUTED_VALUE"""),118.07)</f>
        <v>118.07</v>
      </c>
      <c r="E279" s="17">
        <f>IFERROR(__xludf.DUMMYFUNCTION("""COMPUTED_VALUE"""),45621.66666666667)</f>
        <v>45621.66667</v>
      </c>
      <c r="F279" s="9">
        <f>IFERROR(__xludf.DUMMYFUNCTION("""COMPUTED_VALUE"""),118.07)</f>
        <v>118.07</v>
      </c>
      <c r="M279" s="17"/>
      <c r="P279" s="17"/>
    </row>
    <row r="280">
      <c r="B280" s="11">
        <f>IFERROR(__xludf.DUMMYFUNCTION("""COMPUTED_VALUE"""),45618.66666666667)</f>
        <v>45618.66667</v>
      </c>
      <c r="C280" s="9">
        <f>IFERROR(__xludf.DUMMYFUNCTION("""COMPUTED_VALUE"""),115.8)</f>
        <v>115.8</v>
      </c>
      <c r="E280" s="17">
        <f>IFERROR(__xludf.DUMMYFUNCTION("""COMPUTED_VALUE"""),45618.66666666667)</f>
        <v>45618.66667</v>
      </c>
      <c r="F280" s="9">
        <f>IFERROR(__xludf.DUMMYFUNCTION("""COMPUTED_VALUE"""),115.8)</f>
        <v>115.8</v>
      </c>
      <c r="M280" s="17"/>
      <c r="P280" s="17"/>
    </row>
    <row r="281">
      <c r="B281" s="11">
        <f>IFERROR(__xludf.DUMMYFUNCTION("""COMPUTED_VALUE"""),45617.66666666667)</f>
        <v>45617.66667</v>
      </c>
      <c r="C281" s="9">
        <f>IFERROR(__xludf.DUMMYFUNCTION("""COMPUTED_VALUE"""),113.97)</f>
        <v>113.97</v>
      </c>
      <c r="E281" s="17">
        <f>IFERROR(__xludf.DUMMYFUNCTION("""COMPUTED_VALUE"""),45617.66666666667)</f>
        <v>45617.66667</v>
      </c>
      <c r="F281" s="9">
        <f>IFERROR(__xludf.DUMMYFUNCTION("""COMPUTED_VALUE"""),113.97)</f>
        <v>113.97</v>
      </c>
      <c r="M281" s="17"/>
      <c r="P281" s="17"/>
    </row>
    <row r="282">
      <c r="B282" s="11">
        <f>IFERROR(__xludf.DUMMYFUNCTION("""COMPUTED_VALUE"""),45616.66666666667)</f>
        <v>45616.66667</v>
      </c>
      <c r="C282" s="9">
        <f>IFERROR(__xludf.DUMMYFUNCTION("""COMPUTED_VALUE"""),114.54)</f>
        <v>114.54</v>
      </c>
      <c r="E282" s="17">
        <f>IFERROR(__xludf.DUMMYFUNCTION("""COMPUTED_VALUE"""),45616.66666666667)</f>
        <v>45616.66667</v>
      </c>
      <c r="F282" s="9">
        <f>IFERROR(__xludf.DUMMYFUNCTION("""COMPUTED_VALUE"""),114.54)</f>
        <v>114.54</v>
      </c>
      <c r="M282" s="17"/>
      <c r="P282" s="17"/>
    </row>
    <row r="283">
      <c r="B283" s="11">
        <f>IFERROR(__xludf.DUMMYFUNCTION("""COMPUTED_VALUE"""),45615.66666666667)</f>
        <v>45615.66667</v>
      </c>
      <c r="C283" s="9">
        <f>IFERROR(__xludf.DUMMYFUNCTION("""COMPUTED_VALUE"""),115.13)</f>
        <v>115.13</v>
      </c>
      <c r="E283" s="17">
        <f>IFERROR(__xludf.DUMMYFUNCTION("""COMPUTED_VALUE"""),45615.66666666667)</f>
        <v>45615.66667</v>
      </c>
      <c r="F283" s="9">
        <f>IFERROR(__xludf.DUMMYFUNCTION("""COMPUTED_VALUE"""),115.13)</f>
        <v>115.13</v>
      </c>
      <c r="M283" s="17"/>
      <c r="P283" s="17"/>
    </row>
    <row r="284">
      <c r="B284" s="11">
        <f>IFERROR(__xludf.DUMMYFUNCTION("""COMPUTED_VALUE"""),45614.66666666667)</f>
        <v>45614.66667</v>
      </c>
      <c r="C284" s="9">
        <f>IFERROR(__xludf.DUMMYFUNCTION("""COMPUTED_VALUE"""),114.65)</f>
        <v>114.65</v>
      </c>
      <c r="E284" s="17">
        <f>IFERROR(__xludf.DUMMYFUNCTION("""COMPUTED_VALUE"""),45614.66666666667)</f>
        <v>45614.66667</v>
      </c>
      <c r="F284" s="9">
        <f>IFERROR(__xludf.DUMMYFUNCTION("""COMPUTED_VALUE"""),114.65)</f>
        <v>114.65</v>
      </c>
      <c r="M284" s="17"/>
      <c r="P284" s="17"/>
    </row>
    <row r="285">
      <c r="B285" s="11">
        <f>IFERROR(__xludf.DUMMYFUNCTION("""COMPUTED_VALUE"""),45611.66666666667)</f>
        <v>45611.66667</v>
      </c>
      <c r="C285" s="9">
        <f>IFERROR(__xludf.DUMMYFUNCTION("""COMPUTED_VALUE"""),113.42)</f>
        <v>113.42</v>
      </c>
      <c r="E285" s="17">
        <f>IFERROR(__xludf.DUMMYFUNCTION("""COMPUTED_VALUE"""),45611.66666666667)</f>
        <v>45611.66667</v>
      </c>
      <c r="F285" s="9">
        <f>IFERROR(__xludf.DUMMYFUNCTION("""COMPUTED_VALUE"""),113.42)</f>
        <v>113.42</v>
      </c>
      <c r="M285" s="17"/>
      <c r="P285" s="17"/>
    </row>
    <row r="286">
      <c r="B286" s="11">
        <f>IFERROR(__xludf.DUMMYFUNCTION("""COMPUTED_VALUE"""),45610.66666666667)</f>
        <v>45610.66667</v>
      </c>
      <c r="C286" s="9">
        <f>IFERROR(__xludf.DUMMYFUNCTION("""COMPUTED_VALUE"""),114.75)</f>
        <v>114.75</v>
      </c>
      <c r="E286" s="17">
        <f>IFERROR(__xludf.DUMMYFUNCTION("""COMPUTED_VALUE"""),45610.66666666667)</f>
        <v>45610.66667</v>
      </c>
      <c r="F286" s="9">
        <f>IFERROR(__xludf.DUMMYFUNCTION("""COMPUTED_VALUE"""),114.75)</f>
        <v>114.75</v>
      </c>
      <c r="M286" s="17"/>
      <c r="P286" s="17"/>
    </row>
    <row r="287">
      <c r="B287" s="11">
        <f>IFERROR(__xludf.DUMMYFUNCTION("""COMPUTED_VALUE"""),45609.66666666667)</f>
        <v>45609.66667</v>
      </c>
      <c r="C287" s="9">
        <f>IFERROR(__xludf.DUMMYFUNCTION("""COMPUTED_VALUE"""),116.57)</f>
        <v>116.57</v>
      </c>
      <c r="E287" s="17">
        <f>IFERROR(__xludf.DUMMYFUNCTION("""COMPUTED_VALUE"""),45609.66666666667)</f>
        <v>45609.66667</v>
      </c>
      <c r="F287" s="9">
        <f>IFERROR(__xludf.DUMMYFUNCTION("""COMPUTED_VALUE"""),116.57)</f>
        <v>116.57</v>
      </c>
      <c r="M287" s="17"/>
      <c r="P287" s="17"/>
    </row>
    <row r="288">
      <c r="B288" s="11">
        <f>IFERROR(__xludf.DUMMYFUNCTION("""COMPUTED_VALUE"""),45608.66666666667)</f>
        <v>45608.66667</v>
      </c>
      <c r="C288" s="9">
        <f>IFERROR(__xludf.DUMMYFUNCTION("""COMPUTED_VALUE"""),112.75)</f>
        <v>112.75</v>
      </c>
      <c r="E288" s="17">
        <f>IFERROR(__xludf.DUMMYFUNCTION("""COMPUTED_VALUE"""),45608.66666666667)</f>
        <v>45608.66667</v>
      </c>
      <c r="F288" s="9">
        <f>IFERROR(__xludf.DUMMYFUNCTION("""COMPUTED_VALUE"""),112.75)</f>
        <v>112.75</v>
      </c>
      <c r="M288" s="17"/>
      <c r="P288" s="17"/>
    </row>
    <row r="289">
      <c r="B289" s="11">
        <f>IFERROR(__xludf.DUMMYFUNCTION("""COMPUTED_VALUE"""),45607.66666666667)</f>
        <v>45607.66667</v>
      </c>
      <c r="C289" s="9">
        <f>IFERROR(__xludf.DUMMYFUNCTION("""COMPUTED_VALUE"""),114.1)</f>
        <v>114.1</v>
      </c>
      <c r="E289" s="17">
        <f>IFERROR(__xludf.DUMMYFUNCTION("""COMPUTED_VALUE"""),45607.66666666667)</f>
        <v>45607.66667</v>
      </c>
      <c r="F289" s="9">
        <f>IFERROR(__xludf.DUMMYFUNCTION("""COMPUTED_VALUE"""),114.1)</f>
        <v>114.1</v>
      </c>
      <c r="M289" s="17"/>
      <c r="P289" s="17"/>
    </row>
    <row r="290">
      <c r="B290" s="11">
        <f>IFERROR(__xludf.DUMMYFUNCTION("""COMPUTED_VALUE"""),45604.66666666667)</f>
        <v>45604.66667</v>
      </c>
      <c r="C290" s="9">
        <f>IFERROR(__xludf.DUMMYFUNCTION("""COMPUTED_VALUE"""),115.83)</f>
        <v>115.83</v>
      </c>
      <c r="E290" s="17">
        <f>IFERROR(__xludf.DUMMYFUNCTION("""COMPUTED_VALUE"""),45604.66666666667)</f>
        <v>45604.66667</v>
      </c>
      <c r="F290" s="9">
        <f>IFERROR(__xludf.DUMMYFUNCTION("""COMPUTED_VALUE"""),115.83)</f>
        <v>115.83</v>
      </c>
      <c r="M290" s="17"/>
      <c r="P290" s="17"/>
    </row>
    <row r="291">
      <c r="B291" s="11">
        <f>IFERROR(__xludf.DUMMYFUNCTION("""COMPUTED_VALUE"""),45603.66666666667)</f>
        <v>45603.66667</v>
      </c>
      <c r="C291" s="9">
        <f>IFERROR(__xludf.DUMMYFUNCTION("""COMPUTED_VALUE"""),114.21)</f>
        <v>114.21</v>
      </c>
      <c r="E291" s="17">
        <f>IFERROR(__xludf.DUMMYFUNCTION("""COMPUTED_VALUE"""),45603.66666666667)</f>
        <v>45603.66667</v>
      </c>
      <c r="F291" s="9">
        <f>IFERROR(__xludf.DUMMYFUNCTION("""COMPUTED_VALUE"""),114.21)</f>
        <v>114.21</v>
      </c>
      <c r="M291" s="17"/>
      <c r="P291" s="17"/>
    </row>
    <row r="292">
      <c r="B292" s="11">
        <f>IFERROR(__xludf.DUMMYFUNCTION("""COMPUTED_VALUE"""),45602.66666666667)</f>
        <v>45602.66667</v>
      </c>
      <c r="C292" s="9">
        <f>IFERROR(__xludf.DUMMYFUNCTION("""COMPUTED_VALUE"""),113.74)</f>
        <v>113.74</v>
      </c>
      <c r="E292" s="17">
        <f>IFERROR(__xludf.DUMMYFUNCTION("""COMPUTED_VALUE"""),45602.66666666667)</f>
        <v>45602.66667</v>
      </c>
      <c r="F292" s="9">
        <f>IFERROR(__xludf.DUMMYFUNCTION("""COMPUTED_VALUE"""),113.74)</f>
        <v>113.74</v>
      </c>
      <c r="M292" s="17"/>
      <c r="P292" s="17"/>
    </row>
    <row r="293">
      <c r="B293" s="11">
        <f>IFERROR(__xludf.DUMMYFUNCTION("""COMPUTED_VALUE"""),45601.66666666667)</f>
        <v>45601.66667</v>
      </c>
      <c r="C293" s="9">
        <f>IFERROR(__xludf.DUMMYFUNCTION("""COMPUTED_VALUE"""),114.43)</f>
        <v>114.43</v>
      </c>
      <c r="E293" s="17">
        <f>IFERROR(__xludf.DUMMYFUNCTION("""COMPUTED_VALUE"""),45601.66666666667)</f>
        <v>45601.66667</v>
      </c>
      <c r="F293" s="9">
        <f>IFERROR(__xludf.DUMMYFUNCTION("""COMPUTED_VALUE"""),114.43)</f>
        <v>114.43</v>
      </c>
      <c r="M293" s="17"/>
      <c r="P293" s="17"/>
    </row>
    <row r="294">
      <c r="B294" s="11">
        <f>IFERROR(__xludf.DUMMYFUNCTION("""COMPUTED_VALUE"""),45600.66666666667)</f>
        <v>45600.66667</v>
      </c>
      <c r="C294" s="9">
        <f>IFERROR(__xludf.DUMMYFUNCTION("""COMPUTED_VALUE"""),113.86)</f>
        <v>113.86</v>
      </c>
      <c r="E294" s="17">
        <f>IFERROR(__xludf.DUMMYFUNCTION("""COMPUTED_VALUE"""),45600.66666666667)</f>
        <v>45600.66667</v>
      </c>
      <c r="F294" s="9">
        <f>IFERROR(__xludf.DUMMYFUNCTION("""COMPUTED_VALUE"""),113.86)</f>
        <v>113.86</v>
      </c>
      <c r="M294" s="17"/>
      <c r="P294" s="17"/>
    </row>
    <row r="295">
      <c r="B295" s="11">
        <f>IFERROR(__xludf.DUMMYFUNCTION("""COMPUTED_VALUE"""),45597.66666666667)</f>
        <v>45597.66667</v>
      </c>
      <c r="C295" s="9">
        <f>IFERROR(__xludf.DUMMYFUNCTION("""COMPUTED_VALUE"""),113.4)</f>
        <v>113.4</v>
      </c>
      <c r="E295" s="17">
        <f>IFERROR(__xludf.DUMMYFUNCTION("""COMPUTED_VALUE"""),45597.66666666667)</f>
        <v>45597.66667</v>
      </c>
      <c r="F295" s="9">
        <f>IFERROR(__xludf.DUMMYFUNCTION("""COMPUTED_VALUE"""),113.4)</f>
        <v>113.4</v>
      </c>
      <c r="M295" s="17"/>
      <c r="P295" s="17"/>
    </row>
    <row r="296">
      <c r="B296" s="11">
        <f>IFERROR(__xludf.DUMMYFUNCTION("""COMPUTED_VALUE"""),45596.66666666667)</f>
        <v>45596.66667</v>
      </c>
      <c r="C296" s="9">
        <f>IFERROR(__xludf.DUMMYFUNCTION("""COMPUTED_VALUE"""),112.94)</f>
        <v>112.94</v>
      </c>
      <c r="E296" s="17">
        <f>IFERROR(__xludf.DUMMYFUNCTION("""COMPUTED_VALUE"""),45596.66666666667)</f>
        <v>45596.66667</v>
      </c>
      <c r="F296" s="9">
        <f>IFERROR(__xludf.DUMMYFUNCTION("""COMPUTED_VALUE"""),112.94)</f>
        <v>112.94</v>
      </c>
      <c r="M296" s="17"/>
      <c r="P296" s="17"/>
    </row>
    <row r="297">
      <c r="B297" s="11">
        <f>IFERROR(__xludf.DUMMYFUNCTION("""COMPUTED_VALUE"""),45595.66666666667)</f>
        <v>45595.66667</v>
      </c>
      <c r="C297" s="9">
        <f>IFERROR(__xludf.DUMMYFUNCTION("""COMPUTED_VALUE"""),115.87)</f>
        <v>115.87</v>
      </c>
      <c r="E297" s="17">
        <f>IFERROR(__xludf.DUMMYFUNCTION("""COMPUTED_VALUE"""),45595.66666666667)</f>
        <v>45595.66667</v>
      </c>
      <c r="F297" s="9">
        <f>IFERROR(__xludf.DUMMYFUNCTION("""COMPUTED_VALUE"""),115.87)</f>
        <v>115.87</v>
      </c>
      <c r="M297" s="17"/>
      <c r="P297" s="17"/>
    </row>
    <row r="298">
      <c r="B298" s="11">
        <f>IFERROR(__xludf.DUMMYFUNCTION("""COMPUTED_VALUE"""),45594.66666666667)</f>
        <v>45594.66667</v>
      </c>
      <c r="C298" s="9">
        <f>IFERROR(__xludf.DUMMYFUNCTION("""COMPUTED_VALUE"""),115.31)</f>
        <v>115.31</v>
      </c>
      <c r="E298" s="17">
        <f>IFERROR(__xludf.DUMMYFUNCTION("""COMPUTED_VALUE"""),45594.66666666667)</f>
        <v>45594.66667</v>
      </c>
      <c r="F298" s="9">
        <f>IFERROR(__xludf.DUMMYFUNCTION("""COMPUTED_VALUE"""),115.31)</f>
        <v>115.31</v>
      </c>
      <c r="M298" s="17"/>
      <c r="P298" s="17"/>
    </row>
    <row r="299">
      <c r="B299" s="11">
        <f>IFERROR(__xludf.DUMMYFUNCTION("""COMPUTED_VALUE"""),45593.66666666667)</f>
        <v>45593.66667</v>
      </c>
      <c r="C299" s="9">
        <f>IFERROR(__xludf.DUMMYFUNCTION("""COMPUTED_VALUE"""),117.81)</f>
        <v>117.81</v>
      </c>
      <c r="E299" s="17">
        <f>IFERROR(__xludf.DUMMYFUNCTION("""COMPUTED_VALUE"""),45593.66666666667)</f>
        <v>45593.66667</v>
      </c>
      <c r="F299" s="9">
        <f>IFERROR(__xludf.DUMMYFUNCTION("""COMPUTED_VALUE"""),117.81)</f>
        <v>117.81</v>
      </c>
      <c r="M299" s="17"/>
      <c r="P299" s="17"/>
    </row>
    <row r="300">
      <c r="B300" s="11">
        <f>IFERROR(__xludf.DUMMYFUNCTION("""COMPUTED_VALUE"""),45590.66666666667)</f>
        <v>45590.66667</v>
      </c>
      <c r="C300" s="9">
        <f>IFERROR(__xludf.DUMMYFUNCTION("""COMPUTED_VALUE"""),117.54)</f>
        <v>117.54</v>
      </c>
      <c r="E300" s="17">
        <f>IFERROR(__xludf.DUMMYFUNCTION("""COMPUTED_VALUE"""),45590.66666666667)</f>
        <v>45590.66667</v>
      </c>
      <c r="F300" s="9">
        <f>IFERROR(__xludf.DUMMYFUNCTION("""COMPUTED_VALUE"""),117.54)</f>
        <v>117.54</v>
      </c>
      <c r="M300" s="17"/>
      <c r="P300" s="17"/>
    </row>
    <row r="301">
      <c r="B301" s="11">
        <f>IFERROR(__xludf.DUMMYFUNCTION("""COMPUTED_VALUE"""),45589.66666666667)</f>
        <v>45589.66667</v>
      </c>
      <c r="C301" s="9">
        <f>IFERROR(__xludf.DUMMYFUNCTION("""COMPUTED_VALUE"""),120.39)</f>
        <v>120.39</v>
      </c>
      <c r="E301" s="17">
        <f>IFERROR(__xludf.DUMMYFUNCTION("""COMPUTED_VALUE"""),45589.66666666667)</f>
        <v>45589.66667</v>
      </c>
      <c r="F301" s="9">
        <f>IFERROR(__xludf.DUMMYFUNCTION("""COMPUTED_VALUE"""),120.39)</f>
        <v>120.39</v>
      </c>
      <c r="M301" s="17"/>
      <c r="P301" s="17"/>
    </row>
    <row r="302">
      <c r="B302" s="11">
        <f>IFERROR(__xludf.DUMMYFUNCTION("""COMPUTED_VALUE"""),45588.66666666667)</f>
        <v>45588.66667</v>
      </c>
      <c r="C302" s="9">
        <f>IFERROR(__xludf.DUMMYFUNCTION("""COMPUTED_VALUE"""),120.83)</f>
        <v>120.83</v>
      </c>
      <c r="E302" s="17">
        <f>IFERROR(__xludf.DUMMYFUNCTION("""COMPUTED_VALUE"""),45588.66666666667)</f>
        <v>45588.66667</v>
      </c>
      <c r="F302" s="9">
        <f>IFERROR(__xludf.DUMMYFUNCTION("""COMPUTED_VALUE"""),120.83)</f>
        <v>120.83</v>
      </c>
      <c r="M302" s="17"/>
      <c r="P302" s="17"/>
    </row>
    <row r="303">
      <c r="B303" s="11">
        <f>IFERROR(__xludf.DUMMYFUNCTION("""COMPUTED_VALUE"""),45587.66666666667)</f>
        <v>45587.66667</v>
      </c>
      <c r="C303" s="9">
        <f>IFERROR(__xludf.DUMMYFUNCTION("""COMPUTED_VALUE"""),118.94)</f>
        <v>118.94</v>
      </c>
      <c r="E303" s="17">
        <f>IFERROR(__xludf.DUMMYFUNCTION("""COMPUTED_VALUE"""),45587.66666666667)</f>
        <v>45587.66667</v>
      </c>
      <c r="F303" s="9">
        <f>IFERROR(__xludf.DUMMYFUNCTION("""COMPUTED_VALUE"""),118.94)</f>
        <v>118.94</v>
      </c>
      <c r="M303" s="17"/>
      <c r="P303" s="17"/>
    </row>
    <row r="304">
      <c r="B304" s="11">
        <f>IFERROR(__xludf.DUMMYFUNCTION("""COMPUTED_VALUE"""),45586.66666666667)</f>
        <v>45586.66667</v>
      </c>
      <c r="C304" s="9">
        <f>IFERROR(__xludf.DUMMYFUNCTION("""COMPUTED_VALUE"""),117.77)</f>
        <v>117.77</v>
      </c>
      <c r="E304" s="17">
        <f>IFERROR(__xludf.DUMMYFUNCTION("""COMPUTED_VALUE"""),45586.66666666667)</f>
        <v>45586.66667</v>
      </c>
      <c r="F304" s="9">
        <f>IFERROR(__xludf.DUMMYFUNCTION("""COMPUTED_VALUE"""),117.77)</f>
        <v>117.77</v>
      </c>
      <c r="M304" s="17"/>
      <c r="P304" s="17"/>
    </row>
    <row r="305">
      <c r="B305" s="11">
        <f>IFERROR(__xludf.DUMMYFUNCTION("""COMPUTED_VALUE"""),45583.66666666667)</f>
        <v>45583.66667</v>
      </c>
      <c r="C305" s="9">
        <f>IFERROR(__xludf.DUMMYFUNCTION("""COMPUTED_VALUE"""),122.5)</f>
        <v>122.5</v>
      </c>
      <c r="E305" s="17">
        <f>IFERROR(__xludf.DUMMYFUNCTION("""COMPUTED_VALUE"""),45583.66666666667)</f>
        <v>45583.66667</v>
      </c>
      <c r="F305" s="9">
        <f>IFERROR(__xludf.DUMMYFUNCTION("""COMPUTED_VALUE"""),122.5)</f>
        <v>122.5</v>
      </c>
      <c r="M305" s="17"/>
      <c r="P305" s="17"/>
    </row>
    <row r="306">
      <c r="B306" s="11">
        <f>IFERROR(__xludf.DUMMYFUNCTION("""COMPUTED_VALUE"""),45582.66666666667)</f>
        <v>45582.66667</v>
      </c>
      <c r="C306" s="9">
        <f>IFERROR(__xludf.DUMMYFUNCTION("""COMPUTED_VALUE"""),122.7)</f>
        <v>122.7</v>
      </c>
      <c r="E306" s="17">
        <f>IFERROR(__xludf.DUMMYFUNCTION("""COMPUTED_VALUE"""),45582.66666666667)</f>
        <v>45582.66667</v>
      </c>
      <c r="F306" s="9">
        <f>IFERROR(__xludf.DUMMYFUNCTION("""COMPUTED_VALUE"""),122.7)</f>
        <v>122.7</v>
      </c>
      <c r="M306" s="17"/>
      <c r="P306" s="17"/>
    </row>
    <row r="307">
      <c r="B307" s="11">
        <f>IFERROR(__xludf.DUMMYFUNCTION("""COMPUTED_VALUE"""),45581.66666666667)</f>
        <v>45581.66667</v>
      </c>
      <c r="C307" s="9">
        <f>IFERROR(__xludf.DUMMYFUNCTION("""COMPUTED_VALUE"""),126.97)</f>
        <v>126.97</v>
      </c>
      <c r="E307" s="17">
        <f>IFERROR(__xludf.DUMMYFUNCTION("""COMPUTED_VALUE"""),45581.66666666667)</f>
        <v>45581.66667</v>
      </c>
      <c r="F307" s="9">
        <f>IFERROR(__xludf.DUMMYFUNCTION("""COMPUTED_VALUE"""),126.97)</f>
        <v>126.97</v>
      </c>
      <c r="M307" s="17"/>
      <c r="P307" s="17"/>
    </row>
    <row r="308">
      <c r="B308" s="11">
        <f>IFERROR(__xludf.DUMMYFUNCTION("""COMPUTED_VALUE"""),45580.66666666667)</f>
        <v>45580.66667</v>
      </c>
      <c r="C308" s="9">
        <f>IFERROR(__xludf.DUMMYFUNCTION("""COMPUTED_VALUE"""),121.39)</f>
        <v>121.39</v>
      </c>
      <c r="E308" s="17">
        <f>IFERROR(__xludf.DUMMYFUNCTION("""COMPUTED_VALUE"""),45580.66666666667)</f>
        <v>45580.66667</v>
      </c>
      <c r="F308" s="9">
        <f>IFERROR(__xludf.DUMMYFUNCTION("""COMPUTED_VALUE"""),121.39)</f>
        <v>121.39</v>
      </c>
      <c r="M308" s="17"/>
      <c r="P308" s="17"/>
    </row>
    <row r="309">
      <c r="B309" s="11">
        <f>IFERROR(__xludf.DUMMYFUNCTION("""COMPUTED_VALUE"""),45579.66666666667)</f>
        <v>45579.66667</v>
      </c>
      <c r="C309" s="9">
        <f>IFERROR(__xludf.DUMMYFUNCTION("""COMPUTED_VALUE"""),120.46)</f>
        <v>120.46</v>
      </c>
      <c r="E309" s="17">
        <f>IFERROR(__xludf.DUMMYFUNCTION("""COMPUTED_VALUE"""),45579.66666666667)</f>
        <v>45579.66667</v>
      </c>
      <c r="F309" s="9">
        <f>IFERROR(__xludf.DUMMYFUNCTION("""COMPUTED_VALUE"""),120.46)</f>
        <v>120.46</v>
      </c>
      <c r="M309" s="17"/>
      <c r="P309" s="17"/>
    </row>
    <row r="310">
      <c r="B310" s="11">
        <f>IFERROR(__xludf.DUMMYFUNCTION("""COMPUTED_VALUE"""),45576.66666666667)</f>
        <v>45576.66667</v>
      </c>
      <c r="C310" s="9">
        <f>IFERROR(__xludf.DUMMYFUNCTION("""COMPUTED_VALUE"""),120.24)</f>
        <v>120.24</v>
      </c>
      <c r="E310" s="17">
        <f>IFERROR(__xludf.DUMMYFUNCTION("""COMPUTED_VALUE"""),45576.66666666667)</f>
        <v>45576.66667</v>
      </c>
      <c r="F310" s="9">
        <f>IFERROR(__xludf.DUMMYFUNCTION("""COMPUTED_VALUE"""),120.24)</f>
        <v>120.24</v>
      </c>
      <c r="M310" s="17"/>
      <c r="P310" s="17"/>
    </row>
    <row r="311">
      <c r="B311" s="11">
        <f>IFERROR(__xludf.DUMMYFUNCTION("""COMPUTED_VALUE"""),45575.66666666667)</f>
        <v>45575.66667</v>
      </c>
      <c r="C311" s="9">
        <f>IFERROR(__xludf.DUMMYFUNCTION("""COMPUTED_VALUE"""),118.28)</f>
        <v>118.28</v>
      </c>
      <c r="E311" s="17">
        <f>IFERROR(__xludf.DUMMYFUNCTION("""COMPUTED_VALUE"""),45575.66666666667)</f>
        <v>45575.66667</v>
      </c>
      <c r="F311" s="9">
        <f>IFERROR(__xludf.DUMMYFUNCTION("""COMPUTED_VALUE"""),118.28)</f>
        <v>118.28</v>
      </c>
      <c r="M311" s="17"/>
      <c r="P311" s="17"/>
    </row>
    <row r="312">
      <c r="B312" s="11">
        <f>IFERROR(__xludf.DUMMYFUNCTION("""COMPUTED_VALUE"""),45574.66666666667)</f>
        <v>45574.66667</v>
      </c>
      <c r="C312" s="9">
        <f>IFERROR(__xludf.DUMMYFUNCTION("""COMPUTED_VALUE"""),118.84)</f>
        <v>118.84</v>
      </c>
      <c r="E312" s="17">
        <f>IFERROR(__xludf.DUMMYFUNCTION("""COMPUTED_VALUE"""),45574.66666666667)</f>
        <v>45574.66667</v>
      </c>
      <c r="F312" s="9">
        <f>IFERROR(__xludf.DUMMYFUNCTION("""COMPUTED_VALUE"""),118.84)</f>
        <v>118.84</v>
      </c>
      <c r="M312" s="17"/>
      <c r="P312" s="17"/>
    </row>
    <row r="313">
      <c r="B313" s="11">
        <f>IFERROR(__xludf.DUMMYFUNCTION("""COMPUTED_VALUE"""),45573.66666666667)</f>
        <v>45573.66667</v>
      </c>
      <c r="C313" s="9">
        <f>IFERROR(__xludf.DUMMYFUNCTION("""COMPUTED_VALUE"""),119.34)</f>
        <v>119.34</v>
      </c>
      <c r="E313" s="17">
        <f>IFERROR(__xludf.DUMMYFUNCTION("""COMPUTED_VALUE"""),45573.66666666667)</f>
        <v>45573.66667</v>
      </c>
      <c r="F313" s="9">
        <f>IFERROR(__xludf.DUMMYFUNCTION("""COMPUTED_VALUE"""),119.34)</f>
        <v>119.34</v>
      </c>
      <c r="M313" s="17"/>
      <c r="P313" s="17"/>
    </row>
    <row r="314">
      <c r="B314" s="11">
        <f>IFERROR(__xludf.DUMMYFUNCTION("""COMPUTED_VALUE"""),45572.66666666667)</f>
        <v>45572.66667</v>
      </c>
      <c r="C314" s="9">
        <f>IFERROR(__xludf.DUMMYFUNCTION("""COMPUTED_VALUE"""),120.0)</f>
        <v>120</v>
      </c>
      <c r="E314" s="17">
        <f>IFERROR(__xludf.DUMMYFUNCTION("""COMPUTED_VALUE"""),45572.66666666667)</f>
        <v>45572.66667</v>
      </c>
      <c r="F314" s="9">
        <f>IFERROR(__xludf.DUMMYFUNCTION("""COMPUTED_VALUE"""),120.0)</f>
        <v>120</v>
      </c>
      <c r="M314" s="17"/>
      <c r="P314" s="17"/>
    </row>
    <row r="315">
      <c r="B315" s="11">
        <f>IFERROR(__xludf.DUMMYFUNCTION("""COMPUTED_VALUE"""),45569.66666666667)</f>
        <v>45569.66667</v>
      </c>
      <c r="C315" s="9">
        <f>IFERROR(__xludf.DUMMYFUNCTION("""COMPUTED_VALUE"""),122.42)</f>
        <v>122.42</v>
      </c>
      <c r="E315" s="17">
        <f>IFERROR(__xludf.DUMMYFUNCTION("""COMPUTED_VALUE"""),45569.66666666667)</f>
        <v>45569.66667</v>
      </c>
      <c r="F315" s="9">
        <f>IFERROR(__xludf.DUMMYFUNCTION("""COMPUTED_VALUE"""),122.42)</f>
        <v>122.42</v>
      </c>
      <c r="M315" s="17"/>
      <c r="P315" s="17"/>
    </row>
    <row r="316">
      <c r="B316" s="11">
        <f>IFERROR(__xludf.DUMMYFUNCTION("""COMPUTED_VALUE"""),45568.66666666667)</f>
        <v>45568.66667</v>
      </c>
      <c r="C316" s="9">
        <f>IFERROR(__xludf.DUMMYFUNCTION("""COMPUTED_VALUE"""),122.04)</f>
        <v>122.04</v>
      </c>
      <c r="E316" s="17">
        <f>IFERROR(__xludf.DUMMYFUNCTION("""COMPUTED_VALUE"""),45568.66666666667)</f>
        <v>45568.66667</v>
      </c>
      <c r="F316" s="9">
        <f>IFERROR(__xludf.DUMMYFUNCTION("""COMPUTED_VALUE"""),122.04)</f>
        <v>122.04</v>
      </c>
      <c r="M316" s="17"/>
      <c r="P316" s="17"/>
    </row>
    <row r="317">
      <c r="B317" s="11">
        <f>IFERROR(__xludf.DUMMYFUNCTION("""COMPUTED_VALUE"""),45567.66666666667)</f>
        <v>45567.66667</v>
      </c>
      <c r="C317" s="9">
        <f>IFERROR(__xludf.DUMMYFUNCTION("""COMPUTED_VALUE"""),124.18)</f>
        <v>124.18</v>
      </c>
      <c r="E317" s="17">
        <f>IFERROR(__xludf.DUMMYFUNCTION("""COMPUTED_VALUE"""),45567.66666666667)</f>
        <v>45567.66667</v>
      </c>
      <c r="F317" s="9">
        <f>IFERROR(__xludf.DUMMYFUNCTION("""COMPUTED_VALUE"""),124.18)</f>
        <v>124.18</v>
      </c>
      <c r="M317" s="17"/>
      <c r="P317" s="17"/>
    </row>
    <row r="318">
      <c r="B318" s="11">
        <f>IFERROR(__xludf.DUMMYFUNCTION("""COMPUTED_VALUE"""),45566.66666666667)</f>
        <v>45566.66667</v>
      </c>
      <c r="C318" s="9">
        <f>IFERROR(__xludf.DUMMYFUNCTION("""COMPUTED_VALUE"""),124.61)</f>
        <v>124.61</v>
      </c>
      <c r="E318" s="17">
        <f>IFERROR(__xludf.DUMMYFUNCTION("""COMPUTED_VALUE"""),45566.66666666667)</f>
        <v>45566.66667</v>
      </c>
      <c r="F318" s="9">
        <f>IFERROR(__xludf.DUMMYFUNCTION("""COMPUTED_VALUE"""),124.61)</f>
        <v>124.61</v>
      </c>
      <c r="M318" s="17"/>
      <c r="P318" s="17"/>
    </row>
    <row r="319">
      <c r="B319" s="11">
        <f>IFERROR(__xludf.DUMMYFUNCTION("""COMPUTED_VALUE"""),45565.66666666667)</f>
        <v>45565.66667</v>
      </c>
      <c r="C319" s="9">
        <f>IFERROR(__xludf.DUMMYFUNCTION("""COMPUTED_VALUE"""),126.28)</f>
        <v>126.28</v>
      </c>
      <c r="E319" s="17">
        <f>IFERROR(__xludf.DUMMYFUNCTION("""COMPUTED_VALUE"""),45565.66666666667)</f>
        <v>45565.66667</v>
      </c>
      <c r="F319" s="9">
        <f>IFERROR(__xludf.DUMMYFUNCTION("""COMPUTED_VALUE"""),126.28)</f>
        <v>126.28</v>
      </c>
      <c r="M319" s="17"/>
      <c r="P319" s="17"/>
    </row>
    <row r="320">
      <c r="B320" s="11">
        <f>IFERROR(__xludf.DUMMYFUNCTION("""COMPUTED_VALUE"""),45562.66666666667)</f>
        <v>45562.66667</v>
      </c>
      <c r="C320" s="9">
        <f>IFERROR(__xludf.DUMMYFUNCTION("""COMPUTED_VALUE"""),125.59)</f>
        <v>125.59</v>
      </c>
      <c r="E320" s="17">
        <f>IFERROR(__xludf.DUMMYFUNCTION("""COMPUTED_VALUE"""),45562.66666666667)</f>
        <v>45562.66667</v>
      </c>
      <c r="F320" s="9">
        <f>IFERROR(__xludf.DUMMYFUNCTION("""COMPUTED_VALUE"""),125.59)</f>
        <v>125.59</v>
      </c>
      <c r="M320" s="17"/>
      <c r="P320" s="17"/>
    </row>
    <row r="321">
      <c r="B321" s="11">
        <f>IFERROR(__xludf.DUMMYFUNCTION("""COMPUTED_VALUE"""),45561.66666666667)</f>
        <v>45561.66667</v>
      </c>
      <c r="C321" s="9">
        <f>IFERROR(__xludf.DUMMYFUNCTION("""COMPUTED_VALUE"""),125.23)</f>
        <v>125.23</v>
      </c>
      <c r="E321" s="17">
        <f>IFERROR(__xludf.DUMMYFUNCTION("""COMPUTED_VALUE"""),45561.66666666667)</f>
        <v>45561.66667</v>
      </c>
      <c r="F321" s="9">
        <f>IFERROR(__xludf.DUMMYFUNCTION("""COMPUTED_VALUE"""),125.23)</f>
        <v>125.23</v>
      </c>
      <c r="M321" s="17"/>
      <c r="P321" s="17"/>
    </row>
    <row r="322">
      <c r="B322" s="11">
        <f>IFERROR(__xludf.DUMMYFUNCTION("""COMPUTED_VALUE"""),45560.66666666667)</f>
        <v>45560.66667</v>
      </c>
      <c r="C322" s="9">
        <f>IFERROR(__xludf.DUMMYFUNCTION("""COMPUTED_VALUE"""),125.39)</f>
        <v>125.39</v>
      </c>
      <c r="E322" s="17">
        <f>IFERROR(__xludf.DUMMYFUNCTION("""COMPUTED_VALUE"""),45560.66666666667)</f>
        <v>45560.66667</v>
      </c>
      <c r="F322" s="9">
        <f>IFERROR(__xludf.DUMMYFUNCTION("""COMPUTED_VALUE"""),125.39)</f>
        <v>125.39</v>
      </c>
      <c r="M322" s="17"/>
      <c r="P322" s="17"/>
    </row>
    <row r="323">
      <c r="B323" s="11">
        <f>IFERROR(__xludf.DUMMYFUNCTION("""COMPUTED_VALUE"""),45559.66666666667)</f>
        <v>45559.66667</v>
      </c>
      <c r="C323" s="9">
        <f>IFERROR(__xludf.DUMMYFUNCTION("""COMPUTED_VALUE"""),126.68)</f>
        <v>126.68</v>
      </c>
      <c r="E323" s="17">
        <f>IFERROR(__xludf.DUMMYFUNCTION("""COMPUTED_VALUE"""),45559.66666666667)</f>
        <v>45559.66667</v>
      </c>
      <c r="F323" s="9">
        <f>IFERROR(__xludf.DUMMYFUNCTION("""COMPUTED_VALUE"""),126.68)</f>
        <v>126.68</v>
      </c>
      <c r="M323" s="17"/>
      <c r="P323" s="17"/>
    </row>
    <row r="324">
      <c r="B324" s="11">
        <f>IFERROR(__xludf.DUMMYFUNCTION("""COMPUTED_VALUE"""),45558.66666666667)</f>
        <v>45558.66667</v>
      </c>
      <c r="C324" s="9">
        <f>IFERROR(__xludf.DUMMYFUNCTION("""COMPUTED_VALUE"""),126.63)</f>
        <v>126.63</v>
      </c>
      <c r="E324" s="17">
        <f>IFERROR(__xludf.DUMMYFUNCTION("""COMPUTED_VALUE"""),45558.66666666667)</f>
        <v>45558.66667</v>
      </c>
      <c r="F324" s="9">
        <f>IFERROR(__xludf.DUMMYFUNCTION("""COMPUTED_VALUE"""),126.63)</f>
        <v>126.63</v>
      </c>
      <c r="M324" s="17"/>
      <c r="P324" s="17"/>
    </row>
    <row r="325">
      <c r="B325" s="11">
        <f>IFERROR(__xludf.DUMMYFUNCTION("""COMPUTED_VALUE"""),45555.66666666667)</f>
        <v>45555.66667</v>
      </c>
      <c r="C325" s="9">
        <f>IFERROR(__xludf.DUMMYFUNCTION("""COMPUTED_VALUE"""),125.47)</f>
        <v>125.47</v>
      </c>
      <c r="E325" s="17">
        <f>IFERROR(__xludf.DUMMYFUNCTION("""COMPUTED_VALUE"""),45555.66666666667)</f>
        <v>45555.66667</v>
      </c>
      <c r="F325" s="9">
        <f>IFERROR(__xludf.DUMMYFUNCTION("""COMPUTED_VALUE"""),125.47)</f>
        <v>125.47</v>
      </c>
      <c r="M325" s="17"/>
      <c r="P325" s="17"/>
    </row>
    <row r="326">
      <c r="B326" s="11">
        <f>IFERROR(__xludf.DUMMYFUNCTION("""COMPUTED_VALUE"""),45554.66666666667)</f>
        <v>45554.66667</v>
      </c>
      <c r="C326" s="9">
        <f>IFERROR(__xludf.DUMMYFUNCTION("""COMPUTED_VALUE"""),128.5)</f>
        <v>128.5</v>
      </c>
      <c r="E326" s="17">
        <f>IFERROR(__xludf.DUMMYFUNCTION("""COMPUTED_VALUE"""),45554.66666666667)</f>
        <v>45554.66667</v>
      </c>
      <c r="F326" s="9">
        <f>IFERROR(__xludf.DUMMYFUNCTION("""COMPUTED_VALUE"""),128.5)</f>
        <v>128.5</v>
      </c>
      <c r="M326" s="17"/>
      <c r="P326" s="17"/>
    </row>
    <row r="327">
      <c r="B327" s="11">
        <f>IFERROR(__xludf.DUMMYFUNCTION("""COMPUTED_VALUE"""),45553.66666666667)</f>
        <v>45553.66667</v>
      </c>
      <c r="C327" s="9">
        <f>IFERROR(__xludf.DUMMYFUNCTION("""COMPUTED_VALUE"""),127.02)</f>
        <v>127.02</v>
      </c>
      <c r="E327" s="17">
        <f>IFERROR(__xludf.DUMMYFUNCTION("""COMPUTED_VALUE"""),45553.66666666667)</f>
        <v>45553.66667</v>
      </c>
      <c r="F327" s="9">
        <f>IFERROR(__xludf.DUMMYFUNCTION("""COMPUTED_VALUE"""),127.02)</f>
        <v>127.02</v>
      </c>
      <c r="M327" s="17"/>
      <c r="P327" s="17"/>
    </row>
    <row r="328">
      <c r="B328" s="11">
        <f>IFERROR(__xludf.DUMMYFUNCTION("""COMPUTED_VALUE"""),45552.66666666667)</f>
        <v>45552.66667</v>
      </c>
      <c r="C328" s="9">
        <f>IFERROR(__xludf.DUMMYFUNCTION("""COMPUTED_VALUE"""),128.87)</f>
        <v>128.87</v>
      </c>
      <c r="E328" s="17">
        <f>IFERROR(__xludf.DUMMYFUNCTION("""COMPUTED_VALUE"""),45552.66666666667)</f>
        <v>45552.66667</v>
      </c>
      <c r="F328" s="9">
        <f>IFERROR(__xludf.DUMMYFUNCTION("""COMPUTED_VALUE"""),128.87)</f>
        <v>128.87</v>
      </c>
      <c r="M328" s="17"/>
      <c r="P328" s="17"/>
    </row>
    <row r="329">
      <c r="B329" s="11">
        <f>IFERROR(__xludf.DUMMYFUNCTION("""COMPUTED_VALUE"""),45551.66666666667)</f>
        <v>45551.66667</v>
      </c>
      <c r="C329" s="9">
        <f>IFERROR(__xludf.DUMMYFUNCTION("""COMPUTED_VALUE"""),129.28)</f>
        <v>129.28</v>
      </c>
      <c r="E329" s="17">
        <f>IFERROR(__xludf.DUMMYFUNCTION("""COMPUTED_VALUE"""),45551.66666666667)</f>
        <v>45551.66667</v>
      </c>
      <c r="F329" s="9">
        <f>IFERROR(__xludf.DUMMYFUNCTION("""COMPUTED_VALUE"""),129.28)</f>
        <v>129.28</v>
      </c>
      <c r="M329" s="17"/>
      <c r="P329" s="17"/>
    </row>
    <row r="330">
      <c r="B330" s="11">
        <f>IFERROR(__xludf.DUMMYFUNCTION("""COMPUTED_VALUE"""),45548.66666666667)</f>
        <v>45548.66667</v>
      </c>
      <c r="C330" s="9">
        <f>IFERROR(__xludf.DUMMYFUNCTION("""COMPUTED_VALUE"""),129.98)</f>
        <v>129.98</v>
      </c>
      <c r="E330" s="17">
        <f>IFERROR(__xludf.DUMMYFUNCTION("""COMPUTED_VALUE"""),45548.66666666667)</f>
        <v>45548.66667</v>
      </c>
      <c r="F330" s="9">
        <f>IFERROR(__xludf.DUMMYFUNCTION("""COMPUTED_VALUE"""),129.98)</f>
        <v>129.98</v>
      </c>
      <c r="M330" s="17"/>
      <c r="P330" s="17"/>
    </row>
    <row r="331">
      <c r="B331" s="11">
        <f>IFERROR(__xludf.DUMMYFUNCTION("""COMPUTED_VALUE"""),45547.66666666667)</f>
        <v>45547.66667</v>
      </c>
      <c r="C331" s="9">
        <f>IFERROR(__xludf.DUMMYFUNCTION("""COMPUTED_VALUE"""),130.29)</f>
        <v>130.29</v>
      </c>
      <c r="E331" s="17">
        <f>IFERROR(__xludf.DUMMYFUNCTION("""COMPUTED_VALUE"""),45547.66666666667)</f>
        <v>45547.66667</v>
      </c>
      <c r="F331" s="9">
        <f>IFERROR(__xludf.DUMMYFUNCTION("""COMPUTED_VALUE"""),130.29)</f>
        <v>130.29</v>
      </c>
      <c r="M331" s="17"/>
      <c r="P331" s="17"/>
    </row>
    <row r="332">
      <c r="B332" s="11">
        <f>IFERROR(__xludf.DUMMYFUNCTION("""COMPUTED_VALUE"""),45546.66666666667)</f>
        <v>45546.66667</v>
      </c>
      <c r="C332" s="9">
        <f>IFERROR(__xludf.DUMMYFUNCTION("""COMPUTED_VALUE"""),130.69)</f>
        <v>130.69</v>
      </c>
      <c r="E332" s="17">
        <f>IFERROR(__xludf.DUMMYFUNCTION("""COMPUTED_VALUE"""),45546.66666666667)</f>
        <v>45546.66667</v>
      </c>
      <c r="F332" s="9">
        <f>IFERROR(__xludf.DUMMYFUNCTION("""COMPUTED_VALUE"""),130.69)</f>
        <v>130.69</v>
      </c>
      <c r="M332" s="17"/>
      <c r="P332" s="17"/>
    </row>
    <row r="333">
      <c r="B333" s="11">
        <f>IFERROR(__xludf.DUMMYFUNCTION("""COMPUTED_VALUE"""),45545.66666666667)</f>
        <v>45545.66667</v>
      </c>
      <c r="C333" s="9">
        <f>IFERROR(__xludf.DUMMYFUNCTION("""COMPUTED_VALUE"""),132.4)</f>
        <v>132.4</v>
      </c>
      <c r="E333" s="17">
        <f>IFERROR(__xludf.DUMMYFUNCTION("""COMPUTED_VALUE"""),45545.66666666667)</f>
        <v>45545.66667</v>
      </c>
      <c r="F333" s="9">
        <f>IFERROR(__xludf.DUMMYFUNCTION("""COMPUTED_VALUE"""),132.4)</f>
        <v>132.4</v>
      </c>
      <c r="M333" s="17"/>
      <c r="P333" s="17"/>
    </row>
    <row r="334">
      <c r="B334" s="11">
        <f>IFERROR(__xludf.DUMMYFUNCTION("""COMPUTED_VALUE"""),45544.66666666667)</f>
        <v>45544.66667</v>
      </c>
      <c r="C334" s="9">
        <f>IFERROR(__xludf.DUMMYFUNCTION("""COMPUTED_VALUE"""),130.25)</f>
        <v>130.25</v>
      </c>
      <c r="E334" s="17">
        <f>IFERROR(__xludf.DUMMYFUNCTION("""COMPUTED_VALUE"""),45544.66666666667)</f>
        <v>45544.66667</v>
      </c>
      <c r="F334" s="9">
        <f>IFERROR(__xludf.DUMMYFUNCTION("""COMPUTED_VALUE"""),130.25)</f>
        <v>130.25</v>
      </c>
      <c r="M334" s="17"/>
      <c r="P334" s="17"/>
    </row>
    <row r="335">
      <c r="B335" s="11">
        <f>IFERROR(__xludf.DUMMYFUNCTION("""COMPUTED_VALUE"""),45541.66666666667)</f>
        <v>45541.66667</v>
      </c>
      <c r="C335" s="9">
        <f>IFERROR(__xludf.DUMMYFUNCTION("""COMPUTED_VALUE"""),127.23)</f>
        <v>127.23</v>
      </c>
      <c r="E335" s="17">
        <f>IFERROR(__xludf.DUMMYFUNCTION("""COMPUTED_VALUE"""),45541.66666666667)</f>
        <v>45541.66667</v>
      </c>
      <c r="F335" s="9">
        <f>IFERROR(__xludf.DUMMYFUNCTION("""COMPUTED_VALUE"""),127.23)</f>
        <v>127.23</v>
      </c>
      <c r="M335" s="17"/>
      <c r="P335" s="17"/>
    </row>
    <row r="336">
      <c r="B336" s="11">
        <f>IFERROR(__xludf.DUMMYFUNCTION("""COMPUTED_VALUE"""),45540.66666666667)</f>
        <v>45540.66667</v>
      </c>
      <c r="C336" s="9">
        <f>IFERROR(__xludf.DUMMYFUNCTION("""COMPUTED_VALUE"""),127.41)</f>
        <v>127.41</v>
      </c>
      <c r="E336" s="17">
        <f>IFERROR(__xludf.DUMMYFUNCTION("""COMPUTED_VALUE"""),45540.66666666667)</f>
        <v>45540.66667</v>
      </c>
      <c r="F336" s="9">
        <f>IFERROR(__xludf.DUMMYFUNCTION("""COMPUTED_VALUE"""),127.41)</f>
        <v>127.41</v>
      </c>
      <c r="M336" s="17"/>
      <c r="P336" s="17"/>
    </row>
    <row r="337">
      <c r="B337" s="11">
        <f>IFERROR(__xludf.DUMMYFUNCTION("""COMPUTED_VALUE"""),45539.66666666667)</f>
        <v>45539.66667</v>
      </c>
      <c r="C337" s="9">
        <f>IFERROR(__xludf.DUMMYFUNCTION("""COMPUTED_VALUE"""),128.27)</f>
        <v>128.27</v>
      </c>
      <c r="E337" s="17">
        <f>IFERROR(__xludf.DUMMYFUNCTION("""COMPUTED_VALUE"""),45539.66666666667)</f>
        <v>45539.66667</v>
      </c>
      <c r="F337" s="9">
        <f>IFERROR(__xludf.DUMMYFUNCTION("""COMPUTED_VALUE"""),128.27)</f>
        <v>128.27</v>
      </c>
      <c r="M337" s="17"/>
      <c r="P337" s="17"/>
    </row>
    <row r="338">
      <c r="B338" s="11">
        <f>IFERROR(__xludf.DUMMYFUNCTION("""COMPUTED_VALUE"""),45538.66666666667)</f>
        <v>45538.66667</v>
      </c>
      <c r="C338" s="9">
        <f>IFERROR(__xludf.DUMMYFUNCTION("""COMPUTED_VALUE"""),128.37)</f>
        <v>128.37</v>
      </c>
      <c r="E338" s="17">
        <f>IFERROR(__xludf.DUMMYFUNCTION("""COMPUTED_VALUE"""),45538.66666666667)</f>
        <v>45538.66667</v>
      </c>
      <c r="F338" s="9">
        <f>IFERROR(__xludf.DUMMYFUNCTION("""COMPUTED_VALUE"""),128.37)</f>
        <v>128.37</v>
      </c>
      <c r="M338" s="17"/>
      <c r="P338" s="17"/>
    </row>
    <row r="339">
      <c r="B339" s="11">
        <f>IFERROR(__xludf.DUMMYFUNCTION("""COMPUTED_VALUE"""),45534.66666666667)</f>
        <v>45534.66667</v>
      </c>
      <c r="C339" s="9">
        <f>IFERROR(__xludf.DUMMYFUNCTION("""COMPUTED_VALUE"""),127.82)</f>
        <v>127.82</v>
      </c>
      <c r="E339" s="17">
        <f>IFERROR(__xludf.DUMMYFUNCTION("""COMPUTED_VALUE"""),45534.66666666667)</f>
        <v>45534.66667</v>
      </c>
      <c r="F339" s="9">
        <f>IFERROR(__xludf.DUMMYFUNCTION("""COMPUTED_VALUE"""),127.82)</f>
        <v>127.82</v>
      </c>
      <c r="M339" s="17"/>
      <c r="P339" s="17"/>
    </row>
    <row r="340">
      <c r="B340" s="11">
        <f>IFERROR(__xludf.DUMMYFUNCTION("""COMPUTED_VALUE"""),45533.66666666667)</f>
        <v>45533.66667</v>
      </c>
      <c r="C340" s="9">
        <f>IFERROR(__xludf.DUMMYFUNCTION("""COMPUTED_VALUE"""),125.33)</f>
        <v>125.33</v>
      </c>
      <c r="E340" s="17">
        <f>IFERROR(__xludf.DUMMYFUNCTION("""COMPUTED_VALUE"""),45533.66666666667)</f>
        <v>45533.66667</v>
      </c>
      <c r="F340" s="9">
        <f>IFERROR(__xludf.DUMMYFUNCTION("""COMPUTED_VALUE"""),125.33)</f>
        <v>125.33</v>
      </c>
      <c r="M340" s="17"/>
      <c r="P340" s="17"/>
    </row>
    <row r="341">
      <c r="B341" s="11">
        <f>IFERROR(__xludf.DUMMYFUNCTION("""COMPUTED_VALUE"""),45532.66666666667)</f>
        <v>45532.66667</v>
      </c>
      <c r="C341" s="9">
        <f>IFERROR(__xludf.DUMMYFUNCTION("""COMPUTED_VALUE"""),126.9)</f>
        <v>126.9</v>
      </c>
      <c r="E341" s="17">
        <f>IFERROR(__xludf.DUMMYFUNCTION("""COMPUTED_VALUE"""),45532.66666666667)</f>
        <v>45532.66667</v>
      </c>
      <c r="F341" s="9">
        <f>IFERROR(__xludf.DUMMYFUNCTION("""COMPUTED_VALUE"""),126.9)</f>
        <v>126.9</v>
      </c>
      <c r="M341" s="17"/>
      <c r="P341" s="17"/>
    </row>
    <row r="342">
      <c r="B342" s="11">
        <f>IFERROR(__xludf.DUMMYFUNCTION("""COMPUTED_VALUE"""),45531.66666666667)</f>
        <v>45531.66667</v>
      </c>
      <c r="C342" s="9">
        <f>IFERROR(__xludf.DUMMYFUNCTION("""COMPUTED_VALUE"""),128.94)</f>
        <v>128.94</v>
      </c>
      <c r="E342" s="17">
        <f>IFERROR(__xludf.DUMMYFUNCTION("""COMPUTED_VALUE"""),45531.66666666667)</f>
        <v>45531.66667</v>
      </c>
      <c r="F342" s="9">
        <f>IFERROR(__xludf.DUMMYFUNCTION("""COMPUTED_VALUE"""),128.94)</f>
        <v>128.94</v>
      </c>
      <c r="M342" s="17"/>
      <c r="P342" s="17"/>
    </row>
    <row r="343">
      <c r="B343" s="11">
        <f>IFERROR(__xludf.DUMMYFUNCTION("""COMPUTED_VALUE"""),45530.66666666667)</f>
        <v>45530.66667</v>
      </c>
      <c r="C343" s="9">
        <f>IFERROR(__xludf.DUMMYFUNCTION("""COMPUTED_VALUE"""),128.9)</f>
        <v>128.9</v>
      </c>
      <c r="E343" s="17">
        <f>IFERROR(__xludf.DUMMYFUNCTION("""COMPUTED_VALUE"""),45530.66666666667)</f>
        <v>45530.66667</v>
      </c>
      <c r="F343" s="9">
        <f>IFERROR(__xludf.DUMMYFUNCTION("""COMPUTED_VALUE"""),128.9)</f>
        <v>128.9</v>
      </c>
      <c r="M343" s="17"/>
      <c r="P343" s="17"/>
    </row>
    <row r="344">
      <c r="B344" s="11">
        <f>IFERROR(__xludf.DUMMYFUNCTION("""COMPUTED_VALUE"""),45527.66666666667)</f>
        <v>45527.66667</v>
      </c>
      <c r="C344" s="9">
        <f>IFERROR(__xludf.DUMMYFUNCTION("""COMPUTED_VALUE"""),128.86)</f>
        <v>128.86</v>
      </c>
      <c r="E344" s="17">
        <f>IFERROR(__xludf.DUMMYFUNCTION("""COMPUTED_VALUE"""),45527.66666666667)</f>
        <v>45527.66667</v>
      </c>
      <c r="F344" s="9">
        <f>IFERROR(__xludf.DUMMYFUNCTION("""COMPUTED_VALUE"""),128.86)</f>
        <v>128.86</v>
      </c>
      <c r="M344" s="17"/>
      <c r="P344" s="17"/>
    </row>
    <row r="345">
      <c r="B345" s="11">
        <f>IFERROR(__xludf.DUMMYFUNCTION("""COMPUTED_VALUE"""),45526.66666666667)</f>
        <v>45526.66667</v>
      </c>
      <c r="C345" s="9">
        <f>IFERROR(__xludf.DUMMYFUNCTION("""COMPUTED_VALUE"""),125.98)</f>
        <v>125.98</v>
      </c>
      <c r="E345" s="17">
        <f>IFERROR(__xludf.DUMMYFUNCTION("""COMPUTED_VALUE"""),45526.66666666667)</f>
        <v>45526.66667</v>
      </c>
      <c r="F345" s="9">
        <f>IFERROR(__xludf.DUMMYFUNCTION("""COMPUTED_VALUE"""),125.98)</f>
        <v>125.98</v>
      </c>
      <c r="M345" s="17"/>
      <c r="P345" s="17"/>
    </row>
    <row r="346">
      <c r="B346" s="11">
        <f>IFERROR(__xludf.DUMMYFUNCTION("""COMPUTED_VALUE"""),45525.66666666667)</f>
        <v>45525.66667</v>
      </c>
      <c r="C346" s="9">
        <f>IFERROR(__xludf.DUMMYFUNCTION("""COMPUTED_VALUE"""),124.47)</f>
        <v>124.47</v>
      </c>
      <c r="E346" s="17">
        <f>IFERROR(__xludf.DUMMYFUNCTION("""COMPUTED_VALUE"""),45525.66666666667)</f>
        <v>45525.66667</v>
      </c>
      <c r="F346" s="9">
        <f>IFERROR(__xludf.DUMMYFUNCTION("""COMPUTED_VALUE"""),124.47)</f>
        <v>124.47</v>
      </c>
      <c r="M346" s="17"/>
      <c r="P346" s="17"/>
    </row>
    <row r="347">
      <c r="B347" s="11">
        <f>IFERROR(__xludf.DUMMYFUNCTION("""COMPUTED_VALUE"""),45524.66666666667)</f>
        <v>45524.66667</v>
      </c>
      <c r="C347" s="9">
        <f>IFERROR(__xludf.DUMMYFUNCTION("""COMPUTED_VALUE"""),124.15)</f>
        <v>124.15</v>
      </c>
      <c r="E347" s="17">
        <f>IFERROR(__xludf.DUMMYFUNCTION("""COMPUTED_VALUE"""),45524.66666666667)</f>
        <v>45524.66667</v>
      </c>
      <c r="F347" s="9">
        <f>IFERROR(__xludf.DUMMYFUNCTION("""COMPUTED_VALUE"""),124.15)</f>
        <v>124.15</v>
      </c>
      <c r="M347" s="17"/>
      <c r="P347" s="17"/>
    </row>
    <row r="348">
      <c r="B348" s="11">
        <f>IFERROR(__xludf.DUMMYFUNCTION("""COMPUTED_VALUE"""),45523.66666666667)</f>
        <v>45523.66667</v>
      </c>
      <c r="C348" s="9">
        <f>IFERROR(__xludf.DUMMYFUNCTION("""COMPUTED_VALUE"""),124.7)</f>
        <v>124.7</v>
      </c>
      <c r="E348" s="17">
        <f>IFERROR(__xludf.DUMMYFUNCTION("""COMPUTED_VALUE"""),45523.66666666667)</f>
        <v>45523.66667</v>
      </c>
      <c r="F348" s="9">
        <f>IFERROR(__xludf.DUMMYFUNCTION("""COMPUTED_VALUE"""),124.7)</f>
        <v>124.7</v>
      </c>
      <c r="M348" s="17"/>
      <c r="P348" s="17"/>
    </row>
    <row r="349">
      <c r="B349" s="11">
        <f>IFERROR(__xludf.DUMMYFUNCTION("""COMPUTED_VALUE"""),45520.66666666667)</f>
        <v>45520.66667</v>
      </c>
      <c r="C349" s="9">
        <f>IFERROR(__xludf.DUMMYFUNCTION("""COMPUTED_VALUE"""),122.85)</f>
        <v>122.85</v>
      </c>
      <c r="E349" s="17">
        <f>IFERROR(__xludf.DUMMYFUNCTION("""COMPUTED_VALUE"""),45520.66666666667)</f>
        <v>45520.66667</v>
      </c>
      <c r="F349" s="9">
        <f>IFERROR(__xludf.DUMMYFUNCTION("""COMPUTED_VALUE"""),122.85)</f>
        <v>122.85</v>
      </c>
      <c r="M349" s="17"/>
      <c r="P349" s="17"/>
    </row>
    <row r="350">
      <c r="B350" s="11">
        <f>IFERROR(__xludf.DUMMYFUNCTION("""COMPUTED_VALUE"""),45519.66666666667)</f>
        <v>45519.66667</v>
      </c>
      <c r="C350" s="9">
        <f>IFERROR(__xludf.DUMMYFUNCTION("""COMPUTED_VALUE"""),124.77)</f>
        <v>124.77</v>
      </c>
      <c r="E350" s="17">
        <f>IFERROR(__xludf.DUMMYFUNCTION("""COMPUTED_VALUE"""),45519.66666666667)</f>
        <v>45519.66667</v>
      </c>
      <c r="F350" s="9">
        <f>IFERROR(__xludf.DUMMYFUNCTION("""COMPUTED_VALUE"""),124.77)</f>
        <v>124.77</v>
      </c>
      <c r="M350" s="17"/>
      <c r="P350" s="17"/>
    </row>
    <row r="351">
      <c r="B351" s="11">
        <f>IFERROR(__xludf.DUMMYFUNCTION("""COMPUTED_VALUE"""),45518.66666666667)</f>
        <v>45518.66667</v>
      </c>
      <c r="C351" s="9">
        <f>IFERROR(__xludf.DUMMYFUNCTION("""COMPUTED_VALUE"""),123.42)</f>
        <v>123.42</v>
      </c>
      <c r="E351" s="17">
        <f>IFERROR(__xludf.DUMMYFUNCTION("""COMPUTED_VALUE"""),45518.66666666667)</f>
        <v>45518.66667</v>
      </c>
      <c r="F351" s="9">
        <f>IFERROR(__xludf.DUMMYFUNCTION("""COMPUTED_VALUE"""),123.42)</f>
        <v>123.42</v>
      </c>
      <c r="M351" s="17"/>
      <c r="P351" s="17"/>
    </row>
    <row r="352">
      <c r="B352" s="11">
        <f>IFERROR(__xludf.DUMMYFUNCTION("""COMPUTED_VALUE"""),45517.66666666667)</f>
        <v>45517.66667</v>
      </c>
      <c r="C352" s="9">
        <f>IFERROR(__xludf.DUMMYFUNCTION("""COMPUTED_VALUE"""),122.68)</f>
        <v>122.68</v>
      </c>
      <c r="E352" s="17">
        <f>IFERROR(__xludf.DUMMYFUNCTION("""COMPUTED_VALUE"""),45517.66666666667)</f>
        <v>45517.66667</v>
      </c>
      <c r="F352" s="9">
        <f>IFERROR(__xludf.DUMMYFUNCTION("""COMPUTED_VALUE"""),122.68)</f>
        <v>122.68</v>
      </c>
      <c r="M352" s="17"/>
      <c r="P352" s="17"/>
    </row>
    <row r="353">
      <c r="B353" s="11">
        <f>IFERROR(__xludf.DUMMYFUNCTION("""COMPUTED_VALUE"""),45516.66666666667)</f>
        <v>45516.66667</v>
      </c>
      <c r="C353" s="9">
        <f>IFERROR(__xludf.DUMMYFUNCTION("""COMPUTED_VALUE"""),119.99)</f>
        <v>119.99</v>
      </c>
      <c r="E353" s="17">
        <f>IFERROR(__xludf.DUMMYFUNCTION("""COMPUTED_VALUE"""),45516.66666666667)</f>
        <v>45516.66667</v>
      </c>
      <c r="F353" s="9">
        <f>IFERROR(__xludf.DUMMYFUNCTION("""COMPUTED_VALUE"""),119.99)</f>
        <v>119.99</v>
      </c>
      <c r="M353" s="17"/>
      <c r="P353" s="17"/>
    </row>
    <row r="354">
      <c r="B354" s="11">
        <f>IFERROR(__xludf.DUMMYFUNCTION("""COMPUTED_VALUE"""),45513.66666666667)</f>
        <v>45513.66667</v>
      </c>
      <c r="C354" s="9">
        <f>IFERROR(__xludf.DUMMYFUNCTION("""COMPUTED_VALUE"""),121.9)</f>
        <v>121.9</v>
      </c>
      <c r="E354" s="17">
        <f>IFERROR(__xludf.DUMMYFUNCTION("""COMPUTED_VALUE"""),45513.66666666667)</f>
        <v>45513.66667</v>
      </c>
      <c r="F354" s="9">
        <f>IFERROR(__xludf.DUMMYFUNCTION("""COMPUTED_VALUE"""),121.9)</f>
        <v>121.9</v>
      </c>
      <c r="M354" s="17"/>
      <c r="P354" s="17"/>
    </row>
    <row r="355">
      <c r="B355" s="11">
        <f>IFERROR(__xludf.DUMMYFUNCTION("""COMPUTED_VALUE"""),45512.66666666667)</f>
        <v>45512.66667</v>
      </c>
      <c r="C355" s="9">
        <f>IFERROR(__xludf.DUMMYFUNCTION("""COMPUTED_VALUE"""),121.99)</f>
        <v>121.99</v>
      </c>
      <c r="E355" s="17">
        <f>IFERROR(__xludf.DUMMYFUNCTION("""COMPUTED_VALUE"""),45512.66666666667)</f>
        <v>45512.66667</v>
      </c>
      <c r="F355" s="9">
        <f>IFERROR(__xludf.DUMMYFUNCTION("""COMPUTED_VALUE"""),121.99)</f>
        <v>121.99</v>
      </c>
      <c r="M355" s="17"/>
      <c r="P355" s="17"/>
    </row>
    <row r="356">
      <c r="B356" s="11">
        <f>IFERROR(__xludf.DUMMYFUNCTION("""COMPUTED_VALUE"""),45511.66666666667)</f>
        <v>45511.66667</v>
      </c>
      <c r="C356" s="9">
        <f>IFERROR(__xludf.DUMMYFUNCTION("""COMPUTED_VALUE"""),120.15)</f>
        <v>120.15</v>
      </c>
      <c r="E356" s="17">
        <f>IFERROR(__xludf.DUMMYFUNCTION("""COMPUTED_VALUE"""),45511.66666666667)</f>
        <v>45511.66667</v>
      </c>
      <c r="F356" s="9">
        <f>IFERROR(__xludf.DUMMYFUNCTION("""COMPUTED_VALUE"""),120.15)</f>
        <v>120.15</v>
      </c>
      <c r="M356" s="17"/>
      <c r="P356" s="17"/>
    </row>
    <row r="357">
      <c r="B357" s="11">
        <f>IFERROR(__xludf.DUMMYFUNCTION("""COMPUTED_VALUE"""),45510.66666666667)</f>
        <v>45510.66667</v>
      </c>
      <c r="C357" s="9">
        <f>IFERROR(__xludf.DUMMYFUNCTION("""COMPUTED_VALUE"""),121.05)</f>
        <v>121.05</v>
      </c>
      <c r="E357" s="17">
        <f>IFERROR(__xludf.DUMMYFUNCTION("""COMPUTED_VALUE"""),45510.66666666667)</f>
        <v>45510.66667</v>
      </c>
      <c r="F357" s="9">
        <f>IFERROR(__xludf.DUMMYFUNCTION("""COMPUTED_VALUE"""),121.05)</f>
        <v>121.05</v>
      </c>
      <c r="M357" s="17"/>
      <c r="P357" s="17"/>
    </row>
    <row r="358">
      <c r="B358" s="11">
        <f>IFERROR(__xludf.DUMMYFUNCTION("""COMPUTED_VALUE"""),45509.66666666667)</f>
        <v>45509.66667</v>
      </c>
      <c r="C358" s="9">
        <f>IFERROR(__xludf.DUMMYFUNCTION("""COMPUTED_VALUE"""),118.94)</f>
        <v>118.94</v>
      </c>
      <c r="E358" s="17">
        <f>IFERROR(__xludf.DUMMYFUNCTION("""COMPUTED_VALUE"""),45509.66666666667)</f>
        <v>45509.66667</v>
      </c>
      <c r="F358" s="9">
        <f>IFERROR(__xludf.DUMMYFUNCTION("""COMPUTED_VALUE"""),118.94)</f>
        <v>118.94</v>
      </c>
      <c r="M358" s="17"/>
      <c r="P358" s="17"/>
    </row>
    <row r="359">
      <c r="B359" s="11">
        <f>IFERROR(__xludf.DUMMYFUNCTION("""COMPUTED_VALUE"""),45506.66666666667)</f>
        <v>45506.66667</v>
      </c>
      <c r="C359" s="9">
        <f>IFERROR(__xludf.DUMMYFUNCTION("""COMPUTED_VALUE"""),123.98)</f>
        <v>123.98</v>
      </c>
      <c r="E359" s="17">
        <f>IFERROR(__xludf.DUMMYFUNCTION("""COMPUTED_VALUE"""),45506.66666666667)</f>
        <v>45506.66667</v>
      </c>
      <c r="F359" s="9">
        <f>IFERROR(__xludf.DUMMYFUNCTION("""COMPUTED_VALUE"""),123.98)</f>
        <v>123.98</v>
      </c>
      <c r="M359" s="17"/>
      <c r="P359" s="17"/>
    </row>
    <row r="360">
      <c r="B360" s="11">
        <f>IFERROR(__xludf.DUMMYFUNCTION("""COMPUTED_VALUE"""),45505.66666666667)</f>
        <v>45505.66667</v>
      </c>
      <c r="C360" s="9">
        <f>IFERROR(__xludf.DUMMYFUNCTION("""COMPUTED_VALUE"""),127.72)</f>
        <v>127.72</v>
      </c>
      <c r="E360" s="17">
        <f>IFERROR(__xludf.DUMMYFUNCTION("""COMPUTED_VALUE"""),45505.66666666667)</f>
        <v>45505.66667</v>
      </c>
      <c r="F360" s="9">
        <f>IFERROR(__xludf.DUMMYFUNCTION("""COMPUTED_VALUE"""),127.72)</f>
        <v>127.72</v>
      </c>
      <c r="M360" s="17"/>
      <c r="P360" s="17"/>
    </row>
    <row r="361">
      <c r="B361" s="11">
        <f>IFERROR(__xludf.DUMMYFUNCTION("""COMPUTED_VALUE"""),45504.66666666667)</f>
        <v>45504.66667</v>
      </c>
      <c r="C361" s="9">
        <f>IFERROR(__xludf.DUMMYFUNCTION("""COMPUTED_VALUE"""),126.05)</f>
        <v>126.05</v>
      </c>
      <c r="E361" s="17">
        <f>IFERROR(__xludf.DUMMYFUNCTION("""COMPUTED_VALUE"""),45504.66666666667)</f>
        <v>45504.66667</v>
      </c>
      <c r="F361" s="9">
        <f>IFERROR(__xludf.DUMMYFUNCTION("""COMPUTED_VALUE"""),126.05)</f>
        <v>126.05</v>
      </c>
      <c r="M361" s="17"/>
      <c r="P361" s="17"/>
    </row>
    <row r="362">
      <c r="B362" s="11">
        <f>IFERROR(__xludf.DUMMYFUNCTION("""COMPUTED_VALUE"""),45503.66666666667)</f>
        <v>45503.66667</v>
      </c>
      <c r="C362" s="9">
        <f>IFERROR(__xludf.DUMMYFUNCTION("""COMPUTED_VALUE"""),126.09)</f>
        <v>126.09</v>
      </c>
      <c r="E362" s="17">
        <f>IFERROR(__xludf.DUMMYFUNCTION("""COMPUTED_VALUE"""),45503.66666666667)</f>
        <v>45503.66667</v>
      </c>
      <c r="F362" s="9">
        <f>IFERROR(__xludf.DUMMYFUNCTION("""COMPUTED_VALUE"""),126.09)</f>
        <v>126.09</v>
      </c>
      <c r="M362" s="17"/>
      <c r="P362" s="17"/>
    </row>
    <row r="363">
      <c r="B363" s="11">
        <f>IFERROR(__xludf.DUMMYFUNCTION("""COMPUTED_VALUE"""),45502.66666666667)</f>
        <v>45502.66667</v>
      </c>
      <c r="C363" s="9">
        <f>IFERROR(__xludf.DUMMYFUNCTION("""COMPUTED_VALUE"""),123.95)</f>
        <v>123.95</v>
      </c>
      <c r="E363" s="17">
        <f>IFERROR(__xludf.DUMMYFUNCTION("""COMPUTED_VALUE"""),45502.66666666667)</f>
        <v>45502.66667</v>
      </c>
      <c r="F363" s="9">
        <f>IFERROR(__xludf.DUMMYFUNCTION("""COMPUTED_VALUE"""),123.95)</f>
        <v>123.95</v>
      </c>
      <c r="M363" s="17"/>
      <c r="P363" s="17"/>
    </row>
    <row r="364">
      <c r="B364" s="11">
        <f>IFERROR(__xludf.DUMMYFUNCTION("""COMPUTED_VALUE"""),45499.66666666667)</f>
        <v>45499.66667</v>
      </c>
      <c r="C364" s="9">
        <f>IFERROR(__xludf.DUMMYFUNCTION("""COMPUTED_VALUE"""),122.68)</f>
        <v>122.68</v>
      </c>
      <c r="E364" s="17">
        <f>IFERROR(__xludf.DUMMYFUNCTION("""COMPUTED_VALUE"""),45499.66666666667)</f>
        <v>45499.66667</v>
      </c>
      <c r="F364" s="9">
        <f>IFERROR(__xludf.DUMMYFUNCTION("""COMPUTED_VALUE"""),122.68)</f>
        <v>122.68</v>
      </c>
      <c r="M364" s="17"/>
      <c r="P364" s="17"/>
    </row>
    <row r="365">
      <c r="B365" s="11">
        <f>IFERROR(__xludf.DUMMYFUNCTION("""COMPUTED_VALUE"""),45498.66666666667)</f>
        <v>45498.66667</v>
      </c>
      <c r="C365" s="9">
        <f>IFERROR(__xludf.DUMMYFUNCTION("""COMPUTED_VALUE"""),120.43)</f>
        <v>120.43</v>
      </c>
      <c r="E365" s="17">
        <f>IFERROR(__xludf.DUMMYFUNCTION("""COMPUTED_VALUE"""),45498.66666666667)</f>
        <v>45498.66667</v>
      </c>
      <c r="F365" s="9">
        <f>IFERROR(__xludf.DUMMYFUNCTION("""COMPUTED_VALUE"""),120.43)</f>
        <v>120.43</v>
      </c>
      <c r="M365" s="17"/>
      <c r="P365" s="17"/>
    </row>
    <row r="366">
      <c r="B366" s="11">
        <f>IFERROR(__xludf.DUMMYFUNCTION("""COMPUTED_VALUE"""),45497.66666666667)</f>
        <v>45497.66667</v>
      </c>
      <c r="C366" s="9">
        <f>IFERROR(__xludf.DUMMYFUNCTION("""COMPUTED_VALUE"""),123.08)</f>
        <v>123.08</v>
      </c>
      <c r="E366" s="17">
        <f>IFERROR(__xludf.DUMMYFUNCTION("""COMPUTED_VALUE"""),45497.66666666667)</f>
        <v>45497.66667</v>
      </c>
      <c r="F366" s="9">
        <f>IFERROR(__xludf.DUMMYFUNCTION("""COMPUTED_VALUE"""),123.08)</f>
        <v>123.08</v>
      </c>
      <c r="M366" s="17"/>
      <c r="P366" s="17"/>
    </row>
    <row r="367">
      <c r="B367" s="11">
        <f>IFERROR(__xludf.DUMMYFUNCTION("""COMPUTED_VALUE"""),45496.66666666667)</f>
        <v>45496.66667</v>
      </c>
      <c r="C367" s="9">
        <f>IFERROR(__xludf.DUMMYFUNCTION("""COMPUTED_VALUE"""),125.68)</f>
        <v>125.68</v>
      </c>
      <c r="E367" s="17">
        <f>IFERROR(__xludf.DUMMYFUNCTION("""COMPUTED_VALUE"""),45496.66666666667)</f>
        <v>45496.66667</v>
      </c>
      <c r="F367" s="9">
        <f>IFERROR(__xludf.DUMMYFUNCTION("""COMPUTED_VALUE"""),125.68)</f>
        <v>125.68</v>
      </c>
      <c r="M367" s="17"/>
      <c r="P367" s="17"/>
    </row>
    <row r="368">
      <c r="B368" s="11">
        <f>IFERROR(__xludf.DUMMYFUNCTION("""COMPUTED_VALUE"""),45495.66666666667)</f>
        <v>45495.66667</v>
      </c>
      <c r="C368" s="9">
        <f>IFERROR(__xludf.DUMMYFUNCTION("""COMPUTED_VALUE"""),126.66)</f>
        <v>126.66</v>
      </c>
      <c r="E368" s="17">
        <f>IFERROR(__xludf.DUMMYFUNCTION("""COMPUTED_VALUE"""),45495.66666666667)</f>
        <v>45495.66667</v>
      </c>
      <c r="F368" s="9">
        <f>IFERROR(__xludf.DUMMYFUNCTION("""COMPUTED_VALUE"""),126.66)</f>
        <v>126.66</v>
      </c>
      <c r="M368" s="17"/>
      <c r="P368" s="17"/>
    </row>
    <row r="369">
      <c r="B369" s="11">
        <f>IFERROR(__xludf.DUMMYFUNCTION("""COMPUTED_VALUE"""),45492.66666666667)</f>
        <v>45492.66667</v>
      </c>
      <c r="C369" s="9">
        <f>IFERROR(__xludf.DUMMYFUNCTION("""COMPUTED_VALUE"""),123.75)</f>
        <v>123.75</v>
      </c>
      <c r="E369" s="17">
        <f>IFERROR(__xludf.DUMMYFUNCTION("""COMPUTED_VALUE"""),45492.66666666667)</f>
        <v>45492.66667</v>
      </c>
      <c r="F369" s="9">
        <f>IFERROR(__xludf.DUMMYFUNCTION("""COMPUTED_VALUE"""),123.75)</f>
        <v>123.75</v>
      </c>
      <c r="M369" s="17"/>
      <c r="P369" s="17"/>
    </row>
    <row r="370">
      <c r="B370" s="11">
        <f>IFERROR(__xludf.DUMMYFUNCTION("""COMPUTED_VALUE"""),45491.66666666667)</f>
        <v>45491.66667</v>
      </c>
      <c r="C370" s="9">
        <f>IFERROR(__xludf.DUMMYFUNCTION("""COMPUTED_VALUE"""),122.62)</f>
        <v>122.62</v>
      </c>
      <c r="E370" s="17">
        <f>IFERROR(__xludf.DUMMYFUNCTION("""COMPUTED_VALUE"""),45491.66666666667)</f>
        <v>45491.66667</v>
      </c>
      <c r="F370" s="9">
        <f>IFERROR(__xludf.DUMMYFUNCTION("""COMPUTED_VALUE"""),122.62)</f>
        <v>122.62</v>
      </c>
      <c r="M370" s="17"/>
      <c r="P370" s="17"/>
    </row>
    <row r="371">
      <c r="B371" s="11">
        <f>IFERROR(__xludf.DUMMYFUNCTION("""COMPUTED_VALUE"""),45490.66666666667)</f>
        <v>45490.66667</v>
      </c>
      <c r="C371" s="9">
        <f>IFERROR(__xludf.DUMMYFUNCTION("""COMPUTED_VALUE"""),123.21)</f>
        <v>123.21</v>
      </c>
      <c r="E371" s="17">
        <f>IFERROR(__xludf.DUMMYFUNCTION("""COMPUTED_VALUE"""),45490.66666666667)</f>
        <v>45490.66667</v>
      </c>
      <c r="F371" s="9">
        <f>IFERROR(__xludf.DUMMYFUNCTION("""COMPUTED_VALUE"""),123.21)</f>
        <v>123.21</v>
      </c>
      <c r="M371" s="17"/>
      <c r="P371" s="17"/>
    </row>
    <row r="372">
      <c r="B372" s="11">
        <f>IFERROR(__xludf.DUMMYFUNCTION("""COMPUTED_VALUE"""),45489.66666666667)</f>
        <v>45489.66667</v>
      </c>
      <c r="C372" s="9">
        <f>IFERROR(__xludf.DUMMYFUNCTION("""COMPUTED_VALUE"""),121.49)</f>
        <v>121.49</v>
      </c>
      <c r="E372" s="17">
        <f>IFERROR(__xludf.DUMMYFUNCTION("""COMPUTED_VALUE"""),45489.66666666667)</f>
        <v>45489.66667</v>
      </c>
      <c r="F372" s="9">
        <f>IFERROR(__xludf.DUMMYFUNCTION("""COMPUTED_VALUE"""),121.49)</f>
        <v>121.49</v>
      </c>
      <c r="M372" s="17"/>
      <c r="P372" s="17"/>
    </row>
    <row r="373">
      <c r="B373" s="11">
        <f>IFERROR(__xludf.DUMMYFUNCTION("""COMPUTED_VALUE"""),45488.66666666667)</f>
        <v>45488.66667</v>
      </c>
      <c r="C373" s="9">
        <f>IFERROR(__xludf.DUMMYFUNCTION("""COMPUTED_VALUE"""),121.14)</f>
        <v>121.14</v>
      </c>
      <c r="E373" s="17">
        <f>IFERROR(__xludf.DUMMYFUNCTION("""COMPUTED_VALUE"""),45488.66666666667)</f>
        <v>45488.66667</v>
      </c>
      <c r="F373" s="9">
        <f>IFERROR(__xludf.DUMMYFUNCTION("""COMPUTED_VALUE"""),121.14)</f>
        <v>121.14</v>
      </c>
      <c r="M373" s="17"/>
      <c r="P373" s="17"/>
    </row>
    <row r="374">
      <c r="B374" s="11">
        <f>IFERROR(__xludf.DUMMYFUNCTION("""COMPUTED_VALUE"""),45485.66666666667)</f>
        <v>45485.66667</v>
      </c>
      <c r="C374" s="9">
        <f>IFERROR(__xludf.DUMMYFUNCTION("""COMPUTED_VALUE"""),120.15)</f>
        <v>120.15</v>
      </c>
      <c r="E374" s="17">
        <f>IFERROR(__xludf.DUMMYFUNCTION("""COMPUTED_VALUE"""),45485.66666666667)</f>
        <v>45485.66667</v>
      </c>
      <c r="F374" s="9">
        <f>IFERROR(__xludf.DUMMYFUNCTION("""COMPUTED_VALUE"""),120.15)</f>
        <v>120.15</v>
      </c>
      <c r="M374" s="17"/>
      <c r="P374" s="17"/>
    </row>
    <row r="375">
      <c r="B375" s="11">
        <f>IFERROR(__xludf.DUMMYFUNCTION("""COMPUTED_VALUE"""),45484.66666666667)</f>
        <v>45484.66667</v>
      </c>
      <c r="C375" s="9">
        <f>IFERROR(__xludf.DUMMYFUNCTION("""COMPUTED_VALUE"""),120.41)</f>
        <v>120.41</v>
      </c>
      <c r="E375" s="17">
        <f>IFERROR(__xludf.DUMMYFUNCTION("""COMPUTED_VALUE"""),45484.66666666667)</f>
        <v>45484.66667</v>
      </c>
      <c r="F375" s="9">
        <f>IFERROR(__xludf.DUMMYFUNCTION("""COMPUTED_VALUE"""),120.41)</f>
        <v>120.41</v>
      </c>
      <c r="M375" s="17"/>
      <c r="P375" s="17"/>
    </row>
    <row r="376">
      <c r="B376" s="11">
        <f>IFERROR(__xludf.DUMMYFUNCTION("""COMPUTED_VALUE"""),45483.66666666667)</f>
        <v>45483.66667</v>
      </c>
      <c r="C376" s="9">
        <f>IFERROR(__xludf.DUMMYFUNCTION("""COMPUTED_VALUE"""),116.54)</f>
        <v>116.54</v>
      </c>
      <c r="E376" s="17">
        <f>IFERROR(__xludf.DUMMYFUNCTION("""COMPUTED_VALUE"""),45483.66666666667)</f>
        <v>45483.66667</v>
      </c>
      <c r="F376" s="9">
        <f>IFERROR(__xludf.DUMMYFUNCTION("""COMPUTED_VALUE"""),116.54)</f>
        <v>116.54</v>
      </c>
      <c r="M376" s="17"/>
      <c r="P376" s="17"/>
    </row>
    <row r="377">
      <c r="B377" s="11">
        <f>IFERROR(__xludf.DUMMYFUNCTION("""COMPUTED_VALUE"""),45482.66666666667)</f>
        <v>45482.66667</v>
      </c>
      <c r="C377" s="9">
        <f>IFERROR(__xludf.DUMMYFUNCTION("""COMPUTED_VALUE"""),114.45)</f>
        <v>114.45</v>
      </c>
      <c r="E377" s="17">
        <f>IFERROR(__xludf.DUMMYFUNCTION("""COMPUTED_VALUE"""),45482.66666666667)</f>
        <v>45482.66667</v>
      </c>
      <c r="F377" s="9">
        <f>IFERROR(__xludf.DUMMYFUNCTION("""COMPUTED_VALUE"""),114.45)</f>
        <v>114.45</v>
      </c>
      <c r="M377" s="17"/>
      <c r="P377" s="17"/>
    </row>
    <row r="378">
      <c r="B378" s="11">
        <f>IFERROR(__xludf.DUMMYFUNCTION("""COMPUTED_VALUE"""),45481.66666666667)</f>
        <v>45481.66667</v>
      </c>
      <c r="C378" s="9">
        <f>IFERROR(__xludf.DUMMYFUNCTION("""COMPUTED_VALUE"""),114.41)</f>
        <v>114.41</v>
      </c>
      <c r="E378" s="17">
        <f>IFERROR(__xludf.DUMMYFUNCTION("""COMPUTED_VALUE"""),45481.66666666667)</f>
        <v>45481.66667</v>
      </c>
      <c r="F378" s="9">
        <f>IFERROR(__xludf.DUMMYFUNCTION("""COMPUTED_VALUE"""),114.41)</f>
        <v>114.41</v>
      </c>
      <c r="M378" s="17"/>
      <c r="P378" s="17"/>
    </row>
    <row r="379">
      <c r="B379" s="11">
        <f>IFERROR(__xludf.DUMMYFUNCTION("""COMPUTED_VALUE"""),45478.66666666667)</f>
        <v>45478.66667</v>
      </c>
      <c r="C379" s="9">
        <f>IFERROR(__xludf.DUMMYFUNCTION("""COMPUTED_VALUE"""),114.46)</f>
        <v>114.46</v>
      </c>
      <c r="E379" s="17">
        <f>IFERROR(__xludf.DUMMYFUNCTION("""COMPUTED_VALUE"""),45478.66666666667)</f>
        <v>45478.66667</v>
      </c>
      <c r="F379" s="9">
        <f>IFERROR(__xludf.DUMMYFUNCTION("""COMPUTED_VALUE"""),114.46)</f>
        <v>114.46</v>
      </c>
      <c r="M379" s="17"/>
      <c r="P379" s="17"/>
    </row>
    <row r="380">
      <c r="B380" s="11">
        <f>IFERROR(__xludf.DUMMYFUNCTION("""COMPUTED_VALUE"""),45476.54166666667)</f>
        <v>45476.54167</v>
      </c>
      <c r="C380" s="9">
        <f>IFERROR(__xludf.DUMMYFUNCTION("""COMPUTED_VALUE"""),113.3)</f>
        <v>113.3</v>
      </c>
      <c r="E380" s="17">
        <f>IFERROR(__xludf.DUMMYFUNCTION("""COMPUTED_VALUE"""),45476.54166666667)</f>
        <v>45476.54167</v>
      </c>
      <c r="F380" s="9">
        <f>IFERROR(__xludf.DUMMYFUNCTION("""COMPUTED_VALUE"""),113.3)</f>
        <v>113.3</v>
      </c>
      <c r="M380" s="17"/>
      <c r="P380" s="17"/>
    </row>
    <row r="381">
      <c r="B381" s="11">
        <f>IFERROR(__xludf.DUMMYFUNCTION("""COMPUTED_VALUE"""),45475.66666666667)</f>
        <v>45475.66667</v>
      </c>
      <c r="C381" s="9">
        <f>IFERROR(__xludf.DUMMYFUNCTION("""COMPUTED_VALUE"""),113.21)</f>
        <v>113.21</v>
      </c>
      <c r="E381" s="17">
        <f>IFERROR(__xludf.DUMMYFUNCTION("""COMPUTED_VALUE"""),45475.66666666667)</f>
        <v>45475.66667</v>
      </c>
      <c r="F381" s="9">
        <f>IFERROR(__xludf.DUMMYFUNCTION("""COMPUTED_VALUE"""),113.21)</f>
        <v>113.21</v>
      </c>
      <c r="M381" s="17"/>
      <c r="P381" s="17"/>
    </row>
    <row r="382">
      <c r="B382" s="11">
        <f>IFERROR(__xludf.DUMMYFUNCTION("""COMPUTED_VALUE"""),45474.66666666667)</f>
        <v>45474.66667</v>
      </c>
      <c r="C382" s="9">
        <f>IFERROR(__xludf.DUMMYFUNCTION("""COMPUTED_VALUE"""),111.95)</f>
        <v>111.95</v>
      </c>
      <c r="E382" s="17">
        <f>IFERROR(__xludf.DUMMYFUNCTION("""COMPUTED_VALUE"""),45474.66666666667)</f>
        <v>45474.66667</v>
      </c>
      <c r="F382" s="9">
        <f>IFERROR(__xludf.DUMMYFUNCTION("""COMPUTED_VALUE"""),111.95)</f>
        <v>111.95</v>
      </c>
      <c r="M382" s="17"/>
      <c r="P382" s="17"/>
    </row>
    <row r="383">
      <c r="B383" s="11">
        <f>IFERROR(__xludf.DUMMYFUNCTION("""COMPUTED_VALUE"""),45471.66666666667)</f>
        <v>45471.66667</v>
      </c>
      <c r="C383" s="9">
        <f>IFERROR(__xludf.DUMMYFUNCTION("""COMPUTED_VALUE"""),112.31)</f>
        <v>112.31</v>
      </c>
      <c r="E383" s="17">
        <f>IFERROR(__xludf.DUMMYFUNCTION("""COMPUTED_VALUE"""),45471.66666666667)</f>
        <v>45471.66667</v>
      </c>
      <c r="F383" s="9">
        <f>IFERROR(__xludf.DUMMYFUNCTION("""COMPUTED_VALUE"""),112.31)</f>
        <v>112.31</v>
      </c>
      <c r="M383" s="17"/>
      <c r="P383" s="17"/>
    </row>
    <row r="384">
      <c r="B384" s="11">
        <f>IFERROR(__xludf.DUMMYFUNCTION("""COMPUTED_VALUE"""),45470.66666666667)</f>
        <v>45470.66667</v>
      </c>
      <c r="C384" s="9">
        <f>IFERROR(__xludf.DUMMYFUNCTION("""COMPUTED_VALUE"""),111.35)</f>
        <v>111.35</v>
      </c>
      <c r="E384" s="17">
        <f>IFERROR(__xludf.DUMMYFUNCTION("""COMPUTED_VALUE"""),45470.66666666667)</f>
        <v>45470.66667</v>
      </c>
      <c r="F384" s="9">
        <f>IFERROR(__xludf.DUMMYFUNCTION("""COMPUTED_VALUE"""),111.35)</f>
        <v>111.35</v>
      </c>
      <c r="M384" s="17"/>
      <c r="P384" s="17"/>
    </row>
    <row r="385">
      <c r="B385" s="11">
        <f>IFERROR(__xludf.DUMMYFUNCTION("""COMPUTED_VALUE"""),45469.66666666667)</f>
        <v>45469.66667</v>
      </c>
      <c r="C385" s="9">
        <f>IFERROR(__xludf.DUMMYFUNCTION("""COMPUTED_VALUE"""),110.41)</f>
        <v>110.41</v>
      </c>
      <c r="E385" s="17">
        <f>IFERROR(__xludf.DUMMYFUNCTION("""COMPUTED_VALUE"""),45469.66666666667)</f>
        <v>45469.66667</v>
      </c>
      <c r="F385" s="9">
        <f>IFERROR(__xludf.DUMMYFUNCTION("""COMPUTED_VALUE"""),110.41)</f>
        <v>110.41</v>
      </c>
      <c r="M385" s="17"/>
      <c r="P385" s="17"/>
    </row>
    <row r="386">
      <c r="B386" s="11">
        <f>IFERROR(__xludf.DUMMYFUNCTION("""COMPUTED_VALUE"""),45468.66666666667)</f>
        <v>45468.66667</v>
      </c>
      <c r="C386" s="9">
        <f>IFERROR(__xludf.DUMMYFUNCTION("""COMPUTED_VALUE"""),109.83)</f>
        <v>109.83</v>
      </c>
      <c r="E386" s="17">
        <f>IFERROR(__xludf.DUMMYFUNCTION("""COMPUTED_VALUE"""),45468.66666666667)</f>
        <v>45468.66667</v>
      </c>
      <c r="F386" s="9">
        <f>IFERROR(__xludf.DUMMYFUNCTION("""COMPUTED_VALUE"""),109.83)</f>
        <v>109.83</v>
      </c>
      <c r="M386" s="17"/>
      <c r="P386" s="17"/>
    </row>
    <row r="387">
      <c r="B387" s="11">
        <f>IFERROR(__xludf.DUMMYFUNCTION("""COMPUTED_VALUE"""),45467.66666666667)</f>
        <v>45467.66667</v>
      </c>
      <c r="C387" s="9">
        <f>IFERROR(__xludf.DUMMYFUNCTION("""COMPUTED_VALUE"""),111.63)</f>
        <v>111.63</v>
      </c>
      <c r="E387" s="17">
        <f>IFERROR(__xludf.DUMMYFUNCTION("""COMPUTED_VALUE"""),45467.66666666667)</f>
        <v>45467.66667</v>
      </c>
      <c r="F387" s="9">
        <f>IFERROR(__xludf.DUMMYFUNCTION("""COMPUTED_VALUE"""),111.63)</f>
        <v>111.63</v>
      </c>
      <c r="M387" s="17"/>
      <c r="P387" s="17"/>
    </row>
    <row r="388">
      <c r="B388" s="11">
        <f>IFERROR(__xludf.DUMMYFUNCTION("""COMPUTED_VALUE"""),45464.66666666667)</f>
        <v>45464.66667</v>
      </c>
      <c r="C388" s="9">
        <f>IFERROR(__xludf.DUMMYFUNCTION("""COMPUTED_VALUE"""),109.4)</f>
        <v>109.4</v>
      </c>
      <c r="E388" s="17">
        <f>IFERROR(__xludf.DUMMYFUNCTION("""COMPUTED_VALUE"""),45464.66666666667)</f>
        <v>45464.66667</v>
      </c>
      <c r="F388" s="9">
        <f>IFERROR(__xludf.DUMMYFUNCTION("""COMPUTED_VALUE"""),109.4)</f>
        <v>109.4</v>
      </c>
      <c r="M388" s="17"/>
      <c r="P388" s="17"/>
    </row>
    <row r="389">
      <c r="B389" s="11">
        <f>IFERROR(__xludf.DUMMYFUNCTION("""COMPUTED_VALUE"""),45463.66666666667)</f>
        <v>45463.66667</v>
      </c>
      <c r="C389" s="9">
        <f>IFERROR(__xludf.DUMMYFUNCTION("""COMPUTED_VALUE"""),109.16)</f>
        <v>109.16</v>
      </c>
      <c r="E389" s="17">
        <f>IFERROR(__xludf.DUMMYFUNCTION("""COMPUTED_VALUE"""),45463.66666666667)</f>
        <v>45463.66667</v>
      </c>
      <c r="F389" s="9">
        <f>IFERROR(__xludf.DUMMYFUNCTION("""COMPUTED_VALUE"""),109.16)</f>
        <v>109.16</v>
      </c>
      <c r="M389" s="17"/>
      <c r="P389" s="17"/>
    </row>
    <row r="390">
      <c r="B390" s="11">
        <f>IFERROR(__xludf.DUMMYFUNCTION("""COMPUTED_VALUE"""),45461.66666666667)</f>
        <v>45461.66667</v>
      </c>
      <c r="C390" s="9">
        <f>IFERROR(__xludf.DUMMYFUNCTION("""COMPUTED_VALUE"""),110.05)</f>
        <v>110.05</v>
      </c>
      <c r="E390" s="17">
        <f>IFERROR(__xludf.DUMMYFUNCTION("""COMPUTED_VALUE"""),45461.66666666667)</f>
        <v>45461.66667</v>
      </c>
      <c r="F390" s="9">
        <f>IFERROR(__xludf.DUMMYFUNCTION("""COMPUTED_VALUE"""),110.05)</f>
        <v>110.05</v>
      </c>
      <c r="M390" s="17"/>
      <c r="P390" s="17"/>
    </row>
    <row r="391">
      <c r="B391" s="11">
        <f>IFERROR(__xludf.DUMMYFUNCTION("""COMPUTED_VALUE"""),45460.66666666667)</f>
        <v>45460.66667</v>
      </c>
      <c r="C391" s="9">
        <f>IFERROR(__xludf.DUMMYFUNCTION("""COMPUTED_VALUE"""),111.28)</f>
        <v>111.28</v>
      </c>
      <c r="E391" s="17">
        <f>IFERROR(__xludf.DUMMYFUNCTION("""COMPUTED_VALUE"""),45460.66666666667)</f>
        <v>45460.66667</v>
      </c>
      <c r="F391" s="9">
        <f>IFERROR(__xludf.DUMMYFUNCTION("""COMPUTED_VALUE"""),111.28)</f>
        <v>111.28</v>
      </c>
      <c r="M391" s="17"/>
      <c r="P391" s="17"/>
    </row>
    <row r="392">
      <c r="B392" s="11">
        <f>IFERROR(__xludf.DUMMYFUNCTION("""COMPUTED_VALUE"""),45457.66666666667)</f>
        <v>45457.66667</v>
      </c>
      <c r="C392" s="9">
        <f>IFERROR(__xludf.DUMMYFUNCTION("""COMPUTED_VALUE"""),112.29)</f>
        <v>112.29</v>
      </c>
      <c r="E392" s="17">
        <f>IFERROR(__xludf.DUMMYFUNCTION("""COMPUTED_VALUE"""),45457.66666666667)</f>
        <v>45457.66667</v>
      </c>
      <c r="F392" s="9">
        <f>IFERROR(__xludf.DUMMYFUNCTION("""COMPUTED_VALUE"""),112.29)</f>
        <v>112.29</v>
      </c>
      <c r="M392" s="17"/>
      <c r="P392" s="17"/>
    </row>
    <row r="393">
      <c r="B393" s="11">
        <f>IFERROR(__xludf.DUMMYFUNCTION("""COMPUTED_VALUE"""),45456.66666666667)</f>
        <v>45456.66667</v>
      </c>
      <c r="C393" s="9">
        <f>IFERROR(__xludf.DUMMYFUNCTION("""COMPUTED_VALUE"""),112.38)</f>
        <v>112.38</v>
      </c>
      <c r="E393" s="17">
        <f>IFERROR(__xludf.DUMMYFUNCTION("""COMPUTED_VALUE"""),45456.66666666667)</f>
        <v>45456.66667</v>
      </c>
      <c r="F393" s="9">
        <f>IFERROR(__xludf.DUMMYFUNCTION("""COMPUTED_VALUE"""),112.38)</f>
        <v>112.38</v>
      </c>
      <c r="M393" s="17"/>
      <c r="P393" s="17"/>
    </row>
    <row r="394">
      <c r="B394" s="11">
        <f>IFERROR(__xludf.DUMMYFUNCTION("""COMPUTED_VALUE"""),45455.66666666667)</f>
        <v>45455.66667</v>
      </c>
      <c r="C394" s="9">
        <f>IFERROR(__xludf.DUMMYFUNCTION("""COMPUTED_VALUE"""),112.81)</f>
        <v>112.81</v>
      </c>
      <c r="E394" s="17">
        <f>IFERROR(__xludf.DUMMYFUNCTION("""COMPUTED_VALUE"""),45455.66666666667)</f>
        <v>45455.66667</v>
      </c>
      <c r="F394" s="9">
        <f>IFERROR(__xludf.DUMMYFUNCTION("""COMPUTED_VALUE"""),112.81)</f>
        <v>112.81</v>
      </c>
      <c r="M394" s="17"/>
      <c r="P394" s="17"/>
    </row>
    <row r="395">
      <c r="B395" s="11">
        <f>IFERROR(__xludf.DUMMYFUNCTION("""COMPUTED_VALUE"""),45454.66666666667)</f>
        <v>45454.66667</v>
      </c>
      <c r="C395" s="9">
        <f>IFERROR(__xludf.DUMMYFUNCTION("""COMPUTED_VALUE"""),111.58)</f>
        <v>111.58</v>
      </c>
      <c r="E395" s="17">
        <f>IFERROR(__xludf.DUMMYFUNCTION("""COMPUTED_VALUE"""),45454.66666666667)</f>
        <v>45454.66667</v>
      </c>
      <c r="F395" s="9">
        <f>IFERROR(__xludf.DUMMYFUNCTION("""COMPUTED_VALUE"""),111.58)</f>
        <v>111.58</v>
      </c>
      <c r="M395" s="17"/>
      <c r="P395" s="17"/>
    </row>
    <row r="396">
      <c r="B396" s="11">
        <f>IFERROR(__xludf.DUMMYFUNCTION("""COMPUTED_VALUE"""),45453.66666666667)</f>
        <v>45453.66667</v>
      </c>
      <c r="C396" s="9">
        <f>IFERROR(__xludf.DUMMYFUNCTION("""COMPUTED_VALUE"""),111.17)</f>
        <v>111.17</v>
      </c>
      <c r="E396" s="17">
        <f>IFERROR(__xludf.DUMMYFUNCTION("""COMPUTED_VALUE"""),45453.66666666667)</f>
        <v>45453.66667</v>
      </c>
      <c r="F396" s="9">
        <f>IFERROR(__xludf.DUMMYFUNCTION("""COMPUTED_VALUE"""),111.17)</f>
        <v>111.17</v>
      </c>
      <c r="M396" s="17"/>
      <c r="P396" s="17"/>
    </row>
    <row r="397">
      <c r="B397" s="11">
        <f>IFERROR(__xludf.DUMMYFUNCTION("""COMPUTED_VALUE"""),45450.66666666667)</f>
        <v>45450.66667</v>
      </c>
      <c r="C397" s="9">
        <f>IFERROR(__xludf.DUMMYFUNCTION("""COMPUTED_VALUE"""),110.2)</f>
        <v>110.2</v>
      </c>
      <c r="E397" s="17">
        <f>IFERROR(__xludf.DUMMYFUNCTION("""COMPUTED_VALUE"""),45450.66666666667)</f>
        <v>45450.66667</v>
      </c>
      <c r="F397" s="9">
        <f>IFERROR(__xludf.DUMMYFUNCTION("""COMPUTED_VALUE"""),110.2)</f>
        <v>110.2</v>
      </c>
      <c r="M397" s="17"/>
      <c r="P397" s="17"/>
    </row>
    <row r="398">
      <c r="B398" s="11">
        <f>IFERROR(__xludf.DUMMYFUNCTION("""COMPUTED_VALUE"""),45449.66666666667)</f>
        <v>45449.66667</v>
      </c>
      <c r="C398" s="9">
        <f>IFERROR(__xludf.DUMMYFUNCTION("""COMPUTED_VALUE"""),110.01)</f>
        <v>110.01</v>
      </c>
      <c r="E398" s="17">
        <f>IFERROR(__xludf.DUMMYFUNCTION("""COMPUTED_VALUE"""),45449.66666666667)</f>
        <v>45449.66667</v>
      </c>
      <c r="F398" s="9">
        <f>IFERROR(__xludf.DUMMYFUNCTION("""COMPUTED_VALUE"""),110.01)</f>
        <v>110.01</v>
      </c>
      <c r="M398" s="17"/>
      <c r="P398" s="17"/>
    </row>
    <row r="399">
      <c r="B399" s="11">
        <f>IFERROR(__xludf.DUMMYFUNCTION("""COMPUTED_VALUE"""),45448.66666666667)</f>
        <v>45448.66667</v>
      </c>
      <c r="C399" s="9">
        <f>IFERROR(__xludf.DUMMYFUNCTION("""COMPUTED_VALUE"""),108.74)</f>
        <v>108.74</v>
      </c>
      <c r="E399" s="17">
        <f>IFERROR(__xludf.DUMMYFUNCTION("""COMPUTED_VALUE"""),45448.66666666667)</f>
        <v>45448.66667</v>
      </c>
      <c r="F399" s="9">
        <f>IFERROR(__xludf.DUMMYFUNCTION("""COMPUTED_VALUE"""),108.74)</f>
        <v>108.74</v>
      </c>
      <c r="M399" s="17"/>
      <c r="P399" s="17"/>
    </row>
    <row r="400">
      <c r="B400" s="11">
        <f>IFERROR(__xludf.DUMMYFUNCTION("""COMPUTED_VALUE"""),45447.66666666667)</f>
        <v>45447.66667</v>
      </c>
      <c r="C400" s="9">
        <f>IFERROR(__xludf.DUMMYFUNCTION("""COMPUTED_VALUE"""),108.77)</f>
        <v>108.77</v>
      </c>
      <c r="E400" s="17">
        <f>IFERROR(__xludf.DUMMYFUNCTION("""COMPUTED_VALUE"""),45447.66666666667)</f>
        <v>45447.66667</v>
      </c>
      <c r="F400" s="9">
        <f>IFERROR(__xludf.DUMMYFUNCTION("""COMPUTED_VALUE"""),108.77)</f>
        <v>108.77</v>
      </c>
      <c r="M400" s="17"/>
      <c r="P400" s="17"/>
    </row>
    <row r="401">
      <c r="B401" s="11">
        <f>IFERROR(__xludf.DUMMYFUNCTION("""COMPUTED_VALUE"""),45446.66666666667)</f>
        <v>45446.66667</v>
      </c>
      <c r="C401" s="9">
        <f>IFERROR(__xludf.DUMMYFUNCTION("""COMPUTED_VALUE"""),107.4)</f>
        <v>107.4</v>
      </c>
      <c r="E401" s="17">
        <f>IFERROR(__xludf.DUMMYFUNCTION("""COMPUTED_VALUE"""),45446.66666666667)</f>
        <v>45446.66667</v>
      </c>
      <c r="F401" s="9">
        <f>IFERROR(__xludf.DUMMYFUNCTION("""COMPUTED_VALUE"""),107.4)</f>
        <v>107.4</v>
      </c>
      <c r="M401" s="17"/>
      <c r="P401" s="17"/>
    </row>
    <row r="402">
      <c r="B402" s="11">
        <f>IFERROR(__xludf.DUMMYFUNCTION("""COMPUTED_VALUE"""),45443.66666666667)</f>
        <v>45443.66667</v>
      </c>
      <c r="C402" s="9">
        <f>IFERROR(__xludf.DUMMYFUNCTION("""COMPUTED_VALUE"""),110.49)</f>
        <v>110.49</v>
      </c>
      <c r="E402" s="17">
        <f>IFERROR(__xludf.DUMMYFUNCTION("""COMPUTED_VALUE"""),45443.66666666667)</f>
        <v>45443.66667</v>
      </c>
      <c r="F402" s="9">
        <f>IFERROR(__xludf.DUMMYFUNCTION("""COMPUTED_VALUE"""),110.49)</f>
        <v>110.49</v>
      </c>
      <c r="M402" s="17"/>
      <c r="P402" s="17"/>
    </row>
    <row r="403">
      <c r="B403" s="11">
        <f>IFERROR(__xludf.DUMMYFUNCTION("""COMPUTED_VALUE"""),45442.66666666667)</f>
        <v>45442.66667</v>
      </c>
      <c r="C403" s="9">
        <f>IFERROR(__xludf.DUMMYFUNCTION("""COMPUTED_VALUE"""),107.57)</f>
        <v>107.57</v>
      </c>
      <c r="E403" s="17">
        <f>IFERROR(__xludf.DUMMYFUNCTION("""COMPUTED_VALUE"""),45442.66666666667)</f>
        <v>45442.66667</v>
      </c>
      <c r="F403" s="9">
        <f>IFERROR(__xludf.DUMMYFUNCTION("""COMPUTED_VALUE"""),107.57)</f>
        <v>107.57</v>
      </c>
      <c r="M403" s="17"/>
      <c r="P403" s="17"/>
    </row>
    <row r="404">
      <c r="B404" s="11">
        <f>IFERROR(__xludf.DUMMYFUNCTION("""COMPUTED_VALUE"""),45441.66666666667)</f>
        <v>45441.66667</v>
      </c>
      <c r="C404" s="9">
        <f>IFERROR(__xludf.DUMMYFUNCTION("""COMPUTED_VALUE"""),105.0)</f>
        <v>105</v>
      </c>
      <c r="E404" s="17">
        <f>IFERROR(__xludf.DUMMYFUNCTION("""COMPUTED_VALUE"""),45441.66666666667)</f>
        <v>45441.66667</v>
      </c>
      <c r="F404" s="9">
        <f>IFERROR(__xludf.DUMMYFUNCTION("""COMPUTED_VALUE"""),105.0)</f>
        <v>105</v>
      </c>
      <c r="M404" s="17"/>
      <c r="P404" s="17"/>
    </row>
    <row r="405">
      <c r="B405" s="11">
        <f>IFERROR(__xludf.DUMMYFUNCTION("""COMPUTED_VALUE"""),45440.66666666667)</f>
        <v>45440.66667</v>
      </c>
      <c r="C405" s="9">
        <f>IFERROR(__xludf.DUMMYFUNCTION("""COMPUTED_VALUE"""),105.0)</f>
        <v>105</v>
      </c>
      <c r="E405" s="17">
        <f>IFERROR(__xludf.DUMMYFUNCTION("""COMPUTED_VALUE"""),45440.66666666667)</f>
        <v>45440.66667</v>
      </c>
      <c r="F405" s="9">
        <f>IFERROR(__xludf.DUMMYFUNCTION("""COMPUTED_VALUE"""),105.0)</f>
        <v>105</v>
      </c>
      <c r="M405" s="17"/>
      <c r="P405" s="17"/>
    </row>
    <row r="406">
      <c r="B406" s="11">
        <f>IFERROR(__xludf.DUMMYFUNCTION("""COMPUTED_VALUE"""),45436.66666666667)</f>
        <v>45436.66667</v>
      </c>
      <c r="C406" s="9">
        <f>IFERROR(__xludf.DUMMYFUNCTION("""COMPUTED_VALUE"""),104.75)</f>
        <v>104.75</v>
      </c>
      <c r="E406" s="17">
        <f>IFERROR(__xludf.DUMMYFUNCTION("""COMPUTED_VALUE"""),45436.66666666667)</f>
        <v>45436.66667</v>
      </c>
      <c r="F406" s="9">
        <f>IFERROR(__xludf.DUMMYFUNCTION("""COMPUTED_VALUE"""),104.75)</f>
        <v>104.75</v>
      </c>
      <c r="M406" s="17"/>
      <c r="P406" s="17"/>
    </row>
    <row r="407">
      <c r="B407" s="11">
        <f>IFERROR(__xludf.DUMMYFUNCTION("""COMPUTED_VALUE"""),45435.66666666667)</f>
        <v>45435.66667</v>
      </c>
      <c r="C407" s="9">
        <f>IFERROR(__xludf.DUMMYFUNCTION("""COMPUTED_VALUE"""),105.64)</f>
        <v>105.64</v>
      </c>
      <c r="E407" s="17">
        <f>IFERROR(__xludf.DUMMYFUNCTION("""COMPUTED_VALUE"""),45435.66666666667)</f>
        <v>45435.66667</v>
      </c>
      <c r="F407" s="9">
        <f>IFERROR(__xludf.DUMMYFUNCTION("""COMPUTED_VALUE"""),105.64)</f>
        <v>105.64</v>
      </c>
      <c r="M407" s="17"/>
      <c r="P407" s="17"/>
    </row>
    <row r="408">
      <c r="B408" s="11">
        <f>IFERROR(__xludf.DUMMYFUNCTION("""COMPUTED_VALUE"""),45434.66666666667)</f>
        <v>45434.66667</v>
      </c>
      <c r="C408" s="9">
        <f>IFERROR(__xludf.DUMMYFUNCTION("""COMPUTED_VALUE"""),109.22)</f>
        <v>109.22</v>
      </c>
      <c r="E408" s="17">
        <f>IFERROR(__xludf.DUMMYFUNCTION("""COMPUTED_VALUE"""),45434.66666666667)</f>
        <v>45434.66667</v>
      </c>
      <c r="F408" s="9">
        <f>IFERROR(__xludf.DUMMYFUNCTION("""COMPUTED_VALUE"""),109.22)</f>
        <v>109.22</v>
      </c>
      <c r="M408" s="17"/>
      <c r="P408" s="17"/>
    </row>
    <row r="409">
      <c r="B409" s="11">
        <f>IFERROR(__xludf.DUMMYFUNCTION("""COMPUTED_VALUE"""),45433.66666666667)</f>
        <v>45433.66667</v>
      </c>
      <c r="C409" s="9">
        <f>IFERROR(__xludf.DUMMYFUNCTION("""COMPUTED_VALUE"""),110.6)</f>
        <v>110.6</v>
      </c>
      <c r="E409" s="17">
        <f>IFERROR(__xludf.DUMMYFUNCTION("""COMPUTED_VALUE"""),45433.66666666667)</f>
        <v>45433.66667</v>
      </c>
      <c r="F409" s="9">
        <f>IFERROR(__xludf.DUMMYFUNCTION("""COMPUTED_VALUE"""),110.6)</f>
        <v>110.6</v>
      </c>
      <c r="M409" s="17"/>
      <c r="P409" s="17"/>
    </row>
    <row r="410">
      <c r="B410" s="11">
        <f>IFERROR(__xludf.DUMMYFUNCTION("""COMPUTED_VALUE"""),45432.66666666667)</f>
        <v>45432.66667</v>
      </c>
      <c r="C410" s="9">
        <f>IFERROR(__xludf.DUMMYFUNCTION("""COMPUTED_VALUE"""),112.05)</f>
        <v>112.05</v>
      </c>
      <c r="E410" s="17">
        <f>IFERROR(__xludf.DUMMYFUNCTION("""COMPUTED_VALUE"""),45432.66666666667)</f>
        <v>45432.66667</v>
      </c>
      <c r="F410" s="9">
        <f>IFERROR(__xludf.DUMMYFUNCTION("""COMPUTED_VALUE"""),112.05)</f>
        <v>112.05</v>
      </c>
      <c r="M410" s="17"/>
      <c r="P410" s="17"/>
    </row>
    <row r="411">
      <c r="B411" s="11">
        <f>IFERROR(__xludf.DUMMYFUNCTION("""COMPUTED_VALUE"""),45429.66666666667)</f>
        <v>45429.66667</v>
      </c>
      <c r="C411" s="9">
        <f>IFERROR(__xludf.DUMMYFUNCTION("""COMPUTED_VALUE"""),111.5)</f>
        <v>111.5</v>
      </c>
      <c r="E411" s="17">
        <f>IFERROR(__xludf.DUMMYFUNCTION("""COMPUTED_VALUE"""),45429.66666666667)</f>
        <v>45429.66667</v>
      </c>
      <c r="F411" s="9">
        <f>IFERROR(__xludf.DUMMYFUNCTION("""COMPUTED_VALUE"""),111.5)</f>
        <v>111.5</v>
      </c>
      <c r="M411" s="17"/>
      <c r="P411" s="17"/>
    </row>
    <row r="412">
      <c r="B412" s="11">
        <f>IFERROR(__xludf.DUMMYFUNCTION("""COMPUTED_VALUE"""),45428.66666666667)</f>
        <v>45428.66667</v>
      </c>
      <c r="C412" s="9">
        <f>IFERROR(__xludf.DUMMYFUNCTION("""COMPUTED_VALUE"""),110.79)</f>
        <v>110.79</v>
      </c>
      <c r="E412" s="17">
        <f>IFERROR(__xludf.DUMMYFUNCTION("""COMPUTED_VALUE"""),45428.66666666667)</f>
        <v>45428.66667</v>
      </c>
      <c r="F412" s="9">
        <f>IFERROR(__xludf.DUMMYFUNCTION("""COMPUTED_VALUE"""),110.79)</f>
        <v>110.79</v>
      </c>
      <c r="M412" s="17"/>
      <c r="P412" s="17"/>
    </row>
    <row r="413">
      <c r="B413" s="11">
        <f>IFERROR(__xludf.DUMMYFUNCTION("""COMPUTED_VALUE"""),45427.66666666667)</f>
        <v>45427.66667</v>
      </c>
      <c r="C413" s="9">
        <f>IFERROR(__xludf.DUMMYFUNCTION("""COMPUTED_VALUE"""),109.99)</f>
        <v>109.99</v>
      </c>
      <c r="E413" s="17">
        <f>IFERROR(__xludf.DUMMYFUNCTION("""COMPUTED_VALUE"""),45427.66666666667)</f>
        <v>45427.66667</v>
      </c>
      <c r="F413" s="9">
        <f>IFERROR(__xludf.DUMMYFUNCTION("""COMPUTED_VALUE"""),109.99)</f>
        <v>109.99</v>
      </c>
      <c r="M413" s="17"/>
      <c r="P413" s="17"/>
    </row>
    <row r="414">
      <c r="B414" s="11">
        <f>IFERROR(__xludf.DUMMYFUNCTION("""COMPUTED_VALUE"""),45426.66666666667)</f>
        <v>45426.66667</v>
      </c>
      <c r="C414" s="9">
        <f>IFERROR(__xludf.DUMMYFUNCTION("""COMPUTED_VALUE"""),108.28)</f>
        <v>108.28</v>
      </c>
      <c r="E414" s="17">
        <f>IFERROR(__xludf.DUMMYFUNCTION("""COMPUTED_VALUE"""),45426.66666666667)</f>
        <v>45426.66667</v>
      </c>
      <c r="F414" s="9">
        <f>IFERROR(__xludf.DUMMYFUNCTION("""COMPUTED_VALUE"""),108.28)</f>
        <v>108.28</v>
      </c>
      <c r="M414" s="17"/>
      <c r="P414" s="17"/>
    </row>
    <row r="415">
      <c r="B415" s="11">
        <f>IFERROR(__xludf.DUMMYFUNCTION("""COMPUTED_VALUE"""),45425.66666666667)</f>
        <v>45425.66667</v>
      </c>
      <c r="C415" s="9">
        <f>IFERROR(__xludf.DUMMYFUNCTION("""COMPUTED_VALUE"""),107.68)</f>
        <v>107.68</v>
      </c>
      <c r="E415" s="17">
        <f>IFERROR(__xludf.DUMMYFUNCTION("""COMPUTED_VALUE"""),45425.66666666667)</f>
        <v>45425.66667</v>
      </c>
      <c r="F415" s="9">
        <f>IFERROR(__xludf.DUMMYFUNCTION("""COMPUTED_VALUE"""),107.68)</f>
        <v>107.68</v>
      </c>
      <c r="M415" s="17"/>
      <c r="P415" s="17"/>
    </row>
    <row r="416">
      <c r="B416" s="11">
        <f>IFERROR(__xludf.DUMMYFUNCTION("""COMPUTED_VALUE"""),45422.66666666667)</f>
        <v>45422.66667</v>
      </c>
      <c r="C416" s="9">
        <f>IFERROR(__xludf.DUMMYFUNCTION("""COMPUTED_VALUE"""),107.49)</f>
        <v>107.49</v>
      </c>
      <c r="E416" s="17">
        <f>IFERROR(__xludf.DUMMYFUNCTION("""COMPUTED_VALUE"""),45422.66666666667)</f>
        <v>45422.66667</v>
      </c>
      <c r="F416" s="9">
        <f>IFERROR(__xludf.DUMMYFUNCTION("""COMPUTED_VALUE"""),107.49)</f>
        <v>107.49</v>
      </c>
      <c r="M416" s="17"/>
      <c r="P416" s="17"/>
    </row>
    <row r="417">
      <c r="B417" s="11">
        <f>IFERROR(__xludf.DUMMYFUNCTION("""COMPUTED_VALUE"""),45421.66666666667)</f>
        <v>45421.66667</v>
      </c>
      <c r="C417" s="9">
        <f>IFERROR(__xludf.DUMMYFUNCTION("""COMPUTED_VALUE"""),108.15)</f>
        <v>108.15</v>
      </c>
      <c r="E417" s="17">
        <f>IFERROR(__xludf.DUMMYFUNCTION("""COMPUTED_VALUE"""),45421.66666666667)</f>
        <v>45421.66667</v>
      </c>
      <c r="F417" s="9">
        <f>IFERROR(__xludf.DUMMYFUNCTION("""COMPUTED_VALUE"""),108.15)</f>
        <v>108.15</v>
      </c>
      <c r="M417" s="17"/>
      <c r="P417" s="17"/>
    </row>
    <row r="418">
      <c r="B418" s="11">
        <f>IFERROR(__xludf.DUMMYFUNCTION("""COMPUTED_VALUE"""),45420.66666666667)</f>
        <v>45420.66667</v>
      </c>
      <c r="C418" s="9">
        <f>IFERROR(__xludf.DUMMYFUNCTION("""COMPUTED_VALUE"""),105.88)</f>
        <v>105.88</v>
      </c>
      <c r="E418" s="17">
        <f>IFERROR(__xludf.DUMMYFUNCTION("""COMPUTED_VALUE"""),45420.66666666667)</f>
        <v>45420.66667</v>
      </c>
      <c r="F418" s="9">
        <f>IFERROR(__xludf.DUMMYFUNCTION("""COMPUTED_VALUE"""),105.88)</f>
        <v>105.88</v>
      </c>
      <c r="M418" s="17"/>
      <c r="P418" s="17"/>
    </row>
    <row r="419">
      <c r="B419" s="11">
        <f>IFERROR(__xludf.DUMMYFUNCTION("""COMPUTED_VALUE"""),45419.66666666667)</f>
        <v>45419.66667</v>
      </c>
      <c r="C419" s="9">
        <f>IFERROR(__xludf.DUMMYFUNCTION("""COMPUTED_VALUE"""),107.76)</f>
        <v>107.76</v>
      </c>
      <c r="E419" s="17">
        <f>IFERROR(__xludf.DUMMYFUNCTION("""COMPUTED_VALUE"""),45419.66666666667)</f>
        <v>45419.66667</v>
      </c>
      <c r="F419" s="9">
        <f>IFERROR(__xludf.DUMMYFUNCTION("""COMPUTED_VALUE"""),107.76)</f>
        <v>107.76</v>
      </c>
      <c r="M419" s="17"/>
      <c r="P419" s="17"/>
    </row>
    <row r="420">
      <c r="B420" s="11">
        <f>IFERROR(__xludf.DUMMYFUNCTION("""COMPUTED_VALUE"""),45418.66666666667)</f>
        <v>45418.66667</v>
      </c>
      <c r="C420" s="9">
        <f>IFERROR(__xludf.DUMMYFUNCTION("""COMPUTED_VALUE"""),104.67)</f>
        <v>104.67</v>
      </c>
      <c r="E420" s="17">
        <f>IFERROR(__xludf.DUMMYFUNCTION("""COMPUTED_VALUE"""),45418.66666666667)</f>
        <v>45418.66667</v>
      </c>
      <c r="F420" s="9">
        <f>IFERROR(__xludf.DUMMYFUNCTION("""COMPUTED_VALUE"""),104.67)</f>
        <v>104.67</v>
      </c>
      <c r="M420" s="17"/>
      <c r="P420" s="17"/>
    </row>
    <row r="421">
      <c r="B421" s="11">
        <f>IFERROR(__xludf.DUMMYFUNCTION("""COMPUTED_VALUE"""),45415.66666666667)</f>
        <v>45415.66667</v>
      </c>
      <c r="C421" s="9">
        <f>IFERROR(__xludf.DUMMYFUNCTION("""COMPUTED_VALUE"""),105.89)</f>
        <v>105.89</v>
      </c>
      <c r="E421" s="17">
        <f>IFERROR(__xludf.DUMMYFUNCTION("""COMPUTED_VALUE"""),45415.66666666667)</f>
        <v>45415.66667</v>
      </c>
      <c r="F421" s="9">
        <f>IFERROR(__xludf.DUMMYFUNCTION("""COMPUTED_VALUE"""),105.89)</f>
        <v>105.89</v>
      </c>
      <c r="M421" s="17"/>
      <c r="P421" s="17"/>
    </row>
    <row r="422">
      <c r="B422" s="11">
        <f>IFERROR(__xludf.DUMMYFUNCTION("""COMPUTED_VALUE"""),45414.66666666667)</f>
        <v>45414.66667</v>
      </c>
      <c r="C422" s="9">
        <f>IFERROR(__xludf.DUMMYFUNCTION("""COMPUTED_VALUE"""),104.53)</f>
        <v>104.53</v>
      </c>
      <c r="E422" s="17">
        <f>IFERROR(__xludf.DUMMYFUNCTION("""COMPUTED_VALUE"""),45414.66666666667)</f>
        <v>45414.66667</v>
      </c>
      <c r="F422" s="9">
        <f>IFERROR(__xludf.DUMMYFUNCTION("""COMPUTED_VALUE"""),104.53)</f>
        <v>104.53</v>
      </c>
      <c r="M422" s="17"/>
      <c r="P422" s="17"/>
    </row>
    <row r="423">
      <c r="B423" s="11">
        <f>IFERROR(__xludf.DUMMYFUNCTION("""COMPUTED_VALUE"""),45413.66666666667)</f>
        <v>45413.66667</v>
      </c>
      <c r="C423" s="9">
        <f>IFERROR(__xludf.DUMMYFUNCTION("""COMPUTED_VALUE"""),101.88)</f>
        <v>101.88</v>
      </c>
      <c r="E423" s="17">
        <f>IFERROR(__xludf.DUMMYFUNCTION("""COMPUTED_VALUE"""),45413.66666666667)</f>
        <v>45413.66667</v>
      </c>
      <c r="F423" s="9">
        <f>IFERROR(__xludf.DUMMYFUNCTION("""COMPUTED_VALUE"""),101.88)</f>
        <v>101.88</v>
      </c>
      <c r="M423" s="17"/>
      <c r="P423" s="17"/>
    </row>
    <row r="424">
      <c r="B424" s="11">
        <f>IFERROR(__xludf.DUMMYFUNCTION("""COMPUTED_VALUE"""),45412.66666666667)</f>
        <v>45412.66667</v>
      </c>
      <c r="C424" s="9">
        <f>IFERROR(__xludf.DUMMYFUNCTION("""COMPUTED_VALUE"""),102.05)</f>
        <v>102.05</v>
      </c>
      <c r="E424" s="17">
        <f>IFERROR(__xludf.DUMMYFUNCTION("""COMPUTED_VALUE"""),45412.66666666667)</f>
        <v>45412.66667</v>
      </c>
      <c r="F424" s="9">
        <f>IFERROR(__xludf.DUMMYFUNCTION("""COMPUTED_VALUE"""),102.05)</f>
        <v>102.05</v>
      </c>
      <c r="M424" s="17"/>
      <c r="P424" s="17"/>
    </row>
    <row r="425">
      <c r="B425" s="11">
        <f>IFERROR(__xludf.DUMMYFUNCTION("""COMPUTED_VALUE"""),45411.66666666667)</f>
        <v>45411.66667</v>
      </c>
      <c r="C425" s="9">
        <f>IFERROR(__xludf.DUMMYFUNCTION("""COMPUTED_VALUE"""),105.01)</f>
        <v>105.01</v>
      </c>
      <c r="E425" s="17">
        <f>IFERROR(__xludf.DUMMYFUNCTION("""COMPUTED_VALUE"""),45411.66666666667)</f>
        <v>45411.66667</v>
      </c>
      <c r="F425" s="9">
        <f>IFERROR(__xludf.DUMMYFUNCTION("""COMPUTED_VALUE"""),105.01)</f>
        <v>105.01</v>
      </c>
      <c r="M425" s="17"/>
      <c r="P425" s="17"/>
    </row>
    <row r="426">
      <c r="B426" s="11">
        <f>IFERROR(__xludf.DUMMYFUNCTION("""COMPUTED_VALUE"""),45408.66666666667)</f>
        <v>45408.66667</v>
      </c>
      <c r="C426" s="9">
        <f>IFERROR(__xludf.DUMMYFUNCTION("""COMPUTED_VALUE"""),104.06)</f>
        <v>104.06</v>
      </c>
      <c r="E426" s="17">
        <f>IFERROR(__xludf.DUMMYFUNCTION("""COMPUTED_VALUE"""),45408.66666666667)</f>
        <v>45408.66667</v>
      </c>
      <c r="F426" s="9">
        <f>IFERROR(__xludf.DUMMYFUNCTION("""COMPUTED_VALUE"""),104.06)</f>
        <v>104.06</v>
      </c>
      <c r="M426" s="17"/>
      <c r="P426" s="17"/>
    </row>
    <row r="427">
      <c r="B427" s="11">
        <f>IFERROR(__xludf.DUMMYFUNCTION("""COMPUTED_VALUE"""),45407.66666666667)</f>
        <v>45407.66667</v>
      </c>
      <c r="C427" s="9">
        <f>IFERROR(__xludf.DUMMYFUNCTION("""COMPUTED_VALUE"""),103.35)</f>
        <v>103.35</v>
      </c>
      <c r="E427" s="17">
        <f>IFERROR(__xludf.DUMMYFUNCTION("""COMPUTED_VALUE"""),45407.66666666667)</f>
        <v>45407.66667</v>
      </c>
      <c r="F427" s="9">
        <f>IFERROR(__xludf.DUMMYFUNCTION("""COMPUTED_VALUE"""),103.35)</f>
        <v>103.35</v>
      </c>
      <c r="M427" s="17"/>
      <c r="P427" s="17"/>
    </row>
    <row r="428">
      <c r="B428" s="11">
        <f>IFERROR(__xludf.DUMMYFUNCTION("""COMPUTED_VALUE"""),45406.66666666667)</f>
        <v>45406.66667</v>
      </c>
      <c r="C428" s="9">
        <f>IFERROR(__xludf.DUMMYFUNCTION("""COMPUTED_VALUE"""),103.18)</f>
        <v>103.18</v>
      </c>
      <c r="E428" s="17">
        <f>IFERROR(__xludf.DUMMYFUNCTION("""COMPUTED_VALUE"""),45406.66666666667)</f>
        <v>45406.66667</v>
      </c>
      <c r="F428" s="9">
        <f>IFERROR(__xludf.DUMMYFUNCTION("""COMPUTED_VALUE"""),103.18)</f>
        <v>103.18</v>
      </c>
      <c r="M428" s="17"/>
      <c r="P428" s="17"/>
    </row>
    <row r="429">
      <c r="B429" s="11">
        <f>IFERROR(__xludf.DUMMYFUNCTION("""COMPUTED_VALUE"""),45405.66666666667)</f>
        <v>45405.66667</v>
      </c>
      <c r="C429" s="9">
        <f>IFERROR(__xludf.DUMMYFUNCTION("""COMPUTED_VALUE"""),104.83)</f>
        <v>104.83</v>
      </c>
      <c r="E429" s="17">
        <f>IFERROR(__xludf.DUMMYFUNCTION("""COMPUTED_VALUE"""),45405.66666666667)</f>
        <v>45405.66667</v>
      </c>
      <c r="F429" s="9">
        <f>IFERROR(__xludf.DUMMYFUNCTION("""COMPUTED_VALUE"""),104.83)</f>
        <v>104.83</v>
      </c>
      <c r="M429" s="17"/>
      <c r="P429" s="17"/>
    </row>
    <row r="430">
      <c r="B430" s="11">
        <f>IFERROR(__xludf.DUMMYFUNCTION("""COMPUTED_VALUE"""),45404.66666666667)</f>
        <v>45404.66667</v>
      </c>
      <c r="C430" s="9">
        <f>IFERROR(__xludf.DUMMYFUNCTION("""COMPUTED_VALUE"""),104.08)</f>
        <v>104.08</v>
      </c>
      <c r="E430" s="17">
        <f>IFERROR(__xludf.DUMMYFUNCTION("""COMPUTED_VALUE"""),45404.66666666667)</f>
        <v>45404.66667</v>
      </c>
      <c r="F430" s="9">
        <f>IFERROR(__xludf.DUMMYFUNCTION("""COMPUTED_VALUE"""),104.08)</f>
        <v>104.08</v>
      </c>
      <c r="M430" s="17"/>
      <c r="P430" s="17"/>
    </row>
    <row r="431">
      <c r="B431" s="11">
        <f>IFERROR(__xludf.DUMMYFUNCTION("""COMPUTED_VALUE"""),45401.66666666667)</f>
        <v>45401.66667</v>
      </c>
      <c r="C431" s="9">
        <f>IFERROR(__xludf.DUMMYFUNCTION("""COMPUTED_VALUE"""),103.49)</f>
        <v>103.49</v>
      </c>
      <c r="E431" s="17">
        <f>IFERROR(__xludf.DUMMYFUNCTION("""COMPUTED_VALUE"""),45401.66666666667)</f>
        <v>45401.66667</v>
      </c>
      <c r="F431" s="9">
        <f>IFERROR(__xludf.DUMMYFUNCTION("""COMPUTED_VALUE"""),103.49)</f>
        <v>103.49</v>
      </c>
      <c r="M431" s="17"/>
      <c r="P431" s="17"/>
    </row>
    <row r="432">
      <c r="B432" s="11">
        <f>IFERROR(__xludf.DUMMYFUNCTION("""COMPUTED_VALUE"""),45400.66666666667)</f>
        <v>45400.66667</v>
      </c>
      <c r="C432" s="9">
        <f>IFERROR(__xludf.DUMMYFUNCTION("""COMPUTED_VALUE"""),104.69)</f>
        <v>104.69</v>
      </c>
      <c r="E432" s="17">
        <f>IFERROR(__xludf.DUMMYFUNCTION("""COMPUTED_VALUE"""),45400.66666666667)</f>
        <v>45400.66667</v>
      </c>
      <c r="F432" s="9">
        <f>IFERROR(__xludf.DUMMYFUNCTION("""COMPUTED_VALUE"""),104.69)</f>
        <v>104.69</v>
      </c>
      <c r="M432" s="17"/>
      <c r="P432" s="17"/>
    </row>
    <row r="433">
      <c r="B433" s="11">
        <f>IFERROR(__xludf.DUMMYFUNCTION("""COMPUTED_VALUE"""),45399.66666666667)</f>
        <v>45399.66667</v>
      </c>
      <c r="C433" s="9">
        <f>IFERROR(__xludf.DUMMYFUNCTION("""COMPUTED_VALUE"""),106.49)</f>
        <v>106.49</v>
      </c>
      <c r="E433" s="17">
        <f>IFERROR(__xludf.DUMMYFUNCTION("""COMPUTED_VALUE"""),45399.66666666667)</f>
        <v>45399.66667</v>
      </c>
      <c r="F433" s="9">
        <f>IFERROR(__xludf.DUMMYFUNCTION("""COMPUTED_VALUE"""),106.49)</f>
        <v>106.49</v>
      </c>
      <c r="M433" s="17"/>
      <c r="P433" s="17"/>
    </row>
    <row r="434">
      <c r="B434" s="11">
        <f>IFERROR(__xludf.DUMMYFUNCTION("""COMPUTED_VALUE"""),45398.66666666667)</f>
        <v>45398.66667</v>
      </c>
      <c r="C434" s="9">
        <f>IFERROR(__xludf.DUMMYFUNCTION("""COMPUTED_VALUE"""),114.74)</f>
        <v>114.74</v>
      </c>
      <c r="E434" s="17">
        <f>IFERROR(__xludf.DUMMYFUNCTION("""COMPUTED_VALUE"""),45398.66666666667)</f>
        <v>45398.66667</v>
      </c>
      <c r="F434" s="9">
        <f>IFERROR(__xludf.DUMMYFUNCTION("""COMPUTED_VALUE"""),114.74)</f>
        <v>114.74</v>
      </c>
      <c r="M434" s="17"/>
      <c r="P434" s="17"/>
    </row>
    <row r="435">
      <c r="B435" s="11">
        <f>IFERROR(__xludf.DUMMYFUNCTION("""COMPUTED_VALUE"""),45397.66666666667)</f>
        <v>45397.66667</v>
      </c>
      <c r="C435" s="9">
        <f>IFERROR(__xludf.DUMMYFUNCTION("""COMPUTED_VALUE"""),115.79)</f>
        <v>115.79</v>
      </c>
      <c r="E435" s="17">
        <f>IFERROR(__xludf.DUMMYFUNCTION("""COMPUTED_VALUE"""),45397.66666666667)</f>
        <v>45397.66667</v>
      </c>
      <c r="F435" s="9">
        <f>IFERROR(__xludf.DUMMYFUNCTION("""COMPUTED_VALUE"""),115.79)</f>
        <v>115.79</v>
      </c>
      <c r="M435" s="17"/>
      <c r="P435" s="17"/>
    </row>
    <row r="436">
      <c r="B436" s="11">
        <f>IFERROR(__xludf.DUMMYFUNCTION("""COMPUTED_VALUE"""),45394.66666666667)</f>
        <v>45394.66667</v>
      </c>
      <c r="C436" s="9">
        <f>IFERROR(__xludf.DUMMYFUNCTION("""COMPUTED_VALUE"""),119.0)</f>
        <v>119</v>
      </c>
      <c r="E436" s="17">
        <f>IFERROR(__xludf.DUMMYFUNCTION("""COMPUTED_VALUE"""),45394.66666666667)</f>
        <v>45394.66667</v>
      </c>
      <c r="F436" s="9">
        <f>IFERROR(__xludf.DUMMYFUNCTION("""COMPUTED_VALUE"""),119.0)</f>
        <v>119</v>
      </c>
      <c r="M436" s="17"/>
      <c r="P436" s="17"/>
    </row>
    <row r="437">
      <c r="B437" s="11">
        <f>IFERROR(__xludf.DUMMYFUNCTION("""COMPUTED_VALUE"""),45393.66666666667)</f>
        <v>45393.66667</v>
      </c>
      <c r="C437" s="9">
        <f>IFERROR(__xludf.DUMMYFUNCTION("""COMPUTED_VALUE"""),120.25)</f>
        <v>120.25</v>
      </c>
      <c r="E437" s="17">
        <f>IFERROR(__xludf.DUMMYFUNCTION("""COMPUTED_VALUE"""),45393.66666666667)</f>
        <v>45393.66667</v>
      </c>
      <c r="F437" s="9">
        <f>IFERROR(__xludf.DUMMYFUNCTION("""COMPUTED_VALUE"""),120.25)</f>
        <v>120.25</v>
      </c>
      <c r="M437" s="17"/>
      <c r="P437" s="17"/>
    </row>
    <row r="438">
      <c r="B438" s="11">
        <f>IFERROR(__xludf.DUMMYFUNCTION("""COMPUTED_VALUE"""),45392.66666666667)</f>
        <v>45392.66667</v>
      </c>
      <c r="C438" s="9">
        <f>IFERROR(__xludf.DUMMYFUNCTION("""COMPUTED_VALUE"""),120.62)</f>
        <v>120.62</v>
      </c>
      <c r="E438" s="17">
        <f>IFERROR(__xludf.DUMMYFUNCTION("""COMPUTED_VALUE"""),45392.66666666667)</f>
        <v>45392.66667</v>
      </c>
      <c r="F438" s="9">
        <f>IFERROR(__xludf.DUMMYFUNCTION("""COMPUTED_VALUE"""),120.62)</f>
        <v>120.62</v>
      </c>
      <c r="M438" s="17"/>
      <c r="P438" s="17"/>
    </row>
    <row r="439">
      <c r="B439" s="11">
        <f>IFERROR(__xludf.DUMMYFUNCTION("""COMPUTED_VALUE"""),45391.66666666667)</f>
        <v>45391.66667</v>
      </c>
      <c r="C439" s="9">
        <f>IFERROR(__xludf.DUMMYFUNCTION("""COMPUTED_VALUE"""),126.26)</f>
        <v>126.26</v>
      </c>
      <c r="E439" s="17">
        <f>IFERROR(__xludf.DUMMYFUNCTION("""COMPUTED_VALUE"""),45391.66666666667)</f>
        <v>45391.66667</v>
      </c>
      <c r="F439" s="9">
        <f>IFERROR(__xludf.DUMMYFUNCTION("""COMPUTED_VALUE"""),126.26)</f>
        <v>126.26</v>
      </c>
      <c r="M439" s="17"/>
      <c r="P439" s="17"/>
    </row>
    <row r="440">
      <c r="B440" s="11">
        <f>IFERROR(__xludf.DUMMYFUNCTION("""COMPUTED_VALUE"""),45390.66666666667)</f>
        <v>45390.66667</v>
      </c>
      <c r="C440" s="9">
        <f>IFERROR(__xludf.DUMMYFUNCTION("""COMPUTED_VALUE"""),126.17)</f>
        <v>126.17</v>
      </c>
      <c r="E440" s="17">
        <f>IFERROR(__xludf.DUMMYFUNCTION("""COMPUTED_VALUE"""),45390.66666666667)</f>
        <v>45390.66667</v>
      </c>
      <c r="F440" s="9">
        <f>IFERROR(__xludf.DUMMYFUNCTION("""COMPUTED_VALUE"""),126.17)</f>
        <v>126.17</v>
      </c>
      <c r="M440" s="17"/>
      <c r="P440" s="17"/>
    </row>
    <row r="441">
      <c r="B441" s="11">
        <f>IFERROR(__xludf.DUMMYFUNCTION("""COMPUTED_VALUE"""),45387.66666666667)</f>
        <v>45387.66667</v>
      </c>
      <c r="C441" s="9">
        <f>IFERROR(__xludf.DUMMYFUNCTION("""COMPUTED_VALUE"""),124.74)</f>
        <v>124.74</v>
      </c>
      <c r="E441" s="17">
        <f>IFERROR(__xludf.DUMMYFUNCTION("""COMPUTED_VALUE"""),45387.66666666667)</f>
        <v>45387.66667</v>
      </c>
      <c r="F441" s="9">
        <f>IFERROR(__xludf.DUMMYFUNCTION("""COMPUTED_VALUE"""),124.74)</f>
        <v>124.74</v>
      </c>
      <c r="M441" s="17"/>
      <c r="P441" s="17"/>
    </row>
    <row r="442">
      <c r="B442" s="11">
        <f>IFERROR(__xludf.DUMMYFUNCTION("""COMPUTED_VALUE"""),45386.66666666667)</f>
        <v>45386.66667</v>
      </c>
      <c r="C442" s="9">
        <f>IFERROR(__xludf.DUMMYFUNCTION("""COMPUTED_VALUE"""),124.69)</f>
        <v>124.69</v>
      </c>
      <c r="E442" s="17">
        <f>IFERROR(__xludf.DUMMYFUNCTION("""COMPUTED_VALUE"""),45386.66666666667)</f>
        <v>45386.66667</v>
      </c>
      <c r="F442" s="9">
        <f>IFERROR(__xludf.DUMMYFUNCTION("""COMPUTED_VALUE"""),124.69)</f>
        <v>124.69</v>
      </c>
      <c r="M442" s="17"/>
      <c r="P442" s="17"/>
    </row>
    <row r="443">
      <c r="B443" s="11">
        <f>IFERROR(__xludf.DUMMYFUNCTION("""COMPUTED_VALUE"""),45385.66666666667)</f>
        <v>45385.66667</v>
      </c>
      <c r="C443" s="9">
        <f>IFERROR(__xludf.DUMMYFUNCTION("""COMPUTED_VALUE"""),126.09)</f>
        <v>126.09</v>
      </c>
      <c r="E443" s="17">
        <f>IFERROR(__xludf.DUMMYFUNCTION("""COMPUTED_VALUE"""),45385.66666666667)</f>
        <v>45385.66667</v>
      </c>
      <c r="F443" s="9">
        <f>IFERROR(__xludf.DUMMYFUNCTION("""COMPUTED_VALUE"""),126.09)</f>
        <v>126.09</v>
      </c>
      <c r="M443" s="17"/>
      <c r="P443" s="17"/>
    </row>
    <row r="444">
      <c r="B444" s="11">
        <f>IFERROR(__xludf.DUMMYFUNCTION("""COMPUTED_VALUE"""),45384.66666666667)</f>
        <v>45384.66667</v>
      </c>
      <c r="C444" s="9">
        <f>IFERROR(__xludf.DUMMYFUNCTION("""COMPUTED_VALUE"""),125.58)</f>
        <v>125.58</v>
      </c>
      <c r="E444" s="17">
        <f>IFERROR(__xludf.DUMMYFUNCTION("""COMPUTED_VALUE"""),45384.66666666667)</f>
        <v>45384.66667</v>
      </c>
      <c r="F444" s="9">
        <f>IFERROR(__xludf.DUMMYFUNCTION("""COMPUTED_VALUE"""),125.58)</f>
        <v>125.58</v>
      </c>
      <c r="M444" s="17"/>
      <c r="P444" s="17"/>
    </row>
    <row r="445">
      <c r="B445" s="11">
        <f>IFERROR(__xludf.DUMMYFUNCTION("""COMPUTED_VALUE"""),45383.66666666667)</f>
        <v>45383.66667</v>
      </c>
      <c r="C445" s="9">
        <f>IFERROR(__xludf.DUMMYFUNCTION("""COMPUTED_VALUE"""),127.92)</f>
        <v>127.92</v>
      </c>
      <c r="E445" s="17">
        <f>IFERROR(__xludf.DUMMYFUNCTION("""COMPUTED_VALUE"""),45383.66666666667)</f>
        <v>45383.66667</v>
      </c>
      <c r="F445" s="9">
        <f>IFERROR(__xludf.DUMMYFUNCTION("""COMPUTED_VALUE"""),127.92)</f>
        <v>127.92</v>
      </c>
      <c r="M445" s="17"/>
      <c r="P445" s="17"/>
    </row>
    <row r="446">
      <c r="B446" s="11">
        <f>IFERROR(__xludf.DUMMYFUNCTION("""COMPUTED_VALUE"""),45379.66666666667)</f>
        <v>45379.66667</v>
      </c>
      <c r="C446" s="9">
        <f>IFERROR(__xludf.DUMMYFUNCTION("""COMPUTED_VALUE"""),130.22)</f>
        <v>130.22</v>
      </c>
      <c r="E446" s="17">
        <f>IFERROR(__xludf.DUMMYFUNCTION("""COMPUTED_VALUE"""),45379.66666666667)</f>
        <v>45379.66667</v>
      </c>
      <c r="F446" s="9">
        <f>IFERROR(__xludf.DUMMYFUNCTION("""COMPUTED_VALUE"""),130.22)</f>
        <v>130.22</v>
      </c>
      <c r="M446" s="17"/>
      <c r="P446" s="17"/>
    </row>
    <row r="447">
      <c r="B447" s="11">
        <f>IFERROR(__xludf.DUMMYFUNCTION("""COMPUTED_VALUE"""),45378.66666666667)</f>
        <v>45378.66667</v>
      </c>
      <c r="C447" s="9">
        <f>IFERROR(__xludf.DUMMYFUNCTION("""COMPUTED_VALUE"""),128.86)</f>
        <v>128.86</v>
      </c>
      <c r="E447" s="17">
        <f>IFERROR(__xludf.DUMMYFUNCTION("""COMPUTED_VALUE"""),45378.66666666667)</f>
        <v>45378.66667</v>
      </c>
      <c r="F447" s="9">
        <f>IFERROR(__xludf.DUMMYFUNCTION("""COMPUTED_VALUE"""),128.86)</f>
        <v>128.86</v>
      </c>
      <c r="M447" s="17"/>
      <c r="P447" s="17"/>
    </row>
    <row r="448">
      <c r="B448" s="11">
        <f>IFERROR(__xludf.DUMMYFUNCTION("""COMPUTED_VALUE"""),45377.66666666667)</f>
        <v>45377.66667</v>
      </c>
      <c r="C448" s="9">
        <f>IFERROR(__xludf.DUMMYFUNCTION("""COMPUTED_VALUE"""),125.14)</f>
        <v>125.14</v>
      </c>
      <c r="E448" s="17">
        <f>IFERROR(__xludf.DUMMYFUNCTION("""COMPUTED_VALUE"""),45377.66666666667)</f>
        <v>45377.66667</v>
      </c>
      <c r="F448" s="9">
        <f>IFERROR(__xludf.DUMMYFUNCTION("""COMPUTED_VALUE"""),125.14)</f>
        <v>125.14</v>
      </c>
      <c r="M448" s="17"/>
      <c r="P448" s="17"/>
    </row>
    <row r="449">
      <c r="B449" s="11">
        <f>IFERROR(__xludf.DUMMYFUNCTION("""COMPUTED_VALUE"""),45376.66666666667)</f>
        <v>45376.66667</v>
      </c>
      <c r="C449" s="9">
        <f>IFERROR(__xludf.DUMMYFUNCTION("""COMPUTED_VALUE"""),127.13)</f>
        <v>127.13</v>
      </c>
      <c r="E449" s="17">
        <f>IFERROR(__xludf.DUMMYFUNCTION("""COMPUTED_VALUE"""),45376.66666666667)</f>
        <v>45376.66667</v>
      </c>
      <c r="F449" s="9">
        <f>IFERROR(__xludf.DUMMYFUNCTION("""COMPUTED_VALUE"""),127.13)</f>
        <v>127.13</v>
      </c>
      <c r="M449" s="17"/>
      <c r="P449" s="17"/>
    </row>
    <row r="450">
      <c r="B450" s="11">
        <f>IFERROR(__xludf.DUMMYFUNCTION("""COMPUTED_VALUE"""),45373.66666666667)</f>
        <v>45373.66667</v>
      </c>
      <c r="C450" s="9">
        <f>IFERROR(__xludf.DUMMYFUNCTION("""COMPUTED_VALUE"""),128.62)</f>
        <v>128.62</v>
      </c>
      <c r="E450" s="17">
        <f>IFERROR(__xludf.DUMMYFUNCTION("""COMPUTED_VALUE"""),45373.66666666667)</f>
        <v>45373.66667</v>
      </c>
      <c r="F450" s="9">
        <f>IFERROR(__xludf.DUMMYFUNCTION("""COMPUTED_VALUE"""),128.62)</f>
        <v>128.62</v>
      </c>
      <c r="M450" s="17"/>
      <c r="P450" s="17"/>
    </row>
    <row r="451">
      <c r="B451" s="11">
        <f>IFERROR(__xludf.DUMMYFUNCTION("""COMPUTED_VALUE"""),45372.66666666667)</f>
        <v>45372.66667</v>
      </c>
      <c r="C451" s="9">
        <f>IFERROR(__xludf.DUMMYFUNCTION("""COMPUTED_VALUE"""),129.89)</f>
        <v>129.89</v>
      </c>
      <c r="E451" s="17">
        <f>IFERROR(__xludf.DUMMYFUNCTION("""COMPUTED_VALUE"""),45372.66666666667)</f>
        <v>45372.66667</v>
      </c>
      <c r="F451" s="9">
        <f>IFERROR(__xludf.DUMMYFUNCTION("""COMPUTED_VALUE"""),129.89)</f>
        <v>129.89</v>
      </c>
      <c r="M451" s="17"/>
      <c r="P451" s="17"/>
    </row>
    <row r="452">
      <c r="B452" s="11">
        <f>IFERROR(__xludf.DUMMYFUNCTION("""COMPUTED_VALUE"""),45371.66666666667)</f>
        <v>45371.66667</v>
      </c>
      <c r="C452" s="9">
        <f>IFERROR(__xludf.DUMMYFUNCTION("""COMPUTED_VALUE"""),128.7)</f>
        <v>128.7</v>
      </c>
      <c r="E452" s="17">
        <f>IFERROR(__xludf.DUMMYFUNCTION("""COMPUTED_VALUE"""),45371.66666666667)</f>
        <v>45371.66667</v>
      </c>
      <c r="F452" s="9">
        <f>IFERROR(__xludf.DUMMYFUNCTION("""COMPUTED_VALUE"""),128.7)</f>
        <v>128.7</v>
      </c>
      <c r="M452" s="17"/>
      <c r="P452" s="17"/>
    </row>
    <row r="453">
      <c r="B453" s="11">
        <f>IFERROR(__xludf.DUMMYFUNCTION("""COMPUTED_VALUE"""),45370.66666666667)</f>
        <v>45370.66667</v>
      </c>
      <c r="C453" s="9">
        <f>IFERROR(__xludf.DUMMYFUNCTION("""COMPUTED_VALUE"""),127.85)</f>
        <v>127.85</v>
      </c>
      <c r="E453" s="17">
        <f>IFERROR(__xludf.DUMMYFUNCTION("""COMPUTED_VALUE"""),45370.66666666667)</f>
        <v>45370.66667</v>
      </c>
      <c r="F453" s="9">
        <f>IFERROR(__xludf.DUMMYFUNCTION("""COMPUTED_VALUE"""),127.85)</f>
        <v>127.85</v>
      </c>
      <c r="M453" s="17"/>
      <c r="P453" s="17"/>
    </row>
    <row r="454">
      <c r="B454" s="11">
        <f>IFERROR(__xludf.DUMMYFUNCTION("""COMPUTED_VALUE"""),45369.66666666667)</f>
        <v>45369.66667</v>
      </c>
      <c r="C454" s="9">
        <f>IFERROR(__xludf.DUMMYFUNCTION("""COMPUTED_VALUE"""),128.14)</f>
        <v>128.14</v>
      </c>
      <c r="E454" s="17">
        <f>IFERROR(__xludf.DUMMYFUNCTION("""COMPUTED_VALUE"""),45369.66666666667)</f>
        <v>45369.66667</v>
      </c>
      <c r="F454" s="9">
        <f>IFERROR(__xludf.DUMMYFUNCTION("""COMPUTED_VALUE"""),128.14)</f>
        <v>128.14</v>
      </c>
      <c r="M454" s="17"/>
      <c r="P454" s="17"/>
    </row>
    <row r="455">
      <c r="B455" s="11">
        <f>IFERROR(__xludf.DUMMYFUNCTION("""COMPUTED_VALUE"""),45366.66666666667)</f>
        <v>45366.66667</v>
      </c>
      <c r="C455" s="9">
        <f>IFERROR(__xludf.DUMMYFUNCTION("""COMPUTED_VALUE"""),129.02)</f>
        <v>129.02</v>
      </c>
      <c r="E455" s="17">
        <f>IFERROR(__xludf.DUMMYFUNCTION("""COMPUTED_VALUE"""),45366.66666666667)</f>
        <v>45366.66667</v>
      </c>
      <c r="F455" s="9">
        <f>IFERROR(__xludf.DUMMYFUNCTION("""COMPUTED_VALUE"""),129.02)</f>
        <v>129.02</v>
      </c>
      <c r="M455" s="17"/>
      <c r="P455" s="17"/>
    </row>
    <row r="456">
      <c r="B456" s="11">
        <f>IFERROR(__xludf.DUMMYFUNCTION("""COMPUTED_VALUE"""),45365.66666666667)</f>
        <v>45365.66667</v>
      </c>
      <c r="C456" s="9">
        <f>IFERROR(__xludf.DUMMYFUNCTION("""COMPUTED_VALUE"""),130.75)</f>
        <v>130.75</v>
      </c>
      <c r="E456" s="17">
        <f>IFERROR(__xludf.DUMMYFUNCTION("""COMPUTED_VALUE"""),45365.66666666667)</f>
        <v>45365.66667</v>
      </c>
      <c r="F456" s="9">
        <f>IFERROR(__xludf.DUMMYFUNCTION("""COMPUTED_VALUE"""),130.75)</f>
        <v>130.75</v>
      </c>
      <c r="M456" s="17"/>
      <c r="P456" s="17"/>
    </row>
    <row r="457">
      <c r="B457" s="11">
        <f>IFERROR(__xludf.DUMMYFUNCTION("""COMPUTED_VALUE"""),45364.66666666667)</f>
        <v>45364.66667</v>
      </c>
      <c r="C457" s="9">
        <f>IFERROR(__xludf.DUMMYFUNCTION("""COMPUTED_VALUE"""),133.33)</f>
        <v>133.33</v>
      </c>
      <c r="E457" s="17">
        <f>IFERROR(__xludf.DUMMYFUNCTION("""COMPUTED_VALUE"""),45364.66666666667)</f>
        <v>45364.66667</v>
      </c>
      <c r="F457" s="9">
        <f>IFERROR(__xludf.DUMMYFUNCTION("""COMPUTED_VALUE"""),133.33)</f>
        <v>133.33</v>
      </c>
      <c r="M457" s="17"/>
      <c r="P457" s="17"/>
    </row>
    <row r="458">
      <c r="B458" s="11">
        <f>IFERROR(__xludf.DUMMYFUNCTION("""COMPUTED_VALUE"""),45363.66666666667)</f>
        <v>45363.66667</v>
      </c>
      <c r="C458" s="9">
        <f>IFERROR(__xludf.DUMMYFUNCTION("""COMPUTED_VALUE"""),134.57)</f>
        <v>134.57</v>
      </c>
      <c r="E458" s="17">
        <f>IFERROR(__xludf.DUMMYFUNCTION("""COMPUTED_VALUE"""),45363.66666666667)</f>
        <v>45363.66667</v>
      </c>
      <c r="F458" s="9">
        <f>IFERROR(__xludf.DUMMYFUNCTION("""COMPUTED_VALUE"""),134.57)</f>
        <v>134.57</v>
      </c>
      <c r="M458" s="17"/>
      <c r="P458" s="17"/>
    </row>
    <row r="459">
      <c r="B459" s="11">
        <f>IFERROR(__xludf.DUMMYFUNCTION("""COMPUTED_VALUE"""),45362.66666666667)</f>
        <v>45362.66667</v>
      </c>
      <c r="C459" s="9">
        <f>IFERROR(__xludf.DUMMYFUNCTION("""COMPUTED_VALUE"""),134.12)</f>
        <v>134.12</v>
      </c>
      <c r="E459" s="17">
        <f>IFERROR(__xludf.DUMMYFUNCTION("""COMPUTED_VALUE"""),45362.66666666667)</f>
        <v>45362.66667</v>
      </c>
      <c r="F459" s="9">
        <f>IFERROR(__xludf.DUMMYFUNCTION("""COMPUTED_VALUE"""),134.12)</f>
        <v>134.12</v>
      </c>
      <c r="M459" s="17"/>
      <c r="P459" s="17"/>
    </row>
    <row r="460">
      <c r="B460" s="11">
        <f>IFERROR(__xludf.DUMMYFUNCTION("""COMPUTED_VALUE"""),45359.66666666667)</f>
        <v>45359.66667</v>
      </c>
      <c r="C460" s="9">
        <f>IFERROR(__xludf.DUMMYFUNCTION("""COMPUTED_VALUE"""),135.07)</f>
        <v>135.07</v>
      </c>
      <c r="E460" s="17">
        <f>IFERROR(__xludf.DUMMYFUNCTION("""COMPUTED_VALUE"""),45359.66666666667)</f>
        <v>45359.66667</v>
      </c>
      <c r="F460" s="9">
        <f>IFERROR(__xludf.DUMMYFUNCTION("""COMPUTED_VALUE"""),135.07)</f>
        <v>135.07</v>
      </c>
      <c r="M460" s="17"/>
      <c r="P460" s="17"/>
    </row>
    <row r="461">
      <c r="B461" s="11">
        <f>IFERROR(__xludf.DUMMYFUNCTION("""COMPUTED_VALUE"""),45358.66666666667)</f>
        <v>45358.66667</v>
      </c>
      <c r="C461" s="9">
        <f>IFERROR(__xludf.DUMMYFUNCTION("""COMPUTED_VALUE"""),132.74)</f>
        <v>132.74</v>
      </c>
      <c r="E461" s="17">
        <f>IFERROR(__xludf.DUMMYFUNCTION("""COMPUTED_VALUE"""),45358.66666666667)</f>
        <v>45358.66667</v>
      </c>
      <c r="F461" s="9">
        <f>IFERROR(__xludf.DUMMYFUNCTION("""COMPUTED_VALUE"""),132.74)</f>
        <v>132.74</v>
      </c>
      <c r="M461" s="17"/>
      <c r="P461" s="17"/>
    </row>
    <row r="462">
      <c r="B462" s="11">
        <f>IFERROR(__xludf.DUMMYFUNCTION("""COMPUTED_VALUE"""),45357.66666666667)</f>
        <v>45357.66667</v>
      </c>
      <c r="C462" s="9">
        <f>IFERROR(__xludf.DUMMYFUNCTION("""COMPUTED_VALUE"""),133.08)</f>
        <v>133.08</v>
      </c>
      <c r="E462" s="17">
        <f>IFERROR(__xludf.DUMMYFUNCTION("""COMPUTED_VALUE"""),45357.66666666667)</f>
        <v>45357.66667</v>
      </c>
      <c r="F462" s="9">
        <f>IFERROR(__xludf.DUMMYFUNCTION("""COMPUTED_VALUE"""),133.08)</f>
        <v>133.08</v>
      </c>
      <c r="M462" s="17"/>
      <c r="P462" s="17"/>
    </row>
    <row r="463">
      <c r="B463" s="11">
        <f>IFERROR(__xludf.DUMMYFUNCTION("""COMPUTED_VALUE"""),45356.66666666667)</f>
        <v>45356.66667</v>
      </c>
      <c r="C463" s="9">
        <f>IFERROR(__xludf.DUMMYFUNCTION("""COMPUTED_VALUE"""),132.44)</f>
        <v>132.44</v>
      </c>
      <c r="E463" s="17">
        <f>IFERROR(__xludf.DUMMYFUNCTION("""COMPUTED_VALUE"""),45356.66666666667)</f>
        <v>45356.66667</v>
      </c>
      <c r="F463" s="9">
        <f>IFERROR(__xludf.DUMMYFUNCTION("""COMPUTED_VALUE"""),132.44)</f>
        <v>132.44</v>
      </c>
      <c r="M463" s="17"/>
      <c r="P463" s="17"/>
    </row>
    <row r="464">
      <c r="B464" s="11">
        <f>IFERROR(__xludf.DUMMYFUNCTION("""COMPUTED_VALUE"""),45355.66666666667)</f>
        <v>45355.66667</v>
      </c>
      <c r="C464" s="9">
        <f>IFERROR(__xludf.DUMMYFUNCTION("""COMPUTED_VALUE"""),133.61)</f>
        <v>133.61</v>
      </c>
      <c r="E464" s="17">
        <f>IFERROR(__xludf.DUMMYFUNCTION("""COMPUTED_VALUE"""),45355.66666666667)</f>
        <v>45355.66667</v>
      </c>
      <c r="F464" s="9">
        <f>IFERROR(__xludf.DUMMYFUNCTION("""COMPUTED_VALUE"""),133.61)</f>
        <v>133.61</v>
      </c>
      <c r="M464" s="17"/>
      <c r="P464" s="17"/>
    </row>
    <row r="465">
      <c r="B465" s="11">
        <f>IFERROR(__xludf.DUMMYFUNCTION("""COMPUTED_VALUE"""),45352.66666666667)</f>
        <v>45352.66667</v>
      </c>
      <c r="C465" s="9">
        <f>IFERROR(__xludf.DUMMYFUNCTION("""COMPUTED_VALUE"""),134.6)</f>
        <v>134.6</v>
      </c>
      <c r="E465" s="17">
        <f>IFERROR(__xludf.DUMMYFUNCTION("""COMPUTED_VALUE"""),45352.66666666667)</f>
        <v>45352.66667</v>
      </c>
      <c r="F465" s="9">
        <f>IFERROR(__xludf.DUMMYFUNCTION("""COMPUTED_VALUE"""),134.6)</f>
        <v>134.6</v>
      </c>
      <c r="M465" s="17"/>
      <c r="P465" s="17"/>
    </row>
    <row r="466">
      <c r="B466" s="11">
        <f>IFERROR(__xludf.DUMMYFUNCTION("""COMPUTED_VALUE"""),45351.66666666667)</f>
        <v>45351.66667</v>
      </c>
      <c r="C466" s="9">
        <f>IFERROR(__xludf.DUMMYFUNCTION("""COMPUTED_VALUE"""),133.27)</f>
        <v>133.27</v>
      </c>
      <c r="E466" s="17">
        <f>IFERROR(__xludf.DUMMYFUNCTION("""COMPUTED_VALUE"""),45351.66666666667)</f>
        <v>45351.66667</v>
      </c>
      <c r="F466" s="9">
        <f>IFERROR(__xludf.DUMMYFUNCTION("""COMPUTED_VALUE"""),133.27)</f>
        <v>133.27</v>
      </c>
      <c r="M466" s="17"/>
      <c r="P466" s="17"/>
    </row>
    <row r="467">
      <c r="B467" s="11">
        <f>IFERROR(__xludf.DUMMYFUNCTION("""COMPUTED_VALUE"""),45350.66666666667)</f>
        <v>45350.66667</v>
      </c>
      <c r="C467" s="9">
        <f>IFERROR(__xludf.DUMMYFUNCTION("""COMPUTED_VALUE"""),133.99)</f>
        <v>133.99</v>
      </c>
      <c r="E467" s="17">
        <f>IFERROR(__xludf.DUMMYFUNCTION("""COMPUTED_VALUE"""),45350.66666666667)</f>
        <v>45350.66667</v>
      </c>
      <c r="F467" s="9">
        <f>IFERROR(__xludf.DUMMYFUNCTION("""COMPUTED_VALUE"""),133.99)</f>
        <v>133.99</v>
      </c>
      <c r="M467" s="17"/>
      <c r="P467" s="17"/>
    </row>
    <row r="468">
      <c r="B468" s="11">
        <f>IFERROR(__xludf.DUMMYFUNCTION("""COMPUTED_VALUE"""),45349.66666666667)</f>
        <v>45349.66667</v>
      </c>
      <c r="C468" s="9">
        <f>IFERROR(__xludf.DUMMYFUNCTION("""COMPUTED_VALUE"""),132.49)</f>
        <v>132.49</v>
      </c>
      <c r="E468" s="17">
        <f>IFERROR(__xludf.DUMMYFUNCTION("""COMPUTED_VALUE"""),45349.66666666667)</f>
        <v>45349.66667</v>
      </c>
      <c r="F468" s="9">
        <f>IFERROR(__xludf.DUMMYFUNCTION("""COMPUTED_VALUE"""),132.49)</f>
        <v>132.49</v>
      </c>
      <c r="M468" s="17"/>
      <c r="P468" s="17"/>
    </row>
    <row r="469">
      <c r="B469" s="11">
        <f>IFERROR(__xludf.DUMMYFUNCTION("""COMPUTED_VALUE"""),45348.66666666667)</f>
        <v>45348.66667</v>
      </c>
      <c r="C469" s="9">
        <f>IFERROR(__xludf.DUMMYFUNCTION("""COMPUTED_VALUE"""),132.56)</f>
        <v>132.56</v>
      </c>
      <c r="E469" s="17">
        <f>IFERROR(__xludf.DUMMYFUNCTION("""COMPUTED_VALUE"""),45348.66666666667)</f>
        <v>45348.66667</v>
      </c>
      <c r="F469" s="9">
        <f>IFERROR(__xludf.DUMMYFUNCTION("""COMPUTED_VALUE"""),132.56)</f>
        <v>132.56</v>
      </c>
      <c r="M469" s="17"/>
      <c r="P469" s="17"/>
    </row>
    <row r="470">
      <c r="B470" s="11">
        <f>IFERROR(__xludf.DUMMYFUNCTION("""COMPUTED_VALUE"""),45345.66666666667)</f>
        <v>45345.66667</v>
      </c>
      <c r="C470" s="9">
        <f>IFERROR(__xludf.DUMMYFUNCTION("""COMPUTED_VALUE"""),133.21)</f>
        <v>133.21</v>
      </c>
      <c r="E470" s="17">
        <f>IFERROR(__xludf.DUMMYFUNCTION("""COMPUTED_VALUE"""),45345.66666666667)</f>
        <v>45345.66667</v>
      </c>
      <c r="F470" s="9">
        <f>IFERROR(__xludf.DUMMYFUNCTION("""COMPUTED_VALUE"""),133.21)</f>
        <v>133.21</v>
      </c>
      <c r="M470" s="17"/>
      <c r="P470" s="17"/>
    </row>
    <row r="471">
      <c r="B471" s="11">
        <f>IFERROR(__xludf.DUMMYFUNCTION("""COMPUTED_VALUE"""),45344.66666666667)</f>
        <v>45344.66667</v>
      </c>
      <c r="C471" s="9">
        <f>IFERROR(__xludf.DUMMYFUNCTION("""COMPUTED_VALUE"""),133.44)</f>
        <v>133.44</v>
      </c>
      <c r="E471" s="17">
        <f>IFERROR(__xludf.DUMMYFUNCTION("""COMPUTED_VALUE"""),45344.66666666667)</f>
        <v>45344.66667</v>
      </c>
      <c r="F471" s="9">
        <f>IFERROR(__xludf.DUMMYFUNCTION("""COMPUTED_VALUE"""),133.44)</f>
        <v>133.44</v>
      </c>
      <c r="M471" s="17"/>
      <c r="P471" s="17"/>
    </row>
    <row r="472">
      <c r="B472" s="11">
        <f>IFERROR(__xludf.DUMMYFUNCTION("""COMPUTED_VALUE"""),45343.66666666667)</f>
        <v>45343.66667</v>
      </c>
      <c r="C472" s="9">
        <f>IFERROR(__xludf.DUMMYFUNCTION("""COMPUTED_VALUE"""),133.42)</f>
        <v>133.42</v>
      </c>
      <c r="E472" s="17">
        <f>IFERROR(__xludf.DUMMYFUNCTION("""COMPUTED_VALUE"""),45343.66666666667)</f>
        <v>45343.66667</v>
      </c>
      <c r="F472" s="9">
        <f>IFERROR(__xludf.DUMMYFUNCTION("""COMPUTED_VALUE"""),133.42)</f>
        <v>133.42</v>
      </c>
      <c r="M472" s="17"/>
      <c r="P472" s="17"/>
    </row>
    <row r="473">
      <c r="B473" s="11">
        <f>IFERROR(__xludf.DUMMYFUNCTION("""COMPUTED_VALUE"""),45342.66666666667)</f>
        <v>45342.66667</v>
      </c>
      <c r="C473" s="9">
        <f>IFERROR(__xludf.DUMMYFUNCTION("""COMPUTED_VALUE"""),133.35)</f>
        <v>133.35</v>
      </c>
      <c r="E473" s="17">
        <f>IFERROR(__xludf.DUMMYFUNCTION("""COMPUTED_VALUE"""),45342.66666666667)</f>
        <v>45342.66667</v>
      </c>
      <c r="F473" s="9">
        <f>IFERROR(__xludf.DUMMYFUNCTION("""COMPUTED_VALUE"""),133.35)</f>
        <v>133.35</v>
      </c>
      <c r="M473" s="17"/>
      <c r="P473" s="17"/>
    </row>
    <row r="474">
      <c r="B474" s="11">
        <f>IFERROR(__xludf.DUMMYFUNCTION("""COMPUTED_VALUE"""),45338.66666666667)</f>
        <v>45338.66667</v>
      </c>
      <c r="C474" s="9">
        <f>IFERROR(__xludf.DUMMYFUNCTION("""COMPUTED_VALUE"""),133.39)</f>
        <v>133.39</v>
      </c>
      <c r="E474" s="17">
        <f>IFERROR(__xludf.DUMMYFUNCTION("""COMPUTED_VALUE"""),45338.66666666667)</f>
        <v>45338.66667</v>
      </c>
      <c r="F474" s="9">
        <f>IFERROR(__xludf.DUMMYFUNCTION("""COMPUTED_VALUE"""),133.39)</f>
        <v>133.39</v>
      </c>
      <c r="M474" s="17"/>
      <c r="P474" s="17"/>
    </row>
    <row r="475">
      <c r="B475" s="11">
        <f>IFERROR(__xludf.DUMMYFUNCTION("""COMPUTED_VALUE"""),45337.66666666667)</f>
        <v>45337.66667</v>
      </c>
      <c r="C475" s="9">
        <f>IFERROR(__xludf.DUMMYFUNCTION("""COMPUTED_VALUE"""),133.1)</f>
        <v>133.1</v>
      </c>
      <c r="E475" s="17">
        <f>IFERROR(__xludf.DUMMYFUNCTION("""COMPUTED_VALUE"""),45337.66666666667)</f>
        <v>45337.66667</v>
      </c>
      <c r="F475" s="9">
        <f>IFERROR(__xludf.DUMMYFUNCTION("""COMPUTED_VALUE"""),133.1)</f>
        <v>133.1</v>
      </c>
      <c r="M475" s="17"/>
      <c r="P475" s="17"/>
    </row>
    <row r="476">
      <c r="B476" s="11">
        <f>IFERROR(__xludf.DUMMYFUNCTION("""COMPUTED_VALUE"""),45336.66666666667)</f>
        <v>45336.66667</v>
      </c>
      <c r="C476" s="9">
        <f>IFERROR(__xludf.DUMMYFUNCTION("""COMPUTED_VALUE"""),130.5)</f>
        <v>130.5</v>
      </c>
      <c r="E476" s="17">
        <f>IFERROR(__xludf.DUMMYFUNCTION("""COMPUTED_VALUE"""),45336.66666666667)</f>
        <v>45336.66667</v>
      </c>
      <c r="F476" s="9">
        <f>IFERROR(__xludf.DUMMYFUNCTION("""COMPUTED_VALUE"""),130.5)</f>
        <v>130.5</v>
      </c>
      <c r="M476" s="17"/>
      <c r="P476" s="17"/>
    </row>
    <row r="477">
      <c r="B477" s="11">
        <f>IFERROR(__xludf.DUMMYFUNCTION("""COMPUTED_VALUE"""),45335.66666666667)</f>
        <v>45335.66667</v>
      </c>
      <c r="C477" s="9">
        <f>IFERROR(__xludf.DUMMYFUNCTION("""COMPUTED_VALUE"""),130.88)</f>
        <v>130.88</v>
      </c>
      <c r="E477" s="17">
        <f>IFERROR(__xludf.DUMMYFUNCTION("""COMPUTED_VALUE"""),45335.66666666667)</f>
        <v>45335.66667</v>
      </c>
      <c r="F477" s="9">
        <f>IFERROR(__xludf.DUMMYFUNCTION("""COMPUTED_VALUE"""),130.88)</f>
        <v>130.88</v>
      </c>
      <c r="M477" s="17"/>
      <c r="P477" s="17"/>
    </row>
    <row r="478">
      <c r="B478" s="11">
        <f>IFERROR(__xludf.DUMMYFUNCTION("""COMPUTED_VALUE"""),45334.66666666667)</f>
        <v>45334.66667</v>
      </c>
      <c r="C478" s="9">
        <f>IFERROR(__xludf.DUMMYFUNCTION("""COMPUTED_VALUE"""),132.05)</f>
        <v>132.05</v>
      </c>
      <c r="E478" s="17">
        <f>IFERROR(__xludf.DUMMYFUNCTION("""COMPUTED_VALUE"""),45334.66666666667)</f>
        <v>45334.66667</v>
      </c>
      <c r="F478" s="9">
        <f>IFERROR(__xludf.DUMMYFUNCTION("""COMPUTED_VALUE"""),132.05)</f>
        <v>132.05</v>
      </c>
      <c r="M478" s="17"/>
      <c r="P478" s="17"/>
    </row>
    <row r="479">
      <c r="B479" s="11">
        <f>IFERROR(__xludf.DUMMYFUNCTION("""COMPUTED_VALUE"""),45331.66666666667)</f>
        <v>45331.66667</v>
      </c>
      <c r="C479" s="9">
        <f>IFERROR(__xludf.DUMMYFUNCTION("""COMPUTED_VALUE"""),132.48)</f>
        <v>132.48</v>
      </c>
      <c r="E479" s="17">
        <f>IFERROR(__xludf.DUMMYFUNCTION("""COMPUTED_VALUE"""),45331.66666666667)</f>
        <v>45331.66667</v>
      </c>
      <c r="F479" s="9">
        <f>IFERROR(__xludf.DUMMYFUNCTION("""COMPUTED_VALUE"""),132.48)</f>
        <v>132.48</v>
      </c>
      <c r="M479" s="17"/>
      <c r="P479" s="17"/>
    </row>
    <row r="480">
      <c r="B480" s="11">
        <f>IFERROR(__xludf.DUMMYFUNCTION("""COMPUTED_VALUE"""),45330.66666666667)</f>
        <v>45330.66667</v>
      </c>
      <c r="C480" s="9">
        <f>IFERROR(__xludf.DUMMYFUNCTION("""COMPUTED_VALUE"""),131.66)</f>
        <v>131.66</v>
      </c>
      <c r="E480" s="17">
        <f>IFERROR(__xludf.DUMMYFUNCTION("""COMPUTED_VALUE"""),45330.66666666667)</f>
        <v>45330.66667</v>
      </c>
      <c r="F480" s="9">
        <f>IFERROR(__xludf.DUMMYFUNCTION("""COMPUTED_VALUE"""),131.66)</f>
        <v>131.66</v>
      </c>
      <c r="M480" s="17"/>
      <c r="P480" s="17"/>
    </row>
    <row r="481">
      <c r="B481" s="11">
        <f>IFERROR(__xludf.DUMMYFUNCTION("""COMPUTED_VALUE"""),45329.66666666667)</f>
        <v>45329.66667</v>
      </c>
      <c r="C481" s="9">
        <f>IFERROR(__xludf.DUMMYFUNCTION("""COMPUTED_VALUE"""),129.09)</f>
        <v>129.09</v>
      </c>
      <c r="E481" s="17">
        <f>IFERROR(__xludf.DUMMYFUNCTION("""COMPUTED_VALUE"""),45329.66666666667)</f>
        <v>45329.66667</v>
      </c>
      <c r="F481" s="9">
        <f>IFERROR(__xludf.DUMMYFUNCTION("""COMPUTED_VALUE"""),129.09)</f>
        <v>129.09</v>
      </c>
      <c r="M481" s="17"/>
      <c r="P481" s="17"/>
    </row>
    <row r="482">
      <c r="B482" s="11">
        <f>IFERROR(__xludf.DUMMYFUNCTION("""COMPUTED_VALUE"""),45328.66666666667)</f>
        <v>45328.66667</v>
      </c>
      <c r="C482" s="9">
        <f>IFERROR(__xludf.DUMMYFUNCTION("""COMPUTED_VALUE"""),130.5)</f>
        <v>130.5</v>
      </c>
      <c r="E482" s="17">
        <f>IFERROR(__xludf.DUMMYFUNCTION("""COMPUTED_VALUE"""),45328.66666666667)</f>
        <v>45328.66667</v>
      </c>
      <c r="F482" s="9">
        <f>IFERROR(__xludf.DUMMYFUNCTION("""COMPUTED_VALUE"""),130.5)</f>
        <v>130.5</v>
      </c>
      <c r="M482" s="17"/>
      <c r="P482" s="17"/>
    </row>
    <row r="483">
      <c r="B483" s="11">
        <f>IFERROR(__xludf.DUMMYFUNCTION("""COMPUTED_VALUE"""),45327.66666666667)</f>
        <v>45327.66667</v>
      </c>
      <c r="C483" s="9">
        <f>IFERROR(__xludf.DUMMYFUNCTION("""COMPUTED_VALUE"""),126.91)</f>
        <v>126.91</v>
      </c>
      <c r="E483" s="17">
        <f>IFERROR(__xludf.DUMMYFUNCTION("""COMPUTED_VALUE"""),45327.66666666667)</f>
        <v>45327.66667</v>
      </c>
      <c r="F483" s="9">
        <f>IFERROR(__xludf.DUMMYFUNCTION("""COMPUTED_VALUE"""),126.91)</f>
        <v>126.91</v>
      </c>
      <c r="M483" s="17"/>
      <c r="P483" s="17"/>
    </row>
    <row r="484">
      <c r="B484" s="11">
        <f>IFERROR(__xludf.DUMMYFUNCTION("""COMPUTED_VALUE"""),45324.66666666667)</f>
        <v>45324.66667</v>
      </c>
      <c r="C484" s="9">
        <f>IFERROR(__xludf.DUMMYFUNCTION("""COMPUTED_VALUE"""),129.25)</f>
        <v>129.25</v>
      </c>
      <c r="E484" s="17">
        <f>IFERROR(__xludf.DUMMYFUNCTION("""COMPUTED_VALUE"""),45324.66666666667)</f>
        <v>45324.66667</v>
      </c>
      <c r="F484" s="9">
        <f>IFERROR(__xludf.DUMMYFUNCTION("""COMPUTED_VALUE"""),129.25)</f>
        <v>129.25</v>
      </c>
      <c r="M484" s="17"/>
      <c r="P484" s="17"/>
    </row>
    <row r="485">
      <c r="B485" s="11">
        <f>IFERROR(__xludf.DUMMYFUNCTION("""COMPUTED_VALUE"""),45323.66666666667)</f>
        <v>45323.66667</v>
      </c>
      <c r="C485" s="9">
        <f>IFERROR(__xludf.DUMMYFUNCTION("""COMPUTED_VALUE"""),130.44)</f>
        <v>130.44</v>
      </c>
      <c r="E485" s="17">
        <f>IFERROR(__xludf.DUMMYFUNCTION("""COMPUTED_VALUE"""),45323.66666666667)</f>
        <v>45323.66667</v>
      </c>
      <c r="F485" s="9">
        <f>IFERROR(__xludf.DUMMYFUNCTION("""COMPUTED_VALUE"""),130.44)</f>
        <v>130.44</v>
      </c>
      <c r="M485" s="17"/>
      <c r="P485" s="17"/>
    </row>
    <row r="486">
      <c r="B486" s="11">
        <f>IFERROR(__xludf.DUMMYFUNCTION("""COMPUTED_VALUE"""),45322.66666666667)</f>
        <v>45322.66667</v>
      </c>
      <c r="C486" s="9">
        <f>IFERROR(__xludf.DUMMYFUNCTION("""COMPUTED_VALUE"""),126.69)</f>
        <v>126.69</v>
      </c>
      <c r="E486" s="17">
        <f>IFERROR(__xludf.DUMMYFUNCTION("""COMPUTED_VALUE"""),45322.66666666667)</f>
        <v>45322.66667</v>
      </c>
      <c r="F486" s="9">
        <f>IFERROR(__xludf.DUMMYFUNCTION("""COMPUTED_VALUE"""),126.69)</f>
        <v>126.69</v>
      </c>
      <c r="M486" s="17"/>
      <c r="P486" s="17"/>
    </row>
    <row r="487">
      <c r="B487" s="11">
        <f>IFERROR(__xludf.DUMMYFUNCTION("""COMPUTED_VALUE"""),45321.66666666667)</f>
        <v>45321.66667</v>
      </c>
      <c r="C487" s="9">
        <f>IFERROR(__xludf.DUMMYFUNCTION("""COMPUTED_VALUE"""),126.53)</f>
        <v>126.53</v>
      </c>
      <c r="E487" s="17">
        <f>IFERROR(__xludf.DUMMYFUNCTION("""COMPUTED_VALUE"""),45321.66666666667)</f>
        <v>45321.66667</v>
      </c>
      <c r="F487" s="9">
        <f>IFERROR(__xludf.DUMMYFUNCTION("""COMPUTED_VALUE"""),126.53)</f>
        <v>126.53</v>
      </c>
      <c r="M487" s="17"/>
      <c r="P487" s="17"/>
    </row>
    <row r="488">
      <c r="B488" s="11">
        <f>IFERROR(__xludf.DUMMYFUNCTION("""COMPUTED_VALUE"""),45320.66666666667)</f>
        <v>45320.66667</v>
      </c>
      <c r="C488" s="9">
        <f>IFERROR(__xludf.DUMMYFUNCTION("""COMPUTED_VALUE"""),127.89)</f>
        <v>127.89</v>
      </c>
      <c r="E488" s="17">
        <f>IFERROR(__xludf.DUMMYFUNCTION("""COMPUTED_VALUE"""),45320.66666666667)</f>
        <v>45320.66667</v>
      </c>
      <c r="F488" s="9">
        <f>IFERROR(__xludf.DUMMYFUNCTION("""COMPUTED_VALUE"""),127.89)</f>
        <v>127.89</v>
      </c>
      <c r="M488" s="17"/>
      <c r="P488" s="17"/>
    </row>
    <row r="489">
      <c r="B489" s="11">
        <f>IFERROR(__xludf.DUMMYFUNCTION("""COMPUTED_VALUE"""),45317.66666666667)</f>
        <v>45317.66667</v>
      </c>
      <c r="C489" s="9">
        <f>IFERROR(__xludf.DUMMYFUNCTION("""COMPUTED_VALUE"""),126.87)</f>
        <v>126.87</v>
      </c>
      <c r="E489" s="17">
        <f>IFERROR(__xludf.DUMMYFUNCTION("""COMPUTED_VALUE"""),45317.66666666667)</f>
        <v>45317.66667</v>
      </c>
      <c r="F489" s="9">
        <f>IFERROR(__xludf.DUMMYFUNCTION("""COMPUTED_VALUE"""),126.87)</f>
        <v>126.87</v>
      </c>
      <c r="M489" s="17"/>
      <c r="P489" s="17"/>
    </row>
    <row r="490">
      <c r="B490" s="11">
        <f>IFERROR(__xludf.DUMMYFUNCTION("""COMPUTED_VALUE"""),45316.66666666667)</f>
        <v>45316.66667</v>
      </c>
      <c r="C490" s="9">
        <f>IFERROR(__xludf.DUMMYFUNCTION("""COMPUTED_VALUE"""),126.2)</f>
        <v>126.2</v>
      </c>
      <c r="E490" s="17">
        <f>IFERROR(__xludf.DUMMYFUNCTION("""COMPUTED_VALUE"""),45316.66666666667)</f>
        <v>45316.66667</v>
      </c>
      <c r="F490" s="9">
        <f>IFERROR(__xludf.DUMMYFUNCTION("""COMPUTED_VALUE"""),126.2)</f>
        <v>126.2</v>
      </c>
      <c r="M490" s="17"/>
      <c r="P490" s="17"/>
    </row>
    <row r="491">
      <c r="B491" s="11">
        <f>IFERROR(__xludf.DUMMYFUNCTION("""COMPUTED_VALUE"""),45315.66666666667)</f>
        <v>45315.66667</v>
      </c>
      <c r="C491" s="9">
        <f>IFERROR(__xludf.DUMMYFUNCTION("""COMPUTED_VALUE"""),125.44)</f>
        <v>125.44</v>
      </c>
      <c r="E491" s="17">
        <f>IFERROR(__xludf.DUMMYFUNCTION("""COMPUTED_VALUE"""),45315.66666666667)</f>
        <v>45315.66667</v>
      </c>
      <c r="F491" s="9">
        <f>IFERROR(__xludf.DUMMYFUNCTION("""COMPUTED_VALUE"""),125.44)</f>
        <v>125.44</v>
      </c>
      <c r="M491" s="17"/>
      <c r="P491" s="17"/>
    </row>
    <row r="492">
      <c r="B492" s="11">
        <f>IFERROR(__xludf.DUMMYFUNCTION("""COMPUTED_VALUE"""),45314.66666666667)</f>
        <v>45314.66667</v>
      </c>
      <c r="C492" s="9">
        <f>IFERROR(__xludf.DUMMYFUNCTION("""COMPUTED_VALUE"""),128.01)</f>
        <v>128.01</v>
      </c>
      <c r="E492" s="17">
        <f>IFERROR(__xludf.DUMMYFUNCTION("""COMPUTED_VALUE"""),45314.66666666667)</f>
        <v>45314.66667</v>
      </c>
      <c r="F492" s="9">
        <f>IFERROR(__xludf.DUMMYFUNCTION("""COMPUTED_VALUE"""),128.01)</f>
        <v>128.01</v>
      </c>
      <c r="M492" s="17"/>
      <c r="P492" s="17"/>
    </row>
    <row r="493">
      <c r="B493" s="11">
        <f>IFERROR(__xludf.DUMMYFUNCTION("""COMPUTED_VALUE"""),45313.66666666667)</f>
        <v>45313.66667</v>
      </c>
      <c r="C493" s="9">
        <f>IFERROR(__xludf.DUMMYFUNCTION("""COMPUTED_VALUE"""),128.74)</f>
        <v>128.74</v>
      </c>
      <c r="E493" s="17">
        <f>IFERROR(__xludf.DUMMYFUNCTION("""COMPUTED_VALUE"""),45313.66666666667)</f>
        <v>45313.66667</v>
      </c>
      <c r="F493" s="9">
        <f>IFERROR(__xludf.DUMMYFUNCTION("""COMPUTED_VALUE"""),128.74)</f>
        <v>128.74</v>
      </c>
      <c r="M493" s="17"/>
      <c r="P493" s="17"/>
    </row>
    <row r="494">
      <c r="B494" s="11">
        <f>IFERROR(__xludf.DUMMYFUNCTION("""COMPUTED_VALUE"""),45310.66666666667)</f>
        <v>45310.66667</v>
      </c>
      <c r="C494" s="9">
        <f>IFERROR(__xludf.DUMMYFUNCTION("""COMPUTED_VALUE"""),128.44)</f>
        <v>128.44</v>
      </c>
      <c r="E494" s="17">
        <f>IFERROR(__xludf.DUMMYFUNCTION("""COMPUTED_VALUE"""),45310.66666666667)</f>
        <v>45310.66667</v>
      </c>
      <c r="F494" s="9">
        <f>IFERROR(__xludf.DUMMYFUNCTION("""COMPUTED_VALUE"""),128.44)</f>
        <v>128.44</v>
      </c>
      <c r="M494" s="17"/>
      <c r="P494" s="17"/>
    </row>
    <row r="495">
      <c r="B495" s="11">
        <f>IFERROR(__xludf.DUMMYFUNCTION("""COMPUTED_VALUE"""),45309.66666666667)</f>
        <v>45309.66667</v>
      </c>
      <c r="C495" s="9">
        <f>IFERROR(__xludf.DUMMYFUNCTION("""COMPUTED_VALUE"""),126.26)</f>
        <v>126.26</v>
      </c>
      <c r="E495" s="17">
        <f>IFERROR(__xludf.DUMMYFUNCTION("""COMPUTED_VALUE"""),45309.66666666667)</f>
        <v>45309.66667</v>
      </c>
      <c r="F495" s="9">
        <f>IFERROR(__xludf.DUMMYFUNCTION("""COMPUTED_VALUE"""),126.26)</f>
        <v>126.26</v>
      </c>
      <c r="M495" s="17"/>
      <c r="P495" s="17"/>
    </row>
    <row r="496">
      <c r="B496" s="11">
        <f>IFERROR(__xludf.DUMMYFUNCTION("""COMPUTED_VALUE"""),45308.66666666667)</f>
        <v>45308.66667</v>
      </c>
      <c r="C496" s="9">
        <f>IFERROR(__xludf.DUMMYFUNCTION("""COMPUTED_VALUE"""),126.86)</f>
        <v>126.86</v>
      </c>
      <c r="E496" s="17">
        <f>IFERROR(__xludf.DUMMYFUNCTION("""COMPUTED_VALUE"""),45308.66666666667)</f>
        <v>45308.66667</v>
      </c>
      <c r="F496" s="9">
        <f>IFERROR(__xludf.DUMMYFUNCTION("""COMPUTED_VALUE"""),126.86)</f>
        <v>126.86</v>
      </c>
      <c r="M496" s="17"/>
      <c r="P496" s="17"/>
    </row>
    <row r="497">
      <c r="B497" s="11">
        <f>IFERROR(__xludf.DUMMYFUNCTION("""COMPUTED_VALUE"""),45307.66666666667)</f>
        <v>45307.66667</v>
      </c>
      <c r="C497" s="9">
        <f>IFERROR(__xludf.DUMMYFUNCTION("""COMPUTED_VALUE"""),129.97)</f>
        <v>129.97</v>
      </c>
      <c r="E497" s="17">
        <f>IFERROR(__xludf.DUMMYFUNCTION("""COMPUTED_VALUE"""),45307.66666666667)</f>
        <v>45307.66667</v>
      </c>
      <c r="F497" s="9">
        <f>IFERROR(__xludf.DUMMYFUNCTION("""COMPUTED_VALUE"""),129.97)</f>
        <v>129.97</v>
      </c>
      <c r="M497" s="17"/>
      <c r="P497" s="17"/>
    </row>
    <row r="498">
      <c r="B498" s="11">
        <f>IFERROR(__xludf.DUMMYFUNCTION("""COMPUTED_VALUE"""),45303.66666666667)</f>
        <v>45303.66667</v>
      </c>
      <c r="C498" s="9">
        <f>IFERROR(__xludf.DUMMYFUNCTION("""COMPUTED_VALUE"""),131.55)</f>
        <v>131.55</v>
      </c>
      <c r="E498" s="17">
        <f>IFERROR(__xludf.DUMMYFUNCTION("""COMPUTED_VALUE"""),45303.66666666667)</f>
        <v>45303.66667</v>
      </c>
      <c r="F498" s="9">
        <f>IFERROR(__xludf.DUMMYFUNCTION("""COMPUTED_VALUE"""),131.55)</f>
        <v>131.55</v>
      </c>
      <c r="M498" s="17"/>
      <c r="P498" s="17"/>
    </row>
    <row r="499">
      <c r="B499" s="11">
        <f>IFERROR(__xludf.DUMMYFUNCTION("""COMPUTED_VALUE"""),45302.66666666667)</f>
        <v>45302.66667</v>
      </c>
      <c r="C499" s="9">
        <f>IFERROR(__xludf.DUMMYFUNCTION("""COMPUTED_VALUE"""),131.32)</f>
        <v>131.32</v>
      </c>
      <c r="E499" s="17">
        <f>IFERROR(__xludf.DUMMYFUNCTION("""COMPUTED_VALUE"""),45302.66666666667)</f>
        <v>45302.66667</v>
      </c>
      <c r="F499" s="9">
        <f>IFERROR(__xludf.DUMMYFUNCTION("""COMPUTED_VALUE"""),131.32)</f>
        <v>131.32</v>
      </c>
      <c r="M499" s="17"/>
      <c r="P499" s="17"/>
    </row>
    <row r="500">
      <c r="B500" s="11">
        <f>IFERROR(__xludf.DUMMYFUNCTION("""COMPUTED_VALUE"""),45301.66666666667)</f>
        <v>45301.66667</v>
      </c>
      <c r="C500" s="9">
        <f>IFERROR(__xludf.DUMMYFUNCTION("""COMPUTED_VALUE"""),133.55)</f>
        <v>133.55</v>
      </c>
      <c r="E500" s="17">
        <f>IFERROR(__xludf.DUMMYFUNCTION("""COMPUTED_VALUE"""),45301.66666666667)</f>
        <v>45301.66667</v>
      </c>
      <c r="F500" s="9">
        <f>IFERROR(__xludf.DUMMYFUNCTION("""COMPUTED_VALUE"""),133.55)</f>
        <v>133.55</v>
      </c>
      <c r="M500" s="17"/>
      <c r="P500" s="17"/>
    </row>
    <row r="501">
      <c r="B501" s="11">
        <f>IFERROR(__xludf.DUMMYFUNCTION("""COMPUTED_VALUE"""),45300.66666666667)</f>
        <v>45300.66667</v>
      </c>
      <c r="C501" s="9">
        <f>IFERROR(__xludf.DUMMYFUNCTION("""COMPUTED_VALUE"""),133.07)</f>
        <v>133.07</v>
      </c>
      <c r="E501" s="17">
        <f>IFERROR(__xludf.DUMMYFUNCTION("""COMPUTED_VALUE"""),45300.66666666667)</f>
        <v>45300.66667</v>
      </c>
      <c r="F501" s="9">
        <f>IFERROR(__xludf.DUMMYFUNCTION("""COMPUTED_VALUE"""),133.07)</f>
        <v>133.07</v>
      </c>
      <c r="M501" s="17"/>
      <c r="P501" s="17"/>
    </row>
    <row r="502">
      <c r="B502" s="11">
        <f>IFERROR(__xludf.DUMMYFUNCTION("""COMPUTED_VALUE"""),45299.66666666667)</f>
        <v>45299.66667</v>
      </c>
      <c r="C502" s="9">
        <f>IFERROR(__xludf.DUMMYFUNCTION("""COMPUTED_VALUE"""),133.17)</f>
        <v>133.17</v>
      </c>
      <c r="E502" s="17">
        <f>IFERROR(__xludf.DUMMYFUNCTION("""COMPUTED_VALUE"""),45299.66666666667)</f>
        <v>45299.66667</v>
      </c>
      <c r="F502" s="9">
        <f>IFERROR(__xludf.DUMMYFUNCTION("""COMPUTED_VALUE"""),133.17)</f>
        <v>133.17</v>
      </c>
      <c r="M502" s="17"/>
      <c r="P502" s="17"/>
    </row>
    <row r="503">
      <c r="B503" s="11">
        <f>IFERROR(__xludf.DUMMYFUNCTION("""COMPUTED_VALUE"""),45296.66666666667)</f>
        <v>45296.66667</v>
      </c>
      <c r="C503" s="9">
        <f>IFERROR(__xludf.DUMMYFUNCTION("""COMPUTED_VALUE"""),130.56)</f>
        <v>130.56</v>
      </c>
      <c r="E503" s="17">
        <f>IFERROR(__xludf.DUMMYFUNCTION("""COMPUTED_VALUE"""),45296.66666666667)</f>
        <v>45296.66667</v>
      </c>
      <c r="F503" s="9">
        <f>IFERROR(__xludf.DUMMYFUNCTION("""COMPUTED_VALUE"""),130.56)</f>
        <v>130.56</v>
      </c>
      <c r="M503" s="17"/>
      <c r="P503" s="17"/>
    </row>
    <row r="504">
      <c r="B504" s="11">
        <f>IFERROR(__xludf.DUMMYFUNCTION("""COMPUTED_VALUE"""),45295.66666666667)</f>
        <v>45295.66667</v>
      </c>
      <c r="C504" s="9">
        <f>IFERROR(__xludf.DUMMYFUNCTION("""COMPUTED_VALUE"""),130.29)</f>
        <v>130.29</v>
      </c>
      <c r="E504" s="17">
        <f>IFERROR(__xludf.DUMMYFUNCTION("""COMPUTED_VALUE"""),45295.66666666667)</f>
        <v>45295.66667</v>
      </c>
      <c r="F504" s="9">
        <f>IFERROR(__xludf.DUMMYFUNCTION("""COMPUTED_VALUE"""),130.29)</f>
        <v>130.29</v>
      </c>
      <c r="M504" s="17"/>
      <c r="P504" s="17"/>
    </row>
    <row r="505">
      <c r="B505" s="11">
        <f>IFERROR(__xludf.DUMMYFUNCTION("""COMPUTED_VALUE"""),45294.66666666667)</f>
        <v>45294.66667</v>
      </c>
      <c r="C505" s="9">
        <f>IFERROR(__xludf.DUMMYFUNCTION("""COMPUTED_VALUE"""),130.52)</f>
        <v>130.52</v>
      </c>
      <c r="E505" s="17">
        <f>IFERROR(__xludf.DUMMYFUNCTION("""COMPUTED_VALUE"""),45294.66666666667)</f>
        <v>45294.66667</v>
      </c>
      <c r="F505" s="9">
        <f>IFERROR(__xludf.DUMMYFUNCTION("""COMPUTED_VALUE"""),130.52)</f>
        <v>130.52</v>
      </c>
      <c r="M505" s="17"/>
      <c r="P505" s="17"/>
    </row>
    <row r="506">
      <c r="B506" s="11">
        <f>IFERROR(__xludf.DUMMYFUNCTION("""COMPUTED_VALUE"""),45293.66666666667)</f>
        <v>45293.66667</v>
      </c>
      <c r="C506" s="9">
        <f>IFERROR(__xludf.DUMMYFUNCTION("""COMPUTED_VALUE"""),134.62)</f>
        <v>134.62</v>
      </c>
      <c r="E506" s="17">
        <f>IFERROR(__xludf.DUMMYFUNCTION("""COMPUTED_VALUE"""),45293.66666666667)</f>
        <v>45293.66667</v>
      </c>
      <c r="F506" s="9">
        <f>IFERROR(__xludf.DUMMYFUNCTION("""COMPUTED_VALUE"""),134.62)</f>
        <v>134.62</v>
      </c>
      <c r="M506" s="17"/>
      <c r="P506" s="17"/>
    </row>
    <row r="507">
      <c r="B507" s="11">
        <f>IFERROR(__xludf.DUMMYFUNCTION("""COMPUTED_VALUE"""),45289.66666666667)</f>
        <v>45289.66667</v>
      </c>
      <c r="C507" s="9">
        <f>IFERROR(__xludf.DUMMYFUNCTION("""COMPUTED_VALUE"""),133.3)</f>
        <v>133.3</v>
      </c>
      <c r="E507" s="17"/>
      <c r="M507" s="17"/>
      <c r="P507" s="17"/>
    </row>
    <row r="508">
      <c r="B508" s="11">
        <f>IFERROR(__xludf.DUMMYFUNCTION("""COMPUTED_VALUE"""),45288.66666666667)</f>
        <v>45288.66667</v>
      </c>
      <c r="C508" s="9">
        <f>IFERROR(__xludf.DUMMYFUNCTION("""COMPUTED_VALUE"""),135.19)</f>
        <v>135.19</v>
      </c>
      <c r="E508" s="17"/>
      <c r="M508" s="17"/>
      <c r="P508" s="17"/>
    </row>
    <row r="509">
      <c r="B509" s="11">
        <f>IFERROR(__xludf.DUMMYFUNCTION("""COMPUTED_VALUE"""),45287.66666666667)</f>
        <v>45287.66667</v>
      </c>
      <c r="C509" s="9">
        <f>IFERROR(__xludf.DUMMYFUNCTION("""COMPUTED_VALUE"""),134.18)</f>
        <v>134.18</v>
      </c>
      <c r="E509" s="17"/>
      <c r="M509" s="17"/>
      <c r="P509" s="17"/>
    </row>
    <row r="510">
      <c r="B510" s="11">
        <f>IFERROR(__xludf.DUMMYFUNCTION("""COMPUTED_VALUE"""),45286.66666666667)</f>
        <v>45286.66667</v>
      </c>
      <c r="C510" s="9">
        <f>IFERROR(__xludf.DUMMYFUNCTION("""COMPUTED_VALUE"""),133.46)</f>
        <v>133.46</v>
      </c>
      <c r="E510" s="17"/>
      <c r="M510" s="17"/>
      <c r="P510" s="17"/>
    </row>
    <row r="511">
      <c r="B511" s="11">
        <f>IFERROR(__xludf.DUMMYFUNCTION("""COMPUTED_VALUE"""),45282.66666666667)</f>
        <v>45282.66667</v>
      </c>
      <c r="C511" s="9">
        <f>IFERROR(__xludf.DUMMYFUNCTION("""COMPUTED_VALUE"""),132.4)</f>
        <v>132.4</v>
      </c>
      <c r="E511" s="17"/>
      <c r="M511" s="17"/>
      <c r="P511" s="17"/>
    </row>
    <row r="512">
      <c r="B512" s="11">
        <f>IFERROR(__xludf.DUMMYFUNCTION("""COMPUTED_VALUE"""),45281.66666666667)</f>
        <v>45281.66667</v>
      </c>
      <c r="C512" s="9">
        <f>IFERROR(__xludf.DUMMYFUNCTION("""COMPUTED_VALUE"""),130.96)</f>
        <v>130.96</v>
      </c>
      <c r="E512" s="17"/>
      <c r="M512" s="17"/>
      <c r="P512" s="17"/>
    </row>
    <row r="513">
      <c r="B513" s="11">
        <f>IFERROR(__xludf.DUMMYFUNCTION("""COMPUTED_VALUE"""),45280.66666666667)</f>
        <v>45280.66667</v>
      </c>
      <c r="C513" s="9">
        <f>IFERROR(__xludf.DUMMYFUNCTION("""COMPUTED_VALUE"""),130.47)</f>
        <v>130.47</v>
      </c>
      <c r="E513" s="17"/>
      <c r="M513" s="17"/>
      <c r="P513" s="17"/>
    </row>
    <row r="514">
      <c r="B514" s="11">
        <f>IFERROR(__xludf.DUMMYFUNCTION("""COMPUTED_VALUE"""),45279.66666666667)</f>
        <v>45279.66667</v>
      </c>
      <c r="C514" s="9">
        <f>IFERROR(__xludf.DUMMYFUNCTION("""COMPUTED_VALUE"""),133.75)</f>
        <v>133.75</v>
      </c>
      <c r="E514" s="17"/>
      <c r="M514" s="17"/>
      <c r="P514" s="17"/>
    </row>
    <row r="515">
      <c r="B515" s="11">
        <f>IFERROR(__xludf.DUMMYFUNCTION("""COMPUTED_VALUE"""),45278.66666666667)</f>
        <v>45278.66667</v>
      </c>
      <c r="C515" s="9">
        <f>IFERROR(__xludf.DUMMYFUNCTION("""COMPUTED_VALUE"""),132.68)</f>
        <v>132.68</v>
      </c>
      <c r="E515" s="17"/>
      <c r="M515" s="17"/>
      <c r="P515" s="17"/>
    </row>
    <row r="516">
      <c r="B516" s="11">
        <f>IFERROR(__xludf.DUMMYFUNCTION("""COMPUTED_VALUE"""),45275.66666666667)</f>
        <v>45275.66667</v>
      </c>
      <c r="C516" s="9">
        <f>IFERROR(__xludf.DUMMYFUNCTION("""COMPUTED_VALUE"""),134.26)</f>
        <v>134.26</v>
      </c>
      <c r="E516" s="17"/>
      <c r="M516" s="17"/>
      <c r="P516" s="17"/>
    </row>
    <row r="517">
      <c r="B517" s="11">
        <f>IFERROR(__xludf.DUMMYFUNCTION("""COMPUTED_VALUE"""),45274.66666666667)</f>
        <v>45274.66667</v>
      </c>
      <c r="C517" s="9">
        <f>IFERROR(__xludf.DUMMYFUNCTION("""COMPUTED_VALUE"""),137.12)</f>
        <v>137.12</v>
      </c>
      <c r="E517" s="17"/>
      <c r="M517" s="17"/>
      <c r="P517" s="17"/>
    </row>
    <row r="518">
      <c r="B518" s="11">
        <f>IFERROR(__xludf.DUMMYFUNCTION("""COMPUTED_VALUE"""),45273.66666666667)</f>
        <v>45273.66667</v>
      </c>
      <c r="C518" s="9">
        <f>IFERROR(__xludf.DUMMYFUNCTION("""COMPUTED_VALUE"""),129.24)</f>
        <v>129.24</v>
      </c>
      <c r="E518" s="17"/>
      <c r="M518" s="17"/>
      <c r="P518" s="17"/>
    </row>
    <row r="519">
      <c r="B519" s="11">
        <f>IFERROR(__xludf.DUMMYFUNCTION("""COMPUTED_VALUE"""),45272.66666666667)</f>
        <v>45272.66667</v>
      </c>
      <c r="C519" s="9">
        <f>IFERROR(__xludf.DUMMYFUNCTION("""COMPUTED_VALUE"""),122.07)</f>
        <v>122.07</v>
      </c>
      <c r="E519" s="17"/>
      <c r="M519" s="17"/>
      <c r="P519" s="17"/>
    </row>
    <row r="520">
      <c r="B520" s="11">
        <f>IFERROR(__xludf.DUMMYFUNCTION("""COMPUTED_VALUE"""),45271.66666666667)</f>
        <v>45271.66667</v>
      </c>
      <c r="C520" s="9">
        <f>IFERROR(__xludf.DUMMYFUNCTION("""COMPUTED_VALUE"""),122.0)</f>
        <v>122</v>
      </c>
      <c r="E520" s="17"/>
      <c r="M520" s="17"/>
      <c r="P520" s="17"/>
    </row>
    <row r="521">
      <c r="B521" s="11">
        <f>IFERROR(__xludf.DUMMYFUNCTION("""COMPUTED_VALUE"""),45268.66666666667)</f>
        <v>45268.66667</v>
      </c>
      <c r="C521" s="9">
        <f>IFERROR(__xludf.DUMMYFUNCTION("""COMPUTED_VALUE"""),119.85)</f>
        <v>119.85</v>
      </c>
      <c r="E521" s="17"/>
      <c r="M521" s="17"/>
      <c r="P521" s="17"/>
    </row>
    <row r="522">
      <c r="B522" s="11">
        <f>IFERROR(__xludf.DUMMYFUNCTION("""COMPUTED_VALUE"""),45267.66666666667)</f>
        <v>45267.66667</v>
      </c>
      <c r="C522" s="9">
        <f>IFERROR(__xludf.DUMMYFUNCTION("""COMPUTED_VALUE"""),118.95)</f>
        <v>118.95</v>
      </c>
      <c r="E522" s="17"/>
      <c r="M522" s="17"/>
      <c r="P522" s="17"/>
    </row>
    <row r="523">
      <c r="B523" s="11">
        <f>IFERROR(__xludf.DUMMYFUNCTION("""COMPUTED_VALUE"""),45266.66666666667)</f>
        <v>45266.66667</v>
      </c>
      <c r="C523" s="9">
        <f>IFERROR(__xludf.DUMMYFUNCTION("""COMPUTED_VALUE"""),119.05)</f>
        <v>119.05</v>
      </c>
      <c r="E523" s="17"/>
      <c r="M523" s="17"/>
      <c r="P523" s="17"/>
    </row>
    <row r="524">
      <c r="B524" s="11">
        <f>IFERROR(__xludf.DUMMYFUNCTION("""COMPUTED_VALUE"""),45265.66666666667)</f>
        <v>45265.66667</v>
      </c>
      <c r="C524" s="9">
        <f>IFERROR(__xludf.DUMMYFUNCTION("""COMPUTED_VALUE"""),118.65)</f>
        <v>118.65</v>
      </c>
      <c r="E524" s="17"/>
      <c r="M524" s="17"/>
      <c r="P524" s="17"/>
    </row>
    <row r="525">
      <c r="B525" s="11">
        <f>IFERROR(__xludf.DUMMYFUNCTION("""COMPUTED_VALUE"""),45264.66666666667)</f>
        <v>45264.66667</v>
      </c>
      <c r="C525" s="9">
        <f>IFERROR(__xludf.DUMMYFUNCTION("""COMPUTED_VALUE"""),120.33)</f>
        <v>120.33</v>
      </c>
      <c r="E525" s="17"/>
      <c r="M525" s="17"/>
      <c r="P525" s="17"/>
    </row>
    <row r="526">
      <c r="B526" s="11">
        <f>IFERROR(__xludf.DUMMYFUNCTION("""COMPUTED_VALUE"""),45261.66666666667)</f>
        <v>45261.66667</v>
      </c>
      <c r="C526" s="9">
        <f>IFERROR(__xludf.DUMMYFUNCTION("""COMPUTED_VALUE"""),118.26)</f>
        <v>118.26</v>
      </c>
      <c r="E526" s="17"/>
      <c r="M526" s="17"/>
      <c r="P526" s="17"/>
    </row>
    <row r="527">
      <c r="B527" s="11">
        <f>IFERROR(__xludf.DUMMYFUNCTION("""COMPUTED_VALUE"""),45260.66666666667)</f>
        <v>45260.66667</v>
      </c>
      <c r="C527" s="9">
        <f>IFERROR(__xludf.DUMMYFUNCTION("""COMPUTED_VALUE"""),114.93)</f>
        <v>114.93</v>
      </c>
      <c r="E527" s="17"/>
      <c r="M527" s="17"/>
      <c r="P527" s="17"/>
    </row>
    <row r="528">
      <c r="B528" s="11">
        <f>IFERROR(__xludf.DUMMYFUNCTION("""COMPUTED_VALUE"""),45259.66666666667)</f>
        <v>45259.66667</v>
      </c>
      <c r="C528" s="9">
        <f>IFERROR(__xludf.DUMMYFUNCTION("""COMPUTED_VALUE"""),113.04)</f>
        <v>113.04</v>
      </c>
      <c r="E528" s="17"/>
      <c r="M528" s="17"/>
      <c r="P528" s="17"/>
    </row>
    <row r="529">
      <c r="B529" s="11">
        <f>IFERROR(__xludf.DUMMYFUNCTION("""COMPUTED_VALUE"""),45258.66666666667)</f>
        <v>45258.66667</v>
      </c>
      <c r="C529" s="9">
        <f>IFERROR(__xludf.DUMMYFUNCTION("""COMPUTED_VALUE"""),112.11)</f>
        <v>112.11</v>
      </c>
      <c r="E529" s="17"/>
      <c r="M529" s="17"/>
      <c r="P529" s="17"/>
    </row>
    <row r="530">
      <c r="B530" s="11">
        <f>IFERROR(__xludf.DUMMYFUNCTION("""COMPUTED_VALUE"""),45257.66666666667)</f>
        <v>45257.66667</v>
      </c>
      <c r="C530" s="9">
        <f>IFERROR(__xludf.DUMMYFUNCTION("""COMPUTED_VALUE"""),111.87)</f>
        <v>111.87</v>
      </c>
      <c r="E530" s="17"/>
      <c r="M530" s="17"/>
      <c r="P530" s="17"/>
    </row>
    <row r="531">
      <c r="B531" s="11">
        <f>IFERROR(__xludf.DUMMYFUNCTION("""COMPUTED_VALUE"""),45254.54166666667)</f>
        <v>45254.54167</v>
      </c>
      <c r="C531" s="9">
        <f>IFERROR(__xludf.DUMMYFUNCTION("""COMPUTED_VALUE"""),112.0)</f>
        <v>112</v>
      </c>
      <c r="E531" s="17"/>
      <c r="M531" s="17"/>
      <c r="P531" s="17"/>
    </row>
    <row r="532">
      <c r="B532" s="11">
        <f>IFERROR(__xludf.DUMMYFUNCTION("""COMPUTED_VALUE"""),45252.66666666667)</f>
        <v>45252.66667</v>
      </c>
      <c r="C532" s="9">
        <f>IFERROR(__xludf.DUMMYFUNCTION("""COMPUTED_VALUE"""),111.54)</f>
        <v>111.54</v>
      </c>
      <c r="E532" s="17"/>
      <c r="M532" s="17"/>
      <c r="P532" s="17"/>
    </row>
    <row r="533">
      <c r="B533" s="11">
        <f>IFERROR(__xludf.DUMMYFUNCTION("""COMPUTED_VALUE"""),45251.66666666667)</f>
        <v>45251.66667</v>
      </c>
      <c r="C533" s="9">
        <f>IFERROR(__xludf.DUMMYFUNCTION("""COMPUTED_VALUE"""),110.61)</f>
        <v>110.61</v>
      </c>
      <c r="E533" s="17"/>
      <c r="M533" s="17"/>
      <c r="P533" s="17"/>
    </row>
    <row r="534">
      <c r="B534" s="11">
        <f>IFERROR(__xludf.DUMMYFUNCTION("""COMPUTED_VALUE"""),45250.66666666667)</f>
        <v>45250.66667</v>
      </c>
      <c r="C534" s="9">
        <f>IFERROR(__xludf.DUMMYFUNCTION("""COMPUTED_VALUE"""),111.0)</f>
        <v>111</v>
      </c>
      <c r="E534" s="17"/>
      <c r="M534" s="17"/>
      <c r="P534" s="17"/>
    </row>
    <row r="535">
      <c r="B535" s="11">
        <f>IFERROR(__xludf.DUMMYFUNCTION("""COMPUTED_VALUE"""),45247.66666666667)</f>
        <v>45247.66667</v>
      </c>
      <c r="C535" s="9">
        <f>IFERROR(__xludf.DUMMYFUNCTION("""COMPUTED_VALUE"""),110.07)</f>
        <v>110.07</v>
      </c>
      <c r="E535" s="17"/>
      <c r="M535" s="17"/>
      <c r="P535" s="17"/>
    </row>
    <row r="536">
      <c r="B536" s="11">
        <f>IFERROR(__xludf.DUMMYFUNCTION("""COMPUTED_VALUE"""),45246.66666666667)</f>
        <v>45246.66667</v>
      </c>
      <c r="C536" s="9">
        <f>IFERROR(__xludf.DUMMYFUNCTION("""COMPUTED_VALUE"""),110.27)</f>
        <v>110.27</v>
      </c>
      <c r="E536" s="17"/>
      <c r="M536" s="17"/>
      <c r="P536" s="17"/>
    </row>
    <row r="537">
      <c r="B537" s="11">
        <f>IFERROR(__xludf.DUMMYFUNCTION("""COMPUTED_VALUE"""),45245.66666666667)</f>
        <v>45245.66667</v>
      </c>
      <c r="C537" s="9">
        <f>IFERROR(__xludf.DUMMYFUNCTION("""COMPUTED_VALUE"""),110.51)</f>
        <v>110.51</v>
      </c>
      <c r="E537" s="17"/>
      <c r="M537" s="17"/>
      <c r="P537" s="17"/>
    </row>
    <row r="538">
      <c r="B538" s="11">
        <f>IFERROR(__xludf.DUMMYFUNCTION("""COMPUTED_VALUE"""),45244.66666666667)</f>
        <v>45244.66667</v>
      </c>
      <c r="C538" s="9">
        <f>IFERROR(__xludf.DUMMYFUNCTION("""COMPUTED_VALUE"""),109.33)</f>
        <v>109.33</v>
      </c>
      <c r="E538" s="17"/>
      <c r="M538" s="17"/>
      <c r="P538" s="17"/>
    </row>
    <row r="539">
      <c r="B539" s="11">
        <f>IFERROR(__xludf.DUMMYFUNCTION("""COMPUTED_VALUE"""),45243.66666666667)</f>
        <v>45243.66667</v>
      </c>
      <c r="C539" s="9">
        <f>IFERROR(__xludf.DUMMYFUNCTION("""COMPUTED_VALUE"""),102.48)</f>
        <v>102.48</v>
      </c>
      <c r="E539" s="17"/>
      <c r="M539" s="17"/>
      <c r="P539" s="17"/>
    </row>
    <row r="540">
      <c r="B540" s="11">
        <f>IFERROR(__xludf.DUMMYFUNCTION("""COMPUTED_VALUE"""),45240.66666666667)</f>
        <v>45240.66667</v>
      </c>
      <c r="C540" s="9">
        <f>IFERROR(__xludf.DUMMYFUNCTION("""COMPUTED_VALUE"""),104.55)</f>
        <v>104.55</v>
      </c>
      <c r="E540" s="17"/>
      <c r="M540" s="17"/>
      <c r="P540" s="17"/>
    </row>
    <row r="541">
      <c r="B541" s="11">
        <f>IFERROR(__xludf.DUMMYFUNCTION("""COMPUTED_VALUE"""),45239.66666666667)</f>
        <v>45239.66667</v>
      </c>
      <c r="C541" s="9">
        <f>IFERROR(__xludf.DUMMYFUNCTION("""COMPUTED_VALUE"""),103.28)</f>
        <v>103.28</v>
      </c>
      <c r="E541" s="17"/>
      <c r="M541" s="17"/>
      <c r="P541" s="17"/>
    </row>
    <row r="542">
      <c r="B542" s="11">
        <f>IFERROR(__xludf.DUMMYFUNCTION("""COMPUTED_VALUE"""),45238.66666666667)</f>
        <v>45238.66667</v>
      </c>
      <c r="C542" s="9">
        <f>IFERROR(__xludf.DUMMYFUNCTION("""COMPUTED_VALUE"""),105.13)</f>
        <v>105.13</v>
      </c>
      <c r="E542" s="17"/>
      <c r="M542" s="17"/>
      <c r="P542" s="17"/>
    </row>
    <row r="543">
      <c r="B543" s="11">
        <f>IFERROR(__xludf.DUMMYFUNCTION("""COMPUTED_VALUE"""),45237.66666666667)</f>
        <v>45237.66667</v>
      </c>
      <c r="C543" s="9">
        <f>IFERROR(__xludf.DUMMYFUNCTION("""COMPUTED_VALUE"""),104.23)</f>
        <v>104.23</v>
      </c>
      <c r="E543" s="17"/>
      <c r="M543" s="17"/>
      <c r="P543" s="17"/>
    </row>
    <row r="544">
      <c r="B544" s="11">
        <f>IFERROR(__xludf.DUMMYFUNCTION("""COMPUTED_VALUE"""),45236.66666666667)</f>
        <v>45236.66667</v>
      </c>
      <c r="C544" s="9">
        <f>IFERROR(__xludf.DUMMYFUNCTION("""COMPUTED_VALUE"""),104.93)</f>
        <v>104.93</v>
      </c>
      <c r="E544" s="17"/>
      <c r="M544" s="17"/>
      <c r="P544" s="17"/>
    </row>
    <row r="545">
      <c r="B545" s="11">
        <f>IFERROR(__xludf.DUMMYFUNCTION("""COMPUTED_VALUE"""),45233.66666666667)</f>
        <v>45233.66667</v>
      </c>
      <c r="C545" s="9">
        <f>IFERROR(__xludf.DUMMYFUNCTION("""COMPUTED_VALUE"""),106.55)</f>
        <v>106.55</v>
      </c>
      <c r="E545" s="17"/>
      <c r="M545" s="17"/>
      <c r="P545" s="17"/>
    </row>
    <row r="546">
      <c r="B546" s="11">
        <f>IFERROR(__xludf.DUMMYFUNCTION("""COMPUTED_VALUE"""),45232.66666666667)</f>
        <v>45232.66667</v>
      </c>
      <c r="C546" s="9">
        <f>IFERROR(__xludf.DUMMYFUNCTION("""COMPUTED_VALUE"""),104.72)</f>
        <v>104.72</v>
      </c>
      <c r="E546" s="17"/>
      <c r="M546" s="17"/>
      <c r="P546" s="17"/>
    </row>
    <row r="547">
      <c r="B547" s="11">
        <f>IFERROR(__xludf.DUMMYFUNCTION("""COMPUTED_VALUE"""),45231.66666666667)</f>
        <v>45231.66667</v>
      </c>
      <c r="C547" s="9">
        <f>IFERROR(__xludf.DUMMYFUNCTION("""COMPUTED_VALUE"""),101.6)</f>
        <v>101.6</v>
      </c>
      <c r="E547" s="17"/>
      <c r="M547" s="17"/>
      <c r="P547" s="17"/>
    </row>
    <row r="548">
      <c r="B548" s="11">
        <f>IFERROR(__xludf.DUMMYFUNCTION("""COMPUTED_VALUE"""),45230.66666666667)</f>
        <v>45230.66667</v>
      </c>
      <c r="C548" s="9">
        <f>IFERROR(__xludf.DUMMYFUNCTION("""COMPUTED_VALUE"""),100.75)</f>
        <v>100.75</v>
      </c>
      <c r="E548" s="17"/>
      <c r="M548" s="17"/>
      <c r="P548" s="17"/>
    </row>
    <row r="549">
      <c r="B549" s="11">
        <f>IFERROR(__xludf.DUMMYFUNCTION("""COMPUTED_VALUE"""),45229.66666666667)</f>
        <v>45229.66667</v>
      </c>
      <c r="C549" s="9">
        <f>IFERROR(__xludf.DUMMYFUNCTION("""COMPUTED_VALUE"""),98.88)</f>
        <v>98.88</v>
      </c>
      <c r="E549" s="17"/>
      <c r="M549" s="17"/>
      <c r="P549" s="17"/>
    </row>
    <row r="550">
      <c r="B550" s="11">
        <f>IFERROR(__xludf.DUMMYFUNCTION("""COMPUTED_VALUE"""),45226.66666666667)</f>
        <v>45226.66667</v>
      </c>
      <c r="C550" s="9">
        <f>IFERROR(__xludf.DUMMYFUNCTION("""COMPUTED_VALUE"""),97.32)</f>
        <v>97.32</v>
      </c>
      <c r="E550" s="17"/>
      <c r="M550" s="17"/>
      <c r="P550" s="17"/>
    </row>
    <row r="551">
      <c r="B551" s="11">
        <f>IFERROR(__xludf.DUMMYFUNCTION("""COMPUTED_VALUE"""),45225.66666666667)</f>
        <v>45225.66667</v>
      </c>
      <c r="C551" s="9">
        <f>IFERROR(__xludf.DUMMYFUNCTION("""COMPUTED_VALUE"""),99.63)</f>
        <v>99.63</v>
      </c>
      <c r="E551" s="17"/>
      <c r="M551" s="17"/>
      <c r="P551" s="17"/>
    </row>
    <row r="552">
      <c r="B552" s="11">
        <f>IFERROR(__xludf.DUMMYFUNCTION("""COMPUTED_VALUE"""),45224.66666666667)</f>
        <v>45224.66667</v>
      </c>
      <c r="C552" s="9">
        <f>IFERROR(__xludf.DUMMYFUNCTION("""COMPUTED_VALUE"""),98.74)</f>
        <v>98.74</v>
      </c>
      <c r="E552" s="17"/>
      <c r="M552" s="17"/>
      <c r="P552" s="17"/>
    </row>
    <row r="553">
      <c r="B553" s="11">
        <f>IFERROR(__xludf.DUMMYFUNCTION("""COMPUTED_VALUE"""),45223.66666666667)</f>
        <v>45223.66667</v>
      </c>
      <c r="C553" s="9">
        <f>IFERROR(__xludf.DUMMYFUNCTION("""COMPUTED_VALUE"""),101.7)</f>
        <v>101.7</v>
      </c>
      <c r="E553" s="17"/>
      <c r="M553" s="17"/>
      <c r="P553" s="17"/>
    </row>
    <row r="554">
      <c r="B554" s="11">
        <f>IFERROR(__xludf.DUMMYFUNCTION("""COMPUTED_VALUE"""),45222.66666666667)</f>
        <v>45222.66667</v>
      </c>
      <c r="C554" s="9">
        <f>IFERROR(__xludf.DUMMYFUNCTION("""COMPUTED_VALUE"""),100.81)</f>
        <v>100.81</v>
      </c>
      <c r="E554" s="17"/>
      <c r="M554" s="17"/>
      <c r="P554" s="17"/>
    </row>
    <row r="555">
      <c r="B555" s="11">
        <f>IFERROR(__xludf.DUMMYFUNCTION("""COMPUTED_VALUE"""),45219.66666666667)</f>
        <v>45219.66667</v>
      </c>
      <c r="C555" s="9">
        <f>IFERROR(__xludf.DUMMYFUNCTION("""COMPUTED_VALUE"""),102.43)</f>
        <v>102.43</v>
      </c>
      <c r="E555" s="17"/>
      <c r="M555" s="17"/>
      <c r="P555" s="17"/>
    </row>
    <row r="556">
      <c r="B556" s="11">
        <f>IFERROR(__xludf.DUMMYFUNCTION("""COMPUTED_VALUE"""),45218.66666666667)</f>
        <v>45218.66667</v>
      </c>
      <c r="C556" s="9">
        <f>IFERROR(__xludf.DUMMYFUNCTION("""COMPUTED_VALUE"""),102.58)</f>
        <v>102.58</v>
      </c>
      <c r="E556" s="17"/>
      <c r="M556" s="17"/>
      <c r="P556" s="17"/>
    </row>
    <row r="557">
      <c r="B557" s="11">
        <f>IFERROR(__xludf.DUMMYFUNCTION("""COMPUTED_VALUE"""),45217.66666666667)</f>
        <v>45217.66667</v>
      </c>
      <c r="C557" s="9">
        <f>IFERROR(__xludf.DUMMYFUNCTION("""COMPUTED_VALUE"""),104.38)</f>
        <v>104.38</v>
      </c>
      <c r="E557" s="17"/>
      <c r="M557" s="17"/>
      <c r="P557" s="17"/>
    </row>
    <row r="558">
      <c r="B558" s="11">
        <f>IFERROR(__xludf.DUMMYFUNCTION("""COMPUTED_VALUE"""),45216.66666666667)</f>
        <v>45216.66667</v>
      </c>
      <c r="C558" s="9">
        <f>IFERROR(__xludf.DUMMYFUNCTION("""COMPUTED_VALUE"""),108.13)</f>
        <v>108.13</v>
      </c>
      <c r="E558" s="17"/>
      <c r="M558" s="17"/>
      <c r="P558" s="17"/>
    </row>
    <row r="559">
      <c r="B559" s="11">
        <f>IFERROR(__xludf.DUMMYFUNCTION("""COMPUTED_VALUE"""),45215.66666666667)</f>
        <v>45215.66667</v>
      </c>
      <c r="C559" s="9">
        <f>IFERROR(__xludf.DUMMYFUNCTION("""COMPUTED_VALUE"""),110.92)</f>
        <v>110.92</v>
      </c>
      <c r="E559" s="17"/>
      <c r="M559" s="17"/>
      <c r="P559" s="17"/>
    </row>
    <row r="560">
      <c r="B560" s="11">
        <f>IFERROR(__xludf.DUMMYFUNCTION("""COMPUTED_VALUE"""),45212.66666666667)</f>
        <v>45212.66667</v>
      </c>
      <c r="C560" s="9">
        <f>IFERROR(__xludf.DUMMYFUNCTION("""COMPUTED_VALUE"""),109.65)</f>
        <v>109.65</v>
      </c>
      <c r="E560" s="17"/>
      <c r="M560" s="17"/>
      <c r="P560" s="17"/>
    </row>
    <row r="561">
      <c r="B561" s="11">
        <f>IFERROR(__xludf.DUMMYFUNCTION("""COMPUTED_VALUE"""),45211.66666666667)</f>
        <v>45211.66667</v>
      </c>
      <c r="C561" s="9">
        <f>IFERROR(__xludf.DUMMYFUNCTION("""COMPUTED_VALUE"""),109.65)</f>
        <v>109.65</v>
      </c>
      <c r="E561" s="17"/>
      <c r="M561" s="17"/>
      <c r="P561" s="17"/>
    </row>
    <row r="562">
      <c r="B562" s="11">
        <f>IFERROR(__xludf.DUMMYFUNCTION("""COMPUTED_VALUE"""),45210.66666666667)</f>
        <v>45210.66667</v>
      </c>
      <c r="C562" s="9">
        <f>IFERROR(__xludf.DUMMYFUNCTION("""COMPUTED_VALUE"""),112.4)</f>
        <v>112.4</v>
      </c>
      <c r="E562" s="17"/>
      <c r="M562" s="17"/>
      <c r="P562" s="17"/>
    </row>
    <row r="563">
      <c r="B563" s="11">
        <f>IFERROR(__xludf.DUMMYFUNCTION("""COMPUTED_VALUE"""),45209.66666666667)</f>
        <v>45209.66667</v>
      </c>
      <c r="C563" s="9">
        <f>IFERROR(__xludf.DUMMYFUNCTION("""COMPUTED_VALUE"""),110.33)</f>
        <v>110.33</v>
      </c>
      <c r="E563" s="17"/>
      <c r="M563" s="17"/>
      <c r="P563" s="17"/>
    </row>
    <row r="564">
      <c r="B564" s="11">
        <f>IFERROR(__xludf.DUMMYFUNCTION("""COMPUTED_VALUE"""),45208.66666666667)</f>
        <v>45208.66667</v>
      </c>
      <c r="C564" s="9">
        <f>IFERROR(__xludf.DUMMYFUNCTION("""COMPUTED_VALUE"""),109.46)</f>
        <v>109.46</v>
      </c>
      <c r="E564" s="17"/>
      <c r="M564" s="17"/>
      <c r="P564" s="17"/>
    </row>
    <row r="565">
      <c r="B565" s="11">
        <f>IFERROR(__xludf.DUMMYFUNCTION("""COMPUTED_VALUE"""),45205.66666666667)</f>
        <v>45205.66667</v>
      </c>
      <c r="C565" s="9">
        <f>IFERROR(__xludf.DUMMYFUNCTION("""COMPUTED_VALUE"""),108.91)</f>
        <v>108.91</v>
      </c>
      <c r="E565" s="17"/>
      <c r="M565" s="17"/>
      <c r="P565" s="17"/>
    </row>
    <row r="566">
      <c r="B566" s="11">
        <f>IFERROR(__xludf.DUMMYFUNCTION("""COMPUTED_VALUE"""),45204.66666666667)</f>
        <v>45204.66667</v>
      </c>
      <c r="C566" s="9">
        <f>IFERROR(__xludf.DUMMYFUNCTION("""COMPUTED_VALUE"""),109.03)</f>
        <v>109.03</v>
      </c>
      <c r="E566" s="17"/>
      <c r="M566" s="17"/>
      <c r="P566" s="17"/>
    </row>
    <row r="567">
      <c r="B567" s="11">
        <f>IFERROR(__xludf.DUMMYFUNCTION("""COMPUTED_VALUE"""),45203.66666666667)</f>
        <v>45203.66667</v>
      </c>
      <c r="C567" s="9">
        <f>IFERROR(__xludf.DUMMYFUNCTION("""COMPUTED_VALUE"""),108.42)</f>
        <v>108.42</v>
      </c>
      <c r="E567" s="17"/>
      <c r="M567" s="17"/>
      <c r="P567" s="17"/>
    </row>
    <row r="568">
      <c r="B568" s="11">
        <f>IFERROR(__xludf.DUMMYFUNCTION("""COMPUTED_VALUE"""),45202.66666666667)</f>
        <v>45202.66667</v>
      </c>
      <c r="C568" s="9">
        <f>IFERROR(__xludf.DUMMYFUNCTION("""COMPUTED_VALUE"""),107.5)</f>
        <v>107.5</v>
      </c>
      <c r="E568" s="17"/>
      <c r="M568" s="17"/>
      <c r="P568" s="17"/>
    </row>
    <row r="569">
      <c r="B569" s="11">
        <f>IFERROR(__xludf.DUMMYFUNCTION("""COMPUTED_VALUE"""),45201.66666666667)</f>
        <v>45201.66667</v>
      </c>
      <c r="C569" s="9">
        <f>IFERROR(__xludf.DUMMYFUNCTION("""COMPUTED_VALUE"""),109.5)</f>
        <v>109.5</v>
      </c>
      <c r="E569" s="17"/>
      <c r="M569" s="17"/>
      <c r="P569" s="17"/>
    </row>
    <row r="570">
      <c r="B570" s="11">
        <f>IFERROR(__xludf.DUMMYFUNCTION("""COMPUTED_VALUE"""),45198.66666666667)</f>
        <v>45198.66667</v>
      </c>
      <c r="C570" s="9">
        <f>IFERROR(__xludf.DUMMYFUNCTION("""COMPUTED_VALUE"""),112.21)</f>
        <v>112.21</v>
      </c>
      <c r="E570" s="17"/>
      <c r="M570" s="17"/>
      <c r="P570" s="17"/>
    </row>
    <row r="571">
      <c r="B571" s="11">
        <f>IFERROR(__xludf.DUMMYFUNCTION("""COMPUTED_VALUE"""),45197.66666666667)</f>
        <v>45197.66667</v>
      </c>
      <c r="C571" s="9">
        <f>IFERROR(__xludf.DUMMYFUNCTION("""COMPUTED_VALUE"""),112.13)</f>
        <v>112.13</v>
      </c>
      <c r="E571" s="17"/>
      <c r="M571" s="17"/>
      <c r="P571" s="17"/>
    </row>
    <row r="572">
      <c r="B572" s="11">
        <f>IFERROR(__xludf.DUMMYFUNCTION("""COMPUTED_VALUE"""),45196.66666666667)</f>
        <v>45196.66667</v>
      </c>
      <c r="C572" s="9">
        <f>IFERROR(__xludf.DUMMYFUNCTION("""COMPUTED_VALUE"""),111.25)</f>
        <v>111.25</v>
      </c>
      <c r="E572" s="17"/>
      <c r="M572" s="17"/>
      <c r="P572" s="17"/>
    </row>
    <row r="573">
      <c r="B573" s="11">
        <f>IFERROR(__xludf.DUMMYFUNCTION("""COMPUTED_VALUE"""),45195.66666666667)</f>
        <v>45195.66667</v>
      </c>
      <c r="C573" s="9">
        <f>IFERROR(__xludf.DUMMYFUNCTION("""COMPUTED_VALUE"""),111.5)</f>
        <v>111.5</v>
      </c>
      <c r="E573" s="17"/>
      <c r="M573" s="17"/>
      <c r="P573" s="17"/>
    </row>
    <row r="574">
      <c r="B574" s="11">
        <f>IFERROR(__xludf.DUMMYFUNCTION("""COMPUTED_VALUE"""),45194.66666666667)</f>
        <v>45194.66667</v>
      </c>
      <c r="C574" s="9">
        <f>IFERROR(__xludf.DUMMYFUNCTION("""COMPUTED_VALUE"""),113.25)</f>
        <v>113.25</v>
      </c>
      <c r="E574" s="17"/>
      <c r="M574" s="17"/>
      <c r="P574" s="17"/>
    </row>
    <row r="575">
      <c r="B575" s="11">
        <f>IFERROR(__xludf.DUMMYFUNCTION("""COMPUTED_VALUE"""),45191.66666666667)</f>
        <v>45191.66667</v>
      </c>
      <c r="C575" s="9">
        <f>IFERROR(__xludf.DUMMYFUNCTION("""COMPUTED_VALUE"""),114.07)</f>
        <v>114.07</v>
      </c>
      <c r="E575" s="17"/>
      <c r="M575" s="17"/>
      <c r="P575" s="17"/>
    </row>
    <row r="576">
      <c r="B576" s="11">
        <f>IFERROR(__xludf.DUMMYFUNCTION("""COMPUTED_VALUE"""),45190.66666666667)</f>
        <v>45190.66667</v>
      </c>
      <c r="C576" s="9">
        <f>IFERROR(__xludf.DUMMYFUNCTION("""COMPUTED_VALUE"""),114.55)</f>
        <v>114.55</v>
      </c>
      <c r="E576" s="17"/>
      <c r="M576" s="17"/>
      <c r="P576" s="17"/>
    </row>
    <row r="577">
      <c r="B577" s="11">
        <f>IFERROR(__xludf.DUMMYFUNCTION("""COMPUTED_VALUE"""),45189.66666666667)</f>
        <v>45189.66667</v>
      </c>
      <c r="C577" s="9">
        <f>IFERROR(__xludf.DUMMYFUNCTION("""COMPUTED_VALUE"""),120.91)</f>
        <v>120.91</v>
      </c>
      <c r="E577" s="17"/>
      <c r="M577" s="17"/>
      <c r="P577" s="17"/>
    </row>
    <row r="578">
      <c r="B578" s="11">
        <f>IFERROR(__xludf.DUMMYFUNCTION("""COMPUTED_VALUE"""),45188.66666666667)</f>
        <v>45188.66667</v>
      </c>
      <c r="C578" s="9">
        <f>IFERROR(__xludf.DUMMYFUNCTION("""COMPUTED_VALUE"""),121.57)</f>
        <v>121.57</v>
      </c>
      <c r="E578" s="17"/>
      <c r="M578" s="17"/>
      <c r="P578" s="17"/>
    </row>
    <row r="579">
      <c r="B579" s="11">
        <f>IFERROR(__xludf.DUMMYFUNCTION("""COMPUTED_VALUE"""),45187.66666666667)</f>
        <v>45187.66667</v>
      </c>
      <c r="C579" s="9">
        <f>IFERROR(__xludf.DUMMYFUNCTION("""COMPUTED_VALUE"""),122.73)</f>
        <v>122.73</v>
      </c>
      <c r="E579" s="17"/>
      <c r="M579" s="17"/>
      <c r="P579" s="17"/>
    </row>
    <row r="580">
      <c r="B580" s="11">
        <f>IFERROR(__xludf.DUMMYFUNCTION("""COMPUTED_VALUE"""),45184.66666666667)</f>
        <v>45184.66667</v>
      </c>
      <c r="C580" s="9">
        <f>IFERROR(__xludf.DUMMYFUNCTION("""COMPUTED_VALUE"""),123.18)</f>
        <v>123.18</v>
      </c>
      <c r="E580" s="17"/>
      <c r="M580" s="17"/>
      <c r="P580" s="17"/>
    </row>
    <row r="581">
      <c r="B581" s="11">
        <f>IFERROR(__xludf.DUMMYFUNCTION("""COMPUTED_VALUE"""),45183.66666666667)</f>
        <v>45183.66667</v>
      </c>
      <c r="C581" s="9">
        <f>IFERROR(__xludf.DUMMYFUNCTION("""COMPUTED_VALUE"""),124.33)</f>
        <v>124.33</v>
      </c>
      <c r="E581" s="17"/>
      <c r="M581" s="17"/>
      <c r="P581" s="17"/>
    </row>
    <row r="582">
      <c r="B582" s="11">
        <f>IFERROR(__xludf.DUMMYFUNCTION("""COMPUTED_VALUE"""),45182.66666666667)</f>
        <v>45182.66667</v>
      </c>
      <c r="C582" s="9">
        <f>IFERROR(__xludf.DUMMYFUNCTION("""COMPUTED_VALUE"""),121.24)</f>
        <v>121.24</v>
      </c>
      <c r="E582" s="17"/>
      <c r="M582" s="17"/>
      <c r="P582" s="17"/>
    </row>
    <row r="583">
      <c r="B583" s="11">
        <f>IFERROR(__xludf.DUMMYFUNCTION("""COMPUTED_VALUE"""),45181.66666666667)</f>
        <v>45181.66667</v>
      </c>
      <c r="C583" s="9">
        <f>IFERROR(__xludf.DUMMYFUNCTION("""COMPUTED_VALUE"""),121.98)</f>
        <v>121.98</v>
      </c>
      <c r="E583" s="17"/>
      <c r="M583" s="17"/>
      <c r="P583" s="17"/>
    </row>
    <row r="584">
      <c r="B584" s="11">
        <f>IFERROR(__xludf.DUMMYFUNCTION("""COMPUTED_VALUE"""),45180.66666666667)</f>
        <v>45180.66667</v>
      </c>
      <c r="C584" s="9">
        <f>IFERROR(__xludf.DUMMYFUNCTION("""COMPUTED_VALUE"""),122.16)</f>
        <v>122.16</v>
      </c>
      <c r="E584" s="17"/>
      <c r="M584" s="17"/>
      <c r="P584" s="17"/>
    </row>
    <row r="585">
      <c r="B585" s="11">
        <f>IFERROR(__xludf.DUMMYFUNCTION("""COMPUTED_VALUE"""),45177.66666666667)</f>
        <v>45177.66667</v>
      </c>
      <c r="C585" s="9">
        <f>IFERROR(__xludf.DUMMYFUNCTION("""COMPUTED_VALUE"""),122.48)</f>
        <v>122.48</v>
      </c>
      <c r="E585" s="17"/>
      <c r="M585" s="17"/>
      <c r="P585" s="17"/>
    </row>
    <row r="586">
      <c r="B586" s="11">
        <f>IFERROR(__xludf.DUMMYFUNCTION("""COMPUTED_VALUE"""),45176.66666666667)</f>
        <v>45176.66667</v>
      </c>
      <c r="C586" s="9">
        <f>IFERROR(__xludf.DUMMYFUNCTION("""COMPUTED_VALUE"""),123.31)</f>
        <v>123.31</v>
      </c>
      <c r="E586" s="17"/>
      <c r="M586" s="17"/>
      <c r="P586" s="17"/>
    </row>
    <row r="587">
      <c r="B587" s="11">
        <f>IFERROR(__xludf.DUMMYFUNCTION("""COMPUTED_VALUE"""),45175.66666666667)</f>
        <v>45175.66667</v>
      </c>
      <c r="C587" s="9">
        <f>IFERROR(__xludf.DUMMYFUNCTION("""COMPUTED_VALUE"""),121.38)</f>
        <v>121.38</v>
      </c>
      <c r="E587" s="17"/>
      <c r="M587" s="17"/>
      <c r="P587" s="17"/>
    </row>
    <row r="588">
      <c r="B588" s="11">
        <f>IFERROR(__xludf.DUMMYFUNCTION("""COMPUTED_VALUE"""),45174.66666666667)</f>
        <v>45174.66667</v>
      </c>
      <c r="C588" s="9">
        <f>IFERROR(__xludf.DUMMYFUNCTION("""COMPUTED_VALUE"""),122.05)</f>
        <v>122.05</v>
      </c>
      <c r="E588" s="17"/>
      <c r="M588" s="17"/>
      <c r="P588" s="17"/>
    </row>
    <row r="589">
      <c r="B589" s="11">
        <f>IFERROR(__xludf.DUMMYFUNCTION("""COMPUTED_VALUE"""),45170.66666666667)</f>
        <v>45170.66667</v>
      </c>
      <c r="C589" s="9">
        <f>IFERROR(__xludf.DUMMYFUNCTION("""COMPUTED_VALUE"""),124.59)</f>
        <v>124.59</v>
      </c>
      <c r="E589" s="17"/>
      <c r="M589" s="17"/>
      <c r="P589" s="17"/>
    </row>
    <row r="590">
      <c r="B590" s="11">
        <f>IFERROR(__xludf.DUMMYFUNCTION("""COMPUTED_VALUE"""),45169.66666666667)</f>
        <v>45169.66667</v>
      </c>
      <c r="C590" s="9">
        <f>IFERROR(__xludf.DUMMYFUNCTION("""COMPUTED_VALUE"""),124.2)</f>
        <v>124.2</v>
      </c>
      <c r="E590" s="17"/>
      <c r="M590" s="17"/>
      <c r="P590" s="17"/>
    </row>
    <row r="591">
      <c r="B591" s="11">
        <f>IFERROR(__xludf.DUMMYFUNCTION("""COMPUTED_VALUE"""),45168.66666666667)</f>
        <v>45168.66667</v>
      </c>
      <c r="C591" s="9">
        <f>IFERROR(__xludf.DUMMYFUNCTION("""COMPUTED_VALUE"""),125.7)</f>
        <v>125.7</v>
      </c>
      <c r="E591" s="17"/>
      <c r="M591" s="17"/>
      <c r="P591" s="17"/>
    </row>
    <row r="592">
      <c r="B592" s="11">
        <f>IFERROR(__xludf.DUMMYFUNCTION("""COMPUTED_VALUE"""),45167.66666666667)</f>
        <v>45167.66667</v>
      </c>
      <c r="C592" s="9">
        <f>IFERROR(__xludf.DUMMYFUNCTION("""COMPUTED_VALUE"""),125.1)</f>
        <v>125.1</v>
      </c>
      <c r="E592" s="17"/>
      <c r="M592" s="17"/>
      <c r="P592" s="17"/>
    </row>
    <row r="593">
      <c r="B593" s="11">
        <f>IFERROR(__xludf.DUMMYFUNCTION("""COMPUTED_VALUE"""),45166.66666666667)</f>
        <v>45166.66667</v>
      </c>
      <c r="C593" s="9">
        <f>IFERROR(__xludf.DUMMYFUNCTION("""COMPUTED_VALUE"""),124.0)</f>
        <v>124</v>
      </c>
      <c r="E593" s="17"/>
      <c r="M593" s="17"/>
      <c r="P593" s="17"/>
    </row>
    <row r="594">
      <c r="B594" s="11">
        <f>IFERROR(__xludf.DUMMYFUNCTION("""COMPUTED_VALUE"""),45163.66666666667)</f>
        <v>45163.66667</v>
      </c>
      <c r="C594" s="9">
        <f>IFERROR(__xludf.DUMMYFUNCTION("""COMPUTED_VALUE"""),122.66)</f>
        <v>122.66</v>
      </c>
      <c r="E594" s="17"/>
      <c r="M594" s="17"/>
      <c r="P594" s="17"/>
    </row>
    <row r="595">
      <c r="B595" s="11">
        <f>IFERROR(__xludf.DUMMYFUNCTION("""COMPUTED_VALUE"""),45162.66666666667)</f>
        <v>45162.66667</v>
      </c>
      <c r="C595" s="9">
        <f>IFERROR(__xludf.DUMMYFUNCTION("""COMPUTED_VALUE"""),121.74)</f>
        <v>121.74</v>
      </c>
      <c r="E595" s="17"/>
      <c r="M595" s="17"/>
      <c r="P595" s="17"/>
    </row>
    <row r="596">
      <c r="B596" s="11">
        <f>IFERROR(__xludf.DUMMYFUNCTION("""COMPUTED_VALUE"""),45161.66666666667)</f>
        <v>45161.66667</v>
      </c>
      <c r="C596" s="9">
        <f>IFERROR(__xludf.DUMMYFUNCTION("""COMPUTED_VALUE"""),123.07)</f>
        <v>123.07</v>
      </c>
      <c r="E596" s="17"/>
      <c r="M596" s="17"/>
      <c r="P596" s="17"/>
    </row>
    <row r="597">
      <c r="B597" s="11">
        <f>IFERROR(__xludf.DUMMYFUNCTION("""COMPUTED_VALUE"""),45160.66666666667)</f>
        <v>45160.66667</v>
      </c>
      <c r="C597" s="9">
        <f>IFERROR(__xludf.DUMMYFUNCTION("""COMPUTED_VALUE"""),121.02)</f>
        <v>121.02</v>
      </c>
      <c r="E597" s="17"/>
      <c r="M597" s="17"/>
      <c r="P597" s="17"/>
    </row>
    <row r="598">
      <c r="B598" s="11">
        <f>IFERROR(__xludf.DUMMYFUNCTION("""COMPUTED_VALUE"""),45159.66666666667)</f>
        <v>45159.66667</v>
      </c>
      <c r="C598" s="9">
        <f>IFERROR(__xludf.DUMMYFUNCTION("""COMPUTED_VALUE"""),120.14)</f>
        <v>120.14</v>
      </c>
      <c r="E598" s="17"/>
      <c r="M598" s="17"/>
      <c r="P598" s="17"/>
    </row>
    <row r="599">
      <c r="B599" s="11">
        <f>IFERROR(__xludf.DUMMYFUNCTION("""COMPUTED_VALUE"""),45156.66666666667)</f>
        <v>45156.66667</v>
      </c>
      <c r="C599" s="9">
        <f>IFERROR(__xludf.DUMMYFUNCTION("""COMPUTED_VALUE"""),121.47)</f>
        <v>121.47</v>
      </c>
      <c r="E599" s="17"/>
      <c r="M599" s="17"/>
      <c r="P599" s="17"/>
    </row>
    <row r="600">
      <c r="B600" s="11">
        <f>IFERROR(__xludf.DUMMYFUNCTION("""COMPUTED_VALUE"""),45155.66666666667)</f>
        <v>45155.66667</v>
      </c>
      <c r="C600" s="9">
        <f>IFERROR(__xludf.DUMMYFUNCTION("""COMPUTED_VALUE"""),120.2)</f>
        <v>120.2</v>
      </c>
      <c r="E600" s="17"/>
      <c r="M600" s="17"/>
      <c r="P600" s="17"/>
    </row>
    <row r="601">
      <c r="B601" s="11">
        <f>IFERROR(__xludf.DUMMYFUNCTION("""COMPUTED_VALUE"""),45154.66666666667)</f>
        <v>45154.66667</v>
      </c>
      <c r="C601" s="9">
        <f>IFERROR(__xludf.DUMMYFUNCTION("""COMPUTED_VALUE"""),121.85)</f>
        <v>121.85</v>
      </c>
      <c r="E601" s="17"/>
      <c r="M601" s="17"/>
      <c r="P601" s="17"/>
    </row>
    <row r="602">
      <c r="B602" s="11">
        <f>IFERROR(__xludf.DUMMYFUNCTION("""COMPUTED_VALUE"""),45153.66666666667)</f>
        <v>45153.66667</v>
      </c>
      <c r="C602" s="9">
        <f>IFERROR(__xludf.DUMMYFUNCTION("""COMPUTED_VALUE"""),122.69)</f>
        <v>122.69</v>
      </c>
      <c r="E602" s="17"/>
      <c r="M602" s="17"/>
      <c r="P602" s="17"/>
    </row>
    <row r="603">
      <c r="B603" s="11">
        <f>IFERROR(__xludf.DUMMYFUNCTION("""COMPUTED_VALUE"""),45152.66666666667)</f>
        <v>45152.66667</v>
      </c>
      <c r="C603" s="9">
        <f>IFERROR(__xludf.DUMMYFUNCTION("""COMPUTED_VALUE"""),123.48)</f>
        <v>123.48</v>
      </c>
      <c r="E603" s="17"/>
      <c r="M603" s="17"/>
      <c r="P603" s="17"/>
    </row>
    <row r="604">
      <c r="B604" s="11">
        <f>IFERROR(__xludf.DUMMYFUNCTION("""COMPUTED_VALUE"""),45149.66666666667)</f>
        <v>45149.66667</v>
      </c>
      <c r="C604" s="9">
        <f>IFERROR(__xludf.DUMMYFUNCTION("""COMPUTED_VALUE"""),123.51)</f>
        <v>123.51</v>
      </c>
      <c r="E604" s="17"/>
      <c r="M604" s="17"/>
      <c r="P604" s="17"/>
    </row>
    <row r="605">
      <c r="B605" s="11">
        <f>IFERROR(__xludf.DUMMYFUNCTION("""COMPUTED_VALUE"""),45148.66666666667)</f>
        <v>45148.66667</v>
      </c>
      <c r="C605" s="9">
        <f>IFERROR(__xludf.DUMMYFUNCTION("""COMPUTED_VALUE"""),122.16)</f>
        <v>122.16</v>
      </c>
      <c r="E605" s="17"/>
      <c r="M605" s="17"/>
      <c r="P605" s="17"/>
    </row>
    <row r="606">
      <c r="B606" s="11">
        <f>IFERROR(__xludf.DUMMYFUNCTION("""COMPUTED_VALUE"""),45147.66666666667)</f>
        <v>45147.66667</v>
      </c>
      <c r="C606" s="9">
        <f>IFERROR(__xludf.DUMMYFUNCTION("""COMPUTED_VALUE"""),122.6)</f>
        <v>122.6</v>
      </c>
      <c r="E606" s="17"/>
      <c r="M606" s="17"/>
      <c r="P606" s="17"/>
    </row>
    <row r="607">
      <c r="B607" s="11">
        <f>IFERROR(__xludf.DUMMYFUNCTION("""COMPUTED_VALUE"""),45146.66666666667)</f>
        <v>45146.66667</v>
      </c>
      <c r="C607" s="9">
        <f>IFERROR(__xludf.DUMMYFUNCTION("""COMPUTED_VALUE"""),123.42)</f>
        <v>123.42</v>
      </c>
      <c r="E607" s="17"/>
      <c r="M607" s="17"/>
      <c r="P607" s="17"/>
    </row>
    <row r="608">
      <c r="B608" s="11">
        <f>IFERROR(__xludf.DUMMYFUNCTION("""COMPUTED_VALUE"""),45145.66666666667)</f>
        <v>45145.66667</v>
      </c>
      <c r="C608" s="9">
        <f>IFERROR(__xludf.DUMMYFUNCTION("""COMPUTED_VALUE"""),124.43)</f>
        <v>124.43</v>
      </c>
      <c r="E608" s="17"/>
      <c r="M608" s="17"/>
      <c r="P608" s="17"/>
    </row>
    <row r="609">
      <c r="B609" s="11">
        <f>IFERROR(__xludf.DUMMYFUNCTION("""COMPUTED_VALUE"""),45142.66666666667)</f>
        <v>45142.66667</v>
      </c>
      <c r="C609" s="9">
        <f>IFERROR(__xludf.DUMMYFUNCTION("""COMPUTED_VALUE"""),122.24)</f>
        <v>122.24</v>
      </c>
      <c r="E609" s="17"/>
      <c r="M609" s="17"/>
      <c r="P609" s="17"/>
    </row>
    <row r="610">
      <c r="B610" s="11">
        <f>IFERROR(__xludf.DUMMYFUNCTION("""COMPUTED_VALUE"""),45141.66666666667)</f>
        <v>45141.66667</v>
      </c>
      <c r="C610" s="9">
        <f>IFERROR(__xludf.DUMMYFUNCTION("""COMPUTED_VALUE"""),123.81)</f>
        <v>123.81</v>
      </c>
      <c r="E610" s="17"/>
      <c r="M610" s="17"/>
      <c r="P610" s="17"/>
    </row>
    <row r="611">
      <c r="B611" s="11">
        <f>IFERROR(__xludf.DUMMYFUNCTION("""COMPUTED_VALUE"""),45140.66666666667)</f>
        <v>45140.66667</v>
      </c>
      <c r="C611" s="9">
        <f>IFERROR(__xludf.DUMMYFUNCTION("""COMPUTED_VALUE"""),123.68)</f>
        <v>123.68</v>
      </c>
      <c r="E611" s="17"/>
      <c r="M611" s="17"/>
      <c r="P611" s="17"/>
    </row>
    <row r="612">
      <c r="B612" s="11">
        <f>IFERROR(__xludf.DUMMYFUNCTION("""COMPUTED_VALUE"""),45139.66666666667)</f>
        <v>45139.66667</v>
      </c>
      <c r="C612" s="9">
        <f>IFERROR(__xludf.DUMMYFUNCTION("""COMPUTED_VALUE"""),124.18)</f>
        <v>124.18</v>
      </c>
      <c r="E612" s="17"/>
      <c r="M612" s="17"/>
      <c r="P612" s="17"/>
    </row>
    <row r="613">
      <c r="B613" s="11">
        <f>IFERROR(__xludf.DUMMYFUNCTION("""COMPUTED_VALUE"""),45138.66666666667)</f>
        <v>45138.66667</v>
      </c>
      <c r="C613" s="9">
        <f>IFERROR(__xludf.DUMMYFUNCTION("""COMPUTED_VALUE"""),124.75)</f>
        <v>124.75</v>
      </c>
      <c r="E613" s="17"/>
      <c r="M613" s="17"/>
      <c r="P613" s="17"/>
    </row>
    <row r="614">
      <c r="B614" s="11">
        <f>IFERROR(__xludf.DUMMYFUNCTION("""COMPUTED_VALUE"""),45135.66666666667)</f>
        <v>45135.66667</v>
      </c>
      <c r="C614" s="9">
        <f>IFERROR(__xludf.DUMMYFUNCTION("""COMPUTED_VALUE"""),123.65)</f>
        <v>123.65</v>
      </c>
      <c r="E614" s="17"/>
      <c r="M614" s="17"/>
      <c r="P614" s="17"/>
    </row>
    <row r="615">
      <c r="B615" s="11">
        <f>IFERROR(__xludf.DUMMYFUNCTION("""COMPUTED_VALUE"""),45134.66666666667)</f>
        <v>45134.66667</v>
      </c>
      <c r="C615" s="9">
        <f>IFERROR(__xludf.DUMMYFUNCTION("""COMPUTED_VALUE"""),124.94)</f>
        <v>124.94</v>
      </c>
      <c r="E615" s="17"/>
      <c r="M615" s="17"/>
      <c r="P615" s="17"/>
    </row>
    <row r="616">
      <c r="B616" s="11">
        <f>IFERROR(__xludf.DUMMYFUNCTION("""COMPUTED_VALUE"""),45133.66666666667)</f>
        <v>45133.66667</v>
      </c>
      <c r="C616" s="9">
        <f>IFERROR(__xludf.DUMMYFUNCTION("""COMPUTED_VALUE"""),129.28)</f>
        <v>129.28</v>
      </c>
      <c r="E616" s="17"/>
      <c r="M616" s="17"/>
      <c r="P616" s="17"/>
    </row>
    <row r="617">
      <c r="B617" s="11">
        <f>IFERROR(__xludf.DUMMYFUNCTION("""COMPUTED_VALUE"""),45132.66666666667)</f>
        <v>45132.66667</v>
      </c>
      <c r="C617" s="9">
        <f>IFERROR(__xludf.DUMMYFUNCTION("""COMPUTED_VALUE"""),127.1)</f>
        <v>127.1</v>
      </c>
      <c r="E617" s="17"/>
      <c r="M617" s="17"/>
      <c r="P617" s="17"/>
    </row>
    <row r="618">
      <c r="B618" s="11">
        <f>IFERROR(__xludf.DUMMYFUNCTION("""COMPUTED_VALUE"""),45131.66666666667)</f>
        <v>45131.66667</v>
      </c>
      <c r="C618" s="9">
        <f>IFERROR(__xludf.DUMMYFUNCTION("""COMPUTED_VALUE"""),127.01)</f>
        <v>127.01</v>
      </c>
      <c r="E618" s="17"/>
      <c r="M618" s="17"/>
      <c r="P618" s="17"/>
    </row>
    <row r="619">
      <c r="B619" s="11">
        <f>IFERROR(__xludf.DUMMYFUNCTION("""COMPUTED_VALUE"""),45128.66666666667)</f>
        <v>45128.66667</v>
      </c>
      <c r="C619" s="9">
        <f>IFERROR(__xludf.DUMMYFUNCTION("""COMPUTED_VALUE"""),125.44)</f>
        <v>125.44</v>
      </c>
      <c r="E619" s="17"/>
      <c r="M619" s="17"/>
      <c r="P619" s="17"/>
    </row>
    <row r="620">
      <c r="B620" s="11">
        <f>IFERROR(__xludf.DUMMYFUNCTION("""COMPUTED_VALUE"""),45127.66666666667)</f>
        <v>45127.66667</v>
      </c>
      <c r="C620" s="9">
        <f>IFERROR(__xludf.DUMMYFUNCTION("""COMPUTED_VALUE"""),123.76)</f>
        <v>123.76</v>
      </c>
      <c r="E620" s="17"/>
      <c r="M620" s="17"/>
      <c r="P620" s="17"/>
    </row>
    <row r="621">
      <c r="B621" s="11">
        <f>IFERROR(__xludf.DUMMYFUNCTION("""COMPUTED_VALUE"""),45126.66666666667)</f>
        <v>45126.66667</v>
      </c>
      <c r="C621" s="9">
        <f>IFERROR(__xludf.DUMMYFUNCTION("""COMPUTED_VALUE"""),122.78)</f>
        <v>122.78</v>
      </c>
      <c r="E621" s="17"/>
      <c r="M621" s="17"/>
      <c r="P621" s="17"/>
    </row>
    <row r="622">
      <c r="B622" s="11">
        <f>IFERROR(__xludf.DUMMYFUNCTION("""COMPUTED_VALUE"""),45125.66666666667)</f>
        <v>45125.66667</v>
      </c>
      <c r="C622" s="9">
        <f>IFERROR(__xludf.DUMMYFUNCTION("""COMPUTED_VALUE"""),124.0)</f>
        <v>124</v>
      </c>
      <c r="E622" s="17"/>
      <c r="M622" s="17"/>
      <c r="P622" s="17"/>
    </row>
    <row r="623">
      <c r="B623" s="11">
        <f>IFERROR(__xludf.DUMMYFUNCTION("""COMPUTED_VALUE"""),45124.66666666667)</f>
        <v>45124.66667</v>
      </c>
      <c r="C623" s="9">
        <f>IFERROR(__xludf.DUMMYFUNCTION("""COMPUTED_VALUE"""),127.98)</f>
        <v>127.98</v>
      </c>
      <c r="E623" s="17"/>
      <c r="M623" s="17"/>
      <c r="P623" s="17"/>
    </row>
    <row r="624">
      <c r="B624" s="11">
        <f>IFERROR(__xludf.DUMMYFUNCTION("""COMPUTED_VALUE"""),45121.66666666667)</f>
        <v>45121.66667</v>
      </c>
      <c r="C624" s="9">
        <f>IFERROR(__xludf.DUMMYFUNCTION("""COMPUTED_VALUE"""),127.75)</f>
        <v>127.75</v>
      </c>
      <c r="E624" s="17"/>
      <c r="M624" s="17"/>
      <c r="P624" s="17"/>
    </row>
    <row r="625">
      <c r="B625" s="11">
        <f>IFERROR(__xludf.DUMMYFUNCTION("""COMPUTED_VALUE"""),45120.66666666667)</f>
        <v>45120.66667</v>
      </c>
      <c r="C625" s="9">
        <f>IFERROR(__xludf.DUMMYFUNCTION("""COMPUTED_VALUE"""),126.95)</f>
        <v>126.95</v>
      </c>
      <c r="E625" s="17"/>
      <c r="M625" s="17"/>
      <c r="P625" s="17"/>
    </row>
    <row r="626">
      <c r="B626" s="11">
        <f>IFERROR(__xludf.DUMMYFUNCTION("""COMPUTED_VALUE"""),45119.66666666667)</f>
        <v>45119.66667</v>
      </c>
      <c r="C626" s="9">
        <f>IFERROR(__xludf.DUMMYFUNCTION("""COMPUTED_VALUE"""),125.24)</f>
        <v>125.24</v>
      </c>
      <c r="E626" s="17"/>
      <c r="M626" s="17"/>
      <c r="P626" s="17"/>
    </row>
    <row r="627">
      <c r="B627" s="11">
        <f>IFERROR(__xludf.DUMMYFUNCTION("""COMPUTED_VALUE"""),45118.66666666667)</f>
        <v>45118.66667</v>
      </c>
      <c r="C627" s="9">
        <f>IFERROR(__xludf.DUMMYFUNCTION("""COMPUTED_VALUE"""),123.22)</f>
        <v>123.22</v>
      </c>
      <c r="E627" s="17"/>
      <c r="M627" s="17"/>
      <c r="P627" s="17"/>
    </row>
    <row r="628">
      <c r="B628" s="11">
        <f>IFERROR(__xludf.DUMMYFUNCTION("""COMPUTED_VALUE"""),45117.66666666667)</f>
        <v>45117.66667</v>
      </c>
      <c r="C628" s="9">
        <f>IFERROR(__xludf.DUMMYFUNCTION("""COMPUTED_VALUE"""),121.81)</f>
        <v>121.81</v>
      </c>
      <c r="E628" s="17"/>
      <c r="M628" s="17"/>
      <c r="P628" s="17"/>
    </row>
    <row r="629">
      <c r="B629" s="11">
        <f>IFERROR(__xludf.DUMMYFUNCTION("""COMPUTED_VALUE"""),45114.66666666667)</f>
        <v>45114.66667</v>
      </c>
      <c r="C629" s="9">
        <f>IFERROR(__xludf.DUMMYFUNCTION("""COMPUTED_VALUE"""),121.99)</f>
        <v>121.99</v>
      </c>
      <c r="E629" s="17"/>
      <c r="M629" s="17"/>
      <c r="P629" s="17"/>
    </row>
    <row r="630">
      <c r="B630" s="11">
        <f>IFERROR(__xludf.DUMMYFUNCTION("""COMPUTED_VALUE"""),45113.66666666667)</f>
        <v>45113.66667</v>
      </c>
      <c r="C630" s="9">
        <f>IFERROR(__xludf.DUMMYFUNCTION("""COMPUTED_VALUE"""),122.99)</f>
        <v>122.99</v>
      </c>
      <c r="E630" s="17"/>
      <c r="M630" s="17"/>
      <c r="P630" s="17"/>
    </row>
    <row r="631">
      <c r="B631" s="11">
        <f>IFERROR(__xludf.DUMMYFUNCTION("""COMPUTED_VALUE"""),45112.66666666667)</f>
        <v>45112.66667</v>
      </c>
      <c r="C631" s="9">
        <f>IFERROR(__xludf.DUMMYFUNCTION("""COMPUTED_VALUE"""),123.99)</f>
        <v>123.99</v>
      </c>
      <c r="E631" s="17"/>
      <c r="M631" s="17"/>
      <c r="P631" s="17"/>
    </row>
    <row r="632">
      <c r="B632" s="11">
        <f>IFERROR(__xludf.DUMMYFUNCTION("""COMPUTED_VALUE"""),45110.54166666667)</f>
        <v>45110.54167</v>
      </c>
      <c r="C632" s="9">
        <f>IFERROR(__xludf.DUMMYFUNCTION("""COMPUTED_VALUE"""),123.85)</f>
        <v>123.85</v>
      </c>
      <c r="E632" s="17"/>
      <c r="M632" s="17"/>
      <c r="P632" s="17"/>
    </row>
    <row r="633">
      <c r="B633" s="11">
        <f>IFERROR(__xludf.DUMMYFUNCTION("""COMPUTED_VALUE"""),45107.66666666667)</f>
        <v>45107.66667</v>
      </c>
      <c r="C633" s="9">
        <f>IFERROR(__xludf.DUMMYFUNCTION("""COMPUTED_VALUE"""),122.63)</f>
        <v>122.63</v>
      </c>
      <c r="E633" s="17"/>
      <c r="M633" s="17"/>
      <c r="P633" s="17"/>
    </row>
    <row r="634">
      <c r="B634" s="11">
        <f>IFERROR(__xludf.DUMMYFUNCTION("""COMPUTED_VALUE"""),45106.66666666667)</f>
        <v>45106.66667</v>
      </c>
      <c r="C634" s="9">
        <f>IFERROR(__xludf.DUMMYFUNCTION("""COMPUTED_VALUE"""),121.5)</f>
        <v>121.5</v>
      </c>
      <c r="E634" s="17"/>
      <c r="M634" s="17"/>
      <c r="P634" s="17"/>
    </row>
    <row r="635">
      <c r="B635" s="11">
        <f>IFERROR(__xludf.DUMMYFUNCTION("""COMPUTED_VALUE"""),45105.66666666667)</f>
        <v>45105.66667</v>
      </c>
      <c r="C635" s="9">
        <f>IFERROR(__xludf.DUMMYFUNCTION("""COMPUTED_VALUE"""),120.6)</f>
        <v>120.6</v>
      </c>
      <c r="E635" s="17"/>
      <c r="M635" s="17"/>
      <c r="P635" s="17"/>
    </row>
    <row r="636">
      <c r="B636" s="11">
        <f>IFERROR(__xludf.DUMMYFUNCTION("""COMPUTED_VALUE"""),45104.66666666667)</f>
        <v>45104.66667</v>
      </c>
      <c r="C636" s="9">
        <f>IFERROR(__xludf.DUMMYFUNCTION("""COMPUTED_VALUE"""),120.87)</f>
        <v>120.87</v>
      </c>
      <c r="E636" s="17"/>
      <c r="M636" s="17"/>
      <c r="P636" s="17"/>
    </row>
    <row r="637">
      <c r="B637" s="11">
        <f>IFERROR(__xludf.DUMMYFUNCTION("""COMPUTED_VALUE"""),45103.66666666667)</f>
        <v>45103.66667</v>
      </c>
      <c r="C637" s="9">
        <f>IFERROR(__xludf.DUMMYFUNCTION("""COMPUTED_VALUE"""),119.01)</f>
        <v>119.01</v>
      </c>
      <c r="E637" s="17"/>
      <c r="M637" s="17"/>
      <c r="P637" s="17"/>
    </row>
    <row r="638">
      <c r="B638" s="11">
        <f>IFERROR(__xludf.DUMMYFUNCTION("""COMPUTED_VALUE"""),45100.66666666667)</f>
        <v>45100.66667</v>
      </c>
      <c r="C638" s="9">
        <f>IFERROR(__xludf.DUMMYFUNCTION("""COMPUTED_VALUE"""),116.9)</f>
        <v>116.9</v>
      </c>
      <c r="E638" s="17"/>
      <c r="M638" s="17"/>
      <c r="P638" s="17"/>
    </row>
    <row r="639">
      <c r="B639" s="11">
        <f>IFERROR(__xludf.DUMMYFUNCTION("""COMPUTED_VALUE"""),45099.66666666667)</f>
        <v>45099.66667</v>
      </c>
      <c r="C639" s="9">
        <f>IFERROR(__xludf.DUMMYFUNCTION("""COMPUTED_VALUE"""),118.66)</f>
        <v>118.66</v>
      </c>
      <c r="E639" s="17"/>
      <c r="M639" s="17"/>
      <c r="P639" s="17"/>
    </row>
    <row r="640">
      <c r="B640" s="11">
        <f>IFERROR(__xludf.DUMMYFUNCTION("""COMPUTED_VALUE"""),45098.66666666667)</f>
        <v>45098.66667</v>
      </c>
      <c r="C640" s="9">
        <f>IFERROR(__xludf.DUMMYFUNCTION("""COMPUTED_VALUE"""),120.69)</f>
        <v>120.69</v>
      </c>
      <c r="E640" s="17"/>
      <c r="M640" s="17"/>
      <c r="P640" s="17"/>
    </row>
    <row r="641">
      <c r="B641" s="11">
        <f>IFERROR(__xludf.DUMMYFUNCTION("""COMPUTED_VALUE"""),45097.66666666667)</f>
        <v>45097.66667</v>
      </c>
      <c r="C641" s="9">
        <f>IFERROR(__xludf.DUMMYFUNCTION("""COMPUTED_VALUE"""),120.84)</f>
        <v>120.84</v>
      </c>
      <c r="E641" s="17"/>
      <c r="M641" s="17"/>
      <c r="P641" s="17"/>
    </row>
    <row r="642">
      <c r="B642" s="11">
        <f>IFERROR(__xludf.DUMMYFUNCTION("""COMPUTED_VALUE"""),45093.66666666667)</f>
        <v>45093.66667</v>
      </c>
      <c r="C642" s="9">
        <f>IFERROR(__xludf.DUMMYFUNCTION("""COMPUTED_VALUE"""),122.63)</f>
        <v>122.63</v>
      </c>
      <c r="E642" s="17"/>
      <c r="M642" s="17"/>
      <c r="P642" s="17"/>
    </row>
    <row r="643">
      <c r="B643" s="11">
        <f>IFERROR(__xludf.DUMMYFUNCTION("""COMPUTED_VALUE"""),45092.66666666667)</f>
        <v>45092.66667</v>
      </c>
      <c r="C643" s="9">
        <f>IFERROR(__xludf.DUMMYFUNCTION("""COMPUTED_VALUE"""),121.72)</f>
        <v>121.72</v>
      </c>
      <c r="E643" s="17"/>
      <c r="M643" s="17"/>
      <c r="P643" s="17"/>
    </row>
    <row r="644">
      <c r="B644" s="11">
        <f>IFERROR(__xludf.DUMMYFUNCTION("""COMPUTED_VALUE"""),45091.66666666667)</f>
        <v>45091.66667</v>
      </c>
      <c r="C644" s="9">
        <f>IFERROR(__xludf.DUMMYFUNCTION("""COMPUTED_VALUE"""),122.27)</f>
        <v>122.27</v>
      </c>
      <c r="E644" s="17"/>
      <c r="M644" s="17"/>
      <c r="P644" s="17"/>
    </row>
    <row r="645">
      <c r="B645" s="11">
        <f>IFERROR(__xludf.DUMMYFUNCTION("""COMPUTED_VALUE"""),45090.66666666667)</f>
        <v>45090.66667</v>
      </c>
      <c r="C645" s="9">
        <f>IFERROR(__xludf.DUMMYFUNCTION("""COMPUTED_VALUE"""),121.35)</f>
        <v>121.35</v>
      </c>
      <c r="E645" s="17"/>
      <c r="M645" s="17"/>
      <c r="P645" s="17"/>
    </row>
    <row r="646">
      <c r="B646" s="11">
        <f>IFERROR(__xludf.DUMMYFUNCTION("""COMPUTED_VALUE"""),45089.66666666667)</f>
        <v>45089.66667</v>
      </c>
      <c r="C646" s="9">
        <f>IFERROR(__xludf.DUMMYFUNCTION("""COMPUTED_VALUE"""),119.62)</f>
        <v>119.62</v>
      </c>
      <c r="E646" s="17"/>
      <c r="M646" s="17"/>
      <c r="P646" s="17"/>
    </row>
    <row r="647">
      <c r="B647" s="11">
        <f>IFERROR(__xludf.DUMMYFUNCTION("""COMPUTED_VALUE"""),45086.66666666667)</f>
        <v>45086.66667</v>
      </c>
      <c r="C647" s="9">
        <f>IFERROR(__xludf.DUMMYFUNCTION("""COMPUTED_VALUE"""),121.31)</f>
        <v>121.31</v>
      </c>
      <c r="E647" s="17"/>
      <c r="M647" s="17"/>
      <c r="P647" s="17"/>
    </row>
    <row r="648">
      <c r="B648" s="11">
        <f>IFERROR(__xludf.DUMMYFUNCTION("""COMPUTED_VALUE"""),45085.66666666667)</f>
        <v>45085.66667</v>
      </c>
      <c r="C648" s="9">
        <f>IFERROR(__xludf.DUMMYFUNCTION("""COMPUTED_VALUE"""),124.91)</f>
        <v>124.91</v>
      </c>
      <c r="E648" s="17"/>
      <c r="M648" s="17"/>
      <c r="P648" s="17"/>
    </row>
    <row r="649">
      <c r="B649" s="11">
        <f>IFERROR(__xludf.DUMMYFUNCTION("""COMPUTED_VALUE"""),45084.66666666667)</f>
        <v>45084.66667</v>
      </c>
      <c r="C649" s="9">
        <f>IFERROR(__xludf.DUMMYFUNCTION("""COMPUTED_VALUE"""),128.06)</f>
        <v>128.06</v>
      </c>
      <c r="E649" s="17"/>
      <c r="M649" s="17"/>
      <c r="P649" s="17"/>
    </row>
    <row r="650">
      <c r="B650" s="11">
        <f>IFERROR(__xludf.DUMMYFUNCTION("""COMPUTED_VALUE"""),45083.66666666667)</f>
        <v>45083.66667</v>
      </c>
      <c r="C650" s="9">
        <f>IFERROR(__xludf.DUMMYFUNCTION("""COMPUTED_VALUE"""),125.83)</f>
        <v>125.83</v>
      </c>
      <c r="E650" s="17"/>
      <c r="M650" s="17"/>
      <c r="P650" s="17"/>
    </row>
    <row r="651">
      <c r="B651" s="11">
        <f>IFERROR(__xludf.DUMMYFUNCTION("""COMPUTED_VALUE"""),45082.66666666667)</f>
        <v>45082.66667</v>
      </c>
      <c r="C651" s="9">
        <f>IFERROR(__xludf.DUMMYFUNCTION("""COMPUTED_VALUE"""),124.63)</f>
        <v>124.63</v>
      </c>
      <c r="E651" s="17"/>
      <c r="M651" s="17"/>
      <c r="P651" s="17"/>
    </row>
    <row r="652">
      <c r="B652" s="11">
        <f>IFERROR(__xludf.DUMMYFUNCTION("""COMPUTED_VALUE"""),45079.66666666667)</f>
        <v>45079.66667</v>
      </c>
      <c r="C652" s="9">
        <f>IFERROR(__xludf.DUMMYFUNCTION("""COMPUTED_VALUE"""),124.92)</f>
        <v>124.92</v>
      </c>
      <c r="E652" s="17"/>
      <c r="M652" s="17"/>
      <c r="P652" s="17"/>
    </row>
    <row r="653">
      <c r="B653" s="11">
        <f>IFERROR(__xludf.DUMMYFUNCTION("""COMPUTED_VALUE"""),45078.66666666667)</f>
        <v>45078.66667</v>
      </c>
      <c r="C653" s="9">
        <f>IFERROR(__xludf.DUMMYFUNCTION("""COMPUTED_VALUE"""),122.64)</f>
        <v>122.64</v>
      </c>
      <c r="E653" s="17"/>
      <c r="M653" s="17"/>
      <c r="P653" s="17"/>
    </row>
    <row r="654">
      <c r="B654" s="11">
        <f>IFERROR(__xludf.DUMMYFUNCTION("""COMPUTED_VALUE"""),45077.66666666667)</f>
        <v>45077.66667</v>
      </c>
      <c r="C654" s="9">
        <f>IFERROR(__xludf.DUMMYFUNCTION("""COMPUTED_VALUE"""),124.55)</f>
        <v>124.55</v>
      </c>
      <c r="E654" s="17"/>
      <c r="M654" s="17"/>
      <c r="P654" s="17"/>
    </row>
    <row r="655">
      <c r="B655" s="11">
        <f>IFERROR(__xludf.DUMMYFUNCTION("""COMPUTED_VALUE"""),45076.66666666667)</f>
        <v>45076.66667</v>
      </c>
      <c r="C655" s="9">
        <f>IFERROR(__xludf.DUMMYFUNCTION("""COMPUTED_VALUE"""),124.31)</f>
        <v>124.31</v>
      </c>
      <c r="E655" s="17"/>
      <c r="M655" s="17"/>
      <c r="P655" s="17"/>
    </row>
    <row r="656">
      <c r="B656" s="11">
        <f>IFERROR(__xludf.DUMMYFUNCTION("""COMPUTED_VALUE"""),45072.66666666667)</f>
        <v>45072.66667</v>
      </c>
      <c r="C656" s="9">
        <f>IFERROR(__xludf.DUMMYFUNCTION("""COMPUTED_VALUE"""),124.95)</f>
        <v>124.95</v>
      </c>
      <c r="E656" s="17"/>
      <c r="M656" s="17"/>
      <c r="P656" s="17"/>
    </row>
    <row r="657">
      <c r="B657" s="11">
        <f>IFERROR(__xludf.DUMMYFUNCTION("""COMPUTED_VALUE"""),45071.66666666667)</f>
        <v>45071.66667</v>
      </c>
      <c r="C657" s="9">
        <f>IFERROR(__xludf.DUMMYFUNCTION("""COMPUTED_VALUE"""),121.98)</f>
        <v>121.98</v>
      </c>
      <c r="E657" s="17"/>
      <c r="M657" s="17"/>
      <c r="P657" s="17"/>
    </row>
    <row r="658">
      <c r="B658" s="11">
        <f>IFERROR(__xludf.DUMMYFUNCTION("""COMPUTED_VALUE"""),45070.66666666667)</f>
        <v>45070.66667</v>
      </c>
      <c r="C658" s="9">
        <f>IFERROR(__xludf.DUMMYFUNCTION("""COMPUTED_VALUE"""),121.02)</f>
        <v>121.02</v>
      </c>
      <c r="E658" s="17"/>
      <c r="M658" s="17"/>
      <c r="P658" s="17"/>
    </row>
    <row r="659">
      <c r="B659" s="11">
        <f>IFERROR(__xludf.DUMMYFUNCTION("""COMPUTED_VALUE"""),45069.66666666667)</f>
        <v>45069.66667</v>
      </c>
      <c r="C659" s="9">
        <f>IFERROR(__xludf.DUMMYFUNCTION("""COMPUTED_VALUE"""),123.54)</f>
        <v>123.54</v>
      </c>
      <c r="E659" s="17"/>
      <c r="M659" s="17"/>
      <c r="P659" s="17"/>
    </row>
    <row r="660">
      <c r="B660" s="11">
        <f>IFERROR(__xludf.DUMMYFUNCTION("""COMPUTED_VALUE"""),45068.66666666667)</f>
        <v>45068.66667</v>
      </c>
      <c r="C660" s="9">
        <f>IFERROR(__xludf.DUMMYFUNCTION("""COMPUTED_VALUE"""),124.23)</f>
        <v>124.23</v>
      </c>
      <c r="E660" s="17"/>
      <c r="M660" s="17"/>
      <c r="P660" s="17"/>
    </row>
    <row r="661">
      <c r="B661" s="11">
        <f>IFERROR(__xludf.DUMMYFUNCTION("""COMPUTED_VALUE"""),45065.66666666667)</f>
        <v>45065.66667</v>
      </c>
      <c r="C661" s="9">
        <f>IFERROR(__xludf.DUMMYFUNCTION("""COMPUTED_VALUE"""),123.06)</f>
        <v>123.06</v>
      </c>
      <c r="E661" s="17"/>
      <c r="M661" s="17"/>
      <c r="P661" s="17"/>
    </row>
    <row r="662">
      <c r="B662" s="11">
        <f>IFERROR(__xludf.DUMMYFUNCTION("""COMPUTED_VALUE"""),45064.66666666667)</f>
        <v>45064.66667</v>
      </c>
      <c r="C662" s="9">
        <f>IFERROR(__xludf.DUMMYFUNCTION("""COMPUTED_VALUE"""),122.06)</f>
        <v>122.06</v>
      </c>
      <c r="E662" s="17"/>
      <c r="M662" s="17"/>
      <c r="P662" s="17"/>
    </row>
    <row r="663">
      <c r="B663" s="11">
        <f>IFERROR(__xludf.DUMMYFUNCTION("""COMPUTED_VALUE"""),45063.66666666667)</f>
        <v>45063.66667</v>
      </c>
      <c r="C663" s="9">
        <f>IFERROR(__xludf.DUMMYFUNCTION("""COMPUTED_VALUE"""),122.7)</f>
        <v>122.7</v>
      </c>
      <c r="E663" s="17"/>
      <c r="M663" s="17"/>
      <c r="P663" s="17"/>
    </row>
    <row r="664">
      <c r="B664" s="11">
        <f>IFERROR(__xludf.DUMMYFUNCTION("""COMPUTED_VALUE"""),45062.66666666667)</f>
        <v>45062.66667</v>
      </c>
      <c r="C664" s="9">
        <f>IFERROR(__xludf.DUMMYFUNCTION("""COMPUTED_VALUE"""),121.25)</f>
        <v>121.25</v>
      </c>
      <c r="E664" s="17"/>
      <c r="M664" s="17"/>
      <c r="P664" s="17"/>
    </row>
    <row r="665">
      <c r="B665" s="11">
        <f>IFERROR(__xludf.DUMMYFUNCTION("""COMPUTED_VALUE"""),45061.66666666667)</f>
        <v>45061.66667</v>
      </c>
      <c r="C665" s="9">
        <f>IFERROR(__xludf.DUMMYFUNCTION("""COMPUTED_VALUE"""),125.28)</f>
        <v>125.28</v>
      </c>
      <c r="E665" s="17"/>
      <c r="M665" s="17"/>
      <c r="P665" s="17"/>
    </row>
    <row r="666">
      <c r="B666" s="11">
        <f>IFERROR(__xludf.DUMMYFUNCTION("""COMPUTED_VALUE"""),45058.66666666667)</f>
        <v>45058.66667</v>
      </c>
      <c r="C666" s="9">
        <f>IFERROR(__xludf.DUMMYFUNCTION("""COMPUTED_VALUE"""),125.17)</f>
        <v>125.17</v>
      </c>
      <c r="E666" s="17"/>
      <c r="M666" s="17"/>
      <c r="P666" s="17"/>
    </row>
    <row r="667">
      <c r="B667" s="11">
        <f>IFERROR(__xludf.DUMMYFUNCTION("""COMPUTED_VALUE"""),45057.66666666667)</f>
        <v>45057.66667</v>
      </c>
      <c r="C667" s="9">
        <f>IFERROR(__xludf.DUMMYFUNCTION("""COMPUTED_VALUE"""),125.74)</f>
        <v>125.74</v>
      </c>
      <c r="E667" s="17"/>
      <c r="M667" s="17"/>
      <c r="P667" s="17"/>
    </row>
    <row r="668">
      <c r="B668" s="11">
        <f>IFERROR(__xludf.DUMMYFUNCTION("""COMPUTED_VALUE"""),45056.66666666667)</f>
        <v>45056.66667</v>
      </c>
      <c r="C668" s="9">
        <f>IFERROR(__xludf.DUMMYFUNCTION("""COMPUTED_VALUE"""),128.08)</f>
        <v>128.08</v>
      </c>
      <c r="E668" s="17"/>
      <c r="M668" s="17"/>
      <c r="P668" s="17"/>
    </row>
    <row r="669">
      <c r="B669" s="11">
        <f>IFERROR(__xludf.DUMMYFUNCTION("""COMPUTED_VALUE"""),45055.66666666667)</f>
        <v>45055.66667</v>
      </c>
      <c r="C669" s="9">
        <f>IFERROR(__xludf.DUMMYFUNCTION("""COMPUTED_VALUE"""),125.92)</f>
        <v>125.92</v>
      </c>
      <c r="E669" s="17"/>
      <c r="M669" s="17"/>
      <c r="P669" s="17"/>
    </row>
    <row r="670">
      <c r="B670" s="11">
        <f>IFERROR(__xludf.DUMMYFUNCTION("""COMPUTED_VALUE"""),45054.66666666667)</f>
        <v>45054.66667</v>
      </c>
      <c r="C670" s="9">
        <f>IFERROR(__xludf.DUMMYFUNCTION("""COMPUTED_VALUE"""),127.37)</f>
        <v>127.37</v>
      </c>
      <c r="E670" s="17"/>
      <c r="M670" s="17"/>
      <c r="P670" s="17"/>
    </row>
    <row r="671">
      <c r="B671" s="11">
        <f>IFERROR(__xludf.DUMMYFUNCTION("""COMPUTED_VALUE"""),45051.66666666667)</f>
        <v>45051.66667</v>
      </c>
      <c r="C671" s="9">
        <f>IFERROR(__xludf.DUMMYFUNCTION("""COMPUTED_VALUE"""),127.25)</f>
        <v>127.25</v>
      </c>
      <c r="E671" s="17"/>
      <c r="M671" s="17"/>
      <c r="P671" s="17"/>
    </row>
    <row r="672">
      <c r="B672" s="11">
        <f>IFERROR(__xludf.DUMMYFUNCTION("""COMPUTED_VALUE"""),45050.66666666667)</f>
        <v>45050.66667</v>
      </c>
      <c r="C672" s="9">
        <f>IFERROR(__xludf.DUMMYFUNCTION("""COMPUTED_VALUE"""),124.88)</f>
        <v>124.88</v>
      </c>
      <c r="E672" s="17"/>
      <c r="M672" s="17"/>
      <c r="P672" s="17"/>
    </row>
    <row r="673">
      <c r="B673" s="11">
        <f>IFERROR(__xludf.DUMMYFUNCTION("""COMPUTED_VALUE"""),45049.66666666667)</f>
        <v>45049.66667</v>
      </c>
      <c r="C673" s="9">
        <f>IFERROR(__xludf.DUMMYFUNCTION("""COMPUTED_VALUE"""),124.16)</f>
        <v>124.16</v>
      </c>
      <c r="E673" s="17"/>
      <c r="M673" s="17"/>
      <c r="P673" s="17"/>
    </row>
    <row r="674">
      <c r="B674" s="11">
        <f>IFERROR(__xludf.DUMMYFUNCTION("""COMPUTED_VALUE"""),45048.66666666667)</f>
        <v>45048.66667</v>
      </c>
      <c r="C674" s="9">
        <f>IFERROR(__xludf.DUMMYFUNCTION("""COMPUTED_VALUE"""),122.48)</f>
        <v>122.48</v>
      </c>
      <c r="E674" s="17"/>
      <c r="M674" s="17"/>
      <c r="P674" s="17"/>
    </row>
    <row r="675">
      <c r="B675" s="11">
        <f>IFERROR(__xludf.DUMMYFUNCTION("""COMPUTED_VALUE"""),45047.66666666667)</f>
        <v>45047.66667</v>
      </c>
      <c r="C675" s="9">
        <f>IFERROR(__xludf.DUMMYFUNCTION("""COMPUTED_VALUE"""),122.4)</f>
        <v>122.4</v>
      </c>
      <c r="E675" s="17"/>
      <c r="M675" s="17"/>
      <c r="P675" s="17"/>
    </row>
    <row r="676">
      <c r="B676" s="11">
        <f>IFERROR(__xludf.DUMMYFUNCTION("""COMPUTED_VALUE"""),45044.66666666667)</f>
        <v>45044.66667</v>
      </c>
      <c r="C676" s="9">
        <f>IFERROR(__xludf.DUMMYFUNCTION("""COMPUTED_VALUE"""),125.25)</f>
        <v>125.25</v>
      </c>
      <c r="E676" s="17"/>
      <c r="M676" s="17"/>
      <c r="P676" s="17"/>
    </row>
    <row r="677">
      <c r="B677" s="11">
        <f>IFERROR(__xludf.DUMMYFUNCTION("""COMPUTED_VALUE"""),45043.66666666667)</f>
        <v>45043.66667</v>
      </c>
      <c r="C677" s="9">
        <f>IFERROR(__xludf.DUMMYFUNCTION("""COMPUTED_VALUE"""),122.18)</f>
        <v>122.18</v>
      </c>
      <c r="E677" s="17"/>
      <c r="M677" s="17"/>
      <c r="P677" s="17"/>
    </row>
    <row r="678">
      <c r="B678" s="11">
        <f>IFERROR(__xludf.DUMMYFUNCTION("""COMPUTED_VALUE"""),45042.66666666667)</f>
        <v>45042.66667</v>
      </c>
      <c r="C678" s="9">
        <f>IFERROR(__xludf.DUMMYFUNCTION("""COMPUTED_VALUE"""),119.07)</f>
        <v>119.07</v>
      </c>
      <c r="E678" s="17"/>
      <c r="M678" s="17"/>
      <c r="P678" s="17"/>
    </row>
    <row r="679">
      <c r="B679" s="11">
        <f>IFERROR(__xludf.DUMMYFUNCTION("""COMPUTED_VALUE"""),45041.66666666667)</f>
        <v>45041.66667</v>
      </c>
      <c r="C679" s="9">
        <f>IFERROR(__xludf.DUMMYFUNCTION("""COMPUTED_VALUE"""),120.64)</f>
        <v>120.64</v>
      </c>
      <c r="E679" s="17"/>
      <c r="M679" s="17"/>
      <c r="P679" s="17"/>
    </row>
    <row r="680">
      <c r="B680" s="11">
        <f>IFERROR(__xludf.DUMMYFUNCTION("""COMPUTED_VALUE"""),45040.66666666667)</f>
        <v>45040.66667</v>
      </c>
      <c r="C680" s="9">
        <f>IFERROR(__xludf.DUMMYFUNCTION("""COMPUTED_VALUE"""),123.19)</f>
        <v>123.19</v>
      </c>
      <c r="E680" s="17"/>
      <c r="M680" s="17"/>
      <c r="P680" s="17"/>
    </row>
    <row r="681">
      <c r="B681" s="11">
        <f>IFERROR(__xludf.DUMMYFUNCTION("""COMPUTED_VALUE"""),45037.66666666667)</f>
        <v>45037.66667</v>
      </c>
      <c r="C681" s="9">
        <f>IFERROR(__xludf.DUMMYFUNCTION("""COMPUTED_VALUE"""),123.58)</f>
        <v>123.58</v>
      </c>
      <c r="E681" s="17"/>
      <c r="M681" s="17"/>
      <c r="P681" s="17"/>
    </row>
    <row r="682">
      <c r="B682" s="11">
        <f>IFERROR(__xludf.DUMMYFUNCTION("""COMPUTED_VALUE"""),45036.66666666667)</f>
        <v>45036.66667</v>
      </c>
      <c r="C682" s="9">
        <f>IFERROR(__xludf.DUMMYFUNCTION("""COMPUTED_VALUE"""),123.25)</f>
        <v>123.25</v>
      </c>
      <c r="E682" s="17"/>
      <c r="M682" s="17"/>
      <c r="P682" s="17"/>
    </row>
    <row r="683">
      <c r="B683" s="11">
        <f>IFERROR(__xludf.DUMMYFUNCTION("""COMPUTED_VALUE"""),45035.66666666667)</f>
        <v>45035.66667</v>
      </c>
      <c r="C683" s="9">
        <f>IFERROR(__xludf.DUMMYFUNCTION("""COMPUTED_VALUE"""),125.16)</f>
        <v>125.16</v>
      </c>
      <c r="E683" s="17"/>
      <c r="M683" s="17"/>
      <c r="P683" s="17"/>
    </row>
    <row r="684">
      <c r="B684" s="11">
        <f>IFERROR(__xludf.DUMMYFUNCTION("""COMPUTED_VALUE"""),45034.66666666667)</f>
        <v>45034.66667</v>
      </c>
      <c r="C684" s="9">
        <f>IFERROR(__xludf.DUMMYFUNCTION("""COMPUTED_VALUE"""),123.71)</f>
        <v>123.71</v>
      </c>
      <c r="E684" s="17"/>
      <c r="M684" s="17"/>
      <c r="P684" s="17"/>
    </row>
    <row r="685">
      <c r="B685" s="11">
        <f>IFERROR(__xludf.DUMMYFUNCTION("""COMPUTED_VALUE"""),45033.66666666667)</f>
        <v>45033.66667</v>
      </c>
      <c r="C685" s="9">
        <f>IFERROR(__xludf.DUMMYFUNCTION("""COMPUTED_VALUE"""),123.14)</f>
        <v>123.14</v>
      </c>
      <c r="E685" s="17"/>
      <c r="M685" s="17"/>
      <c r="P685" s="17"/>
    </row>
    <row r="686">
      <c r="B686" s="11">
        <f>IFERROR(__xludf.DUMMYFUNCTION("""COMPUTED_VALUE"""),45030.66666666667)</f>
        <v>45030.66667</v>
      </c>
      <c r="C686" s="9">
        <f>IFERROR(__xludf.DUMMYFUNCTION("""COMPUTED_VALUE"""),119.76)</f>
        <v>119.76</v>
      </c>
      <c r="E686" s="17"/>
      <c r="M686" s="17"/>
      <c r="P686" s="17"/>
    </row>
    <row r="687">
      <c r="B687" s="11">
        <f>IFERROR(__xludf.DUMMYFUNCTION("""COMPUTED_VALUE"""),45029.66666666667)</f>
        <v>45029.66667</v>
      </c>
      <c r="C687" s="9">
        <f>IFERROR(__xludf.DUMMYFUNCTION("""COMPUTED_VALUE"""),121.92)</f>
        <v>121.92</v>
      </c>
      <c r="E687" s="17"/>
      <c r="M687" s="17"/>
      <c r="P687" s="17"/>
    </row>
    <row r="688">
      <c r="B688" s="11">
        <f>IFERROR(__xludf.DUMMYFUNCTION("""COMPUTED_VALUE"""),45028.66666666667)</f>
        <v>45028.66667</v>
      </c>
      <c r="C688" s="9">
        <f>IFERROR(__xludf.DUMMYFUNCTION("""COMPUTED_VALUE"""),122.81)</f>
        <v>122.81</v>
      </c>
      <c r="E688" s="17"/>
      <c r="M688" s="17"/>
      <c r="P688" s="17"/>
    </row>
    <row r="689">
      <c r="B689" s="11">
        <f>IFERROR(__xludf.DUMMYFUNCTION("""COMPUTED_VALUE"""),45027.66666666667)</f>
        <v>45027.66667</v>
      </c>
      <c r="C689" s="9">
        <f>IFERROR(__xludf.DUMMYFUNCTION("""COMPUTED_VALUE"""),122.67)</f>
        <v>122.67</v>
      </c>
      <c r="E689" s="17"/>
      <c r="M689" s="17"/>
      <c r="P689" s="17"/>
    </row>
    <row r="690">
      <c r="B690" s="11">
        <f>IFERROR(__xludf.DUMMYFUNCTION("""COMPUTED_VALUE"""),45026.66666666667)</f>
        <v>45026.66667</v>
      </c>
      <c r="C690" s="9">
        <f>IFERROR(__xludf.DUMMYFUNCTION("""COMPUTED_VALUE"""),123.74)</f>
        <v>123.74</v>
      </c>
      <c r="E690" s="17"/>
      <c r="M690" s="17"/>
      <c r="P690" s="17"/>
    </row>
    <row r="691">
      <c r="B691" s="11">
        <f>IFERROR(__xludf.DUMMYFUNCTION("""COMPUTED_VALUE"""),45022.66666666667)</f>
        <v>45022.66667</v>
      </c>
      <c r="C691" s="9">
        <f>IFERROR(__xludf.DUMMYFUNCTION("""COMPUTED_VALUE"""),122.75)</f>
        <v>122.75</v>
      </c>
      <c r="E691" s="17"/>
      <c r="M691" s="17"/>
      <c r="P691" s="17"/>
    </row>
    <row r="692">
      <c r="B692" s="11">
        <f>IFERROR(__xludf.DUMMYFUNCTION("""COMPUTED_VALUE"""),45021.66666666667)</f>
        <v>45021.66667</v>
      </c>
      <c r="C692" s="9">
        <f>IFERROR(__xludf.DUMMYFUNCTION("""COMPUTED_VALUE"""),122.27)</f>
        <v>122.27</v>
      </c>
      <c r="E692" s="17"/>
      <c r="M692" s="17"/>
      <c r="P692" s="17"/>
    </row>
    <row r="693">
      <c r="B693" s="11">
        <f>IFERROR(__xludf.DUMMYFUNCTION("""COMPUTED_VALUE"""),45020.66666666667)</f>
        <v>45020.66667</v>
      </c>
      <c r="C693" s="9">
        <f>IFERROR(__xludf.DUMMYFUNCTION("""COMPUTED_VALUE"""),124.08)</f>
        <v>124.08</v>
      </c>
      <c r="E693" s="17"/>
      <c r="M693" s="17"/>
      <c r="P693" s="17"/>
    </row>
    <row r="694">
      <c r="B694" s="11">
        <f>IFERROR(__xludf.DUMMYFUNCTION("""COMPUTED_VALUE"""),45019.66666666667)</f>
        <v>45019.66667</v>
      </c>
      <c r="C694" s="9">
        <f>IFERROR(__xludf.DUMMYFUNCTION("""COMPUTED_VALUE"""),123.77)</f>
        <v>123.77</v>
      </c>
      <c r="E694" s="17"/>
      <c r="M694" s="17"/>
      <c r="P694" s="17"/>
    </row>
    <row r="695">
      <c r="B695" s="11">
        <f>IFERROR(__xludf.DUMMYFUNCTION("""COMPUTED_VALUE"""),45016.66666666667)</f>
        <v>45016.66667</v>
      </c>
      <c r="C695" s="9">
        <f>IFERROR(__xludf.DUMMYFUNCTION("""COMPUTED_VALUE"""),124.77)</f>
        <v>124.77</v>
      </c>
      <c r="E695" s="17"/>
      <c r="M695" s="17"/>
      <c r="P695" s="17"/>
    </row>
    <row r="696">
      <c r="B696" s="11">
        <f>IFERROR(__xludf.DUMMYFUNCTION("""COMPUTED_VALUE"""),45015.66666666667)</f>
        <v>45015.66667</v>
      </c>
      <c r="C696" s="9">
        <f>IFERROR(__xludf.DUMMYFUNCTION("""COMPUTED_VALUE"""),121.92)</f>
        <v>121.92</v>
      </c>
      <c r="E696" s="17"/>
      <c r="M696" s="17"/>
      <c r="P696" s="17"/>
    </row>
    <row r="697">
      <c r="B697" s="11">
        <f>IFERROR(__xludf.DUMMYFUNCTION("""COMPUTED_VALUE"""),45014.66666666667)</f>
        <v>45014.66667</v>
      </c>
      <c r="C697" s="9">
        <f>IFERROR(__xludf.DUMMYFUNCTION("""COMPUTED_VALUE"""),119.88)</f>
        <v>119.88</v>
      </c>
      <c r="E697" s="17"/>
      <c r="M697" s="17"/>
      <c r="P697" s="17"/>
    </row>
    <row r="698">
      <c r="B698" s="11">
        <f>IFERROR(__xludf.DUMMYFUNCTION("""COMPUTED_VALUE"""),45013.66666666667)</f>
        <v>45013.66667</v>
      </c>
      <c r="C698" s="9">
        <f>IFERROR(__xludf.DUMMYFUNCTION("""COMPUTED_VALUE"""),116.65)</f>
        <v>116.65</v>
      </c>
      <c r="E698" s="17"/>
      <c r="M698" s="17"/>
      <c r="P698" s="17"/>
    </row>
    <row r="699">
      <c r="B699" s="11">
        <f>IFERROR(__xludf.DUMMYFUNCTION("""COMPUTED_VALUE"""),45012.66666666667)</f>
        <v>45012.66667</v>
      </c>
      <c r="C699" s="9">
        <f>IFERROR(__xludf.DUMMYFUNCTION("""COMPUTED_VALUE"""),117.06)</f>
        <v>117.06</v>
      </c>
      <c r="E699" s="17"/>
      <c r="M699" s="17"/>
      <c r="P699" s="17"/>
    </row>
    <row r="700">
      <c r="B700" s="11">
        <f>IFERROR(__xludf.DUMMYFUNCTION("""COMPUTED_VALUE"""),45009.66666666667)</f>
        <v>45009.66667</v>
      </c>
      <c r="C700" s="9">
        <f>IFERROR(__xludf.DUMMYFUNCTION("""COMPUTED_VALUE"""),117.03)</f>
        <v>117.03</v>
      </c>
      <c r="E700" s="17"/>
      <c r="M700" s="17"/>
      <c r="P700" s="17"/>
    </row>
    <row r="701">
      <c r="B701" s="11">
        <f>IFERROR(__xludf.DUMMYFUNCTION("""COMPUTED_VALUE"""),45008.66666666667)</f>
        <v>45008.66667</v>
      </c>
      <c r="C701" s="9">
        <f>IFERROR(__xludf.DUMMYFUNCTION("""COMPUTED_VALUE"""),114.15)</f>
        <v>114.15</v>
      </c>
      <c r="E701" s="17"/>
      <c r="M701" s="17"/>
      <c r="P701" s="17"/>
    </row>
    <row r="702">
      <c r="B702" s="11">
        <f>IFERROR(__xludf.DUMMYFUNCTION("""COMPUTED_VALUE"""),45007.66666666667)</f>
        <v>45007.66667</v>
      </c>
      <c r="C702" s="9">
        <f>IFERROR(__xludf.DUMMYFUNCTION("""COMPUTED_VALUE"""),114.12)</f>
        <v>114.12</v>
      </c>
      <c r="E702" s="17"/>
      <c r="M702" s="17"/>
      <c r="P702" s="17"/>
    </row>
    <row r="703">
      <c r="B703" s="11">
        <f>IFERROR(__xludf.DUMMYFUNCTION("""COMPUTED_VALUE"""),45006.66666666667)</f>
        <v>45006.66667</v>
      </c>
      <c r="C703" s="9">
        <f>IFERROR(__xludf.DUMMYFUNCTION("""COMPUTED_VALUE"""),118.36)</f>
        <v>118.36</v>
      </c>
      <c r="E703" s="17"/>
      <c r="M703" s="17"/>
      <c r="P703" s="17"/>
    </row>
    <row r="704">
      <c r="B704" s="11">
        <f>IFERROR(__xludf.DUMMYFUNCTION("""COMPUTED_VALUE"""),45005.66666666667)</f>
        <v>45005.66667</v>
      </c>
      <c r="C704" s="9">
        <f>IFERROR(__xludf.DUMMYFUNCTION("""COMPUTED_VALUE"""),118.7)</f>
        <v>118.7</v>
      </c>
      <c r="E704" s="17"/>
      <c r="M704" s="17"/>
      <c r="P704" s="17"/>
    </row>
    <row r="705">
      <c r="B705" s="11">
        <f>IFERROR(__xludf.DUMMYFUNCTION("""COMPUTED_VALUE"""),45002.66666666667)</f>
        <v>45002.66667</v>
      </c>
      <c r="C705" s="9">
        <f>IFERROR(__xludf.DUMMYFUNCTION("""COMPUTED_VALUE"""),116.03)</f>
        <v>116.03</v>
      </c>
      <c r="E705" s="17"/>
      <c r="M705" s="17"/>
      <c r="P705" s="17"/>
    </row>
    <row r="706">
      <c r="B706" s="11">
        <f>IFERROR(__xludf.DUMMYFUNCTION("""COMPUTED_VALUE"""),45001.66666666667)</f>
        <v>45001.66667</v>
      </c>
      <c r="C706" s="9">
        <f>IFERROR(__xludf.DUMMYFUNCTION("""COMPUTED_VALUE"""),120.09)</f>
        <v>120.09</v>
      </c>
      <c r="E706" s="17"/>
      <c r="M706" s="17"/>
      <c r="P706" s="17"/>
    </row>
    <row r="707">
      <c r="B707" s="11">
        <f>IFERROR(__xludf.DUMMYFUNCTION("""COMPUTED_VALUE"""),45000.66666666667)</f>
        <v>45000.66667</v>
      </c>
      <c r="C707" s="9">
        <f>IFERROR(__xludf.DUMMYFUNCTION("""COMPUTED_VALUE"""),120.01)</f>
        <v>120.01</v>
      </c>
      <c r="E707" s="17"/>
      <c r="M707" s="17"/>
      <c r="P707" s="17"/>
    </row>
    <row r="708">
      <c r="B708" s="11">
        <f>IFERROR(__xludf.DUMMYFUNCTION("""COMPUTED_VALUE"""),44999.66666666667)</f>
        <v>44999.66667</v>
      </c>
      <c r="C708" s="9">
        <f>IFERROR(__xludf.DUMMYFUNCTION("""COMPUTED_VALUE"""),119.83)</f>
        <v>119.83</v>
      </c>
      <c r="E708" s="17"/>
      <c r="M708" s="17"/>
      <c r="P708" s="17"/>
    </row>
    <row r="709">
      <c r="B709" s="11">
        <f>IFERROR(__xludf.DUMMYFUNCTION("""COMPUTED_VALUE"""),44998.66666666667)</f>
        <v>44998.66667</v>
      </c>
      <c r="C709" s="9">
        <f>IFERROR(__xludf.DUMMYFUNCTION("""COMPUTED_VALUE"""),118.37)</f>
        <v>118.37</v>
      </c>
      <c r="E709" s="17"/>
      <c r="M709" s="17"/>
      <c r="P709" s="17"/>
    </row>
    <row r="710">
      <c r="B710" s="11">
        <f>IFERROR(__xludf.DUMMYFUNCTION("""COMPUTED_VALUE"""),44995.66666666667)</f>
        <v>44995.66667</v>
      </c>
      <c r="C710" s="9">
        <f>IFERROR(__xludf.DUMMYFUNCTION("""COMPUTED_VALUE"""),116.98)</f>
        <v>116.98</v>
      </c>
      <c r="E710" s="17"/>
      <c r="M710" s="17"/>
      <c r="P710" s="17"/>
    </row>
    <row r="711">
      <c r="B711" s="11">
        <f>IFERROR(__xludf.DUMMYFUNCTION("""COMPUTED_VALUE"""),44994.66666666667)</f>
        <v>44994.66667</v>
      </c>
      <c r="C711" s="9">
        <f>IFERROR(__xludf.DUMMYFUNCTION("""COMPUTED_VALUE"""),121.3)</f>
        <v>121.3</v>
      </c>
      <c r="E711" s="17"/>
      <c r="M711" s="17"/>
      <c r="P711" s="17"/>
    </row>
    <row r="712">
      <c r="B712" s="11">
        <f>IFERROR(__xludf.DUMMYFUNCTION("""COMPUTED_VALUE"""),44993.66666666667)</f>
        <v>44993.66667</v>
      </c>
      <c r="C712" s="9">
        <f>IFERROR(__xludf.DUMMYFUNCTION("""COMPUTED_VALUE"""),125.06)</f>
        <v>125.06</v>
      </c>
      <c r="E712" s="17"/>
      <c r="M712" s="17"/>
      <c r="P712" s="17"/>
    </row>
    <row r="713">
      <c r="B713" s="11">
        <f>IFERROR(__xludf.DUMMYFUNCTION("""COMPUTED_VALUE"""),44992.66666666667)</f>
        <v>44992.66667</v>
      </c>
      <c r="C713" s="9">
        <f>IFERROR(__xludf.DUMMYFUNCTION("""COMPUTED_VALUE"""),123.82)</f>
        <v>123.82</v>
      </c>
      <c r="E713" s="17"/>
      <c r="M713" s="17"/>
      <c r="P713" s="17"/>
    </row>
    <row r="714">
      <c r="B714" s="11">
        <f>IFERROR(__xludf.DUMMYFUNCTION("""COMPUTED_VALUE"""),44991.66666666667)</f>
        <v>44991.66667</v>
      </c>
      <c r="C714" s="9">
        <f>IFERROR(__xludf.DUMMYFUNCTION("""COMPUTED_VALUE"""),127.16)</f>
        <v>127.16</v>
      </c>
      <c r="E714" s="17"/>
      <c r="M714" s="17"/>
      <c r="P714" s="17"/>
    </row>
    <row r="715">
      <c r="B715" s="11">
        <f>IFERROR(__xludf.DUMMYFUNCTION("""COMPUTED_VALUE"""),44988.66666666667)</f>
        <v>44988.66667</v>
      </c>
      <c r="C715" s="9">
        <f>IFERROR(__xludf.DUMMYFUNCTION("""COMPUTED_VALUE"""),126.95)</f>
        <v>126.95</v>
      </c>
      <c r="E715" s="17"/>
      <c r="M715" s="17"/>
      <c r="P715" s="17"/>
    </row>
    <row r="716">
      <c r="B716" s="11">
        <f>IFERROR(__xludf.DUMMYFUNCTION("""COMPUTED_VALUE"""),44987.66666666667)</f>
        <v>44987.66667</v>
      </c>
      <c r="C716" s="9">
        <f>IFERROR(__xludf.DUMMYFUNCTION("""COMPUTED_VALUE"""),124.62)</f>
        <v>124.62</v>
      </c>
      <c r="E716" s="17"/>
      <c r="M716" s="17"/>
      <c r="P716" s="17"/>
    </row>
    <row r="717">
      <c r="B717" s="11">
        <f>IFERROR(__xludf.DUMMYFUNCTION("""COMPUTED_VALUE"""),44986.66666666667)</f>
        <v>44986.66667</v>
      </c>
      <c r="C717" s="9">
        <f>IFERROR(__xludf.DUMMYFUNCTION("""COMPUTED_VALUE"""),121.13)</f>
        <v>121.13</v>
      </c>
      <c r="E717" s="17"/>
      <c r="M717" s="17"/>
      <c r="P717" s="17"/>
    </row>
    <row r="718">
      <c r="B718" s="11">
        <f>IFERROR(__xludf.DUMMYFUNCTION("""COMPUTED_VALUE"""),44985.66666666667)</f>
        <v>44985.66667</v>
      </c>
      <c r="C718" s="9">
        <f>IFERROR(__xludf.DUMMYFUNCTION("""COMPUTED_VALUE"""),123.4)</f>
        <v>123.4</v>
      </c>
      <c r="E718" s="17"/>
      <c r="M718" s="17"/>
      <c r="P718" s="17"/>
    </row>
    <row r="719">
      <c r="B719" s="11">
        <f>IFERROR(__xludf.DUMMYFUNCTION("""COMPUTED_VALUE"""),44984.66666666667)</f>
        <v>44984.66667</v>
      </c>
      <c r="C719" s="9">
        <f>IFERROR(__xludf.DUMMYFUNCTION("""COMPUTED_VALUE"""),122.91)</f>
        <v>122.91</v>
      </c>
      <c r="E719" s="17"/>
      <c r="M719" s="17"/>
      <c r="P719" s="17"/>
    </row>
    <row r="720">
      <c r="B720" s="11">
        <f>IFERROR(__xludf.DUMMYFUNCTION("""COMPUTED_VALUE"""),44981.66666666667)</f>
        <v>44981.66667</v>
      </c>
      <c r="C720" s="9">
        <f>IFERROR(__xludf.DUMMYFUNCTION("""COMPUTED_VALUE"""),121.38)</f>
        <v>121.38</v>
      </c>
      <c r="E720" s="17"/>
      <c r="M720" s="17"/>
      <c r="P720" s="17"/>
    </row>
    <row r="721">
      <c r="B721" s="11">
        <f>IFERROR(__xludf.DUMMYFUNCTION("""COMPUTED_VALUE"""),44980.66666666667)</f>
        <v>44980.66667</v>
      </c>
      <c r="C721" s="9">
        <f>IFERROR(__xludf.DUMMYFUNCTION("""COMPUTED_VALUE"""),124.01)</f>
        <v>124.01</v>
      </c>
      <c r="E721" s="17"/>
      <c r="M721" s="17"/>
      <c r="P721" s="17"/>
    </row>
    <row r="722">
      <c r="B722" s="11">
        <f>IFERROR(__xludf.DUMMYFUNCTION("""COMPUTED_VALUE"""),44979.66666666667)</f>
        <v>44979.66667</v>
      </c>
      <c r="C722" s="9">
        <f>IFERROR(__xludf.DUMMYFUNCTION("""COMPUTED_VALUE"""),122.9)</f>
        <v>122.9</v>
      </c>
      <c r="E722" s="17"/>
      <c r="M722" s="17"/>
      <c r="P722" s="17"/>
    </row>
    <row r="723">
      <c r="B723" s="11">
        <f>IFERROR(__xludf.DUMMYFUNCTION("""COMPUTED_VALUE"""),44978.66666666667)</f>
        <v>44978.66667</v>
      </c>
      <c r="C723" s="9">
        <f>IFERROR(__xludf.DUMMYFUNCTION("""COMPUTED_VALUE"""),123.48)</f>
        <v>123.48</v>
      </c>
      <c r="E723" s="17"/>
      <c r="M723" s="17"/>
      <c r="P723" s="17"/>
    </row>
    <row r="724">
      <c r="B724" s="11">
        <f>IFERROR(__xludf.DUMMYFUNCTION("""COMPUTED_VALUE"""),44974.66666666667)</f>
        <v>44974.66667</v>
      </c>
      <c r="C724" s="9">
        <f>IFERROR(__xludf.DUMMYFUNCTION("""COMPUTED_VALUE"""),125.32)</f>
        <v>125.32</v>
      </c>
      <c r="E724" s="17"/>
      <c r="M724" s="17"/>
      <c r="P724" s="17"/>
    </row>
    <row r="725">
      <c r="B725" s="11">
        <f>IFERROR(__xludf.DUMMYFUNCTION("""COMPUTED_VALUE"""),44973.66666666667)</f>
        <v>44973.66667</v>
      </c>
      <c r="C725" s="9">
        <f>IFERROR(__xludf.DUMMYFUNCTION("""COMPUTED_VALUE"""),125.79)</f>
        <v>125.79</v>
      </c>
      <c r="E725" s="17"/>
      <c r="M725" s="17"/>
      <c r="P725" s="17"/>
    </row>
    <row r="726">
      <c r="B726" s="11">
        <f>IFERROR(__xludf.DUMMYFUNCTION("""COMPUTED_VALUE"""),44972.66666666667)</f>
        <v>44972.66667</v>
      </c>
      <c r="C726" s="9">
        <f>IFERROR(__xludf.DUMMYFUNCTION("""COMPUTED_VALUE"""),127.53)</f>
        <v>127.53</v>
      </c>
      <c r="E726" s="17"/>
      <c r="M726" s="17"/>
      <c r="P726" s="17"/>
    </row>
    <row r="727">
      <c r="B727" s="11">
        <f>IFERROR(__xludf.DUMMYFUNCTION("""COMPUTED_VALUE"""),44971.66666666667)</f>
        <v>44971.66667</v>
      </c>
      <c r="C727" s="9">
        <f>IFERROR(__xludf.DUMMYFUNCTION("""COMPUTED_VALUE"""),127.73)</f>
        <v>127.73</v>
      </c>
      <c r="E727" s="17"/>
      <c r="M727" s="17"/>
      <c r="P727" s="17"/>
    </row>
    <row r="728">
      <c r="B728" s="11">
        <f>IFERROR(__xludf.DUMMYFUNCTION("""COMPUTED_VALUE"""),44970.66666666667)</f>
        <v>44970.66667</v>
      </c>
      <c r="C728" s="9">
        <f>IFERROR(__xludf.DUMMYFUNCTION("""COMPUTED_VALUE"""),129.29)</f>
        <v>129.29</v>
      </c>
      <c r="E728" s="17"/>
      <c r="M728" s="17"/>
      <c r="P728" s="17"/>
    </row>
    <row r="729">
      <c r="B729" s="11">
        <f>IFERROR(__xludf.DUMMYFUNCTION("""COMPUTED_VALUE"""),44967.66666666667)</f>
        <v>44967.66667</v>
      </c>
      <c r="C729" s="9">
        <f>IFERROR(__xludf.DUMMYFUNCTION("""COMPUTED_VALUE"""),128.09)</f>
        <v>128.09</v>
      </c>
      <c r="E729" s="17"/>
      <c r="M729" s="17"/>
      <c r="P729" s="17"/>
    </row>
    <row r="730">
      <c r="B730" s="11">
        <f>IFERROR(__xludf.DUMMYFUNCTION("""COMPUTED_VALUE"""),44966.66666666667)</f>
        <v>44966.66667</v>
      </c>
      <c r="C730" s="9">
        <f>IFERROR(__xludf.DUMMYFUNCTION("""COMPUTED_VALUE"""),128.04)</f>
        <v>128.04</v>
      </c>
      <c r="E730" s="17"/>
      <c r="M730" s="17"/>
      <c r="P730" s="17"/>
    </row>
    <row r="731">
      <c r="B731" s="11">
        <f>IFERROR(__xludf.DUMMYFUNCTION("""COMPUTED_VALUE"""),44965.66666666667)</f>
        <v>44965.66667</v>
      </c>
      <c r="C731" s="9">
        <f>IFERROR(__xludf.DUMMYFUNCTION("""COMPUTED_VALUE"""),129.8)</f>
        <v>129.8</v>
      </c>
      <c r="E731" s="17"/>
      <c r="M731" s="17"/>
      <c r="P731" s="17"/>
    </row>
    <row r="732">
      <c r="B732" s="11">
        <f>IFERROR(__xludf.DUMMYFUNCTION("""COMPUTED_VALUE"""),44964.66666666667)</f>
        <v>44964.66667</v>
      </c>
      <c r="C732" s="9">
        <f>IFERROR(__xludf.DUMMYFUNCTION("""COMPUTED_VALUE"""),130.27)</f>
        <v>130.27</v>
      </c>
      <c r="E732" s="17"/>
      <c r="M732" s="17"/>
      <c r="P732" s="17"/>
    </row>
    <row r="733">
      <c r="B733" s="11">
        <f>IFERROR(__xludf.DUMMYFUNCTION("""COMPUTED_VALUE"""),44963.66666666667)</f>
        <v>44963.66667</v>
      </c>
      <c r="C733" s="9">
        <f>IFERROR(__xludf.DUMMYFUNCTION("""COMPUTED_VALUE"""),131.44)</f>
        <v>131.44</v>
      </c>
      <c r="E733" s="17"/>
      <c r="M733" s="17"/>
      <c r="P733" s="17"/>
    </row>
    <row r="734">
      <c r="B734" s="11">
        <f>IFERROR(__xludf.DUMMYFUNCTION("""COMPUTED_VALUE"""),44960.66666666667)</f>
        <v>44960.66667</v>
      </c>
      <c r="C734" s="9">
        <f>IFERROR(__xludf.DUMMYFUNCTION("""COMPUTED_VALUE"""),131.62)</f>
        <v>131.62</v>
      </c>
      <c r="E734" s="17"/>
      <c r="M734" s="17"/>
      <c r="P734" s="17"/>
    </row>
    <row r="735">
      <c r="B735" s="11">
        <f>IFERROR(__xludf.DUMMYFUNCTION("""COMPUTED_VALUE"""),44959.66666666667)</f>
        <v>44959.66667</v>
      </c>
      <c r="C735" s="9">
        <f>IFERROR(__xludf.DUMMYFUNCTION("""COMPUTED_VALUE"""),134.49)</f>
        <v>134.49</v>
      </c>
      <c r="E735" s="17"/>
      <c r="M735" s="17"/>
      <c r="P735" s="17"/>
    </row>
    <row r="736">
      <c r="B736" s="11">
        <f>IFERROR(__xludf.DUMMYFUNCTION("""COMPUTED_VALUE"""),44958.66666666667)</f>
        <v>44958.66667</v>
      </c>
      <c r="C736" s="9">
        <f>IFERROR(__xludf.DUMMYFUNCTION("""COMPUTED_VALUE"""),130.9)</f>
        <v>130.9</v>
      </c>
      <c r="E736" s="17"/>
      <c r="M736" s="17"/>
      <c r="P736" s="17"/>
    </row>
    <row r="737">
      <c r="B737" s="11">
        <f>IFERROR(__xludf.DUMMYFUNCTION("""COMPUTED_VALUE"""),44957.66666666667)</f>
        <v>44957.66667</v>
      </c>
      <c r="C737" s="9">
        <f>IFERROR(__xludf.DUMMYFUNCTION("""COMPUTED_VALUE"""),129.28)</f>
        <v>129.28</v>
      </c>
      <c r="E737" s="17"/>
      <c r="M737" s="17"/>
      <c r="P737" s="17"/>
    </row>
    <row r="738">
      <c r="B738" s="11">
        <f>IFERROR(__xludf.DUMMYFUNCTION("""COMPUTED_VALUE"""),44956.66666666667)</f>
        <v>44956.66667</v>
      </c>
      <c r="C738" s="9">
        <f>IFERROR(__xludf.DUMMYFUNCTION("""COMPUTED_VALUE"""),127.79)</f>
        <v>127.79</v>
      </c>
      <c r="E738" s="17"/>
      <c r="M738" s="17"/>
      <c r="P738" s="17"/>
    </row>
    <row r="739">
      <c r="B739" s="11">
        <f>IFERROR(__xludf.DUMMYFUNCTION("""COMPUTED_VALUE"""),44953.66666666667)</f>
        <v>44953.66667</v>
      </c>
      <c r="C739" s="9">
        <f>IFERROR(__xludf.DUMMYFUNCTION("""COMPUTED_VALUE"""),129.84)</f>
        <v>129.84</v>
      </c>
      <c r="E739" s="17"/>
      <c r="M739" s="17"/>
      <c r="P739" s="17"/>
    </row>
    <row r="740">
      <c r="B740" s="11">
        <f>IFERROR(__xludf.DUMMYFUNCTION("""COMPUTED_VALUE"""),44952.66666666667)</f>
        <v>44952.66667</v>
      </c>
      <c r="C740" s="9">
        <f>IFERROR(__xludf.DUMMYFUNCTION("""COMPUTED_VALUE"""),128.06)</f>
        <v>128.06</v>
      </c>
      <c r="E740" s="17"/>
      <c r="M740" s="17"/>
      <c r="P740" s="17"/>
    </row>
    <row r="741">
      <c r="B741" s="11">
        <f>IFERROR(__xludf.DUMMYFUNCTION("""COMPUTED_VALUE"""),44951.66666666667)</f>
        <v>44951.66667</v>
      </c>
      <c r="C741" s="9">
        <f>IFERROR(__xludf.DUMMYFUNCTION("""COMPUTED_VALUE"""),125.69)</f>
        <v>125.69</v>
      </c>
      <c r="E741" s="17"/>
      <c r="M741" s="17"/>
      <c r="P741" s="17"/>
    </row>
    <row r="742">
      <c r="B742" s="11">
        <f>IFERROR(__xludf.DUMMYFUNCTION("""COMPUTED_VALUE"""),44950.66666666667)</f>
        <v>44950.66667</v>
      </c>
      <c r="C742" s="9">
        <f>IFERROR(__xludf.DUMMYFUNCTION("""COMPUTED_VALUE"""),126.4)</f>
        <v>126.4</v>
      </c>
      <c r="E742" s="17"/>
      <c r="M742" s="17"/>
      <c r="P742" s="17"/>
    </row>
    <row r="743">
      <c r="B743" s="11">
        <f>IFERROR(__xludf.DUMMYFUNCTION("""COMPUTED_VALUE"""),44949.66666666667)</f>
        <v>44949.66667</v>
      </c>
      <c r="C743" s="9">
        <f>IFERROR(__xludf.DUMMYFUNCTION("""COMPUTED_VALUE"""),126.07)</f>
        <v>126.07</v>
      </c>
      <c r="E743" s="17"/>
      <c r="M743" s="17"/>
      <c r="P743" s="17"/>
    </row>
    <row r="744">
      <c r="B744" s="11">
        <f>IFERROR(__xludf.DUMMYFUNCTION("""COMPUTED_VALUE"""),44946.66666666667)</f>
        <v>44946.66667</v>
      </c>
      <c r="C744" s="9">
        <f>IFERROR(__xludf.DUMMYFUNCTION("""COMPUTED_VALUE"""),122.82)</f>
        <v>122.82</v>
      </c>
      <c r="E744" s="17"/>
      <c r="M744" s="17"/>
      <c r="P744" s="17"/>
    </row>
    <row r="745">
      <c r="B745" s="11">
        <f>IFERROR(__xludf.DUMMYFUNCTION("""COMPUTED_VALUE"""),44945.66666666667)</f>
        <v>44945.66667</v>
      </c>
      <c r="C745" s="9">
        <f>IFERROR(__xludf.DUMMYFUNCTION("""COMPUTED_VALUE"""),121.29)</f>
        <v>121.29</v>
      </c>
      <c r="E745" s="17"/>
      <c r="M745" s="17"/>
      <c r="P745" s="17"/>
    </row>
    <row r="746">
      <c r="B746" s="11">
        <f>IFERROR(__xludf.DUMMYFUNCTION("""COMPUTED_VALUE"""),44944.66666666667)</f>
        <v>44944.66667</v>
      </c>
      <c r="C746" s="9">
        <f>IFERROR(__xludf.DUMMYFUNCTION("""COMPUTED_VALUE"""),122.65)</f>
        <v>122.65</v>
      </c>
      <c r="E746" s="17"/>
      <c r="M746" s="17"/>
      <c r="P746" s="17"/>
    </row>
    <row r="747">
      <c r="B747" s="11">
        <f>IFERROR(__xludf.DUMMYFUNCTION("""COMPUTED_VALUE"""),44943.66666666667)</f>
        <v>44943.66667</v>
      </c>
      <c r="C747" s="9">
        <f>IFERROR(__xludf.DUMMYFUNCTION("""COMPUTED_VALUE"""),121.42)</f>
        <v>121.42</v>
      </c>
      <c r="E747" s="17"/>
      <c r="M747" s="17"/>
      <c r="P747" s="17"/>
    </row>
    <row r="748">
      <c r="B748" s="11">
        <f>IFERROR(__xludf.DUMMYFUNCTION("""COMPUTED_VALUE"""),44939.66666666667)</f>
        <v>44939.66667</v>
      </c>
      <c r="C748" s="9">
        <f>IFERROR(__xludf.DUMMYFUNCTION("""COMPUTED_VALUE"""),121.9)</f>
        <v>121.9</v>
      </c>
      <c r="E748" s="17"/>
      <c r="M748" s="17"/>
      <c r="P748" s="17"/>
    </row>
    <row r="749">
      <c r="B749" s="11">
        <f>IFERROR(__xludf.DUMMYFUNCTION("""COMPUTED_VALUE"""),44938.66666666667)</f>
        <v>44938.66667</v>
      </c>
      <c r="C749" s="9">
        <f>IFERROR(__xludf.DUMMYFUNCTION("""COMPUTED_VALUE"""),122.12)</f>
        <v>122.12</v>
      </c>
      <c r="E749" s="17"/>
      <c r="M749" s="17"/>
      <c r="P749" s="17"/>
    </row>
    <row r="750">
      <c r="B750" s="11">
        <f>IFERROR(__xludf.DUMMYFUNCTION("""COMPUTED_VALUE"""),44937.66666666667)</f>
        <v>44937.66667</v>
      </c>
      <c r="C750" s="9">
        <f>IFERROR(__xludf.DUMMYFUNCTION("""COMPUTED_VALUE"""),120.95)</f>
        <v>120.95</v>
      </c>
      <c r="E750" s="17"/>
      <c r="M750" s="17"/>
      <c r="P750" s="17"/>
    </row>
    <row r="751">
      <c r="B751" s="11">
        <f>IFERROR(__xludf.DUMMYFUNCTION("""COMPUTED_VALUE"""),44936.66666666667)</f>
        <v>44936.66667</v>
      </c>
      <c r="C751" s="9">
        <f>IFERROR(__xludf.DUMMYFUNCTION("""COMPUTED_VALUE"""),116.05)</f>
        <v>116.05</v>
      </c>
      <c r="E751" s="17"/>
      <c r="M751" s="17"/>
      <c r="P751" s="17"/>
    </row>
    <row r="752">
      <c r="B752" s="11">
        <f>IFERROR(__xludf.DUMMYFUNCTION("""COMPUTED_VALUE"""),44935.66666666667)</f>
        <v>44935.66667</v>
      </c>
      <c r="C752" s="9">
        <f>IFERROR(__xludf.DUMMYFUNCTION("""COMPUTED_VALUE"""),116.06)</f>
        <v>116.06</v>
      </c>
      <c r="E752" s="17"/>
      <c r="M752" s="17"/>
      <c r="P752" s="17"/>
    </row>
    <row r="753">
      <c r="B753" s="11">
        <f>IFERROR(__xludf.DUMMYFUNCTION("""COMPUTED_VALUE"""),44932.66666666667)</f>
        <v>44932.66667</v>
      </c>
      <c r="C753" s="9">
        <f>IFERROR(__xludf.DUMMYFUNCTION("""COMPUTED_VALUE"""),116.65)</f>
        <v>116.65</v>
      </c>
      <c r="E753" s="17"/>
      <c r="M753" s="17"/>
      <c r="P753" s="17"/>
    </row>
    <row r="754">
      <c r="B754" s="11">
        <f>IFERROR(__xludf.DUMMYFUNCTION("""COMPUTED_VALUE"""),44931.66666666667)</f>
        <v>44931.66667</v>
      </c>
      <c r="C754" s="9">
        <f>IFERROR(__xludf.DUMMYFUNCTION("""COMPUTED_VALUE"""),112.85)</f>
        <v>112.85</v>
      </c>
      <c r="E754" s="17"/>
      <c r="M754" s="17"/>
      <c r="P754" s="17"/>
    </row>
    <row r="755">
      <c r="B755" s="11">
        <f>IFERROR(__xludf.DUMMYFUNCTION("""COMPUTED_VALUE"""),44930.66666666667)</f>
        <v>44930.66667</v>
      </c>
      <c r="C755" s="9">
        <f>IFERROR(__xludf.DUMMYFUNCTION("""COMPUTED_VALUE"""),116.96)</f>
        <v>116.96</v>
      </c>
      <c r="E755" s="17"/>
      <c r="M755" s="17"/>
      <c r="P755" s="17"/>
    </row>
    <row r="756">
      <c r="B756" s="11">
        <f>IFERROR(__xludf.DUMMYFUNCTION("""COMPUTED_VALUE"""),44929.66666666667)</f>
        <v>44929.66667</v>
      </c>
      <c r="C756" s="9">
        <f>IFERROR(__xludf.DUMMYFUNCTION("""COMPUTED_VALUE"""),112.69)</f>
        <v>112.69</v>
      </c>
      <c r="E756" s="17"/>
      <c r="M756" s="17"/>
      <c r="P756" s="17"/>
    </row>
    <row r="757">
      <c r="B757" s="11">
        <f>IFERROR(__xludf.DUMMYFUNCTION("""COMPUTED_VALUE"""),44925.66666666667)</f>
        <v>44925.66667</v>
      </c>
      <c r="C757" s="9">
        <f>IFERROR(__xludf.DUMMYFUNCTION("""COMPUTED_VALUE"""),112.73)</f>
        <v>112.73</v>
      </c>
      <c r="E757" s="17"/>
      <c r="M757" s="17"/>
      <c r="P757" s="17"/>
    </row>
    <row r="758">
      <c r="B758" s="11">
        <f>IFERROR(__xludf.DUMMYFUNCTION("""COMPUTED_VALUE"""),44924.66666666667)</f>
        <v>44924.66667</v>
      </c>
      <c r="C758" s="9">
        <f>IFERROR(__xludf.DUMMYFUNCTION("""COMPUTED_VALUE"""),113.97)</f>
        <v>113.97</v>
      </c>
      <c r="E758" s="17"/>
      <c r="M758" s="17"/>
      <c r="P758" s="17"/>
    </row>
    <row r="759">
      <c r="B759" s="11">
        <f>IFERROR(__xludf.DUMMYFUNCTION("""COMPUTED_VALUE"""),44923.66666666667)</f>
        <v>44923.66667</v>
      </c>
      <c r="C759" s="9">
        <f>IFERROR(__xludf.DUMMYFUNCTION("""COMPUTED_VALUE"""),110.45)</f>
        <v>110.45</v>
      </c>
      <c r="E759" s="17"/>
      <c r="M759" s="17"/>
      <c r="P759" s="17"/>
    </row>
    <row r="760">
      <c r="B760" s="11">
        <f>IFERROR(__xludf.DUMMYFUNCTION("""COMPUTED_VALUE"""),44922.66666666667)</f>
        <v>44922.66667</v>
      </c>
      <c r="C760" s="9">
        <f>IFERROR(__xludf.DUMMYFUNCTION("""COMPUTED_VALUE"""),113.29)</f>
        <v>113.29</v>
      </c>
      <c r="E760" s="17"/>
      <c r="M760" s="17"/>
      <c r="P760" s="17"/>
    </row>
    <row r="761">
      <c r="B761" s="11">
        <f>IFERROR(__xludf.DUMMYFUNCTION("""COMPUTED_VALUE"""),44918.66666666667)</f>
        <v>44918.66667</v>
      </c>
      <c r="C761" s="9">
        <f>IFERROR(__xludf.DUMMYFUNCTION("""COMPUTED_VALUE"""),113.62)</f>
        <v>113.62</v>
      </c>
      <c r="E761" s="17"/>
      <c r="M761" s="17"/>
      <c r="P761" s="17"/>
    </row>
    <row r="762">
      <c r="B762" s="11">
        <f>IFERROR(__xludf.DUMMYFUNCTION("""COMPUTED_VALUE"""),44917.66666666667)</f>
        <v>44917.66667</v>
      </c>
      <c r="C762" s="9">
        <f>IFERROR(__xludf.DUMMYFUNCTION("""COMPUTED_VALUE"""),113.27)</f>
        <v>113.27</v>
      </c>
      <c r="E762" s="17"/>
      <c r="M762" s="17"/>
      <c r="P762" s="17"/>
    </row>
    <row r="763">
      <c r="B763" s="11">
        <f>IFERROR(__xludf.DUMMYFUNCTION("""COMPUTED_VALUE"""),44916.66666666667)</f>
        <v>44916.66667</v>
      </c>
      <c r="C763" s="9">
        <f>IFERROR(__xludf.DUMMYFUNCTION("""COMPUTED_VALUE"""),113.94)</f>
        <v>113.94</v>
      </c>
      <c r="E763" s="17"/>
      <c r="M763" s="17"/>
      <c r="P763" s="17"/>
    </row>
    <row r="764">
      <c r="B764" s="11">
        <f>IFERROR(__xludf.DUMMYFUNCTION("""COMPUTED_VALUE"""),44915.66666666667)</f>
        <v>44915.66667</v>
      </c>
      <c r="C764" s="9">
        <f>IFERROR(__xludf.DUMMYFUNCTION("""COMPUTED_VALUE"""),112.18)</f>
        <v>112.18</v>
      </c>
      <c r="E764" s="17"/>
      <c r="M764" s="17"/>
      <c r="P764" s="17"/>
    </row>
    <row r="765">
      <c r="B765" s="11">
        <f>IFERROR(__xludf.DUMMYFUNCTION("""COMPUTED_VALUE"""),44914.66666666667)</f>
        <v>44914.66667</v>
      </c>
      <c r="C765" s="9">
        <f>IFERROR(__xludf.DUMMYFUNCTION("""COMPUTED_VALUE"""),112.07)</f>
        <v>112.07</v>
      </c>
      <c r="E765" s="17"/>
      <c r="M765" s="17"/>
      <c r="P765" s="17"/>
    </row>
    <row r="766">
      <c r="B766" s="11">
        <f>IFERROR(__xludf.DUMMYFUNCTION("""COMPUTED_VALUE"""),44911.66666666667)</f>
        <v>44911.66667</v>
      </c>
      <c r="C766" s="9">
        <f>IFERROR(__xludf.DUMMYFUNCTION("""COMPUTED_VALUE"""),112.24)</f>
        <v>112.24</v>
      </c>
      <c r="E766" s="17"/>
      <c r="M766" s="17"/>
      <c r="P766" s="17"/>
    </row>
    <row r="767">
      <c r="B767" s="11">
        <f>IFERROR(__xludf.DUMMYFUNCTION("""COMPUTED_VALUE"""),44910.66666666667)</f>
        <v>44910.66667</v>
      </c>
      <c r="C767" s="9">
        <f>IFERROR(__xludf.DUMMYFUNCTION("""COMPUTED_VALUE"""),118.59)</f>
        <v>118.59</v>
      </c>
      <c r="E767" s="17"/>
      <c r="M767" s="17"/>
      <c r="P767" s="17"/>
    </row>
    <row r="768">
      <c r="B768" s="11">
        <f>IFERROR(__xludf.DUMMYFUNCTION("""COMPUTED_VALUE"""),44909.66666666667)</f>
        <v>44909.66667</v>
      </c>
      <c r="C768" s="9">
        <f>IFERROR(__xludf.DUMMYFUNCTION("""COMPUTED_VALUE"""),121.58)</f>
        <v>121.58</v>
      </c>
      <c r="E768" s="17"/>
      <c r="M768" s="17"/>
      <c r="P768" s="17"/>
    </row>
    <row r="769">
      <c r="B769" s="11">
        <f>IFERROR(__xludf.DUMMYFUNCTION("""COMPUTED_VALUE"""),44908.66666666667)</f>
        <v>44908.66667</v>
      </c>
      <c r="C769" s="9">
        <f>IFERROR(__xludf.DUMMYFUNCTION("""COMPUTED_VALUE"""),121.09)</f>
        <v>121.09</v>
      </c>
      <c r="E769" s="17"/>
      <c r="M769" s="17"/>
      <c r="P769" s="17"/>
    </row>
    <row r="770">
      <c r="B770" s="11">
        <f>IFERROR(__xludf.DUMMYFUNCTION("""COMPUTED_VALUE"""),44907.66666666667)</f>
        <v>44907.66667</v>
      </c>
      <c r="C770" s="9">
        <f>IFERROR(__xludf.DUMMYFUNCTION("""COMPUTED_VALUE"""),118.03)</f>
        <v>118.03</v>
      </c>
      <c r="E770" s="17"/>
      <c r="M770" s="17"/>
      <c r="P770" s="17"/>
    </row>
    <row r="771">
      <c r="B771" s="11">
        <f>IFERROR(__xludf.DUMMYFUNCTION("""COMPUTED_VALUE"""),44904.66666666667)</f>
        <v>44904.66667</v>
      </c>
      <c r="C771" s="9">
        <f>IFERROR(__xludf.DUMMYFUNCTION("""COMPUTED_VALUE"""),116.32)</f>
        <v>116.32</v>
      </c>
      <c r="E771" s="17"/>
      <c r="M771" s="17"/>
      <c r="P771" s="17"/>
    </row>
    <row r="772">
      <c r="B772" s="11">
        <f>IFERROR(__xludf.DUMMYFUNCTION("""COMPUTED_VALUE"""),44903.66666666667)</f>
        <v>44903.66667</v>
      </c>
      <c r="C772" s="9">
        <f>IFERROR(__xludf.DUMMYFUNCTION("""COMPUTED_VALUE"""),117.6)</f>
        <v>117.6</v>
      </c>
      <c r="E772" s="17"/>
      <c r="M772" s="17"/>
      <c r="P772" s="17"/>
    </row>
    <row r="773">
      <c r="B773" s="11">
        <f>IFERROR(__xludf.DUMMYFUNCTION("""COMPUTED_VALUE"""),44902.66666666667)</f>
        <v>44902.66667</v>
      </c>
      <c r="C773" s="9">
        <f>IFERROR(__xludf.DUMMYFUNCTION("""COMPUTED_VALUE"""),116.0)</f>
        <v>116</v>
      </c>
      <c r="E773" s="17"/>
      <c r="M773" s="17"/>
      <c r="P773" s="17"/>
    </row>
    <row r="774">
      <c r="B774" s="11">
        <f>IFERROR(__xludf.DUMMYFUNCTION("""COMPUTED_VALUE"""),44901.66666666667)</f>
        <v>44901.66667</v>
      </c>
      <c r="C774" s="9">
        <f>IFERROR(__xludf.DUMMYFUNCTION("""COMPUTED_VALUE"""),114.6)</f>
        <v>114.6</v>
      </c>
      <c r="E774" s="17"/>
      <c r="M774" s="17"/>
      <c r="P774" s="17"/>
    </row>
    <row r="775">
      <c r="B775" s="11">
        <f>IFERROR(__xludf.DUMMYFUNCTION("""COMPUTED_VALUE"""),44900.66666666667)</f>
        <v>44900.66667</v>
      </c>
      <c r="C775" s="9">
        <f>IFERROR(__xludf.DUMMYFUNCTION("""COMPUTED_VALUE"""),114.26)</f>
        <v>114.26</v>
      </c>
      <c r="E775" s="17"/>
      <c r="M775" s="17"/>
      <c r="P775" s="17"/>
    </row>
    <row r="776">
      <c r="B776" s="11">
        <f>IFERROR(__xludf.DUMMYFUNCTION("""COMPUTED_VALUE"""),44897.66666666667)</f>
        <v>44897.66667</v>
      </c>
      <c r="C776" s="9">
        <f>IFERROR(__xludf.DUMMYFUNCTION("""COMPUTED_VALUE"""),116.94)</f>
        <v>116.94</v>
      </c>
      <c r="E776" s="17"/>
      <c r="M776" s="17"/>
      <c r="P776" s="17"/>
    </row>
    <row r="777">
      <c r="B777" s="11">
        <f>IFERROR(__xludf.DUMMYFUNCTION("""COMPUTED_VALUE"""),44896.66666666667)</f>
        <v>44896.66667</v>
      </c>
      <c r="C777" s="9">
        <f>IFERROR(__xludf.DUMMYFUNCTION("""COMPUTED_VALUE"""),117.1)</f>
        <v>117.1</v>
      </c>
      <c r="E777" s="17"/>
      <c r="M777" s="17"/>
      <c r="P777" s="17"/>
    </row>
    <row r="778">
      <c r="B778" s="11">
        <f>IFERROR(__xludf.DUMMYFUNCTION("""COMPUTED_VALUE"""),44895.66666666667)</f>
        <v>44895.66667</v>
      </c>
      <c r="C778" s="9">
        <f>IFERROR(__xludf.DUMMYFUNCTION("""COMPUTED_VALUE"""),117.79)</f>
        <v>117.79</v>
      </c>
      <c r="E778" s="17"/>
      <c r="M778" s="17"/>
      <c r="P778" s="17"/>
    </row>
    <row r="779">
      <c r="B779" s="11">
        <f>IFERROR(__xludf.DUMMYFUNCTION("""COMPUTED_VALUE"""),44894.66666666667)</f>
        <v>44894.66667</v>
      </c>
      <c r="C779" s="9">
        <f>IFERROR(__xludf.DUMMYFUNCTION("""COMPUTED_VALUE"""),113.81)</f>
        <v>113.81</v>
      </c>
      <c r="E779" s="17"/>
      <c r="M779" s="17"/>
      <c r="P779" s="17"/>
    </row>
    <row r="780">
      <c r="B780" s="11">
        <f>IFERROR(__xludf.DUMMYFUNCTION("""COMPUTED_VALUE"""),44893.66666666667)</f>
        <v>44893.66667</v>
      </c>
      <c r="C780" s="9">
        <f>IFERROR(__xludf.DUMMYFUNCTION("""COMPUTED_VALUE"""),111.46)</f>
        <v>111.46</v>
      </c>
      <c r="E780" s="17"/>
      <c r="M780" s="17"/>
      <c r="P780" s="17"/>
    </row>
    <row r="781">
      <c r="B781" s="11">
        <f>IFERROR(__xludf.DUMMYFUNCTION("""COMPUTED_VALUE"""),44890.54166666667)</f>
        <v>44890.54167</v>
      </c>
      <c r="C781" s="9">
        <f>IFERROR(__xludf.DUMMYFUNCTION("""COMPUTED_VALUE"""),116.39)</f>
        <v>116.39</v>
      </c>
      <c r="E781" s="17"/>
      <c r="M781" s="17"/>
      <c r="P781" s="17"/>
    </row>
    <row r="782">
      <c r="B782" s="11">
        <f>IFERROR(__xludf.DUMMYFUNCTION("""COMPUTED_VALUE"""),44888.66666666667)</f>
        <v>44888.66667</v>
      </c>
      <c r="C782" s="9">
        <f>IFERROR(__xludf.DUMMYFUNCTION("""COMPUTED_VALUE"""),115.53)</f>
        <v>115.53</v>
      </c>
      <c r="E782" s="17"/>
      <c r="M782" s="17"/>
      <c r="P782" s="17"/>
    </row>
    <row r="783">
      <c r="B783" s="11">
        <f>IFERROR(__xludf.DUMMYFUNCTION("""COMPUTED_VALUE"""),44887.66666666667)</f>
        <v>44887.66667</v>
      </c>
      <c r="C783" s="9">
        <f>IFERROR(__xludf.DUMMYFUNCTION("""COMPUTED_VALUE"""),115.78)</f>
        <v>115.78</v>
      </c>
      <c r="E783" s="17"/>
      <c r="M783" s="17"/>
      <c r="P783" s="17"/>
    </row>
    <row r="784">
      <c r="B784" s="11">
        <f>IFERROR(__xludf.DUMMYFUNCTION("""COMPUTED_VALUE"""),44886.66666666667)</f>
        <v>44886.66667</v>
      </c>
      <c r="C784" s="9">
        <f>IFERROR(__xludf.DUMMYFUNCTION("""COMPUTED_VALUE"""),114.95)</f>
        <v>114.95</v>
      </c>
      <c r="E784" s="17"/>
      <c r="M784" s="17"/>
      <c r="P784" s="17"/>
    </row>
    <row r="785">
      <c r="B785" s="11">
        <f>IFERROR(__xludf.DUMMYFUNCTION("""COMPUTED_VALUE"""),44883.66666666667)</f>
        <v>44883.66667</v>
      </c>
      <c r="C785" s="9">
        <f>IFERROR(__xludf.DUMMYFUNCTION("""COMPUTED_VALUE"""),114.56)</f>
        <v>114.56</v>
      </c>
      <c r="E785" s="17"/>
      <c r="M785" s="17"/>
      <c r="P785" s="17"/>
    </row>
    <row r="786">
      <c r="B786" s="11">
        <f>IFERROR(__xludf.DUMMYFUNCTION("""COMPUTED_VALUE"""),44882.66666666667)</f>
        <v>44882.66667</v>
      </c>
      <c r="C786" s="9">
        <f>IFERROR(__xludf.DUMMYFUNCTION("""COMPUTED_VALUE"""),112.31)</f>
        <v>112.31</v>
      </c>
      <c r="E786" s="17"/>
      <c r="M786" s="17"/>
      <c r="P786" s="17"/>
    </row>
    <row r="787">
      <c r="B787" s="11">
        <f>IFERROR(__xludf.DUMMYFUNCTION("""COMPUTED_VALUE"""),44881.66666666667)</f>
        <v>44881.66667</v>
      </c>
      <c r="C787" s="9">
        <f>IFERROR(__xludf.DUMMYFUNCTION("""COMPUTED_VALUE"""),113.65)</f>
        <v>113.65</v>
      </c>
      <c r="E787" s="17"/>
      <c r="M787" s="17"/>
      <c r="P787" s="17"/>
    </row>
    <row r="788">
      <c r="B788" s="11">
        <f>IFERROR(__xludf.DUMMYFUNCTION("""COMPUTED_VALUE"""),44880.66666666667)</f>
        <v>44880.66667</v>
      </c>
      <c r="C788" s="9">
        <f>IFERROR(__xludf.DUMMYFUNCTION("""COMPUTED_VALUE"""),112.75)</f>
        <v>112.75</v>
      </c>
      <c r="E788" s="17"/>
      <c r="M788" s="17"/>
      <c r="P788" s="17"/>
    </row>
    <row r="789">
      <c r="B789" s="11">
        <f>IFERROR(__xludf.DUMMYFUNCTION("""COMPUTED_VALUE"""),44879.66666666667)</f>
        <v>44879.66667</v>
      </c>
      <c r="C789" s="9">
        <f>IFERROR(__xludf.DUMMYFUNCTION("""COMPUTED_VALUE"""),112.5)</f>
        <v>112.5</v>
      </c>
      <c r="E789" s="17"/>
      <c r="M789" s="17"/>
      <c r="P789" s="17"/>
    </row>
    <row r="790">
      <c r="B790" s="11">
        <f>IFERROR(__xludf.DUMMYFUNCTION("""COMPUTED_VALUE"""),44876.66666666667)</f>
        <v>44876.66667</v>
      </c>
      <c r="C790" s="9">
        <f>IFERROR(__xludf.DUMMYFUNCTION("""COMPUTED_VALUE"""),116.13)</f>
        <v>116.13</v>
      </c>
      <c r="E790" s="17"/>
      <c r="M790" s="17"/>
      <c r="P790" s="17"/>
    </row>
    <row r="791">
      <c r="B791" s="11">
        <f>IFERROR(__xludf.DUMMYFUNCTION("""COMPUTED_VALUE"""),44875.66666666667)</f>
        <v>44875.66667</v>
      </c>
      <c r="C791" s="9">
        <f>IFERROR(__xludf.DUMMYFUNCTION("""COMPUTED_VALUE"""),118.34)</f>
        <v>118.34</v>
      </c>
      <c r="E791" s="17"/>
      <c r="M791" s="17"/>
      <c r="P791" s="17"/>
    </row>
    <row r="792">
      <c r="B792" s="11">
        <f>IFERROR(__xludf.DUMMYFUNCTION("""COMPUTED_VALUE"""),44874.66666666667)</f>
        <v>44874.66667</v>
      </c>
      <c r="C792" s="9">
        <f>IFERROR(__xludf.DUMMYFUNCTION("""COMPUTED_VALUE"""),108.79)</f>
        <v>108.79</v>
      </c>
      <c r="E792" s="17"/>
      <c r="M792" s="17"/>
      <c r="P792" s="17"/>
    </row>
    <row r="793">
      <c r="B793" s="11">
        <f>IFERROR(__xludf.DUMMYFUNCTION("""COMPUTED_VALUE"""),44873.66666666667)</f>
        <v>44873.66667</v>
      </c>
      <c r="C793" s="9">
        <f>IFERROR(__xludf.DUMMYFUNCTION("""COMPUTED_VALUE"""),109.75)</f>
        <v>109.75</v>
      </c>
      <c r="E793" s="17"/>
      <c r="M793" s="17"/>
      <c r="P793" s="17"/>
    </row>
    <row r="794">
      <c r="B794" s="11">
        <f>IFERROR(__xludf.DUMMYFUNCTION("""COMPUTED_VALUE"""),44872.66666666667)</f>
        <v>44872.66667</v>
      </c>
      <c r="C794" s="9">
        <f>IFERROR(__xludf.DUMMYFUNCTION("""COMPUTED_VALUE"""),108.93)</f>
        <v>108.93</v>
      </c>
      <c r="E794" s="17"/>
      <c r="M794" s="17"/>
      <c r="P794" s="17"/>
    </row>
    <row r="795">
      <c r="B795" s="11">
        <f>IFERROR(__xludf.DUMMYFUNCTION("""COMPUTED_VALUE"""),44869.66666666667)</f>
        <v>44869.66667</v>
      </c>
      <c r="C795" s="9">
        <f>IFERROR(__xludf.DUMMYFUNCTION("""COMPUTED_VALUE"""),107.62)</f>
        <v>107.62</v>
      </c>
      <c r="E795" s="17"/>
      <c r="M795" s="17"/>
      <c r="P795" s="17"/>
    </row>
    <row r="796">
      <c r="B796" s="11">
        <f>IFERROR(__xludf.DUMMYFUNCTION("""COMPUTED_VALUE"""),44868.66666666667)</f>
        <v>44868.66667</v>
      </c>
      <c r="C796" s="9">
        <f>IFERROR(__xludf.DUMMYFUNCTION("""COMPUTED_VALUE"""),108.01)</f>
        <v>108.01</v>
      </c>
      <c r="E796" s="17"/>
      <c r="M796" s="17"/>
      <c r="P796" s="17"/>
    </row>
    <row r="797">
      <c r="B797" s="11">
        <f>IFERROR(__xludf.DUMMYFUNCTION("""COMPUTED_VALUE"""),44867.66666666667)</f>
        <v>44867.66667</v>
      </c>
      <c r="C797" s="9">
        <f>IFERROR(__xludf.DUMMYFUNCTION("""COMPUTED_VALUE"""),106.74)</f>
        <v>106.74</v>
      </c>
      <c r="E797" s="17"/>
      <c r="M797" s="17"/>
      <c r="P797" s="17"/>
    </row>
    <row r="798">
      <c r="B798" s="11">
        <f>IFERROR(__xludf.DUMMYFUNCTION("""COMPUTED_VALUE"""),44866.66666666667)</f>
        <v>44866.66667</v>
      </c>
      <c r="C798" s="9">
        <f>IFERROR(__xludf.DUMMYFUNCTION("""COMPUTED_VALUE"""),108.55)</f>
        <v>108.55</v>
      </c>
      <c r="E798" s="17"/>
      <c r="M798" s="17"/>
      <c r="P798" s="17"/>
    </row>
    <row r="799">
      <c r="B799" s="11">
        <f>IFERROR(__xludf.DUMMYFUNCTION("""COMPUTED_VALUE"""),44865.66666666667)</f>
        <v>44865.66667</v>
      </c>
      <c r="C799" s="9">
        <f>IFERROR(__xludf.DUMMYFUNCTION("""COMPUTED_VALUE"""),110.75)</f>
        <v>110.75</v>
      </c>
      <c r="E799" s="17"/>
      <c r="M799" s="17"/>
      <c r="P799" s="17"/>
    </row>
    <row r="800">
      <c r="B800" s="11">
        <f>IFERROR(__xludf.DUMMYFUNCTION("""COMPUTED_VALUE"""),44862.66666666667)</f>
        <v>44862.66667</v>
      </c>
      <c r="C800" s="9">
        <f>IFERROR(__xludf.DUMMYFUNCTION("""COMPUTED_VALUE"""),112.98)</f>
        <v>112.98</v>
      </c>
      <c r="E800" s="17"/>
      <c r="M800" s="17"/>
      <c r="P800" s="17"/>
    </row>
    <row r="801">
      <c r="B801" s="11">
        <f>IFERROR(__xludf.DUMMYFUNCTION("""COMPUTED_VALUE"""),44861.66666666667)</f>
        <v>44861.66667</v>
      </c>
      <c r="C801" s="9">
        <f>IFERROR(__xludf.DUMMYFUNCTION("""COMPUTED_VALUE"""),111.01)</f>
        <v>111.01</v>
      </c>
      <c r="E801" s="17"/>
      <c r="M801" s="17"/>
      <c r="P801" s="17"/>
    </row>
    <row r="802">
      <c r="B802" s="11">
        <f>IFERROR(__xludf.DUMMYFUNCTION("""COMPUTED_VALUE"""),44860.66666666667)</f>
        <v>44860.66667</v>
      </c>
      <c r="C802" s="9">
        <f>IFERROR(__xludf.DUMMYFUNCTION("""COMPUTED_VALUE"""),109.87)</f>
        <v>109.87</v>
      </c>
      <c r="E802" s="17"/>
      <c r="M802" s="17"/>
      <c r="P802" s="17"/>
    </row>
    <row r="803">
      <c r="B803" s="11">
        <f>IFERROR(__xludf.DUMMYFUNCTION("""COMPUTED_VALUE"""),44859.66666666667)</f>
        <v>44859.66667</v>
      </c>
      <c r="C803" s="9">
        <f>IFERROR(__xludf.DUMMYFUNCTION("""COMPUTED_VALUE"""),108.33)</f>
        <v>108.33</v>
      </c>
      <c r="E803" s="17"/>
      <c r="M803" s="17"/>
      <c r="P803" s="17"/>
    </row>
    <row r="804">
      <c r="B804" s="11">
        <f>IFERROR(__xludf.DUMMYFUNCTION("""COMPUTED_VALUE"""),44858.66666666667)</f>
        <v>44858.66667</v>
      </c>
      <c r="C804" s="9">
        <f>IFERROR(__xludf.DUMMYFUNCTION("""COMPUTED_VALUE"""),103.37)</f>
        <v>103.37</v>
      </c>
      <c r="E804" s="17"/>
      <c r="M804" s="17"/>
      <c r="P804" s="17"/>
    </row>
    <row r="805">
      <c r="B805" s="11">
        <f>IFERROR(__xludf.DUMMYFUNCTION("""COMPUTED_VALUE"""),44855.66666666667)</f>
        <v>44855.66667</v>
      </c>
      <c r="C805" s="9">
        <f>IFERROR(__xludf.DUMMYFUNCTION("""COMPUTED_VALUE"""),103.08)</f>
        <v>103.08</v>
      </c>
      <c r="E805" s="17"/>
      <c r="M805" s="17"/>
      <c r="P805" s="17"/>
    </row>
    <row r="806">
      <c r="B806" s="11">
        <f>IFERROR(__xludf.DUMMYFUNCTION("""COMPUTED_VALUE"""),44854.66666666667)</f>
        <v>44854.66667</v>
      </c>
      <c r="C806" s="9">
        <f>IFERROR(__xludf.DUMMYFUNCTION("""COMPUTED_VALUE"""),102.46)</f>
        <v>102.46</v>
      </c>
      <c r="E806" s="17"/>
      <c r="M806" s="17"/>
      <c r="P806" s="17"/>
    </row>
    <row r="807">
      <c r="B807" s="11">
        <f>IFERROR(__xludf.DUMMYFUNCTION("""COMPUTED_VALUE"""),44853.66666666667)</f>
        <v>44853.66667</v>
      </c>
      <c r="C807" s="9">
        <f>IFERROR(__xludf.DUMMYFUNCTION("""COMPUTED_VALUE"""),102.01)</f>
        <v>102.01</v>
      </c>
      <c r="E807" s="17"/>
      <c r="M807" s="17"/>
      <c r="P807" s="17"/>
    </row>
    <row r="808">
      <c r="B808" s="11">
        <f>IFERROR(__xludf.DUMMYFUNCTION("""COMPUTED_VALUE"""),44852.66666666667)</f>
        <v>44852.66667</v>
      </c>
      <c r="C808" s="9">
        <f>IFERROR(__xludf.DUMMYFUNCTION("""COMPUTED_VALUE"""),105.85)</f>
        <v>105.85</v>
      </c>
      <c r="E808" s="17"/>
      <c r="M808" s="17"/>
      <c r="P808" s="17"/>
    </row>
    <row r="809">
      <c r="B809" s="11">
        <f>IFERROR(__xludf.DUMMYFUNCTION("""COMPUTED_VALUE"""),44851.66666666667)</f>
        <v>44851.66667</v>
      </c>
      <c r="C809" s="9">
        <f>IFERROR(__xludf.DUMMYFUNCTION("""COMPUTED_VALUE"""),105.23)</f>
        <v>105.23</v>
      </c>
      <c r="E809" s="17"/>
      <c r="M809" s="17"/>
      <c r="P809" s="17"/>
    </row>
    <row r="810">
      <c r="B810" s="11">
        <f>IFERROR(__xludf.DUMMYFUNCTION("""COMPUTED_VALUE"""),44848.66666666667)</f>
        <v>44848.66667</v>
      </c>
      <c r="C810" s="9">
        <f>IFERROR(__xludf.DUMMYFUNCTION("""COMPUTED_VALUE"""),99.53)</f>
        <v>99.53</v>
      </c>
      <c r="E810" s="17"/>
      <c r="M810" s="17"/>
      <c r="P810" s="17"/>
    </row>
    <row r="811">
      <c r="B811" s="11">
        <f>IFERROR(__xludf.DUMMYFUNCTION("""COMPUTED_VALUE"""),44847.66666666667)</f>
        <v>44847.66667</v>
      </c>
      <c r="C811" s="9">
        <f>IFERROR(__xludf.DUMMYFUNCTION("""COMPUTED_VALUE"""),102.52)</f>
        <v>102.52</v>
      </c>
      <c r="E811" s="17"/>
      <c r="M811" s="17"/>
      <c r="P811" s="17"/>
    </row>
    <row r="812">
      <c r="B812" s="11">
        <f>IFERROR(__xludf.DUMMYFUNCTION("""COMPUTED_VALUE"""),44846.66666666667)</f>
        <v>44846.66667</v>
      </c>
      <c r="C812" s="9">
        <f>IFERROR(__xludf.DUMMYFUNCTION("""COMPUTED_VALUE"""),100.43)</f>
        <v>100.43</v>
      </c>
      <c r="E812" s="17"/>
      <c r="M812" s="17"/>
      <c r="P812" s="17"/>
    </row>
    <row r="813">
      <c r="B813" s="11">
        <f>IFERROR(__xludf.DUMMYFUNCTION("""COMPUTED_VALUE"""),44845.66666666667)</f>
        <v>44845.66667</v>
      </c>
      <c r="C813" s="9">
        <f>IFERROR(__xludf.DUMMYFUNCTION("""COMPUTED_VALUE"""),100.63)</f>
        <v>100.63</v>
      </c>
      <c r="E813" s="17"/>
      <c r="M813" s="17"/>
      <c r="P813" s="17"/>
    </row>
    <row r="814">
      <c r="B814" s="11">
        <f>IFERROR(__xludf.DUMMYFUNCTION("""COMPUTED_VALUE"""),44844.66666666667)</f>
        <v>44844.66667</v>
      </c>
      <c r="C814" s="9">
        <f>IFERROR(__xludf.DUMMYFUNCTION("""COMPUTED_VALUE"""),98.9)</f>
        <v>98.9</v>
      </c>
      <c r="E814" s="17"/>
      <c r="M814" s="17"/>
      <c r="P814" s="17"/>
    </row>
    <row r="815">
      <c r="B815" s="11">
        <f>IFERROR(__xludf.DUMMYFUNCTION("""COMPUTED_VALUE"""),44841.66666666667)</f>
        <v>44841.66667</v>
      </c>
      <c r="C815" s="9">
        <f>IFERROR(__xludf.DUMMYFUNCTION("""COMPUTED_VALUE"""),100.36)</f>
        <v>100.36</v>
      </c>
      <c r="E815" s="17"/>
      <c r="M815" s="17"/>
      <c r="P815" s="17"/>
    </row>
    <row r="816">
      <c r="B816" s="11">
        <f>IFERROR(__xludf.DUMMYFUNCTION("""COMPUTED_VALUE"""),44840.66666666667)</f>
        <v>44840.66667</v>
      </c>
      <c r="C816" s="9">
        <f>IFERROR(__xludf.DUMMYFUNCTION("""COMPUTED_VALUE"""),101.92)</f>
        <v>101.92</v>
      </c>
      <c r="E816" s="17"/>
      <c r="M816" s="17"/>
      <c r="P816" s="17"/>
    </row>
    <row r="817">
      <c r="B817" s="11">
        <f>IFERROR(__xludf.DUMMYFUNCTION("""COMPUTED_VALUE"""),44839.66666666667)</f>
        <v>44839.66667</v>
      </c>
      <c r="C817" s="9">
        <f>IFERROR(__xludf.DUMMYFUNCTION("""COMPUTED_VALUE"""),105.44)</f>
        <v>105.44</v>
      </c>
      <c r="E817" s="17"/>
      <c r="M817" s="17"/>
      <c r="P817" s="17"/>
    </row>
    <row r="818">
      <c r="B818" s="11">
        <f>IFERROR(__xludf.DUMMYFUNCTION("""COMPUTED_VALUE"""),44838.66666666667)</f>
        <v>44838.66667</v>
      </c>
      <c r="C818" s="9">
        <f>IFERROR(__xludf.DUMMYFUNCTION("""COMPUTED_VALUE"""),105.99)</f>
        <v>105.99</v>
      </c>
      <c r="E818" s="17"/>
      <c r="M818" s="17"/>
      <c r="P818" s="17"/>
    </row>
    <row r="819">
      <c r="B819" s="11">
        <f>IFERROR(__xludf.DUMMYFUNCTION("""COMPUTED_VALUE"""),44837.66666666667)</f>
        <v>44837.66667</v>
      </c>
      <c r="C819" s="9">
        <f>IFERROR(__xludf.DUMMYFUNCTION("""COMPUTED_VALUE"""),104.36)</f>
        <v>104.36</v>
      </c>
      <c r="E819" s="17"/>
      <c r="M819" s="17"/>
      <c r="P819" s="17"/>
    </row>
    <row r="820">
      <c r="B820" s="11">
        <f>IFERROR(__xludf.DUMMYFUNCTION("""COMPUTED_VALUE"""),44834.66666666667)</f>
        <v>44834.66667</v>
      </c>
      <c r="C820" s="9">
        <f>IFERROR(__xludf.DUMMYFUNCTION("""COMPUTED_VALUE"""),101.6)</f>
        <v>101.6</v>
      </c>
      <c r="E820" s="17"/>
      <c r="M820" s="17"/>
      <c r="P820" s="17"/>
    </row>
    <row r="821">
      <c r="B821" s="11">
        <f>IFERROR(__xludf.DUMMYFUNCTION("""COMPUTED_VALUE"""),44833.66666666667)</f>
        <v>44833.66667</v>
      </c>
      <c r="C821" s="9">
        <f>IFERROR(__xludf.DUMMYFUNCTION("""COMPUTED_VALUE"""),101.19)</f>
        <v>101.19</v>
      </c>
      <c r="E821" s="17"/>
      <c r="M821" s="17"/>
      <c r="P821" s="17"/>
    </row>
    <row r="822">
      <c r="B822" s="11">
        <f>IFERROR(__xludf.DUMMYFUNCTION("""COMPUTED_VALUE"""),44832.66666666667)</f>
        <v>44832.66667</v>
      </c>
      <c r="C822" s="9">
        <f>IFERROR(__xludf.DUMMYFUNCTION("""COMPUTED_VALUE"""),103.93)</f>
        <v>103.93</v>
      </c>
      <c r="E822" s="17"/>
      <c r="M822" s="17"/>
      <c r="P822" s="17"/>
    </row>
    <row r="823">
      <c r="B823" s="11">
        <f>IFERROR(__xludf.DUMMYFUNCTION("""COMPUTED_VALUE"""),44831.66666666667)</f>
        <v>44831.66667</v>
      </c>
      <c r="C823" s="9">
        <f>IFERROR(__xludf.DUMMYFUNCTION("""COMPUTED_VALUE"""),102.28)</f>
        <v>102.28</v>
      </c>
      <c r="E823" s="17"/>
      <c r="M823" s="17"/>
      <c r="P823" s="17"/>
    </row>
    <row r="824">
      <c r="B824" s="11">
        <f>IFERROR(__xludf.DUMMYFUNCTION("""COMPUTED_VALUE"""),44830.66666666667)</f>
        <v>44830.66667</v>
      </c>
      <c r="C824" s="9">
        <f>IFERROR(__xludf.DUMMYFUNCTION("""COMPUTED_VALUE"""),104.16)</f>
        <v>104.16</v>
      </c>
      <c r="E824" s="17"/>
      <c r="M824" s="17"/>
      <c r="P824" s="17"/>
    </row>
    <row r="825">
      <c r="B825" s="11">
        <f>IFERROR(__xludf.DUMMYFUNCTION("""COMPUTED_VALUE"""),44827.66666666667)</f>
        <v>44827.66667</v>
      </c>
      <c r="C825" s="9">
        <f>IFERROR(__xludf.DUMMYFUNCTION("""COMPUTED_VALUE"""),108.6)</f>
        <v>108.6</v>
      </c>
      <c r="E825" s="17"/>
      <c r="M825" s="17"/>
      <c r="P825" s="17"/>
    </row>
    <row r="826">
      <c r="B826" s="11">
        <f>IFERROR(__xludf.DUMMYFUNCTION("""COMPUTED_VALUE"""),44826.66666666667)</f>
        <v>44826.66667</v>
      </c>
      <c r="C826" s="9">
        <f>IFERROR(__xludf.DUMMYFUNCTION("""COMPUTED_VALUE"""),108.54)</f>
        <v>108.54</v>
      </c>
      <c r="E826" s="17"/>
      <c r="M826" s="17"/>
      <c r="P826" s="17"/>
    </row>
    <row r="827">
      <c r="B827" s="11">
        <f>IFERROR(__xludf.DUMMYFUNCTION("""COMPUTED_VALUE"""),44825.66666666667)</f>
        <v>44825.66667</v>
      </c>
      <c r="C827" s="9">
        <f>IFERROR(__xludf.DUMMYFUNCTION("""COMPUTED_VALUE"""),108.55)</f>
        <v>108.55</v>
      </c>
      <c r="E827" s="17"/>
      <c r="M827" s="17"/>
      <c r="P827" s="17"/>
    </row>
    <row r="828">
      <c r="B828" s="11">
        <f>IFERROR(__xludf.DUMMYFUNCTION("""COMPUTED_VALUE"""),44824.66666666667)</f>
        <v>44824.66667</v>
      </c>
      <c r="C828" s="9">
        <f>IFERROR(__xludf.DUMMYFUNCTION("""COMPUTED_VALUE"""),110.93)</f>
        <v>110.93</v>
      </c>
      <c r="E828" s="17"/>
      <c r="M828" s="17"/>
      <c r="P828" s="17"/>
    </row>
    <row r="829">
      <c r="B829" s="11">
        <f>IFERROR(__xludf.DUMMYFUNCTION("""COMPUTED_VALUE"""),44823.66666666667)</f>
        <v>44823.66667</v>
      </c>
      <c r="C829" s="9">
        <f>IFERROR(__xludf.DUMMYFUNCTION("""COMPUTED_VALUE"""),112.8)</f>
        <v>112.8</v>
      </c>
      <c r="E829" s="17"/>
      <c r="M829" s="17"/>
      <c r="P829" s="17"/>
    </row>
    <row r="830">
      <c r="B830" s="11">
        <f>IFERROR(__xludf.DUMMYFUNCTION("""COMPUTED_VALUE"""),44820.66666666667)</f>
        <v>44820.66667</v>
      </c>
      <c r="C830" s="9">
        <f>IFERROR(__xludf.DUMMYFUNCTION("""COMPUTED_VALUE"""),113.67)</f>
        <v>113.67</v>
      </c>
      <c r="E830" s="17"/>
      <c r="M830" s="17"/>
      <c r="P830" s="17"/>
    </row>
    <row r="831">
      <c r="B831" s="11">
        <f>IFERROR(__xludf.DUMMYFUNCTION("""COMPUTED_VALUE"""),44819.66666666667)</f>
        <v>44819.66667</v>
      </c>
      <c r="C831" s="9">
        <f>IFERROR(__xludf.DUMMYFUNCTION("""COMPUTED_VALUE"""),116.22)</f>
        <v>116.22</v>
      </c>
      <c r="E831" s="17"/>
      <c r="M831" s="17"/>
      <c r="P831" s="17"/>
    </row>
    <row r="832">
      <c r="B832" s="11">
        <f>IFERROR(__xludf.DUMMYFUNCTION("""COMPUTED_VALUE"""),44818.66666666667)</f>
        <v>44818.66667</v>
      </c>
      <c r="C832" s="9">
        <f>IFERROR(__xludf.DUMMYFUNCTION("""COMPUTED_VALUE"""),121.08)</f>
        <v>121.08</v>
      </c>
      <c r="E832" s="17"/>
      <c r="M832" s="17"/>
      <c r="P832" s="17"/>
    </row>
    <row r="833">
      <c r="B833" s="11">
        <f>IFERROR(__xludf.DUMMYFUNCTION("""COMPUTED_VALUE"""),44817.66666666667)</f>
        <v>44817.66667</v>
      </c>
      <c r="C833" s="9">
        <f>IFERROR(__xludf.DUMMYFUNCTION("""COMPUTED_VALUE"""),125.08)</f>
        <v>125.08</v>
      </c>
      <c r="E833" s="17"/>
      <c r="M833" s="17"/>
      <c r="P833" s="17"/>
    </row>
    <row r="834">
      <c r="B834" s="11">
        <f>IFERROR(__xludf.DUMMYFUNCTION("""COMPUTED_VALUE"""),44816.66666666667)</f>
        <v>44816.66667</v>
      </c>
      <c r="C834" s="9">
        <f>IFERROR(__xludf.DUMMYFUNCTION("""COMPUTED_VALUE"""),130.2)</f>
        <v>130.2</v>
      </c>
      <c r="E834" s="17"/>
      <c r="M834" s="17"/>
      <c r="P834" s="17"/>
    </row>
    <row r="835">
      <c r="B835" s="11">
        <f>IFERROR(__xludf.DUMMYFUNCTION("""COMPUTED_VALUE"""),44813.66666666667)</f>
        <v>44813.66667</v>
      </c>
      <c r="C835" s="9">
        <f>IFERROR(__xludf.DUMMYFUNCTION("""COMPUTED_VALUE"""),129.63)</f>
        <v>129.63</v>
      </c>
      <c r="E835" s="17"/>
      <c r="M835" s="17"/>
      <c r="P835" s="17"/>
    </row>
    <row r="836">
      <c r="B836" s="11">
        <f>IFERROR(__xludf.DUMMYFUNCTION("""COMPUTED_VALUE"""),44812.66666666667)</f>
        <v>44812.66667</v>
      </c>
      <c r="C836" s="9">
        <f>IFERROR(__xludf.DUMMYFUNCTION("""COMPUTED_VALUE"""),127.91)</f>
        <v>127.91</v>
      </c>
      <c r="E836" s="17"/>
      <c r="M836" s="17"/>
      <c r="P836" s="17"/>
    </row>
    <row r="837">
      <c r="B837" s="11">
        <f>IFERROR(__xludf.DUMMYFUNCTION("""COMPUTED_VALUE"""),44811.66666666667)</f>
        <v>44811.66667</v>
      </c>
      <c r="C837" s="9">
        <f>IFERROR(__xludf.DUMMYFUNCTION("""COMPUTED_VALUE"""),126.63)</f>
        <v>126.63</v>
      </c>
      <c r="E837" s="17"/>
      <c r="M837" s="17"/>
      <c r="P837" s="17"/>
    </row>
    <row r="838">
      <c r="B838" s="11">
        <f>IFERROR(__xludf.DUMMYFUNCTION("""COMPUTED_VALUE"""),44810.66666666667)</f>
        <v>44810.66667</v>
      </c>
      <c r="C838" s="9">
        <f>IFERROR(__xludf.DUMMYFUNCTION("""COMPUTED_VALUE"""),123.8)</f>
        <v>123.8</v>
      </c>
      <c r="E838" s="17"/>
      <c r="M838" s="17"/>
      <c r="P838" s="17"/>
    </row>
    <row r="839">
      <c r="B839" s="11">
        <f>IFERROR(__xludf.DUMMYFUNCTION("""COMPUTED_VALUE"""),44806.66666666667)</f>
        <v>44806.66667</v>
      </c>
      <c r="C839" s="9">
        <f>IFERROR(__xludf.DUMMYFUNCTION("""COMPUTED_VALUE"""),121.89)</f>
        <v>121.89</v>
      </c>
      <c r="E839" s="17"/>
      <c r="M839" s="17"/>
      <c r="P839" s="17"/>
    </row>
    <row r="840">
      <c r="B840" s="11">
        <f>IFERROR(__xludf.DUMMYFUNCTION("""COMPUTED_VALUE"""),44805.66666666667)</f>
        <v>44805.66667</v>
      </c>
      <c r="C840" s="9">
        <f>IFERROR(__xludf.DUMMYFUNCTION("""COMPUTED_VALUE"""),124.3)</f>
        <v>124.3</v>
      </c>
      <c r="E840" s="17"/>
      <c r="M840" s="17"/>
      <c r="P840" s="17"/>
    </row>
    <row r="841">
      <c r="B841" s="11">
        <f>IFERROR(__xludf.DUMMYFUNCTION("""COMPUTED_VALUE"""),44804.66666666667)</f>
        <v>44804.66667</v>
      </c>
      <c r="C841" s="9">
        <f>IFERROR(__xludf.DUMMYFUNCTION("""COMPUTED_VALUE"""),124.51)</f>
        <v>124.51</v>
      </c>
      <c r="E841" s="17"/>
      <c r="M841" s="17"/>
      <c r="P841" s="17"/>
    </row>
    <row r="842">
      <c r="B842" s="11">
        <f>IFERROR(__xludf.DUMMYFUNCTION("""COMPUTED_VALUE"""),44803.66666666667)</f>
        <v>44803.66667</v>
      </c>
      <c r="C842" s="9">
        <f>IFERROR(__xludf.DUMMYFUNCTION("""COMPUTED_VALUE"""),125.65)</f>
        <v>125.65</v>
      </c>
      <c r="E842" s="17"/>
      <c r="M842" s="17"/>
      <c r="P842" s="17"/>
    </row>
    <row r="843">
      <c r="B843" s="11">
        <f>IFERROR(__xludf.DUMMYFUNCTION("""COMPUTED_VALUE"""),44802.66666666667)</f>
        <v>44802.66667</v>
      </c>
      <c r="C843" s="9">
        <f>IFERROR(__xludf.DUMMYFUNCTION("""COMPUTED_VALUE"""),127.29)</f>
        <v>127.29</v>
      </c>
      <c r="E843" s="17"/>
      <c r="M843" s="17"/>
      <c r="P843" s="17"/>
    </row>
    <row r="844">
      <c r="B844" s="11">
        <f>IFERROR(__xludf.DUMMYFUNCTION("""COMPUTED_VALUE"""),44799.66666666667)</f>
        <v>44799.66667</v>
      </c>
      <c r="C844" s="9">
        <f>IFERROR(__xludf.DUMMYFUNCTION("""COMPUTED_VALUE"""),128.35)</f>
        <v>128.35</v>
      </c>
      <c r="E844" s="17"/>
      <c r="M844" s="17"/>
      <c r="P844" s="17"/>
    </row>
    <row r="845">
      <c r="B845" s="11">
        <f>IFERROR(__xludf.DUMMYFUNCTION("""COMPUTED_VALUE"""),44798.66666666667)</f>
        <v>44798.66667</v>
      </c>
      <c r="C845" s="9">
        <f>IFERROR(__xludf.DUMMYFUNCTION("""COMPUTED_VALUE"""),132.78)</f>
        <v>132.78</v>
      </c>
      <c r="E845" s="17"/>
      <c r="M845" s="17"/>
      <c r="P845" s="17"/>
    </row>
    <row r="846">
      <c r="B846" s="11">
        <f>IFERROR(__xludf.DUMMYFUNCTION("""COMPUTED_VALUE"""),44797.66666666667)</f>
        <v>44797.66667</v>
      </c>
      <c r="C846" s="9">
        <f>IFERROR(__xludf.DUMMYFUNCTION("""COMPUTED_VALUE"""),131.12)</f>
        <v>131.12</v>
      </c>
      <c r="E846" s="17"/>
      <c r="M846" s="17"/>
      <c r="P846" s="17"/>
    </row>
    <row r="847">
      <c r="B847" s="11">
        <f>IFERROR(__xludf.DUMMYFUNCTION("""COMPUTED_VALUE"""),44796.66666666667)</f>
        <v>44796.66667</v>
      </c>
      <c r="C847" s="9">
        <f>IFERROR(__xludf.DUMMYFUNCTION("""COMPUTED_VALUE"""),128.46)</f>
        <v>128.46</v>
      </c>
      <c r="E847" s="17"/>
      <c r="M847" s="17"/>
      <c r="P847" s="17"/>
    </row>
    <row r="848">
      <c r="B848" s="11">
        <f>IFERROR(__xludf.DUMMYFUNCTION("""COMPUTED_VALUE"""),44795.66666666667)</f>
        <v>44795.66667</v>
      </c>
      <c r="C848" s="9">
        <f>IFERROR(__xludf.DUMMYFUNCTION("""COMPUTED_VALUE"""),130.94)</f>
        <v>130.94</v>
      </c>
      <c r="E848" s="17"/>
      <c r="M848" s="17"/>
      <c r="P848" s="17"/>
    </row>
    <row r="849">
      <c r="B849" s="11">
        <f>IFERROR(__xludf.DUMMYFUNCTION("""COMPUTED_VALUE"""),44792.66666666667)</f>
        <v>44792.66667</v>
      </c>
      <c r="C849" s="9">
        <f>IFERROR(__xludf.DUMMYFUNCTION("""COMPUTED_VALUE"""),134.08)</f>
        <v>134.08</v>
      </c>
      <c r="E849" s="17"/>
      <c r="M849" s="17"/>
      <c r="P849" s="17"/>
    </row>
    <row r="850">
      <c r="B850" s="11">
        <f>IFERROR(__xludf.DUMMYFUNCTION("""COMPUTED_VALUE"""),44791.66666666667)</f>
        <v>44791.66667</v>
      </c>
      <c r="C850" s="9">
        <f>IFERROR(__xludf.DUMMYFUNCTION("""COMPUTED_VALUE"""),136.63)</f>
        <v>136.63</v>
      </c>
      <c r="E850" s="17"/>
      <c r="M850" s="17"/>
      <c r="P850" s="17"/>
    </row>
    <row r="851">
      <c r="B851" s="11">
        <f>IFERROR(__xludf.DUMMYFUNCTION("""COMPUTED_VALUE"""),44790.66666666667)</f>
        <v>44790.66667</v>
      </c>
      <c r="C851" s="9">
        <f>IFERROR(__xludf.DUMMYFUNCTION("""COMPUTED_VALUE"""),137.39)</f>
        <v>137.39</v>
      </c>
      <c r="E851" s="17"/>
      <c r="M851" s="17"/>
      <c r="P851" s="17"/>
    </row>
    <row r="852">
      <c r="B852" s="11">
        <f>IFERROR(__xludf.DUMMYFUNCTION("""COMPUTED_VALUE"""),44789.66666666667)</f>
        <v>44789.66667</v>
      </c>
      <c r="C852" s="9">
        <f>IFERROR(__xludf.DUMMYFUNCTION("""COMPUTED_VALUE"""),137.11)</f>
        <v>137.11</v>
      </c>
      <c r="E852" s="17"/>
      <c r="M852" s="17"/>
      <c r="P852" s="17"/>
    </row>
    <row r="853">
      <c r="B853" s="11">
        <f>IFERROR(__xludf.DUMMYFUNCTION("""COMPUTED_VALUE"""),44788.66666666667)</f>
        <v>44788.66667</v>
      </c>
      <c r="C853" s="9">
        <f>IFERROR(__xludf.DUMMYFUNCTION("""COMPUTED_VALUE"""),138.38)</f>
        <v>138.38</v>
      </c>
      <c r="E853" s="17"/>
      <c r="M853" s="17"/>
      <c r="P853" s="17"/>
    </row>
    <row r="854">
      <c r="B854" s="11">
        <f>IFERROR(__xludf.DUMMYFUNCTION("""COMPUTED_VALUE"""),44785.66666666667)</f>
        <v>44785.66667</v>
      </c>
      <c r="C854" s="9">
        <f>IFERROR(__xludf.DUMMYFUNCTION("""COMPUTED_VALUE"""),137.24)</f>
        <v>137.24</v>
      </c>
      <c r="E854" s="17"/>
      <c r="M854" s="17"/>
      <c r="P854" s="17"/>
    </row>
    <row r="855">
      <c r="B855" s="11">
        <f>IFERROR(__xludf.DUMMYFUNCTION("""COMPUTED_VALUE"""),44784.66666666667)</f>
        <v>44784.66667</v>
      </c>
      <c r="C855" s="9">
        <f>IFERROR(__xludf.DUMMYFUNCTION("""COMPUTED_VALUE"""),134.23)</f>
        <v>134.23</v>
      </c>
      <c r="E855" s="17"/>
      <c r="M855" s="17"/>
      <c r="P855" s="17"/>
    </row>
    <row r="856">
      <c r="B856" s="11">
        <f>IFERROR(__xludf.DUMMYFUNCTION("""COMPUTED_VALUE"""),44783.66666666667)</f>
        <v>44783.66667</v>
      </c>
      <c r="C856" s="9">
        <f>IFERROR(__xludf.DUMMYFUNCTION("""COMPUTED_VALUE"""),134.41)</f>
        <v>134.41</v>
      </c>
      <c r="E856" s="17"/>
      <c r="M856" s="17"/>
      <c r="P856" s="17"/>
    </row>
    <row r="857">
      <c r="B857" s="11">
        <f>IFERROR(__xludf.DUMMYFUNCTION("""COMPUTED_VALUE"""),44782.66666666667)</f>
        <v>44782.66667</v>
      </c>
      <c r="C857" s="9">
        <f>IFERROR(__xludf.DUMMYFUNCTION("""COMPUTED_VALUE"""),132.9)</f>
        <v>132.9</v>
      </c>
      <c r="E857" s="17"/>
      <c r="M857" s="17"/>
      <c r="P857" s="17"/>
    </row>
    <row r="858">
      <c r="B858" s="11">
        <f>IFERROR(__xludf.DUMMYFUNCTION("""COMPUTED_VALUE"""),44781.66666666667)</f>
        <v>44781.66667</v>
      </c>
      <c r="C858" s="9">
        <f>IFERROR(__xludf.DUMMYFUNCTION("""COMPUTED_VALUE"""),131.22)</f>
        <v>131.22</v>
      </c>
      <c r="E858" s="17"/>
      <c r="M858" s="17"/>
      <c r="P858" s="17"/>
    </row>
    <row r="859">
      <c r="B859" s="11">
        <f>IFERROR(__xludf.DUMMYFUNCTION("""COMPUTED_VALUE"""),44778.66666666667)</f>
        <v>44778.66667</v>
      </c>
      <c r="C859" s="9">
        <f>IFERROR(__xludf.DUMMYFUNCTION("""COMPUTED_VALUE"""),131.39)</f>
        <v>131.39</v>
      </c>
      <c r="E859" s="17"/>
      <c r="M859" s="17"/>
      <c r="P859" s="17"/>
    </row>
    <row r="860">
      <c r="B860" s="11">
        <f>IFERROR(__xludf.DUMMYFUNCTION("""COMPUTED_VALUE"""),44777.66666666667)</f>
        <v>44777.66667</v>
      </c>
      <c r="C860" s="9">
        <f>IFERROR(__xludf.DUMMYFUNCTION("""COMPUTED_VALUE"""),130.75)</f>
        <v>130.75</v>
      </c>
      <c r="E860" s="17"/>
      <c r="M860" s="17"/>
      <c r="P860" s="17"/>
    </row>
    <row r="861">
      <c r="B861" s="11">
        <f>IFERROR(__xludf.DUMMYFUNCTION("""COMPUTED_VALUE"""),44776.66666666667)</f>
        <v>44776.66667</v>
      </c>
      <c r="C861" s="9">
        <f>IFERROR(__xludf.DUMMYFUNCTION("""COMPUTED_VALUE"""),130.72)</f>
        <v>130.72</v>
      </c>
      <c r="E861" s="17"/>
      <c r="M861" s="17"/>
      <c r="P861" s="17"/>
    </row>
    <row r="862">
      <c r="B862" s="11">
        <f>IFERROR(__xludf.DUMMYFUNCTION("""COMPUTED_VALUE"""),44775.66666666667)</f>
        <v>44775.66667</v>
      </c>
      <c r="C862" s="9">
        <f>IFERROR(__xludf.DUMMYFUNCTION("""COMPUTED_VALUE"""),129.37)</f>
        <v>129.37</v>
      </c>
      <c r="E862" s="17"/>
      <c r="M862" s="17"/>
      <c r="P862" s="17"/>
    </row>
    <row r="863">
      <c r="B863" s="11">
        <f>IFERROR(__xludf.DUMMYFUNCTION("""COMPUTED_VALUE"""),44774.66666666667)</f>
        <v>44774.66667</v>
      </c>
      <c r="C863" s="9">
        <f>IFERROR(__xludf.DUMMYFUNCTION("""COMPUTED_VALUE"""),130.98)</f>
        <v>130.98</v>
      </c>
      <c r="E863" s="17"/>
      <c r="M863" s="17"/>
      <c r="P863" s="17"/>
    </row>
    <row r="864">
      <c r="B864" s="11">
        <f>IFERROR(__xludf.DUMMYFUNCTION("""COMPUTED_VALUE"""),44771.66666666667)</f>
        <v>44771.66667</v>
      </c>
      <c r="C864" s="9">
        <f>IFERROR(__xludf.DUMMYFUNCTION("""COMPUTED_VALUE"""),132.56)</f>
        <v>132.56</v>
      </c>
      <c r="E864" s="17"/>
      <c r="M864" s="17"/>
      <c r="P864" s="17"/>
    </row>
    <row r="865">
      <c r="B865" s="11">
        <f>IFERROR(__xludf.DUMMYFUNCTION("""COMPUTED_VALUE"""),44770.66666666667)</f>
        <v>44770.66667</v>
      </c>
      <c r="C865" s="9">
        <f>IFERROR(__xludf.DUMMYFUNCTION("""COMPUTED_VALUE"""),132.4)</f>
        <v>132.4</v>
      </c>
      <c r="E865" s="17"/>
      <c r="M865" s="17"/>
      <c r="P865" s="17"/>
    </row>
    <row r="866">
      <c r="B866" s="11">
        <f>IFERROR(__xludf.DUMMYFUNCTION("""COMPUTED_VALUE"""),44769.66666666667)</f>
        <v>44769.66667</v>
      </c>
      <c r="C866" s="9">
        <f>IFERROR(__xludf.DUMMYFUNCTION("""COMPUTED_VALUE"""),127.39)</f>
        <v>127.39</v>
      </c>
      <c r="E866" s="17"/>
      <c r="M866" s="17"/>
      <c r="P866" s="17"/>
    </row>
    <row r="867">
      <c r="B867" s="11">
        <f>IFERROR(__xludf.DUMMYFUNCTION("""COMPUTED_VALUE"""),44768.66666666667)</f>
        <v>44768.66667</v>
      </c>
      <c r="C867" s="9">
        <f>IFERROR(__xludf.DUMMYFUNCTION("""COMPUTED_VALUE"""),127.59)</f>
        <v>127.59</v>
      </c>
      <c r="E867" s="17"/>
      <c r="M867" s="17"/>
      <c r="P867" s="17"/>
    </row>
    <row r="868">
      <c r="B868" s="11">
        <f>IFERROR(__xludf.DUMMYFUNCTION("""COMPUTED_VALUE"""),44767.66666666667)</f>
        <v>44767.66667</v>
      </c>
      <c r="C868" s="9">
        <f>IFERROR(__xludf.DUMMYFUNCTION("""COMPUTED_VALUE"""),127.51)</f>
        <v>127.51</v>
      </c>
      <c r="E868" s="17"/>
      <c r="M868" s="17"/>
      <c r="P868" s="17"/>
    </row>
    <row r="869">
      <c r="B869" s="11">
        <f>IFERROR(__xludf.DUMMYFUNCTION("""COMPUTED_VALUE"""),44764.66666666667)</f>
        <v>44764.66667</v>
      </c>
      <c r="C869" s="9">
        <f>IFERROR(__xludf.DUMMYFUNCTION("""COMPUTED_VALUE"""),126.9)</f>
        <v>126.9</v>
      </c>
      <c r="E869" s="17"/>
      <c r="M869" s="17"/>
      <c r="P869" s="17"/>
    </row>
    <row r="870">
      <c r="B870" s="11">
        <f>IFERROR(__xludf.DUMMYFUNCTION("""COMPUTED_VALUE"""),44763.66666666667)</f>
        <v>44763.66667</v>
      </c>
      <c r="C870" s="9">
        <f>IFERROR(__xludf.DUMMYFUNCTION("""COMPUTED_VALUE"""),125.68)</f>
        <v>125.68</v>
      </c>
      <c r="E870" s="17"/>
      <c r="M870" s="17"/>
      <c r="P870" s="17"/>
    </row>
    <row r="871">
      <c r="B871" s="11">
        <f>IFERROR(__xludf.DUMMYFUNCTION("""COMPUTED_VALUE"""),44762.66666666667)</f>
        <v>44762.66667</v>
      </c>
      <c r="C871" s="9">
        <f>IFERROR(__xludf.DUMMYFUNCTION("""COMPUTED_VALUE"""),124.57)</f>
        <v>124.57</v>
      </c>
      <c r="E871" s="17"/>
      <c r="M871" s="17"/>
      <c r="P871" s="17"/>
    </row>
    <row r="872">
      <c r="B872" s="11">
        <f>IFERROR(__xludf.DUMMYFUNCTION("""COMPUTED_VALUE"""),44761.66666666667)</f>
        <v>44761.66667</v>
      </c>
      <c r="C872" s="9">
        <f>IFERROR(__xludf.DUMMYFUNCTION("""COMPUTED_VALUE"""),125.11)</f>
        <v>125.11</v>
      </c>
      <c r="E872" s="17"/>
      <c r="M872" s="17"/>
      <c r="P872" s="17"/>
    </row>
    <row r="873">
      <c r="B873" s="11">
        <f>IFERROR(__xludf.DUMMYFUNCTION("""COMPUTED_VALUE"""),44760.66666666667)</f>
        <v>44760.66667</v>
      </c>
      <c r="C873" s="9">
        <f>IFERROR(__xludf.DUMMYFUNCTION("""COMPUTED_VALUE"""),119.2)</f>
        <v>119.2</v>
      </c>
      <c r="E873" s="17"/>
      <c r="M873" s="17"/>
      <c r="P873" s="17"/>
    </row>
    <row r="874">
      <c r="B874" s="11">
        <f>IFERROR(__xludf.DUMMYFUNCTION("""COMPUTED_VALUE"""),44757.66666666667)</f>
        <v>44757.66667</v>
      </c>
      <c r="C874" s="9">
        <f>IFERROR(__xludf.DUMMYFUNCTION("""COMPUTED_VALUE"""),121.01)</f>
        <v>121.01</v>
      </c>
      <c r="E874" s="17"/>
      <c r="M874" s="17"/>
      <c r="P874" s="17"/>
    </row>
    <row r="875">
      <c r="B875" s="11">
        <f>IFERROR(__xludf.DUMMYFUNCTION("""COMPUTED_VALUE"""),44756.66666666667)</f>
        <v>44756.66667</v>
      </c>
      <c r="C875" s="9">
        <f>IFERROR(__xludf.DUMMYFUNCTION("""COMPUTED_VALUE"""),118.13)</f>
        <v>118.13</v>
      </c>
      <c r="E875" s="17"/>
      <c r="M875" s="17"/>
      <c r="P875" s="17"/>
    </row>
    <row r="876">
      <c r="B876" s="11">
        <f>IFERROR(__xludf.DUMMYFUNCTION("""COMPUTED_VALUE"""),44755.66666666667)</f>
        <v>44755.66667</v>
      </c>
      <c r="C876" s="9">
        <f>IFERROR(__xludf.DUMMYFUNCTION("""COMPUTED_VALUE"""),120.76)</f>
        <v>120.76</v>
      </c>
      <c r="E876" s="17"/>
      <c r="M876" s="17"/>
      <c r="P876" s="17"/>
    </row>
    <row r="877">
      <c r="B877" s="11">
        <f>IFERROR(__xludf.DUMMYFUNCTION("""COMPUTED_VALUE"""),44754.66666666667)</f>
        <v>44754.66667</v>
      </c>
      <c r="C877" s="9">
        <f>IFERROR(__xludf.DUMMYFUNCTION("""COMPUTED_VALUE"""),120.91)</f>
        <v>120.91</v>
      </c>
      <c r="E877" s="17"/>
      <c r="M877" s="17"/>
      <c r="P877" s="17"/>
    </row>
    <row r="878">
      <c r="B878" s="11">
        <f>IFERROR(__xludf.DUMMYFUNCTION("""COMPUTED_VALUE"""),44753.66666666667)</f>
        <v>44753.66667</v>
      </c>
      <c r="C878" s="9">
        <f>IFERROR(__xludf.DUMMYFUNCTION("""COMPUTED_VALUE"""),121.78)</f>
        <v>121.78</v>
      </c>
      <c r="E878" s="17"/>
      <c r="M878" s="17"/>
      <c r="P878" s="17"/>
    </row>
    <row r="879">
      <c r="B879" s="11">
        <f>IFERROR(__xludf.DUMMYFUNCTION("""COMPUTED_VALUE"""),44750.66666666667)</f>
        <v>44750.66667</v>
      </c>
      <c r="C879" s="9">
        <f>IFERROR(__xludf.DUMMYFUNCTION("""COMPUTED_VALUE"""),121.58)</f>
        <v>121.58</v>
      </c>
      <c r="E879" s="17"/>
      <c r="M879" s="17"/>
      <c r="P879" s="17"/>
    </row>
    <row r="880">
      <c r="B880" s="11">
        <f>IFERROR(__xludf.DUMMYFUNCTION("""COMPUTED_VALUE"""),44749.66666666667)</f>
        <v>44749.66667</v>
      </c>
      <c r="C880" s="9">
        <f>IFERROR(__xludf.DUMMYFUNCTION("""COMPUTED_VALUE"""),122.57)</f>
        <v>122.57</v>
      </c>
      <c r="E880" s="17"/>
      <c r="M880" s="17"/>
      <c r="P880" s="17"/>
    </row>
    <row r="881">
      <c r="B881" s="11">
        <f>IFERROR(__xludf.DUMMYFUNCTION("""COMPUTED_VALUE"""),44748.66666666667)</f>
        <v>44748.66667</v>
      </c>
      <c r="C881" s="9">
        <f>IFERROR(__xludf.DUMMYFUNCTION("""COMPUTED_VALUE"""),121.46)</f>
        <v>121.46</v>
      </c>
      <c r="E881" s="17"/>
      <c r="M881" s="17"/>
      <c r="P881" s="17"/>
    </row>
    <row r="882">
      <c r="B882" s="11">
        <f>IFERROR(__xludf.DUMMYFUNCTION("""COMPUTED_VALUE"""),44747.66666666667)</f>
        <v>44747.66667</v>
      </c>
      <c r="C882" s="9">
        <f>IFERROR(__xludf.DUMMYFUNCTION("""COMPUTED_VALUE"""),121.43)</f>
        <v>121.43</v>
      </c>
      <c r="E882" s="17"/>
      <c r="M882" s="17"/>
      <c r="P882" s="17"/>
    </row>
    <row r="883">
      <c r="B883" s="11">
        <f>IFERROR(__xludf.DUMMYFUNCTION("""COMPUTED_VALUE"""),44743.66666666667)</f>
        <v>44743.66667</v>
      </c>
      <c r="C883" s="9">
        <f>IFERROR(__xludf.DUMMYFUNCTION("""COMPUTED_VALUE"""),120.03)</f>
        <v>120.03</v>
      </c>
      <c r="E883" s="17"/>
      <c r="M883" s="17"/>
      <c r="P883" s="17"/>
    </row>
    <row r="884">
      <c r="B884" s="11">
        <f>IFERROR(__xludf.DUMMYFUNCTION("""COMPUTED_VALUE"""),44742.66666666667)</f>
        <v>44742.66667</v>
      </c>
      <c r="C884" s="9">
        <f>IFERROR(__xludf.DUMMYFUNCTION("""COMPUTED_VALUE"""),117.65)</f>
        <v>117.65</v>
      </c>
      <c r="E884" s="17"/>
      <c r="M884" s="17"/>
      <c r="P884" s="17"/>
    </row>
    <row r="885">
      <c r="B885" s="11">
        <f>IFERROR(__xludf.DUMMYFUNCTION("""COMPUTED_VALUE"""),44741.66666666667)</f>
        <v>44741.66667</v>
      </c>
      <c r="C885" s="9">
        <f>IFERROR(__xludf.DUMMYFUNCTION("""COMPUTED_VALUE"""),118.31)</f>
        <v>118.31</v>
      </c>
      <c r="E885" s="17"/>
      <c r="M885" s="17"/>
      <c r="P885" s="17"/>
    </row>
    <row r="886">
      <c r="B886" s="11">
        <f>IFERROR(__xludf.DUMMYFUNCTION("""COMPUTED_VALUE"""),44740.66666666667)</f>
        <v>44740.66667</v>
      </c>
      <c r="C886" s="9">
        <f>IFERROR(__xludf.DUMMYFUNCTION("""COMPUTED_VALUE"""),118.96)</f>
        <v>118.96</v>
      </c>
      <c r="E886" s="17"/>
      <c r="M886" s="17"/>
      <c r="P886" s="17"/>
    </row>
    <row r="887">
      <c r="B887" s="11">
        <f>IFERROR(__xludf.DUMMYFUNCTION("""COMPUTED_VALUE"""),44739.66666666667)</f>
        <v>44739.66667</v>
      </c>
      <c r="C887" s="9">
        <f>IFERROR(__xludf.DUMMYFUNCTION("""COMPUTED_VALUE"""),120.21)</f>
        <v>120.21</v>
      </c>
      <c r="E887" s="17"/>
      <c r="M887" s="17"/>
      <c r="P887" s="17"/>
    </row>
    <row r="888">
      <c r="B888" s="11">
        <f>IFERROR(__xludf.DUMMYFUNCTION("""COMPUTED_VALUE"""),44736.66666666667)</f>
        <v>44736.66667</v>
      </c>
      <c r="C888" s="9">
        <f>IFERROR(__xludf.DUMMYFUNCTION("""COMPUTED_VALUE"""),122.59)</f>
        <v>122.59</v>
      </c>
      <c r="E888" s="17"/>
      <c r="M888" s="17"/>
      <c r="P888" s="17"/>
    </row>
    <row r="889">
      <c r="B889" s="11">
        <f>IFERROR(__xludf.DUMMYFUNCTION("""COMPUTED_VALUE"""),44735.66666666667)</f>
        <v>44735.66667</v>
      </c>
      <c r="C889" s="9">
        <f>IFERROR(__xludf.DUMMYFUNCTION("""COMPUTED_VALUE"""),118.24)</f>
        <v>118.24</v>
      </c>
      <c r="E889" s="17"/>
      <c r="M889" s="17"/>
      <c r="P889" s="17"/>
    </row>
    <row r="890">
      <c r="B890" s="11">
        <f>IFERROR(__xludf.DUMMYFUNCTION("""COMPUTED_VALUE"""),44734.66666666667)</f>
        <v>44734.66667</v>
      </c>
      <c r="C890" s="9">
        <f>IFERROR(__xludf.DUMMYFUNCTION("""COMPUTED_VALUE"""),115.46)</f>
        <v>115.46</v>
      </c>
      <c r="E890" s="17"/>
      <c r="M890" s="17"/>
      <c r="P890" s="17"/>
    </row>
    <row r="891">
      <c r="B891" s="11">
        <f>IFERROR(__xludf.DUMMYFUNCTION("""COMPUTED_VALUE"""),44733.66666666667)</f>
        <v>44733.66667</v>
      </c>
      <c r="C891" s="9">
        <f>IFERROR(__xludf.DUMMYFUNCTION("""COMPUTED_VALUE"""),112.36)</f>
        <v>112.36</v>
      </c>
      <c r="E891" s="17"/>
      <c r="M891" s="17"/>
      <c r="P891" s="17"/>
    </row>
    <row r="892">
      <c r="B892" s="11">
        <f>IFERROR(__xludf.DUMMYFUNCTION("""COMPUTED_VALUE"""),44729.66666666667)</f>
        <v>44729.66667</v>
      </c>
      <c r="C892" s="9">
        <f>IFERROR(__xludf.DUMMYFUNCTION("""COMPUTED_VALUE"""),110.36)</f>
        <v>110.36</v>
      </c>
      <c r="E892" s="17"/>
      <c r="M892" s="17"/>
      <c r="P892" s="17"/>
    </row>
    <row r="893">
      <c r="B893" s="11">
        <f>IFERROR(__xludf.DUMMYFUNCTION("""COMPUTED_VALUE"""),44728.66666666667)</f>
        <v>44728.66667</v>
      </c>
      <c r="C893" s="9">
        <f>IFERROR(__xludf.DUMMYFUNCTION("""COMPUTED_VALUE"""),111.79)</f>
        <v>111.79</v>
      </c>
      <c r="E893" s="17"/>
      <c r="M893" s="17"/>
      <c r="P893" s="17"/>
    </row>
    <row r="894">
      <c r="B894" s="11">
        <f>IFERROR(__xludf.DUMMYFUNCTION("""COMPUTED_VALUE"""),44727.66666666667)</f>
        <v>44727.66667</v>
      </c>
      <c r="C894" s="9">
        <f>IFERROR(__xludf.DUMMYFUNCTION("""COMPUTED_VALUE"""),115.09)</f>
        <v>115.09</v>
      </c>
      <c r="E894" s="17"/>
      <c r="M894" s="17"/>
      <c r="P894" s="17"/>
    </row>
    <row r="895">
      <c r="B895" s="11">
        <f>IFERROR(__xludf.DUMMYFUNCTION("""COMPUTED_VALUE"""),44726.66666666667)</f>
        <v>44726.66667</v>
      </c>
      <c r="C895" s="9">
        <f>IFERROR(__xludf.DUMMYFUNCTION("""COMPUTED_VALUE"""),110.66)</f>
        <v>110.66</v>
      </c>
      <c r="E895" s="17"/>
      <c r="M895" s="17"/>
      <c r="P895" s="17"/>
    </row>
    <row r="896">
      <c r="B896" s="11">
        <f>IFERROR(__xludf.DUMMYFUNCTION("""COMPUTED_VALUE"""),44725.66666666667)</f>
        <v>44725.66667</v>
      </c>
      <c r="C896" s="9">
        <f>IFERROR(__xludf.DUMMYFUNCTION("""COMPUTED_VALUE"""),108.43)</f>
        <v>108.43</v>
      </c>
      <c r="E896" s="17"/>
      <c r="M896" s="17"/>
      <c r="P896" s="17"/>
    </row>
    <row r="897">
      <c r="B897" s="11">
        <f>IFERROR(__xludf.DUMMYFUNCTION("""COMPUTED_VALUE"""),44722.66666666667)</f>
        <v>44722.66667</v>
      </c>
      <c r="C897" s="9">
        <f>IFERROR(__xludf.DUMMYFUNCTION("""COMPUTED_VALUE"""),117.24)</f>
        <v>117.24</v>
      </c>
      <c r="E897" s="17"/>
      <c r="M897" s="17"/>
      <c r="P897" s="17"/>
    </row>
    <row r="898">
      <c r="B898" s="11">
        <f>IFERROR(__xludf.DUMMYFUNCTION("""COMPUTED_VALUE"""),44721.66666666667)</f>
        <v>44721.66667</v>
      </c>
      <c r="C898" s="9">
        <f>IFERROR(__xludf.DUMMYFUNCTION("""COMPUTED_VALUE"""),122.17)</f>
        <v>122.17</v>
      </c>
      <c r="E898" s="17"/>
      <c r="M898" s="17"/>
      <c r="P898" s="17"/>
    </row>
    <row r="899">
      <c r="B899" s="11">
        <f>IFERROR(__xludf.DUMMYFUNCTION("""COMPUTED_VALUE"""),44720.66666666667)</f>
        <v>44720.66667</v>
      </c>
      <c r="C899" s="9">
        <f>IFERROR(__xludf.DUMMYFUNCTION("""COMPUTED_VALUE"""),124.77)</f>
        <v>124.77</v>
      </c>
      <c r="E899" s="17"/>
      <c r="M899" s="17"/>
      <c r="P899" s="17"/>
    </row>
    <row r="900">
      <c r="B900" s="11">
        <f>IFERROR(__xludf.DUMMYFUNCTION("""COMPUTED_VALUE"""),44719.66666666667)</f>
        <v>44719.66667</v>
      </c>
      <c r="C900" s="9">
        <f>IFERROR(__xludf.DUMMYFUNCTION("""COMPUTED_VALUE"""),129.68)</f>
        <v>129.68</v>
      </c>
      <c r="E900" s="17"/>
      <c r="M900" s="17"/>
      <c r="P900" s="17"/>
    </row>
    <row r="901">
      <c r="B901" s="11">
        <f>IFERROR(__xludf.DUMMYFUNCTION("""COMPUTED_VALUE"""),44718.66666666667)</f>
        <v>44718.66667</v>
      </c>
      <c r="C901" s="9">
        <f>IFERROR(__xludf.DUMMYFUNCTION("""COMPUTED_VALUE"""),127.87)</f>
        <v>127.87</v>
      </c>
      <c r="E901" s="17"/>
      <c r="M901" s="17"/>
      <c r="P901" s="17"/>
    </row>
    <row r="902">
      <c r="B902" s="11">
        <f>IFERROR(__xludf.DUMMYFUNCTION("""COMPUTED_VALUE"""),44715.66666666667)</f>
        <v>44715.66667</v>
      </c>
      <c r="C902" s="9">
        <f>IFERROR(__xludf.DUMMYFUNCTION("""COMPUTED_VALUE"""),127.58)</f>
        <v>127.58</v>
      </c>
      <c r="E902" s="17"/>
      <c r="M902" s="17"/>
      <c r="P902" s="17"/>
    </row>
    <row r="903">
      <c r="B903" s="11">
        <f>IFERROR(__xludf.DUMMYFUNCTION("""COMPUTED_VALUE"""),44714.66666666667)</f>
        <v>44714.66667</v>
      </c>
      <c r="C903" s="9">
        <f>IFERROR(__xludf.DUMMYFUNCTION("""COMPUTED_VALUE"""),129.54)</f>
        <v>129.54</v>
      </c>
      <c r="E903" s="17"/>
      <c r="M903" s="17"/>
      <c r="P903" s="17"/>
    </row>
    <row r="904">
      <c r="B904" s="11">
        <f>IFERROR(__xludf.DUMMYFUNCTION("""COMPUTED_VALUE"""),44713.66666666667)</f>
        <v>44713.66667</v>
      </c>
      <c r="C904" s="9">
        <f>IFERROR(__xludf.DUMMYFUNCTION("""COMPUTED_VALUE"""),125.86)</f>
        <v>125.86</v>
      </c>
      <c r="E904" s="17"/>
      <c r="M904" s="17"/>
      <c r="P904" s="17"/>
    </row>
    <row r="905">
      <c r="B905" s="11">
        <f>IFERROR(__xludf.DUMMYFUNCTION("""COMPUTED_VALUE"""),44712.66666666667)</f>
        <v>44712.66667</v>
      </c>
      <c r="C905" s="9">
        <f>IFERROR(__xludf.DUMMYFUNCTION("""COMPUTED_VALUE"""),127.48)</f>
        <v>127.48</v>
      </c>
      <c r="E905" s="17"/>
      <c r="M905" s="17"/>
      <c r="P905" s="17"/>
    </row>
    <row r="906">
      <c r="B906" s="11">
        <f>IFERROR(__xludf.DUMMYFUNCTION("""COMPUTED_VALUE"""),44708.66666666667)</f>
        <v>44708.66667</v>
      </c>
      <c r="C906" s="9">
        <f>IFERROR(__xludf.DUMMYFUNCTION("""COMPUTED_VALUE"""),127.26)</f>
        <v>127.26</v>
      </c>
      <c r="E906" s="17"/>
      <c r="M906" s="17"/>
      <c r="P906" s="17"/>
    </row>
    <row r="907">
      <c r="B907" s="11">
        <f>IFERROR(__xludf.DUMMYFUNCTION("""COMPUTED_VALUE"""),44707.66666666667)</f>
        <v>44707.66667</v>
      </c>
      <c r="C907" s="9">
        <f>IFERROR(__xludf.DUMMYFUNCTION("""COMPUTED_VALUE"""),122.36)</f>
        <v>122.36</v>
      </c>
      <c r="E907" s="17"/>
      <c r="M907" s="17"/>
      <c r="P907" s="17"/>
    </row>
    <row r="908">
      <c r="B908" s="11">
        <f>IFERROR(__xludf.DUMMYFUNCTION("""COMPUTED_VALUE"""),44706.66666666667)</f>
        <v>44706.66667</v>
      </c>
      <c r="C908" s="9">
        <f>IFERROR(__xludf.DUMMYFUNCTION("""COMPUTED_VALUE"""),120.03)</f>
        <v>120.03</v>
      </c>
      <c r="E908" s="17"/>
      <c r="M908" s="17"/>
      <c r="P908" s="17"/>
    </row>
    <row r="909">
      <c r="B909" s="11">
        <f>IFERROR(__xludf.DUMMYFUNCTION("""COMPUTED_VALUE"""),44705.66666666667)</f>
        <v>44705.66667</v>
      </c>
      <c r="C909" s="9">
        <f>IFERROR(__xludf.DUMMYFUNCTION("""COMPUTED_VALUE"""),120.08)</f>
        <v>120.08</v>
      </c>
      <c r="E909" s="17"/>
      <c r="M909" s="17"/>
      <c r="P909" s="17"/>
    </row>
    <row r="910">
      <c r="B910" s="11">
        <f>IFERROR(__xludf.DUMMYFUNCTION("""COMPUTED_VALUE"""),44704.66666666667)</f>
        <v>44704.66667</v>
      </c>
      <c r="C910" s="9">
        <f>IFERROR(__xludf.DUMMYFUNCTION("""COMPUTED_VALUE"""),120.48)</f>
        <v>120.48</v>
      </c>
      <c r="E910" s="17"/>
      <c r="M910" s="17"/>
      <c r="P910" s="17"/>
    </row>
    <row r="911">
      <c r="B911" s="11">
        <f>IFERROR(__xludf.DUMMYFUNCTION("""COMPUTED_VALUE"""),44701.66666666667)</f>
        <v>44701.66667</v>
      </c>
      <c r="C911" s="9">
        <f>IFERROR(__xludf.DUMMYFUNCTION("""COMPUTED_VALUE"""),119.72)</f>
        <v>119.72</v>
      </c>
      <c r="E911" s="17"/>
      <c r="M911" s="17"/>
      <c r="P911" s="17"/>
    </row>
    <row r="912">
      <c r="B912" s="11">
        <f>IFERROR(__xludf.DUMMYFUNCTION("""COMPUTED_VALUE"""),44700.66666666667)</f>
        <v>44700.66667</v>
      </c>
      <c r="C912" s="9">
        <f>IFERROR(__xludf.DUMMYFUNCTION("""COMPUTED_VALUE"""),119.72)</f>
        <v>119.72</v>
      </c>
      <c r="E912" s="17"/>
      <c r="M912" s="17"/>
      <c r="P912" s="17"/>
    </row>
    <row r="913">
      <c r="B913" s="11">
        <f>IFERROR(__xludf.DUMMYFUNCTION("""COMPUTED_VALUE"""),44699.66666666667)</f>
        <v>44699.66667</v>
      </c>
      <c r="C913" s="9">
        <f>IFERROR(__xludf.DUMMYFUNCTION("""COMPUTED_VALUE"""),119.53)</f>
        <v>119.53</v>
      </c>
      <c r="E913" s="17"/>
      <c r="M913" s="17"/>
      <c r="P913" s="17"/>
    </row>
    <row r="914">
      <c r="B914" s="11">
        <f>IFERROR(__xludf.DUMMYFUNCTION("""COMPUTED_VALUE"""),44698.66666666667)</f>
        <v>44698.66667</v>
      </c>
      <c r="C914" s="9">
        <f>IFERROR(__xludf.DUMMYFUNCTION("""COMPUTED_VALUE"""),125.9)</f>
        <v>125.9</v>
      </c>
      <c r="E914" s="17"/>
      <c r="M914" s="17"/>
      <c r="P914" s="17"/>
    </row>
    <row r="915">
      <c r="B915" s="11">
        <f>IFERROR(__xludf.DUMMYFUNCTION("""COMPUTED_VALUE"""),44697.66666666667)</f>
        <v>44697.66667</v>
      </c>
      <c r="C915" s="9">
        <f>IFERROR(__xludf.DUMMYFUNCTION("""COMPUTED_VALUE"""),125.25)</f>
        <v>125.25</v>
      </c>
      <c r="E915" s="17"/>
      <c r="M915" s="17"/>
      <c r="P915" s="17"/>
    </row>
    <row r="916">
      <c r="B916" s="11">
        <f>IFERROR(__xludf.DUMMYFUNCTION("""COMPUTED_VALUE"""),44694.66666666667)</f>
        <v>44694.66667</v>
      </c>
      <c r="C916" s="9">
        <f>IFERROR(__xludf.DUMMYFUNCTION("""COMPUTED_VALUE"""),128.35)</f>
        <v>128.35</v>
      </c>
      <c r="E916" s="17"/>
      <c r="M916" s="17"/>
      <c r="P916" s="17"/>
    </row>
    <row r="917">
      <c r="B917" s="11">
        <f>IFERROR(__xludf.DUMMYFUNCTION("""COMPUTED_VALUE"""),44693.66666666667)</f>
        <v>44693.66667</v>
      </c>
      <c r="C917" s="9">
        <f>IFERROR(__xludf.DUMMYFUNCTION("""COMPUTED_VALUE"""),123.93)</f>
        <v>123.93</v>
      </c>
      <c r="E917" s="17"/>
      <c r="M917" s="17"/>
      <c r="P917" s="17"/>
    </row>
    <row r="918">
      <c r="B918" s="11">
        <f>IFERROR(__xludf.DUMMYFUNCTION("""COMPUTED_VALUE"""),44692.66666666667)</f>
        <v>44692.66667</v>
      </c>
      <c r="C918" s="9">
        <f>IFERROR(__xludf.DUMMYFUNCTION("""COMPUTED_VALUE"""),123.74)</f>
        <v>123.74</v>
      </c>
      <c r="E918" s="17"/>
      <c r="M918" s="17"/>
      <c r="P918" s="17"/>
    </row>
    <row r="919">
      <c r="B919" s="11">
        <f>IFERROR(__xludf.DUMMYFUNCTION("""COMPUTED_VALUE"""),44691.66666666667)</f>
        <v>44691.66667</v>
      </c>
      <c r="C919" s="9">
        <f>IFERROR(__xludf.DUMMYFUNCTION("""COMPUTED_VALUE"""),125.41)</f>
        <v>125.41</v>
      </c>
      <c r="E919" s="17"/>
      <c r="M919" s="17"/>
      <c r="P919" s="17"/>
    </row>
    <row r="920">
      <c r="B920" s="11">
        <f>IFERROR(__xludf.DUMMYFUNCTION("""COMPUTED_VALUE"""),44690.66666666667)</f>
        <v>44690.66667</v>
      </c>
      <c r="C920" s="9">
        <f>IFERROR(__xludf.DUMMYFUNCTION("""COMPUTED_VALUE"""),132.37)</f>
        <v>132.37</v>
      </c>
      <c r="E920" s="17"/>
      <c r="M920" s="17"/>
      <c r="P920" s="17"/>
    </row>
    <row r="921">
      <c r="B921" s="11">
        <f>IFERROR(__xludf.DUMMYFUNCTION("""COMPUTED_VALUE"""),44687.66666666667)</f>
        <v>44687.66667</v>
      </c>
      <c r="C921" s="9">
        <f>IFERROR(__xludf.DUMMYFUNCTION("""COMPUTED_VALUE"""),140.88)</f>
        <v>140.88</v>
      </c>
      <c r="E921" s="17"/>
      <c r="M921" s="17"/>
      <c r="P921" s="17"/>
    </row>
    <row r="922">
      <c r="B922" s="11">
        <f>IFERROR(__xludf.DUMMYFUNCTION("""COMPUTED_VALUE"""),44686.66666666667)</f>
        <v>44686.66667</v>
      </c>
      <c r="C922" s="9">
        <f>IFERROR(__xludf.DUMMYFUNCTION("""COMPUTED_VALUE"""),144.98)</f>
        <v>144.98</v>
      </c>
      <c r="E922" s="17"/>
      <c r="M922" s="17"/>
      <c r="P922" s="17"/>
    </row>
    <row r="923">
      <c r="B923" s="11">
        <f>IFERROR(__xludf.DUMMYFUNCTION("""COMPUTED_VALUE"""),44685.66666666667)</f>
        <v>44685.66667</v>
      </c>
      <c r="C923" s="9">
        <f>IFERROR(__xludf.DUMMYFUNCTION("""COMPUTED_VALUE"""),152.28)</f>
        <v>152.28</v>
      </c>
      <c r="E923" s="17"/>
      <c r="M923" s="17"/>
      <c r="P923" s="17"/>
    </row>
    <row r="924">
      <c r="B924" s="11">
        <f>IFERROR(__xludf.DUMMYFUNCTION("""COMPUTED_VALUE"""),44684.66666666667)</f>
        <v>44684.66667</v>
      </c>
      <c r="C924" s="9">
        <f>IFERROR(__xludf.DUMMYFUNCTION("""COMPUTED_VALUE"""),152.36)</f>
        <v>152.36</v>
      </c>
      <c r="E924" s="17"/>
      <c r="M924" s="17"/>
      <c r="P924" s="17"/>
    </row>
    <row r="925">
      <c r="B925" s="11">
        <f>IFERROR(__xludf.DUMMYFUNCTION("""COMPUTED_VALUE"""),44683.66666666667)</f>
        <v>44683.66667</v>
      </c>
      <c r="C925" s="9">
        <f>IFERROR(__xludf.DUMMYFUNCTION("""COMPUTED_VALUE"""),153.13)</f>
        <v>153.13</v>
      </c>
      <c r="E925" s="17"/>
      <c r="M925" s="17"/>
      <c r="P925" s="17"/>
    </row>
    <row r="926">
      <c r="B926" s="11">
        <f>IFERROR(__xludf.DUMMYFUNCTION("""COMPUTED_VALUE"""),44680.66666666667)</f>
        <v>44680.66667</v>
      </c>
      <c r="C926" s="9">
        <f>IFERROR(__xludf.DUMMYFUNCTION("""COMPUTED_VALUE"""),160.29)</f>
        <v>160.29</v>
      </c>
      <c r="E926" s="17"/>
      <c r="M926" s="17"/>
      <c r="P926" s="17"/>
    </row>
    <row r="927">
      <c r="B927" s="11">
        <f>IFERROR(__xludf.DUMMYFUNCTION("""COMPUTED_VALUE"""),44679.66666666667)</f>
        <v>44679.66667</v>
      </c>
      <c r="C927" s="9">
        <f>IFERROR(__xludf.DUMMYFUNCTION("""COMPUTED_VALUE"""),173.01)</f>
        <v>173.01</v>
      </c>
      <c r="E927" s="17"/>
      <c r="M927" s="17"/>
      <c r="P927" s="17"/>
    </row>
    <row r="928">
      <c r="B928" s="11">
        <f>IFERROR(__xludf.DUMMYFUNCTION("""COMPUTED_VALUE"""),44678.66666666667)</f>
        <v>44678.66667</v>
      </c>
      <c r="C928" s="9">
        <f>IFERROR(__xludf.DUMMYFUNCTION("""COMPUTED_VALUE"""),167.67)</f>
        <v>167.67</v>
      </c>
      <c r="E928" s="17"/>
      <c r="M928" s="17"/>
      <c r="P928" s="17"/>
    </row>
    <row r="929">
      <c r="B929" s="11">
        <f>IFERROR(__xludf.DUMMYFUNCTION("""COMPUTED_VALUE"""),44677.66666666667)</f>
        <v>44677.66667</v>
      </c>
      <c r="C929" s="9">
        <f>IFERROR(__xludf.DUMMYFUNCTION("""COMPUTED_VALUE"""),165.63)</f>
        <v>165.63</v>
      </c>
      <c r="E929" s="17"/>
      <c r="M929" s="17"/>
      <c r="P929" s="17"/>
    </row>
    <row r="930">
      <c r="B930" s="11">
        <f>IFERROR(__xludf.DUMMYFUNCTION("""COMPUTED_VALUE"""),44676.66666666667)</f>
        <v>44676.66667</v>
      </c>
      <c r="C930" s="9">
        <f>IFERROR(__xludf.DUMMYFUNCTION("""COMPUTED_VALUE"""),167.73)</f>
        <v>167.73</v>
      </c>
      <c r="E930" s="17"/>
      <c r="M930" s="17"/>
      <c r="P930" s="17"/>
    </row>
    <row r="931">
      <c r="B931" s="11">
        <f>IFERROR(__xludf.DUMMYFUNCTION("""COMPUTED_VALUE"""),44673.66666666667)</f>
        <v>44673.66667</v>
      </c>
      <c r="C931" s="9">
        <f>IFERROR(__xludf.DUMMYFUNCTION("""COMPUTED_VALUE"""),168.73)</f>
        <v>168.73</v>
      </c>
      <c r="E931" s="17"/>
      <c r="M931" s="17"/>
      <c r="P931" s="17"/>
    </row>
    <row r="932">
      <c r="B932" s="11">
        <f>IFERROR(__xludf.DUMMYFUNCTION("""COMPUTED_VALUE"""),44672.66666666667)</f>
        <v>44672.66667</v>
      </c>
      <c r="C932" s="9">
        <f>IFERROR(__xludf.DUMMYFUNCTION("""COMPUTED_VALUE"""),170.78)</f>
        <v>170.78</v>
      </c>
      <c r="E932" s="17"/>
      <c r="M932" s="17"/>
      <c r="P932" s="17"/>
    </row>
    <row r="933">
      <c r="B933" s="11">
        <f>IFERROR(__xludf.DUMMYFUNCTION("""COMPUTED_VALUE"""),44671.66666666667)</f>
        <v>44671.66667</v>
      </c>
      <c r="C933" s="9">
        <f>IFERROR(__xludf.DUMMYFUNCTION("""COMPUTED_VALUE"""),172.67)</f>
        <v>172.67</v>
      </c>
      <c r="E933" s="17"/>
      <c r="M933" s="17"/>
      <c r="P933" s="17"/>
    </row>
    <row r="934">
      <c r="B934" s="11">
        <f>IFERROR(__xludf.DUMMYFUNCTION("""COMPUTED_VALUE"""),44670.66666666667)</f>
        <v>44670.66667</v>
      </c>
      <c r="C934" s="9">
        <f>IFERROR(__xludf.DUMMYFUNCTION("""COMPUTED_VALUE"""),169.56)</f>
        <v>169.56</v>
      </c>
      <c r="E934" s="17"/>
      <c r="M934" s="17"/>
      <c r="P934" s="17"/>
    </row>
    <row r="935">
      <c r="B935" s="11">
        <f>IFERROR(__xludf.DUMMYFUNCTION("""COMPUTED_VALUE"""),44669.66666666667)</f>
        <v>44669.66667</v>
      </c>
      <c r="C935" s="9">
        <f>IFERROR(__xludf.DUMMYFUNCTION("""COMPUTED_VALUE"""),163.0)</f>
        <v>163</v>
      </c>
      <c r="E935" s="17"/>
      <c r="M935" s="17"/>
      <c r="P935" s="17"/>
    </row>
    <row r="936">
      <c r="B936" s="11">
        <f>IFERROR(__xludf.DUMMYFUNCTION("""COMPUTED_VALUE"""),44665.66666666667)</f>
        <v>44665.66667</v>
      </c>
      <c r="C936" s="9">
        <f>IFERROR(__xludf.DUMMYFUNCTION("""COMPUTED_VALUE"""),162.7)</f>
        <v>162.7</v>
      </c>
      <c r="E936" s="17"/>
      <c r="M936" s="17"/>
      <c r="P936" s="17"/>
    </row>
    <row r="937">
      <c r="B937" s="11">
        <f>IFERROR(__xludf.DUMMYFUNCTION("""COMPUTED_VALUE"""),44664.66666666667)</f>
        <v>44664.66667</v>
      </c>
      <c r="C937" s="9">
        <f>IFERROR(__xludf.DUMMYFUNCTION("""COMPUTED_VALUE"""),165.0)</f>
        <v>165</v>
      </c>
      <c r="E937" s="17"/>
      <c r="M937" s="17"/>
      <c r="P937" s="17"/>
    </row>
    <row r="938">
      <c r="B938" s="11">
        <f>IFERROR(__xludf.DUMMYFUNCTION("""COMPUTED_VALUE"""),44663.66666666667)</f>
        <v>44663.66667</v>
      </c>
      <c r="C938" s="9">
        <f>IFERROR(__xludf.DUMMYFUNCTION("""COMPUTED_VALUE"""),165.33)</f>
        <v>165.33</v>
      </c>
      <c r="E938" s="17"/>
      <c r="M938" s="17"/>
      <c r="P938" s="17"/>
    </row>
    <row r="939">
      <c r="B939" s="11">
        <f>IFERROR(__xludf.DUMMYFUNCTION("""COMPUTED_VALUE"""),44662.66666666667)</f>
        <v>44662.66667</v>
      </c>
      <c r="C939" s="9">
        <f>IFERROR(__xludf.DUMMYFUNCTION("""COMPUTED_VALUE"""),165.73)</f>
        <v>165.73</v>
      </c>
      <c r="E939" s="17"/>
      <c r="M939" s="17"/>
      <c r="P939" s="17"/>
    </row>
    <row r="940">
      <c r="B940" s="11">
        <f>IFERROR(__xludf.DUMMYFUNCTION("""COMPUTED_VALUE"""),44659.66666666667)</f>
        <v>44659.66667</v>
      </c>
      <c r="C940" s="9">
        <f>IFERROR(__xludf.DUMMYFUNCTION("""COMPUTED_VALUE"""),168.65)</f>
        <v>168.65</v>
      </c>
      <c r="E940" s="17"/>
      <c r="M940" s="17"/>
      <c r="P940" s="17"/>
    </row>
    <row r="941">
      <c r="B941" s="11">
        <f>IFERROR(__xludf.DUMMYFUNCTION("""COMPUTED_VALUE"""),44658.66666666667)</f>
        <v>44658.66667</v>
      </c>
      <c r="C941" s="9">
        <f>IFERROR(__xludf.DUMMYFUNCTION("""COMPUTED_VALUE"""),168.83)</f>
        <v>168.83</v>
      </c>
      <c r="E941" s="17"/>
      <c r="M941" s="17"/>
      <c r="P941" s="17"/>
    </row>
    <row r="942">
      <c r="B942" s="11">
        <f>IFERROR(__xludf.DUMMYFUNCTION("""COMPUTED_VALUE"""),44657.66666666667)</f>
        <v>44657.66667</v>
      </c>
      <c r="C942" s="9">
        <f>IFERROR(__xludf.DUMMYFUNCTION("""COMPUTED_VALUE"""),170.11)</f>
        <v>170.11</v>
      </c>
      <c r="E942" s="17"/>
      <c r="M942" s="17"/>
      <c r="P942" s="17"/>
    </row>
    <row r="943">
      <c r="B943" s="11">
        <f>IFERROR(__xludf.DUMMYFUNCTION("""COMPUTED_VALUE"""),44656.66666666667)</f>
        <v>44656.66667</v>
      </c>
      <c r="C943" s="9">
        <f>IFERROR(__xludf.DUMMYFUNCTION("""COMPUTED_VALUE"""),166.28)</f>
        <v>166.28</v>
      </c>
      <c r="E943" s="17"/>
      <c r="M943" s="17"/>
      <c r="P943" s="17"/>
    </row>
    <row r="944">
      <c r="B944" s="11">
        <f>IFERROR(__xludf.DUMMYFUNCTION("""COMPUTED_VALUE"""),44655.66666666667)</f>
        <v>44655.66667</v>
      </c>
      <c r="C944" s="9">
        <f>IFERROR(__xludf.DUMMYFUNCTION("""COMPUTED_VALUE"""),163.78)</f>
        <v>163.78</v>
      </c>
      <c r="E944" s="17"/>
      <c r="M944" s="17"/>
      <c r="P944" s="17"/>
    </row>
    <row r="945">
      <c r="B945" s="11">
        <f>IFERROR(__xludf.DUMMYFUNCTION("""COMPUTED_VALUE"""),44652.66666666667)</f>
        <v>44652.66667</v>
      </c>
      <c r="C945" s="9">
        <f>IFERROR(__xludf.DUMMYFUNCTION("""COMPUTED_VALUE"""),165.8)</f>
        <v>165.8</v>
      </c>
      <c r="E945" s="17"/>
      <c r="M945" s="17"/>
      <c r="P945" s="17"/>
    </row>
    <row r="946">
      <c r="B946" s="11">
        <f>IFERROR(__xludf.DUMMYFUNCTION("""COMPUTED_VALUE"""),44651.66666666667)</f>
        <v>44651.66667</v>
      </c>
      <c r="C946" s="9">
        <f>IFERROR(__xludf.DUMMYFUNCTION("""COMPUTED_VALUE"""),161.48)</f>
        <v>161.48</v>
      </c>
      <c r="E946" s="17"/>
      <c r="M946" s="17"/>
      <c r="P946" s="17"/>
    </row>
    <row r="947">
      <c r="B947" s="11">
        <f>IFERROR(__xludf.DUMMYFUNCTION("""COMPUTED_VALUE"""),44650.66666666667)</f>
        <v>44650.66667</v>
      </c>
      <c r="C947" s="9">
        <f>IFERROR(__xludf.DUMMYFUNCTION("""COMPUTED_VALUE"""),164.14)</f>
        <v>164.14</v>
      </c>
      <c r="E947" s="17"/>
      <c r="M947" s="17"/>
      <c r="P947" s="17"/>
    </row>
    <row r="948">
      <c r="B948" s="11">
        <f>IFERROR(__xludf.DUMMYFUNCTION("""COMPUTED_VALUE"""),44649.66666666667)</f>
        <v>44649.66667</v>
      </c>
      <c r="C948" s="9">
        <f>IFERROR(__xludf.DUMMYFUNCTION("""COMPUTED_VALUE"""),164.7)</f>
        <v>164.7</v>
      </c>
      <c r="E948" s="17"/>
      <c r="M948" s="17"/>
      <c r="P948" s="17"/>
    </row>
    <row r="949">
      <c r="B949" s="11">
        <f>IFERROR(__xludf.DUMMYFUNCTION("""COMPUTED_VALUE"""),44648.66666666667)</f>
        <v>44648.66667</v>
      </c>
      <c r="C949" s="9">
        <f>IFERROR(__xludf.DUMMYFUNCTION("""COMPUTED_VALUE"""),160.35)</f>
        <v>160.35</v>
      </c>
      <c r="E949" s="17"/>
      <c r="M949" s="17"/>
      <c r="P949" s="17"/>
    </row>
    <row r="950">
      <c r="B950" s="11">
        <f>IFERROR(__xludf.DUMMYFUNCTION("""COMPUTED_VALUE"""),44645.66666666667)</f>
        <v>44645.66667</v>
      </c>
      <c r="C950" s="9">
        <f>IFERROR(__xludf.DUMMYFUNCTION("""COMPUTED_VALUE"""),157.33)</f>
        <v>157.33</v>
      </c>
      <c r="E950" s="17"/>
      <c r="M950" s="17"/>
      <c r="P950" s="17"/>
    </row>
    <row r="951">
      <c r="B951" s="11">
        <f>IFERROR(__xludf.DUMMYFUNCTION("""COMPUTED_VALUE"""),44644.66666666667)</f>
        <v>44644.66667</v>
      </c>
      <c r="C951" s="9">
        <f>IFERROR(__xludf.DUMMYFUNCTION("""COMPUTED_VALUE"""),155.89)</f>
        <v>155.89</v>
      </c>
      <c r="E951" s="17"/>
      <c r="M951" s="17"/>
      <c r="P951" s="17"/>
    </row>
    <row r="952">
      <c r="B952" s="11">
        <f>IFERROR(__xludf.DUMMYFUNCTION("""COMPUTED_VALUE"""),44643.66666666667)</f>
        <v>44643.66667</v>
      </c>
      <c r="C952" s="9">
        <f>IFERROR(__xludf.DUMMYFUNCTION("""COMPUTED_VALUE"""),157.23)</f>
        <v>157.23</v>
      </c>
      <c r="E952" s="17"/>
      <c r="M952" s="17"/>
      <c r="P952" s="17"/>
    </row>
    <row r="953">
      <c r="B953" s="11">
        <f>IFERROR(__xludf.DUMMYFUNCTION("""COMPUTED_VALUE"""),44642.66666666667)</f>
        <v>44642.66667</v>
      </c>
      <c r="C953" s="9">
        <f>IFERROR(__xludf.DUMMYFUNCTION("""COMPUTED_VALUE"""),158.67)</f>
        <v>158.67</v>
      </c>
      <c r="E953" s="17"/>
      <c r="M953" s="17"/>
      <c r="P953" s="17"/>
    </row>
    <row r="954">
      <c r="B954" s="11">
        <f>IFERROR(__xludf.DUMMYFUNCTION("""COMPUTED_VALUE"""),44641.66666666667)</f>
        <v>44641.66667</v>
      </c>
      <c r="C954" s="9">
        <f>IFERROR(__xludf.DUMMYFUNCTION("""COMPUTED_VALUE"""),158.92)</f>
        <v>158.92</v>
      </c>
      <c r="E954" s="17"/>
      <c r="M954" s="17"/>
      <c r="P954" s="17"/>
    </row>
    <row r="955">
      <c r="B955" s="11">
        <f>IFERROR(__xludf.DUMMYFUNCTION("""COMPUTED_VALUE"""),44638.66666666667)</f>
        <v>44638.66667</v>
      </c>
      <c r="C955" s="9">
        <f>IFERROR(__xludf.DUMMYFUNCTION("""COMPUTED_VALUE"""),160.16)</f>
        <v>160.16</v>
      </c>
      <c r="E955" s="17"/>
      <c r="M955" s="17"/>
      <c r="P955" s="17"/>
    </row>
    <row r="956">
      <c r="B956" s="11">
        <f>IFERROR(__xludf.DUMMYFUNCTION("""COMPUTED_VALUE"""),44637.66666666667)</f>
        <v>44637.66667</v>
      </c>
      <c r="C956" s="9">
        <f>IFERROR(__xludf.DUMMYFUNCTION("""COMPUTED_VALUE"""),156.66)</f>
        <v>156.66</v>
      </c>
      <c r="E956" s="17"/>
      <c r="M956" s="17"/>
      <c r="P956" s="17"/>
    </row>
    <row r="957">
      <c r="B957" s="11">
        <f>IFERROR(__xludf.DUMMYFUNCTION("""COMPUTED_VALUE"""),44636.66666666667)</f>
        <v>44636.66667</v>
      </c>
      <c r="C957" s="9">
        <f>IFERROR(__xludf.DUMMYFUNCTION("""COMPUTED_VALUE"""),154.57)</f>
        <v>154.57</v>
      </c>
      <c r="E957" s="17"/>
      <c r="M957" s="17"/>
      <c r="P957" s="17"/>
    </row>
    <row r="958">
      <c r="B958" s="11">
        <f>IFERROR(__xludf.DUMMYFUNCTION("""COMPUTED_VALUE"""),44635.66666666667)</f>
        <v>44635.66667</v>
      </c>
      <c r="C958" s="9">
        <f>IFERROR(__xludf.DUMMYFUNCTION("""COMPUTED_VALUE"""),151.84)</f>
        <v>151.84</v>
      </c>
      <c r="E958" s="17"/>
      <c r="M958" s="17"/>
      <c r="P958" s="17"/>
    </row>
    <row r="959">
      <c r="B959" s="11">
        <f>IFERROR(__xludf.DUMMYFUNCTION("""COMPUTED_VALUE"""),44634.66666666667)</f>
        <v>44634.66667</v>
      </c>
      <c r="C959" s="9">
        <f>IFERROR(__xludf.DUMMYFUNCTION("""COMPUTED_VALUE"""),149.17)</f>
        <v>149.17</v>
      </c>
      <c r="E959" s="17"/>
      <c r="M959" s="17"/>
      <c r="P959" s="17"/>
    </row>
    <row r="960">
      <c r="B960" s="11">
        <f>IFERROR(__xludf.DUMMYFUNCTION("""COMPUTED_VALUE"""),44631.66666666667)</f>
        <v>44631.66667</v>
      </c>
      <c r="C960" s="9">
        <f>IFERROR(__xludf.DUMMYFUNCTION("""COMPUTED_VALUE"""),147.83)</f>
        <v>147.83</v>
      </c>
      <c r="E960" s="17"/>
      <c r="M960" s="17"/>
      <c r="P960" s="17"/>
    </row>
    <row r="961">
      <c r="B961" s="11">
        <f>IFERROR(__xludf.DUMMYFUNCTION("""COMPUTED_VALUE"""),44630.66666666667)</f>
        <v>44630.66667</v>
      </c>
      <c r="C961" s="9">
        <f>IFERROR(__xludf.DUMMYFUNCTION("""COMPUTED_VALUE"""),151.08)</f>
        <v>151.08</v>
      </c>
      <c r="E961" s="17"/>
      <c r="M961" s="17"/>
      <c r="P961" s="17"/>
    </row>
    <row r="962">
      <c r="B962" s="11">
        <f>IFERROR(__xludf.DUMMYFUNCTION("""COMPUTED_VALUE"""),44629.66666666667)</f>
        <v>44629.66667</v>
      </c>
      <c r="C962" s="9">
        <f>IFERROR(__xludf.DUMMYFUNCTION("""COMPUTED_VALUE"""),150.48)</f>
        <v>150.48</v>
      </c>
      <c r="E962" s="17"/>
      <c r="M962" s="17"/>
      <c r="P962" s="17"/>
    </row>
    <row r="963">
      <c r="B963" s="11">
        <f>IFERROR(__xludf.DUMMYFUNCTION("""COMPUTED_VALUE"""),44628.66666666667)</f>
        <v>44628.66667</v>
      </c>
      <c r="C963" s="9">
        <f>IFERROR(__xludf.DUMMYFUNCTION("""COMPUTED_VALUE"""),146.99)</f>
        <v>146.99</v>
      </c>
      <c r="E963" s="17"/>
      <c r="M963" s="17"/>
      <c r="P963" s="17"/>
    </row>
    <row r="964">
      <c r="B964" s="11">
        <f>IFERROR(__xludf.DUMMYFUNCTION("""COMPUTED_VALUE"""),44627.66666666667)</f>
        <v>44627.66667</v>
      </c>
      <c r="C964" s="9">
        <f>IFERROR(__xludf.DUMMYFUNCTION("""COMPUTED_VALUE"""),148.91)</f>
        <v>148.91</v>
      </c>
      <c r="E964" s="17"/>
      <c r="M964" s="17"/>
      <c r="P964" s="17"/>
    </row>
    <row r="965">
      <c r="B965" s="11">
        <f>IFERROR(__xludf.DUMMYFUNCTION("""COMPUTED_VALUE"""),44624.66666666667)</f>
        <v>44624.66667</v>
      </c>
      <c r="C965" s="9">
        <f>IFERROR(__xludf.DUMMYFUNCTION("""COMPUTED_VALUE"""),150.84)</f>
        <v>150.84</v>
      </c>
      <c r="E965" s="17"/>
      <c r="M965" s="17"/>
      <c r="P965" s="17"/>
    </row>
    <row r="966">
      <c r="B966" s="11">
        <f>IFERROR(__xludf.DUMMYFUNCTION("""COMPUTED_VALUE"""),44623.66666666667)</f>
        <v>44623.66667</v>
      </c>
      <c r="C966" s="9">
        <f>IFERROR(__xludf.DUMMYFUNCTION("""COMPUTED_VALUE"""),149.58)</f>
        <v>149.58</v>
      </c>
      <c r="E966" s="17"/>
      <c r="M966" s="17"/>
      <c r="P966" s="17"/>
    </row>
    <row r="967">
      <c r="B967" s="11">
        <f>IFERROR(__xludf.DUMMYFUNCTION("""COMPUTED_VALUE"""),44622.66666666667)</f>
        <v>44622.66667</v>
      </c>
      <c r="C967" s="9">
        <f>IFERROR(__xludf.DUMMYFUNCTION("""COMPUTED_VALUE"""),147.64)</f>
        <v>147.64</v>
      </c>
      <c r="E967" s="17"/>
      <c r="M967" s="17"/>
      <c r="P967" s="17"/>
    </row>
    <row r="968">
      <c r="B968" s="11">
        <f>IFERROR(__xludf.DUMMYFUNCTION("""COMPUTED_VALUE"""),44621.66666666667)</f>
        <v>44621.66667</v>
      </c>
      <c r="C968" s="9">
        <f>IFERROR(__xludf.DUMMYFUNCTION("""COMPUTED_VALUE"""),145.76)</f>
        <v>145.76</v>
      </c>
      <c r="E968" s="17"/>
      <c r="M968" s="17"/>
      <c r="P968" s="17"/>
    </row>
    <row r="969">
      <c r="B969" s="11">
        <f>IFERROR(__xludf.DUMMYFUNCTION("""COMPUTED_VALUE"""),44620.66666666667)</f>
        <v>44620.66667</v>
      </c>
      <c r="C969" s="9">
        <f>IFERROR(__xludf.DUMMYFUNCTION("""COMPUTED_VALUE"""),145.85)</f>
        <v>145.85</v>
      </c>
      <c r="E969" s="17"/>
      <c r="M969" s="17"/>
      <c r="P969" s="17"/>
    </row>
    <row r="970">
      <c r="B970" s="11">
        <f>IFERROR(__xludf.DUMMYFUNCTION("""COMPUTED_VALUE"""),44617.66666666667)</f>
        <v>44617.66667</v>
      </c>
      <c r="C970" s="9">
        <f>IFERROR(__xludf.DUMMYFUNCTION("""COMPUTED_VALUE"""),148.45)</f>
        <v>148.45</v>
      </c>
      <c r="E970" s="17"/>
      <c r="M970" s="17"/>
      <c r="P970" s="17"/>
    </row>
    <row r="971">
      <c r="B971" s="11">
        <f>IFERROR(__xludf.DUMMYFUNCTION("""COMPUTED_VALUE"""),44616.66666666667)</f>
        <v>44616.66667</v>
      </c>
      <c r="C971" s="9">
        <f>IFERROR(__xludf.DUMMYFUNCTION("""COMPUTED_VALUE"""),143.33)</f>
        <v>143.33</v>
      </c>
      <c r="E971" s="17"/>
      <c r="M971" s="17"/>
      <c r="P971" s="17"/>
    </row>
    <row r="972">
      <c r="B972" s="11">
        <f>IFERROR(__xludf.DUMMYFUNCTION("""COMPUTED_VALUE"""),44615.66666666667)</f>
        <v>44615.66667</v>
      </c>
      <c r="C972" s="9">
        <f>IFERROR(__xludf.DUMMYFUNCTION("""COMPUTED_VALUE"""),140.76)</f>
        <v>140.76</v>
      </c>
      <c r="E972" s="17"/>
      <c r="M972" s="17"/>
      <c r="P972" s="17"/>
    </row>
    <row r="973">
      <c r="B973" s="11">
        <f>IFERROR(__xludf.DUMMYFUNCTION("""COMPUTED_VALUE"""),44614.66666666667)</f>
        <v>44614.66667</v>
      </c>
      <c r="C973" s="9">
        <f>IFERROR(__xludf.DUMMYFUNCTION("""COMPUTED_VALUE"""),142.37)</f>
        <v>142.37</v>
      </c>
      <c r="E973" s="17"/>
      <c r="M973" s="17"/>
      <c r="P973" s="17"/>
    </row>
    <row r="974">
      <c r="B974" s="11">
        <f>IFERROR(__xludf.DUMMYFUNCTION("""COMPUTED_VALUE"""),44610.66666666667)</f>
        <v>44610.66667</v>
      </c>
      <c r="C974" s="9">
        <f>IFERROR(__xludf.DUMMYFUNCTION("""COMPUTED_VALUE"""),142.55)</f>
        <v>142.55</v>
      </c>
      <c r="E974" s="17"/>
      <c r="M974" s="17"/>
      <c r="P974" s="17"/>
    </row>
    <row r="975">
      <c r="B975" s="11">
        <f>IFERROR(__xludf.DUMMYFUNCTION("""COMPUTED_VALUE"""),44609.66666666667)</f>
        <v>44609.66667</v>
      </c>
      <c r="C975" s="9">
        <f>IFERROR(__xludf.DUMMYFUNCTION("""COMPUTED_VALUE"""),143.28)</f>
        <v>143.28</v>
      </c>
      <c r="E975" s="17"/>
      <c r="M975" s="17"/>
      <c r="P975" s="17"/>
    </row>
    <row r="976">
      <c r="B976" s="11">
        <f>IFERROR(__xludf.DUMMYFUNCTION("""COMPUTED_VALUE"""),44608.66666666667)</f>
        <v>44608.66667</v>
      </c>
      <c r="C976" s="9">
        <f>IFERROR(__xludf.DUMMYFUNCTION("""COMPUTED_VALUE"""),144.38)</f>
        <v>144.38</v>
      </c>
      <c r="E976" s="17"/>
      <c r="M976" s="17"/>
      <c r="P976" s="17"/>
    </row>
    <row r="977">
      <c r="B977" s="11">
        <f>IFERROR(__xludf.DUMMYFUNCTION("""COMPUTED_VALUE"""),44607.66666666667)</f>
        <v>44607.66667</v>
      </c>
      <c r="C977" s="9">
        <f>IFERROR(__xludf.DUMMYFUNCTION("""COMPUTED_VALUE"""),145.62)</f>
        <v>145.62</v>
      </c>
      <c r="E977" s="17"/>
      <c r="M977" s="17"/>
      <c r="P977" s="17"/>
    </row>
    <row r="978">
      <c r="B978" s="11">
        <f>IFERROR(__xludf.DUMMYFUNCTION("""COMPUTED_VALUE"""),44606.66666666667)</f>
        <v>44606.66667</v>
      </c>
      <c r="C978" s="9">
        <f>IFERROR(__xludf.DUMMYFUNCTION("""COMPUTED_VALUE"""),145.34)</f>
        <v>145.34</v>
      </c>
      <c r="E978" s="17"/>
      <c r="M978" s="17"/>
      <c r="P978" s="17"/>
    </row>
    <row r="979">
      <c r="B979" s="11">
        <f>IFERROR(__xludf.DUMMYFUNCTION("""COMPUTED_VALUE"""),44603.66666666667)</f>
        <v>44603.66667</v>
      </c>
      <c r="C979" s="9">
        <f>IFERROR(__xludf.DUMMYFUNCTION("""COMPUTED_VALUE"""),146.31)</f>
        <v>146.31</v>
      </c>
      <c r="E979" s="17"/>
      <c r="M979" s="17"/>
      <c r="P979" s="17"/>
    </row>
    <row r="980">
      <c r="B980" s="11">
        <f>IFERROR(__xludf.DUMMYFUNCTION("""COMPUTED_VALUE"""),44602.66666666667)</f>
        <v>44602.66667</v>
      </c>
      <c r="C980" s="9">
        <f>IFERROR(__xludf.DUMMYFUNCTION("""COMPUTED_VALUE"""),148.43)</f>
        <v>148.43</v>
      </c>
      <c r="E980" s="17"/>
      <c r="M980" s="17"/>
      <c r="P980" s="17"/>
    </row>
    <row r="981">
      <c r="B981" s="11">
        <f>IFERROR(__xludf.DUMMYFUNCTION("""COMPUTED_VALUE"""),44601.66666666667)</f>
        <v>44601.66667</v>
      </c>
      <c r="C981" s="9">
        <f>IFERROR(__xludf.DUMMYFUNCTION("""COMPUTED_VALUE"""),155.37)</f>
        <v>155.37</v>
      </c>
      <c r="E981" s="17"/>
      <c r="M981" s="17"/>
      <c r="P981" s="17"/>
    </row>
    <row r="982">
      <c r="B982" s="11">
        <f>IFERROR(__xludf.DUMMYFUNCTION("""COMPUTED_VALUE"""),44600.66666666667)</f>
        <v>44600.66667</v>
      </c>
      <c r="C982" s="9">
        <f>IFERROR(__xludf.DUMMYFUNCTION("""COMPUTED_VALUE"""),151.19)</f>
        <v>151.19</v>
      </c>
      <c r="E982" s="17"/>
      <c r="M982" s="17"/>
      <c r="P982" s="17"/>
    </row>
    <row r="983">
      <c r="B983" s="11">
        <f>IFERROR(__xludf.DUMMYFUNCTION("""COMPUTED_VALUE"""),44599.66666666667)</f>
        <v>44599.66667</v>
      </c>
      <c r="C983" s="9">
        <f>IFERROR(__xludf.DUMMYFUNCTION("""COMPUTED_VALUE"""),152.05)</f>
        <v>152.05</v>
      </c>
      <c r="E983" s="17"/>
      <c r="M983" s="17"/>
      <c r="P983" s="17"/>
    </row>
    <row r="984">
      <c r="B984" s="11">
        <f>IFERROR(__xludf.DUMMYFUNCTION("""COMPUTED_VALUE"""),44596.66666666667)</f>
        <v>44596.66667</v>
      </c>
      <c r="C984" s="9">
        <f>IFERROR(__xludf.DUMMYFUNCTION("""COMPUTED_VALUE"""),153.49)</f>
        <v>153.49</v>
      </c>
      <c r="E984" s="17"/>
      <c r="M984" s="17"/>
      <c r="P984" s="17"/>
    </row>
    <row r="985">
      <c r="B985" s="11">
        <f>IFERROR(__xludf.DUMMYFUNCTION("""COMPUTED_VALUE"""),44595.66666666667)</f>
        <v>44595.66667</v>
      </c>
      <c r="C985" s="9">
        <f>IFERROR(__xludf.DUMMYFUNCTION("""COMPUTED_VALUE"""),156.44)</f>
        <v>156.44</v>
      </c>
      <c r="E985" s="17"/>
      <c r="M985" s="17"/>
      <c r="P985" s="17"/>
    </row>
    <row r="986">
      <c r="B986" s="11">
        <f>IFERROR(__xludf.DUMMYFUNCTION("""COMPUTED_VALUE"""),44594.66666666667)</f>
        <v>44594.66667</v>
      </c>
      <c r="C986" s="9">
        <f>IFERROR(__xludf.DUMMYFUNCTION("""COMPUTED_VALUE"""),157.33)</f>
        <v>157.33</v>
      </c>
      <c r="E986" s="17"/>
      <c r="M986" s="17"/>
      <c r="P986" s="17"/>
    </row>
    <row r="987">
      <c r="B987" s="11">
        <f>IFERROR(__xludf.DUMMYFUNCTION("""COMPUTED_VALUE"""),44593.66666666667)</f>
        <v>44593.66667</v>
      </c>
      <c r="C987" s="9">
        <f>IFERROR(__xludf.DUMMYFUNCTION("""COMPUTED_VALUE"""),153.52)</f>
        <v>153.52</v>
      </c>
      <c r="E987" s="17"/>
      <c r="M987" s="17"/>
      <c r="P987" s="17"/>
    </row>
    <row r="988">
      <c r="B988" s="11">
        <f>IFERROR(__xludf.DUMMYFUNCTION("""COMPUTED_VALUE"""),44592.66666666667)</f>
        <v>44592.66667</v>
      </c>
      <c r="C988" s="9">
        <f>IFERROR(__xludf.DUMMYFUNCTION("""COMPUTED_VALUE"""),156.82)</f>
        <v>156.82</v>
      </c>
      <c r="E988" s="17"/>
      <c r="M988" s="17"/>
      <c r="P988" s="17"/>
    </row>
    <row r="989">
      <c r="B989" s="11">
        <f>IFERROR(__xludf.DUMMYFUNCTION("""COMPUTED_VALUE"""),44589.66666666667)</f>
        <v>44589.66667</v>
      </c>
      <c r="C989" s="9">
        <f>IFERROR(__xludf.DUMMYFUNCTION("""COMPUTED_VALUE"""),155.07)</f>
        <v>155.07</v>
      </c>
      <c r="E989" s="17"/>
      <c r="M989" s="17"/>
      <c r="P989" s="17"/>
    </row>
    <row r="990">
      <c r="B990" s="11">
        <f>IFERROR(__xludf.DUMMYFUNCTION("""COMPUTED_VALUE"""),44588.66666666667)</f>
        <v>44588.66667</v>
      </c>
      <c r="C990" s="9">
        <f>IFERROR(__xludf.DUMMYFUNCTION("""COMPUTED_VALUE"""),148.61)</f>
        <v>148.61</v>
      </c>
      <c r="E990" s="17"/>
      <c r="M990" s="17"/>
      <c r="P990" s="17"/>
    </row>
    <row r="991">
      <c r="B991" s="11">
        <f>IFERROR(__xludf.DUMMYFUNCTION("""COMPUTED_VALUE"""),44587.66666666667)</f>
        <v>44587.66667</v>
      </c>
      <c r="C991" s="9">
        <f>IFERROR(__xludf.DUMMYFUNCTION("""COMPUTED_VALUE"""),151.72)</f>
        <v>151.72</v>
      </c>
      <c r="E991" s="17"/>
      <c r="M991" s="17"/>
      <c r="P991" s="17"/>
    </row>
    <row r="992">
      <c r="B992" s="11">
        <f>IFERROR(__xludf.DUMMYFUNCTION("""COMPUTED_VALUE"""),44586.66666666667)</f>
        <v>44586.66667</v>
      </c>
      <c r="C992" s="9">
        <f>IFERROR(__xludf.DUMMYFUNCTION("""COMPUTED_VALUE"""),153.96)</f>
        <v>153.96</v>
      </c>
      <c r="E992" s="17"/>
      <c r="M992" s="17"/>
      <c r="P992" s="17"/>
    </row>
    <row r="993">
      <c r="B993" s="11">
        <f>IFERROR(__xludf.DUMMYFUNCTION("""COMPUTED_VALUE"""),44585.66666666667)</f>
        <v>44585.66667</v>
      </c>
      <c r="C993" s="9">
        <f>IFERROR(__xludf.DUMMYFUNCTION("""COMPUTED_VALUE"""),153.31)</f>
        <v>153.31</v>
      </c>
      <c r="E993" s="17"/>
      <c r="M993" s="17"/>
      <c r="P993" s="17"/>
    </row>
    <row r="994">
      <c r="B994" s="11">
        <f>IFERROR(__xludf.DUMMYFUNCTION("""COMPUTED_VALUE"""),44582.66666666667)</f>
        <v>44582.66667</v>
      </c>
      <c r="C994" s="9">
        <f>IFERROR(__xludf.DUMMYFUNCTION("""COMPUTED_VALUE"""),155.43)</f>
        <v>155.43</v>
      </c>
      <c r="E994" s="17"/>
      <c r="M994" s="17"/>
      <c r="P994" s="17"/>
    </row>
    <row r="995">
      <c r="B995" s="11">
        <f>IFERROR(__xludf.DUMMYFUNCTION("""COMPUTED_VALUE"""),44581.66666666667)</f>
        <v>44581.66667</v>
      </c>
      <c r="C995" s="9">
        <f>IFERROR(__xludf.DUMMYFUNCTION("""COMPUTED_VALUE"""),154.14)</f>
        <v>154.14</v>
      </c>
      <c r="E995" s="17"/>
      <c r="M995" s="17"/>
      <c r="P995" s="17"/>
    </row>
    <row r="996">
      <c r="B996" s="11">
        <f>IFERROR(__xludf.DUMMYFUNCTION("""COMPUTED_VALUE"""),44580.66666666667)</f>
        <v>44580.66667</v>
      </c>
      <c r="C996" s="9">
        <f>IFERROR(__xludf.DUMMYFUNCTION("""COMPUTED_VALUE"""),153.59)</f>
        <v>153.59</v>
      </c>
      <c r="E996" s="17"/>
      <c r="M996" s="17"/>
      <c r="P996" s="17"/>
    </row>
    <row r="997">
      <c r="B997" s="11">
        <f>IFERROR(__xludf.DUMMYFUNCTION("""COMPUTED_VALUE"""),44579.66666666667)</f>
        <v>44579.66667</v>
      </c>
      <c r="C997" s="9">
        <f>IFERROR(__xludf.DUMMYFUNCTION("""COMPUTED_VALUE"""),153.43)</f>
        <v>153.43</v>
      </c>
      <c r="E997" s="17"/>
      <c r="M997" s="17"/>
      <c r="P997" s="17"/>
    </row>
    <row r="998">
      <c r="B998" s="11">
        <f>IFERROR(__xludf.DUMMYFUNCTION("""COMPUTED_VALUE"""),44575.66666666667)</f>
        <v>44575.66667</v>
      </c>
      <c r="C998" s="9">
        <f>IFERROR(__xludf.DUMMYFUNCTION("""COMPUTED_VALUE"""),152.74)</f>
        <v>152.74</v>
      </c>
      <c r="E998" s="17"/>
      <c r="M998" s="17"/>
      <c r="P998" s="17"/>
    </row>
    <row r="999">
      <c r="B999" s="11">
        <f>IFERROR(__xludf.DUMMYFUNCTION("""COMPUTED_VALUE"""),44574.66666666667)</f>
        <v>44574.66667</v>
      </c>
      <c r="C999" s="9">
        <f>IFERROR(__xludf.DUMMYFUNCTION("""COMPUTED_VALUE"""),153.15)</f>
        <v>153.15</v>
      </c>
      <c r="E999" s="17"/>
      <c r="M999" s="17"/>
      <c r="P999" s="17"/>
    </row>
    <row r="1000">
      <c r="B1000" s="11">
        <f>IFERROR(__xludf.DUMMYFUNCTION("""COMPUTED_VALUE"""),44573.66666666667)</f>
        <v>44573.66667</v>
      </c>
      <c r="C1000" s="9">
        <f>IFERROR(__xludf.DUMMYFUNCTION("""COMPUTED_VALUE"""),153.24)</f>
        <v>153.24</v>
      </c>
      <c r="E1000" s="17"/>
      <c r="M1000" s="17"/>
      <c r="P1000" s="17"/>
    </row>
    <row r="1001">
      <c r="B1001" s="11">
        <f>IFERROR(__xludf.DUMMYFUNCTION("""COMPUTED_VALUE"""),44572.66666666667)</f>
        <v>44572.66667</v>
      </c>
      <c r="C1001" s="9">
        <f>IFERROR(__xludf.DUMMYFUNCTION("""COMPUTED_VALUE"""),152.99)</f>
        <v>152.99</v>
      </c>
      <c r="E1001" s="17"/>
      <c r="M1001" s="17"/>
      <c r="P1001" s="17"/>
    </row>
    <row r="1002">
      <c r="B1002" s="11">
        <f>IFERROR(__xludf.DUMMYFUNCTION("""COMPUTED_VALUE"""),44571.66666666667)</f>
        <v>44571.66667</v>
      </c>
      <c r="C1002" s="9">
        <f>IFERROR(__xludf.DUMMYFUNCTION("""COMPUTED_VALUE"""),153.02)</f>
        <v>153.02</v>
      </c>
      <c r="E1002" s="17"/>
      <c r="M1002" s="17"/>
      <c r="P1002" s="17"/>
    </row>
    <row r="1003">
      <c r="B1003" s="11">
        <f>IFERROR(__xludf.DUMMYFUNCTION("""COMPUTED_VALUE"""),44568.66666666667)</f>
        <v>44568.66667</v>
      </c>
      <c r="C1003" s="9">
        <f>IFERROR(__xludf.DUMMYFUNCTION("""COMPUTED_VALUE"""),153.73)</f>
        <v>153.73</v>
      </c>
      <c r="E1003" s="17"/>
      <c r="M1003" s="17"/>
      <c r="P1003" s="17"/>
    </row>
    <row r="1004">
      <c r="B1004" s="11">
        <f>IFERROR(__xludf.DUMMYFUNCTION("""COMPUTED_VALUE"""),44567.66666666667)</f>
        <v>44567.66667</v>
      </c>
      <c r="C1004" s="9">
        <f>IFERROR(__xludf.DUMMYFUNCTION("""COMPUTED_VALUE"""),156.57)</f>
        <v>156.57</v>
      </c>
      <c r="E1004" s="17"/>
      <c r="M1004" s="17"/>
      <c r="P1004" s="17"/>
    </row>
    <row r="1005">
      <c r="B1005" s="11">
        <f>IFERROR(__xludf.DUMMYFUNCTION("""COMPUTED_VALUE"""),44566.66666666667)</f>
        <v>44566.66667</v>
      </c>
      <c r="C1005" s="9">
        <f>IFERROR(__xludf.DUMMYFUNCTION("""COMPUTED_VALUE"""),157.65)</f>
        <v>157.65</v>
      </c>
      <c r="E1005" s="17"/>
      <c r="M1005" s="17"/>
      <c r="P1005" s="17"/>
    </row>
    <row r="1006">
      <c r="B1006" s="11">
        <f>IFERROR(__xludf.DUMMYFUNCTION("""COMPUTED_VALUE"""),44565.66666666667)</f>
        <v>44565.66667</v>
      </c>
      <c r="C1006" s="9">
        <f>IFERROR(__xludf.DUMMYFUNCTION("""COMPUTED_VALUE"""),161.0)</f>
        <v>161</v>
      </c>
      <c r="E1006" s="17"/>
      <c r="M1006" s="17"/>
      <c r="P1006" s="17"/>
    </row>
    <row r="1007">
      <c r="B1007" s="11">
        <f>IFERROR(__xludf.DUMMYFUNCTION("""COMPUTED_VALUE"""),44564.66666666667)</f>
        <v>44564.66667</v>
      </c>
      <c r="C1007" s="9">
        <f>IFERROR(__xludf.DUMMYFUNCTION("""COMPUTED_VALUE"""),164.9)</f>
        <v>164.9</v>
      </c>
      <c r="E1007" s="17"/>
      <c r="M1007" s="17"/>
      <c r="P1007" s="17"/>
    </row>
    <row r="1008">
      <c r="B1008" s="11">
        <f>IFERROR(__xludf.DUMMYFUNCTION("""COMPUTED_VALUE"""),44561.66666666667)</f>
        <v>44561.66667</v>
      </c>
      <c r="C1008" s="9">
        <f>IFERROR(__xludf.DUMMYFUNCTION("""COMPUTED_VALUE"""),168.36)</f>
        <v>168.36</v>
      </c>
      <c r="E1008" s="17"/>
      <c r="M1008" s="17"/>
      <c r="P1008" s="17"/>
    </row>
    <row r="1009">
      <c r="B1009" s="11">
        <f>IFERROR(__xludf.DUMMYFUNCTION("""COMPUTED_VALUE"""),44560.66666666667)</f>
        <v>44560.66667</v>
      </c>
      <c r="C1009" s="9">
        <f>IFERROR(__xludf.DUMMYFUNCTION("""COMPUTED_VALUE"""),167.97)</f>
        <v>167.97</v>
      </c>
      <c r="E1009" s="17"/>
      <c r="M1009" s="17"/>
      <c r="P1009" s="17"/>
    </row>
    <row r="1010">
      <c r="B1010" s="11">
        <f>IFERROR(__xludf.DUMMYFUNCTION("""COMPUTED_VALUE"""),44559.66666666667)</f>
        <v>44559.66667</v>
      </c>
      <c r="C1010" s="9">
        <f>IFERROR(__xludf.DUMMYFUNCTION("""COMPUTED_VALUE"""),167.68)</f>
        <v>167.68</v>
      </c>
      <c r="E1010" s="17"/>
      <c r="M1010" s="17"/>
      <c r="P1010" s="17"/>
    </row>
    <row r="1011">
      <c r="B1011" s="11">
        <f>IFERROR(__xludf.DUMMYFUNCTION("""COMPUTED_VALUE"""),44558.66666666667)</f>
        <v>44558.66667</v>
      </c>
      <c r="C1011" s="9">
        <f>IFERROR(__xludf.DUMMYFUNCTION("""COMPUTED_VALUE"""),165.79)</f>
        <v>165.79</v>
      </c>
      <c r="E1011" s="17"/>
      <c r="M1011" s="17"/>
      <c r="P1011" s="17"/>
    </row>
    <row r="1012">
      <c r="B1012" s="11">
        <f>IFERROR(__xludf.DUMMYFUNCTION("""COMPUTED_VALUE"""),44557.66666666667)</f>
        <v>44557.66667</v>
      </c>
      <c r="C1012" s="9">
        <f>IFERROR(__xludf.DUMMYFUNCTION("""COMPUTED_VALUE"""),165.89)</f>
        <v>165.89</v>
      </c>
      <c r="E1012" s="17"/>
      <c r="M1012" s="17"/>
      <c r="P1012" s="17"/>
    </row>
    <row r="1013">
      <c r="B1013" s="11">
        <f>IFERROR(__xludf.DUMMYFUNCTION("""COMPUTED_VALUE"""),44553.66666666667)</f>
        <v>44553.66667</v>
      </c>
      <c r="C1013" s="9">
        <f>IFERROR(__xludf.DUMMYFUNCTION("""COMPUTED_VALUE"""),161.75)</f>
        <v>161.75</v>
      </c>
      <c r="E1013" s="17"/>
      <c r="M1013" s="17"/>
      <c r="P1013" s="17"/>
    </row>
    <row r="1014">
      <c r="B1014" s="11">
        <f>IFERROR(__xludf.DUMMYFUNCTION("""COMPUTED_VALUE"""),44552.66666666667)</f>
        <v>44552.66667</v>
      </c>
      <c r="C1014" s="9">
        <f>IFERROR(__xludf.DUMMYFUNCTION("""COMPUTED_VALUE"""),162.26)</f>
        <v>162.26</v>
      </c>
      <c r="E1014" s="17"/>
      <c r="M1014" s="17"/>
      <c r="P1014" s="17"/>
    </row>
    <row r="1015">
      <c r="B1015" s="11">
        <f>IFERROR(__xludf.DUMMYFUNCTION("""COMPUTED_VALUE"""),44551.66666666667)</f>
        <v>44551.66667</v>
      </c>
      <c r="C1015" s="9">
        <f>IFERROR(__xludf.DUMMYFUNCTION("""COMPUTED_VALUE"""),160.79)</f>
        <v>160.79</v>
      </c>
      <c r="E1015" s="17"/>
      <c r="M1015" s="17"/>
      <c r="P1015" s="17"/>
    </row>
    <row r="1016">
      <c r="B1016" s="11">
        <f>IFERROR(__xludf.DUMMYFUNCTION("""COMPUTED_VALUE"""),44550.66666666667)</f>
        <v>44550.66667</v>
      </c>
      <c r="C1016" s="9">
        <f>IFERROR(__xludf.DUMMYFUNCTION("""COMPUTED_VALUE"""),161.39)</f>
        <v>161.39</v>
      </c>
      <c r="E1016" s="17"/>
      <c r="M1016" s="17"/>
      <c r="P1016" s="17"/>
    </row>
    <row r="1017">
      <c r="B1017" s="11">
        <f>IFERROR(__xludf.DUMMYFUNCTION("""COMPUTED_VALUE"""),44547.66666666667)</f>
        <v>44547.66667</v>
      </c>
      <c r="C1017" s="9">
        <f>IFERROR(__xludf.DUMMYFUNCTION("""COMPUTED_VALUE"""),161.18)</f>
        <v>161.18</v>
      </c>
      <c r="E1017" s="17"/>
      <c r="M1017" s="17"/>
      <c r="P1017" s="17"/>
    </row>
    <row r="1018">
      <c r="B1018" s="11">
        <f>IFERROR(__xludf.DUMMYFUNCTION("""COMPUTED_VALUE"""),44546.66666666667)</f>
        <v>44546.66667</v>
      </c>
      <c r="C1018" s="9">
        <f>IFERROR(__xludf.DUMMYFUNCTION("""COMPUTED_VALUE"""),163.25)</f>
        <v>163.25</v>
      </c>
      <c r="E1018" s="17"/>
      <c r="M1018" s="17"/>
      <c r="P1018" s="17"/>
    </row>
    <row r="1019">
      <c r="B1019" s="11">
        <f>IFERROR(__xludf.DUMMYFUNCTION("""COMPUTED_VALUE"""),44545.66666666667)</f>
        <v>44545.66667</v>
      </c>
      <c r="C1019" s="9">
        <f>IFERROR(__xludf.DUMMYFUNCTION("""COMPUTED_VALUE"""),162.56)</f>
        <v>162.56</v>
      </c>
      <c r="E1019" s="17"/>
      <c r="M1019" s="17"/>
      <c r="P1019" s="17"/>
    </row>
    <row r="1020">
      <c r="B1020" s="11">
        <f>IFERROR(__xludf.DUMMYFUNCTION("""COMPUTED_VALUE"""),44544.66666666667)</f>
        <v>44544.66667</v>
      </c>
      <c r="C1020" s="9">
        <f>IFERROR(__xludf.DUMMYFUNCTION("""COMPUTED_VALUE"""),158.73)</f>
        <v>158.73</v>
      </c>
      <c r="E1020" s="17"/>
      <c r="M1020" s="17"/>
      <c r="P1020" s="17"/>
    </row>
    <row r="1021">
      <c r="B1021" s="11">
        <f>IFERROR(__xludf.DUMMYFUNCTION("""COMPUTED_VALUE"""),44543.66666666667)</f>
        <v>44543.66667</v>
      </c>
      <c r="C1021" s="9">
        <f>IFERROR(__xludf.DUMMYFUNCTION("""COMPUTED_VALUE"""),161.08)</f>
        <v>161.08</v>
      </c>
      <c r="E1021" s="17"/>
      <c r="M1021" s="17"/>
      <c r="P1021" s="17"/>
    </row>
    <row r="1022">
      <c r="B1022" s="11">
        <f>IFERROR(__xludf.DUMMYFUNCTION("""COMPUTED_VALUE"""),44540.66666666667)</f>
        <v>44540.66667</v>
      </c>
      <c r="C1022" s="9">
        <f>IFERROR(__xludf.DUMMYFUNCTION("""COMPUTED_VALUE"""),159.08)</f>
        <v>159.08</v>
      </c>
      <c r="E1022" s="17"/>
      <c r="M1022" s="17"/>
      <c r="P1022" s="17"/>
    </row>
    <row r="1023">
      <c r="B1023" s="11">
        <f>IFERROR(__xludf.DUMMYFUNCTION("""COMPUTED_VALUE"""),44539.66666666667)</f>
        <v>44539.66667</v>
      </c>
      <c r="C1023" s="9">
        <f>IFERROR(__xludf.DUMMYFUNCTION("""COMPUTED_VALUE"""),157.56)</f>
        <v>157.56</v>
      </c>
      <c r="E1023" s="17"/>
      <c r="M1023" s="17"/>
      <c r="P1023" s="17"/>
    </row>
    <row r="1024">
      <c r="B1024" s="11">
        <f>IFERROR(__xludf.DUMMYFUNCTION("""COMPUTED_VALUE"""),44538.66666666667)</f>
        <v>44538.66667</v>
      </c>
      <c r="C1024" s="9">
        <f>IFERROR(__xludf.DUMMYFUNCTION("""COMPUTED_VALUE"""),159.44)</f>
        <v>159.44</v>
      </c>
      <c r="E1024" s="17"/>
      <c r="M1024" s="17"/>
      <c r="P1024" s="17"/>
    </row>
    <row r="1025">
      <c r="B1025" s="11">
        <f>IFERROR(__xludf.DUMMYFUNCTION("""COMPUTED_VALUE"""),44537.66666666667)</f>
        <v>44537.66667</v>
      </c>
      <c r="C1025" s="9">
        <f>IFERROR(__xludf.DUMMYFUNCTION("""COMPUTED_VALUE"""),159.3)</f>
        <v>159.3</v>
      </c>
      <c r="E1025" s="17"/>
      <c r="M1025" s="17"/>
      <c r="P1025" s="17"/>
    </row>
    <row r="1026">
      <c r="B1026" s="11">
        <f>IFERROR(__xludf.DUMMYFUNCTION("""COMPUTED_VALUE"""),44536.66666666667)</f>
        <v>44536.66667</v>
      </c>
      <c r="C1026" s="9">
        <f>IFERROR(__xludf.DUMMYFUNCTION("""COMPUTED_VALUE"""),156.55)</f>
        <v>156.55</v>
      </c>
      <c r="E1026" s="17"/>
      <c r="M1026" s="17"/>
      <c r="P1026" s="17"/>
    </row>
    <row r="1027">
      <c r="B1027" s="11">
        <f>IFERROR(__xludf.DUMMYFUNCTION("""COMPUTED_VALUE"""),44533.66666666667)</f>
        <v>44533.66667</v>
      </c>
      <c r="C1027" s="9">
        <f>IFERROR(__xludf.DUMMYFUNCTION("""COMPUTED_VALUE"""),154.66)</f>
        <v>154.66</v>
      </c>
      <c r="E1027" s="17"/>
      <c r="M1027" s="17"/>
      <c r="P1027" s="17"/>
    </row>
    <row r="1028">
      <c r="B1028" s="11">
        <f>IFERROR(__xludf.DUMMYFUNCTION("""COMPUTED_VALUE"""),44532.66666666667)</f>
        <v>44532.66667</v>
      </c>
      <c r="C1028" s="9">
        <f>IFERROR(__xludf.DUMMYFUNCTION("""COMPUTED_VALUE"""),154.42)</f>
        <v>154.42</v>
      </c>
      <c r="E1028" s="17"/>
      <c r="M1028" s="17"/>
      <c r="P1028" s="17"/>
    </row>
    <row r="1029">
      <c r="B1029" s="11">
        <f>IFERROR(__xludf.DUMMYFUNCTION("""COMPUTED_VALUE"""),44531.66666666667)</f>
        <v>44531.66667</v>
      </c>
      <c r="C1029" s="9">
        <f>IFERROR(__xludf.DUMMYFUNCTION("""COMPUTED_VALUE"""),151.7)</f>
        <v>151.7</v>
      </c>
      <c r="E1029" s="17"/>
      <c r="M1029" s="17"/>
      <c r="P1029" s="17"/>
    </row>
    <row r="1030">
      <c r="B1030" s="11">
        <f>IFERROR(__xludf.DUMMYFUNCTION("""COMPUTED_VALUE"""),44530.66666666667)</f>
        <v>44530.66667</v>
      </c>
      <c r="C1030" s="9">
        <f>IFERROR(__xludf.DUMMYFUNCTION("""COMPUTED_VALUE"""),150.75)</f>
        <v>150.75</v>
      </c>
      <c r="E1030" s="17"/>
      <c r="M1030" s="17"/>
      <c r="P1030" s="17"/>
    </row>
    <row r="1031">
      <c r="B1031" s="11">
        <f>IFERROR(__xludf.DUMMYFUNCTION("""COMPUTED_VALUE"""),44529.66666666667)</f>
        <v>44529.66667</v>
      </c>
      <c r="C1031" s="9">
        <f>IFERROR(__xludf.DUMMYFUNCTION("""COMPUTED_VALUE"""),153.28)</f>
        <v>153.28</v>
      </c>
      <c r="E1031" s="17"/>
      <c r="M1031" s="17"/>
      <c r="P1031" s="17"/>
    </row>
    <row r="1032">
      <c r="B1032" s="11">
        <f>IFERROR(__xludf.DUMMYFUNCTION("""COMPUTED_VALUE"""),44526.54166666667)</f>
        <v>44526.54167</v>
      </c>
      <c r="C1032" s="9">
        <f>IFERROR(__xludf.DUMMYFUNCTION("""COMPUTED_VALUE"""),149.88)</f>
        <v>149.88</v>
      </c>
      <c r="E1032" s="17"/>
      <c r="M1032" s="17"/>
      <c r="P1032" s="17"/>
    </row>
    <row r="1033">
      <c r="B1033" s="11">
        <f>IFERROR(__xludf.DUMMYFUNCTION("""COMPUTED_VALUE"""),44524.66666666667)</f>
        <v>44524.66667</v>
      </c>
      <c r="C1033" s="9">
        <f>IFERROR(__xludf.DUMMYFUNCTION("""COMPUTED_VALUE"""),154.51)</f>
        <v>154.51</v>
      </c>
      <c r="E1033" s="17"/>
      <c r="M1033" s="17"/>
      <c r="P1033" s="17"/>
    </row>
    <row r="1034">
      <c r="B1034" s="11">
        <f>IFERROR(__xludf.DUMMYFUNCTION("""COMPUTED_VALUE"""),44523.66666666667)</f>
        <v>44523.66667</v>
      </c>
      <c r="C1034" s="9">
        <f>IFERROR(__xludf.DUMMYFUNCTION("""COMPUTED_VALUE"""),152.58)</f>
        <v>152.58</v>
      </c>
      <c r="E1034" s="17"/>
      <c r="M1034" s="17"/>
      <c r="P1034" s="17"/>
    </row>
    <row r="1035">
      <c r="B1035" s="11">
        <f>IFERROR(__xludf.DUMMYFUNCTION("""COMPUTED_VALUE"""),44522.66666666667)</f>
        <v>44522.66667</v>
      </c>
      <c r="C1035" s="9">
        <f>IFERROR(__xludf.DUMMYFUNCTION("""COMPUTED_VALUE"""),150.9)</f>
        <v>150.9</v>
      </c>
      <c r="E1035" s="17"/>
      <c r="M1035" s="17"/>
      <c r="P1035" s="17"/>
    </row>
    <row r="1036">
      <c r="B1036" s="11">
        <f>IFERROR(__xludf.DUMMYFUNCTION("""COMPUTED_VALUE"""),44519.66666666667)</f>
        <v>44519.66667</v>
      </c>
      <c r="C1036" s="9">
        <f>IFERROR(__xludf.DUMMYFUNCTION("""COMPUTED_VALUE"""),150.22)</f>
        <v>150.22</v>
      </c>
      <c r="E1036" s="17"/>
      <c r="M1036" s="17"/>
      <c r="P1036" s="17"/>
    </row>
    <row r="1037">
      <c r="B1037" s="11">
        <f>IFERROR(__xludf.DUMMYFUNCTION("""COMPUTED_VALUE"""),44518.66666666667)</f>
        <v>44518.66667</v>
      </c>
      <c r="C1037" s="9">
        <f>IFERROR(__xludf.DUMMYFUNCTION("""COMPUTED_VALUE"""),150.58)</f>
        <v>150.58</v>
      </c>
      <c r="E1037" s="17"/>
      <c r="M1037" s="17"/>
      <c r="P1037" s="17"/>
    </row>
    <row r="1038">
      <c r="B1038" s="11">
        <f>IFERROR(__xludf.DUMMYFUNCTION("""COMPUTED_VALUE"""),44517.66666666667)</f>
        <v>44517.66667</v>
      </c>
      <c r="C1038" s="9">
        <f>IFERROR(__xludf.DUMMYFUNCTION("""COMPUTED_VALUE"""),150.38)</f>
        <v>150.38</v>
      </c>
      <c r="E1038" s="17"/>
      <c r="M1038" s="17"/>
      <c r="P1038" s="17"/>
    </row>
    <row r="1039">
      <c r="B1039" s="11">
        <f>IFERROR(__xludf.DUMMYFUNCTION("""COMPUTED_VALUE"""),44516.66666666667)</f>
        <v>44516.66667</v>
      </c>
      <c r="C1039" s="9">
        <f>IFERROR(__xludf.DUMMYFUNCTION("""COMPUTED_VALUE"""),149.47)</f>
        <v>149.47</v>
      </c>
      <c r="E1039" s="17"/>
      <c r="M1039" s="17"/>
      <c r="P1039" s="17"/>
    </row>
    <row r="1040">
      <c r="B1040" s="11">
        <f>IFERROR(__xludf.DUMMYFUNCTION("""COMPUTED_VALUE"""),44515.66666666667)</f>
        <v>44515.66667</v>
      </c>
      <c r="C1040" s="9">
        <f>IFERROR(__xludf.DUMMYFUNCTION("""COMPUTED_VALUE"""),150.2)</f>
        <v>150.2</v>
      </c>
      <c r="E1040" s="17"/>
      <c r="M1040" s="17"/>
      <c r="P1040" s="17"/>
    </row>
    <row r="1041">
      <c r="B1041" s="11">
        <f>IFERROR(__xludf.DUMMYFUNCTION("""COMPUTED_VALUE"""),44512.66666666667)</f>
        <v>44512.66667</v>
      </c>
      <c r="C1041" s="9">
        <f>IFERROR(__xludf.DUMMYFUNCTION("""COMPUTED_VALUE"""),148.81)</f>
        <v>148.81</v>
      </c>
      <c r="E1041" s="17"/>
      <c r="M1041" s="17"/>
      <c r="P1041" s="17"/>
    </row>
    <row r="1042">
      <c r="B1042" s="11">
        <f>IFERROR(__xludf.DUMMYFUNCTION("""COMPUTED_VALUE"""),44511.66666666667)</f>
        <v>44511.66667</v>
      </c>
      <c r="C1042" s="9">
        <f>IFERROR(__xludf.DUMMYFUNCTION("""COMPUTED_VALUE"""),148.91)</f>
        <v>148.91</v>
      </c>
      <c r="E1042" s="17"/>
      <c r="M1042" s="17"/>
      <c r="P1042" s="17"/>
    </row>
    <row r="1043">
      <c r="B1043" s="11">
        <f>IFERROR(__xludf.DUMMYFUNCTION("""COMPUTED_VALUE"""),44510.66666666667)</f>
        <v>44510.66667</v>
      </c>
      <c r="C1043" s="9">
        <f>IFERROR(__xludf.DUMMYFUNCTION("""COMPUTED_VALUE"""),148.77)</f>
        <v>148.77</v>
      </c>
      <c r="E1043" s="17"/>
      <c r="M1043" s="17"/>
      <c r="P1043" s="17"/>
    </row>
    <row r="1044">
      <c r="B1044" s="11">
        <f>IFERROR(__xludf.DUMMYFUNCTION("""COMPUTED_VALUE"""),44509.66666666667)</f>
        <v>44509.66667</v>
      </c>
      <c r="C1044" s="9">
        <f>IFERROR(__xludf.DUMMYFUNCTION("""COMPUTED_VALUE"""),148.45)</f>
        <v>148.45</v>
      </c>
      <c r="E1044" s="17"/>
      <c r="M1044" s="17"/>
      <c r="P1044" s="17"/>
    </row>
    <row r="1045">
      <c r="B1045" s="11">
        <f>IFERROR(__xludf.DUMMYFUNCTION("""COMPUTED_VALUE"""),44508.66666666667)</f>
        <v>44508.66667</v>
      </c>
      <c r="C1045" s="9">
        <f>IFERROR(__xludf.DUMMYFUNCTION("""COMPUTED_VALUE"""),148.07)</f>
        <v>148.07</v>
      </c>
      <c r="E1045" s="17"/>
      <c r="M1045" s="17"/>
      <c r="P1045" s="17"/>
    </row>
    <row r="1046">
      <c r="B1046" s="11">
        <f>IFERROR(__xludf.DUMMYFUNCTION("""COMPUTED_VALUE"""),44505.66666666667)</f>
        <v>44505.66667</v>
      </c>
      <c r="C1046" s="9">
        <f>IFERROR(__xludf.DUMMYFUNCTION("""COMPUTED_VALUE"""),146.69)</f>
        <v>146.69</v>
      </c>
      <c r="E1046" s="17"/>
      <c r="M1046" s="17"/>
      <c r="P1046" s="17"/>
    </row>
    <row r="1047">
      <c r="B1047" s="11">
        <f>IFERROR(__xludf.DUMMYFUNCTION("""COMPUTED_VALUE"""),44504.66666666667)</f>
        <v>44504.66667</v>
      </c>
      <c r="C1047" s="9">
        <f>IFERROR(__xludf.DUMMYFUNCTION("""COMPUTED_VALUE"""),147.87)</f>
        <v>147.87</v>
      </c>
      <c r="E1047" s="17"/>
      <c r="M1047" s="17"/>
      <c r="P1047" s="17"/>
    </row>
    <row r="1048">
      <c r="B1048" s="11">
        <f>IFERROR(__xludf.DUMMYFUNCTION("""COMPUTED_VALUE"""),44503.66666666667)</f>
        <v>44503.66667</v>
      </c>
      <c r="C1048" s="9">
        <f>IFERROR(__xludf.DUMMYFUNCTION("""COMPUTED_VALUE"""),147.65)</f>
        <v>147.65</v>
      </c>
      <c r="E1048" s="17"/>
      <c r="M1048" s="17"/>
      <c r="P1048" s="17"/>
    </row>
    <row r="1049">
      <c r="B1049" s="11">
        <f>IFERROR(__xludf.DUMMYFUNCTION("""COMPUTED_VALUE"""),44502.66666666667)</f>
        <v>44502.66667</v>
      </c>
      <c r="C1049" s="9">
        <f>IFERROR(__xludf.DUMMYFUNCTION("""COMPUTED_VALUE"""),147.03)</f>
        <v>147.03</v>
      </c>
      <c r="E1049" s="17"/>
      <c r="M1049" s="17"/>
      <c r="P1049" s="17"/>
    </row>
    <row r="1050">
      <c r="B1050" s="11">
        <f>IFERROR(__xludf.DUMMYFUNCTION("""COMPUTED_VALUE"""),44501.66666666667)</f>
        <v>44501.66667</v>
      </c>
      <c r="C1050" s="9">
        <f>IFERROR(__xludf.DUMMYFUNCTION("""COMPUTED_VALUE"""),144.73)</f>
        <v>144.73</v>
      </c>
      <c r="E1050" s="17"/>
      <c r="M1050" s="17"/>
      <c r="P1050" s="17"/>
    </row>
    <row r="1051">
      <c r="B1051" s="11">
        <f>IFERROR(__xludf.DUMMYFUNCTION("""COMPUTED_VALUE"""),44498.66666666667)</f>
        <v>44498.66667</v>
      </c>
      <c r="C1051" s="9">
        <f>IFERROR(__xludf.DUMMYFUNCTION("""COMPUTED_VALUE"""),144.96)</f>
        <v>144.96</v>
      </c>
      <c r="E1051" s="17"/>
      <c r="M1051" s="17"/>
      <c r="P1051" s="17"/>
    </row>
    <row r="1052">
      <c r="B1052" s="11">
        <f>IFERROR(__xludf.DUMMYFUNCTION("""COMPUTED_VALUE"""),44497.66666666667)</f>
        <v>44497.66667</v>
      </c>
      <c r="C1052" s="9">
        <f>IFERROR(__xludf.DUMMYFUNCTION("""COMPUTED_VALUE"""),146.67)</f>
        <v>146.67</v>
      </c>
      <c r="E1052" s="17"/>
      <c r="M1052" s="17"/>
      <c r="P1052" s="17"/>
    </row>
    <row r="1053">
      <c r="B1053" s="11">
        <f>IFERROR(__xludf.DUMMYFUNCTION("""COMPUTED_VALUE"""),44496.66666666667)</f>
        <v>44496.66667</v>
      </c>
      <c r="C1053" s="9">
        <f>IFERROR(__xludf.DUMMYFUNCTION("""COMPUTED_VALUE"""),143.86)</f>
        <v>143.86</v>
      </c>
      <c r="E1053" s="17"/>
      <c r="M1053" s="17"/>
      <c r="P1053" s="17"/>
    </row>
    <row r="1054">
      <c r="B1054" s="11">
        <f>IFERROR(__xludf.DUMMYFUNCTION("""COMPUTED_VALUE"""),44495.66666666667)</f>
        <v>44495.66667</v>
      </c>
      <c r="C1054" s="9">
        <f>IFERROR(__xludf.DUMMYFUNCTION("""COMPUTED_VALUE"""),146.23)</f>
        <v>146.23</v>
      </c>
      <c r="E1054" s="17"/>
      <c r="M1054" s="17"/>
      <c r="P1054" s="17"/>
    </row>
    <row r="1055">
      <c r="B1055" s="11">
        <f>IFERROR(__xludf.DUMMYFUNCTION("""COMPUTED_VALUE"""),44494.66666666667)</f>
        <v>44494.66667</v>
      </c>
      <c r="C1055" s="9">
        <f>IFERROR(__xludf.DUMMYFUNCTION("""COMPUTED_VALUE"""),145.1)</f>
        <v>145.1</v>
      </c>
      <c r="E1055" s="17"/>
      <c r="M1055" s="17"/>
      <c r="P1055" s="17"/>
    </row>
    <row r="1056">
      <c r="B1056" s="11">
        <f>IFERROR(__xludf.DUMMYFUNCTION("""COMPUTED_VALUE"""),44491.66666666667)</f>
        <v>44491.66667</v>
      </c>
      <c r="C1056" s="9">
        <f>IFERROR(__xludf.DUMMYFUNCTION("""COMPUTED_VALUE"""),144.0)</f>
        <v>144</v>
      </c>
      <c r="E1056" s="17"/>
      <c r="M1056" s="17"/>
      <c r="P1056" s="17"/>
    </row>
    <row r="1057">
      <c r="B1057" s="11">
        <f>IFERROR(__xludf.DUMMYFUNCTION("""COMPUTED_VALUE"""),44490.66666666667)</f>
        <v>44490.66667</v>
      </c>
      <c r="C1057" s="9">
        <f>IFERROR(__xludf.DUMMYFUNCTION("""COMPUTED_VALUE"""),144.94)</f>
        <v>144.94</v>
      </c>
      <c r="E1057" s="17"/>
      <c r="M1057" s="17"/>
      <c r="P1057" s="17"/>
    </row>
    <row r="1058">
      <c r="B1058" s="11">
        <f>IFERROR(__xludf.DUMMYFUNCTION("""COMPUTED_VALUE"""),44489.66666666667)</f>
        <v>44489.66667</v>
      </c>
      <c r="C1058" s="9">
        <f>IFERROR(__xludf.DUMMYFUNCTION("""COMPUTED_VALUE"""),143.42)</f>
        <v>143.42</v>
      </c>
      <c r="E1058" s="17"/>
      <c r="M1058" s="17"/>
      <c r="P1058" s="17"/>
    </row>
    <row r="1059">
      <c r="B1059" s="11">
        <f>IFERROR(__xludf.DUMMYFUNCTION("""COMPUTED_VALUE"""),44488.66666666667)</f>
        <v>44488.66667</v>
      </c>
      <c r="C1059" s="9">
        <f>IFERROR(__xludf.DUMMYFUNCTION("""COMPUTED_VALUE"""),139.12)</f>
        <v>139.12</v>
      </c>
      <c r="E1059" s="17"/>
      <c r="M1059" s="17"/>
      <c r="P1059" s="17"/>
    </row>
    <row r="1060">
      <c r="B1060" s="11">
        <f>IFERROR(__xludf.DUMMYFUNCTION("""COMPUTED_VALUE"""),44487.66666666667)</f>
        <v>44487.66667</v>
      </c>
      <c r="C1060" s="9">
        <f>IFERROR(__xludf.DUMMYFUNCTION("""COMPUTED_VALUE"""),139.79)</f>
        <v>139.79</v>
      </c>
      <c r="E1060" s="17"/>
      <c r="M1060" s="17"/>
      <c r="P1060" s="17"/>
    </row>
    <row r="1061">
      <c r="B1061" s="11">
        <f>IFERROR(__xludf.DUMMYFUNCTION("""COMPUTED_VALUE"""),44484.66666666667)</f>
        <v>44484.66667</v>
      </c>
      <c r="C1061" s="9">
        <f>IFERROR(__xludf.DUMMYFUNCTION("""COMPUTED_VALUE"""),136.98)</f>
        <v>136.98</v>
      </c>
      <c r="E1061" s="17"/>
      <c r="M1061" s="17"/>
      <c r="P1061" s="17"/>
    </row>
    <row r="1062">
      <c r="B1062" s="11">
        <f>IFERROR(__xludf.DUMMYFUNCTION("""COMPUTED_VALUE"""),44483.66666666667)</f>
        <v>44483.66667</v>
      </c>
      <c r="C1062" s="9">
        <f>IFERROR(__xludf.DUMMYFUNCTION("""COMPUTED_VALUE"""),135.73)</f>
        <v>135.73</v>
      </c>
      <c r="E1062" s="17"/>
      <c r="M1062" s="17"/>
      <c r="P1062" s="17"/>
    </row>
    <row r="1063">
      <c r="B1063" s="11">
        <f>IFERROR(__xludf.DUMMYFUNCTION("""COMPUTED_VALUE"""),44482.66666666667)</f>
        <v>44482.66667</v>
      </c>
      <c r="C1063" s="9">
        <f>IFERROR(__xludf.DUMMYFUNCTION("""COMPUTED_VALUE"""),133.9)</f>
        <v>133.9</v>
      </c>
      <c r="E1063" s="17"/>
      <c r="M1063" s="17"/>
      <c r="P1063" s="17"/>
    </row>
    <row r="1064">
      <c r="B1064" s="11">
        <f>IFERROR(__xludf.DUMMYFUNCTION("""COMPUTED_VALUE"""),44481.66666666667)</f>
        <v>44481.66667</v>
      </c>
      <c r="C1064" s="9">
        <f>IFERROR(__xludf.DUMMYFUNCTION("""COMPUTED_VALUE"""),132.29)</f>
        <v>132.29</v>
      </c>
      <c r="E1064" s="17"/>
      <c r="M1064" s="17"/>
      <c r="P1064" s="17"/>
    </row>
    <row r="1065">
      <c r="B1065" s="11">
        <f>IFERROR(__xludf.DUMMYFUNCTION("""COMPUTED_VALUE"""),44480.66666666667)</f>
        <v>44480.66667</v>
      </c>
      <c r="C1065" s="9">
        <f>IFERROR(__xludf.DUMMYFUNCTION("""COMPUTED_VALUE"""),128.94)</f>
        <v>128.94</v>
      </c>
      <c r="E1065" s="17"/>
      <c r="M1065" s="17"/>
      <c r="P1065" s="17"/>
    </row>
    <row r="1066">
      <c r="B1066" s="11">
        <f>IFERROR(__xludf.DUMMYFUNCTION("""COMPUTED_VALUE"""),44477.66666666667)</f>
        <v>44477.66667</v>
      </c>
      <c r="C1066" s="9">
        <f>IFERROR(__xludf.DUMMYFUNCTION("""COMPUTED_VALUE"""),128.53)</f>
        <v>128.53</v>
      </c>
      <c r="E1066" s="17"/>
      <c r="M1066" s="17"/>
      <c r="P1066" s="17"/>
    </row>
    <row r="1067">
      <c r="B1067" s="11">
        <f>IFERROR(__xludf.DUMMYFUNCTION("""COMPUTED_VALUE"""),44476.66666666667)</f>
        <v>44476.66667</v>
      </c>
      <c r="C1067" s="9">
        <f>IFERROR(__xludf.DUMMYFUNCTION("""COMPUTED_VALUE"""),129.38)</f>
        <v>129.38</v>
      </c>
      <c r="E1067" s="17"/>
      <c r="M1067" s="17"/>
      <c r="P1067" s="17"/>
    </row>
    <row r="1068">
      <c r="B1068" s="11">
        <f>IFERROR(__xludf.DUMMYFUNCTION("""COMPUTED_VALUE"""),44475.66666666667)</f>
        <v>44475.66667</v>
      </c>
      <c r="C1068" s="9">
        <f>IFERROR(__xludf.DUMMYFUNCTION("""COMPUTED_VALUE"""),127.79)</f>
        <v>127.79</v>
      </c>
      <c r="E1068" s="17"/>
      <c r="M1068" s="17"/>
      <c r="P1068" s="17"/>
    </row>
    <row r="1069">
      <c r="B1069" s="11">
        <f>IFERROR(__xludf.DUMMYFUNCTION("""COMPUTED_VALUE"""),44474.66666666667)</f>
        <v>44474.66667</v>
      </c>
      <c r="C1069" s="9">
        <f>IFERROR(__xludf.DUMMYFUNCTION("""COMPUTED_VALUE"""),126.43)</f>
        <v>126.43</v>
      </c>
      <c r="E1069" s="17"/>
      <c r="M1069" s="17"/>
      <c r="P1069" s="17"/>
    </row>
    <row r="1070">
      <c r="B1070" s="11">
        <f>IFERROR(__xludf.DUMMYFUNCTION("""COMPUTED_VALUE"""),44473.66666666667)</f>
        <v>44473.66667</v>
      </c>
      <c r="C1070" s="9">
        <f>IFERROR(__xludf.DUMMYFUNCTION("""COMPUTED_VALUE"""),126.83)</f>
        <v>126.83</v>
      </c>
      <c r="E1070" s="17"/>
      <c r="M1070" s="17"/>
      <c r="P1070" s="17"/>
    </row>
    <row r="1071">
      <c r="B1071" s="11">
        <f>IFERROR(__xludf.DUMMYFUNCTION("""COMPUTED_VALUE"""),44470.66666666667)</f>
        <v>44470.66667</v>
      </c>
      <c r="C1071" s="9">
        <f>IFERROR(__xludf.DUMMYFUNCTION("""COMPUTED_VALUE"""),126.43)</f>
        <v>126.43</v>
      </c>
      <c r="E1071" s="17"/>
      <c r="M1071" s="17"/>
      <c r="P1071" s="17"/>
    </row>
    <row r="1072">
      <c r="B1072" s="11">
        <f>IFERROR(__xludf.DUMMYFUNCTION("""COMPUTED_VALUE"""),44469.66666666667)</f>
        <v>44469.66667</v>
      </c>
      <c r="C1072" s="9">
        <f>IFERROR(__xludf.DUMMYFUNCTION("""COMPUTED_VALUE"""),125.43)</f>
        <v>125.43</v>
      </c>
      <c r="E1072" s="17"/>
      <c r="M1072" s="17"/>
      <c r="P1072" s="17"/>
    </row>
    <row r="1073">
      <c r="B1073" s="11">
        <f>IFERROR(__xludf.DUMMYFUNCTION("""COMPUTED_VALUE"""),44468.66666666667)</f>
        <v>44468.66667</v>
      </c>
      <c r="C1073" s="9">
        <f>IFERROR(__xludf.DUMMYFUNCTION("""COMPUTED_VALUE"""),126.44)</f>
        <v>126.44</v>
      </c>
      <c r="E1073" s="17"/>
      <c r="M1073" s="17"/>
      <c r="P1073" s="17"/>
    </row>
    <row r="1074">
      <c r="B1074" s="11">
        <f>IFERROR(__xludf.DUMMYFUNCTION("""COMPUTED_VALUE"""),44467.66666666667)</f>
        <v>44467.66667</v>
      </c>
      <c r="C1074" s="9">
        <f>IFERROR(__xludf.DUMMYFUNCTION("""COMPUTED_VALUE"""),125.58)</f>
        <v>125.58</v>
      </c>
      <c r="E1074" s="17"/>
      <c r="M1074" s="17"/>
      <c r="P1074" s="17"/>
    </row>
    <row r="1075">
      <c r="B1075" s="11">
        <f>IFERROR(__xludf.DUMMYFUNCTION("""COMPUTED_VALUE"""),44466.66666666667)</f>
        <v>44466.66667</v>
      </c>
      <c r="C1075" s="9">
        <f>IFERROR(__xludf.DUMMYFUNCTION("""COMPUTED_VALUE"""),126.19)</f>
        <v>126.19</v>
      </c>
      <c r="E1075" s="17"/>
      <c r="M1075" s="17"/>
      <c r="P1075" s="17"/>
    </row>
    <row r="1076">
      <c r="B1076" s="11">
        <f>IFERROR(__xludf.DUMMYFUNCTION("""COMPUTED_VALUE"""),44463.66666666667)</f>
        <v>44463.66667</v>
      </c>
      <c r="C1076" s="9">
        <f>IFERROR(__xludf.DUMMYFUNCTION("""COMPUTED_VALUE"""),127.9)</f>
        <v>127.9</v>
      </c>
      <c r="E1076" s="17"/>
      <c r="M1076" s="17"/>
      <c r="P1076" s="17"/>
    </row>
    <row r="1077">
      <c r="B1077" s="11">
        <f>IFERROR(__xludf.DUMMYFUNCTION("""COMPUTED_VALUE"""),44462.66666666667)</f>
        <v>44462.66667</v>
      </c>
      <c r="C1077" s="9">
        <f>IFERROR(__xludf.DUMMYFUNCTION("""COMPUTED_VALUE"""),128.84)</f>
        <v>128.84</v>
      </c>
      <c r="E1077" s="17"/>
      <c r="M1077" s="17"/>
      <c r="P1077" s="17"/>
    </row>
    <row r="1078">
      <c r="B1078" s="11">
        <f>IFERROR(__xludf.DUMMYFUNCTION("""COMPUTED_VALUE"""),44461.66666666667)</f>
        <v>44461.66667</v>
      </c>
      <c r="C1078" s="9">
        <f>IFERROR(__xludf.DUMMYFUNCTION("""COMPUTED_VALUE"""),130.01)</f>
        <v>130.01</v>
      </c>
      <c r="E1078" s="17"/>
      <c r="M1078" s="17"/>
      <c r="P1078" s="17"/>
    </row>
    <row r="1079">
      <c r="B1079" s="11">
        <f>IFERROR(__xludf.DUMMYFUNCTION("""COMPUTED_VALUE"""),44460.66666666667)</f>
        <v>44460.66667</v>
      </c>
      <c r="C1079" s="9">
        <f>IFERROR(__xludf.DUMMYFUNCTION("""COMPUTED_VALUE"""),128.85)</f>
        <v>128.85</v>
      </c>
      <c r="E1079" s="17"/>
      <c r="M1079" s="17"/>
      <c r="P1079" s="17"/>
    </row>
    <row r="1080">
      <c r="B1080" s="11">
        <f>IFERROR(__xludf.DUMMYFUNCTION("""COMPUTED_VALUE"""),44459.66666666667)</f>
        <v>44459.66667</v>
      </c>
      <c r="C1080" s="9">
        <f>IFERROR(__xludf.DUMMYFUNCTION("""COMPUTED_VALUE"""),129.06)</f>
        <v>129.06</v>
      </c>
      <c r="E1080" s="17"/>
      <c r="M1080" s="17"/>
      <c r="P1080" s="17"/>
    </row>
    <row r="1081">
      <c r="B1081" s="11">
        <f>IFERROR(__xludf.DUMMYFUNCTION("""COMPUTED_VALUE"""),44456.66666666667)</f>
        <v>44456.66667</v>
      </c>
      <c r="C1081" s="9">
        <f>IFERROR(__xludf.DUMMYFUNCTION("""COMPUTED_VALUE"""),130.11)</f>
        <v>130.11</v>
      </c>
      <c r="E1081" s="17"/>
      <c r="M1081" s="17"/>
      <c r="P1081" s="17"/>
    </row>
    <row r="1082">
      <c r="B1082" s="11">
        <f>IFERROR(__xludf.DUMMYFUNCTION("""COMPUTED_VALUE"""),44455.66666666667)</f>
        <v>44455.66667</v>
      </c>
      <c r="C1082" s="9">
        <f>IFERROR(__xludf.DUMMYFUNCTION("""COMPUTED_VALUE"""),132.58)</f>
        <v>132.58</v>
      </c>
      <c r="E1082" s="17"/>
      <c r="M1082" s="17"/>
      <c r="P1082" s="17"/>
    </row>
    <row r="1083">
      <c r="B1083" s="11">
        <f>IFERROR(__xludf.DUMMYFUNCTION("""COMPUTED_VALUE"""),44454.66666666667)</f>
        <v>44454.66667</v>
      </c>
      <c r="C1083" s="9">
        <f>IFERROR(__xludf.DUMMYFUNCTION("""COMPUTED_VALUE"""),133.29)</f>
        <v>133.29</v>
      </c>
      <c r="E1083" s="17"/>
      <c r="M1083" s="17"/>
      <c r="P1083" s="17"/>
    </row>
    <row r="1084">
      <c r="B1084" s="11">
        <f>IFERROR(__xludf.DUMMYFUNCTION("""COMPUTED_VALUE"""),44453.66666666667)</f>
        <v>44453.66667</v>
      </c>
      <c r="C1084" s="9">
        <f>IFERROR(__xludf.DUMMYFUNCTION("""COMPUTED_VALUE"""),132.55)</f>
        <v>132.55</v>
      </c>
      <c r="E1084" s="17"/>
      <c r="M1084" s="17"/>
      <c r="P1084" s="17"/>
    </row>
    <row r="1085">
      <c r="B1085" s="11">
        <f>IFERROR(__xludf.DUMMYFUNCTION("""COMPUTED_VALUE"""),44452.66666666667)</f>
        <v>44452.66667</v>
      </c>
      <c r="C1085" s="9">
        <f>IFERROR(__xludf.DUMMYFUNCTION("""COMPUTED_VALUE"""),132.78)</f>
        <v>132.78</v>
      </c>
      <c r="E1085" s="17"/>
      <c r="M1085" s="17"/>
      <c r="P1085" s="17"/>
    </row>
    <row r="1086">
      <c r="B1086" s="11">
        <f>IFERROR(__xludf.DUMMYFUNCTION("""COMPUTED_VALUE"""),44449.66666666667)</f>
        <v>44449.66667</v>
      </c>
      <c r="C1086" s="9">
        <f>IFERROR(__xludf.DUMMYFUNCTION("""COMPUTED_VALUE"""),133.63)</f>
        <v>133.63</v>
      </c>
      <c r="E1086" s="17"/>
      <c r="M1086" s="17"/>
      <c r="P1086" s="17"/>
    </row>
    <row r="1087">
      <c r="B1087" s="11">
        <f>IFERROR(__xludf.DUMMYFUNCTION("""COMPUTED_VALUE"""),44448.66666666667)</f>
        <v>44448.66667</v>
      </c>
      <c r="C1087" s="9">
        <f>IFERROR(__xludf.DUMMYFUNCTION("""COMPUTED_VALUE"""),134.72)</f>
        <v>134.72</v>
      </c>
      <c r="E1087" s="17"/>
      <c r="M1087" s="17"/>
      <c r="P1087" s="17"/>
    </row>
    <row r="1088">
      <c r="B1088" s="11">
        <f>IFERROR(__xludf.DUMMYFUNCTION("""COMPUTED_VALUE"""),44447.66666666667)</f>
        <v>44447.66667</v>
      </c>
      <c r="C1088" s="9">
        <f>IFERROR(__xludf.DUMMYFUNCTION("""COMPUTED_VALUE"""),138.54)</f>
        <v>138.54</v>
      </c>
      <c r="E1088" s="17"/>
      <c r="M1088" s="17"/>
      <c r="P1088" s="17"/>
    </row>
    <row r="1089">
      <c r="B1089" s="11">
        <f>IFERROR(__xludf.DUMMYFUNCTION("""COMPUTED_VALUE"""),44446.66666666667)</f>
        <v>44446.66667</v>
      </c>
      <c r="C1089" s="9">
        <f>IFERROR(__xludf.DUMMYFUNCTION("""COMPUTED_VALUE"""),137.65)</f>
        <v>137.65</v>
      </c>
      <c r="E1089" s="17"/>
      <c r="M1089" s="17"/>
      <c r="P1089" s="17"/>
    </row>
    <row r="1090">
      <c r="B1090" s="11">
        <f>IFERROR(__xludf.DUMMYFUNCTION("""COMPUTED_VALUE"""),44442.66666666667)</f>
        <v>44442.66667</v>
      </c>
      <c r="C1090" s="9">
        <f>IFERROR(__xludf.DUMMYFUNCTION("""COMPUTED_VALUE"""),138.99)</f>
        <v>138.99</v>
      </c>
      <c r="E1090" s="17"/>
      <c r="M1090" s="17"/>
      <c r="P1090" s="17"/>
    </row>
    <row r="1091">
      <c r="B1091" s="11">
        <f>IFERROR(__xludf.DUMMYFUNCTION("""COMPUTED_VALUE"""),44441.66666666667)</f>
        <v>44441.66667</v>
      </c>
      <c r="C1091" s="9">
        <f>IFERROR(__xludf.DUMMYFUNCTION("""COMPUTED_VALUE"""),138.47)</f>
        <v>138.47</v>
      </c>
      <c r="E1091" s="17"/>
      <c r="M1091" s="17"/>
      <c r="P1091" s="17"/>
    </row>
    <row r="1092">
      <c r="B1092" s="11">
        <f>IFERROR(__xludf.DUMMYFUNCTION("""COMPUTED_VALUE"""),44440.66666666667)</f>
        <v>44440.66667</v>
      </c>
      <c r="C1092" s="9">
        <f>IFERROR(__xludf.DUMMYFUNCTION("""COMPUTED_VALUE"""),137.79)</f>
        <v>137.79</v>
      </c>
      <c r="E1092" s="17"/>
      <c r="M1092" s="17"/>
      <c r="P1092" s="17"/>
    </row>
    <row r="1093">
      <c r="B1093" s="11">
        <f>IFERROR(__xludf.DUMMYFUNCTION("""COMPUTED_VALUE"""),44439.66666666667)</f>
        <v>44439.66667</v>
      </c>
      <c r="C1093" s="9">
        <f>IFERROR(__xludf.DUMMYFUNCTION("""COMPUTED_VALUE"""),134.66)</f>
        <v>134.66</v>
      </c>
      <c r="E1093" s="17"/>
      <c r="M1093" s="17"/>
      <c r="P1093" s="17"/>
    </row>
    <row r="1094">
      <c r="B1094" s="11">
        <f>IFERROR(__xludf.DUMMYFUNCTION("""COMPUTED_VALUE"""),44438.66666666667)</f>
        <v>44438.66667</v>
      </c>
      <c r="C1094" s="9">
        <f>IFERROR(__xludf.DUMMYFUNCTION("""COMPUTED_VALUE"""),133.73)</f>
        <v>133.73</v>
      </c>
      <c r="E1094" s="17"/>
      <c r="M1094" s="17"/>
      <c r="P1094" s="17"/>
    </row>
    <row r="1095">
      <c r="B1095" s="11">
        <f>IFERROR(__xludf.DUMMYFUNCTION("""COMPUTED_VALUE"""),44435.66666666667)</f>
        <v>44435.66667</v>
      </c>
      <c r="C1095" s="9">
        <f>IFERROR(__xludf.DUMMYFUNCTION("""COMPUTED_VALUE"""),131.31)</f>
        <v>131.31</v>
      </c>
      <c r="E1095" s="17"/>
      <c r="M1095" s="17"/>
      <c r="P1095" s="17"/>
    </row>
    <row r="1096">
      <c r="B1096" s="11">
        <f>IFERROR(__xludf.DUMMYFUNCTION("""COMPUTED_VALUE"""),44434.66666666667)</f>
        <v>44434.66667</v>
      </c>
      <c r="C1096" s="9">
        <f>IFERROR(__xludf.DUMMYFUNCTION("""COMPUTED_VALUE"""),130.62)</f>
        <v>130.62</v>
      </c>
      <c r="E1096" s="17"/>
      <c r="M1096" s="17"/>
      <c r="P1096" s="17"/>
    </row>
    <row r="1097">
      <c r="B1097" s="11">
        <f>IFERROR(__xludf.DUMMYFUNCTION("""COMPUTED_VALUE"""),44433.66666666667)</f>
        <v>44433.66667</v>
      </c>
      <c r="C1097" s="9">
        <f>IFERROR(__xludf.DUMMYFUNCTION("""COMPUTED_VALUE"""),130.53)</f>
        <v>130.53</v>
      </c>
      <c r="E1097" s="17"/>
      <c r="M1097" s="17"/>
      <c r="P1097" s="17"/>
    </row>
    <row r="1098">
      <c r="B1098" s="11">
        <f>IFERROR(__xludf.DUMMYFUNCTION("""COMPUTED_VALUE"""),44432.66666666667)</f>
        <v>44432.66667</v>
      </c>
      <c r="C1098" s="9">
        <f>IFERROR(__xludf.DUMMYFUNCTION("""COMPUTED_VALUE"""),130.75)</f>
        <v>130.75</v>
      </c>
      <c r="E1098" s="17"/>
      <c r="M1098" s="17"/>
      <c r="P1098" s="17"/>
    </row>
    <row r="1099">
      <c r="B1099" s="11">
        <f>IFERROR(__xludf.DUMMYFUNCTION("""COMPUTED_VALUE"""),44431.66666666667)</f>
        <v>44431.66667</v>
      </c>
      <c r="C1099" s="9">
        <f>IFERROR(__xludf.DUMMYFUNCTION("""COMPUTED_VALUE"""),133.39)</f>
        <v>133.39</v>
      </c>
      <c r="E1099" s="17"/>
      <c r="M1099" s="17"/>
      <c r="P1099" s="17"/>
    </row>
    <row r="1100">
      <c r="B1100" s="11">
        <f>IFERROR(__xludf.DUMMYFUNCTION("""COMPUTED_VALUE"""),44428.66666666667)</f>
        <v>44428.66667</v>
      </c>
      <c r="C1100" s="9">
        <f>IFERROR(__xludf.DUMMYFUNCTION("""COMPUTED_VALUE"""),134.25)</f>
        <v>134.25</v>
      </c>
      <c r="E1100" s="17"/>
      <c r="M1100" s="17"/>
      <c r="P1100" s="17"/>
    </row>
    <row r="1101">
      <c r="B1101" s="11">
        <f>IFERROR(__xludf.DUMMYFUNCTION("""COMPUTED_VALUE"""),44427.66666666667)</f>
        <v>44427.66667</v>
      </c>
      <c r="C1101" s="9">
        <f>IFERROR(__xludf.DUMMYFUNCTION("""COMPUTED_VALUE"""),133.15)</f>
        <v>133.15</v>
      </c>
      <c r="E1101" s="17"/>
      <c r="M1101" s="17"/>
      <c r="P1101" s="17"/>
    </row>
    <row r="1102">
      <c r="B1102" s="11">
        <f>IFERROR(__xludf.DUMMYFUNCTION("""COMPUTED_VALUE"""),44426.66666666667)</f>
        <v>44426.66667</v>
      </c>
      <c r="C1102" s="9">
        <f>IFERROR(__xludf.DUMMYFUNCTION("""COMPUTED_VALUE"""),132.5)</f>
        <v>132.5</v>
      </c>
      <c r="E1102" s="17"/>
      <c r="M1102" s="17"/>
      <c r="P1102" s="17"/>
    </row>
    <row r="1103">
      <c r="B1103" s="11">
        <f>IFERROR(__xludf.DUMMYFUNCTION("""COMPUTED_VALUE"""),44425.66666666667)</f>
        <v>44425.66667</v>
      </c>
      <c r="C1103" s="9">
        <f>IFERROR(__xludf.DUMMYFUNCTION("""COMPUTED_VALUE"""),134.08)</f>
        <v>134.08</v>
      </c>
      <c r="E1103" s="17"/>
      <c r="M1103" s="17"/>
      <c r="P1103" s="17"/>
    </row>
    <row r="1104">
      <c r="B1104" s="11">
        <f>IFERROR(__xludf.DUMMYFUNCTION("""COMPUTED_VALUE"""),44424.66666666667)</f>
        <v>44424.66667</v>
      </c>
      <c r="C1104" s="9">
        <f>IFERROR(__xludf.DUMMYFUNCTION("""COMPUTED_VALUE"""),133.69)</f>
        <v>133.69</v>
      </c>
      <c r="E1104" s="17"/>
      <c r="M1104" s="17"/>
      <c r="P1104" s="17"/>
    </row>
    <row r="1105">
      <c r="B1105" s="11">
        <f>IFERROR(__xludf.DUMMYFUNCTION("""COMPUTED_VALUE"""),44421.66666666667)</f>
        <v>44421.66667</v>
      </c>
      <c r="C1105" s="9">
        <f>IFERROR(__xludf.DUMMYFUNCTION("""COMPUTED_VALUE"""),131.98)</f>
        <v>131.98</v>
      </c>
      <c r="E1105" s="17"/>
      <c r="M1105" s="17"/>
      <c r="P1105" s="17"/>
    </row>
    <row r="1106">
      <c r="B1106" s="11">
        <f>IFERROR(__xludf.DUMMYFUNCTION("""COMPUTED_VALUE"""),44420.66666666667)</f>
        <v>44420.66667</v>
      </c>
      <c r="C1106" s="9">
        <f>IFERROR(__xludf.DUMMYFUNCTION("""COMPUTED_VALUE"""),130.07)</f>
        <v>130.07</v>
      </c>
      <c r="E1106" s="17"/>
      <c r="M1106" s="17"/>
      <c r="P1106" s="17"/>
    </row>
    <row r="1107">
      <c r="B1107" s="11">
        <f>IFERROR(__xludf.DUMMYFUNCTION("""COMPUTED_VALUE"""),44419.66666666667)</f>
        <v>44419.66667</v>
      </c>
      <c r="C1107" s="9">
        <f>IFERROR(__xludf.DUMMYFUNCTION("""COMPUTED_VALUE"""),128.9)</f>
        <v>128.9</v>
      </c>
      <c r="E1107" s="17"/>
      <c r="M1107" s="17"/>
      <c r="P1107" s="17"/>
    </row>
    <row r="1108">
      <c r="B1108" s="11">
        <f>IFERROR(__xludf.DUMMYFUNCTION("""COMPUTED_VALUE"""),44418.66666666667)</f>
        <v>44418.66667</v>
      </c>
      <c r="C1108" s="9">
        <f>IFERROR(__xludf.DUMMYFUNCTION("""COMPUTED_VALUE"""),129.35)</f>
        <v>129.35</v>
      </c>
      <c r="E1108" s="17"/>
      <c r="M1108" s="17"/>
      <c r="P1108" s="17"/>
    </row>
    <row r="1109">
      <c r="B1109" s="11">
        <f>IFERROR(__xludf.DUMMYFUNCTION("""COMPUTED_VALUE"""),44417.66666666667)</f>
        <v>44417.66667</v>
      </c>
      <c r="C1109" s="9">
        <f>IFERROR(__xludf.DUMMYFUNCTION("""COMPUTED_VALUE"""),130.01)</f>
        <v>130.01</v>
      </c>
      <c r="E1109" s="17"/>
      <c r="M1109" s="17"/>
      <c r="P1109" s="17"/>
    </row>
    <row r="1110">
      <c r="B1110" s="11">
        <f>IFERROR(__xludf.DUMMYFUNCTION("""COMPUTED_VALUE"""),44414.66666666667)</f>
        <v>44414.66667</v>
      </c>
      <c r="C1110" s="9">
        <f>IFERROR(__xludf.DUMMYFUNCTION("""COMPUTED_VALUE"""),129.71)</f>
        <v>129.71</v>
      </c>
      <c r="E1110" s="17"/>
      <c r="M1110" s="17"/>
      <c r="P1110" s="17"/>
    </row>
    <row r="1111">
      <c r="B1111" s="11">
        <f>IFERROR(__xludf.DUMMYFUNCTION("""COMPUTED_VALUE"""),44413.66666666667)</f>
        <v>44413.66667</v>
      </c>
      <c r="C1111" s="9">
        <f>IFERROR(__xludf.DUMMYFUNCTION("""COMPUTED_VALUE"""),130.45)</f>
        <v>130.45</v>
      </c>
      <c r="E1111" s="17"/>
      <c r="M1111" s="17"/>
      <c r="P1111" s="17"/>
    </row>
    <row r="1112">
      <c r="B1112" s="11">
        <f>IFERROR(__xludf.DUMMYFUNCTION("""COMPUTED_VALUE"""),44412.66666666667)</f>
        <v>44412.66667</v>
      </c>
      <c r="C1112" s="9">
        <f>IFERROR(__xludf.DUMMYFUNCTION("""COMPUTED_VALUE"""),128.9)</f>
        <v>128.9</v>
      </c>
      <c r="E1112" s="17"/>
      <c r="M1112" s="17"/>
      <c r="P1112" s="17"/>
    </row>
    <row r="1113">
      <c r="B1113" s="11">
        <f>IFERROR(__xludf.DUMMYFUNCTION("""COMPUTED_VALUE"""),44411.66666666667)</f>
        <v>44411.66667</v>
      </c>
      <c r="C1113" s="9">
        <f>IFERROR(__xludf.DUMMYFUNCTION("""COMPUTED_VALUE"""),129.67)</f>
        <v>129.67</v>
      </c>
      <c r="E1113" s="17"/>
      <c r="M1113" s="17"/>
      <c r="P1113" s="17"/>
    </row>
    <row r="1114">
      <c r="B1114" s="11">
        <f>IFERROR(__xludf.DUMMYFUNCTION("""COMPUTED_VALUE"""),44410.66666666667)</f>
        <v>44410.66667</v>
      </c>
      <c r="C1114" s="9">
        <f>IFERROR(__xludf.DUMMYFUNCTION("""COMPUTED_VALUE"""),128.46)</f>
        <v>128.46</v>
      </c>
      <c r="E1114" s="17"/>
      <c r="M1114" s="17"/>
      <c r="P1114" s="17"/>
    </row>
    <row r="1115">
      <c r="B1115" s="11">
        <f>IFERROR(__xludf.DUMMYFUNCTION("""COMPUTED_VALUE"""),44407.66666666667)</f>
        <v>44407.66667</v>
      </c>
      <c r="C1115" s="9">
        <f>IFERROR(__xludf.DUMMYFUNCTION("""COMPUTED_VALUE"""),128.04)</f>
        <v>128.04</v>
      </c>
      <c r="E1115" s="17"/>
      <c r="M1115" s="17"/>
      <c r="P1115" s="17"/>
    </row>
    <row r="1116">
      <c r="B1116" s="11">
        <f>IFERROR(__xludf.DUMMYFUNCTION("""COMPUTED_VALUE"""),44406.66666666667)</f>
        <v>44406.66667</v>
      </c>
      <c r="C1116" s="9">
        <f>IFERROR(__xludf.DUMMYFUNCTION("""COMPUTED_VALUE"""),127.89)</f>
        <v>127.89</v>
      </c>
      <c r="E1116" s="17"/>
      <c r="M1116" s="17"/>
      <c r="P1116" s="17"/>
    </row>
    <row r="1117">
      <c r="B1117" s="11">
        <f>IFERROR(__xludf.DUMMYFUNCTION("""COMPUTED_VALUE"""),44405.66666666667)</f>
        <v>44405.66667</v>
      </c>
      <c r="C1117" s="9">
        <f>IFERROR(__xludf.DUMMYFUNCTION("""COMPUTED_VALUE"""),127.63)</f>
        <v>127.63</v>
      </c>
      <c r="E1117" s="17"/>
      <c r="M1117" s="17"/>
      <c r="P1117" s="17"/>
    </row>
    <row r="1118">
      <c r="B1118" s="11">
        <f>IFERROR(__xludf.DUMMYFUNCTION("""COMPUTED_VALUE"""),44404.66666666667)</f>
        <v>44404.66667</v>
      </c>
      <c r="C1118" s="9">
        <f>IFERROR(__xludf.DUMMYFUNCTION("""COMPUTED_VALUE"""),129.19)</f>
        <v>129.19</v>
      </c>
      <c r="E1118" s="17"/>
      <c r="M1118" s="17"/>
      <c r="P1118" s="17"/>
    </row>
    <row r="1119">
      <c r="B1119" s="11">
        <f>IFERROR(__xludf.DUMMYFUNCTION("""COMPUTED_VALUE"""),44403.66666666667)</f>
        <v>44403.66667</v>
      </c>
      <c r="C1119" s="9">
        <f>IFERROR(__xludf.DUMMYFUNCTION("""COMPUTED_VALUE"""),127.98)</f>
        <v>127.98</v>
      </c>
      <c r="E1119" s="17"/>
      <c r="M1119" s="17"/>
      <c r="P1119" s="17"/>
    </row>
    <row r="1120">
      <c r="B1120" s="11">
        <f>IFERROR(__xludf.DUMMYFUNCTION("""COMPUTED_VALUE"""),44400.66666666667)</f>
        <v>44400.66667</v>
      </c>
      <c r="C1120" s="9">
        <f>IFERROR(__xludf.DUMMYFUNCTION("""COMPUTED_VALUE"""),127.89)</f>
        <v>127.89</v>
      </c>
      <c r="E1120" s="17"/>
      <c r="M1120" s="17"/>
      <c r="P1120" s="17"/>
    </row>
    <row r="1121">
      <c r="B1121" s="11">
        <f>IFERROR(__xludf.DUMMYFUNCTION("""COMPUTED_VALUE"""),44399.66666666667)</f>
        <v>44399.66667</v>
      </c>
      <c r="C1121" s="9">
        <f>IFERROR(__xludf.DUMMYFUNCTION("""COMPUTED_VALUE"""),127.17)</f>
        <v>127.17</v>
      </c>
      <c r="E1121" s="17"/>
      <c r="M1121" s="17"/>
      <c r="P1121" s="17"/>
    </row>
    <row r="1122">
      <c r="B1122" s="11">
        <f>IFERROR(__xludf.DUMMYFUNCTION("""COMPUTED_VALUE"""),44398.66666666667)</f>
        <v>44398.66667</v>
      </c>
      <c r="C1122" s="9">
        <f>IFERROR(__xludf.DUMMYFUNCTION("""COMPUTED_VALUE"""),126.9)</f>
        <v>126.9</v>
      </c>
      <c r="E1122" s="17"/>
      <c r="M1122" s="17"/>
      <c r="P1122" s="17"/>
    </row>
    <row r="1123">
      <c r="B1123" s="11">
        <f>IFERROR(__xludf.DUMMYFUNCTION("""COMPUTED_VALUE"""),44397.66666666667)</f>
        <v>44397.66667</v>
      </c>
      <c r="C1123" s="9">
        <f>IFERROR(__xludf.DUMMYFUNCTION("""COMPUTED_VALUE"""),127.99)</f>
        <v>127.99</v>
      </c>
      <c r="E1123" s="17"/>
      <c r="M1123" s="17"/>
      <c r="P1123" s="17"/>
    </row>
    <row r="1124">
      <c r="B1124" s="11">
        <f>IFERROR(__xludf.DUMMYFUNCTION("""COMPUTED_VALUE"""),44396.66666666667)</f>
        <v>44396.66667</v>
      </c>
      <c r="C1124" s="9">
        <f>IFERROR(__xludf.DUMMYFUNCTION("""COMPUTED_VALUE"""),126.78)</f>
        <v>126.78</v>
      </c>
      <c r="E1124" s="17"/>
      <c r="M1124" s="17"/>
      <c r="P1124" s="17"/>
    </row>
    <row r="1125">
      <c r="B1125" s="11">
        <f>IFERROR(__xludf.DUMMYFUNCTION("""COMPUTED_VALUE"""),44393.66666666667)</f>
        <v>44393.66667</v>
      </c>
      <c r="C1125" s="9">
        <f>IFERROR(__xludf.DUMMYFUNCTION("""COMPUTED_VALUE"""),127.28)</f>
        <v>127.28</v>
      </c>
      <c r="E1125" s="17"/>
      <c r="M1125" s="17"/>
      <c r="P1125" s="17"/>
    </row>
    <row r="1126">
      <c r="B1126" s="11">
        <f>IFERROR(__xludf.DUMMYFUNCTION("""COMPUTED_VALUE"""),44392.66666666667)</f>
        <v>44392.66667</v>
      </c>
      <c r="C1126" s="9">
        <f>IFERROR(__xludf.DUMMYFUNCTION("""COMPUTED_VALUE"""),126.93)</f>
        <v>126.93</v>
      </c>
      <c r="E1126" s="17"/>
      <c r="M1126" s="17"/>
      <c r="P1126" s="17"/>
    </row>
    <row r="1127">
      <c r="B1127" s="11">
        <f>IFERROR(__xludf.DUMMYFUNCTION("""COMPUTED_VALUE"""),44391.66666666667)</f>
        <v>44391.66667</v>
      </c>
      <c r="C1127" s="9">
        <f>IFERROR(__xludf.DUMMYFUNCTION("""COMPUTED_VALUE"""),126.23)</f>
        <v>126.23</v>
      </c>
      <c r="E1127" s="17"/>
      <c r="M1127" s="17"/>
      <c r="P1127" s="17"/>
    </row>
    <row r="1128">
      <c r="B1128" s="11">
        <f>IFERROR(__xludf.DUMMYFUNCTION("""COMPUTED_VALUE"""),44390.66666666667)</f>
        <v>44390.66667</v>
      </c>
      <c r="C1128" s="9">
        <f>IFERROR(__xludf.DUMMYFUNCTION("""COMPUTED_VALUE"""),125.61)</f>
        <v>125.61</v>
      </c>
      <c r="E1128" s="17"/>
      <c r="M1128" s="17"/>
      <c r="P1128" s="17"/>
    </row>
    <row r="1129">
      <c r="B1129" s="11">
        <f>IFERROR(__xludf.DUMMYFUNCTION("""COMPUTED_VALUE"""),44389.66666666667)</f>
        <v>44389.66667</v>
      </c>
      <c r="C1129" s="9">
        <f>IFERROR(__xludf.DUMMYFUNCTION("""COMPUTED_VALUE"""),127.41)</f>
        <v>127.41</v>
      </c>
      <c r="E1129" s="17"/>
      <c r="M1129" s="17"/>
      <c r="P1129" s="17"/>
    </row>
    <row r="1130">
      <c r="B1130" s="11">
        <f>IFERROR(__xludf.DUMMYFUNCTION("""COMPUTED_VALUE"""),44386.66666666667)</f>
        <v>44386.66667</v>
      </c>
      <c r="C1130" s="9">
        <f>IFERROR(__xludf.DUMMYFUNCTION("""COMPUTED_VALUE"""),125.39)</f>
        <v>125.39</v>
      </c>
      <c r="E1130" s="17"/>
      <c r="M1130" s="17"/>
      <c r="P1130" s="17"/>
    </row>
    <row r="1131">
      <c r="B1131" s="11">
        <f>IFERROR(__xludf.DUMMYFUNCTION("""COMPUTED_VALUE"""),44385.66666666667)</f>
        <v>44385.66667</v>
      </c>
      <c r="C1131" s="9">
        <f>IFERROR(__xludf.DUMMYFUNCTION("""COMPUTED_VALUE"""),123.11)</f>
        <v>123.11</v>
      </c>
      <c r="E1131" s="17"/>
      <c r="M1131" s="17"/>
      <c r="P1131" s="17"/>
    </row>
    <row r="1132">
      <c r="B1132" s="11">
        <f>IFERROR(__xludf.DUMMYFUNCTION("""COMPUTED_VALUE"""),44384.66666666667)</f>
        <v>44384.66667</v>
      </c>
      <c r="C1132" s="9">
        <f>IFERROR(__xludf.DUMMYFUNCTION("""COMPUTED_VALUE"""),123.29)</f>
        <v>123.29</v>
      </c>
      <c r="E1132" s="17"/>
      <c r="M1132" s="17"/>
      <c r="P1132" s="17"/>
    </row>
    <row r="1133">
      <c r="B1133" s="11">
        <f>IFERROR(__xludf.DUMMYFUNCTION("""COMPUTED_VALUE"""),44383.66666666667)</f>
        <v>44383.66667</v>
      </c>
      <c r="C1133" s="9">
        <f>IFERROR(__xludf.DUMMYFUNCTION("""COMPUTED_VALUE"""),122.54)</f>
        <v>122.54</v>
      </c>
      <c r="E1133" s="17"/>
      <c r="M1133" s="17"/>
      <c r="P1133" s="17"/>
    </row>
    <row r="1134">
      <c r="B1134" s="11">
        <f>IFERROR(__xludf.DUMMYFUNCTION("""COMPUTED_VALUE"""),44379.66666666667)</f>
        <v>44379.66667</v>
      </c>
      <c r="C1134" s="9">
        <f>IFERROR(__xludf.DUMMYFUNCTION("""COMPUTED_VALUE"""),121.03)</f>
        <v>121.03</v>
      </c>
      <c r="E1134" s="17"/>
      <c r="M1134" s="17"/>
      <c r="P1134" s="17"/>
    </row>
    <row r="1135">
      <c r="B1135" s="11">
        <f>IFERROR(__xludf.DUMMYFUNCTION("""COMPUTED_VALUE"""),44378.66666666667)</f>
        <v>44378.66667</v>
      </c>
      <c r="C1135" s="9">
        <f>IFERROR(__xludf.DUMMYFUNCTION("""COMPUTED_VALUE"""),119.98)</f>
        <v>119.98</v>
      </c>
      <c r="E1135" s="17"/>
      <c r="M1135" s="17"/>
      <c r="P1135" s="17"/>
    </row>
    <row r="1136">
      <c r="B1136" s="11">
        <f>IFERROR(__xludf.DUMMYFUNCTION("""COMPUTED_VALUE"""),44377.66666666667)</f>
        <v>44377.66667</v>
      </c>
      <c r="C1136" s="9">
        <f>IFERROR(__xludf.DUMMYFUNCTION("""COMPUTED_VALUE"""),119.53)</f>
        <v>119.53</v>
      </c>
      <c r="E1136" s="17"/>
      <c r="M1136" s="17"/>
      <c r="P1136" s="17"/>
    </row>
    <row r="1137">
      <c r="B1137" s="11">
        <f>IFERROR(__xludf.DUMMYFUNCTION("""COMPUTED_VALUE"""),44376.66666666667)</f>
        <v>44376.66667</v>
      </c>
      <c r="C1137" s="9">
        <f>IFERROR(__xludf.DUMMYFUNCTION("""COMPUTED_VALUE"""),121.45)</f>
        <v>121.45</v>
      </c>
      <c r="E1137" s="17"/>
      <c r="M1137" s="17"/>
      <c r="P1137" s="17"/>
    </row>
    <row r="1138">
      <c r="B1138" s="11">
        <f>IFERROR(__xludf.DUMMYFUNCTION("""COMPUTED_VALUE"""),44375.66666666667)</f>
        <v>44375.66667</v>
      </c>
      <c r="C1138" s="9">
        <f>IFERROR(__xludf.DUMMYFUNCTION("""COMPUTED_VALUE"""),121.62)</f>
        <v>121.62</v>
      </c>
      <c r="E1138" s="17"/>
      <c r="M1138" s="17"/>
      <c r="P1138" s="17"/>
    </row>
    <row r="1139">
      <c r="B1139" s="11">
        <f>IFERROR(__xludf.DUMMYFUNCTION("""COMPUTED_VALUE"""),44372.66666666667)</f>
        <v>44372.66667</v>
      </c>
      <c r="C1139" s="9">
        <f>IFERROR(__xludf.DUMMYFUNCTION("""COMPUTED_VALUE"""),122.0)</f>
        <v>122</v>
      </c>
      <c r="E1139" s="17"/>
      <c r="M1139" s="17"/>
      <c r="P1139" s="17"/>
    </row>
    <row r="1140">
      <c r="B1140" s="11">
        <f>IFERROR(__xludf.DUMMYFUNCTION("""COMPUTED_VALUE"""),44371.66666666667)</f>
        <v>44371.66667</v>
      </c>
      <c r="C1140" s="9">
        <f>IFERROR(__xludf.DUMMYFUNCTION("""COMPUTED_VALUE"""),121.27)</f>
        <v>121.27</v>
      </c>
      <c r="E1140" s="17"/>
      <c r="M1140" s="17"/>
      <c r="P1140" s="17"/>
    </row>
    <row r="1141">
      <c r="B1141" s="11">
        <f>IFERROR(__xludf.DUMMYFUNCTION("""COMPUTED_VALUE"""),44370.66666666667)</f>
        <v>44370.66667</v>
      </c>
      <c r="C1141" s="9">
        <f>IFERROR(__xludf.DUMMYFUNCTION("""COMPUTED_VALUE"""),121.12)</f>
        <v>121.12</v>
      </c>
      <c r="E1141" s="17"/>
      <c r="M1141" s="17"/>
      <c r="P1141" s="17"/>
    </row>
    <row r="1142">
      <c r="B1142" s="11">
        <f>IFERROR(__xludf.DUMMYFUNCTION("""COMPUTED_VALUE"""),44369.66666666667)</f>
        <v>44369.66667</v>
      </c>
      <c r="C1142" s="9">
        <f>IFERROR(__xludf.DUMMYFUNCTION("""COMPUTED_VALUE"""),121.98)</f>
        <v>121.98</v>
      </c>
      <c r="E1142" s="17"/>
      <c r="M1142" s="17"/>
      <c r="P1142" s="17"/>
    </row>
    <row r="1143">
      <c r="B1143" s="11">
        <f>IFERROR(__xludf.DUMMYFUNCTION("""COMPUTED_VALUE"""),44368.66666666667)</f>
        <v>44368.66667</v>
      </c>
      <c r="C1143" s="9">
        <f>IFERROR(__xludf.DUMMYFUNCTION("""COMPUTED_VALUE"""),122.59)</f>
        <v>122.59</v>
      </c>
      <c r="E1143" s="17"/>
      <c r="M1143" s="17"/>
      <c r="P1143" s="17"/>
    </row>
    <row r="1144">
      <c r="B1144" s="11">
        <f>IFERROR(__xludf.DUMMYFUNCTION("""COMPUTED_VALUE"""),44365.66666666667)</f>
        <v>44365.66667</v>
      </c>
      <c r="C1144" s="9">
        <f>IFERROR(__xludf.DUMMYFUNCTION("""COMPUTED_VALUE"""),119.57)</f>
        <v>119.57</v>
      </c>
      <c r="E1144" s="17"/>
      <c r="M1144" s="17"/>
      <c r="P1144" s="17"/>
    </row>
    <row r="1145">
      <c r="B1145" s="11">
        <f>IFERROR(__xludf.DUMMYFUNCTION("""COMPUTED_VALUE"""),44364.66666666667)</f>
        <v>44364.66667</v>
      </c>
      <c r="C1145" s="9">
        <f>IFERROR(__xludf.DUMMYFUNCTION("""COMPUTED_VALUE"""),122.61)</f>
        <v>122.61</v>
      </c>
      <c r="E1145" s="17"/>
      <c r="M1145" s="17"/>
      <c r="P1145" s="17"/>
    </row>
    <row r="1146">
      <c r="B1146" s="11">
        <f>IFERROR(__xludf.DUMMYFUNCTION("""COMPUTED_VALUE"""),44363.66666666667)</f>
        <v>44363.66667</v>
      </c>
      <c r="C1146" s="9">
        <f>IFERROR(__xludf.DUMMYFUNCTION("""COMPUTED_VALUE"""),121.42)</f>
        <v>121.42</v>
      </c>
      <c r="E1146" s="17"/>
      <c r="M1146" s="17"/>
      <c r="P1146" s="17"/>
    </row>
    <row r="1147">
      <c r="B1147" s="11">
        <f>IFERROR(__xludf.DUMMYFUNCTION("""COMPUTED_VALUE"""),44362.66666666667)</f>
        <v>44362.66667</v>
      </c>
      <c r="C1147" s="9">
        <f>IFERROR(__xludf.DUMMYFUNCTION("""COMPUTED_VALUE"""),123.14)</f>
        <v>123.14</v>
      </c>
      <c r="E1147" s="17"/>
      <c r="M1147" s="17"/>
      <c r="P1147" s="17"/>
    </row>
    <row r="1148">
      <c r="B1148" s="11">
        <f>IFERROR(__xludf.DUMMYFUNCTION("""COMPUTED_VALUE"""),44361.66666666667)</f>
        <v>44361.66667</v>
      </c>
      <c r="C1148" s="9">
        <f>IFERROR(__xludf.DUMMYFUNCTION("""COMPUTED_VALUE"""),126.16)</f>
        <v>126.16</v>
      </c>
      <c r="E1148" s="17"/>
      <c r="M1148" s="17"/>
      <c r="P1148" s="17"/>
    </row>
    <row r="1149">
      <c r="B1149" s="11">
        <f>IFERROR(__xludf.DUMMYFUNCTION("""COMPUTED_VALUE"""),44358.66666666667)</f>
        <v>44358.66667</v>
      </c>
      <c r="C1149" s="9">
        <f>IFERROR(__xludf.DUMMYFUNCTION("""COMPUTED_VALUE"""),124.71)</f>
        <v>124.71</v>
      </c>
      <c r="E1149" s="17"/>
      <c r="M1149" s="17"/>
      <c r="P1149" s="17"/>
    </row>
    <row r="1150">
      <c r="B1150" s="11">
        <f>IFERROR(__xludf.DUMMYFUNCTION("""COMPUTED_VALUE"""),44357.66666666667)</f>
        <v>44357.66667</v>
      </c>
      <c r="C1150" s="9">
        <f>IFERROR(__xludf.DUMMYFUNCTION("""COMPUTED_VALUE"""),126.28)</f>
        <v>126.28</v>
      </c>
      <c r="E1150" s="17"/>
      <c r="M1150" s="17"/>
      <c r="P1150" s="17"/>
    </row>
    <row r="1151">
      <c r="B1151" s="11">
        <f>IFERROR(__xludf.DUMMYFUNCTION("""COMPUTED_VALUE"""),44356.66666666667)</f>
        <v>44356.66667</v>
      </c>
      <c r="C1151" s="9">
        <f>IFERROR(__xludf.DUMMYFUNCTION("""COMPUTED_VALUE"""),123.61)</f>
        <v>123.61</v>
      </c>
      <c r="E1151" s="17"/>
      <c r="M1151" s="17"/>
      <c r="P1151" s="17"/>
    </row>
    <row r="1152">
      <c r="B1152" s="11">
        <f>IFERROR(__xludf.DUMMYFUNCTION("""COMPUTED_VALUE"""),44355.66666666667)</f>
        <v>44355.66667</v>
      </c>
      <c r="C1152" s="9">
        <f>IFERROR(__xludf.DUMMYFUNCTION("""COMPUTED_VALUE"""),123.66)</f>
        <v>123.66</v>
      </c>
      <c r="E1152" s="17"/>
      <c r="M1152" s="17"/>
      <c r="P1152" s="17"/>
    </row>
    <row r="1153">
      <c r="B1153" s="11">
        <f>IFERROR(__xludf.DUMMYFUNCTION("""COMPUTED_VALUE"""),44354.66666666667)</f>
        <v>44354.66667</v>
      </c>
      <c r="C1153" s="9">
        <f>IFERROR(__xludf.DUMMYFUNCTION("""COMPUTED_VALUE"""),122.68)</f>
        <v>122.68</v>
      </c>
      <c r="E1153" s="17"/>
      <c r="M1153" s="17"/>
      <c r="P1153" s="17"/>
    </row>
    <row r="1154">
      <c r="B1154" s="11">
        <f>IFERROR(__xludf.DUMMYFUNCTION("""COMPUTED_VALUE"""),44351.66666666667)</f>
        <v>44351.66667</v>
      </c>
      <c r="C1154" s="9">
        <f>IFERROR(__xludf.DUMMYFUNCTION("""COMPUTED_VALUE"""),122.39)</f>
        <v>122.39</v>
      </c>
      <c r="E1154" s="17"/>
      <c r="M1154" s="17"/>
      <c r="P1154" s="17"/>
    </row>
    <row r="1155">
      <c r="B1155" s="11">
        <f>IFERROR(__xludf.DUMMYFUNCTION("""COMPUTED_VALUE"""),44350.66666666667)</f>
        <v>44350.66667</v>
      </c>
      <c r="C1155" s="9">
        <f>IFERROR(__xludf.DUMMYFUNCTION("""COMPUTED_VALUE"""),121.87)</f>
        <v>121.87</v>
      </c>
      <c r="E1155" s="17"/>
      <c r="M1155" s="17"/>
      <c r="P1155" s="17"/>
    </row>
    <row r="1156">
      <c r="B1156" s="11">
        <f>IFERROR(__xludf.DUMMYFUNCTION("""COMPUTED_VALUE"""),44349.66666666667)</f>
        <v>44349.66667</v>
      </c>
      <c r="C1156" s="9">
        <f>IFERROR(__xludf.DUMMYFUNCTION("""COMPUTED_VALUE"""),121.74)</f>
        <v>121.74</v>
      </c>
      <c r="E1156" s="17"/>
      <c r="M1156" s="17"/>
      <c r="P1156" s="17"/>
    </row>
    <row r="1157">
      <c r="B1157" s="11">
        <f>IFERROR(__xludf.DUMMYFUNCTION("""COMPUTED_VALUE"""),44348.66666666667)</f>
        <v>44348.66667</v>
      </c>
      <c r="C1157" s="9">
        <f>IFERROR(__xludf.DUMMYFUNCTION("""COMPUTED_VALUE"""),119.83)</f>
        <v>119.83</v>
      </c>
      <c r="E1157" s="17"/>
      <c r="M1157" s="17"/>
      <c r="P1157" s="17"/>
    </row>
    <row r="1158">
      <c r="B1158" s="11">
        <f>IFERROR(__xludf.DUMMYFUNCTION("""COMPUTED_VALUE"""),44344.66666666667)</f>
        <v>44344.66667</v>
      </c>
      <c r="C1158" s="9">
        <f>IFERROR(__xludf.DUMMYFUNCTION("""COMPUTED_VALUE"""),117.84)</f>
        <v>117.84</v>
      </c>
      <c r="E1158" s="17"/>
      <c r="M1158" s="17"/>
      <c r="P1158" s="17"/>
    </row>
    <row r="1159">
      <c r="B1159" s="11">
        <f>IFERROR(__xludf.DUMMYFUNCTION("""COMPUTED_VALUE"""),44343.66666666667)</f>
        <v>44343.66667</v>
      </c>
      <c r="C1159" s="9">
        <f>IFERROR(__xludf.DUMMYFUNCTION("""COMPUTED_VALUE"""),116.86)</f>
        <v>116.86</v>
      </c>
      <c r="E1159" s="17"/>
      <c r="M1159" s="17"/>
      <c r="P1159" s="17"/>
    </row>
    <row r="1160">
      <c r="B1160" s="11">
        <f>IFERROR(__xludf.DUMMYFUNCTION("""COMPUTED_VALUE"""),44342.66666666667)</f>
        <v>44342.66667</v>
      </c>
      <c r="C1160" s="9">
        <f>IFERROR(__xludf.DUMMYFUNCTION("""COMPUTED_VALUE"""),117.51)</f>
        <v>117.51</v>
      </c>
      <c r="E1160" s="17"/>
      <c r="M1160" s="17"/>
      <c r="P1160" s="17"/>
    </row>
    <row r="1161">
      <c r="B1161" s="11">
        <f>IFERROR(__xludf.DUMMYFUNCTION("""COMPUTED_VALUE"""),44341.66666666667)</f>
        <v>44341.66667</v>
      </c>
      <c r="C1161" s="9">
        <f>IFERROR(__xludf.DUMMYFUNCTION("""COMPUTED_VALUE"""),118.18)</f>
        <v>118.18</v>
      </c>
      <c r="E1161" s="17"/>
      <c r="M1161" s="17"/>
      <c r="P1161" s="17"/>
    </row>
    <row r="1162">
      <c r="B1162" s="11">
        <f>IFERROR(__xludf.DUMMYFUNCTION("""COMPUTED_VALUE"""),44340.66666666667)</f>
        <v>44340.66667</v>
      </c>
      <c r="C1162" s="9">
        <f>IFERROR(__xludf.DUMMYFUNCTION("""COMPUTED_VALUE"""),118.15)</f>
        <v>118.15</v>
      </c>
      <c r="E1162" s="17"/>
      <c r="M1162" s="17"/>
      <c r="P1162" s="17"/>
    </row>
    <row r="1163">
      <c r="B1163" s="11">
        <f>IFERROR(__xludf.DUMMYFUNCTION("""COMPUTED_VALUE"""),44337.66666666667)</f>
        <v>44337.66667</v>
      </c>
      <c r="C1163" s="9">
        <f>IFERROR(__xludf.DUMMYFUNCTION("""COMPUTED_VALUE"""),117.53)</f>
        <v>117.53</v>
      </c>
      <c r="E1163" s="17"/>
      <c r="M1163" s="17"/>
      <c r="P1163" s="17"/>
    </row>
    <row r="1164">
      <c r="B1164" s="11">
        <f>IFERROR(__xludf.DUMMYFUNCTION("""COMPUTED_VALUE"""),44336.66666666667)</f>
        <v>44336.66667</v>
      </c>
      <c r="C1164" s="9">
        <f>IFERROR(__xludf.DUMMYFUNCTION("""COMPUTED_VALUE"""),117.36)</f>
        <v>117.36</v>
      </c>
      <c r="E1164" s="17"/>
      <c r="M1164" s="17"/>
      <c r="P1164" s="17"/>
    </row>
    <row r="1165">
      <c r="B1165" s="11">
        <f>IFERROR(__xludf.DUMMYFUNCTION("""COMPUTED_VALUE"""),44335.66666666667)</f>
        <v>44335.66667</v>
      </c>
      <c r="C1165" s="9">
        <f>IFERROR(__xludf.DUMMYFUNCTION("""COMPUTED_VALUE"""),115.35)</f>
        <v>115.35</v>
      </c>
      <c r="E1165" s="17"/>
      <c r="M1165" s="17"/>
      <c r="P1165" s="17"/>
    </row>
    <row r="1166">
      <c r="B1166" s="11">
        <f>IFERROR(__xludf.DUMMYFUNCTION("""COMPUTED_VALUE"""),44334.66666666667)</f>
        <v>44334.66667</v>
      </c>
      <c r="C1166" s="9">
        <f>IFERROR(__xludf.DUMMYFUNCTION("""COMPUTED_VALUE"""),114.98)</f>
        <v>114.98</v>
      </c>
      <c r="E1166" s="17"/>
      <c r="M1166" s="17"/>
      <c r="P1166" s="17"/>
    </row>
    <row r="1167">
      <c r="B1167" s="11">
        <f>IFERROR(__xludf.DUMMYFUNCTION("""COMPUTED_VALUE"""),44333.66666666667)</f>
        <v>44333.66667</v>
      </c>
      <c r="C1167" s="9">
        <f>IFERROR(__xludf.DUMMYFUNCTION("""COMPUTED_VALUE"""),114.19)</f>
        <v>114.19</v>
      </c>
      <c r="E1167" s="17"/>
      <c r="M1167" s="17"/>
      <c r="P1167" s="17"/>
    </row>
    <row r="1168">
      <c r="B1168" s="11">
        <f>IFERROR(__xludf.DUMMYFUNCTION("""COMPUTED_VALUE"""),44330.66666666667)</f>
        <v>44330.66667</v>
      </c>
      <c r="C1168" s="9">
        <f>IFERROR(__xludf.DUMMYFUNCTION("""COMPUTED_VALUE"""),114.65)</f>
        <v>114.65</v>
      </c>
      <c r="E1168" s="17"/>
      <c r="M1168" s="17"/>
      <c r="P1168" s="17"/>
    </row>
    <row r="1169">
      <c r="B1169" s="11">
        <f>IFERROR(__xludf.DUMMYFUNCTION("""COMPUTED_VALUE"""),44329.66666666667)</f>
        <v>44329.66667</v>
      </c>
      <c r="C1169" s="9">
        <f>IFERROR(__xludf.DUMMYFUNCTION("""COMPUTED_VALUE"""),113.5)</f>
        <v>113.5</v>
      </c>
      <c r="E1169" s="17"/>
      <c r="M1169" s="17"/>
      <c r="P1169" s="17"/>
    </row>
    <row r="1170">
      <c r="B1170" s="11">
        <f>IFERROR(__xludf.DUMMYFUNCTION("""COMPUTED_VALUE"""),44328.66666666667)</f>
        <v>44328.66667</v>
      </c>
      <c r="C1170" s="9">
        <f>IFERROR(__xludf.DUMMYFUNCTION("""COMPUTED_VALUE"""),112.37)</f>
        <v>112.37</v>
      </c>
      <c r="E1170" s="17"/>
      <c r="M1170" s="17"/>
      <c r="P1170" s="17"/>
    </row>
    <row r="1171">
      <c r="B1171" s="11">
        <f>IFERROR(__xludf.DUMMYFUNCTION("""COMPUTED_VALUE"""),44327.66666666667)</f>
        <v>44327.66667</v>
      </c>
      <c r="C1171" s="9">
        <f>IFERROR(__xludf.DUMMYFUNCTION("""COMPUTED_VALUE"""),114.86)</f>
        <v>114.86</v>
      </c>
      <c r="E1171" s="17"/>
      <c r="M1171" s="17"/>
      <c r="P1171" s="17"/>
    </row>
    <row r="1172">
      <c r="B1172" s="11">
        <f>IFERROR(__xludf.DUMMYFUNCTION("""COMPUTED_VALUE"""),44326.66666666667)</f>
        <v>44326.66667</v>
      </c>
      <c r="C1172" s="9">
        <f>IFERROR(__xludf.DUMMYFUNCTION("""COMPUTED_VALUE"""),116.2)</f>
        <v>116.2</v>
      </c>
      <c r="E1172" s="17"/>
      <c r="M1172" s="17"/>
      <c r="P1172" s="17"/>
    </row>
    <row r="1173">
      <c r="B1173" s="11">
        <f>IFERROR(__xludf.DUMMYFUNCTION("""COMPUTED_VALUE"""),44323.66666666667)</f>
        <v>44323.66667</v>
      </c>
      <c r="C1173" s="9">
        <f>IFERROR(__xludf.DUMMYFUNCTION("""COMPUTED_VALUE"""),116.02)</f>
        <v>116.02</v>
      </c>
      <c r="E1173" s="17"/>
      <c r="M1173" s="17"/>
      <c r="P1173" s="17"/>
    </row>
    <row r="1174">
      <c r="B1174" s="11">
        <f>IFERROR(__xludf.DUMMYFUNCTION("""COMPUTED_VALUE"""),44322.66666666667)</f>
        <v>44322.66667</v>
      </c>
      <c r="C1174" s="9">
        <f>IFERROR(__xludf.DUMMYFUNCTION("""COMPUTED_VALUE"""),114.72)</f>
        <v>114.72</v>
      </c>
      <c r="E1174" s="17"/>
      <c r="M1174" s="17"/>
      <c r="P1174" s="17"/>
    </row>
    <row r="1175">
      <c r="B1175" s="11">
        <f>IFERROR(__xludf.DUMMYFUNCTION("""COMPUTED_VALUE"""),44321.66666666667)</f>
        <v>44321.66667</v>
      </c>
      <c r="C1175" s="9">
        <f>IFERROR(__xludf.DUMMYFUNCTION("""COMPUTED_VALUE"""),113.01)</f>
        <v>113.01</v>
      </c>
      <c r="E1175" s="17"/>
      <c r="M1175" s="17"/>
      <c r="P1175" s="17"/>
    </row>
    <row r="1176">
      <c r="B1176" s="11">
        <f>IFERROR(__xludf.DUMMYFUNCTION("""COMPUTED_VALUE"""),44320.66666666667)</f>
        <v>44320.66667</v>
      </c>
      <c r="C1176" s="9">
        <f>IFERROR(__xludf.DUMMYFUNCTION("""COMPUTED_VALUE"""),115.6)</f>
        <v>115.6</v>
      </c>
      <c r="E1176" s="17"/>
      <c r="M1176" s="17"/>
      <c r="P1176" s="17"/>
    </row>
    <row r="1177">
      <c r="B1177" s="11">
        <f>IFERROR(__xludf.DUMMYFUNCTION("""COMPUTED_VALUE"""),44319.66666666667)</f>
        <v>44319.66667</v>
      </c>
      <c r="C1177" s="9">
        <f>IFERROR(__xludf.DUMMYFUNCTION("""COMPUTED_VALUE"""),116.01)</f>
        <v>116.01</v>
      </c>
      <c r="E1177" s="17"/>
      <c r="M1177" s="17"/>
      <c r="P1177" s="17"/>
    </row>
    <row r="1178">
      <c r="B1178" s="11">
        <f>IFERROR(__xludf.DUMMYFUNCTION("""COMPUTED_VALUE"""),44316.66666666667)</f>
        <v>44316.66667</v>
      </c>
      <c r="C1178" s="9">
        <f>IFERROR(__xludf.DUMMYFUNCTION("""COMPUTED_VALUE"""),116.53)</f>
        <v>116.53</v>
      </c>
      <c r="E1178" s="17"/>
      <c r="M1178" s="17"/>
      <c r="P1178" s="17"/>
    </row>
    <row r="1179">
      <c r="B1179" s="11">
        <f>IFERROR(__xludf.DUMMYFUNCTION("""COMPUTED_VALUE"""),44315.66666666667)</f>
        <v>44315.66667</v>
      </c>
      <c r="C1179" s="9">
        <f>IFERROR(__xludf.DUMMYFUNCTION("""COMPUTED_VALUE"""),116.27)</f>
        <v>116.27</v>
      </c>
      <c r="E1179" s="17"/>
      <c r="M1179" s="17"/>
      <c r="P1179" s="17"/>
    </row>
    <row r="1180">
      <c r="B1180" s="11">
        <f>IFERROR(__xludf.DUMMYFUNCTION("""COMPUTED_VALUE"""),44314.66666666667)</f>
        <v>44314.66667</v>
      </c>
      <c r="C1180" s="9">
        <f>IFERROR(__xludf.DUMMYFUNCTION("""COMPUTED_VALUE"""),115.1)</f>
        <v>115.1</v>
      </c>
      <c r="E1180" s="17"/>
      <c r="M1180" s="17"/>
      <c r="P1180" s="17"/>
    </row>
    <row r="1181">
      <c r="B1181" s="11">
        <f>IFERROR(__xludf.DUMMYFUNCTION("""COMPUTED_VALUE"""),44313.66666666667)</f>
        <v>44313.66667</v>
      </c>
      <c r="C1181" s="9">
        <f>IFERROR(__xludf.DUMMYFUNCTION("""COMPUTED_VALUE"""),114.85)</f>
        <v>114.85</v>
      </c>
      <c r="E1181" s="17"/>
      <c r="M1181" s="17"/>
      <c r="P1181" s="17"/>
    </row>
    <row r="1182">
      <c r="B1182" s="11">
        <f>IFERROR(__xludf.DUMMYFUNCTION("""COMPUTED_VALUE"""),44312.66666666667)</f>
        <v>44312.66667</v>
      </c>
      <c r="C1182" s="9">
        <f>IFERROR(__xludf.DUMMYFUNCTION("""COMPUTED_VALUE"""),115.22)</f>
        <v>115.22</v>
      </c>
      <c r="E1182" s="17"/>
      <c r="M1182" s="17"/>
      <c r="P1182" s="17"/>
    </row>
    <row r="1183">
      <c r="B1183" s="11">
        <f>IFERROR(__xludf.DUMMYFUNCTION("""COMPUTED_VALUE"""),44309.66666666667)</f>
        <v>44309.66667</v>
      </c>
      <c r="C1183" s="9">
        <f>IFERROR(__xludf.DUMMYFUNCTION("""COMPUTED_VALUE"""),114.87)</f>
        <v>114.87</v>
      </c>
      <c r="E1183" s="17"/>
      <c r="M1183" s="17"/>
      <c r="P1183" s="17"/>
    </row>
    <row r="1184">
      <c r="B1184" s="11">
        <f>IFERROR(__xludf.DUMMYFUNCTION("""COMPUTED_VALUE"""),44308.66666666667)</f>
        <v>44308.66667</v>
      </c>
      <c r="C1184" s="9">
        <f>IFERROR(__xludf.DUMMYFUNCTION("""COMPUTED_VALUE"""),114.68)</f>
        <v>114.68</v>
      </c>
      <c r="E1184" s="17"/>
      <c r="M1184" s="17"/>
      <c r="P1184" s="17"/>
    </row>
    <row r="1185">
      <c r="B1185" s="11">
        <f>IFERROR(__xludf.DUMMYFUNCTION("""COMPUTED_VALUE"""),44307.66666666667)</f>
        <v>44307.66667</v>
      </c>
      <c r="C1185" s="9">
        <f>IFERROR(__xludf.DUMMYFUNCTION("""COMPUTED_VALUE"""),114.71)</f>
        <v>114.71</v>
      </c>
      <c r="E1185" s="17"/>
      <c r="M1185" s="17"/>
      <c r="P1185" s="17"/>
    </row>
    <row r="1186">
      <c r="B1186" s="11">
        <f>IFERROR(__xludf.DUMMYFUNCTION("""COMPUTED_VALUE"""),44306.66666666667)</f>
        <v>44306.66667</v>
      </c>
      <c r="C1186" s="9">
        <f>IFERROR(__xludf.DUMMYFUNCTION("""COMPUTED_VALUE"""),114.75)</f>
        <v>114.75</v>
      </c>
      <c r="E1186" s="17"/>
      <c r="M1186" s="17"/>
      <c r="P1186" s="17"/>
    </row>
    <row r="1187">
      <c r="B1187" s="11">
        <f>IFERROR(__xludf.DUMMYFUNCTION("""COMPUTED_VALUE"""),44305.66666666667)</f>
        <v>44305.66667</v>
      </c>
      <c r="C1187" s="9">
        <f>IFERROR(__xludf.DUMMYFUNCTION("""COMPUTED_VALUE"""),112.25)</f>
        <v>112.25</v>
      </c>
      <c r="E1187" s="17"/>
      <c r="M1187" s="17"/>
      <c r="P1187" s="17"/>
    </row>
    <row r="1188">
      <c r="B1188" s="11">
        <f>IFERROR(__xludf.DUMMYFUNCTION("""COMPUTED_VALUE"""),44302.66666666667)</f>
        <v>44302.66667</v>
      </c>
      <c r="C1188" s="9">
        <f>IFERROR(__xludf.DUMMYFUNCTION("""COMPUTED_VALUE"""),112.56)</f>
        <v>112.56</v>
      </c>
      <c r="E1188" s="17"/>
      <c r="M1188" s="17"/>
      <c r="P1188" s="17"/>
    </row>
    <row r="1189">
      <c r="B1189" s="11">
        <f>IFERROR(__xludf.DUMMYFUNCTION("""COMPUTED_VALUE"""),44301.66666666667)</f>
        <v>44301.66667</v>
      </c>
      <c r="C1189" s="9">
        <f>IFERROR(__xludf.DUMMYFUNCTION("""COMPUTED_VALUE"""),112.36)</f>
        <v>112.36</v>
      </c>
      <c r="E1189" s="17"/>
      <c r="M1189" s="17"/>
      <c r="P1189" s="17"/>
    </row>
    <row r="1190">
      <c r="B1190" s="11">
        <f>IFERROR(__xludf.DUMMYFUNCTION("""COMPUTED_VALUE"""),44300.66666666667)</f>
        <v>44300.66667</v>
      </c>
      <c r="C1190" s="9">
        <f>IFERROR(__xludf.DUMMYFUNCTION("""COMPUTED_VALUE"""),109.66)</f>
        <v>109.66</v>
      </c>
      <c r="E1190" s="17"/>
      <c r="M1190" s="17"/>
      <c r="P1190" s="17"/>
    </row>
    <row r="1191">
      <c r="B1191" s="11">
        <f>IFERROR(__xludf.DUMMYFUNCTION("""COMPUTED_VALUE"""),44299.66666666667)</f>
        <v>44299.66667</v>
      </c>
      <c r="C1191" s="9">
        <f>IFERROR(__xludf.DUMMYFUNCTION("""COMPUTED_VALUE"""),110.78)</f>
        <v>110.78</v>
      </c>
      <c r="E1191" s="17"/>
      <c r="M1191" s="17"/>
      <c r="P1191" s="17"/>
    </row>
    <row r="1192">
      <c r="B1192" s="11">
        <f>IFERROR(__xludf.DUMMYFUNCTION("""COMPUTED_VALUE"""),44298.66666666667)</f>
        <v>44298.66667</v>
      </c>
      <c r="C1192" s="9">
        <f>IFERROR(__xludf.DUMMYFUNCTION("""COMPUTED_VALUE"""),109.84)</f>
        <v>109.84</v>
      </c>
      <c r="E1192" s="17"/>
      <c r="M1192" s="17"/>
      <c r="P1192" s="17"/>
    </row>
    <row r="1193">
      <c r="B1193" s="11">
        <f>IFERROR(__xludf.DUMMYFUNCTION("""COMPUTED_VALUE"""),44295.66666666667)</f>
        <v>44295.66667</v>
      </c>
      <c r="C1193" s="9">
        <f>IFERROR(__xludf.DUMMYFUNCTION("""COMPUTED_VALUE"""),109.51)</f>
        <v>109.51</v>
      </c>
      <c r="E1193" s="17"/>
      <c r="M1193" s="17"/>
      <c r="P1193" s="17"/>
    </row>
    <row r="1194">
      <c r="B1194" s="11">
        <f>IFERROR(__xludf.DUMMYFUNCTION("""COMPUTED_VALUE"""),44294.66666666667)</f>
        <v>44294.66667</v>
      </c>
      <c r="C1194" s="9">
        <f>IFERROR(__xludf.DUMMYFUNCTION("""COMPUTED_VALUE"""),108.44)</f>
        <v>108.44</v>
      </c>
      <c r="E1194" s="17"/>
      <c r="M1194" s="17"/>
      <c r="P1194" s="17"/>
    </row>
    <row r="1195">
      <c r="B1195" s="11">
        <f>IFERROR(__xludf.DUMMYFUNCTION("""COMPUTED_VALUE"""),44293.66666666667)</f>
        <v>44293.66667</v>
      </c>
      <c r="C1195" s="9">
        <f>IFERROR(__xludf.DUMMYFUNCTION("""COMPUTED_VALUE"""),109.63)</f>
        <v>109.63</v>
      </c>
      <c r="E1195" s="17"/>
      <c r="M1195" s="17"/>
      <c r="P1195" s="17"/>
    </row>
    <row r="1196">
      <c r="B1196" s="11">
        <f>IFERROR(__xludf.DUMMYFUNCTION("""COMPUTED_VALUE"""),44292.66666666667)</f>
        <v>44292.66667</v>
      </c>
      <c r="C1196" s="9">
        <f>IFERROR(__xludf.DUMMYFUNCTION("""COMPUTED_VALUE"""),109.32)</f>
        <v>109.32</v>
      </c>
      <c r="E1196" s="17"/>
      <c r="M1196" s="17"/>
      <c r="P1196" s="17"/>
    </row>
    <row r="1197">
      <c r="B1197" s="11">
        <f>IFERROR(__xludf.DUMMYFUNCTION("""COMPUTED_VALUE"""),44291.66666666667)</f>
        <v>44291.66667</v>
      </c>
      <c r="C1197" s="9">
        <f>IFERROR(__xludf.DUMMYFUNCTION("""COMPUTED_VALUE"""),108.37)</f>
        <v>108.37</v>
      </c>
      <c r="E1197" s="17"/>
      <c r="M1197" s="17"/>
      <c r="P1197" s="17"/>
    </row>
    <row r="1198">
      <c r="B1198" s="11">
        <f>IFERROR(__xludf.DUMMYFUNCTION("""COMPUTED_VALUE"""),44287.66666666667)</f>
        <v>44287.66667</v>
      </c>
      <c r="C1198" s="9">
        <f>IFERROR(__xludf.DUMMYFUNCTION("""COMPUTED_VALUE"""),108.5)</f>
        <v>108.5</v>
      </c>
      <c r="E1198" s="17"/>
      <c r="M1198" s="17"/>
      <c r="P1198" s="17"/>
    </row>
    <row r="1199">
      <c r="B1199" s="11">
        <f>IFERROR(__xludf.DUMMYFUNCTION("""COMPUTED_VALUE"""),44286.66666666667)</f>
        <v>44286.66667</v>
      </c>
      <c r="C1199" s="9">
        <f>IFERROR(__xludf.DUMMYFUNCTION("""COMPUTED_VALUE"""),106.0)</f>
        <v>106</v>
      </c>
      <c r="E1199" s="17"/>
      <c r="M1199" s="17"/>
      <c r="P1199" s="17"/>
    </row>
    <row r="1200">
      <c r="B1200" s="11">
        <f>IFERROR(__xludf.DUMMYFUNCTION("""COMPUTED_VALUE"""),44285.66666666667)</f>
        <v>44285.66667</v>
      </c>
      <c r="C1200" s="9">
        <f>IFERROR(__xludf.DUMMYFUNCTION("""COMPUTED_VALUE"""),106.76)</f>
        <v>106.76</v>
      </c>
      <c r="E1200" s="17"/>
      <c r="M1200" s="17"/>
      <c r="P1200" s="17"/>
    </row>
    <row r="1201">
      <c r="B1201" s="11">
        <f>IFERROR(__xludf.DUMMYFUNCTION("""COMPUTED_VALUE"""),44284.66666666667)</f>
        <v>44284.66667</v>
      </c>
      <c r="C1201" s="9">
        <f>IFERROR(__xludf.DUMMYFUNCTION("""COMPUTED_VALUE"""),106.77)</f>
        <v>106.77</v>
      </c>
      <c r="E1201" s="17"/>
      <c r="M1201" s="17"/>
      <c r="P1201" s="17"/>
    </row>
    <row r="1202">
      <c r="B1202" s="11">
        <f>IFERROR(__xludf.DUMMYFUNCTION("""COMPUTED_VALUE"""),44281.66666666667)</f>
        <v>44281.66667</v>
      </c>
      <c r="C1202" s="9">
        <f>IFERROR(__xludf.DUMMYFUNCTION("""COMPUTED_VALUE"""),106.78)</f>
        <v>106.78</v>
      </c>
      <c r="E1202" s="17"/>
      <c r="M1202" s="17"/>
      <c r="P1202" s="17"/>
    </row>
    <row r="1203">
      <c r="B1203" s="11">
        <f>IFERROR(__xludf.DUMMYFUNCTION("""COMPUTED_VALUE"""),44280.66666666667)</f>
        <v>44280.66667</v>
      </c>
      <c r="C1203" s="9">
        <f>IFERROR(__xludf.DUMMYFUNCTION("""COMPUTED_VALUE"""),104.43)</f>
        <v>104.43</v>
      </c>
      <c r="E1203" s="17"/>
      <c r="M1203" s="17"/>
      <c r="P1203" s="17"/>
    </row>
    <row r="1204">
      <c r="B1204" s="11">
        <f>IFERROR(__xludf.DUMMYFUNCTION("""COMPUTED_VALUE"""),44279.66666666667)</f>
        <v>44279.66667</v>
      </c>
      <c r="C1204" s="9">
        <f>IFERROR(__xludf.DUMMYFUNCTION("""COMPUTED_VALUE"""),103.82)</f>
        <v>103.82</v>
      </c>
      <c r="E1204" s="17"/>
      <c r="M1204" s="17"/>
      <c r="P1204" s="17"/>
    </row>
    <row r="1205">
      <c r="B1205" s="11">
        <f>IFERROR(__xludf.DUMMYFUNCTION("""COMPUTED_VALUE"""),44278.66666666667)</f>
        <v>44278.66667</v>
      </c>
      <c r="C1205" s="9">
        <f>IFERROR(__xludf.DUMMYFUNCTION("""COMPUTED_VALUE"""),105.2)</f>
        <v>105.2</v>
      </c>
      <c r="E1205" s="17"/>
      <c r="M1205" s="17"/>
      <c r="P1205" s="17"/>
    </row>
    <row r="1206">
      <c r="B1206" s="11">
        <f>IFERROR(__xludf.DUMMYFUNCTION("""COMPUTED_VALUE"""),44277.66666666667)</f>
        <v>44277.66667</v>
      </c>
      <c r="C1206" s="9">
        <f>IFERROR(__xludf.DUMMYFUNCTION("""COMPUTED_VALUE"""),103.65)</f>
        <v>103.65</v>
      </c>
      <c r="E1206" s="17"/>
      <c r="M1206" s="17"/>
      <c r="P1206" s="17"/>
    </row>
    <row r="1207">
      <c r="B1207" s="11">
        <f>IFERROR(__xludf.DUMMYFUNCTION("""COMPUTED_VALUE"""),44274.66666666667)</f>
        <v>44274.66667</v>
      </c>
      <c r="C1207" s="9">
        <f>IFERROR(__xludf.DUMMYFUNCTION("""COMPUTED_VALUE"""),100.38)</f>
        <v>100.38</v>
      </c>
      <c r="E1207" s="17"/>
      <c r="M1207" s="17"/>
      <c r="P1207" s="17"/>
    </row>
    <row r="1208">
      <c r="B1208" s="11">
        <f>IFERROR(__xludf.DUMMYFUNCTION("""COMPUTED_VALUE"""),44273.66666666667)</f>
        <v>44273.66667</v>
      </c>
      <c r="C1208" s="9">
        <f>IFERROR(__xludf.DUMMYFUNCTION("""COMPUTED_VALUE"""),102.11)</f>
        <v>102.11</v>
      </c>
      <c r="E1208" s="17"/>
      <c r="M1208" s="17"/>
      <c r="P1208" s="17"/>
    </row>
    <row r="1209">
      <c r="B1209" s="11">
        <f>IFERROR(__xludf.DUMMYFUNCTION("""COMPUTED_VALUE"""),44272.66666666667)</f>
        <v>44272.66667</v>
      </c>
      <c r="C1209" s="9">
        <f>IFERROR(__xludf.DUMMYFUNCTION("""COMPUTED_VALUE"""),102.1)</f>
        <v>102.1</v>
      </c>
      <c r="E1209" s="17"/>
      <c r="M1209" s="17"/>
      <c r="P1209" s="17"/>
    </row>
    <row r="1210">
      <c r="B1210" s="11">
        <f>IFERROR(__xludf.DUMMYFUNCTION("""COMPUTED_VALUE"""),44271.66666666667)</f>
        <v>44271.66667</v>
      </c>
      <c r="C1210" s="9">
        <f>IFERROR(__xludf.DUMMYFUNCTION("""COMPUTED_VALUE"""),104.23)</f>
        <v>104.23</v>
      </c>
      <c r="E1210" s="17"/>
      <c r="M1210" s="17"/>
      <c r="P1210" s="17"/>
    </row>
    <row r="1211">
      <c r="B1211" s="11">
        <f>IFERROR(__xludf.DUMMYFUNCTION("""COMPUTED_VALUE"""),44270.66666666667)</f>
        <v>44270.66667</v>
      </c>
      <c r="C1211" s="9">
        <f>IFERROR(__xludf.DUMMYFUNCTION("""COMPUTED_VALUE"""),102.78)</f>
        <v>102.78</v>
      </c>
      <c r="E1211" s="17"/>
      <c r="M1211" s="17"/>
      <c r="P1211" s="17"/>
    </row>
    <row r="1212">
      <c r="B1212" s="11">
        <f>IFERROR(__xludf.DUMMYFUNCTION("""COMPUTED_VALUE"""),44267.66666666667)</f>
        <v>44267.66667</v>
      </c>
      <c r="C1212" s="9">
        <f>IFERROR(__xludf.DUMMYFUNCTION("""COMPUTED_VALUE"""),101.29)</f>
        <v>101.29</v>
      </c>
      <c r="E1212" s="17"/>
      <c r="M1212" s="17"/>
      <c r="P1212" s="17"/>
    </row>
    <row r="1213">
      <c r="B1213" s="11">
        <f>IFERROR(__xludf.DUMMYFUNCTION("""COMPUTED_VALUE"""),44266.66666666667)</f>
        <v>44266.66667</v>
      </c>
      <c r="C1213" s="9">
        <f>IFERROR(__xludf.DUMMYFUNCTION("""COMPUTED_VALUE"""),99.56)</f>
        <v>99.56</v>
      </c>
      <c r="E1213" s="17"/>
      <c r="M1213" s="17"/>
      <c r="P1213" s="17"/>
    </row>
    <row r="1214">
      <c r="B1214" s="11">
        <f>IFERROR(__xludf.DUMMYFUNCTION("""COMPUTED_VALUE"""),44265.66666666667)</f>
        <v>44265.66667</v>
      </c>
      <c r="C1214" s="9">
        <f>IFERROR(__xludf.DUMMYFUNCTION("""COMPUTED_VALUE"""),97.72)</f>
        <v>97.72</v>
      </c>
      <c r="E1214" s="17"/>
      <c r="M1214" s="17"/>
      <c r="P1214" s="17"/>
    </row>
    <row r="1215">
      <c r="B1215" s="11">
        <f>IFERROR(__xludf.DUMMYFUNCTION("""COMPUTED_VALUE"""),44264.66666666667)</f>
        <v>44264.66667</v>
      </c>
      <c r="C1215" s="9">
        <f>IFERROR(__xludf.DUMMYFUNCTION("""COMPUTED_VALUE"""),98.32)</f>
        <v>98.32</v>
      </c>
      <c r="E1215" s="17"/>
      <c r="M1215" s="17"/>
      <c r="P1215" s="17"/>
    </row>
    <row r="1216">
      <c r="B1216" s="11">
        <f>IFERROR(__xludf.DUMMYFUNCTION("""COMPUTED_VALUE"""),44263.66666666667)</f>
        <v>44263.66667</v>
      </c>
      <c r="C1216" s="9">
        <f>IFERROR(__xludf.DUMMYFUNCTION("""COMPUTED_VALUE"""),95.95)</f>
        <v>95.95</v>
      </c>
      <c r="E1216" s="17"/>
      <c r="M1216" s="17"/>
      <c r="P1216" s="17"/>
    </row>
    <row r="1217">
      <c r="B1217" s="11">
        <f>IFERROR(__xludf.DUMMYFUNCTION("""COMPUTED_VALUE"""),44260.66666666667)</f>
        <v>44260.66667</v>
      </c>
      <c r="C1217" s="9">
        <f>IFERROR(__xludf.DUMMYFUNCTION("""COMPUTED_VALUE"""),97.37)</f>
        <v>97.37</v>
      </c>
      <c r="E1217" s="17"/>
      <c r="M1217" s="17"/>
      <c r="P1217" s="17"/>
    </row>
    <row r="1218">
      <c r="B1218" s="11">
        <f>IFERROR(__xludf.DUMMYFUNCTION("""COMPUTED_VALUE"""),44259.66666666667)</f>
        <v>44259.66667</v>
      </c>
      <c r="C1218" s="9">
        <f>IFERROR(__xludf.DUMMYFUNCTION("""COMPUTED_VALUE"""),95.64)</f>
        <v>95.64</v>
      </c>
      <c r="E1218" s="17"/>
      <c r="M1218" s="17"/>
      <c r="P1218" s="17"/>
    </row>
    <row r="1219">
      <c r="B1219" s="11">
        <f>IFERROR(__xludf.DUMMYFUNCTION("""COMPUTED_VALUE"""),44258.66666666667)</f>
        <v>44258.66667</v>
      </c>
      <c r="C1219" s="9">
        <f>IFERROR(__xludf.DUMMYFUNCTION("""COMPUTED_VALUE"""),96.11)</f>
        <v>96.11</v>
      </c>
      <c r="E1219" s="17"/>
      <c r="M1219" s="17"/>
      <c r="P1219" s="17"/>
    </row>
    <row r="1220">
      <c r="B1220" s="11">
        <f>IFERROR(__xludf.DUMMYFUNCTION("""COMPUTED_VALUE"""),44257.66666666667)</f>
        <v>44257.66667</v>
      </c>
      <c r="C1220" s="9">
        <f>IFERROR(__xludf.DUMMYFUNCTION("""COMPUTED_VALUE"""),99.09)</f>
        <v>99.09</v>
      </c>
      <c r="E1220" s="17"/>
      <c r="M1220" s="17"/>
      <c r="P1220" s="17"/>
    </row>
    <row r="1221">
      <c r="B1221" s="11">
        <f>IFERROR(__xludf.DUMMYFUNCTION("""COMPUTED_VALUE"""),44256.66666666667)</f>
        <v>44256.66667</v>
      </c>
      <c r="C1221" s="9">
        <f>IFERROR(__xludf.DUMMYFUNCTION("""COMPUTED_VALUE"""),99.43)</f>
        <v>99.43</v>
      </c>
      <c r="E1221" s="17"/>
      <c r="M1221" s="17"/>
      <c r="P1221" s="17"/>
    </row>
    <row r="1222">
      <c r="B1222" s="11">
        <f>IFERROR(__xludf.DUMMYFUNCTION("""COMPUTED_VALUE"""),44253.66666666667)</f>
        <v>44253.66667</v>
      </c>
      <c r="C1222" s="9">
        <f>IFERROR(__xludf.DUMMYFUNCTION("""COMPUTED_VALUE"""),99.07)</f>
        <v>99.07</v>
      </c>
      <c r="E1222" s="17"/>
      <c r="M1222" s="17"/>
      <c r="P1222" s="17"/>
    </row>
    <row r="1223">
      <c r="B1223" s="11">
        <f>IFERROR(__xludf.DUMMYFUNCTION("""COMPUTED_VALUE"""),44252.66666666667)</f>
        <v>44252.66667</v>
      </c>
      <c r="C1223" s="9">
        <f>IFERROR(__xludf.DUMMYFUNCTION("""COMPUTED_VALUE"""),101.39)</f>
        <v>101.39</v>
      </c>
      <c r="E1223" s="17"/>
      <c r="M1223" s="17"/>
      <c r="P1223" s="17"/>
    </row>
    <row r="1224">
      <c r="B1224" s="11">
        <f>IFERROR(__xludf.DUMMYFUNCTION("""COMPUTED_VALUE"""),44251.66666666667)</f>
        <v>44251.66667</v>
      </c>
      <c r="C1224" s="9">
        <f>IFERROR(__xludf.DUMMYFUNCTION("""COMPUTED_VALUE"""),103.24)</f>
        <v>103.24</v>
      </c>
      <c r="E1224" s="17"/>
      <c r="M1224" s="17"/>
      <c r="P1224" s="17"/>
    </row>
    <row r="1225">
      <c r="B1225" s="11">
        <f>IFERROR(__xludf.DUMMYFUNCTION("""COMPUTED_VALUE"""),44250.66666666667)</f>
        <v>44250.66667</v>
      </c>
      <c r="C1225" s="9">
        <f>IFERROR(__xludf.DUMMYFUNCTION("""COMPUTED_VALUE"""),104.55)</f>
        <v>104.55</v>
      </c>
      <c r="E1225" s="17"/>
      <c r="M1225" s="17"/>
      <c r="P1225" s="17"/>
    </row>
    <row r="1226">
      <c r="B1226" s="11">
        <f>IFERROR(__xludf.DUMMYFUNCTION("""COMPUTED_VALUE"""),44249.66666666667)</f>
        <v>44249.66667</v>
      </c>
      <c r="C1226" s="9">
        <f>IFERROR(__xludf.DUMMYFUNCTION("""COMPUTED_VALUE"""),104.72)</f>
        <v>104.72</v>
      </c>
      <c r="E1226" s="17"/>
      <c r="M1226" s="17"/>
      <c r="P1226" s="17"/>
    </row>
    <row r="1227">
      <c r="B1227" s="11">
        <f>IFERROR(__xludf.DUMMYFUNCTION("""COMPUTED_VALUE"""),44246.66666666667)</f>
        <v>44246.66667</v>
      </c>
      <c r="C1227" s="9">
        <f>IFERROR(__xludf.DUMMYFUNCTION("""COMPUTED_VALUE"""),105.3)</f>
        <v>105.3</v>
      </c>
      <c r="E1227" s="17"/>
      <c r="M1227" s="17"/>
      <c r="P1227" s="17"/>
    </row>
    <row r="1228">
      <c r="B1228" s="11">
        <f>IFERROR(__xludf.DUMMYFUNCTION("""COMPUTED_VALUE"""),44245.66666666667)</f>
        <v>44245.66667</v>
      </c>
      <c r="C1228" s="9">
        <f>IFERROR(__xludf.DUMMYFUNCTION("""COMPUTED_VALUE"""),105.78)</f>
        <v>105.78</v>
      </c>
      <c r="E1228" s="17"/>
      <c r="M1228" s="17"/>
      <c r="P1228" s="17"/>
    </row>
    <row r="1229">
      <c r="B1229" s="11">
        <f>IFERROR(__xludf.DUMMYFUNCTION("""COMPUTED_VALUE"""),44244.66666666667)</f>
        <v>44244.66667</v>
      </c>
      <c r="C1229" s="9">
        <f>IFERROR(__xludf.DUMMYFUNCTION("""COMPUTED_VALUE"""),105.83)</f>
        <v>105.83</v>
      </c>
      <c r="E1229" s="17"/>
      <c r="M1229" s="17"/>
      <c r="P1229" s="17"/>
    </row>
    <row r="1230">
      <c r="B1230" s="11">
        <f>IFERROR(__xludf.DUMMYFUNCTION("""COMPUTED_VALUE"""),44243.66666666667)</f>
        <v>44243.66667</v>
      </c>
      <c r="C1230" s="9">
        <f>IFERROR(__xludf.DUMMYFUNCTION("""COMPUTED_VALUE"""),106.58)</f>
        <v>106.58</v>
      </c>
      <c r="E1230" s="17"/>
      <c r="M1230" s="17"/>
      <c r="P1230" s="17"/>
    </row>
    <row r="1231">
      <c r="B1231" s="11">
        <f>IFERROR(__xludf.DUMMYFUNCTION("""COMPUTED_VALUE"""),44239.66666666667)</f>
        <v>44239.66667</v>
      </c>
      <c r="C1231" s="9">
        <f>IFERROR(__xludf.DUMMYFUNCTION("""COMPUTED_VALUE"""),107.67)</f>
        <v>107.67</v>
      </c>
      <c r="E1231" s="17"/>
      <c r="M1231" s="17"/>
      <c r="P1231" s="17"/>
    </row>
    <row r="1232">
      <c r="B1232" s="11">
        <f>IFERROR(__xludf.DUMMYFUNCTION("""COMPUTED_VALUE"""),44238.66666666667)</f>
        <v>44238.66667</v>
      </c>
      <c r="C1232" s="9">
        <f>IFERROR(__xludf.DUMMYFUNCTION("""COMPUTED_VALUE"""),107.76)</f>
        <v>107.76</v>
      </c>
      <c r="E1232" s="17"/>
      <c r="M1232" s="17"/>
      <c r="P1232" s="17"/>
    </row>
    <row r="1233">
      <c r="B1233" s="11">
        <f>IFERROR(__xludf.DUMMYFUNCTION("""COMPUTED_VALUE"""),44237.66666666667)</f>
        <v>44237.66667</v>
      </c>
      <c r="C1233" s="9">
        <f>IFERROR(__xludf.DUMMYFUNCTION("""COMPUTED_VALUE"""),107.52)</f>
        <v>107.52</v>
      </c>
      <c r="E1233" s="17"/>
      <c r="M1233" s="17"/>
      <c r="P1233" s="17"/>
    </row>
    <row r="1234">
      <c r="B1234" s="11">
        <f>IFERROR(__xludf.DUMMYFUNCTION("""COMPUTED_VALUE"""),44236.66666666667)</f>
        <v>44236.66667</v>
      </c>
      <c r="C1234" s="9">
        <f>IFERROR(__xludf.DUMMYFUNCTION("""COMPUTED_VALUE"""),107.42)</f>
        <v>107.42</v>
      </c>
      <c r="E1234" s="17"/>
      <c r="M1234" s="17"/>
      <c r="P1234" s="17"/>
    </row>
    <row r="1235">
      <c r="B1235" s="11">
        <f>IFERROR(__xludf.DUMMYFUNCTION("""COMPUTED_VALUE"""),44235.66666666667)</f>
        <v>44235.66667</v>
      </c>
      <c r="C1235" s="9">
        <f>IFERROR(__xludf.DUMMYFUNCTION("""COMPUTED_VALUE"""),107.08)</f>
        <v>107.08</v>
      </c>
      <c r="E1235" s="17"/>
      <c r="M1235" s="17"/>
      <c r="P1235" s="17"/>
    </row>
    <row r="1236">
      <c r="B1236" s="11">
        <f>IFERROR(__xludf.DUMMYFUNCTION("""COMPUTED_VALUE"""),44232.66666666667)</f>
        <v>44232.66667</v>
      </c>
      <c r="C1236" s="9">
        <f>IFERROR(__xludf.DUMMYFUNCTION("""COMPUTED_VALUE"""),106.7)</f>
        <v>106.7</v>
      </c>
      <c r="E1236" s="17"/>
      <c r="M1236" s="17"/>
      <c r="P1236" s="17"/>
    </row>
    <row r="1237">
      <c r="B1237" s="11">
        <f>IFERROR(__xludf.DUMMYFUNCTION("""COMPUTED_VALUE"""),44231.66666666667)</f>
        <v>44231.66667</v>
      </c>
      <c r="C1237" s="9">
        <f>IFERROR(__xludf.DUMMYFUNCTION("""COMPUTED_VALUE"""),106.41)</f>
        <v>106.41</v>
      </c>
      <c r="E1237" s="17"/>
      <c r="M1237" s="17"/>
      <c r="P1237" s="17"/>
    </row>
    <row r="1238">
      <c r="B1238" s="11">
        <f>IFERROR(__xludf.DUMMYFUNCTION("""COMPUTED_VALUE"""),44230.66666666667)</f>
        <v>44230.66667</v>
      </c>
      <c r="C1238" s="9">
        <f>IFERROR(__xludf.DUMMYFUNCTION("""COMPUTED_VALUE"""),106.04)</f>
        <v>106.04</v>
      </c>
      <c r="E1238" s="17"/>
      <c r="M1238" s="17"/>
      <c r="P1238" s="17"/>
    </row>
    <row r="1239">
      <c r="B1239" s="11">
        <f>IFERROR(__xludf.DUMMYFUNCTION("""COMPUTED_VALUE"""),44229.66666666667)</f>
        <v>44229.66667</v>
      </c>
      <c r="C1239" s="9">
        <f>IFERROR(__xludf.DUMMYFUNCTION("""COMPUTED_VALUE"""),106.88)</f>
        <v>106.88</v>
      </c>
      <c r="E1239" s="17"/>
      <c r="M1239" s="17"/>
      <c r="P1239" s="17"/>
    </row>
    <row r="1240">
      <c r="B1240" s="11">
        <f>IFERROR(__xludf.DUMMYFUNCTION("""COMPUTED_VALUE"""),44228.66666666667)</f>
        <v>44228.66667</v>
      </c>
      <c r="C1240" s="9">
        <f>IFERROR(__xludf.DUMMYFUNCTION("""COMPUTED_VALUE"""),105.91)</f>
        <v>105.91</v>
      </c>
      <c r="E1240" s="17"/>
      <c r="M1240" s="17"/>
      <c r="P1240" s="17"/>
    </row>
    <row r="1241">
      <c r="B1241" s="11">
        <f>IFERROR(__xludf.DUMMYFUNCTION("""COMPUTED_VALUE"""),44225.66666666667)</f>
        <v>44225.66667</v>
      </c>
      <c r="C1241" s="9">
        <f>IFERROR(__xludf.DUMMYFUNCTION("""COMPUTED_VALUE"""),103.2)</f>
        <v>103.2</v>
      </c>
      <c r="E1241" s="17"/>
      <c r="M1241" s="17"/>
      <c r="P1241" s="17"/>
    </row>
    <row r="1242">
      <c r="B1242" s="11">
        <f>IFERROR(__xludf.DUMMYFUNCTION("""COMPUTED_VALUE"""),44224.66666666667)</f>
        <v>44224.66667</v>
      </c>
      <c r="C1242" s="9">
        <f>IFERROR(__xludf.DUMMYFUNCTION("""COMPUTED_VALUE"""),103.4)</f>
        <v>103.4</v>
      </c>
      <c r="E1242" s="17"/>
      <c r="M1242" s="17"/>
      <c r="P1242" s="17"/>
    </row>
    <row r="1243">
      <c r="B1243" s="11">
        <f>IFERROR(__xludf.DUMMYFUNCTION("""COMPUTED_VALUE"""),44223.66666666667)</f>
        <v>44223.66667</v>
      </c>
      <c r="C1243" s="9">
        <f>IFERROR(__xludf.DUMMYFUNCTION("""COMPUTED_VALUE"""),103.28)</f>
        <v>103.28</v>
      </c>
      <c r="E1243" s="17"/>
      <c r="M1243" s="17"/>
      <c r="P1243" s="17"/>
    </row>
    <row r="1244">
      <c r="B1244" s="11">
        <f>IFERROR(__xludf.DUMMYFUNCTION("""COMPUTED_VALUE"""),44222.66666666667)</f>
        <v>44222.66667</v>
      </c>
      <c r="C1244" s="9">
        <f>IFERROR(__xludf.DUMMYFUNCTION("""COMPUTED_VALUE"""),106.05)</f>
        <v>106.05</v>
      </c>
      <c r="E1244" s="17"/>
      <c r="M1244" s="17"/>
      <c r="P1244" s="17"/>
    </row>
    <row r="1245">
      <c r="B1245" s="11">
        <f>IFERROR(__xludf.DUMMYFUNCTION("""COMPUTED_VALUE"""),44221.66666666667)</f>
        <v>44221.66667</v>
      </c>
      <c r="C1245" s="9">
        <f>IFERROR(__xludf.DUMMYFUNCTION("""COMPUTED_VALUE"""),102.7)</f>
        <v>102.7</v>
      </c>
      <c r="E1245" s="17"/>
      <c r="M1245" s="17"/>
      <c r="P1245" s="17"/>
    </row>
    <row r="1246">
      <c r="B1246" s="11">
        <f>IFERROR(__xludf.DUMMYFUNCTION("""COMPUTED_VALUE"""),44218.66666666667)</f>
        <v>44218.66667</v>
      </c>
      <c r="C1246" s="9">
        <f>IFERROR(__xludf.DUMMYFUNCTION("""COMPUTED_VALUE"""),101.22)</f>
        <v>101.22</v>
      </c>
      <c r="E1246" s="17"/>
      <c r="M1246" s="17"/>
      <c r="P1246" s="17"/>
    </row>
    <row r="1247">
      <c r="B1247" s="11">
        <f>IFERROR(__xludf.DUMMYFUNCTION("""COMPUTED_VALUE"""),44217.66666666667)</f>
        <v>44217.66667</v>
      </c>
      <c r="C1247" s="9">
        <f>IFERROR(__xludf.DUMMYFUNCTION("""COMPUTED_VALUE"""),100.43)</f>
        <v>100.43</v>
      </c>
      <c r="E1247" s="17"/>
      <c r="M1247" s="17"/>
      <c r="P1247" s="17"/>
    </row>
    <row r="1248">
      <c r="B1248" s="11">
        <f>IFERROR(__xludf.DUMMYFUNCTION("""COMPUTED_VALUE"""),44216.66666666667)</f>
        <v>44216.66667</v>
      </c>
      <c r="C1248" s="9">
        <f>IFERROR(__xludf.DUMMYFUNCTION("""COMPUTED_VALUE"""),100.34)</f>
        <v>100.34</v>
      </c>
      <c r="E1248" s="17"/>
      <c r="M1248" s="17"/>
      <c r="P1248" s="17"/>
    </row>
    <row r="1249">
      <c r="B1249" s="11">
        <f>IFERROR(__xludf.DUMMYFUNCTION("""COMPUTED_VALUE"""),44215.66666666667)</f>
        <v>44215.66667</v>
      </c>
      <c r="C1249" s="9">
        <f>IFERROR(__xludf.DUMMYFUNCTION("""COMPUTED_VALUE"""),98.01)</f>
        <v>98.01</v>
      </c>
      <c r="E1249" s="17"/>
      <c r="M1249" s="17"/>
      <c r="P1249" s="17"/>
    </row>
    <row r="1250">
      <c r="B1250" s="11">
        <f>IFERROR(__xludf.DUMMYFUNCTION("""COMPUTED_VALUE"""),44211.66666666667)</f>
        <v>44211.66667</v>
      </c>
      <c r="C1250" s="9">
        <f>IFERROR(__xludf.DUMMYFUNCTION("""COMPUTED_VALUE"""),97.68)</f>
        <v>97.68</v>
      </c>
      <c r="E1250" s="17"/>
      <c r="M1250" s="17"/>
      <c r="P1250" s="17"/>
    </row>
    <row r="1251">
      <c r="B1251" s="11">
        <f>IFERROR(__xludf.DUMMYFUNCTION("""COMPUTED_VALUE"""),44210.66666666667)</f>
        <v>44210.66667</v>
      </c>
      <c r="C1251" s="9">
        <f>IFERROR(__xludf.DUMMYFUNCTION("""COMPUTED_VALUE"""),95.5)</f>
        <v>95.5</v>
      </c>
      <c r="E1251" s="17"/>
      <c r="M1251" s="17"/>
      <c r="P1251" s="17"/>
    </row>
    <row r="1252">
      <c r="B1252" s="11">
        <f>IFERROR(__xludf.DUMMYFUNCTION("""COMPUTED_VALUE"""),44209.66666666667)</f>
        <v>44209.66667</v>
      </c>
      <c r="C1252" s="9">
        <f>IFERROR(__xludf.DUMMYFUNCTION("""COMPUTED_VALUE"""),95.41)</f>
        <v>95.41</v>
      </c>
      <c r="E1252" s="17"/>
      <c r="M1252" s="17"/>
      <c r="P1252" s="17"/>
    </row>
    <row r="1253">
      <c r="B1253" s="11">
        <f>IFERROR(__xludf.DUMMYFUNCTION("""COMPUTED_VALUE"""),44208.66666666667)</f>
        <v>44208.66667</v>
      </c>
      <c r="C1253" s="9">
        <f>IFERROR(__xludf.DUMMYFUNCTION("""COMPUTED_VALUE"""),94.71)</f>
        <v>94.71</v>
      </c>
      <c r="E1253" s="17"/>
      <c r="M1253" s="17"/>
      <c r="P1253" s="17"/>
    </row>
    <row r="1254">
      <c r="B1254" s="11">
        <f>IFERROR(__xludf.DUMMYFUNCTION("""COMPUTED_VALUE"""),44207.66666666667)</f>
        <v>44207.66667</v>
      </c>
      <c r="C1254" s="9">
        <f>IFERROR(__xludf.DUMMYFUNCTION("""COMPUTED_VALUE"""),94.66)</f>
        <v>94.66</v>
      </c>
      <c r="E1254" s="17"/>
      <c r="M1254" s="17"/>
      <c r="P1254" s="17"/>
    </row>
    <row r="1255">
      <c r="B1255" s="11">
        <f>IFERROR(__xludf.DUMMYFUNCTION("""COMPUTED_VALUE"""),44204.66666666667)</f>
        <v>44204.66667</v>
      </c>
      <c r="C1255" s="9">
        <f>IFERROR(__xludf.DUMMYFUNCTION("""COMPUTED_VALUE"""),96.6)</f>
        <v>96.6</v>
      </c>
      <c r="E1255" s="17"/>
      <c r="M1255" s="17"/>
      <c r="P1255" s="17"/>
    </row>
    <row r="1256">
      <c r="B1256" s="11">
        <f>IFERROR(__xludf.DUMMYFUNCTION("""COMPUTED_VALUE"""),44203.66666666667)</f>
        <v>44203.66667</v>
      </c>
      <c r="C1256" s="9">
        <f>IFERROR(__xludf.DUMMYFUNCTION("""COMPUTED_VALUE"""),95.32)</f>
        <v>95.32</v>
      </c>
      <c r="E1256" s="17"/>
      <c r="M1256" s="17"/>
      <c r="P1256" s="17"/>
    </row>
    <row r="1257">
      <c r="B1257" s="11">
        <f>IFERROR(__xludf.DUMMYFUNCTION("""COMPUTED_VALUE"""),44202.66666666667)</f>
        <v>44202.66667</v>
      </c>
      <c r="C1257" s="9">
        <f>IFERROR(__xludf.DUMMYFUNCTION("""COMPUTED_VALUE"""),93.91)</f>
        <v>93.91</v>
      </c>
      <c r="E1257" s="17"/>
      <c r="M1257" s="17"/>
      <c r="P1257" s="17"/>
    </row>
    <row r="1258">
      <c r="B1258" s="11">
        <f>IFERROR(__xludf.DUMMYFUNCTION("""COMPUTED_VALUE"""),44201.66666666667)</f>
        <v>44201.66667</v>
      </c>
      <c r="C1258" s="9">
        <f>IFERROR(__xludf.DUMMYFUNCTION("""COMPUTED_VALUE"""),96.19)</f>
        <v>96.19</v>
      </c>
      <c r="E1258" s="17"/>
      <c r="M1258" s="17"/>
      <c r="P1258" s="17"/>
    </row>
    <row r="1259">
      <c r="B1259" s="11">
        <f>IFERROR(__xludf.DUMMYFUNCTION("""COMPUTED_VALUE"""),44200.66666666667)</f>
        <v>44200.66667</v>
      </c>
      <c r="C1259" s="9">
        <f>IFERROR(__xludf.DUMMYFUNCTION("""COMPUTED_VALUE"""),96.04)</f>
        <v>96.04</v>
      </c>
      <c r="E1259" s="17"/>
      <c r="M1259" s="17"/>
      <c r="P1259" s="17"/>
    </row>
    <row r="1260">
      <c r="B1260" s="11">
        <f>IFERROR(__xludf.DUMMYFUNCTION("""COMPUTED_VALUE"""),44196.66666666667)</f>
        <v>44196.66667</v>
      </c>
      <c r="C1260" s="9">
        <f>IFERROR(__xludf.DUMMYFUNCTION("""COMPUTED_VALUE"""),99.66)</f>
        <v>99.66</v>
      </c>
      <c r="E1260" s="17"/>
      <c r="M1260" s="17"/>
      <c r="P1260" s="17"/>
    </row>
    <row r="1261">
      <c r="B1261" s="11">
        <f>IFERROR(__xludf.DUMMYFUNCTION("""COMPUTED_VALUE"""),44195.66666666667)</f>
        <v>44195.66667</v>
      </c>
      <c r="C1261" s="9">
        <f>IFERROR(__xludf.DUMMYFUNCTION("""COMPUTED_VALUE"""),98.82)</f>
        <v>98.82</v>
      </c>
      <c r="E1261" s="17"/>
      <c r="M1261" s="17"/>
      <c r="P1261" s="17"/>
    </row>
    <row r="1262">
      <c r="B1262" s="11">
        <f>IFERROR(__xludf.DUMMYFUNCTION("""COMPUTED_VALUE"""),44194.66666666667)</f>
        <v>44194.66667</v>
      </c>
      <c r="C1262" s="9">
        <f>IFERROR(__xludf.DUMMYFUNCTION("""COMPUTED_VALUE"""),97.72)</f>
        <v>97.72</v>
      </c>
      <c r="E1262" s="17"/>
      <c r="M1262" s="17"/>
      <c r="P1262" s="17"/>
    </row>
    <row r="1263">
      <c r="B1263" s="11">
        <f>IFERROR(__xludf.DUMMYFUNCTION("""COMPUTED_VALUE"""),44193.66666666667)</f>
        <v>44193.66667</v>
      </c>
      <c r="C1263" s="9">
        <f>IFERROR(__xludf.DUMMYFUNCTION("""COMPUTED_VALUE"""),98.22)</f>
        <v>98.22</v>
      </c>
      <c r="E1263" s="17"/>
      <c r="M1263" s="17"/>
      <c r="P1263" s="17"/>
    </row>
    <row r="1264">
      <c r="B1264" s="11">
        <f>IFERROR(__xludf.DUMMYFUNCTION("""COMPUTED_VALUE"""),44189.54166666667)</f>
        <v>44189.54167</v>
      </c>
      <c r="C1264" s="9">
        <f>IFERROR(__xludf.DUMMYFUNCTION("""COMPUTED_VALUE"""),97.24)</f>
        <v>97.24</v>
      </c>
      <c r="E1264" s="17"/>
      <c r="M1264" s="17"/>
      <c r="P1264" s="17"/>
    </row>
    <row r="1265">
      <c r="B1265" s="11">
        <f>IFERROR(__xludf.DUMMYFUNCTION("""COMPUTED_VALUE"""),44188.66666666667)</f>
        <v>44188.66667</v>
      </c>
      <c r="C1265" s="9">
        <f>IFERROR(__xludf.DUMMYFUNCTION("""COMPUTED_VALUE"""),96.19)</f>
        <v>96.19</v>
      </c>
      <c r="E1265" s="17"/>
      <c r="M1265" s="17"/>
      <c r="P1265" s="17"/>
    </row>
    <row r="1266">
      <c r="B1266" s="11">
        <f>IFERROR(__xludf.DUMMYFUNCTION("""COMPUTED_VALUE"""),44187.66666666667)</f>
        <v>44187.66667</v>
      </c>
      <c r="C1266" s="9">
        <f>IFERROR(__xludf.DUMMYFUNCTION("""COMPUTED_VALUE"""),97.65)</f>
        <v>97.65</v>
      </c>
      <c r="E1266" s="17"/>
      <c r="M1266" s="17"/>
      <c r="P1266" s="17"/>
    </row>
    <row r="1267">
      <c r="B1267" s="11">
        <f>IFERROR(__xludf.DUMMYFUNCTION("""COMPUTED_VALUE"""),44186.66666666667)</f>
        <v>44186.66667</v>
      </c>
      <c r="C1267" s="9">
        <f>IFERROR(__xludf.DUMMYFUNCTION("""COMPUTED_VALUE"""),97.25)</f>
        <v>97.25</v>
      </c>
      <c r="E1267" s="17"/>
      <c r="M1267" s="17"/>
      <c r="P1267" s="17"/>
    </row>
    <row r="1268">
      <c r="B1268" s="11">
        <f>IFERROR(__xludf.DUMMYFUNCTION("""COMPUTED_VALUE"""),44183.66666666667)</f>
        <v>44183.66667</v>
      </c>
      <c r="C1268" s="9">
        <f>IFERROR(__xludf.DUMMYFUNCTION("""COMPUTED_VALUE"""),98.07)</f>
        <v>98.07</v>
      </c>
      <c r="E1268" s="17"/>
      <c r="M1268" s="17"/>
      <c r="P1268" s="17"/>
    </row>
    <row r="1269">
      <c r="B1269" s="11">
        <f>IFERROR(__xludf.DUMMYFUNCTION("""COMPUTED_VALUE"""),44182.66666666667)</f>
        <v>44182.66667</v>
      </c>
      <c r="C1269" s="9">
        <f>IFERROR(__xludf.DUMMYFUNCTION("""COMPUTED_VALUE"""),100.58)</f>
        <v>100.58</v>
      </c>
      <c r="E1269" s="17"/>
      <c r="M1269" s="17"/>
      <c r="P1269" s="17"/>
    </row>
    <row r="1270">
      <c r="B1270" s="11">
        <f>IFERROR(__xludf.DUMMYFUNCTION("""COMPUTED_VALUE"""),44181.66666666667)</f>
        <v>44181.66667</v>
      </c>
      <c r="C1270" s="9">
        <f>IFERROR(__xludf.DUMMYFUNCTION("""COMPUTED_VALUE"""),99.85)</f>
        <v>99.85</v>
      </c>
      <c r="E1270" s="17"/>
      <c r="M1270" s="17"/>
      <c r="P1270" s="17"/>
    </row>
    <row r="1271">
      <c r="B1271" s="11">
        <f>IFERROR(__xludf.DUMMYFUNCTION("""COMPUTED_VALUE"""),44180.66666666667)</f>
        <v>44180.66667</v>
      </c>
      <c r="C1271" s="9">
        <f>IFERROR(__xludf.DUMMYFUNCTION("""COMPUTED_VALUE"""),99.55)</f>
        <v>99.55</v>
      </c>
      <c r="E1271" s="17"/>
      <c r="M1271" s="17"/>
      <c r="P1271" s="17"/>
    </row>
    <row r="1272">
      <c r="B1272" s="11">
        <f>IFERROR(__xludf.DUMMYFUNCTION("""COMPUTED_VALUE"""),44179.66666666667)</f>
        <v>44179.66667</v>
      </c>
      <c r="C1272" s="9">
        <f>IFERROR(__xludf.DUMMYFUNCTION("""COMPUTED_VALUE"""),96.87)</f>
        <v>96.87</v>
      </c>
      <c r="E1272" s="17"/>
      <c r="M1272" s="17"/>
      <c r="P1272" s="17"/>
    </row>
    <row r="1273">
      <c r="B1273" s="11">
        <f>IFERROR(__xludf.DUMMYFUNCTION("""COMPUTED_VALUE"""),44176.66666666667)</f>
        <v>44176.66667</v>
      </c>
      <c r="C1273" s="9">
        <f>IFERROR(__xludf.DUMMYFUNCTION("""COMPUTED_VALUE"""),97.37)</f>
        <v>97.37</v>
      </c>
      <c r="E1273" s="17"/>
      <c r="M1273" s="17"/>
      <c r="P1273" s="17"/>
    </row>
    <row r="1274">
      <c r="B1274" s="11">
        <f>IFERROR(__xludf.DUMMYFUNCTION("""COMPUTED_VALUE"""),44175.66666666667)</f>
        <v>44175.66667</v>
      </c>
      <c r="C1274" s="9">
        <f>IFERROR(__xludf.DUMMYFUNCTION("""COMPUTED_VALUE"""),97.18)</f>
        <v>97.18</v>
      </c>
      <c r="E1274" s="17"/>
      <c r="M1274" s="17"/>
      <c r="P1274" s="17"/>
    </row>
    <row r="1275">
      <c r="B1275" s="11">
        <f>IFERROR(__xludf.DUMMYFUNCTION("""COMPUTED_VALUE"""),44174.66666666667)</f>
        <v>44174.66667</v>
      </c>
      <c r="C1275" s="9">
        <f>IFERROR(__xludf.DUMMYFUNCTION("""COMPUTED_VALUE"""),96.43)</f>
        <v>96.43</v>
      </c>
      <c r="E1275" s="17"/>
      <c r="M1275" s="17"/>
      <c r="P1275" s="17"/>
    </row>
    <row r="1276">
      <c r="B1276" s="11">
        <f>IFERROR(__xludf.DUMMYFUNCTION("""COMPUTED_VALUE"""),44173.66666666667)</f>
        <v>44173.66667</v>
      </c>
      <c r="C1276" s="9">
        <f>IFERROR(__xludf.DUMMYFUNCTION("""COMPUTED_VALUE"""),96.91)</f>
        <v>96.91</v>
      </c>
      <c r="E1276" s="17"/>
      <c r="M1276" s="17"/>
      <c r="P1276" s="17"/>
    </row>
    <row r="1277">
      <c r="B1277" s="11">
        <f>IFERROR(__xludf.DUMMYFUNCTION("""COMPUTED_VALUE"""),44172.66666666667)</f>
        <v>44172.66667</v>
      </c>
      <c r="C1277" s="9">
        <f>IFERROR(__xludf.DUMMYFUNCTION("""COMPUTED_VALUE"""),97.53)</f>
        <v>97.53</v>
      </c>
      <c r="E1277" s="17"/>
      <c r="M1277" s="17"/>
      <c r="P1277" s="17"/>
    </row>
    <row r="1278">
      <c r="B1278" s="11">
        <f>IFERROR(__xludf.DUMMYFUNCTION("""COMPUTED_VALUE"""),44169.66666666667)</f>
        <v>44169.66667</v>
      </c>
      <c r="C1278" s="9">
        <f>IFERROR(__xludf.DUMMYFUNCTION("""COMPUTED_VALUE"""),98.66)</f>
        <v>98.66</v>
      </c>
      <c r="E1278" s="17"/>
      <c r="M1278" s="17"/>
      <c r="P1278" s="17"/>
    </row>
    <row r="1279">
      <c r="B1279" s="11">
        <f>IFERROR(__xludf.DUMMYFUNCTION("""COMPUTED_VALUE"""),44168.66666666667)</f>
        <v>44168.66667</v>
      </c>
      <c r="C1279" s="9">
        <f>IFERROR(__xludf.DUMMYFUNCTION("""COMPUTED_VALUE"""),97.1)</f>
        <v>97.1</v>
      </c>
      <c r="E1279" s="17"/>
      <c r="M1279" s="17"/>
      <c r="P1279" s="17"/>
    </row>
    <row r="1280">
      <c r="B1280" s="11">
        <f>IFERROR(__xludf.DUMMYFUNCTION("""COMPUTED_VALUE"""),44167.66666666667)</f>
        <v>44167.66667</v>
      </c>
      <c r="C1280" s="9">
        <f>IFERROR(__xludf.DUMMYFUNCTION("""COMPUTED_VALUE"""),97.52)</f>
        <v>97.52</v>
      </c>
      <c r="E1280" s="17"/>
      <c r="M1280" s="17"/>
      <c r="P1280" s="17"/>
    </row>
    <row r="1281">
      <c r="B1281" s="11">
        <f>IFERROR(__xludf.DUMMYFUNCTION("""COMPUTED_VALUE"""),44166.66666666667)</f>
        <v>44166.66667</v>
      </c>
      <c r="C1281" s="9">
        <f>IFERROR(__xludf.DUMMYFUNCTION("""COMPUTED_VALUE"""),100.2)</f>
        <v>100.2</v>
      </c>
      <c r="E1281" s="17"/>
      <c r="M1281" s="17"/>
      <c r="P1281" s="17"/>
    </row>
    <row r="1282">
      <c r="B1282" s="11">
        <f>IFERROR(__xludf.DUMMYFUNCTION("""COMPUTED_VALUE"""),44165.66666666667)</f>
        <v>44165.66667</v>
      </c>
      <c r="C1282" s="9">
        <f>IFERROR(__xludf.DUMMYFUNCTION("""COMPUTED_VALUE"""),100.05)</f>
        <v>100.05</v>
      </c>
      <c r="E1282" s="17"/>
      <c r="M1282" s="17"/>
      <c r="P1282" s="17"/>
    </row>
    <row r="1283">
      <c r="B1283" s="11">
        <f>IFERROR(__xludf.DUMMYFUNCTION("""COMPUTED_VALUE"""),44162.54166666667)</f>
        <v>44162.54167</v>
      </c>
      <c r="C1283" s="9">
        <f>IFERROR(__xludf.DUMMYFUNCTION("""COMPUTED_VALUE"""),100.6)</f>
        <v>100.6</v>
      </c>
      <c r="E1283" s="17"/>
      <c r="M1283" s="17"/>
      <c r="P1283" s="17"/>
    </row>
    <row r="1284">
      <c r="B1284" s="11">
        <f>IFERROR(__xludf.DUMMYFUNCTION("""COMPUTED_VALUE"""),44160.66666666667)</f>
        <v>44160.66667</v>
      </c>
      <c r="C1284" s="9">
        <f>IFERROR(__xludf.DUMMYFUNCTION("""COMPUTED_VALUE"""),99.01)</f>
        <v>99.01</v>
      </c>
      <c r="E1284" s="17"/>
      <c r="M1284" s="17"/>
      <c r="P1284" s="17"/>
    </row>
    <row r="1285">
      <c r="B1285" s="11">
        <f>IFERROR(__xludf.DUMMYFUNCTION("""COMPUTED_VALUE"""),44159.66666666667)</f>
        <v>44159.66667</v>
      </c>
      <c r="C1285" s="9">
        <f>IFERROR(__xludf.DUMMYFUNCTION("""COMPUTED_VALUE"""),98.81)</f>
        <v>98.81</v>
      </c>
      <c r="E1285" s="17"/>
      <c r="M1285" s="17"/>
      <c r="P1285" s="17"/>
    </row>
    <row r="1286">
      <c r="B1286" s="11">
        <f>IFERROR(__xludf.DUMMYFUNCTION("""COMPUTED_VALUE"""),44158.66666666667)</f>
        <v>44158.66667</v>
      </c>
      <c r="C1286" s="9">
        <f>IFERROR(__xludf.DUMMYFUNCTION("""COMPUTED_VALUE"""),99.56)</f>
        <v>99.56</v>
      </c>
      <c r="E1286" s="17"/>
      <c r="M1286" s="17"/>
      <c r="P1286" s="17"/>
    </row>
    <row r="1287">
      <c r="B1287" s="11">
        <f>IFERROR(__xludf.DUMMYFUNCTION("""COMPUTED_VALUE"""),44155.66666666667)</f>
        <v>44155.66667</v>
      </c>
      <c r="C1287" s="9">
        <f>IFERROR(__xludf.DUMMYFUNCTION("""COMPUTED_VALUE"""),100.27)</f>
        <v>100.27</v>
      </c>
      <c r="E1287" s="17"/>
      <c r="M1287" s="17"/>
      <c r="P1287" s="17"/>
    </row>
    <row r="1288">
      <c r="B1288" s="11">
        <f>IFERROR(__xludf.DUMMYFUNCTION("""COMPUTED_VALUE"""),44154.66666666667)</f>
        <v>44154.66667</v>
      </c>
      <c r="C1288" s="9">
        <f>IFERROR(__xludf.DUMMYFUNCTION("""COMPUTED_VALUE"""),99.99)</f>
        <v>99.99</v>
      </c>
      <c r="E1288" s="17"/>
      <c r="M1288" s="17"/>
      <c r="P1288" s="17"/>
    </row>
    <row r="1289">
      <c r="B1289" s="11">
        <f>IFERROR(__xludf.DUMMYFUNCTION("""COMPUTED_VALUE"""),44153.66666666667)</f>
        <v>44153.66667</v>
      </c>
      <c r="C1289" s="9">
        <f>IFERROR(__xludf.DUMMYFUNCTION("""COMPUTED_VALUE"""),101.4)</f>
        <v>101.4</v>
      </c>
      <c r="E1289" s="17"/>
      <c r="M1289" s="17"/>
      <c r="P1289" s="17"/>
    </row>
    <row r="1290">
      <c r="B1290" s="11">
        <f>IFERROR(__xludf.DUMMYFUNCTION("""COMPUTED_VALUE"""),44152.66666666667)</f>
        <v>44152.66667</v>
      </c>
      <c r="C1290" s="9">
        <f>IFERROR(__xludf.DUMMYFUNCTION("""COMPUTED_VALUE"""),104.2)</f>
        <v>104.2</v>
      </c>
      <c r="E1290" s="17"/>
      <c r="M1290" s="17"/>
      <c r="P1290" s="17"/>
    </row>
    <row r="1291">
      <c r="B1291" s="11">
        <f>IFERROR(__xludf.DUMMYFUNCTION("""COMPUTED_VALUE"""),44151.66666666667)</f>
        <v>44151.66667</v>
      </c>
      <c r="C1291" s="9">
        <f>IFERROR(__xludf.DUMMYFUNCTION("""COMPUTED_VALUE"""),103.26)</f>
        <v>103.26</v>
      </c>
      <c r="E1291" s="17"/>
      <c r="M1291" s="17"/>
      <c r="P1291" s="17"/>
    </row>
    <row r="1292">
      <c r="B1292" s="11">
        <f>IFERROR(__xludf.DUMMYFUNCTION("""COMPUTED_VALUE"""),44148.66666666667)</f>
        <v>44148.66667</v>
      </c>
      <c r="C1292" s="9">
        <f>IFERROR(__xludf.DUMMYFUNCTION("""COMPUTED_VALUE"""),103.53)</f>
        <v>103.53</v>
      </c>
      <c r="E1292" s="17"/>
      <c r="M1292" s="17"/>
      <c r="P1292" s="17"/>
    </row>
    <row r="1293">
      <c r="B1293" s="11">
        <f>IFERROR(__xludf.DUMMYFUNCTION("""COMPUTED_VALUE"""),44147.66666666667)</f>
        <v>44147.66667</v>
      </c>
      <c r="C1293" s="9">
        <f>IFERROR(__xludf.DUMMYFUNCTION("""COMPUTED_VALUE"""),102.62)</f>
        <v>102.62</v>
      </c>
      <c r="E1293" s="17"/>
      <c r="M1293" s="17"/>
      <c r="P1293" s="17"/>
    </row>
    <row r="1294">
      <c r="B1294" s="11">
        <f>IFERROR(__xludf.DUMMYFUNCTION("""COMPUTED_VALUE"""),44146.66666666667)</f>
        <v>44146.66667</v>
      </c>
      <c r="C1294" s="9">
        <f>IFERROR(__xludf.DUMMYFUNCTION("""COMPUTED_VALUE"""),102.02)</f>
        <v>102.02</v>
      </c>
      <c r="E1294" s="17"/>
      <c r="M1294" s="17"/>
      <c r="P1294" s="17"/>
    </row>
    <row r="1295">
      <c r="B1295" s="11">
        <f>IFERROR(__xludf.DUMMYFUNCTION("""COMPUTED_VALUE"""),44145.66666666667)</f>
        <v>44145.66667</v>
      </c>
      <c r="C1295" s="9">
        <f>IFERROR(__xludf.DUMMYFUNCTION("""COMPUTED_VALUE"""),99.94)</f>
        <v>99.94</v>
      </c>
      <c r="E1295" s="17"/>
      <c r="M1295" s="17"/>
      <c r="P1295" s="17"/>
    </row>
    <row r="1296">
      <c r="B1296" s="11">
        <f>IFERROR(__xludf.DUMMYFUNCTION("""COMPUTED_VALUE"""),44144.66666666667)</f>
        <v>44144.66667</v>
      </c>
      <c r="C1296" s="9">
        <f>IFERROR(__xludf.DUMMYFUNCTION("""COMPUTED_VALUE"""),99.61)</f>
        <v>99.61</v>
      </c>
      <c r="E1296" s="17"/>
      <c r="M1296" s="17"/>
      <c r="P1296" s="17"/>
    </row>
    <row r="1297">
      <c r="B1297" s="11">
        <f>IFERROR(__xludf.DUMMYFUNCTION("""COMPUTED_VALUE"""),44141.66666666667)</f>
        <v>44141.66667</v>
      </c>
      <c r="C1297" s="9">
        <f>IFERROR(__xludf.DUMMYFUNCTION("""COMPUTED_VALUE"""),104.89)</f>
        <v>104.89</v>
      </c>
      <c r="E1297" s="17"/>
      <c r="M1297" s="17"/>
      <c r="P1297" s="17"/>
    </row>
    <row r="1298">
      <c r="B1298" s="11">
        <f>IFERROR(__xludf.DUMMYFUNCTION("""COMPUTED_VALUE"""),44140.66666666667)</f>
        <v>44140.66667</v>
      </c>
      <c r="C1298" s="9">
        <f>IFERROR(__xludf.DUMMYFUNCTION("""COMPUTED_VALUE"""),105.88)</f>
        <v>105.88</v>
      </c>
      <c r="E1298" s="17"/>
      <c r="M1298" s="17"/>
      <c r="P1298" s="17"/>
    </row>
    <row r="1299">
      <c r="B1299" s="11">
        <f>IFERROR(__xludf.DUMMYFUNCTION("""COMPUTED_VALUE"""),44139.66666666667)</f>
        <v>44139.66667</v>
      </c>
      <c r="C1299" s="9">
        <f>IFERROR(__xludf.DUMMYFUNCTION("""COMPUTED_VALUE"""),105.81)</f>
        <v>105.81</v>
      </c>
      <c r="E1299" s="17"/>
      <c r="M1299" s="17"/>
      <c r="P1299" s="17"/>
    </row>
    <row r="1300">
      <c r="B1300" s="11">
        <f>IFERROR(__xludf.DUMMYFUNCTION("""COMPUTED_VALUE"""),44138.66666666667)</f>
        <v>44138.66667</v>
      </c>
      <c r="C1300" s="9">
        <f>IFERROR(__xludf.DUMMYFUNCTION("""COMPUTED_VALUE"""),104.39)</f>
        <v>104.39</v>
      </c>
      <c r="E1300" s="17"/>
      <c r="M1300" s="17"/>
      <c r="P1300" s="17"/>
    </row>
    <row r="1301">
      <c r="B1301" s="11">
        <f>IFERROR(__xludf.DUMMYFUNCTION("""COMPUTED_VALUE"""),44137.66666666667)</f>
        <v>44137.66667</v>
      </c>
      <c r="C1301" s="9">
        <f>IFERROR(__xludf.DUMMYFUNCTION("""COMPUTED_VALUE"""),101.87)</f>
        <v>101.87</v>
      </c>
      <c r="E1301" s="17"/>
      <c r="M1301" s="17"/>
      <c r="P1301" s="17"/>
    </row>
    <row r="1302">
      <c r="B1302" s="11">
        <f>IFERROR(__xludf.DUMMYFUNCTION("""COMPUTED_VALUE"""),44134.66666666667)</f>
        <v>44134.66667</v>
      </c>
      <c r="C1302" s="9">
        <f>IFERROR(__xludf.DUMMYFUNCTION("""COMPUTED_VALUE"""),99.2)</f>
        <v>99.2</v>
      </c>
      <c r="E1302" s="17"/>
      <c r="M1302" s="17"/>
      <c r="P1302" s="17"/>
    </row>
    <row r="1303">
      <c r="B1303" s="11">
        <f>IFERROR(__xludf.DUMMYFUNCTION("""COMPUTED_VALUE"""),44133.66666666667)</f>
        <v>44133.66667</v>
      </c>
      <c r="C1303" s="9">
        <f>IFERROR(__xludf.DUMMYFUNCTION("""COMPUTED_VALUE"""),100.18)</f>
        <v>100.18</v>
      </c>
      <c r="E1303" s="17"/>
      <c r="M1303" s="17"/>
      <c r="P1303" s="17"/>
    </row>
    <row r="1304">
      <c r="B1304" s="11">
        <f>IFERROR(__xludf.DUMMYFUNCTION("""COMPUTED_VALUE"""),44132.66666666667)</f>
        <v>44132.66667</v>
      </c>
      <c r="C1304" s="9">
        <f>IFERROR(__xludf.DUMMYFUNCTION("""COMPUTED_VALUE"""),97.51)</f>
        <v>97.51</v>
      </c>
      <c r="E1304" s="17"/>
      <c r="M1304" s="17"/>
      <c r="P1304" s="17"/>
    </row>
    <row r="1305">
      <c r="B1305" s="11">
        <f>IFERROR(__xludf.DUMMYFUNCTION("""COMPUTED_VALUE"""),44131.66666666667)</f>
        <v>44131.66667</v>
      </c>
      <c r="C1305" s="9">
        <f>IFERROR(__xludf.DUMMYFUNCTION("""COMPUTED_VALUE"""),99.14)</f>
        <v>99.14</v>
      </c>
      <c r="E1305" s="17"/>
      <c r="M1305" s="17"/>
      <c r="P1305" s="17"/>
    </row>
    <row r="1306">
      <c r="B1306" s="11">
        <f>IFERROR(__xludf.DUMMYFUNCTION("""COMPUTED_VALUE"""),44130.66666666667)</f>
        <v>44130.66667</v>
      </c>
      <c r="C1306" s="9">
        <f>IFERROR(__xludf.DUMMYFUNCTION("""COMPUTED_VALUE"""),100.47)</f>
        <v>100.47</v>
      </c>
      <c r="E1306" s="17"/>
      <c r="M1306" s="17"/>
      <c r="P1306" s="17"/>
    </row>
    <row r="1307">
      <c r="B1307" s="11">
        <f>IFERROR(__xludf.DUMMYFUNCTION("""COMPUTED_VALUE"""),44127.66666666667)</f>
        <v>44127.66667</v>
      </c>
      <c r="C1307" s="9">
        <f>IFERROR(__xludf.DUMMYFUNCTION("""COMPUTED_VALUE"""),103.24)</f>
        <v>103.24</v>
      </c>
      <c r="E1307" s="17"/>
      <c r="M1307" s="17"/>
      <c r="P1307" s="17"/>
    </row>
    <row r="1308">
      <c r="B1308" s="11">
        <f>IFERROR(__xludf.DUMMYFUNCTION("""COMPUTED_VALUE"""),44126.66666666667)</f>
        <v>44126.66667</v>
      </c>
      <c r="C1308" s="9">
        <f>IFERROR(__xludf.DUMMYFUNCTION("""COMPUTED_VALUE"""),102.8)</f>
        <v>102.8</v>
      </c>
      <c r="E1308" s="17"/>
      <c r="M1308" s="17"/>
      <c r="P1308" s="17"/>
    </row>
    <row r="1309">
      <c r="B1309" s="11">
        <f>IFERROR(__xludf.DUMMYFUNCTION("""COMPUTED_VALUE"""),44125.66666666667)</f>
        <v>44125.66667</v>
      </c>
      <c r="C1309" s="9">
        <f>IFERROR(__xludf.DUMMYFUNCTION("""COMPUTED_VALUE"""),102.65)</f>
        <v>102.65</v>
      </c>
      <c r="E1309" s="17"/>
      <c r="M1309" s="17"/>
      <c r="P1309" s="17"/>
    </row>
    <row r="1310">
      <c r="B1310" s="11">
        <f>IFERROR(__xludf.DUMMYFUNCTION("""COMPUTED_VALUE"""),44124.66666666667)</f>
        <v>44124.66667</v>
      </c>
      <c r="C1310" s="9">
        <f>IFERROR(__xludf.DUMMYFUNCTION("""COMPUTED_VALUE"""),103.53)</f>
        <v>103.53</v>
      </c>
      <c r="E1310" s="17"/>
      <c r="M1310" s="17"/>
      <c r="P1310" s="17"/>
    </row>
    <row r="1311">
      <c r="B1311" s="11">
        <f>IFERROR(__xludf.DUMMYFUNCTION("""COMPUTED_VALUE"""),44123.66666666667)</f>
        <v>44123.66667</v>
      </c>
      <c r="C1311" s="9">
        <f>IFERROR(__xludf.DUMMYFUNCTION("""COMPUTED_VALUE"""),103.02)</f>
        <v>103.02</v>
      </c>
      <c r="E1311" s="17"/>
      <c r="M1311" s="17"/>
      <c r="P1311" s="17"/>
    </row>
    <row r="1312">
      <c r="B1312" s="11">
        <f>IFERROR(__xludf.DUMMYFUNCTION("""COMPUTED_VALUE"""),44120.66666666667)</f>
        <v>44120.66667</v>
      </c>
      <c r="C1312" s="9">
        <f>IFERROR(__xludf.DUMMYFUNCTION("""COMPUTED_VALUE"""),104.26)</f>
        <v>104.26</v>
      </c>
      <c r="E1312" s="17"/>
      <c r="M1312" s="17"/>
      <c r="P1312" s="17"/>
    </row>
    <row r="1313">
      <c r="B1313" s="11">
        <f>IFERROR(__xludf.DUMMYFUNCTION("""COMPUTED_VALUE"""),44119.66666666667)</f>
        <v>44119.66667</v>
      </c>
      <c r="C1313" s="9">
        <f>IFERROR(__xludf.DUMMYFUNCTION("""COMPUTED_VALUE"""),104.98)</f>
        <v>104.98</v>
      </c>
      <c r="E1313" s="17"/>
      <c r="M1313" s="17"/>
      <c r="P1313" s="17"/>
    </row>
    <row r="1314">
      <c r="B1314" s="11">
        <f>IFERROR(__xludf.DUMMYFUNCTION("""COMPUTED_VALUE"""),44118.66666666667)</f>
        <v>44118.66667</v>
      </c>
      <c r="C1314" s="9">
        <f>IFERROR(__xludf.DUMMYFUNCTION("""COMPUTED_VALUE"""),104.03)</f>
        <v>104.03</v>
      </c>
      <c r="E1314" s="17"/>
      <c r="M1314" s="17"/>
      <c r="P1314" s="17"/>
    </row>
    <row r="1315">
      <c r="B1315" s="11">
        <f>IFERROR(__xludf.DUMMYFUNCTION("""COMPUTED_VALUE"""),44117.66666666667)</f>
        <v>44117.66667</v>
      </c>
      <c r="C1315" s="9">
        <f>IFERROR(__xludf.DUMMYFUNCTION("""COMPUTED_VALUE"""),106.63)</f>
        <v>106.63</v>
      </c>
      <c r="E1315" s="17"/>
      <c r="M1315" s="17"/>
      <c r="P1315" s="17"/>
    </row>
    <row r="1316">
      <c r="B1316" s="11">
        <f>IFERROR(__xludf.DUMMYFUNCTION("""COMPUTED_VALUE"""),44116.66666666667)</f>
        <v>44116.66667</v>
      </c>
      <c r="C1316" s="9">
        <f>IFERROR(__xludf.DUMMYFUNCTION("""COMPUTED_VALUE"""),108.29)</f>
        <v>108.29</v>
      </c>
      <c r="E1316" s="17"/>
      <c r="M1316" s="17"/>
      <c r="P1316" s="17"/>
    </row>
    <row r="1317">
      <c r="B1317" s="11">
        <f>IFERROR(__xludf.DUMMYFUNCTION("""COMPUTED_VALUE"""),44113.66666666667)</f>
        <v>44113.66667</v>
      </c>
      <c r="C1317" s="9">
        <f>IFERROR(__xludf.DUMMYFUNCTION("""COMPUTED_VALUE"""),106.91)</f>
        <v>106.91</v>
      </c>
      <c r="E1317" s="17"/>
      <c r="M1317" s="17"/>
      <c r="P1317" s="17"/>
    </row>
    <row r="1318">
      <c r="B1318" s="11">
        <f>IFERROR(__xludf.DUMMYFUNCTION("""COMPUTED_VALUE"""),44112.66666666667)</f>
        <v>44112.66667</v>
      </c>
      <c r="C1318" s="9">
        <f>IFERROR(__xludf.DUMMYFUNCTION("""COMPUTED_VALUE"""),106.84)</f>
        <v>106.84</v>
      </c>
      <c r="E1318" s="17"/>
      <c r="M1318" s="17"/>
      <c r="P1318" s="17"/>
    </row>
    <row r="1319">
      <c r="B1319" s="11">
        <f>IFERROR(__xludf.DUMMYFUNCTION("""COMPUTED_VALUE"""),44111.66666666667)</f>
        <v>44111.66667</v>
      </c>
      <c r="C1319" s="9">
        <f>IFERROR(__xludf.DUMMYFUNCTION("""COMPUTED_VALUE"""),105.76)</f>
        <v>105.76</v>
      </c>
      <c r="E1319" s="17"/>
      <c r="M1319" s="17"/>
      <c r="P1319" s="17"/>
    </row>
    <row r="1320">
      <c r="B1320" s="11">
        <f>IFERROR(__xludf.DUMMYFUNCTION("""COMPUTED_VALUE"""),44110.66666666667)</f>
        <v>44110.66667</v>
      </c>
      <c r="C1320" s="9">
        <f>IFERROR(__xludf.DUMMYFUNCTION("""COMPUTED_VALUE"""),104.48)</f>
        <v>104.48</v>
      </c>
      <c r="E1320" s="17"/>
      <c r="M1320" s="17"/>
      <c r="P1320" s="17"/>
    </row>
    <row r="1321">
      <c r="B1321" s="11">
        <f>IFERROR(__xludf.DUMMYFUNCTION("""COMPUTED_VALUE"""),44109.66666666667)</f>
        <v>44109.66667</v>
      </c>
      <c r="C1321" s="9">
        <f>IFERROR(__xludf.DUMMYFUNCTION("""COMPUTED_VALUE"""),105.19)</f>
        <v>105.19</v>
      </c>
      <c r="E1321" s="17"/>
      <c r="M1321" s="17"/>
      <c r="P1321" s="17"/>
    </row>
    <row r="1322">
      <c r="B1322" s="11">
        <f>IFERROR(__xludf.DUMMYFUNCTION("""COMPUTED_VALUE"""),44106.66666666667)</f>
        <v>44106.66667</v>
      </c>
      <c r="C1322" s="9">
        <f>IFERROR(__xludf.DUMMYFUNCTION("""COMPUTED_VALUE"""),104.22)</f>
        <v>104.22</v>
      </c>
      <c r="E1322" s="17"/>
      <c r="M1322" s="17"/>
      <c r="P1322" s="17"/>
    </row>
    <row r="1323">
      <c r="B1323" s="11">
        <f>IFERROR(__xludf.DUMMYFUNCTION("""COMPUTED_VALUE"""),44105.66666666667)</f>
        <v>44105.66667</v>
      </c>
      <c r="C1323" s="9">
        <f>IFERROR(__xludf.DUMMYFUNCTION("""COMPUTED_VALUE"""),102.16)</f>
        <v>102.16</v>
      </c>
      <c r="E1323" s="17"/>
      <c r="M1323" s="17"/>
      <c r="P1323" s="17"/>
    </row>
    <row r="1324">
      <c r="B1324" s="11">
        <f>IFERROR(__xludf.DUMMYFUNCTION("""COMPUTED_VALUE"""),44104.66666666667)</f>
        <v>44104.66667</v>
      </c>
      <c r="C1324" s="9">
        <f>IFERROR(__xludf.DUMMYFUNCTION("""COMPUTED_VALUE"""),100.62)</f>
        <v>100.62</v>
      </c>
      <c r="E1324" s="17"/>
      <c r="M1324" s="17"/>
      <c r="P1324" s="17"/>
    </row>
    <row r="1325">
      <c r="B1325" s="11">
        <f>IFERROR(__xludf.DUMMYFUNCTION("""COMPUTED_VALUE"""),44103.66666666667)</f>
        <v>44103.66667</v>
      </c>
      <c r="C1325" s="9">
        <f>IFERROR(__xludf.DUMMYFUNCTION("""COMPUTED_VALUE"""),99.61)</f>
        <v>99.61</v>
      </c>
      <c r="E1325" s="17"/>
      <c r="M1325" s="17"/>
      <c r="P1325" s="17"/>
    </row>
    <row r="1326">
      <c r="B1326" s="11">
        <f>IFERROR(__xludf.DUMMYFUNCTION("""COMPUTED_VALUE"""),44102.66666666667)</f>
        <v>44102.66667</v>
      </c>
      <c r="C1326" s="9">
        <f>IFERROR(__xludf.DUMMYFUNCTION("""COMPUTED_VALUE"""),100.03)</f>
        <v>100.03</v>
      </c>
      <c r="E1326" s="17"/>
      <c r="M1326" s="17"/>
      <c r="P1326" s="17"/>
    </row>
    <row r="1327">
      <c r="B1327" s="11">
        <f>IFERROR(__xludf.DUMMYFUNCTION("""COMPUTED_VALUE"""),44099.66666666667)</f>
        <v>44099.66667</v>
      </c>
      <c r="C1327" s="9">
        <f>IFERROR(__xludf.DUMMYFUNCTION("""COMPUTED_VALUE"""),97.67)</f>
        <v>97.67</v>
      </c>
      <c r="E1327" s="17"/>
      <c r="M1327" s="17"/>
      <c r="P1327" s="17"/>
    </row>
    <row r="1328">
      <c r="B1328" s="11">
        <f>IFERROR(__xludf.DUMMYFUNCTION("""COMPUTED_VALUE"""),44098.66666666667)</f>
        <v>44098.66667</v>
      </c>
      <c r="C1328" s="9">
        <f>IFERROR(__xludf.DUMMYFUNCTION("""COMPUTED_VALUE"""),95.36)</f>
        <v>95.36</v>
      </c>
      <c r="E1328" s="17"/>
      <c r="M1328" s="17"/>
      <c r="P1328" s="17"/>
    </row>
    <row r="1329">
      <c r="B1329" s="11">
        <f>IFERROR(__xludf.DUMMYFUNCTION("""COMPUTED_VALUE"""),44097.66666666667)</f>
        <v>44097.66667</v>
      </c>
      <c r="C1329" s="9">
        <f>IFERROR(__xludf.DUMMYFUNCTION("""COMPUTED_VALUE"""),95.3)</f>
        <v>95.3</v>
      </c>
      <c r="E1329" s="17"/>
      <c r="M1329" s="17"/>
      <c r="P1329" s="17"/>
    </row>
    <row r="1330">
      <c r="B1330" s="11">
        <f>IFERROR(__xludf.DUMMYFUNCTION("""COMPUTED_VALUE"""),44096.66666666667)</f>
        <v>44096.66667</v>
      </c>
      <c r="C1330" s="9">
        <f>IFERROR(__xludf.DUMMYFUNCTION("""COMPUTED_VALUE"""),99.19)</f>
        <v>99.19</v>
      </c>
      <c r="E1330" s="17"/>
      <c r="M1330" s="17"/>
      <c r="P1330" s="17"/>
    </row>
    <row r="1331">
      <c r="B1331" s="11">
        <f>IFERROR(__xludf.DUMMYFUNCTION("""COMPUTED_VALUE"""),44095.66666666667)</f>
        <v>44095.66667</v>
      </c>
      <c r="C1331" s="9">
        <f>IFERROR(__xludf.DUMMYFUNCTION("""COMPUTED_VALUE"""),96.55)</f>
        <v>96.55</v>
      </c>
      <c r="E1331" s="17"/>
      <c r="M1331" s="17"/>
      <c r="P1331" s="17"/>
    </row>
    <row r="1332">
      <c r="B1332" s="11">
        <f>IFERROR(__xludf.DUMMYFUNCTION("""COMPUTED_VALUE"""),44092.66666666667)</f>
        <v>44092.66667</v>
      </c>
      <c r="C1332" s="9">
        <f>IFERROR(__xludf.DUMMYFUNCTION("""COMPUTED_VALUE"""),99.52)</f>
        <v>99.52</v>
      </c>
      <c r="E1332" s="17"/>
      <c r="M1332" s="17"/>
      <c r="P1332" s="17"/>
    </row>
    <row r="1333">
      <c r="B1333" s="11">
        <f>IFERROR(__xludf.DUMMYFUNCTION("""COMPUTED_VALUE"""),44091.66666666667)</f>
        <v>44091.66667</v>
      </c>
      <c r="C1333" s="9">
        <f>IFERROR(__xludf.DUMMYFUNCTION("""COMPUTED_VALUE"""),101.1)</f>
        <v>101.1</v>
      </c>
      <c r="E1333" s="17"/>
      <c r="M1333" s="17"/>
      <c r="P1333" s="17"/>
    </row>
    <row r="1334">
      <c r="B1334" s="11">
        <f>IFERROR(__xludf.DUMMYFUNCTION("""COMPUTED_VALUE"""),44090.66666666667)</f>
        <v>44090.66667</v>
      </c>
      <c r="C1334" s="9">
        <f>IFERROR(__xludf.DUMMYFUNCTION("""COMPUTED_VALUE"""),102.04)</f>
        <v>102.04</v>
      </c>
      <c r="E1334" s="17"/>
      <c r="M1334" s="17"/>
      <c r="P1334" s="17"/>
    </row>
    <row r="1335">
      <c r="B1335" s="11">
        <f>IFERROR(__xludf.DUMMYFUNCTION("""COMPUTED_VALUE"""),44089.66666666667)</f>
        <v>44089.66667</v>
      </c>
      <c r="C1335" s="9">
        <f>IFERROR(__xludf.DUMMYFUNCTION("""COMPUTED_VALUE"""),102.73)</f>
        <v>102.73</v>
      </c>
      <c r="E1335" s="17"/>
      <c r="M1335" s="17"/>
      <c r="P1335" s="17"/>
    </row>
    <row r="1336">
      <c r="B1336" s="11">
        <f>IFERROR(__xludf.DUMMYFUNCTION("""COMPUTED_VALUE"""),44088.66666666667)</f>
        <v>44088.66667</v>
      </c>
      <c r="C1336" s="9">
        <f>IFERROR(__xludf.DUMMYFUNCTION("""COMPUTED_VALUE"""),101.95)</f>
        <v>101.95</v>
      </c>
      <c r="E1336" s="17"/>
      <c r="M1336" s="17"/>
      <c r="P1336" s="17"/>
    </row>
    <row r="1337">
      <c r="B1337" s="11">
        <f>IFERROR(__xludf.DUMMYFUNCTION("""COMPUTED_VALUE"""),44085.66666666667)</f>
        <v>44085.66667</v>
      </c>
      <c r="C1337" s="9">
        <f>IFERROR(__xludf.DUMMYFUNCTION("""COMPUTED_VALUE"""),100.21)</f>
        <v>100.21</v>
      </c>
      <c r="E1337" s="17"/>
      <c r="M1337" s="17"/>
      <c r="P1337" s="17"/>
    </row>
    <row r="1338">
      <c r="B1338" s="11">
        <f>IFERROR(__xludf.DUMMYFUNCTION("""COMPUTED_VALUE"""),44084.66666666667)</f>
        <v>44084.66667</v>
      </c>
      <c r="C1338" s="9">
        <f>IFERROR(__xludf.DUMMYFUNCTION("""COMPUTED_VALUE"""),100.01)</f>
        <v>100.01</v>
      </c>
      <c r="E1338" s="17"/>
      <c r="M1338" s="17"/>
      <c r="P1338" s="17"/>
    </row>
    <row r="1339">
      <c r="B1339" s="11">
        <f>IFERROR(__xludf.DUMMYFUNCTION("""COMPUTED_VALUE"""),44083.66666666667)</f>
        <v>44083.66667</v>
      </c>
      <c r="C1339" s="9">
        <f>IFERROR(__xludf.DUMMYFUNCTION("""COMPUTED_VALUE"""),100.98)</f>
        <v>100.98</v>
      </c>
      <c r="E1339" s="17"/>
      <c r="M1339" s="17"/>
      <c r="P1339" s="17"/>
    </row>
    <row r="1340">
      <c r="B1340" s="11">
        <f>IFERROR(__xludf.DUMMYFUNCTION("""COMPUTED_VALUE"""),44082.66666666667)</f>
        <v>44082.66667</v>
      </c>
      <c r="C1340" s="9">
        <f>IFERROR(__xludf.DUMMYFUNCTION("""COMPUTED_VALUE"""),98.8)</f>
        <v>98.8</v>
      </c>
      <c r="E1340" s="17"/>
      <c r="M1340" s="17"/>
      <c r="P1340" s="17"/>
    </row>
    <row r="1341">
      <c r="B1341" s="11">
        <f>IFERROR(__xludf.DUMMYFUNCTION("""COMPUTED_VALUE"""),44078.66666666667)</f>
        <v>44078.66667</v>
      </c>
      <c r="C1341" s="9">
        <f>IFERROR(__xludf.DUMMYFUNCTION("""COMPUTED_VALUE"""),100.76)</f>
        <v>100.76</v>
      </c>
      <c r="E1341" s="17"/>
      <c r="M1341" s="17"/>
      <c r="P1341" s="17"/>
    </row>
    <row r="1342">
      <c r="B1342" s="11">
        <f>IFERROR(__xludf.DUMMYFUNCTION("""COMPUTED_VALUE"""),44077.66666666667)</f>
        <v>44077.66667</v>
      </c>
      <c r="C1342" s="9">
        <f>IFERROR(__xludf.DUMMYFUNCTION("""COMPUTED_VALUE"""),101.61)</f>
        <v>101.61</v>
      </c>
      <c r="E1342" s="17"/>
      <c r="M1342" s="17"/>
      <c r="P1342" s="17"/>
    </row>
    <row r="1343">
      <c r="B1343" s="11">
        <f>IFERROR(__xludf.DUMMYFUNCTION("""COMPUTED_VALUE"""),44076.66666666667)</f>
        <v>44076.66667</v>
      </c>
      <c r="C1343" s="9">
        <f>IFERROR(__xludf.DUMMYFUNCTION("""COMPUTED_VALUE"""),104.58)</f>
        <v>104.58</v>
      </c>
      <c r="E1343" s="17"/>
      <c r="M1343" s="17"/>
      <c r="P1343" s="17"/>
    </row>
    <row r="1344">
      <c r="B1344" s="11">
        <f>IFERROR(__xludf.DUMMYFUNCTION("""COMPUTED_VALUE"""),44075.66666666667)</f>
        <v>44075.66667</v>
      </c>
      <c r="C1344" s="9">
        <f>IFERROR(__xludf.DUMMYFUNCTION("""COMPUTED_VALUE"""),101.5)</f>
        <v>101.5</v>
      </c>
      <c r="E1344" s="17"/>
      <c r="M1344" s="17"/>
      <c r="P1344" s="17"/>
    </row>
    <row r="1345">
      <c r="B1345" s="11">
        <f>IFERROR(__xludf.DUMMYFUNCTION("""COMPUTED_VALUE"""),44074.66666666667)</f>
        <v>44074.66667</v>
      </c>
      <c r="C1345" s="9">
        <f>IFERROR(__xludf.DUMMYFUNCTION("""COMPUTED_VALUE"""),101.86)</f>
        <v>101.86</v>
      </c>
      <c r="E1345" s="17"/>
      <c r="M1345" s="17"/>
      <c r="P1345" s="17"/>
    </row>
    <row r="1346">
      <c r="B1346" s="11">
        <f>IFERROR(__xludf.DUMMYFUNCTION("""COMPUTED_VALUE"""),44071.66666666667)</f>
        <v>44071.66667</v>
      </c>
      <c r="C1346" s="9">
        <f>IFERROR(__xludf.DUMMYFUNCTION("""COMPUTED_VALUE"""),102.49)</f>
        <v>102.49</v>
      </c>
      <c r="E1346" s="17"/>
      <c r="M1346" s="17"/>
      <c r="P1346" s="17"/>
    </row>
    <row r="1347">
      <c r="B1347" s="11">
        <f>IFERROR(__xludf.DUMMYFUNCTION("""COMPUTED_VALUE"""),44070.66666666667)</f>
        <v>44070.66667</v>
      </c>
      <c r="C1347" s="9">
        <f>IFERROR(__xludf.DUMMYFUNCTION("""COMPUTED_VALUE"""),101.9)</f>
        <v>101.9</v>
      </c>
      <c r="E1347" s="17"/>
      <c r="M1347" s="17"/>
      <c r="P1347" s="17"/>
    </row>
    <row r="1348">
      <c r="B1348" s="11">
        <f>IFERROR(__xludf.DUMMYFUNCTION("""COMPUTED_VALUE"""),44069.66666666667)</f>
        <v>44069.66667</v>
      </c>
      <c r="C1348" s="9">
        <f>IFERROR(__xludf.DUMMYFUNCTION("""COMPUTED_VALUE"""),101.03)</f>
        <v>101.03</v>
      </c>
      <c r="E1348" s="17"/>
      <c r="M1348" s="17"/>
      <c r="P1348" s="17"/>
    </row>
    <row r="1349">
      <c r="B1349" s="11">
        <f>IFERROR(__xludf.DUMMYFUNCTION("""COMPUTED_VALUE"""),44068.66666666667)</f>
        <v>44068.66667</v>
      </c>
      <c r="C1349" s="9">
        <f>IFERROR(__xludf.DUMMYFUNCTION("""COMPUTED_VALUE"""),101.98)</f>
        <v>101.98</v>
      </c>
      <c r="E1349" s="17"/>
      <c r="M1349" s="17"/>
      <c r="P1349" s="17"/>
    </row>
    <row r="1350">
      <c r="B1350" s="11">
        <f>IFERROR(__xludf.DUMMYFUNCTION("""COMPUTED_VALUE"""),44067.66666666667)</f>
        <v>44067.66667</v>
      </c>
      <c r="C1350" s="9">
        <f>IFERROR(__xludf.DUMMYFUNCTION("""COMPUTED_VALUE"""),102.0)</f>
        <v>102</v>
      </c>
      <c r="E1350" s="17"/>
      <c r="M1350" s="17"/>
      <c r="P1350" s="17"/>
    </row>
    <row r="1351">
      <c r="B1351" s="11">
        <f>IFERROR(__xludf.DUMMYFUNCTION("""COMPUTED_VALUE"""),44064.66666666667)</f>
        <v>44064.66667</v>
      </c>
      <c r="C1351" s="9">
        <f>IFERROR(__xludf.DUMMYFUNCTION("""COMPUTED_VALUE"""),103.04)</f>
        <v>103.04</v>
      </c>
      <c r="E1351" s="17"/>
      <c r="M1351" s="17"/>
      <c r="P1351" s="17"/>
    </row>
    <row r="1352">
      <c r="B1352" s="11">
        <f>IFERROR(__xludf.DUMMYFUNCTION("""COMPUTED_VALUE"""),44063.66666666667)</f>
        <v>44063.66667</v>
      </c>
      <c r="C1352" s="9">
        <f>IFERROR(__xludf.DUMMYFUNCTION("""COMPUTED_VALUE"""),102.69)</f>
        <v>102.69</v>
      </c>
      <c r="E1352" s="17"/>
      <c r="M1352" s="17"/>
      <c r="P1352" s="17"/>
    </row>
    <row r="1353">
      <c r="B1353" s="11">
        <f>IFERROR(__xludf.DUMMYFUNCTION("""COMPUTED_VALUE"""),44062.66666666667)</f>
        <v>44062.66667</v>
      </c>
      <c r="C1353" s="9">
        <f>IFERROR(__xludf.DUMMYFUNCTION("""COMPUTED_VALUE"""),101.74)</f>
        <v>101.74</v>
      </c>
      <c r="E1353" s="17"/>
      <c r="M1353" s="17"/>
      <c r="P1353" s="17"/>
    </row>
    <row r="1354">
      <c r="B1354" s="11">
        <f>IFERROR(__xludf.DUMMYFUNCTION("""COMPUTED_VALUE"""),44061.66666666667)</f>
        <v>44061.66667</v>
      </c>
      <c r="C1354" s="9">
        <f>IFERROR(__xludf.DUMMYFUNCTION("""COMPUTED_VALUE"""),103.65)</f>
        <v>103.65</v>
      </c>
      <c r="E1354" s="17"/>
      <c r="M1354" s="17"/>
      <c r="P1354" s="17"/>
    </row>
    <row r="1355">
      <c r="B1355" s="11">
        <f>IFERROR(__xludf.DUMMYFUNCTION("""COMPUTED_VALUE"""),44060.66666666667)</f>
        <v>44060.66667</v>
      </c>
      <c r="C1355" s="9">
        <f>IFERROR(__xludf.DUMMYFUNCTION("""COMPUTED_VALUE"""),104.21)</f>
        <v>104.21</v>
      </c>
      <c r="E1355" s="17"/>
      <c r="M1355" s="17"/>
      <c r="P1355" s="17"/>
    </row>
    <row r="1356">
      <c r="B1356" s="11">
        <f>IFERROR(__xludf.DUMMYFUNCTION("""COMPUTED_VALUE"""),44057.66666666667)</f>
        <v>44057.66667</v>
      </c>
      <c r="C1356" s="9">
        <f>IFERROR(__xludf.DUMMYFUNCTION("""COMPUTED_VALUE"""),102.32)</f>
        <v>102.32</v>
      </c>
      <c r="E1356" s="17"/>
      <c r="M1356" s="17"/>
      <c r="P1356" s="17"/>
    </row>
    <row r="1357">
      <c r="B1357" s="11">
        <f>IFERROR(__xludf.DUMMYFUNCTION("""COMPUTED_VALUE"""),44056.66666666667)</f>
        <v>44056.66667</v>
      </c>
      <c r="C1357" s="9">
        <f>IFERROR(__xludf.DUMMYFUNCTION("""COMPUTED_VALUE"""),102.64)</f>
        <v>102.64</v>
      </c>
      <c r="E1357" s="17"/>
      <c r="M1357" s="17"/>
      <c r="P1357" s="17"/>
    </row>
    <row r="1358">
      <c r="B1358" s="11">
        <f>IFERROR(__xludf.DUMMYFUNCTION("""COMPUTED_VALUE"""),44055.66666666667)</f>
        <v>44055.66667</v>
      </c>
      <c r="C1358" s="9">
        <f>IFERROR(__xludf.DUMMYFUNCTION("""COMPUTED_VALUE"""),102.88)</f>
        <v>102.88</v>
      </c>
      <c r="E1358" s="17"/>
      <c r="M1358" s="17"/>
      <c r="P1358" s="17"/>
    </row>
    <row r="1359">
      <c r="B1359" s="11">
        <f>IFERROR(__xludf.DUMMYFUNCTION("""COMPUTED_VALUE"""),44054.66666666667)</f>
        <v>44054.66667</v>
      </c>
      <c r="C1359" s="9">
        <f>IFERROR(__xludf.DUMMYFUNCTION("""COMPUTED_VALUE"""),100.51)</f>
        <v>100.51</v>
      </c>
      <c r="E1359" s="17"/>
      <c r="M1359" s="17"/>
      <c r="P1359" s="17"/>
    </row>
    <row r="1360">
      <c r="B1360" s="11">
        <f>IFERROR(__xludf.DUMMYFUNCTION("""COMPUTED_VALUE"""),44053.66666666667)</f>
        <v>44053.66667</v>
      </c>
      <c r="C1360" s="9">
        <f>IFERROR(__xludf.DUMMYFUNCTION("""COMPUTED_VALUE"""),103.73)</f>
        <v>103.73</v>
      </c>
      <c r="E1360" s="17"/>
      <c r="M1360" s="17"/>
      <c r="P1360" s="17"/>
    </row>
    <row r="1361">
      <c r="B1361" s="11">
        <f>IFERROR(__xludf.DUMMYFUNCTION("""COMPUTED_VALUE"""),44050.66666666667)</f>
        <v>44050.66667</v>
      </c>
      <c r="C1361" s="9">
        <f>IFERROR(__xludf.DUMMYFUNCTION("""COMPUTED_VALUE"""),105.07)</f>
        <v>105.07</v>
      </c>
      <c r="E1361" s="17"/>
      <c r="M1361" s="17"/>
      <c r="P1361" s="17"/>
    </row>
    <row r="1362">
      <c r="B1362" s="11">
        <f>IFERROR(__xludf.DUMMYFUNCTION("""COMPUTED_VALUE"""),44049.66666666667)</f>
        <v>44049.66667</v>
      </c>
      <c r="C1362" s="9">
        <f>IFERROR(__xludf.DUMMYFUNCTION("""COMPUTED_VALUE"""),104.88)</f>
        <v>104.88</v>
      </c>
      <c r="E1362" s="17"/>
      <c r="M1362" s="17"/>
      <c r="P1362" s="17"/>
    </row>
    <row r="1363">
      <c r="B1363" s="11">
        <f>IFERROR(__xludf.DUMMYFUNCTION("""COMPUTED_VALUE"""),44048.66666666667)</f>
        <v>44048.66667</v>
      </c>
      <c r="C1363" s="9">
        <f>IFERROR(__xludf.DUMMYFUNCTION("""COMPUTED_VALUE"""),104.9)</f>
        <v>104.9</v>
      </c>
      <c r="E1363" s="17"/>
      <c r="M1363" s="17"/>
      <c r="P1363" s="17"/>
    </row>
    <row r="1364">
      <c r="B1364" s="11">
        <f>IFERROR(__xludf.DUMMYFUNCTION("""COMPUTED_VALUE"""),44047.66666666667)</f>
        <v>44047.66667</v>
      </c>
      <c r="C1364" s="9">
        <f>IFERROR(__xludf.DUMMYFUNCTION("""COMPUTED_VALUE"""),105.59)</f>
        <v>105.59</v>
      </c>
      <c r="E1364" s="17"/>
      <c r="M1364" s="17"/>
      <c r="P1364" s="17"/>
    </row>
    <row r="1365">
      <c r="B1365" s="11">
        <f>IFERROR(__xludf.DUMMYFUNCTION("""COMPUTED_VALUE"""),44046.66666666667)</f>
        <v>44046.66667</v>
      </c>
      <c r="C1365" s="9">
        <f>IFERROR(__xludf.DUMMYFUNCTION("""COMPUTED_VALUE"""),104.98)</f>
        <v>104.98</v>
      </c>
      <c r="E1365" s="17"/>
      <c r="M1365" s="17"/>
      <c r="P1365" s="17"/>
    </row>
    <row r="1366">
      <c r="B1366" s="11">
        <f>IFERROR(__xludf.DUMMYFUNCTION("""COMPUTED_VALUE"""),44043.66666666667)</f>
        <v>44043.66667</v>
      </c>
      <c r="C1366" s="9">
        <f>IFERROR(__xludf.DUMMYFUNCTION("""COMPUTED_VALUE"""),105.42)</f>
        <v>105.42</v>
      </c>
      <c r="E1366" s="17"/>
      <c r="M1366" s="17"/>
      <c r="P1366" s="17"/>
    </row>
    <row r="1367">
      <c r="B1367" s="11">
        <f>IFERROR(__xludf.DUMMYFUNCTION("""COMPUTED_VALUE"""),44042.66666666667)</f>
        <v>44042.66667</v>
      </c>
      <c r="C1367" s="9">
        <f>IFERROR(__xludf.DUMMYFUNCTION("""COMPUTED_VALUE"""),105.19)</f>
        <v>105.19</v>
      </c>
      <c r="E1367" s="17"/>
      <c r="M1367" s="17"/>
      <c r="P1367" s="17"/>
    </row>
    <row r="1368">
      <c r="B1368" s="11">
        <f>IFERROR(__xludf.DUMMYFUNCTION("""COMPUTED_VALUE"""),44041.66666666667)</f>
        <v>44041.66667</v>
      </c>
      <c r="C1368" s="9">
        <f>IFERROR(__xludf.DUMMYFUNCTION("""COMPUTED_VALUE"""),106.17)</f>
        <v>106.17</v>
      </c>
      <c r="E1368" s="17"/>
      <c r="M1368" s="17"/>
      <c r="P1368" s="17"/>
    </row>
    <row r="1369">
      <c r="B1369" s="11">
        <f>IFERROR(__xludf.DUMMYFUNCTION("""COMPUTED_VALUE"""),44040.66666666667)</f>
        <v>44040.66667</v>
      </c>
      <c r="C1369" s="9">
        <f>IFERROR(__xludf.DUMMYFUNCTION("""COMPUTED_VALUE"""),102.54)</f>
        <v>102.54</v>
      </c>
      <c r="E1369" s="17"/>
      <c r="M1369" s="17"/>
      <c r="P1369" s="17"/>
    </row>
    <row r="1370">
      <c r="B1370" s="11">
        <f>IFERROR(__xludf.DUMMYFUNCTION("""COMPUTED_VALUE"""),44039.66666666667)</f>
        <v>44039.66667</v>
      </c>
      <c r="C1370" s="9">
        <f>IFERROR(__xludf.DUMMYFUNCTION("""COMPUTED_VALUE"""),101.76)</f>
        <v>101.76</v>
      </c>
      <c r="E1370" s="17"/>
      <c r="M1370" s="17"/>
      <c r="P1370" s="17"/>
    </row>
    <row r="1371">
      <c r="B1371" s="11">
        <f>IFERROR(__xludf.DUMMYFUNCTION("""COMPUTED_VALUE"""),44036.66666666667)</f>
        <v>44036.66667</v>
      </c>
      <c r="C1371" s="9">
        <f>IFERROR(__xludf.DUMMYFUNCTION("""COMPUTED_VALUE"""),99.91)</f>
        <v>99.91</v>
      </c>
      <c r="E1371" s="17"/>
      <c r="M1371" s="17"/>
      <c r="P1371" s="17"/>
    </row>
    <row r="1372">
      <c r="B1372" s="11">
        <f>IFERROR(__xludf.DUMMYFUNCTION("""COMPUTED_VALUE"""),44035.66666666667)</f>
        <v>44035.66667</v>
      </c>
      <c r="C1372" s="9">
        <f>IFERROR(__xludf.DUMMYFUNCTION("""COMPUTED_VALUE"""),98.9)</f>
        <v>98.9</v>
      </c>
      <c r="E1372" s="17"/>
      <c r="M1372" s="17"/>
      <c r="P1372" s="17"/>
    </row>
    <row r="1373">
      <c r="B1373" s="11">
        <f>IFERROR(__xludf.DUMMYFUNCTION("""COMPUTED_VALUE"""),44034.66666666667)</f>
        <v>44034.66667</v>
      </c>
      <c r="C1373" s="9">
        <f>IFERROR(__xludf.DUMMYFUNCTION("""COMPUTED_VALUE"""),98.38)</f>
        <v>98.38</v>
      </c>
      <c r="E1373" s="17"/>
      <c r="M1373" s="17"/>
      <c r="P1373" s="17"/>
    </row>
    <row r="1374">
      <c r="B1374" s="11">
        <f>IFERROR(__xludf.DUMMYFUNCTION("""COMPUTED_VALUE"""),44033.66666666667)</f>
        <v>44033.66667</v>
      </c>
      <c r="C1374" s="9">
        <f>IFERROR(__xludf.DUMMYFUNCTION("""COMPUTED_VALUE"""),97.93)</f>
        <v>97.93</v>
      </c>
      <c r="E1374" s="17"/>
      <c r="M1374" s="17"/>
      <c r="P1374" s="17"/>
    </row>
    <row r="1375">
      <c r="B1375" s="11">
        <f>IFERROR(__xludf.DUMMYFUNCTION("""COMPUTED_VALUE"""),44032.66666666667)</f>
        <v>44032.66667</v>
      </c>
      <c r="C1375" s="9">
        <f>IFERROR(__xludf.DUMMYFUNCTION("""COMPUTED_VALUE"""),94.73)</f>
        <v>94.73</v>
      </c>
      <c r="E1375" s="17"/>
      <c r="M1375" s="17"/>
      <c r="P1375" s="17"/>
    </row>
    <row r="1376">
      <c r="B1376" s="11">
        <f>IFERROR(__xludf.DUMMYFUNCTION("""COMPUTED_VALUE"""),44029.66666666667)</f>
        <v>44029.66667</v>
      </c>
      <c r="C1376" s="9">
        <f>IFERROR(__xludf.DUMMYFUNCTION("""COMPUTED_VALUE"""),95.34)</f>
        <v>95.34</v>
      </c>
      <c r="E1376" s="17"/>
      <c r="M1376" s="17"/>
      <c r="P1376" s="17"/>
    </row>
    <row r="1377">
      <c r="B1377" s="11">
        <f>IFERROR(__xludf.DUMMYFUNCTION("""COMPUTED_VALUE"""),44028.66666666667)</f>
        <v>44028.66667</v>
      </c>
      <c r="C1377" s="9">
        <f>IFERROR(__xludf.DUMMYFUNCTION("""COMPUTED_VALUE"""),92.1)</f>
        <v>92.1</v>
      </c>
      <c r="E1377" s="17"/>
      <c r="M1377" s="17"/>
      <c r="P1377" s="17"/>
    </row>
    <row r="1378">
      <c r="B1378" s="11">
        <f>IFERROR(__xludf.DUMMYFUNCTION("""COMPUTED_VALUE"""),44027.66666666667)</f>
        <v>44027.66667</v>
      </c>
      <c r="C1378" s="9">
        <f>IFERROR(__xludf.DUMMYFUNCTION("""COMPUTED_VALUE"""),93.74)</f>
        <v>93.74</v>
      </c>
      <c r="E1378" s="17"/>
      <c r="M1378" s="17"/>
      <c r="P1378" s="17"/>
    </row>
    <row r="1379">
      <c r="B1379" s="11">
        <f>IFERROR(__xludf.DUMMYFUNCTION("""COMPUTED_VALUE"""),44026.66666666667)</f>
        <v>44026.66667</v>
      </c>
      <c r="C1379" s="9">
        <f>IFERROR(__xludf.DUMMYFUNCTION("""COMPUTED_VALUE"""),93.38)</f>
        <v>93.38</v>
      </c>
      <c r="E1379" s="17"/>
      <c r="M1379" s="17"/>
      <c r="P1379" s="17"/>
    </row>
    <row r="1380">
      <c r="B1380" s="11">
        <f>IFERROR(__xludf.DUMMYFUNCTION("""COMPUTED_VALUE"""),44025.66666666667)</f>
        <v>44025.66667</v>
      </c>
      <c r="C1380" s="9">
        <f>IFERROR(__xludf.DUMMYFUNCTION("""COMPUTED_VALUE"""),93.57)</f>
        <v>93.57</v>
      </c>
      <c r="E1380" s="17"/>
      <c r="M1380" s="17"/>
      <c r="P1380" s="17"/>
    </row>
    <row r="1381">
      <c r="B1381" s="11">
        <f>IFERROR(__xludf.DUMMYFUNCTION("""COMPUTED_VALUE"""),44022.66666666667)</f>
        <v>44022.66667</v>
      </c>
      <c r="C1381" s="9">
        <f>IFERROR(__xludf.DUMMYFUNCTION("""COMPUTED_VALUE"""),94.82)</f>
        <v>94.82</v>
      </c>
      <c r="E1381" s="17"/>
      <c r="M1381" s="17"/>
      <c r="P1381" s="17"/>
    </row>
    <row r="1382">
      <c r="B1382" s="11">
        <f>IFERROR(__xludf.DUMMYFUNCTION("""COMPUTED_VALUE"""),44021.66666666667)</f>
        <v>44021.66667</v>
      </c>
      <c r="C1382" s="9">
        <f>IFERROR(__xludf.DUMMYFUNCTION("""COMPUTED_VALUE"""),96.57)</f>
        <v>96.57</v>
      </c>
      <c r="E1382" s="17"/>
      <c r="M1382" s="17"/>
      <c r="P1382" s="17"/>
    </row>
    <row r="1383">
      <c r="B1383" s="11">
        <f>IFERROR(__xludf.DUMMYFUNCTION("""COMPUTED_VALUE"""),44020.66666666667)</f>
        <v>44020.66667</v>
      </c>
      <c r="C1383" s="9">
        <f>IFERROR(__xludf.DUMMYFUNCTION("""COMPUTED_VALUE"""),95.76)</f>
        <v>95.76</v>
      </c>
      <c r="E1383" s="17"/>
      <c r="M1383" s="17"/>
      <c r="P1383" s="17"/>
    </row>
    <row r="1384">
      <c r="B1384" s="11">
        <f>IFERROR(__xludf.DUMMYFUNCTION("""COMPUTED_VALUE"""),44019.66666666667)</f>
        <v>44019.66667</v>
      </c>
      <c r="C1384" s="9">
        <f>IFERROR(__xludf.DUMMYFUNCTION("""COMPUTED_VALUE"""),94.83)</f>
        <v>94.83</v>
      </c>
      <c r="E1384" s="17"/>
      <c r="M1384" s="17"/>
      <c r="P1384" s="17"/>
    </row>
    <row r="1385">
      <c r="B1385" s="11">
        <f>IFERROR(__xludf.DUMMYFUNCTION("""COMPUTED_VALUE"""),44018.66666666667)</f>
        <v>44018.66667</v>
      </c>
      <c r="C1385" s="9">
        <f>IFERROR(__xludf.DUMMYFUNCTION("""COMPUTED_VALUE"""),95.56)</f>
        <v>95.56</v>
      </c>
      <c r="E1385" s="17"/>
      <c r="M1385" s="17"/>
      <c r="P1385" s="17"/>
    </row>
    <row r="1386">
      <c r="B1386" s="11">
        <f>IFERROR(__xludf.DUMMYFUNCTION("""COMPUTED_VALUE"""),44014.66666666667)</f>
        <v>44014.66667</v>
      </c>
      <c r="C1386" s="9">
        <f>IFERROR(__xludf.DUMMYFUNCTION("""COMPUTED_VALUE"""),95.55)</f>
        <v>95.55</v>
      </c>
      <c r="E1386" s="17"/>
      <c r="M1386" s="17"/>
      <c r="P1386" s="17"/>
    </row>
    <row r="1387">
      <c r="B1387" s="11">
        <f>IFERROR(__xludf.DUMMYFUNCTION("""COMPUTED_VALUE"""),44013.66666666667)</f>
        <v>44013.66667</v>
      </c>
      <c r="C1387" s="9">
        <f>IFERROR(__xludf.DUMMYFUNCTION("""COMPUTED_VALUE"""),95.15)</f>
        <v>95.15</v>
      </c>
      <c r="E1387" s="17"/>
      <c r="M1387" s="17"/>
      <c r="P1387" s="17"/>
    </row>
    <row r="1388">
      <c r="B1388" s="11">
        <f>IFERROR(__xludf.DUMMYFUNCTION("""COMPUTED_VALUE"""),44012.66666666667)</f>
        <v>44012.66667</v>
      </c>
      <c r="C1388" s="9">
        <f>IFERROR(__xludf.DUMMYFUNCTION("""COMPUTED_VALUE"""),93.33)</f>
        <v>93.33</v>
      </c>
      <c r="E1388" s="17"/>
      <c r="M1388" s="17"/>
      <c r="P1388" s="17"/>
    </row>
    <row r="1389">
      <c r="B1389" s="11">
        <f>IFERROR(__xludf.DUMMYFUNCTION("""COMPUTED_VALUE"""),44011.66666666667)</f>
        <v>44011.66667</v>
      </c>
      <c r="C1389" s="9">
        <f>IFERROR(__xludf.DUMMYFUNCTION("""COMPUTED_VALUE"""),91.17)</f>
        <v>91.17</v>
      </c>
      <c r="E1389" s="17"/>
      <c r="M1389" s="17"/>
      <c r="P1389" s="17"/>
    </row>
    <row r="1390">
      <c r="B1390" s="11">
        <f>IFERROR(__xludf.DUMMYFUNCTION("""COMPUTED_VALUE"""),44008.66666666667)</f>
        <v>44008.66667</v>
      </c>
      <c r="C1390" s="9">
        <f>IFERROR(__xludf.DUMMYFUNCTION("""COMPUTED_VALUE"""),89.83)</f>
        <v>89.83</v>
      </c>
      <c r="E1390" s="17"/>
      <c r="M1390" s="17"/>
      <c r="P1390" s="17"/>
    </row>
    <row r="1391">
      <c r="B1391" s="11">
        <f>IFERROR(__xludf.DUMMYFUNCTION("""COMPUTED_VALUE"""),44007.66666666667)</f>
        <v>44007.66667</v>
      </c>
      <c r="C1391" s="9">
        <f>IFERROR(__xludf.DUMMYFUNCTION("""COMPUTED_VALUE"""),91.47)</f>
        <v>91.47</v>
      </c>
      <c r="E1391" s="17"/>
      <c r="M1391" s="17"/>
      <c r="P1391" s="17"/>
    </row>
    <row r="1392">
      <c r="B1392" s="11">
        <f>IFERROR(__xludf.DUMMYFUNCTION("""COMPUTED_VALUE"""),44006.66666666667)</f>
        <v>44006.66667</v>
      </c>
      <c r="C1392" s="9">
        <f>IFERROR(__xludf.DUMMYFUNCTION("""COMPUTED_VALUE"""),89.8)</f>
        <v>89.8</v>
      </c>
      <c r="E1392" s="17"/>
      <c r="M1392" s="17"/>
      <c r="P1392" s="17"/>
    </row>
    <row r="1393">
      <c r="B1393" s="11">
        <f>IFERROR(__xludf.DUMMYFUNCTION("""COMPUTED_VALUE"""),44005.66666666667)</f>
        <v>44005.66667</v>
      </c>
      <c r="C1393" s="9">
        <f>IFERROR(__xludf.DUMMYFUNCTION("""COMPUTED_VALUE"""),91.45)</f>
        <v>91.45</v>
      </c>
      <c r="E1393" s="17"/>
      <c r="M1393" s="17"/>
      <c r="P1393" s="17"/>
    </row>
    <row r="1394">
      <c r="B1394" s="11">
        <f>IFERROR(__xludf.DUMMYFUNCTION("""COMPUTED_VALUE"""),44004.66666666667)</f>
        <v>44004.66667</v>
      </c>
      <c r="C1394" s="9">
        <f>IFERROR(__xludf.DUMMYFUNCTION("""COMPUTED_VALUE"""),92.56)</f>
        <v>92.56</v>
      </c>
      <c r="E1394" s="17"/>
      <c r="M1394" s="17"/>
      <c r="P1394" s="17"/>
    </row>
    <row r="1395">
      <c r="B1395" s="11">
        <f>IFERROR(__xludf.DUMMYFUNCTION("""COMPUTED_VALUE"""),44001.66666666667)</f>
        <v>44001.66667</v>
      </c>
      <c r="C1395" s="9">
        <f>IFERROR(__xludf.DUMMYFUNCTION("""COMPUTED_VALUE"""),91.87)</f>
        <v>91.87</v>
      </c>
      <c r="E1395" s="17"/>
      <c r="M1395" s="17"/>
      <c r="P1395" s="17"/>
    </row>
    <row r="1396">
      <c r="B1396" s="11">
        <f>IFERROR(__xludf.DUMMYFUNCTION("""COMPUTED_VALUE"""),44000.66666666667)</f>
        <v>44000.66667</v>
      </c>
      <c r="C1396" s="9">
        <f>IFERROR(__xludf.DUMMYFUNCTION("""COMPUTED_VALUE"""),95.09)</f>
        <v>95.09</v>
      </c>
      <c r="E1396" s="17"/>
      <c r="M1396" s="17"/>
      <c r="P1396" s="17"/>
    </row>
    <row r="1397">
      <c r="B1397" s="11">
        <f>IFERROR(__xludf.DUMMYFUNCTION("""COMPUTED_VALUE"""),43999.66666666667)</f>
        <v>43999.66667</v>
      </c>
      <c r="C1397" s="9">
        <f>IFERROR(__xludf.DUMMYFUNCTION("""COMPUTED_VALUE"""),96.7)</f>
        <v>96.7</v>
      </c>
      <c r="E1397" s="17"/>
      <c r="M1397" s="17"/>
      <c r="P1397" s="17"/>
    </row>
    <row r="1398">
      <c r="B1398" s="11">
        <f>IFERROR(__xludf.DUMMYFUNCTION("""COMPUTED_VALUE"""),43998.66666666667)</f>
        <v>43998.66667</v>
      </c>
      <c r="C1398" s="9">
        <f>IFERROR(__xludf.DUMMYFUNCTION("""COMPUTED_VALUE"""),96.9)</f>
        <v>96.9</v>
      </c>
      <c r="E1398" s="17"/>
      <c r="M1398" s="17"/>
      <c r="P1398" s="17"/>
    </row>
    <row r="1399">
      <c r="B1399" s="11">
        <f>IFERROR(__xludf.DUMMYFUNCTION("""COMPUTED_VALUE"""),43997.66666666667)</f>
        <v>43997.66667</v>
      </c>
      <c r="C1399" s="9">
        <f>IFERROR(__xludf.DUMMYFUNCTION("""COMPUTED_VALUE"""),94.39)</f>
        <v>94.39</v>
      </c>
      <c r="E1399" s="17"/>
      <c r="M1399" s="17"/>
      <c r="P1399" s="17"/>
    </row>
    <row r="1400">
      <c r="B1400" s="11">
        <f>IFERROR(__xludf.DUMMYFUNCTION("""COMPUTED_VALUE"""),43994.66666666667)</f>
        <v>43994.66667</v>
      </c>
      <c r="C1400" s="9">
        <f>IFERROR(__xludf.DUMMYFUNCTION("""COMPUTED_VALUE"""),94.46)</f>
        <v>94.46</v>
      </c>
      <c r="E1400" s="17"/>
      <c r="M1400" s="17"/>
      <c r="P1400" s="17"/>
    </row>
    <row r="1401">
      <c r="B1401" s="11">
        <f>IFERROR(__xludf.DUMMYFUNCTION("""COMPUTED_VALUE"""),43993.66666666667)</f>
        <v>43993.66667</v>
      </c>
      <c r="C1401" s="9">
        <f>IFERROR(__xludf.DUMMYFUNCTION("""COMPUTED_VALUE"""),90.91)</f>
        <v>90.91</v>
      </c>
      <c r="E1401" s="17"/>
      <c r="M1401" s="17"/>
      <c r="P1401" s="17"/>
    </row>
    <row r="1402">
      <c r="B1402" s="11">
        <f>IFERROR(__xludf.DUMMYFUNCTION("""COMPUTED_VALUE"""),43992.66666666667)</f>
        <v>43992.66667</v>
      </c>
      <c r="C1402" s="9">
        <f>IFERROR(__xludf.DUMMYFUNCTION("""COMPUTED_VALUE"""),96.41)</f>
        <v>96.41</v>
      </c>
      <c r="E1402" s="17"/>
      <c r="M1402" s="17"/>
      <c r="P1402" s="17"/>
    </row>
    <row r="1403">
      <c r="B1403" s="11">
        <f>IFERROR(__xludf.DUMMYFUNCTION("""COMPUTED_VALUE"""),43991.66666666667)</f>
        <v>43991.66667</v>
      </c>
      <c r="C1403" s="9">
        <f>IFERROR(__xludf.DUMMYFUNCTION("""COMPUTED_VALUE"""),97.33)</f>
        <v>97.33</v>
      </c>
      <c r="E1403" s="17"/>
      <c r="M1403" s="17"/>
      <c r="P1403" s="17"/>
    </row>
    <row r="1404">
      <c r="B1404" s="11">
        <f>IFERROR(__xludf.DUMMYFUNCTION("""COMPUTED_VALUE"""),43990.66666666667)</f>
        <v>43990.66667</v>
      </c>
      <c r="C1404" s="9">
        <f>IFERROR(__xludf.DUMMYFUNCTION("""COMPUTED_VALUE"""),97.77)</f>
        <v>97.77</v>
      </c>
      <c r="E1404" s="17"/>
      <c r="M1404" s="17"/>
      <c r="P1404" s="17"/>
    </row>
    <row r="1405">
      <c r="B1405" s="11">
        <f>IFERROR(__xludf.DUMMYFUNCTION("""COMPUTED_VALUE"""),43987.66666666667)</f>
        <v>43987.66667</v>
      </c>
      <c r="C1405" s="9">
        <f>IFERROR(__xludf.DUMMYFUNCTION("""COMPUTED_VALUE"""),95.71)</f>
        <v>95.71</v>
      </c>
      <c r="E1405" s="17"/>
      <c r="M1405" s="17"/>
      <c r="P1405" s="17"/>
    </row>
    <row r="1406">
      <c r="B1406" s="11">
        <f>IFERROR(__xludf.DUMMYFUNCTION("""COMPUTED_VALUE"""),43986.66666666667)</f>
        <v>43986.66667</v>
      </c>
      <c r="C1406" s="9">
        <f>IFERROR(__xludf.DUMMYFUNCTION("""COMPUTED_VALUE"""),93.35)</f>
        <v>93.35</v>
      </c>
      <c r="E1406" s="17"/>
      <c r="M1406" s="17"/>
      <c r="P1406" s="17"/>
    </row>
    <row r="1407">
      <c r="B1407" s="11">
        <f>IFERROR(__xludf.DUMMYFUNCTION("""COMPUTED_VALUE"""),43985.66666666667)</f>
        <v>43985.66667</v>
      </c>
      <c r="C1407" s="9">
        <f>IFERROR(__xludf.DUMMYFUNCTION("""COMPUTED_VALUE"""),97.32)</f>
        <v>97.32</v>
      </c>
      <c r="E1407" s="17"/>
      <c r="M1407" s="17"/>
      <c r="P1407" s="17"/>
    </row>
    <row r="1408">
      <c r="B1408" s="11">
        <f>IFERROR(__xludf.DUMMYFUNCTION("""COMPUTED_VALUE"""),43984.66666666667)</f>
        <v>43984.66667</v>
      </c>
      <c r="C1408" s="9">
        <f>IFERROR(__xludf.DUMMYFUNCTION("""COMPUTED_VALUE"""),95.46)</f>
        <v>95.46</v>
      </c>
      <c r="E1408" s="17"/>
      <c r="M1408" s="17"/>
      <c r="P1408" s="17"/>
    </row>
    <row r="1409">
      <c r="B1409" s="11">
        <f>IFERROR(__xludf.DUMMYFUNCTION("""COMPUTED_VALUE"""),43983.66666666667)</f>
        <v>43983.66667</v>
      </c>
      <c r="C1409" s="9">
        <f>IFERROR(__xludf.DUMMYFUNCTION("""COMPUTED_VALUE"""),93.7)</f>
        <v>93.7</v>
      </c>
      <c r="E1409" s="17"/>
      <c r="M1409" s="17"/>
      <c r="P1409" s="17"/>
    </row>
    <row r="1410">
      <c r="B1410" s="11">
        <f>IFERROR(__xludf.DUMMYFUNCTION("""COMPUTED_VALUE"""),43980.66666666667)</f>
        <v>43980.66667</v>
      </c>
      <c r="C1410" s="9">
        <f>IFERROR(__xludf.DUMMYFUNCTION("""COMPUTED_VALUE"""),91.5)</f>
        <v>91.5</v>
      </c>
      <c r="E1410" s="17"/>
      <c r="M1410" s="17"/>
      <c r="P1410" s="17"/>
    </row>
    <row r="1411">
      <c r="B1411" s="11">
        <f>IFERROR(__xludf.DUMMYFUNCTION("""COMPUTED_VALUE"""),43979.66666666667)</f>
        <v>43979.66667</v>
      </c>
      <c r="C1411" s="9">
        <f>IFERROR(__xludf.DUMMYFUNCTION("""COMPUTED_VALUE"""),93.05)</f>
        <v>93.05</v>
      </c>
      <c r="E1411" s="17"/>
      <c r="M1411" s="17"/>
      <c r="P1411" s="17"/>
    </row>
    <row r="1412">
      <c r="B1412" s="11">
        <f>IFERROR(__xludf.DUMMYFUNCTION("""COMPUTED_VALUE"""),43978.66666666667)</f>
        <v>43978.66667</v>
      </c>
      <c r="C1412" s="9">
        <f>IFERROR(__xludf.DUMMYFUNCTION("""COMPUTED_VALUE"""),91.76)</f>
        <v>91.76</v>
      </c>
      <c r="E1412" s="17"/>
      <c r="M1412" s="17"/>
      <c r="P1412" s="17"/>
    </row>
    <row r="1413">
      <c r="B1413" s="11">
        <f>IFERROR(__xludf.DUMMYFUNCTION("""COMPUTED_VALUE"""),43977.66666666667)</f>
        <v>43977.66667</v>
      </c>
      <c r="C1413" s="9">
        <f>IFERROR(__xludf.DUMMYFUNCTION("""COMPUTED_VALUE"""),90.02)</f>
        <v>90.02</v>
      </c>
      <c r="E1413" s="17"/>
      <c r="M1413" s="17"/>
      <c r="P1413" s="17"/>
    </row>
    <row r="1414">
      <c r="B1414" s="11">
        <f>IFERROR(__xludf.DUMMYFUNCTION("""COMPUTED_VALUE"""),43973.66666666667)</f>
        <v>43973.66667</v>
      </c>
      <c r="C1414" s="9">
        <f>IFERROR(__xludf.DUMMYFUNCTION("""COMPUTED_VALUE"""),87.55)</f>
        <v>87.55</v>
      </c>
      <c r="E1414" s="17"/>
      <c r="M1414" s="17"/>
      <c r="P1414" s="17"/>
    </row>
    <row r="1415">
      <c r="B1415" s="11">
        <f>IFERROR(__xludf.DUMMYFUNCTION("""COMPUTED_VALUE"""),43972.66666666667)</f>
        <v>43972.66667</v>
      </c>
      <c r="C1415" s="9">
        <f>IFERROR(__xludf.DUMMYFUNCTION("""COMPUTED_VALUE"""),86.4)</f>
        <v>86.4</v>
      </c>
      <c r="E1415" s="17"/>
      <c r="M1415" s="17"/>
      <c r="P1415" s="17"/>
    </row>
    <row r="1416">
      <c r="B1416" s="11">
        <f>IFERROR(__xludf.DUMMYFUNCTION("""COMPUTED_VALUE"""),43971.66666666667)</f>
        <v>43971.66667</v>
      </c>
      <c r="C1416" s="9">
        <f>IFERROR(__xludf.DUMMYFUNCTION("""COMPUTED_VALUE"""),87.12)</f>
        <v>87.12</v>
      </c>
      <c r="E1416" s="17"/>
      <c r="M1416" s="17"/>
      <c r="P1416" s="17"/>
    </row>
    <row r="1417">
      <c r="B1417" s="11">
        <f>IFERROR(__xludf.DUMMYFUNCTION("""COMPUTED_VALUE"""),43970.66666666667)</f>
        <v>43970.66667</v>
      </c>
      <c r="C1417" s="9">
        <f>IFERROR(__xludf.DUMMYFUNCTION("""COMPUTED_VALUE"""),84.68)</f>
        <v>84.68</v>
      </c>
      <c r="E1417" s="17"/>
      <c r="M1417" s="17"/>
      <c r="P1417" s="17"/>
    </row>
    <row r="1418">
      <c r="B1418" s="11">
        <f>IFERROR(__xludf.DUMMYFUNCTION("""COMPUTED_VALUE"""),43969.66666666667)</f>
        <v>43969.66667</v>
      </c>
      <c r="C1418" s="9">
        <f>IFERROR(__xludf.DUMMYFUNCTION("""COMPUTED_VALUE"""),86.83)</f>
        <v>86.83</v>
      </c>
      <c r="E1418" s="17"/>
      <c r="M1418" s="17"/>
      <c r="P1418" s="17"/>
    </row>
    <row r="1419">
      <c r="B1419" s="11">
        <f>IFERROR(__xludf.DUMMYFUNCTION("""COMPUTED_VALUE"""),43966.66666666667)</f>
        <v>43966.66667</v>
      </c>
      <c r="C1419" s="9">
        <f>IFERROR(__xludf.DUMMYFUNCTION("""COMPUTED_VALUE"""),83.28)</f>
        <v>83.28</v>
      </c>
      <c r="E1419" s="17"/>
      <c r="M1419" s="17"/>
      <c r="P1419" s="17"/>
    </row>
    <row r="1420">
      <c r="B1420" s="11">
        <f>IFERROR(__xludf.DUMMYFUNCTION("""COMPUTED_VALUE"""),43965.66666666667)</f>
        <v>43965.66667</v>
      </c>
      <c r="C1420" s="9">
        <f>IFERROR(__xludf.DUMMYFUNCTION("""COMPUTED_VALUE"""),84.08)</f>
        <v>84.08</v>
      </c>
      <c r="E1420" s="17"/>
      <c r="M1420" s="17"/>
      <c r="P1420" s="17"/>
    </row>
    <row r="1421">
      <c r="B1421" s="11">
        <f>IFERROR(__xludf.DUMMYFUNCTION("""COMPUTED_VALUE"""),43964.66666666667)</f>
        <v>43964.66667</v>
      </c>
      <c r="C1421" s="9">
        <f>IFERROR(__xludf.DUMMYFUNCTION("""COMPUTED_VALUE"""),82.84)</f>
        <v>82.84</v>
      </c>
      <c r="E1421" s="17"/>
      <c r="M1421" s="17"/>
      <c r="P1421" s="17"/>
    </row>
    <row r="1422">
      <c r="B1422" s="11">
        <f>IFERROR(__xludf.DUMMYFUNCTION("""COMPUTED_VALUE"""),43963.66666666667)</f>
        <v>43963.66667</v>
      </c>
      <c r="C1422" s="9">
        <f>IFERROR(__xludf.DUMMYFUNCTION("""COMPUTED_VALUE"""),84.22)</f>
        <v>84.22</v>
      </c>
      <c r="E1422" s="17"/>
      <c r="M1422" s="17"/>
      <c r="P1422" s="17"/>
    </row>
    <row r="1423">
      <c r="B1423" s="11">
        <f>IFERROR(__xludf.DUMMYFUNCTION("""COMPUTED_VALUE"""),43962.66666666667)</f>
        <v>43962.66667</v>
      </c>
      <c r="C1423" s="9">
        <f>IFERROR(__xludf.DUMMYFUNCTION("""COMPUTED_VALUE"""),88.88)</f>
        <v>88.88</v>
      </c>
      <c r="E1423" s="17"/>
      <c r="M1423" s="17"/>
      <c r="P1423" s="17"/>
    </row>
    <row r="1424">
      <c r="B1424" s="11">
        <f>IFERROR(__xludf.DUMMYFUNCTION("""COMPUTED_VALUE"""),43959.66666666667)</f>
        <v>43959.66667</v>
      </c>
      <c r="C1424" s="9">
        <f>IFERROR(__xludf.DUMMYFUNCTION("""COMPUTED_VALUE"""),89.97)</f>
        <v>89.97</v>
      </c>
      <c r="E1424" s="17"/>
      <c r="M1424" s="17"/>
      <c r="P1424" s="17"/>
    </row>
    <row r="1425">
      <c r="B1425" s="11">
        <f>IFERROR(__xludf.DUMMYFUNCTION("""COMPUTED_VALUE"""),43958.66666666667)</f>
        <v>43958.66667</v>
      </c>
      <c r="C1425" s="9">
        <f>IFERROR(__xludf.DUMMYFUNCTION("""COMPUTED_VALUE"""),88.07)</f>
        <v>88.07</v>
      </c>
      <c r="E1425" s="17"/>
      <c r="M1425" s="17"/>
      <c r="P1425" s="17"/>
    </row>
    <row r="1426">
      <c r="B1426" s="11">
        <f>IFERROR(__xludf.DUMMYFUNCTION("""COMPUTED_VALUE"""),43957.66666666667)</f>
        <v>43957.66667</v>
      </c>
      <c r="C1426" s="9">
        <f>IFERROR(__xludf.DUMMYFUNCTION("""COMPUTED_VALUE"""),86.94)</f>
        <v>86.94</v>
      </c>
      <c r="E1426" s="17"/>
      <c r="M1426" s="17"/>
      <c r="P1426" s="17"/>
    </row>
    <row r="1427">
      <c r="B1427" s="11">
        <f>IFERROR(__xludf.DUMMYFUNCTION("""COMPUTED_VALUE"""),43956.66666666667)</f>
        <v>43956.66667</v>
      </c>
      <c r="C1427" s="9">
        <f>IFERROR(__xludf.DUMMYFUNCTION("""COMPUTED_VALUE"""),87.74)</f>
        <v>87.74</v>
      </c>
      <c r="E1427" s="17"/>
      <c r="M1427" s="17"/>
      <c r="P1427" s="17"/>
    </row>
    <row r="1428">
      <c r="B1428" s="11">
        <f>IFERROR(__xludf.DUMMYFUNCTION("""COMPUTED_VALUE"""),43955.66666666667)</f>
        <v>43955.66667</v>
      </c>
      <c r="C1428" s="9">
        <f>IFERROR(__xludf.DUMMYFUNCTION("""COMPUTED_VALUE"""),87.13)</f>
        <v>87.13</v>
      </c>
      <c r="E1428" s="17"/>
      <c r="M1428" s="17"/>
      <c r="P1428" s="17"/>
    </row>
    <row r="1429">
      <c r="B1429" s="11">
        <f>IFERROR(__xludf.DUMMYFUNCTION("""COMPUTED_VALUE"""),43952.66666666667)</f>
        <v>43952.66667</v>
      </c>
      <c r="C1429" s="9">
        <f>IFERROR(__xludf.DUMMYFUNCTION("""COMPUTED_VALUE"""),86.85)</f>
        <v>86.85</v>
      </c>
      <c r="E1429" s="17"/>
      <c r="M1429" s="17"/>
      <c r="P1429" s="17"/>
    </row>
    <row r="1430">
      <c r="B1430" s="11">
        <f>IFERROR(__xludf.DUMMYFUNCTION("""COMPUTED_VALUE"""),43951.66666666667)</f>
        <v>43951.66667</v>
      </c>
      <c r="C1430" s="9">
        <f>IFERROR(__xludf.DUMMYFUNCTION("""COMPUTED_VALUE"""),89.23)</f>
        <v>89.23</v>
      </c>
      <c r="E1430" s="17"/>
      <c r="M1430" s="17"/>
      <c r="P1430" s="17"/>
    </row>
    <row r="1431">
      <c r="B1431" s="11">
        <f>IFERROR(__xludf.DUMMYFUNCTION("""COMPUTED_VALUE"""),43950.66666666667)</f>
        <v>43950.66667</v>
      </c>
      <c r="C1431" s="9">
        <f>IFERROR(__xludf.DUMMYFUNCTION("""COMPUTED_VALUE"""),90.16)</f>
        <v>90.16</v>
      </c>
      <c r="E1431" s="17"/>
      <c r="M1431" s="17"/>
      <c r="P1431" s="17"/>
    </row>
    <row r="1432">
      <c r="B1432" s="11">
        <f>IFERROR(__xludf.DUMMYFUNCTION("""COMPUTED_VALUE"""),43949.66666666667)</f>
        <v>43949.66667</v>
      </c>
      <c r="C1432" s="9">
        <f>IFERROR(__xludf.DUMMYFUNCTION("""COMPUTED_VALUE"""),89.59)</f>
        <v>89.59</v>
      </c>
      <c r="E1432" s="17"/>
      <c r="M1432" s="17"/>
      <c r="P1432" s="17"/>
    </row>
    <row r="1433">
      <c r="B1433" s="11">
        <f>IFERROR(__xludf.DUMMYFUNCTION("""COMPUTED_VALUE"""),43948.66666666667)</f>
        <v>43948.66667</v>
      </c>
      <c r="C1433" s="9">
        <f>IFERROR(__xludf.DUMMYFUNCTION("""COMPUTED_VALUE"""),91.84)</f>
        <v>91.84</v>
      </c>
      <c r="E1433" s="17"/>
      <c r="M1433" s="17"/>
      <c r="P1433" s="17"/>
    </row>
    <row r="1434">
      <c r="B1434" s="11">
        <f>IFERROR(__xludf.DUMMYFUNCTION("""COMPUTED_VALUE"""),43945.66666666667)</f>
        <v>43945.66667</v>
      </c>
      <c r="C1434" s="9">
        <f>IFERROR(__xludf.DUMMYFUNCTION("""COMPUTED_VALUE"""),89.04)</f>
        <v>89.04</v>
      </c>
      <c r="E1434" s="17"/>
      <c r="M1434" s="17"/>
      <c r="P1434" s="17"/>
    </row>
    <row r="1435">
      <c r="B1435" s="11">
        <f>IFERROR(__xludf.DUMMYFUNCTION("""COMPUTED_VALUE"""),43944.66666666667)</f>
        <v>43944.66667</v>
      </c>
      <c r="C1435" s="9">
        <f>IFERROR(__xludf.DUMMYFUNCTION("""COMPUTED_VALUE"""),86.75)</f>
        <v>86.75</v>
      </c>
      <c r="E1435" s="17"/>
      <c r="M1435" s="17"/>
      <c r="P1435" s="17"/>
    </row>
    <row r="1436">
      <c r="B1436" s="11">
        <f>IFERROR(__xludf.DUMMYFUNCTION("""COMPUTED_VALUE"""),43943.66666666667)</f>
        <v>43943.66667</v>
      </c>
      <c r="C1436" s="9">
        <f>IFERROR(__xludf.DUMMYFUNCTION("""COMPUTED_VALUE"""),87.87)</f>
        <v>87.87</v>
      </c>
      <c r="E1436" s="17"/>
      <c r="M1436" s="17"/>
      <c r="P1436" s="17"/>
    </row>
    <row r="1437">
      <c r="B1437" s="11">
        <f>IFERROR(__xludf.DUMMYFUNCTION("""COMPUTED_VALUE"""),43942.66666666667)</f>
        <v>43942.66667</v>
      </c>
      <c r="C1437" s="9">
        <f>IFERROR(__xludf.DUMMYFUNCTION("""COMPUTED_VALUE"""),89.0)</f>
        <v>89</v>
      </c>
      <c r="E1437" s="17"/>
      <c r="M1437" s="17"/>
      <c r="P1437" s="17"/>
    </row>
    <row r="1438">
      <c r="B1438" s="11">
        <f>IFERROR(__xludf.DUMMYFUNCTION("""COMPUTED_VALUE"""),43941.66666666667)</f>
        <v>43941.66667</v>
      </c>
      <c r="C1438" s="9">
        <f>IFERROR(__xludf.DUMMYFUNCTION("""COMPUTED_VALUE"""),88.5)</f>
        <v>88.5</v>
      </c>
      <c r="E1438" s="17"/>
      <c r="M1438" s="17"/>
      <c r="P1438" s="17"/>
    </row>
    <row r="1439">
      <c r="B1439" s="11">
        <f>IFERROR(__xludf.DUMMYFUNCTION("""COMPUTED_VALUE"""),43938.66666666667)</f>
        <v>43938.66667</v>
      </c>
      <c r="C1439" s="9">
        <f>IFERROR(__xludf.DUMMYFUNCTION("""COMPUTED_VALUE"""),90.22)</f>
        <v>90.22</v>
      </c>
      <c r="E1439" s="17"/>
      <c r="M1439" s="17"/>
      <c r="P1439" s="17"/>
    </row>
    <row r="1440">
      <c r="B1440" s="11">
        <f>IFERROR(__xludf.DUMMYFUNCTION("""COMPUTED_VALUE"""),43937.66666666667)</f>
        <v>43937.66667</v>
      </c>
      <c r="C1440" s="9">
        <f>IFERROR(__xludf.DUMMYFUNCTION("""COMPUTED_VALUE"""),88.2)</f>
        <v>88.2</v>
      </c>
      <c r="E1440" s="17"/>
      <c r="M1440" s="17"/>
      <c r="P1440" s="17"/>
    </row>
    <row r="1441">
      <c r="B1441" s="11">
        <f>IFERROR(__xludf.DUMMYFUNCTION("""COMPUTED_VALUE"""),43936.66666666667)</f>
        <v>43936.66667</v>
      </c>
      <c r="C1441" s="9">
        <f>IFERROR(__xludf.DUMMYFUNCTION("""COMPUTED_VALUE"""),86.54)</f>
        <v>86.54</v>
      </c>
      <c r="E1441" s="17"/>
      <c r="M1441" s="17"/>
      <c r="P1441" s="17"/>
    </row>
    <row r="1442">
      <c r="B1442" s="11">
        <f>IFERROR(__xludf.DUMMYFUNCTION("""COMPUTED_VALUE"""),43935.66666666667)</f>
        <v>43935.66667</v>
      </c>
      <c r="C1442" s="9">
        <f>IFERROR(__xludf.DUMMYFUNCTION("""COMPUTED_VALUE"""),89.15)</f>
        <v>89.15</v>
      </c>
      <c r="E1442" s="17"/>
      <c r="M1442" s="17"/>
      <c r="P1442" s="17"/>
    </row>
    <row r="1443">
      <c r="B1443" s="11">
        <f>IFERROR(__xludf.DUMMYFUNCTION("""COMPUTED_VALUE"""),43934.66666666667)</f>
        <v>43934.66667</v>
      </c>
      <c r="C1443" s="9">
        <f>IFERROR(__xludf.DUMMYFUNCTION("""COMPUTED_VALUE"""),86.41)</f>
        <v>86.41</v>
      </c>
      <c r="E1443" s="17"/>
      <c r="M1443" s="17"/>
      <c r="P1443" s="17"/>
    </row>
    <row r="1444">
      <c r="B1444" s="11">
        <f>IFERROR(__xludf.DUMMYFUNCTION("""COMPUTED_VALUE"""),43930.66666666667)</f>
        <v>43930.66667</v>
      </c>
      <c r="C1444" s="9">
        <f>IFERROR(__xludf.DUMMYFUNCTION("""COMPUTED_VALUE"""),91.73)</f>
        <v>91.73</v>
      </c>
      <c r="E1444" s="17"/>
      <c r="M1444" s="17"/>
      <c r="P1444" s="17"/>
    </row>
    <row r="1445">
      <c r="B1445" s="11">
        <f>IFERROR(__xludf.DUMMYFUNCTION("""COMPUTED_VALUE"""),43929.66666666667)</f>
        <v>43929.66667</v>
      </c>
      <c r="C1445" s="9">
        <f>IFERROR(__xludf.DUMMYFUNCTION("""COMPUTED_VALUE"""),86.18)</f>
        <v>86.18</v>
      </c>
      <c r="E1445" s="17"/>
      <c r="M1445" s="17"/>
      <c r="P1445" s="17"/>
    </row>
    <row r="1446">
      <c r="B1446" s="11">
        <f>IFERROR(__xludf.DUMMYFUNCTION("""COMPUTED_VALUE"""),43928.66666666667)</f>
        <v>43928.66667</v>
      </c>
      <c r="C1446" s="9">
        <f>IFERROR(__xludf.DUMMYFUNCTION("""COMPUTED_VALUE"""),80.95)</f>
        <v>80.95</v>
      </c>
      <c r="E1446" s="17"/>
      <c r="M1446" s="17"/>
      <c r="P1446" s="17"/>
    </row>
    <row r="1447">
      <c r="B1447" s="11">
        <f>IFERROR(__xludf.DUMMYFUNCTION("""COMPUTED_VALUE"""),43927.66666666667)</f>
        <v>43927.66667</v>
      </c>
      <c r="C1447" s="9">
        <f>IFERROR(__xludf.DUMMYFUNCTION("""COMPUTED_VALUE"""),80.23)</f>
        <v>80.23</v>
      </c>
      <c r="E1447" s="17"/>
      <c r="M1447" s="17"/>
      <c r="P1447" s="17"/>
    </row>
    <row r="1448">
      <c r="B1448" s="11">
        <f>IFERROR(__xludf.DUMMYFUNCTION("""COMPUTED_VALUE"""),43924.66666666667)</f>
        <v>43924.66667</v>
      </c>
      <c r="C1448" s="9">
        <f>IFERROR(__xludf.DUMMYFUNCTION("""COMPUTED_VALUE"""),73.59)</f>
        <v>73.59</v>
      </c>
      <c r="E1448" s="17"/>
      <c r="M1448" s="17"/>
      <c r="P1448" s="17"/>
    </row>
    <row r="1449">
      <c r="B1449" s="11">
        <f>IFERROR(__xludf.DUMMYFUNCTION("""COMPUTED_VALUE"""),43923.66666666667)</f>
        <v>43923.66667</v>
      </c>
      <c r="C1449" s="9">
        <f>IFERROR(__xludf.DUMMYFUNCTION("""COMPUTED_VALUE"""),75.51)</f>
        <v>75.51</v>
      </c>
      <c r="E1449" s="17"/>
      <c r="M1449" s="17"/>
      <c r="P1449" s="17"/>
    </row>
    <row r="1450">
      <c r="B1450" s="11">
        <f>IFERROR(__xludf.DUMMYFUNCTION("""COMPUTED_VALUE"""),43922.66666666667)</f>
        <v>43922.66667</v>
      </c>
      <c r="C1450" s="9">
        <f>IFERROR(__xludf.DUMMYFUNCTION("""COMPUTED_VALUE"""),73.26)</f>
        <v>73.26</v>
      </c>
      <c r="E1450" s="17"/>
      <c r="M1450" s="17"/>
      <c r="P1450" s="17"/>
    </row>
    <row r="1451">
      <c r="B1451" s="11">
        <f>IFERROR(__xludf.DUMMYFUNCTION("""COMPUTED_VALUE"""),43921.66666666667)</f>
        <v>43921.66667</v>
      </c>
      <c r="C1451" s="9">
        <f>IFERROR(__xludf.DUMMYFUNCTION("""COMPUTED_VALUE"""),80.37)</f>
        <v>80.37</v>
      </c>
      <c r="E1451" s="17"/>
      <c r="M1451" s="17"/>
      <c r="P1451" s="17"/>
    </row>
    <row r="1452">
      <c r="B1452" s="11">
        <f>IFERROR(__xludf.DUMMYFUNCTION("""COMPUTED_VALUE"""),43920.66666666667)</f>
        <v>43920.66667</v>
      </c>
      <c r="C1452" s="9">
        <f>IFERROR(__xludf.DUMMYFUNCTION("""COMPUTED_VALUE"""),82.88)</f>
        <v>82.88</v>
      </c>
      <c r="E1452" s="17"/>
      <c r="M1452" s="17"/>
      <c r="P1452" s="17"/>
    </row>
    <row r="1453">
      <c r="B1453" s="11">
        <f>IFERROR(__xludf.DUMMYFUNCTION("""COMPUTED_VALUE"""),43917.66666666667)</f>
        <v>43917.66667</v>
      </c>
      <c r="C1453" s="9">
        <f>IFERROR(__xludf.DUMMYFUNCTION("""COMPUTED_VALUE"""),79.17)</f>
        <v>79.17</v>
      </c>
      <c r="E1453" s="17"/>
      <c r="M1453" s="17"/>
      <c r="P1453" s="17"/>
    </row>
    <row r="1454">
      <c r="B1454" s="11">
        <f>IFERROR(__xludf.DUMMYFUNCTION("""COMPUTED_VALUE"""),43916.66666666667)</f>
        <v>43916.66667</v>
      </c>
      <c r="C1454" s="9">
        <f>IFERROR(__xludf.DUMMYFUNCTION("""COMPUTED_VALUE"""),77.69)</f>
        <v>77.69</v>
      </c>
      <c r="E1454" s="17"/>
      <c r="M1454" s="17"/>
      <c r="P1454" s="17"/>
    </row>
    <row r="1455">
      <c r="B1455" s="11">
        <f>IFERROR(__xludf.DUMMYFUNCTION("""COMPUTED_VALUE"""),43915.66666666667)</f>
        <v>43915.66667</v>
      </c>
      <c r="C1455" s="9">
        <f>IFERROR(__xludf.DUMMYFUNCTION("""COMPUTED_VALUE"""),72.19)</f>
        <v>72.19</v>
      </c>
      <c r="E1455" s="17"/>
      <c r="M1455" s="17"/>
      <c r="P1455" s="17"/>
    </row>
    <row r="1456">
      <c r="B1456" s="11">
        <f>IFERROR(__xludf.DUMMYFUNCTION("""COMPUTED_VALUE"""),43914.66666666667)</f>
        <v>43914.66667</v>
      </c>
      <c r="C1456" s="9">
        <f>IFERROR(__xludf.DUMMYFUNCTION("""COMPUTED_VALUE"""),70.55)</f>
        <v>70.55</v>
      </c>
      <c r="E1456" s="17"/>
      <c r="M1456" s="17"/>
      <c r="P1456" s="17"/>
    </row>
    <row r="1457">
      <c r="B1457" s="11">
        <f>IFERROR(__xludf.DUMMYFUNCTION("""COMPUTED_VALUE"""),43913.66666666667)</f>
        <v>43913.66667</v>
      </c>
      <c r="C1457" s="9">
        <f>IFERROR(__xludf.DUMMYFUNCTION("""COMPUTED_VALUE"""),63.37)</f>
        <v>63.37</v>
      </c>
      <c r="E1457" s="17"/>
      <c r="M1457" s="17"/>
      <c r="P1457" s="17"/>
    </row>
    <row r="1458">
      <c r="B1458" s="11">
        <f>IFERROR(__xludf.DUMMYFUNCTION("""COMPUTED_VALUE"""),43910.66666666667)</f>
        <v>43910.66667</v>
      </c>
      <c r="C1458" s="9">
        <f>IFERROR(__xludf.DUMMYFUNCTION("""COMPUTED_VALUE"""),62.82)</f>
        <v>62.82</v>
      </c>
      <c r="E1458" s="17"/>
      <c r="M1458" s="17"/>
      <c r="P1458" s="17"/>
    </row>
    <row r="1459">
      <c r="B1459" s="11">
        <f>IFERROR(__xludf.DUMMYFUNCTION("""COMPUTED_VALUE"""),43909.66666666667)</f>
        <v>43909.66667</v>
      </c>
      <c r="C1459" s="9">
        <f>IFERROR(__xludf.DUMMYFUNCTION("""COMPUTED_VALUE"""),63.91)</f>
        <v>63.91</v>
      </c>
      <c r="E1459" s="17"/>
      <c r="M1459" s="17"/>
      <c r="P1459" s="17"/>
    </row>
    <row r="1460">
      <c r="B1460" s="11">
        <f>IFERROR(__xludf.DUMMYFUNCTION("""COMPUTED_VALUE"""),43908.66666666667)</f>
        <v>43908.66667</v>
      </c>
      <c r="C1460" s="9">
        <f>IFERROR(__xludf.DUMMYFUNCTION("""COMPUTED_VALUE"""),67.8)</f>
        <v>67.8</v>
      </c>
      <c r="E1460" s="17"/>
      <c r="M1460" s="17"/>
      <c r="P1460" s="17"/>
    </row>
    <row r="1461">
      <c r="B1461" s="11">
        <f>IFERROR(__xludf.DUMMYFUNCTION("""COMPUTED_VALUE"""),43907.66666666667)</f>
        <v>43907.66667</v>
      </c>
      <c r="C1461" s="9">
        <f>IFERROR(__xludf.DUMMYFUNCTION("""COMPUTED_VALUE"""),70.69)</f>
        <v>70.69</v>
      </c>
      <c r="E1461" s="17"/>
      <c r="M1461" s="17"/>
      <c r="P1461" s="17"/>
    </row>
    <row r="1462">
      <c r="B1462" s="11">
        <f>IFERROR(__xludf.DUMMYFUNCTION("""COMPUTED_VALUE"""),43906.66666666667)</f>
        <v>43906.66667</v>
      </c>
      <c r="C1462" s="9">
        <f>IFERROR(__xludf.DUMMYFUNCTION("""COMPUTED_VALUE"""),64.38)</f>
        <v>64.38</v>
      </c>
      <c r="E1462" s="17"/>
      <c r="M1462" s="17"/>
      <c r="P1462" s="17"/>
    </row>
    <row r="1463">
      <c r="B1463" s="11">
        <f>IFERROR(__xludf.DUMMYFUNCTION("""COMPUTED_VALUE"""),43903.66666666667)</f>
        <v>43903.66667</v>
      </c>
      <c r="C1463" s="9">
        <f>IFERROR(__xludf.DUMMYFUNCTION("""COMPUTED_VALUE"""),77.82)</f>
        <v>77.82</v>
      </c>
      <c r="E1463" s="17"/>
      <c r="M1463" s="17"/>
      <c r="P1463" s="17"/>
    </row>
    <row r="1464">
      <c r="B1464" s="11">
        <f>IFERROR(__xludf.DUMMYFUNCTION("""COMPUTED_VALUE"""),43902.66666666667)</f>
        <v>43902.66667</v>
      </c>
      <c r="C1464" s="9">
        <f>IFERROR(__xludf.DUMMYFUNCTION("""COMPUTED_VALUE"""),70.18)</f>
        <v>70.18</v>
      </c>
      <c r="E1464" s="17"/>
      <c r="M1464" s="17"/>
      <c r="P1464" s="17"/>
    </row>
    <row r="1465">
      <c r="B1465" s="11">
        <f>IFERROR(__xludf.DUMMYFUNCTION("""COMPUTED_VALUE"""),43901.66666666667)</f>
        <v>43901.66667</v>
      </c>
      <c r="C1465" s="9">
        <f>IFERROR(__xludf.DUMMYFUNCTION("""COMPUTED_VALUE"""),73.69)</f>
        <v>73.69</v>
      </c>
      <c r="E1465" s="17"/>
      <c r="M1465" s="17"/>
      <c r="P1465" s="17"/>
    </row>
    <row r="1466">
      <c r="B1466" s="11">
        <f>IFERROR(__xludf.DUMMYFUNCTION("""COMPUTED_VALUE"""),43900.66666666667)</f>
        <v>43900.66667</v>
      </c>
      <c r="C1466" s="9">
        <f>IFERROR(__xludf.DUMMYFUNCTION("""COMPUTED_VALUE"""),80.86)</f>
        <v>80.86</v>
      </c>
      <c r="E1466" s="17"/>
      <c r="M1466" s="17"/>
      <c r="P1466" s="17"/>
    </row>
    <row r="1467">
      <c r="B1467" s="11">
        <f>IFERROR(__xludf.DUMMYFUNCTION("""COMPUTED_VALUE"""),43899.66666666667)</f>
        <v>43899.66667</v>
      </c>
      <c r="C1467" s="9">
        <f>IFERROR(__xludf.DUMMYFUNCTION("""COMPUTED_VALUE"""),77.77)</f>
        <v>77.77</v>
      </c>
      <c r="E1467" s="17"/>
      <c r="M1467" s="17"/>
      <c r="P1467" s="17"/>
    </row>
    <row r="1468">
      <c r="B1468" s="11">
        <f>IFERROR(__xludf.DUMMYFUNCTION("""COMPUTED_VALUE"""),43896.66666666667)</f>
        <v>43896.66667</v>
      </c>
      <c r="C1468" s="9">
        <f>IFERROR(__xludf.DUMMYFUNCTION("""COMPUTED_VALUE"""),85.88)</f>
        <v>85.88</v>
      </c>
      <c r="E1468" s="17"/>
      <c r="M1468" s="17"/>
      <c r="P1468" s="17"/>
    </row>
    <row r="1469">
      <c r="B1469" s="11">
        <f>IFERROR(__xludf.DUMMYFUNCTION("""COMPUTED_VALUE"""),43895.66666666667)</f>
        <v>43895.66667</v>
      </c>
      <c r="C1469" s="9">
        <f>IFERROR(__xludf.DUMMYFUNCTION("""COMPUTED_VALUE"""),89.71)</f>
        <v>89.71</v>
      </c>
      <c r="E1469" s="17"/>
      <c r="M1469" s="17"/>
      <c r="P1469" s="17"/>
    </row>
    <row r="1470">
      <c r="B1470" s="11">
        <f>IFERROR(__xludf.DUMMYFUNCTION("""COMPUTED_VALUE"""),43894.66666666667)</f>
        <v>43894.66667</v>
      </c>
      <c r="C1470" s="9">
        <f>IFERROR(__xludf.DUMMYFUNCTION("""COMPUTED_VALUE"""),94.37)</f>
        <v>94.37</v>
      </c>
      <c r="E1470" s="17"/>
      <c r="M1470" s="17"/>
      <c r="P1470" s="17"/>
    </row>
    <row r="1471">
      <c r="B1471" s="11">
        <f>IFERROR(__xludf.DUMMYFUNCTION("""COMPUTED_VALUE"""),43893.66666666667)</f>
        <v>43893.66667</v>
      </c>
      <c r="C1471" s="9">
        <f>IFERROR(__xludf.DUMMYFUNCTION("""COMPUTED_VALUE"""),89.39)</f>
        <v>89.39</v>
      </c>
      <c r="E1471" s="17"/>
      <c r="M1471" s="17"/>
      <c r="P1471" s="17"/>
    </row>
    <row r="1472">
      <c r="B1472" s="11">
        <f>IFERROR(__xludf.DUMMYFUNCTION("""COMPUTED_VALUE"""),43892.66666666667)</f>
        <v>43892.66667</v>
      </c>
      <c r="C1472" s="9">
        <f>IFERROR(__xludf.DUMMYFUNCTION("""COMPUTED_VALUE"""),88.27)</f>
        <v>88.27</v>
      </c>
      <c r="E1472" s="17"/>
      <c r="M1472" s="17"/>
      <c r="P1472" s="17"/>
    </row>
    <row r="1473">
      <c r="B1473" s="11">
        <f>IFERROR(__xludf.DUMMYFUNCTION("""COMPUTED_VALUE"""),43889.66666666667)</f>
        <v>43889.66667</v>
      </c>
      <c r="C1473" s="9">
        <f>IFERROR(__xludf.DUMMYFUNCTION("""COMPUTED_VALUE"""),84.28)</f>
        <v>84.28</v>
      </c>
      <c r="E1473" s="17"/>
      <c r="M1473" s="17"/>
      <c r="P1473" s="17"/>
    </row>
    <row r="1474">
      <c r="B1474" s="11">
        <f>IFERROR(__xludf.DUMMYFUNCTION("""COMPUTED_VALUE"""),43888.66666666667)</f>
        <v>43888.66667</v>
      </c>
      <c r="C1474" s="9">
        <f>IFERROR(__xludf.DUMMYFUNCTION("""COMPUTED_VALUE"""),86.71)</f>
        <v>86.71</v>
      </c>
      <c r="E1474" s="17"/>
      <c r="M1474" s="17"/>
      <c r="P1474" s="17"/>
    </row>
    <row r="1475">
      <c r="B1475" s="11">
        <f>IFERROR(__xludf.DUMMYFUNCTION("""COMPUTED_VALUE"""),43887.66666666667)</f>
        <v>43887.66667</v>
      </c>
      <c r="C1475" s="9">
        <f>IFERROR(__xludf.DUMMYFUNCTION("""COMPUTED_VALUE"""),91.26)</f>
        <v>91.26</v>
      </c>
      <c r="E1475" s="17"/>
      <c r="M1475" s="17"/>
      <c r="P1475" s="17"/>
    </row>
    <row r="1476">
      <c r="B1476" s="11">
        <f>IFERROR(__xludf.DUMMYFUNCTION("""COMPUTED_VALUE"""),43886.66666666667)</f>
        <v>43886.66667</v>
      </c>
      <c r="C1476" s="9">
        <f>IFERROR(__xludf.DUMMYFUNCTION("""COMPUTED_VALUE"""),91.7)</f>
        <v>91.7</v>
      </c>
      <c r="E1476" s="17"/>
      <c r="M1476" s="17"/>
      <c r="P1476" s="17"/>
    </row>
    <row r="1477">
      <c r="B1477" s="11">
        <f>IFERROR(__xludf.DUMMYFUNCTION("""COMPUTED_VALUE"""),43885.66666666667)</f>
        <v>43885.66667</v>
      </c>
      <c r="C1477" s="9">
        <f>IFERROR(__xludf.DUMMYFUNCTION("""COMPUTED_VALUE"""),95.98)</f>
        <v>95.98</v>
      </c>
      <c r="E1477" s="17"/>
      <c r="M1477" s="17"/>
      <c r="P1477" s="17"/>
    </row>
    <row r="1478">
      <c r="B1478" s="11">
        <f>IFERROR(__xludf.DUMMYFUNCTION("""COMPUTED_VALUE"""),43882.66666666667)</f>
        <v>43882.66667</v>
      </c>
      <c r="C1478" s="9">
        <f>IFERROR(__xludf.DUMMYFUNCTION("""COMPUTED_VALUE"""),99.23)</f>
        <v>99.23</v>
      </c>
      <c r="E1478" s="17"/>
      <c r="M1478" s="17"/>
      <c r="P1478" s="17"/>
    </row>
    <row r="1479">
      <c r="B1479" s="11">
        <f>IFERROR(__xludf.DUMMYFUNCTION("""COMPUTED_VALUE"""),43881.66666666667)</f>
        <v>43881.66667</v>
      </c>
      <c r="C1479" s="9">
        <f>IFERROR(__xludf.DUMMYFUNCTION("""COMPUTED_VALUE"""),98.95)</f>
        <v>98.95</v>
      </c>
      <c r="E1479" s="17"/>
      <c r="M1479" s="17"/>
      <c r="P1479" s="17"/>
    </row>
    <row r="1480">
      <c r="B1480" s="11">
        <f>IFERROR(__xludf.DUMMYFUNCTION("""COMPUTED_VALUE"""),43880.66666666667)</f>
        <v>43880.66667</v>
      </c>
      <c r="C1480" s="9">
        <f>IFERROR(__xludf.DUMMYFUNCTION("""COMPUTED_VALUE"""),97.77)</f>
        <v>97.77</v>
      </c>
      <c r="E1480" s="17"/>
      <c r="M1480" s="17"/>
      <c r="P1480" s="17"/>
    </row>
    <row r="1481">
      <c r="B1481" s="11">
        <f>IFERROR(__xludf.DUMMYFUNCTION("""COMPUTED_VALUE"""),43879.66666666667)</f>
        <v>43879.66667</v>
      </c>
      <c r="C1481" s="9">
        <f>IFERROR(__xludf.DUMMYFUNCTION("""COMPUTED_VALUE"""),98.35)</f>
        <v>98.35</v>
      </c>
      <c r="E1481" s="17"/>
      <c r="M1481" s="17"/>
      <c r="P1481" s="17"/>
    </row>
    <row r="1482">
      <c r="B1482" s="11">
        <f>IFERROR(__xludf.DUMMYFUNCTION("""COMPUTED_VALUE"""),43875.66666666667)</f>
        <v>43875.66667</v>
      </c>
      <c r="C1482" s="9">
        <f>IFERROR(__xludf.DUMMYFUNCTION("""COMPUTED_VALUE"""),97.55)</f>
        <v>97.55</v>
      </c>
      <c r="E1482" s="17"/>
      <c r="M1482" s="17"/>
      <c r="P1482" s="17"/>
    </row>
    <row r="1483">
      <c r="B1483" s="11">
        <f>IFERROR(__xludf.DUMMYFUNCTION("""COMPUTED_VALUE"""),43874.66666666667)</f>
        <v>43874.66667</v>
      </c>
      <c r="C1483" s="9">
        <f>IFERROR(__xludf.DUMMYFUNCTION("""COMPUTED_VALUE"""),96.47)</f>
        <v>96.47</v>
      </c>
      <c r="E1483" s="17"/>
      <c r="M1483" s="17"/>
      <c r="P1483" s="17"/>
    </row>
    <row r="1484">
      <c r="B1484" s="11">
        <f>IFERROR(__xludf.DUMMYFUNCTION("""COMPUTED_VALUE"""),43873.66666666667)</f>
        <v>43873.66667</v>
      </c>
      <c r="C1484" s="9">
        <f>IFERROR(__xludf.DUMMYFUNCTION("""COMPUTED_VALUE"""),96.79)</f>
        <v>96.79</v>
      </c>
      <c r="E1484" s="17"/>
      <c r="M1484" s="17"/>
      <c r="P1484" s="17"/>
    </row>
    <row r="1485">
      <c r="B1485" s="11">
        <f>IFERROR(__xludf.DUMMYFUNCTION("""COMPUTED_VALUE"""),43872.66666666667)</f>
        <v>43872.66667</v>
      </c>
      <c r="C1485" s="9">
        <f>IFERROR(__xludf.DUMMYFUNCTION("""COMPUTED_VALUE"""),96.21)</f>
        <v>96.21</v>
      </c>
      <c r="E1485" s="17"/>
      <c r="M1485" s="17"/>
      <c r="P1485" s="17"/>
    </row>
    <row r="1486">
      <c r="B1486" s="11">
        <f>IFERROR(__xludf.DUMMYFUNCTION("""COMPUTED_VALUE"""),43871.66666666667)</f>
        <v>43871.66667</v>
      </c>
      <c r="C1486" s="9">
        <f>IFERROR(__xludf.DUMMYFUNCTION("""COMPUTED_VALUE"""),94.66)</f>
        <v>94.66</v>
      </c>
      <c r="E1486" s="17"/>
      <c r="M1486" s="17"/>
      <c r="P1486" s="17"/>
    </row>
    <row r="1487">
      <c r="B1487" s="11">
        <f>IFERROR(__xludf.DUMMYFUNCTION("""COMPUTED_VALUE"""),43868.66666666667)</f>
        <v>43868.66667</v>
      </c>
      <c r="C1487" s="9">
        <f>IFERROR(__xludf.DUMMYFUNCTION("""COMPUTED_VALUE"""),93.14)</f>
        <v>93.14</v>
      </c>
      <c r="E1487" s="17"/>
      <c r="M1487" s="17"/>
      <c r="P1487" s="17"/>
    </row>
    <row r="1488">
      <c r="B1488" s="11">
        <f>IFERROR(__xludf.DUMMYFUNCTION("""COMPUTED_VALUE"""),43867.66666666667)</f>
        <v>43867.66667</v>
      </c>
      <c r="C1488" s="9">
        <f>IFERROR(__xludf.DUMMYFUNCTION("""COMPUTED_VALUE"""),93.11)</f>
        <v>93.11</v>
      </c>
      <c r="E1488" s="17"/>
      <c r="M1488" s="17"/>
      <c r="P1488" s="17"/>
    </row>
    <row r="1489">
      <c r="B1489" s="11">
        <f>IFERROR(__xludf.DUMMYFUNCTION("""COMPUTED_VALUE"""),43866.66666666667)</f>
        <v>43866.66667</v>
      </c>
      <c r="C1489" s="9">
        <f>IFERROR(__xludf.DUMMYFUNCTION("""COMPUTED_VALUE"""),92.74)</f>
        <v>92.74</v>
      </c>
      <c r="E1489" s="17"/>
      <c r="M1489" s="17"/>
      <c r="P1489" s="17"/>
    </row>
    <row r="1490">
      <c r="B1490" s="11">
        <f>IFERROR(__xludf.DUMMYFUNCTION("""COMPUTED_VALUE"""),43865.66666666667)</f>
        <v>43865.66667</v>
      </c>
      <c r="C1490" s="9">
        <f>IFERROR(__xludf.DUMMYFUNCTION("""COMPUTED_VALUE"""),93.42)</f>
        <v>93.42</v>
      </c>
      <c r="E1490" s="17"/>
      <c r="M1490" s="17"/>
      <c r="P1490" s="17"/>
    </row>
    <row r="1491">
      <c r="B1491" s="11">
        <f>IFERROR(__xludf.DUMMYFUNCTION("""COMPUTED_VALUE"""),43864.66666666667)</f>
        <v>43864.66667</v>
      </c>
      <c r="C1491" s="9">
        <f>IFERROR(__xludf.DUMMYFUNCTION("""COMPUTED_VALUE"""),91.87)</f>
        <v>91.87</v>
      </c>
      <c r="E1491" s="17"/>
      <c r="M1491" s="17"/>
      <c r="P1491" s="17"/>
    </row>
    <row r="1492">
      <c r="B1492" s="11">
        <f>IFERROR(__xludf.DUMMYFUNCTION("""COMPUTED_VALUE"""),43861.66666666667)</f>
        <v>43861.66667</v>
      </c>
      <c r="C1492" s="9">
        <f>IFERROR(__xludf.DUMMYFUNCTION("""COMPUTED_VALUE"""),92.88)</f>
        <v>92.88</v>
      </c>
      <c r="E1492" s="17"/>
      <c r="M1492" s="17"/>
      <c r="P1492" s="17"/>
    </row>
    <row r="1493">
      <c r="B1493" s="11">
        <f>IFERROR(__xludf.DUMMYFUNCTION("""COMPUTED_VALUE"""),43860.66666666667)</f>
        <v>43860.66667</v>
      </c>
      <c r="C1493" s="9">
        <f>IFERROR(__xludf.DUMMYFUNCTION("""COMPUTED_VALUE"""),96.21)</f>
        <v>96.21</v>
      </c>
      <c r="E1493" s="17"/>
      <c r="M1493" s="17"/>
      <c r="P1493" s="17"/>
    </row>
    <row r="1494">
      <c r="B1494" s="11">
        <f>IFERROR(__xludf.DUMMYFUNCTION("""COMPUTED_VALUE"""),43859.66666666667)</f>
        <v>43859.66667</v>
      </c>
      <c r="C1494" s="9">
        <f>IFERROR(__xludf.DUMMYFUNCTION("""COMPUTED_VALUE"""),96.5)</f>
        <v>96.5</v>
      </c>
      <c r="E1494" s="17"/>
      <c r="M1494" s="17"/>
      <c r="P1494" s="17"/>
    </row>
    <row r="1495">
      <c r="B1495" s="11">
        <f>IFERROR(__xludf.DUMMYFUNCTION("""COMPUTED_VALUE"""),43858.66666666667)</f>
        <v>43858.66667</v>
      </c>
      <c r="C1495" s="9">
        <f>IFERROR(__xludf.DUMMYFUNCTION("""COMPUTED_VALUE"""),95.56)</f>
        <v>95.56</v>
      </c>
      <c r="E1495" s="17"/>
      <c r="M1495" s="17"/>
      <c r="P1495" s="17"/>
    </row>
    <row r="1496">
      <c r="B1496" s="11">
        <f>IFERROR(__xludf.DUMMYFUNCTION("""COMPUTED_VALUE"""),43857.66666666667)</f>
        <v>43857.66667</v>
      </c>
      <c r="C1496" s="9">
        <f>IFERROR(__xludf.DUMMYFUNCTION("""COMPUTED_VALUE"""),94.99)</f>
        <v>94.99</v>
      </c>
      <c r="E1496" s="17"/>
      <c r="M1496" s="17"/>
      <c r="P1496" s="17"/>
    </row>
    <row r="1497">
      <c r="B1497" s="11">
        <f>IFERROR(__xludf.DUMMYFUNCTION("""COMPUTED_VALUE"""),43854.66666666667)</f>
        <v>43854.66667</v>
      </c>
      <c r="C1497" s="9">
        <f>IFERROR(__xludf.DUMMYFUNCTION("""COMPUTED_VALUE"""),96.15)</f>
        <v>96.15</v>
      </c>
      <c r="E1497" s="17"/>
      <c r="M1497" s="17"/>
      <c r="P1497" s="17"/>
    </row>
    <row r="1498">
      <c r="B1498" s="11">
        <f>IFERROR(__xludf.DUMMYFUNCTION("""COMPUTED_VALUE"""),43853.66666666667)</f>
        <v>43853.66667</v>
      </c>
      <c r="C1498" s="9">
        <f>IFERROR(__xludf.DUMMYFUNCTION("""COMPUTED_VALUE"""),95.7)</f>
        <v>95.7</v>
      </c>
      <c r="E1498" s="17"/>
      <c r="M1498" s="17"/>
      <c r="P1498" s="17"/>
    </row>
    <row r="1499">
      <c r="B1499" s="11">
        <f>IFERROR(__xludf.DUMMYFUNCTION("""COMPUTED_VALUE"""),43852.66666666667)</f>
        <v>43852.66667</v>
      </c>
      <c r="C1499" s="9">
        <f>IFERROR(__xludf.DUMMYFUNCTION("""COMPUTED_VALUE"""),93.94)</f>
        <v>93.94</v>
      </c>
      <c r="E1499" s="17"/>
      <c r="M1499" s="17"/>
      <c r="P1499" s="17"/>
    </row>
    <row r="1500">
      <c r="B1500" s="11">
        <f>IFERROR(__xludf.DUMMYFUNCTION("""COMPUTED_VALUE"""),43851.66666666667)</f>
        <v>43851.66667</v>
      </c>
      <c r="C1500" s="9">
        <f>IFERROR(__xludf.DUMMYFUNCTION("""COMPUTED_VALUE"""),95.57)</f>
        <v>95.57</v>
      </c>
      <c r="E1500" s="17"/>
      <c r="M1500" s="17"/>
      <c r="P1500" s="17"/>
    </row>
    <row r="1501">
      <c r="B1501" s="11">
        <f>IFERROR(__xludf.DUMMYFUNCTION("""COMPUTED_VALUE"""),43847.66666666667)</f>
        <v>43847.66667</v>
      </c>
      <c r="C1501" s="9">
        <f>IFERROR(__xludf.DUMMYFUNCTION("""COMPUTED_VALUE"""),94.27)</f>
        <v>94.27</v>
      </c>
      <c r="E1501" s="17"/>
      <c r="M1501" s="17"/>
      <c r="P1501" s="17"/>
    </row>
    <row r="1502">
      <c r="B1502" s="11">
        <f>IFERROR(__xludf.DUMMYFUNCTION("""COMPUTED_VALUE"""),43846.66666666667)</f>
        <v>43846.66667</v>
      </c>
      <c r="C1502" s="9">
        <f>IFERROR(__xludf.DUMMYFUNCTION("""COMPUTED_VALUE"""),93.35)</f>
        <v>93.35</v>
      </c>
      <c r="E1502" s="17"/>
      <c r="M1502" s="17"/>
      <c r="P1502" s="17"/>
    </row>
    <row r="1503">
      <c r="B1503" s="11">
        <f>IFERROR(__xludf.DUMMYFUNCTION("""COMPUTED_VALUE"""),43845.66666666667)</f>
        <v>43845.66667</v>
      </c>
      <c r="C1503" s="9">
        <f>IFERROR(__xludf.DUMMYFUNCTION("""COMPUTED_VALUE"""),92.21)</f>
        <v>92.21</v>
      </c>
      <c r="E1503" s="17"/>
      <c r="M1503" s="17"/>
      <c r="P1503" s="17"/>
    </row>
    <row r="1504">
      <c r="B1504" s="11">
        <f>IFERROR(__xludf.DUMMYFUNCTION("""COMPUTED_VALUE"""),43844.66666666667)</f>
        <v>43844.66667</v>
      </c>
      <c r="C1504" s="9">
        <f>IFERROR(__xludf.DUMMYFUNCTION("""COMPUTED_VALUE"""),90.63)</f>
        <v>90.63</v>
      </c>
      <c r="E1504" s="17"/>
      <c r="M1504" s="17"/>
      <c r="P1504" s="17"/>
    </row>
    <row r="1505">
      <c r="B1505" s="11">
        <f>IFERROR(__xludf.DUMMYFUNCTION("""COMPUTED_VALUE"""),43843.66666666667)</f>
        <v>43843.66667</v>
      </c>
      <c r="C1505" s="9">
        <f>IFERROR(__xludf.DUMMYFUNCTION("""COMPUTED_VALUE"""),91.8)</f>
        <v>91.8</v>
      </c>
      <c r="E1505" s="17"/>
      <c r="M1505" s="17"/>
      <c r="P1505" s="17"/>
    </row>
    <row r="1506">
      <c r="B1506" s="11">
        <f>IFERROR(__xludf.DUMMYFUNCTION("""COMPUTED_VALUE"""),43840.66666666667)</f>
        <v>43840.66667</v>
      </c>
      <c r="C1506" s="9">
        <f>IFERROR(__xludf.DUMMYFUNCTION("""COMPUTED_VALUE"""),89.44)</f>
        <v>89.44</v>
      </c>
      <c r="E1506" s="17"/>
      <c r="M1506" s="17"/>
      <c r="P1506" s="17"/>
    </row>
    <row r="1507">
      <c r="B1507" s="11">
        <f>IFERROR(__xludf.DUMMYFUNCTION("""COMPUTED_VALUE"""),43839.66666666667)</f>
        <v>43839.66667</v>
      </c>
      <c r="C1507" s="9">
        <f>IFERROR(__xludf.DUMMYFUNCTION("""COMPUTED_VALUE"""),88.96)</f>
        <v>88.96</v>
      </c>
      <c r="E1507" s="17"/>
      <c r="M1507" s="17"/>
      <c r="P1507" s="17"/>
    </row>
    <row r="1508">
      <c r="B1508" s="11">
        <f>IFERROR(__xludf.DUMMYFUNCTION("""COMPUTED_VALUE"""),43838.66666666667)</f>
        <v>43838.66667</v>
      </c>
      <c r="C1508" s="9">
        <f>IFERROR(__xludf.DUMMYFUNCTION("""COMPUTED_VALUE"""),88.95)</f>
        <v>88.95</v>
      </c>
      <c r="E1508" s="17"/>
      <c r="M1508" s="17"/>
      <c r="P1508" s="17"/>
    </row>
    <row r="1509">
      <c r="B1509" s="11">
        <f>IFERROR(__xludf.DUMMYFUNCTION("""COMPUTED_VALUE"""),43837.66666666667)</f>
        <v>43837.66667</v>
      </c>
      <c r="C1509" s="9">
        <f>IFERROR(__xludf.DUMMYFUNCTION("""COMPUTED_VALUE"""),88.47)</f>
        <v>88.47</v>
      </c>
      <c r="E1509" s="17"/>
      <c r="M1509" s="17"/>
      <c r="P1509" s="17"/>
    </row>
    <row r="1510">
      <c r="B1510" s="11">
        <f>IFERROR(__xludf.DUMMYFUNCTION("""COMPUTED_VALUE"""),43836.66666666667)</f>
        <v>43836.66667</v>
      </c>
      <c r="C1510" s="9">
        <f>IFERROR(__xludf.DUMMYFUNCTION("""COMPUTED_VALUE"""),89.04)</f>
        <v>89.04</v>
      </c>
      <c r="E1510" s="17"/>
      <c r="M1510" s="17"/>
      <c r="P1510" s="17"/>
    </row>
    <row r="1511">
      <c r="B1511" s="11">
        <f>IFERROR(__xludf.DUMMYFUNCTION("""COMPUTED_VALUE"""),43833.66666666667)</f>
        <v>43833.66667</v>
      </c>
      <c r="C1511" s="9">
        <f>IFERROR(__xludf.DUMMYFUNCTION("""COMPUTED_VALUE"""),89.39)</f>
        <v>89.39</v>
      </c>
      <c r="E1511" s="17"/>
      <c r="M1511" s="17"/>
      <c r="P1511" s="17"/>
    </row>
    <row r="1512">
      <c r="B1512" s="11">
        <f>IFERROR(__xludf.DUMMYFUNCTION("""COMPUTED_VALUE"""),43832.66666666667)</f>
        <v>43832.66667</v>
      </c>
      <c r="C1512" s="9">
        <f>IFERROR(__xludf.DUMMYFUNCTION("""COMPUTED_VALUE"""),88.4)</f>
        <v>88.4</v>
      </c>
      <c r="E1512" s="17"/>
      <c r="M1512" s="17"/>
      <c r="P1512" s="17"/>
    </row>
    <row r="1513">
      <c r="B1513" s="11">
        <f>IFERROR(__xludf.DUMMYFUNCTION("""COMPUTED_VALUE"""),43830.66666666667)</f>
        <v>43830.66667</v>
      </c>
      <c r="C1513" s="9">
        <f>IFERROR(__xludf.DUMMYFUNCTION("""COMPUTED_VALUE"""),89.14)</f>
        <v>89.14</v>
      </c>
      <c r="E1513" s="17"/>
      <c r="M1513" s="17"/>
      <c r="P1513" s="17"/>
    </row>
    <row r="1514">
      <c r="B1514" s="11">
        <f>IFERROR(__xludf.DUMMYFUNCTION("""COMPUTED_VALUE"""),43829.66666666667)</f>
        <v>43829.66667</v>
      </c>
      <c r="C1514" s="9">
        <f>IFERROR(__xludf.DUMMYFUNCTION("""COMPUTED_VALUE"""),88.86)</f>
        <v>88.86</v>
      </c>
      <c r="E1514" s="17"/>
      <c r="M1514" s="17"/>
      <c r="P1514" s="17"/>
    </row>
    <row r="1515">
      <c r="B1515" s="11">
        <f>IFERROR(__xludf.DUMMYFUNCTION("""COMPUTED_VALUE"""),43826.66666666667)</f>
        <v>43826.66667</v>
      </c>
      <c r="C1515" s="9">
        <f>IFERROR(__xludf.DUMMYFUNCTION("""COMPUTED_VALUE"""),88.67)</f>
        <v>88.67</v>
      </c>
      <c r="E1515" s="17"/>
      <c r="M1515" s="17"/>
      <c r="P1515" s="17"/>
    </row>
    <row r="1516">
      <c r="B1516" s="11">
        <f>IFERROR(__xludf.DUMMYFUNCTION("""COMPUTED_VALUE"""),43825.66666666667)</f>
        <v>43825.66667</v>
      </c>
      <c r="C1516" s="9">
        <f>IFERROR(__xludf.DUMMYFUNCTION("""COMPUTED_VALUE"""),88.41)</f>
        <v>88.41</v>
      </c>
      <c r="E1516" s="17"/>
      <c r="M1516" s="17"/>
      <c r="P1516" s="17"/>
    </row>
    <row r="1517">
      <c r="B1517" s="11">
        <f>IFERROR(__xludf.DUMMYFUNCTION("""COMPUTED_VALUE"""),43823.54166666667)</f>
        <v>43823.54167</v>
      </c>
      <c r="C1517" s="9">
        <f>IFERROR(__xludf.DUMMYFUNCTION("""COMPUTED_VALUE"""),87.86)</f>
        <v>87.86</v>
      </c>
      <c r="E1517" s="17"/>
      <c r="M1517" s="17"/>
      <c r="P1517" s="17"/>
    </row>
    <row r="1518">
      <c r="B1518" s="11">
        <f>IFERROR(__xludf.DUMMYFUNCTION("""COMPUTED_VALUE"""),43822.66666666667)</f>
        <v>43822.66667</v>
      </c>
      <c r="C1518" s="9">
        <f>IFERROR(__xludf.DUMMYFUNCTION("""COMPUTED_VALUE"""),87.6)</f>
        <v>87.6</v>
      </c>
      <c r="E1518" s="17"/>
      <c r="M1518" s="17"/>
      <c r="P1518" s="17"/>
    </row>
    <row r="1519">
      <c r="B1519" s="11">
        <f>IFERROR(__xludf.DUMMYFUNCTION("""COMPUTED_VALUE"""),43819.66666666667)</f>
        <v>43819.66667</v>
      </c>
      <c r="C1519" s="9">
        <f>IFERROR(__xludf.DUMMYFUNCTION("""COMPUTED_VALUE"""),88.03)</f>
        <v>88.03</v>
      </c>
      <c r="E1519" s="17"/>
      <c r="M1519" s="17"/>
      <c r="P1519" s="17"/>
    </row>
    <row r="1520">
      <c r="B1520" s="11">
        <f>IFERROR(__xludf.DUMMYFUNCTION("""COMPUTED_VALUE"""),43818.66666666667)</f>
        <v>43818.66667</v>
      </c>
      <c r="C1520" s="9">
        <f>IFERROR(__xludf.DUMMYFUNCTION("""COMPUTED_VALUE"""),87.31)</f>
        <v>87.31</v>
      </c>
      <c r="E1520" s="17"/>
      <c r="M1520" s="17"/>
      <c r="P1520" s="17"/>
    </row>
    <row r="1521">
      <c r="B1521" s="11">
        <f>IFERROR(__xludf.DUMMYFUNCTION("""COMPUTED_VALUE"""),43817.66666666667)</f>
        <v>43817.66667</v>
      </c>
      <c r="C1521" s="9">
        <f>IFERROR(__xludf.DUMMYFUNCTION("""COMPUTED_VALUE"""),87.55)</f>
        <v>87.55</v>
      </c>
      <c r="E1521" s="17"/>
      <c r="M1521" s="17"/>
      <c r="P1521" s="17"/>
    </row>
    <row r="1522">
      <c r="B1522" s="11">
        <f>IFERROR(__xludf.DUMMYFUNCTION("""COMPUTED_VALUE"""),43816.66666666667)</f>
        <v>43816.66667</v>
      </c>
      <c r="C1522" s="9">
        <f>IFERROR(__xludf.DUMMYFUNCTION("""COMPUTED_VALUE"""),87.31)</f>
        <v>87.31</v>
      </c>
      <c r="E1522" s="17"/>
      <c r="M1522" s="17"/>
      <c r="P1522" s="17"/>
    </row>
    <row r="1523">
      <c r="B1523" s="11">
        <f>IFERROR(__xludf.DUMMYFUNCTION("""COMPUTED_VALUE"""),43815.66666666667)</f>
        <v>43815.66667</v>
      </c>
      <c r="C1523" s="9">
        <f>IFERROR(__xludf.DUMMYFUNCTION("""COMPUTED_VALUE"""),88.36)</f>
        <v>88.36</v>
      </c>
      <c r="E1523" s="17"/>
      <c r="M1523" s="17"/>
      <c r="P1523" s="17"/>
    </row>
    <row r="1524">
      <c r="B1524" s="11">
        <f>IFERROR(__xludf.DUMMYFUNCTION("""COMPUTED_VALUE"""),43812.66666666667)</f>
        <v>43812.66667</v>
      </c>
      <c r="C1524" s="9">
        <f>IFERROR(__xludf.DUMMYFUNCTION("""COMPUTED_VALUE"""),88.54)</f>
        <v>88.54</v>
      </c>
      <c r="E1524" s="17"/>
      <c r="M1524" s="17"/>
      <c r="P1524" s="17"/>
    </row>
    <row r="1525">
      <c r="B1525" s="11">
        <f>IFERROR(__xludf.DUMMYFUNCTION("""COMPUTED_VALUE"""),43811.66666666667)</f>
        <v>43811.66667</v>
      </c>
      <c r="C1525" s="9">
        <f>IFERROR(__xludf.DUMMYFUNCTION("""COMPUTED_VALUE"""),88.92)</f>
        <v>88.92</v>
      </c>
      <c r="E1525" s="17"/>
      <c r="M1525" s="17"/>
      <c r="P1525" s="17"/>
    </row>
    <row r="1526">
      <c r="B1526" s="11">
        <f>IFERROR(__xludf.DUMMYFUNCTION("""COMPUTED_VALUE"""),43810.66666666667)</f>
        <v>43810.66667</v>
      </c>
      <c r="C1526" s="9">
        <f>IFERROR(__xludf.DUMMYFUNCTION("""COMPUTED_VALUE"""),89.8)</f>
        <v>89.8</v>
      </c>
      <c r="E1526" s="17"/>
      <c r="M1526" s="17"/>
      <c r="P1526" s="17"/>
    </row>
    <row r="1527">
      <c r="B1527" s="11">
        <f>IFERROR(__xludf.DUMMYFUNCTION("""COMPUTED_VALUE"""),43809.66666666667)</f>
        <v>43809.66667</v>
      </c>
      <c r="C1527" s="9">
        <f>IFERROR(__xludf.DUMMYFUNCTION("""COMPUTED_VALUE"""),91.14)</f>
        <v>91.14</v>
      </c>
      <c r="E1527" s="17"/>
      <c r="M1527" s="17"/>
      <c r="P1527" s="17"/>
    </row>
    <row r="1528">
      <c r="B1528" s="11">
        <f>IFERROR(__xludf.DUMMYFUNCTION("""COMPUTED_VALUE"""),43808.66666666667)</f>
        <v>43808.66667</v>
      </c>
      <c r="C1528" s="9">
        <f>IFERROR(__xludf.DUMMYFUNCTION("""COMPUTED_VALUE"""),91.38)</f>
        <v>91.38</v>
      </c>
      <c r="E1528" s="17"/>
      <c r="M1528" s="17"/>
      <c r="P1528" s="17"/>
    </row>
    <row r="1529">
      <c r="B1529" s="11">
        <f>IFERROR(__xludf.DUMMYFUNCTION("""COMPUTED_VALUE"""),43805.66666666667)</f>
        <v>43805.66667</v>
      </c>
      <c r="C1529" s="9">
        <f>IFERROR(__xludf.DUMMYFUNCTION("""COMPUTED_VALUE"""),91.43)</f>
        <v>91.43</v>
      </c>
      <c r="E1529" s="17"/>
      <c r="M1529" s="17"/>
      <c r="P1529" s="17"/>
    </row>
    <row r="1530">
      <c r="B1530" s="11">
        <f>IFERROR(__xludf.DUMMYFUNCTION("""COMPUTED_VALUE"""),43804.66666666667)</f>
        <v>43804.66667</v>
      </c>
      <c r="C1530" s="9">
        <f>IFERROR(__xludf.DUMMYFUNCTION("""COMPUTED_VALUE"""),91.35)</f>
        <v>91.35</v>
      </c>
      <c r="E1530" s="17"/>
      <c r="M1530" s="17"/>
      <c r="P1530" s="17"/>
    </row>
    <row r="1531">
      <c r="B1531" s="11">
        <f>IFERROR(__xludf.DUMMYFUNCTION("""COMPUTED_VALUE"""),43803.66666666667)</f>
        <v>43803.66667</v>
      </c>
      <c r="C1531" s="9">
        <f>IFERROR(__xludf.DUMMYFUNCTION("""COMPUTED_VALUE"""),91.1)</f>
        <v>91.1</v>
      </c>
      <c r="E1531" s="17"/>
      <c r="M1531" s="17"/>
      <c r="P1531" s="17"/>
    </row>
    <row r="1532">
      <c r="B1532" s="11">
        <f>IFERROR(__xludf.DUMMYFUNCTION("""COMPUTED_VALUE"""),43802.66666666667)</f>
        <v>43802.66667</v>
      </c>
      <c r="C1532" s="9">
        <f>IFERROR(__xludf.DUMMYFUNCTION("""COMPUTED_VALUE"""),90.73)</f>
        <v>90.73</v>
      </c>
      <c r="E1532" s="17"/>
      <c r="M1532" s="17"/>
      <c r="P1532" s="17"/>
    </row>
    <row r="1533">
      <c r="B1533" s="11">
        <f>IFERROR(__xludf.DUMMYFUNCTION("""COMPUTED_VALUE"""),43801.66666666667)</f>
        <v>43801.66667</v>
      </c>
      <c r="C1533" s="9">
        <f>IFERROR(__xludf.DUMMYFUNCTION("""COMPUTED_VALUE"""),90.01)</f>
        <v>90.01</v>
      </c>
      <c r="E1533" s="17"/>
      <c r="M1533" s="17"/>
      <c r="P1533" s="17"/>
    </row>
    <row r="1534">
      <c r="B1534" s="11">
        <f>IFERROR(__xludf.DUMMYFUNCTION("""COMPUTED_VALUE"""),43798.54166666667)</f>
        <v>43798.54167</v>
      </c>
      <c r="C1534" s="9">
        <f>IFERROR(__xludf.DUMMYFUNCTION("""COMPUTED_VALUE"""),91.55)</f>
        <v>91.55</v>
      </c>
      <c r="E1534" s="17"/>
      <c r="M1534" s="17"/>
      <c r="P1534" s="17"/>
    </row>
    <row r="1535">
      <c r="B1535" s="11">
        <f>IFERROR(__xludf.DUMMYFUNCTION("""COMPUTED_VALUE"""),43796.66666666667)</f>
        <v>43796.66667</v>
      </c>
      <c r="C1535" s="9">
        <f>IFERROR(__xludf.DUMMYFUNCTION("""COMPUTED_VALUE"""),92.4)</f>
        <v>92.4</v>
      </c>
      <c r="E1535" s="17"/>
      <c r="M1535" s="17"/>
      <c r="P1535" s="17"/>
    </row>
    <row r="1536">
      <c r="B1536" s="11">
        <f>IFERROR(__xludf.DUMMYFUNCTION("""COMPUTED_VALUE"""),43795.66666666667)</f>
        <v>43795.66667</v>
      </c>
      <c r="C1536" s="9">
        <f>IFERROR(__xludf.DUMMYFUNCTION("""COMPUTED_VALUE"""),92.33)</f>
        <v>92.33</v>
      </c>
      <c r="E1536" s="17"/>
      <c r="M1536" s="17"/>
      <c r="P1536" s="17"/>
    </row>
    <row r="1537">
      <c r="B1537" s="11">
        <f>IFERROR(__xludf.DUMMYFUNCTION("""COMPUTED_VALUE"""),43794.66666666667)</f>
        <v>43794.66667</v>
      </c>
      <c r="C1537" s="9">
        <f>IFERROR(__xludf.DUMMYFUNCTION("""COMPUTED_VALUE"""),90.86)</f>
        <v>90.86</v>
      </c>
      <c r="E1537" s="17"/>
      <c r="M1537" s="17"/>
      <c r="P1537" s="17"/>
    </row>
    <row r="1538">
      <c r="B1538" s="11">
        <f>IFERROR(__xludf.DUMMYFUNCTION("""COMPUTED_VALUE"""),43791.66666666667)</f>
        <v>43791.66667</v>
      </c>
      <c r="C1538" s="9">
        <f>IFERROR(__xludf.DUMMYFUNCTION("""COMPUTED_VALUE"""),90.56)</f>
        <v>90.56</v>
      </c>
      <c r="E1538" s="17"/>
      <c r="M1538" s="17"/>
      <c r="P1538" s="17"/>
    </row>
    <row r="1539">
      <c r="B1539" s="11">
        <f>IFERROR(__xludf.DUMMYFUNCTION("""COMPUTED_VALUE"""),43790.66666666667)</f>
        <v>43790.66667</v>
      </c>
      <c r="C1539" s="9">
        <f>IFERROR(__xludf.DUMMYFUNCTION("""COMPUTED_VALUE"""),90.85)</f>
        <v>90.85</v>
      </c>
      <c r="E1539" s="17"/>
      <c r="M1539" s="17"/>
      <c r="P1539" s="17"/>
    </row>
    <row r="1540">
      <c r="B1540" s="11">
        <f>IFERROR(__xludf.DUMMYFUNCTION("""COMPUTED_VALUE"""),43789.66666666667)</f>
        <v>43789.66667</v>
      </c>
      <c r="C1540" s="9">
        <f>IFERROR(__xludf.DUMMYFUNCTION("""COMPUTED_VALUE"""),91.55)</f>
        <v>91.55</v>
      </c>
      <c r="E1540" s="17"/>
      <c r="M1540" s="17"/>
      <c r="P1540" s="17"/>
    </row>
    <row r="1541">
      <c r="B1541" s="11">
        <f>IFERROR(__xludf.DUMMYFUNCTION("""COMPUTED_VALUE"""),43788.66666666667)</f>
        <v>43788.66667</v>
      </c>
      <c r="C1541" s="9">
        <f>IFERROR(__xludf.DUMMYFUNCTION("""COMPUTED_VALUE"""),91.03)</f>
        <v>91.03</v>
      </c>
      <c r="E1541" s="17"/>
      <c r="M1541" s="17"/>
      <c r="P1541" s="17"/>
    </row>
    <row r="1542">
      <c r="B1542" s="11">
        <f>IFERROR(__xludf.DUMMYFUNCTION("""COMPUTED_VALUE"""),43787.66666666667)</f>
        <v>43787.66667</v>
      </c>
      <c r="C1542" s="9">
        <f>IFERROR(__xludf.DUMMYFUNCTION("""COMPUTED_VALUE"""),89.89)</f>
        <v>89.89</v>
      </c>
      <c r="E1542" s="17"/>
      <c r="M1542" s="17"/>
      <c r="P1542" s="17"/>
    </row>
    <row r="1543">
      <c r="B1543" s="11">
        <f>IFERROR(__xludf.DUMMYFUNCTION("""COMPUTED_VALUE"""),43784.66666666667)</f>
        <v>43784.66667</v>
      </c>
      <c r="C1543" s="9">
        <f>IFERROR(__xludf.DUMMYFUNCTION("""COMPUTED_VALUE"""),89.1)</f>
        <v>89.1</v>
      </c>
      <c r="E1543" s="17"/>
      <c r="M1543" s="17"/>
      <c r="P1543" s="17"/>
    </row>
    <row r="1544">
      <c r="B1544" s="11">
        <f>IFERROR(__xludf.DUMMYFUNCTION("""COMPUTED_VALUE"""),43783.66666666667)</f>
        <v>43783.66667</v>
      </c>
      <c r="C1544" s="9">
        <f>IFERROR(__xludf.DUMMYFUNCTION("""COMPUTED_VALUE"""),89.12)</f>
        <v>89.12</v>
      </c>
      <c r="E1544" s="17"/>
      <c r="M1544" s="17"/>
      <c r="P1544" s="17"/>
    </row>
    <row r="1545">
      <c r="B1545" s="11">
        <f>IFERROR(__xludf.DUMMYFUNCTION("""COMPUTED_VALUE"""),43782.66666666667)</f>
        <v>43782.66667</v>
      </c>
      <c r="C1545" s="9">
        <f>IFERROR(__xludf.DUMMYFUNCTION("""COMPUTED_VALUE"""),87.93)</f>
        <v>87.93</v>
      </c>
      <c r="E1545" s="17"/>
      <c r="M1545" s="17"/>
      <c r="P1545" s="17"/>
    </row>
    <row r="1546">
      <c r="B1546" s="11">
        <f>IFERROR(__xludf.DUMMYFUNCTION("""COMPUTED_VALUE"""),43781.66666666667)</f>
        <v>43781.66667</v>
      </c>
      <c r="C1546" s="9">
        <f>IFERROR(__xludf.DUMMYFUNCTION("""COMPUTED_VALUE"""),86.63)</f>
        <v>86.63</v>
      </c>
      <c r="E1546" s="17"/>
      <c r="M1546" s="17"/>
      <c r="P1546" s="17"/>
    </row>
    <row r="1547">
      <c r="B1547" s="11">
        <f>IFERROR(__xludf.DUMMYFUNCTION("""COMPUTED_VALUE"""),43780.66666666667)</f>
        <v>43780.66667</v>
      </c>
      <c r="C1547" s="9">
        <f>IFERROR(__xludf.DUMMYFUNCTION("""COMPUTED_VALUE"""),87.32)</f>
        <v>87.32</v>
      </c>
      <c r="E1547" s="17"/>
      <c r="M1547" s="17"/>
      <c r="P1547" s="17"/>
    </row>
    <row r="1548">
      <c r="B1548" s="11">
        <f>IFERROR(__xludf.DUMMYFUNCTION("""COMPUTED_VALUE"""),43777.66666666667)</f>
        <v>43777.66667</v>
      </c>
      <c r="C1548" s="9">
        <f>IFERROR(__xludf.DUMMYFUNCTION("""COMPUTED_VALUE"""),87.07)</f>
        <v>87.07</v>
      </c>
      <c r="E1548" s="17"/>
      <c r="M1548" s="17"/>
      <c r="P1548" s="17"/>
    </row>
    <row r="1549">
      <c r="B1549" s="11">
        <f>IFERROR(__xludf.DUMMYFUNCTION("""COMPUTED_VALUE"""),43776.66666666667)</f>
        <v>43776.66667</v>
      </c>
      <c r="C1549" s="9">
        <f>IFERROR(__xludf.DUMMYFUNCTION("""COMPUTED_VALUE"""),87.57)</f>
        <v>87.57</v>
      </c>
      <c r="E1549" s="17"/>
      <c r="M1549" s="17"/>
      <c r="P1549" s="17"/>
    </row>
    <row r="1550">
      <c r="B1550" s="11">
        <f>IFERROR(__xludf.DUMMYFUNCTION("""COMPUTED_VALUE"""),43775.66666666667)</f>
        <v>43775.66667</v>
      </c>
      <c r="C1550" s="9">
        <f>IFERROR(__xludf.DUMMYFUNCTION("""COMPUTED_VALUE"""),87.57)</f>
        <v>87.57</v>
      </c>
      <c r="E1550" s="17"/>
      <c r="M1550" s="17"/>
      <c r="P1550" s="17"/>
    </row>
    <row r="1551">
      <c r="B1551" s="11">
        <f>IFERROR(__xludf.DUMMYFUNCTION("""COMPUTED_VALUE"""),43774.66666666667)</f>
        <v>43774.66667</v>
      </c>
      <c r="C1551" s="9">
        <f>IFERROR(__xludf.DUMMYFUNCTION("""COMPUTED_VALUE"""),85.9)</f>
        <v>85.9</v>
      </c>
      <c r="E1551" s="17"/>
      <c r="M1551" s="17"/>
      <c r="P1551" s="17"/>
    </row>
    <row r="1552">
      <c r="B1552" s="11">
        <f>IFERROR(__xludf.DUMMYFUNCTION("""COMPUTED_VALUE"""),43773.66666666667)</f>
        <v>43773.66667</v>
      </c>
      <c r="C1552" s="9">
        <f>IFERROR(__xludf.DUMMYFUNCTION("""COMPUTED_VALUE"""),87.77)</f>
        <v>87.77</v>
      </c>
      <c r="E1552" s="17"/>
      <c r="M1552" s="17"/>
      <c r="P1552" s="17"/>
    </row>
    <row r="1553">
      <c r="B1553" s="11">
        <f>IFERROR(__xludf.DUMMYFUNCTION("""COMPUTED_VALUE"""),43770.66666666667)</f>
        <v>43770.66667</v>
      </c>
      <c r="C1553" s="9">
        <f>IFERROR(__xludf.DUMMYFUNCTION("""COMPUTED_VALUE"""),87.44)</f>
        <v>87.44</v>
      </c>
      <c r="E1553" s="17"/>
      <c r="M1553" s="17"/>
      <c r="P1553" s="17"/>
    </row>
    <row r="1554">
      <c r="B1554" s="11">
        <f>IFERROR(__xludf.DUMMYFUNCTION("""COMPUTED_VALUE"""),43769.66666666667)</f>
        <v>43769.66667</v>
      </c>
      <c r="C1554" s="9">
        <f>IFERROR(__xludf.DUMMYFUNCTION("""COMPUTED_VALUE"""),87.76)</f>
        <v>87.76</v>
      </c>
      <c r="E1554" s="17"/>
      <c r="M1554" s="17"/>
      <c r="P1554" s="17"/>
    </row>
    <row r="1555">
      <c r="B1555" s="11">
        <f>IFERROR(__xludf.DUMMYFUNCTION("""COMPUTED_VALUE"""),43768.66666666667)</f>
        <v>43768.66667</v>
      </c>
      <c r="C1555" s="9">
        <f>IFERROR(__xludf.DUMMYFUNCTION("""COMPUTED_VALUE"""),87.68)</f>
        <v>87.68</v>
      </c>
      <c r="E1555" s="17"/>
      <c r="M1555" s="17"/>
      <c r="P1555" s="17"/>
    </row>
    <row r="1556">
      <c r="B1556" s="11">
        <f>IFERROR(__xludf.DUMMYFUNCTION("""COMPUTED_VALUE"""),43767.66666666667)</f>
        <v>43767.66667</v>
      </c>
      <c r="C1556" s="9">
        <f>IFERROR(__xludf.DUMMYFUNCTION("""COMPUTED_VALUE"""),86.65)</f>
        <v>86.65</v>
      </c>
      <c r="E1556" s="17"/>
      <c r="M1556" s="17"/>
      <c r="P1556" s="17"/>
    </row>
    <row r="1557">
      <c r="B1557" s="11">
        <f>IFERROR(__xludf.DUMMYFUNCTION("""COMPUTED_VALUE"""),43766.66666666667)</f>
        <v>43766.66667</v>
      </c>
      <c r="C1557" s="9">
        <f>IFERROR(__xludf.DUMMYFUNCTION("""COMPUTED_VALUE"""),85.89)</f>
        <v>85.89</v>
      </c>
      <c r="E1557" s="17"/>
      <c r="M1557" s="17"/>
      <c r="P1557" s="17"/>
    </row>
    <row r="1558">
      <c r="B1558" s="11">
        <f>IFERROR(__xludf.DUMMYFUNCTION("""COMPUTED_VALUE"""),43763.66666666667)</f>
        <v>43763.66667</v>
      </c>
      <c r="C1558" s="9">
        <f>IFERROR(__xludf.DUMMYFUNCTION("""COMPUTED_VALUE"""),90.86)</f>
        <v>90.86</v>
      </c>
      <c r="E1558" s="17"/>
      <c r="M1558" s="17"/>
      <c r="P1558" s="17"/>
    </row>
    <row r="1559">
      <c r="B1559" s="11">
        <f>IFERROR(__xludf.DUMMYFUNCTION("""COMPUTED_VALUE"""),43762.66666666667)</f>
        <v>43762.66667</v>
      </c>
      <c r="C1559" s="9">
        <f>IFERROR(__xludf.DUMMYFUNCTION("""COMPUTED_VALUE"""),92.09)</f>
        <v>92.09</v>
      </c>
      <c r="E1559" s="17"/>
      <c r="M1559" s="17"/>
      <c r="P1559" s="17"/>
    </row>
    <row r="1560">
      <c r="B1560" s="11">
        <f>IFERROR(__xludf.DUMMYFUNCTION("""COMPUTED_VALUE"""),43761.66666666667)</f>
        <v>43761.66667</v>
      </c>
      <c r="C1560" s="9">
        <f>IFERROR(__xludf.DUMMYFUNCTION("""COMPUTED_VALUE"""),91.87)</f>
        <v>91.87</v>
      </c>
      <c r="E1560" s="17"/>
      <c r="M1560" s="17"/>
      <c r="P1560" s="17"/>
    </row>
    <row r="1561">
      <c r="B1561" s="11">
        <f>IFERROR(__xludf.DUMMYFUNCTION("""COMPUTED_VALUE"""),43760.66666666667)</f>
        <v>43760.66667</v>
      </c>
      <c r="C1561" s="9">
        <f>IFERROR(__xludf.DUMMYFUNCTION("""COMPUTED_VALUE"""),90.81)</f>
        <v>90.81</v>
      </c>
      <c r="E1561" s="17"/>
      <c r="M1561" s="17"/>
      <c r="P1561" s="17"/>
    </row>
    <row r="1562">
      <c r="B1562" s="11">
        <f>IFERROR(__xludf.DUMMYFUNCTION("""COMPUTED_VALUE"""),43759.66666666667)</f>
        <v>43759.66667</v>
      </c>
      <c r="C1562" s="9">
        <f>IFERROR(__xludf.DUMMYFUNCTION("""COMPUTED_VALUE"""),90.62)</f>
        <v>90.62</v>
      </c>
      <c r="E1562" s="17"/>
      <c r="M1562" s="17"/>
      <c r="P1562" s="17"/>
    </row>
    <row r="1563">
      <c r="B1563" s="11">
        <f>IFERROR(__xludf.DUMMYFUNCTION("""COMPUTED_VALUE"""),43756.66666666667)</f>
        <v>43756.66667</v>
      </c>
      <c r="C1563" s="9">
        <f>IFERROR(__xludf.DUMMYFUNCTION("""COMPUTED_VALUE"""),89.61)</f>
        <v>89.61</v>
      </c>
      <c r="E1563" s="17"/>
      <c r="M1563" s="17"/>
      <c r="P1563" s="17"/>
    </row>
    <row r="1564">
      <c r="B1564" s="11">
        <f>IFERROR(__xludf.DUMMYFUNCTION("""COMPUTED_VALUE"""),43755.66666666667)</f>
        <v>43755.66667</v>
      </c>
      <c r="C1564" s="9">
        <f>IFERROR(__xludf.DUMMYFUNCTION("""COMPUTED_VALUE"""),89.16)</f>
        <v>89.16</v>
      </c>
      <c r="E1564" s="17"/>
      <c r="M1564" s="17"/>
      <c r="P1564" s="17"/>
    </row>
    <row r="1565">
      <c r="B1565" s="11">
        <f>IFERROR(__xludf.DUMMYFUNCTION("""COMPUTED_VALUE"""),43754.66666666667)</f>
        <v>43754.66667</v>
      </c>
      <c r="C1565" s="9">
        <f>IFERROR(__xludf.DUMMYFUNCTION("""COMPUTED_VALUE"""),89.04)</f>
        <v>89.04</v>
      </c>
      <c r="E1565" s="17"/>
      <c r="M1565" s="17"/>
      <c r="P1565" s="17"/>
    </row>
    <row r="1566">
      <c r="B1566" s="11">
        <f>IFERROR(__xludf.DUMMYFUNCTION("""COMPUTED_VALUE"""),43753.66666666667)</f>
        <v>43753.66667</v>
      </c>
      <c r="C1566" s="9">
        <f>IFERROR(__xludf.DUMMYFUNCTION("""COMPUTED_VALUE"""),89.11)</f>
        <v>89.11</v>
      </c>
      <c r="E1566" s="17"/>
      <c r="M1566" s="17"/>
      <c r="P1566" s="17"/>
    </row>
    <row r="1567">
      <c r="B1567" s="11">
        <f>IFERROR(__xludf.DUMMYFUNCTION("""COMPUTED_VALUE"""),43752.66666666667)</f>
        <v>43752.66667</v>
      </c>
      <c r="C1567" s="9">
        <f>IFERROR(__xludf.DUMMYFUNCTION("""COMPUTED_VALUE"""),86.26)</f>
        <v>86.26</v>
      </c>
      <c r="E1567" s="17"/>
      <c r="M1567" s="17"/>
      <c r="P1567" s="17"/>
    </row>
    <row r="1568">
      <c r="B1568" s="11">
        <f>IFERROR(__xludf.DUMMYFUNCTION("""COMPUTED_VALUE"""),43749.66666666667)</f>
        <v>43749.66667</v>
      </c>
      <c r="C1568" s="9">
        <f>IFERROR(__xludf.DUMMYFUNCTION("""COMPUTED_VALUE"""),85.84)</f>
        <v>85.84</v>
      </c>
      <c r="E1568" s="17"/>
      <c r="M1568" s="17"/>
      <c r="P1568" s="17"/>
    </row>
    <row r="1569">
      <c r="B1569" s="11">
        <f>IFERROR(__xludf.DUMMYFUNCTION("""COMPUTED_VALUE"""),43748.66666666667)</f>
        <v>43748.66667</v>
      </c>
      <c r="C1569" s="9">
        <f>IFERROR(__xludf.DUMMYFUNCTION("""COMPUTED_VALUE"""),85.81)</f>
        <v>85.81</v>
      </c>
      <c r="E1569" s="17"/>
      <c r="M1569" s="17"/>
      <c r="P1569" s="17"/>
    </row>
    <row r="1570">
      <c r="B1570" s="11">
        <f>IFERROR(__xludf.DUMMYFUNCTION("""COMPUTED_VALUE"""),43747.66666666667)</f>
        <v>43747.66667</v>
      </c>
      <c r="C1570" s="9">
        <f>IFERROR(__xludf.DUMMYFUNCTION("""COMPUTED_VALUE"""),85.49)</f>
        <v>85.49</v>
      </c>
      <c r="E1570" s="17"/>
      <c r="M1570" s="17"/>
      <c r="P1570" s="17"/>
    </row>
    <row r="1571">
      <c r="B1571" s="11">
        <f>IFERROR(__xludf.DUMMYFUNCTION("""COMPUTED_VALUE"""),43746.66666666667)</f>
        <v>43746.66667</v>
      </c>
      <c r="C1571" s="9">
        <f>IFERROR(__xludf.DUMMYFUNCTION("""COMPUTED_VALUE"""),85.14)</f>
        <v>85.14</v>
      </c>
      <c r="E1571" s="17"/>
      <c r="M1571" s="17"/>
      <c r="P1571" s="17"/>
    </row>
    <row r="1572">
      <c r="B1572" s="11">
        <f>IFERROR(__xludf.DUMMYFUNCTION("""COMPUTED_VALUE"""),43745.66666666667)</f>
        <v>43745.66667</v>
      </c>
      <c r="C1572" s="9">
        <f>IFERROR(__xludf.DUMMYFUNCTION("""COMPUTED_VALUE"""),85.76)</f>
        <v>85.76</v>
      </c>
      <c r="E1572" s="17"/>
      <c r="M1572" s="17"/>
      <c r="P1572" s="17"/>
    </row>
    <row r="1573">
      <c r="B1573" s="11">
        <f>IFERROR(__xludf.DUMMYFUNCTION("""COMPUTED_VALUE"""),43742.66666666667)</f>
        <v>43742.66667</v>
      </c>
      <c r="C1573" s="9">
        <f>IFERROR(__xludf.DUMMYFUNCTION("""COMPUTED_VALUE"""),86.19)</f>
        <v>86.19</v>
      </c>
      <c r="E1573" s="17"/>
      <c r="M1573" s="17"/>
      <c r="P1573" s="17"/>
    </row>
    <row r="1574">
      <c r="B1574" s="11">
        <f>IFERROR(__xludf.DUMMYFUNCTION("""COMPUTED_VALUE"""),43741.66666666667)</f>
        <v>43741.66667</v>
      </c>
      <c r="C1574" s="9">
        <f>IFERROR(__xludf.DUMMYFUNCTION("""COMPUTED_VALUE"""),85.51)</f>
        <v>85.51</v>
      </c>
      <c r="E1574" s="17"/>
      <c r="M1574" s="17"/>
      <c r="P1574" s="17"/>
    </row>
    <row r="1575">
      <c r="B1575" s="11">
        <f>IFERROR(__xludf.DUMMYFUNCTION("""COMPUTED_VALUE"""),43740.66666666667)</f>
        <v>43740.66667</v>
      </c>
      <c r="C1575" s="9">
        <f>IFERROR(__xludf.DUMMYFUNCTION("""COMPUTED_VALUE"""),84.25)</f>
        <v>84.25</v>
      </c>
      <c r="E1575" s="17"/>
      <c r="M1575" s="17"/>
      <c r="P1575" s="17"/>
    </row>
    <row r="1576">
      <c r="B1576" s="11">
        <f>IFERROR(__xludf.DUMMYFUNCTION("""COMPUTED_VALUE"""),43739.66666666667)</f>
        <v>43739.66667</v>
      </c>
      <c r="C1576" s="9">
        <f>IFERROR(__xludf.DUMMYFUNCTION("""COMPUTED_VALUE"""),84.25)</f>
        <v>84.25</v>
      </c>
      <c r="E1576" s="17"/>
      <c r="M1576" s="17"/>
      <c r="P1576" s="17"/>
    </row>
    <row r="1577">
      <c r="B1577" s="11">
        <f>IFERROR(__xludf.DUMMYFUNCTION("""COMPUTED_VALUE"""),43738.66666666667)</f>
        <v>43738.66667</v>
      </c>
      <c r="C1577" s="9">
        <f>IFERROR(__xludf.DUMMYFUNCTION("""COMPUTED_VALUE"""),85.22)</f>
        <v>85.22</v>
      </c>
      <c r="E1577" s="17"/>
      <c r="M1577" s="17"/>
      <c r="P1577" s="17"/>
    </row>
    <row r="1578">
      <c r="B1578" s="11">
        <f>IFERROR(__xludf.DUMMYFUNCTION("""COMPUTED_VALUE"""),43735.66666666667)</f>
        <v>43735.66667</v>
      </c>
      <c r="C1578" s="9">
        <f>IFERROR(__xludf.DUMMYFUNCTION("""COMPUTED_VALUE"""),85.78)</f>
        <v>85.78</v>
      </c>
      <c r="E1578" s="17"/>
      <c r="M1578" s="17"/>
      <c r="P1578" s="17"/>
    </row>
    <row r="1579">
      <c r="B1579" s="11">
        <f>IFERROR(__xludf.DUMMYFUNCTION("""COMPUTED_VALUE"""),43734.66666666667)</f>
        <v>43734.66667</v>
      </c>
      <c r="C1579" s="9">
        <f>IFERROR(__xludf.DUMMYFUNCTION("""COMPUTED_VALUE"""),86.27)</f>
        <v>86.27</v>
      </c>
      <c r="E1579" s="17"/>
      <c r="M1579" s="17"/>
      <c r="P1579" s="17"/>
    </row>
    <row r="1580">
      <c r="B1580" s="11">
        <f>IFERROR(__xludf.DUMMYFUNCTION("""COMPUTED_VALUE"""),43733.66666666667)</f>
        <v>43733.66667</v>
      </c>
      <c r="C1580" s="9">
        <f>IFERROR(__xludf.DUMMYFUNCTION("""COMPUTED_VALUE"""),85.11)</f>
        <v>85.11</v>
      </c>
      <c r="E1580" s="17"/>
      <c r="M1580" s="17"/>
      <c r="P1580" s="17"/>
    </row>
    <row r="1581">
      <c r="B1581" s="11">
        <f>IFERROR(__xludf.DUMMYFUNCTION("""COMPUTED_VALUE"""),43732.66666666667)</f>
        <v>43732.66667</v>
      </c>
      <c r="C1581" s="9">
        <f>IFERROR(__xludf.DUMMYFUNCTION("""COMPUTED_VALUE"""),84.22)</f>
        <v>84.22</v>
      </c>
      <c r="E1581" s="17"/>
      <c r="M1581" s="17"/>
      <c r="P1581" s="17"/>
    </row>
    <row r="1582">
      <c r="B1582" s="11">
        <f>IFERROR(__xludf.DUMMYFUNCTION("""COMPUTED_VALUE"""),43731.66666666667)</f>
        <v>43731.66667</v>
      </c>
      <c r="C1582" s="9">
        <f>IFERROR(__xludf.DUMMYFUNCTION("""COMPUTED_VALUE"""),84.62)</f>
        <v>84.62</v>
      </c>
      <c r="E1582" s="17"/>
      <c r="M1582" s="17"/>
      <c r="P1582" s="17"/>
    </row>
    <row r="1583">
      <c r="B1583" s="11">
        <f>IFERROR(__xludf.DUMMYFUNCTION("""COMPUTED_VALUE"""),43728.66666666667)</f>
        <v>43728.66667</v>
      </c>
      <c r="C1583" s="9">
        <f>IFERROR(__xludf.DUMMYFUNCTION("""COMPUTED_VALUE"""),84.35)</f>
        <v>84.35</v>
      </c>
      <c r="E1583" s="17"/>
      <c r="M1583" s="17"/>
      <c r="P1583" s="17"/>
    </row>
    <row r="1584">
      <c r="B1584" s="11">
        <f>IFERROR(__xludf.DUMMYFUNCTION("""COMPUTED_VALUE"""),43727.66666666667)</f>
        <v>43727.66667</v>
      </c>
      <c r="C1584" s="9">
        <f>IFERROR(__xludf.DUMMYFUNCTION("""COMPUTED_VALUE"""),85.02)</f>
        <v>85.02</v>
      </c>
      <c r="E1584" s="17"/>
      <c r="M1584" s="17"/>
      <c r="P1584" s="17"/>
    </row>
    <row r="1585">
      <c r="B1585" s="11">
        <f>IFERROR(__xludf.DUMMYFUNCTION("""COMPUTED_VALUE"""),43726.66666666667)</f>
        <v>43726.66667</v>
      </c>
      <c r="C1585" s="9">
        <f>IFERROR(__xludf.DUMMYFUNCTION("""COMPUTED_VALUE"""),85.58)</f>
        <v>85.58</v>
      </c>
      <c r="E1585" s="17"/>
      <c r="M1585" s="17"/>
      <c r="P1585" s="17"/>
    </row>
    <row r="1586">
      <c r="B1586" s="11">
        <f>IFERROR(__xludf.DUMMYFUNCTION("""COMPUTED_VALUE"""),43725.66666666667)</f>
        <v>43725.66667</v>
      </c>
      <c r="C1586" s="9">
        <f>IFERROR(__xludf.DUMMYFUNCTION("""COMPUTED_VALUE"""),86.44)</f>
        <v>86.44</v>
      </c>
      <c r="E1586" s="17"/>
      <c r="M1586" s="17"/>
      <c r="P1586" s="17"/>
    </row>
    <row r="1587">
      <c r="B1587" s="11">
        <f>IFERROR(__xludf.DUMMYFUNCTION("""COMPUTED_VALUE"""),43724.66666666667)</f>
        <v>43724.66667</v>
      </c>
      <c r="C1587" s="9">
        <f>IFERROR(__xludf.DUMMYFUNCTION("""COMPUTED_VALUE"""),85.22)</f>
        <v>85.22</v>
      </c>
      <c r="E1587" s="17"/>
      <c r="M1587" s="17"/>
      <c r="P1587" s="17"/>
    </row>
    <row r="1588">
      <c r="B1588" s="11">
        <f>IFERROR(__xludf.DUMMYFUNCTION("""COMPUTED_VALUE"""),43721.66666666667)</f>
        <v>43721.66667</v>
      </c>
      <c r="C1588" s="9">
        <f>IFERROR(__xludf.DUMMYFUNCTION("""COMPUTED_VALUE"""),84.19)</f>
        <v>84.19</v>
      </c>
      <c r="E1588" s="17"/>
      <c r="M1588" s="17"/>
      <c r="P1588" s="17"/>
    </row>
    <row r="1589">
      <c r="B1589" s="11">
        <f>IFERROR(__xludf.DUMMYFUNCTION("""COMPUTED_VALUE"""),43720.66666666667)</f>
        <v>43720.66667</v>
      </c>
      <c r="C1589" s="9">
        <f>IFERROR(__xludf.DUMMYFUNCTION("""COMPUTED_VALUE"""),84.04)</f>
        <v>84.04</v>
      </c>
      <c r="E1589" s="17"/>
      <c r="M1589" s="17"/>
      <c r="P1589" s="17"/>
    </row>
    <row r="1590">
      <c r="B1590" s="11">
        <f>IFERROR(__xludf.DUMMYFUNCTION("""COMPUTED_VALUE"""),43719.66666666667)</f>
        <v>43719.66667</v>
      </c>
      <c r="C1590" s="9">
        <f>IFERROR(__xludf.DUMMYFUNCTION("""COMPUTED_VALUE"""),82.49)</f>
        <v>82.49</v>
      </c>
      <c r="E1590" s="17"/>
      <c r="M1590" s="17"/>
      <c r="P1590" s="17"/>
    </row>
    <row r="1591">
      <c r="B1591" s="11">
        <f>IFERROR(__xludf.DUMMYFUNCTION("""COMPUTED_VALUE"""),43718.66666666667)</f>
        <v>43718.66667</v>
      </c>
      <c r="C1591" s="9">
        <f>IFERROR(__xludf.DUMMYFUNCTION("""COMPUTED_VALUE"""),83.27)</f>
        <v>83.27</v>
      </c>
      <c r="E1591" s="17"/>
      <c r="M1591" s="17"/>
      <c r="P1591" s="17"/>
    </row>
    <row r="1592">
      <c r="B1592" s="11">
        <f>IFERROR(__xludf.DUMMYFUNCTION("""COMPUTED_VALUE"""),43717.66666666667)</f>
        <v>43717.66667</v>
      </c>
      <c r="C1592" s="9">
        <f>IFERROR(__xludf.DUMMYFUNCTION("""COMPUTED_VALUE"""),84.63)</f>
        <v>84.63</v>
      </c>
      <c r="E1592" s="17"/>
      <c r="M1592" s="17"/>
      <c r="P1592" s="17"/>
    </row>
    <row r="1593">
      <c r="B1593" s="11">
        <f>IFERROR(__xludf.DUMMYFUNCTION("""COMPUTED_VALUE"""),43714.66666666667)</f>
        <v>43714.66667</v>
      </c>
      <c r="C1593" s="9">
        <f>IFERROR(__xludf.DUMMYFUNCTION("""COMPUTED_VALUE"""),84.79)</f>
        <v>84.79</v>
      </c>
      <c r="E1593" s="17"/>
      <c r="M1593" s="17"/>
      <c r="P1593" s="17"/>
    </row>
    <row r="1594">
      <c r="B1594" s="11">
        <f>IFERROR(__xludf.DUMMYFUNCTION("""COMPUTED_VALUE"""),43713.66666666667)</f>
        <v>43713.66667</v>
      </c>
      <c r="C1594" s="9">
        <f>IFERROR(__xludf.DUMMYFUNCTION("""COMPUTED_VALUE"""),84.59)</f>
        <v>84.59</v>
      </c>
      <c r="E1594" s="17"/>
      <c r="M1594" s="17"/>
      <c r="P1594" s="17"/>
    </row>
    <row r="1595">
      <c r="B1595" s="11">
        <f>IFERROR(__xludf.DUMMYFUNCTION("""COMPUTED_VALUE"""),43712.66666666667)</f>
        <v>43712.66667</v>
      </c>
      <c r="C1595" s="9">
        <f>IFERROR(__xludf.DUMMYFUNCTION("""COMPUTED_VALUE"""),85.37)</f>
        <v>85.37</v>
      </c>
      <c r="E1595" s="17"/>
      <c r="M1595" s="17"/>
      <c r="P1595" s="17"/>
    </row>
    <row r="1596">
      <c r="B1596" s="11">
        <f>IFERROR(__xludf.DUMMYFUNCTION("""COMPUTED_VALUE"""),43711.66666666667)</f>
        <v>43711.66667</v>
      </c>
      <c r="C1596" s="9">
        <f>IFERROR(__xludf.DUMMYFUNCTION("""COMPUTED_VALUE"""),84.57)</f>
        <v>84.57</v>
      </c>
      <c r="E1596" s="17"/>
      <c r="M1596" s="17"/>
      <c r="P1596" s="17"/>
    </row>
    <row r="1597">
      <c r="B1597" s="11">
        <f>IFERROR(__xludf.DUMMYFUNCTION("""COMPUTED_VALUE"""),43707.66666666667)</f>
        <v>43707.66667</v>
      </c>
      <c r="C1597" s="9">
        <f>IFERROR(__xludf.DUMMYFUNCTION("""COMPUTED_VALUE"""),83.62)</f>
        <v>83.62</v>
      </c>
      <c r="E1597" s="17"/>
      <c r="M1597" s="17"/>
      <c r="P1597" s="17"/>
    </row>
    <row r="1598">
      <c r="B1598" s="11">
        <f>IFERROR(__xludf.DUMMYFUNCTION("""COMPUTED_VALUE"""),43706.66666666667)</f>
        <v>43706.66667</v>
      </c>
      <c r="C1598" s="9">
        <f>IFERROR(__xludf.DUMMYFUNCTION("""COMPUTED_VALUE"""),83.72)</f>
        <v>83.72</v>
      </c>
      <c r="E1598" s="17"/>
      <c r="M1598" s="17"/>
      <c r="P1598" s="17"/>
    </row>
    <row r="1599">
      <c r="B1599" s="11">
        <f>IFERROR(__xludf.DUMMYFUNCTION("""COMPUTED_VALUE"""),43705.66666666667)</f>
        <v>43705.66667</v>
      </c>
      <c r="C1599" s="9">
        <f>IFERROR(__xludf.DUMMYFUNCTION("""COMPUTED_VALUE"""),82.84)</f>
        <v>82.84</v>
      </c>
      <c r="E1599" s="17"/>
      <c r="M1599" s="17"/>
      <c r="P1599" s="17"/>
    </row>
    <row r="1600">
      <c r="B1600" s="11">
        <f>IFERROR(__xludf.DUMMYFUNCTION("""COMPUTED_VALUE"""),43704.66666666667)</f>
        <v>43704.66667</v>
      </c>
      <c r="C1600" s="9">
        <f>IFERROR(__xludf.DUMMYFUNCTION("""COMPUTED_VALUE"""),82.01)</f>
        <v>82.01</v>
      </c>
      <c r="E1600" s="17"/>
      <c r="M1600" s="17"/>
      <c r="P1600" s="17"/>
    </row>
    <row r="1601">
      <c r="B1601" s="11">
        <f>IFERROR(__xludf.DUMMYFUNCTION("""COMPUTED_VALUE"""),43703.66666666667)</f>
        <v>43703.66667</v>
      </c>
      <c r="C1601" s="9">
        <f>IFERROR(__xludf.DUMMYFUNCTION("""COMPUTED_VALUE"""),82.63)</f>
        <v>82.63</v>
      </c>
      <c r="E1601" s="17"/>
      <c r="M1601" s="17"/>
      <c r="P1601" s="17"/>
    </row>
    <row r="1602">
      <c r="B1602" s="11">
        <f>IFERROR(__xludf.DUMMYFUNCTION("""COMPUTED_VALUE"""),43700.66666666667)</f>
        <v>43700.66667</v>
      </c>
      <c r="C1602" s="9">
        <f>IFERROR(__xludf.DUMMYFUNCTION("""COMPUTED_VALUE"""),81.89)</f>
        <v>81.89</v>
      </c>
      <c r="E1602" s="17"/>
      <c r="M1602" s="17"/>
      <c r="P1602" s="17"/>
    </row>
    <row r="1603">
      <c r="B1603" s="11">
        <f>IFERROR(__xludf.DUMMYFUNCTION("""COMPUTED_VALUE"""),43699.66666666667)</f>
        <v>43699.66667</v>
      </c>
      <c r="C1603" s="9">
        <f>IFERROR(__xludf.DUMMYFUNCTION("""COMPUTED_VALUE"""),83.99)</f>
        <v>83.99</v>
      </c>
      <c r="E1603" s="17"/>
      <c r="M1603" s="17"/>
      <c r="P1603" s="17"/>
    </row>
    <row r="1604">
      <c r="B1604" s="11">
        <f>IFERROR(__xludf.DUMMYFUNCTION("""COMPUTED_VALUE"""),43698.66666666667)</f>
        <v>43698.66667</v>
      </c>
      <c r="C1604" s="9">
        <f>IFERROR(__xludf.DUMMYFUNCTION("""COMPUTED_VALUE"""),83.3)</f>
        <v>83.3</v>
      </c>
      <c r="E1604" s="17"/>
      <c r="M1604" s="17"/>
      <c r="P1604" s="17"/>
    </row>
    <row r="1605">
      <c r="B1605" s="11">
        <f>IFERROR(__xludf.DUMMYFUNCTION("""COMPUTED_VALUE"""),43697.66666666667)</f>
        <v>43697.66667</v>
      </c>
      <c r="C1605" s="9">
        <f>IFERROR(__xludf.DUMMYFUNCTION("""COMPUTED_VALUE"""),82.45)</f>
        <v>82.45</v>
      </c>
      <c r="E1605" s="17"/>
      <c r="M1605" s="17"/>
      <c r="P1605" s="17"/>
    </row>
    <row r="1606">
      <c r="B1606" s="11">
        <f>IFERROR(__xludf.DUMMYFUNCTION("""COMPUTED_VALUE"""),43696.66666666667)</f>
        <v>43696.66667</v>
      </c>
      <c r="C1606" s="9">
        <f>IFERROR(__xludf.DUMMYFUNCTION("""COMPUTED_VALUE"""),83.86)</f>
        <v>83.86</v>
      </c>
      <c r="E1606" s="17"/>
      <c r="M1606" s="17"/>
      <c r="P1606" s="17"/>
    </row>
    <row r="1607">
      <c r="B1607" s="11">
        <f>IFERROR(__xludf.DUMMYFUNCTION("""COMPUTED_VALUE"""),43693.66666666667)</f>
        <v>43693.66667</v>
      </c>
      <c r="C1607" s="9">
        <f>IFERROR(__xludf.DUMMYFUNCTION("""COMPUTED_VALUE"""),82.39)</f>
        <v>82.39</v>
      </c>
      <c r="E1607" s="17"/>
      <c r="M1607" s="17"/>
      <c r="P1607" s="17"/>
    </row>
    <row r="1608">
      <c r="B1608" s="11">
        <f>IFERROR(__xludf.DUMMYFUNCTION("""COMPUTED_VALUE"""),43692.66666666667)</f>
        <v>43692.66667</v>
      </c>
      <c r="C1608" s="9">
        <f>IFERROR(__xludf.DUMMYFUNCTION("""COMPUTED_VALUE"""),81.21)</f>
        <v>81.21</v>
      </c>
      <c r="E1608" s="17"/>
      <c r="M1608" s="17"/>
      <c r="P1608" s="17"/>
    </row>
    <row r="1609">
      <c r="B1609" s="11">
        <f>IFERROR(__xludf.DUMMYFUNCTION("""COMPUTED_VALUE"""),43691.66666666667)</f>
        <v>43691.66667</v>
      </c>
      <c r="C1609" s="9">
        <f>IFERROR(__xludf.DUMMYFUNCTION("""COMPUTED_VALUE"""),80.26)</f>
        <v>80.26</v>
      </c>
      <c r="E1609" s="17"/>
      <c r="M1609" s="17"/>
      <c r="P1609" s="17"/>
    </row>
    <row r="1610">
      <c r="B1610" s="11">
        <f>IFERROR(__xludf.DUMMYFUNCTION("""COMPUTED_VALUE"""),43690.66666666667)</f>
        <v>43690.66667</v>
      </c>
      <c r="C1610" s="9">
        <f>IFERROR(__xludf.DUMMYFUNCTION("""COMPUTED_VALUE"""),81.82)</f>
        <v>81.82</v>
      </c>
      <c r="E1610" s="17"/>
      <c r="M1610" s="17"/>
      <c r="P1610" s="17"/>
    </row>
    <row r="1611">
      <c r="B1611" s="11">
        <f>IFERROR(__xludf.DUMMYFUNCTION("""COMPUTED_VALUE"""),43689.66666666667)</f>
        <v>43689.66667</v>
      </c>
      <c r="C1611" s="9">
        <f>IFERROR(__xludf.DUMMYFUNCTION("""COMPUTED_VALUE"""),81.69)</f>
        <v>81.69</v>
      </c>
      <c r="E1611" s="17"/>
      <c r="M1611" s="17"/>
      <c r="P1611" s="17"/>
    </row>
    <row r="1612">
      <c r="B1612" s="11">
        <f>IFERROR(__xludf.DUMMYFUNCTION("""COMPUTED_VALUE"""),43686.66666666667)</f>
        <v>43686.66667</v>
      </c>
      <c r="C1612" s="9">
        <f>IFERROR(__xludf.DUMMYFUNCTION("""COMPUTED_VALUE"""),81.83)</f>
        <v>81.83</v>
      </c>
      <c r="E1612" s="17"/>
      <c r="M1612" s="17"/>
      <c r="P1612" s="17"/>
    </row>
    <row r="1613">
      <c r="B1613" s="11">
        <f>IFERROR(__xludf.DUMMYFUNCTION("""COMPUTED_VALUE"""),43685.66666666667)</f>
        <v>43685.66667</v>
      </c>
      <c r="C1613" s="9">
        <f>IFERROR(__xludf.DUMMYFUNCTION("""COMPUTED_VALUE"""),82.17)</f>
        <v>82.17</v>
      </c>
      <c r="E1613" s="17"/>
      <c r="M1613" s="17"/>
      <c r="P1613" s="17"/>
    </row>
    <row r="1614">
      <c r="B1614" s="11">
        <f>IFERROR(__xludf.DUMMYFUNCTION("""COMPUTED_VALUE"""),43684.66666666667)</f>
        <v>43684.66667</v>
      </c>
      <c r="C1614" s="9">
        <f>IFERROR(__xludf.DUMMYFUNCTION("""COMPUTED_VALUE"""),80.5)</f>
        <v>80.5</v>
      </c>
      <c r="E1614" s="17"/>
      <c r="M1614" s="17"/>
      <c r="P1614" s="17"/>
    </row>
    <row r="1615">
      <c r="B1615" s="11">
        <f>IFERROR(__xludf.DUMMYFUNCTION("""COMPUTED_VALUE"""),43683.66666666667)</f>
        <v>43683.66667</v>
      </c>
      <c r="C1615" s="9">
        <f>IFERROR(__xludf.DUMMYFUNCTION("""COMPUTED_VALUE"""),79.95)</f>
        <v>79.95</v>
      </c>
      <c r="E1615" s="17"/>
      <c r="M1615" s="17"/>
      <c r="P1615" s="17"/>
    </row>
    <row r="1616">
      <c r="B1616" s="11">
        <f>IFERROR(__xludf.DUMMYFUNCTION("""COMPUTED_VALUE"""),43682.66666666667)</f>
        <v>43682.66667</v>
      </c>
      <c r="C1616" s="9">
        <f>IFERROR(__xludf.DUMMYFUNCTION("""COMPUTED_VALUE"""),78.64)</f>
        <v>78.64</v>
      </c>
      <c r="E1616" s="17"/>
      <c r="M1616" s="17"/>
      <c r="P1616" s="17"/>
    </row>
    <row r="1617">
      <c r="B1617" s="11">
        <f>IFERROR(__xludf.DUMMYFUNCTION("""COMPUTED_VALUE"""),43679.66666666667)</f>
        <v>43679.66667</v>
      </c>
      <c r="C1617" s="9">
        <f>IFERROR(__xludf.DUMMYFUNCTION("""COMPUTED_VALUE"""),80.51)</f>
        <v>80.51</v>
      </c>
      <c r="E1617" s="17"/>
      <c r="M1617" s="17"/>
      <c r="P1617" s="17"/>
    </row>
    <row r="1618">
      <c r="B1618" s="11">
        <f>IFERROR(__xludf.DUMMYFUNCTION("""COMPUTED_VALUE"""),43678.66666666667)</f>
        <v>43678.66667</v>
      </c>
      <c r="C1618" s="9">
        <f>IFERROR(__xludf.DUMMYFUNCTION("""COMPUTED_VALUE"""),80.78)</f>
        <v>80.78</v>
      </c>
      <c r="E1618" s="17"/>
      <c r="M1618" s="17"/>
      <c r="P1618" s="17"/>
    </row>
    <row r="1619">
      <c r="B1619" s="11">
        <f>IFERROR(__xludf.DUMMYFUNCTION("""COMPUTED_VALUE"""),43677.66666666667)</f>
        <v>43677.66667</v>
      </c>
      <c r="C1619" s="9">
        <f>IFERROR(__xludf.DUMMYFUNCTION("""COMPUTED_VALUE"""),80.61)</f>
        <v>80.61</v>
      </c>
      <c r="E1619" s="17"/>
      <c r="M1619" s="17"/>
      <c r="P1619" s="17"/>
    </row>
    <row r="1620">
      <c r="B1620" s="11">
        <f>IFERROR(__xludf.DUMMYFUNCTION("""COMPUTED_VALUE"""),43676.66666666667)</f>
        <v>43676.66667</v>
      </c>
      <c r="C1620" s="9">
        <f>IFERROR(__xludf.DUMMYFUNCTION("""COMPUTED_VALUE"""),82.01)</f>
        <v>82.01</v>
      </c>
      <c r="E1620" s="17"/>
      <c r="M1620" s="17"/>
      <c r="P1620" s="17"/>
    </row>
    <row r="1621">
      <c r="B1621" s="11">
        <f>IFERROR(__xludf.DUMMYFUNCTION("""COMPUTED_VALUE"""),43675.66666666667)</f>
        <v>43675.66667</v>
      </c>
      <c r="C1621" s="9">
        <f>IFERROR(__xludf.DUMMYFUNCTION("""COMPUTED_VALUE"""),82.63)</f>
        <v>82.63</v>
      </c>
      <c r="E1621" s="17"/>
      <c r="M1621" s="17"/>
      <c r="P1621" s="17"/>
    </row>
    <row r="1622">
      <c r="B1622" s="11">
        <f>IFERROR(__xludf.DUMMYFUNCTION("""COMPUTED_VALUE"""),43672.66666666667)</f>
        <v>43672.66667</v>
      </c>
      <c r="C1622" s="9">
        <f>IFERROR(__xludf.DUMMYFUNCTION("""COMPUTED_VALUE"""),82.11)</f>
        <v>82.11</v>
      </c>
      <c r="E1622" s="17"/>
      <c r="M1622" s="17"/>
      <c r="P1622" s="17"/>
    </row>
    <row r="1623">
      <c r="B1623" s="11">
        <f>IFERROR(__xludf.DUMMYFUNCTION("""COMPUTED_VALUE"""),43671.66666666667)</f>
        <v>43671.66667</v>
      </c>
      <c r="C1623" s="9">
        <f>IFERROR(__xludf.DUMMYFUNCTION("""COMPUTED_VALUE"""),81.45)</f>
        <v>81.45</v>
      </c>
      <c r="E1623" s="17"/>
      <c r="M1623" s="17"/>
      <c r="P1623" s="17"/>
    </row>
    <row r="1624">
      <c r="B1624" s="11">
        <f>IFERROR(__xludf.DUMMYFUNCTION("""COMPUTED_VALUE"""),43670.66666666667)</f>
        <v>43670.66667</v>
      </c>
      <c r="C1624" s="9">
        <f>IFERROR(__xludf.DUMMYFUNCTION("""COMPUTED_VALUE"""),82.26)</f>
        <v>82.26</v>
      </c>
      <c r="E1624" s="17"/>
      <c r="M1624" s="17"/>
      <c r="P1624" s="17"/>
    </row>
    <row r="1625">
      <c r="B1625" s="11">
        <f>IFERROR(__xludf.DUMMYFUNCTION("""COMPUTED_VALUE"""),43669.66666666667)</f>
        <v>43669.66667</v>
      </c>
      <c r="C1625" s="9">
        <f>IFERROR(__xludf.DUMMYFUNCTION("""COMPUTED_VALUE"""),82.59)</f>
        <v>82.59</v>
      </c>
      <c r="E1625" s="17"/>
      <c r="M1625" s="17"/>
      <c r="P1625" s="17"/>
    </row>
    <row r="1626">
      <c r="B1626" s="11">
        <f>IFERROR(__xludf.DUMMYFUNCTION("""COMPUTED_VALUE"""),43668.66666666667)</f>
        <v>43668.66667</v>
      </c>
      <c r="C1626" s="9">
        <f>IFERROR(__xludf.DUMMYFUNCTION("""COMPUTED_VALUE"""),81.18)</f>
        <v>81.18</v>
      </c>
      <c r="E1626" s="17"/>
      <c r="M1626" s="17"/>
      <c r="P1626" s="17"/>
    </row>
    <row r="1627">
      <c r="B1627" s="11">
        <f>IFERROR(__xludf.DUMMYFUNCTION("""COMPUTED_VALUE"""),43665.66666666667)</f>
        <v>43665.66667</v>
      </c>
      <c r="C1627" s="9">
        <f>IFERROR(__xludf.DUMMYFUNCTION("""COMPUTED_VALUE"""),80.74)</f>
        <v>80.74</v>
      </c>
      <c r="E1627" s="17"/>
      <c r="M1627" s="17"/>
      <c r="P1627" s="17"/>
    </row>
    <row r="1628">
      <c r="B1628" s="11">
        <f>IFERROR(__xludf.DUMMYFUNCTION("""COMPUTED_VALUE"""),43664.66666666667)</f>
        <v>43664.66667</v>
      </c>
      <c r="C1628" s="9">
        <f>IFERROR(__xludf.DUMMYFUNCTION("""COMPUTED_VALUE"""),82.43)</f>
        <v>82.43</v>
      </c>
      <c r="E1628" s="17"/>
      <c r="M1628" s="17"/>
      <c r="P1628" s="17"/>
    </row>
    <row r="1629">
      <c r="B1629" s="11">
        <f>IFERROR(__xludf.DUMMYFUNCTION("""COMPUTED_VALUE"""),43663.66666666667)</f>
        <v>43663.66667</v>
      </c>
      <c r="C1629" s="9">
        <f>IFERROR(__xludf.DUMMYFUNCTION("""COMPUTED_VALUE"""),81.61)</f>
        <v>81.61</v>
      </c>
      <c r="E1629" s="17"/>
      <c r="M1629" s="17"/>
      <c r="P1629" s="17"/>
    </row>
    <row r="1630">
      <c r="B1630" s="11">
        <f>IFERROR(__xludf.DUMMYFUNCTION("""COMPUTED_VALUE"""),43662.66666666667)</f>
        <v>43662.66667</v>
      </c>
      <c r="C1630" s="9">
        <f>IFERROR(__xludf.DUMMYFUNCTION("""COMPUTED_VALUE"""),81.46)</f>
        <v>81.46</v>
      </c>
      <c r="E1630" s="17"/>
      <c r="M1630" s="17"/>
      <c r="P1630" s="17"/>
    </row>
    <row r="1631">
      <c r="B1631" s="11">
        <f>IFERROR(__xludf.DUMMYFUNCTION("""COMPUTED_VALUE"""),43661.66666666667)</f>
        <v>43661.66667</v>
      </c>
      <c r="C1631" s="9">
        <f>IFERROR(__xludf.DUMMYFUNCTION("""COMPUTED_VALUE"""),79.94)</f>
        <v>79.94</v>
      </c>
      <c r="E1631" s="17"/>
      <c r="M1631" s="17"/>
      <c r="P1631" s="17"/>
    </row>
    <row r="1632">
      <c r="B1632" s="11">
        <f>IFERROR(__xludf.DUMMYFUNCTION("""COMPUTED_VALUE"""),43658.66666666667)</f>
        <v>43658.66667</v>
      </c>
      <c r="C1632" s="9">
        <f>IFERROR(__xludf.DUMMYFUNCTION("""COMPUTED_VALUE"""),80.03)</f>
        <v>80.03</v>
      </c>
      <c r="E1632" s="17"/>
      <c r="M1632" s="17"/>
      <c r="P1632" s="17"/>
    </row>
    <row r="1633">
      <c r="B1633" s="11">
        <f>IFERROR(__xludf.DUMMYFUNCTION("""COMPUTED_VALUE"""),43657.66666666667)</f>
        <v>43657.66667</v>
      </c>
      <c r="C1633" s="9">
        <f>IFERROR(__xludf.DUMMYFUNCTION("""COMPUTED_VALUE"""),81.02)</f>
        <v>81.02</v>
      </c>
      <c r="E1633" s="17"/>
      <c r="M1633" s="17"/>
      <c r="P1633" s="17"/>
    </row>
    <row r="1634">
      <c r="B1634" s="11">
        <f>IFERROR(__xludf.DUMMYFUNCTION("""COMPUTED_VALUE"""),43656.66666666667)</f>
        <v>43656.66667</v>
      </c>
      <c r="C1634" s="9">
        <f>IFERROR(__xludf.DUMMYFUNCTION("""COMPUTED_VALUE"""),83.02)</f>
        <v>83.02</v>
      </c>
      <c r="E1634" s="17"/>
      <c r="M1634" s="17"/>
      <c r="P1634" s="17"/>
    </row>
    <row r="1635">
      <c r="B1635" s="11">
        <f>IFERROR(__xludf.DUMMYFUNCTION("""COMPUTED_VALUE"""),43655.66666666667)</f>
        <v>43655.66667</v>
      </c>
      <c r="C1635" s="9">
        <f>IFERROR(__xludf.DUMMYFUNCTION("""COMPUTED_VALUE"""),82.62)</f>
        <v>82.62</v>
      </c>
      <c r="E1635" s="17"/>
      <c r="M1635" s="17"/>
      <c r="P1635" s="17"/>
    </row>
    <row r="1636">
      <c r="B1636" s="11">
        <f>IFERROR(__xludf.DUMMYFUNCTION("""COMPUTED_VALUE"""),43654.66666666667)</f>
        <v>43654.66667</v>
      </c>
      <c r="C1636" s="9">
        <f>IFERROR(__xludf.DUMMYFUNCTION("""COMPUTED_VALUE"""),82.31)</f>
        <v>82.31</v>
      </c>
      <c r="E1636" s="17"/>
      <c r="M1636" s="17"/>
      <c r="P1636" s="17"/>
    </row>
    <row r="1637">
      <c r="B1637" s="11">
        <f>IFERROR(__xludf.DUMMYFUNCTION("""COMPUTED_VALUE"""),43651.66666666667)</f>
        <v>43651.66667</v>
      </c>
      <c r="C1637" s="9">
        <f>IFERROR(__xludf.DUMMYFUNCTION("""COMPUTED_VALUE"""),82.43)</f>
        <v>82.43</v>
      </c>
      <c r="E1637" s="17"/>
      <c r="M1637" s="17"/>
      <c r="P1637" s="17"/>
    </row>
    <row r="1638">
      <c r="B1638" s="11">
        <f>IFERROR(__xludf.DUMMYFUNCTION("""COMPUTED_VALUE"""),43649.54166666667)</f>
        <v>43649.54167</v>
      </c>
      <c r="C1638" s="9">
        <f>IFERROR(__xludf.DUMMYFUNCTION("""COMPUTED_VALUE"""),82.6)</f>
        <v>82.6</v>
      </c>
      <c r="E1638" s="17"/>
      <c r="M1638" s="17"/>
      <c r="P1638" s="17"/>
    </row>
    <row r="1639">
      <c r="B1639" s="11">
        <f>IFERROR(__xludf.DUMMYFUNCTION("""COMPUTED_VALUE"""),43648.66666666667)</f>
        <v>43648.66667</v>
      </c>
      <c r="C1639" s="9">
        <f>IFERROR(__xludf.DUMMYFUNCTION("""COMPUTED_VALUE"""),81.59)</f>
        <v>81.59</v>
      </c>
      <c r="E1639" s="17"/>
      <c r="M1639" s="17"/>
      <c r="P1639" s="17"/>
    </row>
    <row r="1640">
      <c r="B1640" s="11">
        <f>IFERROR(__xludf.DUMMYFUNCTION("""COMPUTED_VALUE"""),43647.66666666667)</f>
        <v>43647.66667</v>
      </c>
      <c r="C1640" s="9">
        <f>IFERROR(__xludf.DUMMYFUNCTION("""COMPUTED_VALUE"""),79.92)</f>
        <v>79.92</v>
      </c>
      <c r="E1640" s="17"/>
      <c r="M1640" s="17"/>
      <c r="P1640" s="17"/>
    </row>
    <row r="1641">
      <c r="B1641" s="11">
        <f>IFERROR(__xludf.DUMMYFUNCTION("""COMPUTED_VALUE"""),43644.66666666667)</f>
        <v>43644.66667</v>
      </c>
      <c r="C1641" s="9">
        <f>IFERROR(__xludf.DUMMYFUNCTION("""COMPUTED_VALUE"""),80.1)</f>
        <v>80.1</v>
      </c>
      <c r="E1641" s="17"/>
      <c r="M1641" s="17"/>
      <c r="P1641" s="17"/>
    </row>
    <row r="1642">
      <c r="B1642" s="11">
        <f>IFERROR(__xludf.DUMMYFUNCTION("""COMPUTED_VALUE"""),43643.66666666667)</f>
        <v>43643.66667</v>
      </c>
      <c r="C1642" s="9">
        <f>IFERROR(__xludf.DUMMYFUNCTION("""COMPUTED_VALUE"""),79.36)</f>
        <v>79.36</v>
      </c>
      <c r="E1642" s="17"/>
      <c r="M1642" s="17"/>
      <c r="P1642" s="17"/>
    </row>
    <row r="1643">
      <c r="B1643" s="11">
        <f>IFERROR(__xludf.DUMMYFUNCTION("""COMPUTED_VALUE"""),43642.66666666667)</f>
        <v>43642.66667</v>
      </c>
      <c r="C1643" s="9">
        <f>IFERROR(__xludf.DUMMYFUNCTION("""COMPUTED_VALUE"""),78.14)</f>
        <v>78.14</v>
      </c>
      <c r="E1643" s="17"/>
      <c r="M1643" s="17"/>
      <c r="P1643" s="17"/>
    </row>
    <row r="1644">
      <c r="B1644" s="11">
        <f>IFERROR(__xludf.DUMMYFUNCTION("""COMPUTED_VALUE"""),43641.66666666667)</f>
        <v>43641.66667</v>
      </c>
      <c r="C1644" s="9">
        <f>IFERROR(__xludf.DUMMYFUNCTION("""COMPUTED_VALUE"""),79.78)</f>
        <v>79.78</v>
      </c>
      <c r="E1644" s="17"/>
      <c r="M1644" s="17"/>
      <c r="P1644" s="17"/>
    </row>
    <row r="1645">
      <c r="B1645" s="11">
        <f>IFERROR(__xludf.DUMMYFUNCTION("""COMPUTED_VALUE"""),43640.66666666667)</f>
        <v>43640.66667</v>
      </c>
      <c r="C1645" s="9">
        <f>IFERROR(__xludf.DUMMYFUNCTION("""COMPUTED_VALUE"""),80.6)</f>
        <v>80.6</v>
      </c>
      <c r="E1645" s="17"/>
      <c r="M1645" s="17"/>
      <c r="P1645" s="17"/>
    </row>
    <row r="1646">
      <c r="B1646" s="11">
        <f>IFERROR(__xludf.DUMMYFUNCTION("""COMPUTED_VALUE"""),43637.66666666667)</f>
        <v>43637.66667</v>
      </c>
      <c r="C1646" s="9">
        <f>IFERROR(__xludf.DUMMYFUNCTION("""COMPUTED_VALUE"""),81.33)</f>
        <v>81.33</v>
      </c>
      <c r="E1646" s="17"/>
      <c r="M1646" s="17"/>
      <c r="P1646" s="17"/>
    </row>
    <row r="1647">
      <c r="B1647" s="11">
        <f>IFERROR(__xludf.DUMMYFUNCTION("""COMPUTED_VALUE"""),43636.66666666667)</f>
        <v>43636.66667</v>
      </c>
      <c r="C1647" s="9">
        <f>IFERROR(__xludf.DUMMYFUNCTION("""COMPUTED_VALUE"""),82.48)</f>
        <v>82.48</v>
      </c>
      <c r="E1647" s="17"/>
      <c r="M1647" s="17"/>
      <c r="P1647" s="17"/>
    </row>
    <row r="1648">
      <c r="B1648" s="11">
        <f>IFERROR(__xludf.DUMMYFUNCTION("""COMPUTED_VALUE"""),43635.66666666667)</f>
        <v>43635.66667</v>
      </c>
      <c r="C1648" s="9">
        <f>IFERROR(__xludf.DUMMYFUNCTION("""COMPUTED_VALUE"""),81.53)</f>
        <v>81.53</v>
      </c>
      <c r="E1648" s="17"/>
      <c r="M1648" s="17"/>
      <c r="P1648" s="17"/>
    </row>
    <row r="1649">
      <c r="B1649" s="11">
        <f>IFERROR(__xludf.DUMMYFUNCTION("""COMPUTED_VALUE"""),43634.66666666667)</f>
        <v>43634.66667</v>
      </c>
      <c r="C1649" s="9">
        <f>IFERROR(__xludf.DUMMYFUNCTION("""COMPUTED_VALUE"""),80.48)</f>
        <v>80.48</v>
      </c>
      <c r="E1649" s="17"/>
      <c r="M1649" s="17"/>
      <c r="P1649" s="17"/>
    </row>
    <row r="1650">
      <c r="B1650" s="11">
        <f>IFERROR(__xludf.DUMMYFUNCTION("""COMPUTED_VALUE"""),43633.66666666667)</f>
        <v>43633.66667</v>
      </c>
      <c r="C1650" s="9">
        <f>IFERROR(__xludf.DUMMYFUNCTION("""COMPUTED_VALUE"""),80.92)</f>
        <v>80.92</v>
      </c>
      <c r="E1650" s="17"/>
      <c r="M1650" s="17"/>
      <c r="P1650" s="17"/>
    </row>
    <row r="1651">
      <c r="B1651" s="11">
        <f>IFERROR(__xludf.DUMMYFUNCTION("""COMPUTED_VALUE"""),43630.66666666667)</f>
        <v>43630.66667</v>
      </c>
      <c r="C1651" s="9">
        <f>IFERROR(__xludf.DUMMYFUNCTION("""COMPUTED_VALUE"""),79.96)</f>
        <v>79.96</v>
      </c>
      <c r="E1651" s="17"/>
      <c r="M1651" s="17"/>
      <c r="P1651" s="17"/>
    </row>
    <row r="1652">
      <c r="B1652" s="11">
        <f>IFERROR(__xludf.DUMMYFUNCTION("""COMPUTED_VALUE"""),43629.66666666667)</f>
        <v>43629.66667</v>
      </c>
      <c r="C1652" s="9">
        <f>IFERROR(__xludf.DUMMYFUNCTION("""COMPUTED_VALUE"""),79.93)</f>
        <v>79.93</v>
      </c>
      <c r="E1652" s="17"/>
      <c r="M1652" s="17"/>
      <c r="P1652" s="17"/>
    </row>
    <row r="1653">
      <c r="B1653" s="11">
        <f>IFERROR(__xludf.DUMMYFUNCTION("""COMPUTED_VALUE"""),43628.66666666667)</f>
        <v>43628.66667</v>
      </c>
      <c r="C1653" s="9">
        <f>IFERROR(__xludf.DUMMYFUNCTION("""COMPUTED_VALUE"""),78.81)</f>
        <v>78.81</v>
      </c>
      <c r="E1653" s="17"/>
      <c r="M1653" s="17"/>
      <c r="P1653" s="17"/>
    </row>
    <row r="1654">
      <c r="B1654" s="11">
        <f>IFERROR(__xludf.DUMMYFUNCTION("""COMPUTED_VALUE"""),43627.66666666667)</f>
        <v>43627.66667</v>
      </c>
      <c r="C1654" s="9">
        <f>IFERROR(__xludf.DUMMYFUNCTION("""COMPUTED_VALUE"""),78.83)</f>
        <v>78.83</v>
      </c>
      <c r="E1654" s="17"/>
      <c r="M1654" s="17"/>
      <c r="P1654" s="17"/>
    </row>
    <row r="1655">
      <c r="B1655" s="11">
        <f>IFERROR(__xludf.DUMMYFUNCTION("""COMPUTED_VALUE"""),43626.66666666667)</f>
        <v>43626.66667</v>
      </c>
      <c r="C1655" s="9">
        <f>IFERROR(__xludf.DUMMYFUNCTION("""COMPUTED_VALUE"""),78.41)</f>
        <v>78.41</v>
      </c>
      <c r="E1655" s="17"/>
      <c r="M1655" s="17"/>
      <c r="P1655" s="17"/>
    </row>
    <row r="1656">
      <c r="B1656" s="11">
        <f>IFERROR(__xludf.DUMMYFUNCTION("""COMPUTED_VALUE"""),43623.66666666667)</f>
        <v>43623.66667</v>
      </c>
      <c r="C1656" s="9">
        <f>IFERROR(__xludf.DUMMYFUNCTION("""COMPUTED_VALUE"""),78.19)</f>
        <v>78.19</v>
      </c>
      <c r="E1656" s="17"/>
      <c r="M1656" s="17"/>
      <c r="P1656" s="17"/>
    </row>
    <row r="1657">
      <c r="B1657" s="11">
        <f>IFERROR(__xludf.DUMMYFUNCTION("""COMPUTED_VALUE"""),43622.66666666667)</f>
        <v>43622.66667</v>
      </c>
      <c r="C1657" s="9">
        <f>IFERROR(__xludf.DUMMYFUNCTION("""COMPUTED_VALUE"""),78.14)</f>
        <v>78.14</v>
      </c>
      <c r="E1657" s="17"/>
      <c r="M1657" s="17"/>
      <c r="P1657" s="17"/>
    </row>
    <row r="1658">
      <c r="B1658" s="11">
        <f>IFERROR(__xludf.DUMMYFUNCTION("""COMPUTED_VALUE"""),43621.66666666667)</f>
        <v>43621.66667</v>
      </c>
      <c r="C1658" s="9">
        <f>IFERROR(__xludf.DUMMYFUNCTION("""COMPUTED_VALUE"""),77.47)</f>
        <v>77.47</v>
      </c>
      <c r="E1658" s="17"/>
      <c r="M1658" s="17"/>
      <c r="P1658" s="17"/>
    </row>
    <row r="1659">
      <c r="B1659" s="11">
        <f>IFERROR(__xludf.DUMMYFUNCTION("""COMPUTED_VALUE"""),43620.66666666667)</f>
        <v>43620.66667</v>
      </c>
      <c r="C1659" s="9">
        <f>IFERROR(__xludf.DUMMYFUNCTION("""COMPUTED_VALUE"""),75.0)</f>
        <v>75</v>
      </c>
      <c r="E1659" s="17"/>
      <c r="M1659" s="17"/>
      <c r="P1659" s="17"/>
    </row>
    <row r="1660">
      <c r="B1660" s="11">
        <f>IFERROR(__xludf.DUMMYFUNCTION("""COMPUTED_VALUE"""),43619.66666666667)</f>
        <v>43619.66667</v>
      </c>
      <c r="C1660" s="9">
        <f>IFERROR(__xludf.DUMMYFUNCTION("""COMPUTED_VALUE"""),75.1)</f>
        <v>75.1</v>
      </c>
      <c r="E1660" s="17"/>
      <c r="M1660" s="17"/>
      <c r="P1660" s="17"/>
    </row>
    <row r="1661">
      <c r="B1661" s="11">
        <f>IFERROR(__xludf.DUMMYFUNCTION("""COMPUTED_VALUE"""),43616.66666666667)</f>
        <v>43616.66667</v>
      </c>
      <c r="C1661" s="9">
        <f>IFERROR(__xludf.DUMMYFUNCTION("""COMPUTED_VALUE"""),73.67)</f>
        <v>73.67</v>
      </c>
      <c r="E1661" s="17"/>
      <c r="M1661" s="17"/>
      <c r="P1661" s="17"/>
    </row>
    <row r="1662">
      <c r="B1662" s="11">
        <f>IFERROR(__xludf.DUMMYFUNCTION("""COMPUTED_VALUE"""),43615.66666666667)</f>
        <v>43615.66667</v>
      </c>
      <c r="C1662" s="9">
        <f>IFERROR(__xludf.DUMMYFUNCTION("""COMPUTED_VALUE"""),73.32)</f>
        <v>73.32</v>
      </c>
      <c r="E1662" s="17"/>
      <c r="M1662" s="17"/>
      <c r="P1662" s="17"/>
    </row>
    <row r="1663">
      <c r="B1663" s="11">
        <f>IFERROR(__xludf.DUMMYFUNCTION("""COMPUTED_VALUE"""),43614.66666666667)</f>
        <v>43614.66667</v>
      </c>
      <c r="C1663" s="9">
        <f>IFERROR(__xludf.DUMMYFUNCTION("""COMPUTED_VALUE"""),73.15)</f>
        <v>73.15</v>
      </c>
      <c r="E1663" s="17"/>
      <c r="M1663" s="17"/>
      <c r="P1663" s="17"/>
    </row>
    <row r="1664">
      <c r="B1664" s="11">
        <f>IFERROR(__xludf.DUMMYFUNCTION("""COMPUTED_VALUE"""),43613.66666666667)</f>
        <v>43613.66667</v>
      </c>
      <c r="C1664" s="9">
        <f>IFERROR(__xludf.DUMMYFUNCTION("""COMPUTED_VALUE"""),74.37)</f>
        <v>74.37</v>
      </c>
      <c r="E1664" s="17"/>
      <c r="M1664" s="17"/>
      <c r="P1664" s="17"/>
    </row>
    <row r="1665">
      <c r="B1665" s="11">
        <f>IFERROR(__xludf.DUMMYFUNCTION("""COMPUTED_VALUE"""),43609.66666666667)</f>
        <v>43609.66667</v>
      </c>
      <c r="C1665" s="9">
        <f>IFERROR(__xludf.DUMMYFUNCTION("""COMPUTED_VALUE"""),75.41)</f>
        <v>75.41</v>
      </c>
      <c r="E1665" s="17"/>
      <c r="M1665" s="17"/>
      <c r="P1665" s="17"/>
    </row>
    <row r="1666">
      <c r="B1666" s="11">
        <f>IFERROR(__xludf.DUMMYFUNCTION("""COMPUTED_VALUE"""),43608.66666666667)</f>
        <v>43608.66667</v>
      </c>
      <c r="C1666" s="9">
        <f>IFERROR(__xludf.DUMMYFUNCTION("""COMPUTED_VALUE"""),76.43)</f>
        <v>76.43</v>
      </c>
      <c r="E1666" s="17"/>
      <c r="M1666" s="17"/>
      <c r="P1666" s="17"/>
    </row>
    <row r="1667">
      <c r="B1667" s="11">
        <f>IFERROR(__xludf.DUMMYFUNCTION("""COMPUTED_VALUE"""),43607.66666666667)</f>
        <v>43607.66667</v>
      </c>
      <c r="C1667" s="9">
        <f>IFERROR(__xludf.DUMMYFUNCTION("""COMPUTED_VALUE"""),76.55)</f>
        <v>76.55</v>
      </c>
      <c r="E1667" s="17"/>
      <c r="M1667" s="17"/>
      <c r="P1667" s="17"/>
    </row>
    <row r="1668">
      <c r="B1668" s="11">
        <f>IFERROR(__xludf.DUMMYFUNCTION("""COMPUTED_VALUE"""),43606.66666666667)</f>
        <v>43606.66667</v>
      </c>
      <c r="C1668" s="9">
        <f>IFERROR(__xludf.DUMMYFUNCTION("""COMPUTED_VALUE"""),76.83)</f>
        <v>76.83</v>
      </c>
      <c r="E1668" s="17"/>
      <c r="M1668" s="17"/>
      <c r="P1668" s="17"/>
    </row>
    <row r="1669">
      <c r="B1669" s="11">
        <f>IFERROR(__xludf.DUMMYFUNCTION("""COMPUTED_VALUE"""),43605.66666666667)</f>
        <v>43605.66667</v>
      </c>
      <c r="C1669" s="9">
        <f>IFERROR(__xludf.DUMMYFUNCTION("""COMPUTED_VALUE"""),75.59)</f>
        <v>75.59</v>
      </c>
      <c r="E1669" s="17"/>
      <c r="M1669" s="17"/>
      <c r="P1669" s="17"/>
    </row>
    <row r="1670">
      <c r="B1670" s="11">
        <f>IFERROR(__xludf.DUMMYFUNCTION("""COMPUTED_VALUE"""),43602.66666666667)</f>
        <v>43602.66667</v>
      </c>
      <c r="C1670" s="9">
        <f>IFERROR(__xludf.DUMMYFUNCTION("""COMPUTED_VALUE"""),76.61)</f>
        <v>76.61</v>
      </c>
      <c r="E1670" s="17"/>
      <c r="M1670" s="17"/>
      <c r="P1670" s="17"/>
    </row>
    <row r="1671">
      <c r="B1671" s="11">
        <f>IFERROR(__xludf.DUMMYFUNCTION("""COMPUTED_VALUE"""),43601.66666666667)</f>
        <v>43601.66667</v>
      </c>
      <c r="C1671" s="9">
        <f>IFERROR(__xludf.DUMMYFUNCTION("""COMPUTED_VALUE"""),76.87)</f>
        <v>76.87</v>
      </c>
      <c r="E1671" s="17"/>
      <c r="M1671" s="17"/>
      <c r="P1671" s="17"/>
    </row>
    <row r="1672">
      <c r="B1672" s="11">
        <f>IFERROR(__xludf.DUMMYFUNCTION("""COMPUTED_VALUE"""),43600.66666666667)</f>
        <v>43600.66667</v>
      </c>
      <c r="C1672" s="9">
        <f>IFERROR(__xludf.DUMMYFUNCTION("""COMPUTED_VALUE"""),76.01)</f>
        <v>76.01</v>
      </c>
      <c r="E1672" s="17"/>
      <c r="M1672" s="17"/>
      <c r="P1672" s="17"/>
    </row>
    <row r="1673">
      <c r="B1673" s="11">
        <f>IFERROR(__xludf.DUMMYFUNCTION("""COMPUTED_VALUE"""),43599.66666666667)</f>
        <v>43599.66667</v>
      </c>
      <c r="C1673" s="9">
        <f>IFERROR(__xludf.DUMMYFUNCTION("""COMPUTED_VALUE"""),75.3)</f>
        <v>75.3</v>
      </c>
      <c r="E1673" s="17"/>
      <c r="M1673" s="17"/>
      <c r="P1673" s="17"/>
    </row>
    <row r="1674">
      <c r="B1674" s="11">
        <f>IFERROR(__xludf.DUMMYFUNCTION("""COMPUTED_VALUE"""),43598.66666666667)</f>
        <v>43598.66667</v>
      </c>
      <c r="C1674" s="9">
        <f>IFERROR(__xludf.DUMMYFUNCTION("""COMPUTED_VALUE"""),75.06)</f>
        <v>75.06</v>
      </c>
      <c r="E1674" s="17"/>
      <c r="M1674" s="17"/>
      <c r="P1674" s="17"/>
    </row>
    <row r="1675">
      <c r="B1675" s="11">
        <f>IFERROR(__xludf.DUMMYFUNCTION("""COMPUTED_VALUE"""),43595.66666666667)</f>
        <v>43595.66667</v>
      </c>
      <c r="C1675" s="9">
        <f>IFERROR(__xludf.DUMMYFUNCTION("""COMPUTED_VALUE"""),75.56)</f>
        <v>75.56</v>
      </c>
      <c r="E1675" s="17"/>
      <c r="M1675" s="17"/>
      <c r="P1675" s="17"/>
    </row>
    <row r="1676">
      <c r="B1676" s="11">
        <f>IFERROR(__xludf.DUMMYFUNCTION("""COMPUTED_VALUE"""),43594.66666666667)</f>
        <v>43594.66667</v>
      </c>
      <c r="C1676" s="9">
        <f>IFERROR(__xludf.DUMMYFUNCTION("""COMPUTED_VALUE"""),74.64)</f>
        <v>74.64</v>
      </c>
      <c r="E1676" s="17"/>
      <c r="M1676" s="17"/>
      <c r="P1676" s="17"/>
    </row>
    <row r="1677">
      <c r="B1677" s="11">
        <f>IFERROR(__xludf.DUMMYFUNCTION("""COMPUTED_VALUE"""),43593.66666666667)</f>
        <v>43593.66667</v>
      </c>
      <c r="C1677" s="9">
        <f>IFERROR(__xludf.DUMMYFUNCTION("""COMPUTED_VALUE"""),74.39)</f>
        <v>74.39</v>
      </c>
      <c r="E1677" s="17"/>
      <c r="M1677" s="17"/>
      <c r="P1677" s="17"/>
    </row>
    <row r="1678">
      <c r="B1678" s="11">
        <f>IFERROR(__xludf.DUMMYFUNCTION("""COMPUTED_VALUE"""),43592.66666666667)</f>
        <v>43592.66667</v>
      </c>
      <c r="C1678" s="9">
        <f>IFERROR(__xludf.DUMMYFUNCTION("""COMPUTED_VALUE"""),74.32)</f>
        <v>74.32</v>
      </c>
      <c r="E1678" s="17"/>
      <c r="M1678" s="17"/>
      <c r="P1678" s="17"/>
    </row>
    <row r="1679">
      <c r="B1679" s="11">
        <f>IFERROR(__xludf.DUMMYFUNCTION("""COMPUTED_VALUE"""),43591.66666666667)</f>
        <v>43591.66667</v>
      </c>
      <c r="C1679" s="9">
        <f>IFERROR(__xludf.DUMMYFUNCTION("""COMPUTED_VALUE"""),76.24)</f>
        <v>76.24</v>
      </c>
      <c r="E1679" s="17"/>
      <c r="M1679" s="17"/>
      <c r="P1679" s="17"/>
    </row>
    <row r="1680">
      <c r="B1680" s="11">
        <f>IFERROR(__xludf.DUMMYFUNCTION("""COMPUTED_VALUE"""),43588.66666666667)</f>
        <v>43588.66667</v>
      </c>
      <c r="C1680" s="9">
        <f>IFERROR(__xludf.DUMMYFUNCTION("""COMPUTED_VALUE"""),76.77)</f>
        <v>76.77</v>
      </c>
      <c r="E1680" s="17"/>
      <c r="M1680" s="17"/>
      <c r="P1680" s="17"/>
    </row>
    <row r="1681">
      <c r="B1681" s="11">
        <f>IFERROR(__xludf.DUMMYFUNCTION("""COMPUTED_VALUE"""),43587.66666666667)</f>
        <v>43587.66667</v>
      </c>
      <c r="C1681" s="9">
        <f>IFERROR(__xludf.DUMMYFUNCTION("""COMPUTED_VALUE"""),76.33)</f>
        <v>76.33</v>
      </c>
      <c r="E1681" s="17"/>
      <c r="M1681" s="17"/>
      <c r="P1681" s="17"/>
    </row>
    <row r="1682">
      <c r="B1682" s="11">
        <f>IFERROR(__xludf.DUMMYFUNCTION("""COMPUTED_VALUE"""),43586.66666666667)</f>
        <v>43586.66667</v>
      </c>
      <c r="C1682" s="9">
        <f>IFERROR(__xludf.DUMMYFUNCTION("""COMPUTED_VALUE"""),77.6)</f>
        <v>77.6</v>
      </c>
      <c r="E1682" s="17"/>
      <c r="M1682" s="17"/>
      <c r="P1682" s="17"/>
    </row>
    <row r="1683">
      <c r="B1683" s="11">
        <f>IFERROR(__xludf.DUMMYFUNCTION("""COMPUTED_VALUE"""),43585.66666666667)</f>
        <v>43585.66667</v>
      </c>
      <c r="C1683" s="9">
        <f>IFERROR(__xludf.DUMMYFUNCTION("""COMPUTED_VALUE"""),76.67)</f>
        <v>76.67</v>
      </c>
      <c r="E1683" s="17"/>
      <c r="M1683" s="17"/>
      <c r="P1683" s="17"/>
    </row>
    <row r="1684">
      <c r="B1684" s="11">
        <f>IFERROR(__xludf.DUMMYFUNCTION("""COMPUTED_VALUE"""),43584.66666666667)</f>
        <v>43584.66667</v>
      </c>
      <c r="C1684" s="9">
        <f>IFERROR(__xludf.DUMMYFUNCTION("""COMPUTED_VALUE"""),75.38)</f>
        <v>75.38</v>
      </c>
      <c r="E1684" s="17"/>
      <c r="M1684" s="17"/>
      <c r="P1684" s="17"/>
    </row>
    <row r="1685">
      <c r="B1685" s="11">
        <f>IFERROR(__xludf.DUMMYFUNCTION("""COMPUTED_VALUE"""),43581.66666666667)</f>
        <v>43581.66667</v>
      </c>
      <c r="C1685" s="9">
        <f>IFERROR(__xludf.DUMMYFUNCTION("""COMPUTED_VALUE"""),76.1)</f>
        <v>76.1</v>
      </c>
      <c r="E1685" s="17"/>
      <c r="M1685" s="17"/>
      <c r="P1685" s="17"/>
    </row>
    <row r="1686">
      <c r="B1686" s="11">
        <f>IFERROR(__xludf.DUMMYFUNCTION("""COMPUTED_VALUE"""),43580.66666666667)</f>
        <v>43580.66667</v>
      </c>
      <c r="C1686" s="9">
        <f>IFERROR(__xludf.DUMMYFUNCTION("""COMPUTED_VALUE"""),75.46)</f>
        <v>75.46</v>
      </c>
      <c r="E1686" s="17"/>
      <c r="M1686" s="17"/>
      <c r="P1686" s="17"/>
    </row>
    <row r="1687">
      <c r="B1687" s="11">
        <f>IFERROR(__xludf.DUMMYFUNCTION("""COMPUTED_VALUE"""),43579.66666666667)</f>
        <v>43579.66667</v>
      </c>
      <c r="C1687" s="9">
        <f>IFERROR(__xludf.DUMMYFUNCTION("""COMPUTED_VALUE"""),75.31)</f>
        <v>75.31</v>
      </c>
      <c r="E1687" s="17"/>
      <c r="M1687" s="17"/>
      <c r="P1687" s="17"/>
    </row>
    <row r="1688">
      <c r="B1688" s="11">
        <f>IFERROR(__xludf.DUMMYFUNCTION("""COMPUTED_VALUE"""),43578.66666666667)</f>
        <v>43578.66667</v>
      </c>
      <c r="C1688" s="9">
        <f>IFERROR(__xludf.DUMMYFUNCTION("""COMPUTED_VALUE"""),74.2)</f>
        <v>74.2</v>
      </c>
      <c r="E1688" s="17"/>
      <c r="M1688" s="17"/>
      <c r="P1688" s="17"/>
    </row>
    <row r="1689">
      <c r="B1689" s="11">
        <f>IFERROR(__xludf.DUMMYFUNCTION("""COMPUTED_VALUE"""),43577.66666666667)</f>
        <v>43577.66667</v>
      </c>
      <c r="C1689" s="9">
        <f>IFERROR(__xludf.DUMMYFUNCTION("""COMPUTED_VALUE"""),72.93)</f>
        <v>72.93</v>
      </c>
      <c r="E1689" s="17"/>
      <c r="M1689" s="17"/>
      <c r="P1689" s="17"/>
    </row>
    <row r="1690">
      <c r="B1690" s="11">
        <f>IFERROR(__xludf.DUMMYFUNCTION("""COMPUTED_VALUE"""),43573.66666666667)</f>
        <v>43573.66667</v>
      </c>
      <c r="C1690" s="9">
        <f>IFERROR(__xludf.DUMMYFUNCTION("""COMPUTED_VALUE"""),73.57)</f>
        <v>73.57</v>
      </c>
      <c r="E1690" s="17"/>
      <c r="M1690" s="17"/>
      <c r="P1690" s="17"/>
    </row>
    <row r="1691">
      <c r="B1691" s="11">
        <f>IFERROR(__xludf.DUMMYFUNCTION("""COMPUTED_VALUE"""),43572.66666666667)</f>
        <v>43572.66667</v>
      </c>
      <c r="C1691" s="9">
        <f>IFERROR(__xludf.DUMMYFUNCTION("""COMPUTED_VALUE"""),72.26)</f>
        <v>72.26</v>
      </c>
      <c r="E1691" s="17"/>
      <c r="M1691" s="17"/>
      <c r="P1691" s="17"/>
    </row>
    <row r="1692">
      <c r="B1692" s="11">
        <f>IFERROR(__xludf.DUMMYFUNCTION("""COMPUTED_VALUE"""),43571.66666666667)</f>
        <v>43571.66667</v>
      </c>
      <c r="C1692" s="9">
        <f>IFERROR(__xludf.DUMMYFUNCTION("""COMPUTED_VALUE"""),72.77)</f>
        <v>72.77</v>
      </c>
      <c r="E1692" s="17"/>
      <c r="M1692" s="17"/>
      <c r="P1692" s="17"/>
    </row>
    <row r="1693">
      <c r="B1693" s="11">
        <f>IFERROR(__xludf.DUMMYFUNCTION("""COMPUTED_VALUE"""),43570.66666666667)</f>
        <v>43570.66667</v>
      </c>
      <c r="C1693" s="9">
        <f>IFERROR(__xludf.DUMMYFUNCTION("""COMPUTED_VALUE"""),73.73)</f>
        <v>73.73</v>
      </c>
      <c r="E1693" s="17"/>
      <c r="M1693" s="17"/>
      <c r="P1693" s="17"/>
    </row>
    <row r="1694">
      <c r="B1694" s="11">
        <f>IFERROR(__xludf.DUMMYFUNCTION("""COMPUTED_VALUE"""),43567.66666666667)</f>
        <v>43567.66667</v>
      </c>
      <c r="C1694" s="9">
        <f>IFERROR(__xludf.DUMMYFUNCTION("""COMPUTED_VALUE"""),74.43)</f>
        <v>74.43</v>
      </c>
      <c r="E1694" s="17"/>
      <c r="M1694" s="17"/>
      <c r="P1694" s="17"/>
    </row>
    <row r="1695">
      <c r="B1695" s="11">
        <f>IFERROR(__xludf.DUMMYFUNCTION("""COMPUTED_VALUE"""),43566.66666666667)</f>
        <v>43566.66667</v>
      </c>
      <c r="C1695" s="9">
        <f>IFERROR(__xludf.DUMMYFUNCTION("""COMPUTED_VALUE"""),73.56)</f>
        <v>73.56</v>
      </c>
      <c r="E1695" s="17"/>
      <c r="M1695" s="17"/>
      <c r="P1695" s="17"/>
    </row>
    <row r="1696">
      <c r="B1696" s="11">
        <f>IFERROR(__xludf.DUMMYFUNCTION("""COMPUTED_VALUE"""),43565.66666666667)</f>
        <v>43565.66667</v>
      </c>
      <c r="C1696" s="9">
        <f>IFERROR(__xludf.DUMMYFUNCTION("""COMPUTED_VALUE"""),73.56)</f>
        <v>73.56</v>
      </c>
      <c r="E1696" s="17"/>
      <c r="M1696" s="17"/>
      <c r="P1696" s="17"/>
    </row>
    <row r="1697">
      <c r="B1697" s="11">
        <f>IFERROR(__xludf.DUMMYFUNCTION("""COMPUTED_VALUE"""),43564.66666666667)</f>
        <v>43564.66667</v>
      </c>
      <c r="C1697" s="9">
        <f>IFERROR(__xludf.DUMMYFUNCTION("""COMPUTED_VALUE"""),72.38)</f>
        <v>72.38</v>
      </c>
      <c r="E1697" s="17"/>
      <c r="M1697" s="17"/>
      <c r="P1697" s="17"/>
    </row>
    <row r="1698">
      <c r="B1698" s="11">
        <f>IFERROR(__xludf.DUMMYFUNCTION("""COMPUTED_VALUE"""),43563.66666666667)</f>
        <v>43563.66667</v>
      </c>
      <c r="C1698" s="9">
        <f>IFERROR(__xludf.DUMMYFUNCTION("""COMPUTED_VALUE"""),72.89)</f>
        <v>72.89</v>
      </c>
      <c r="E1698" s="17"/>
      <c r="M1698" s="17"/>
      <c r="P1698" s="17"/>
    </row>
    <row r="1699">
      <c r="B1699" s="11">
        <f>IFERROR(__xludf.DUMMYFUNCTION("""COMPUTED_VALUE"""),43560.66666666667)</f>
        <v>43560.66667</v>
      </c>
      <c r="C1699" s="9">
        <f>IFERROR(__xludf.DUMMYFUNCTION("""COMPUTED_VALUE"""),73.06)</f>
        <v>73.06</v>
      </c>
      <c r="E1699" s="17"/>
      <c r="M1699" s="17"/>
      <c r="P1699" s="17"/>
    </row>
    <row r="1700">
      <c r="B1700" s="11">
        <f>IFERROR(__xludf.DUMMYFUNCTION("""COMPUTED_VALUE"""),43559.66666666667)</f>
        <v>43559.66667</v>
      </c>
      <c r="C1700" s="9">
        <f>IFERROR(__xludf.DUMMYFUNCTION("""COMPUTED_VALUE"""),72.85)</f>
        <v>72.85</v>
      </c>
      <c r="E1700" s="17"/>
      <c r="M1700" s="17"/>
      <c r="P1700" s="17"/>
    </row>
    <row r="1701">
      <c r="B1701" s="11">
        <f>IFERROR(__xludf.DUMMYFUNCTION("""COMPUTED_VALUE"""),43558.66666666667)</f>
        <v>43558.66667</v>
      </c>
      <c r="C1701" s="9">
        <f>IFERROR(__xludf.DUMMYFUNCTION("""COMPUTED_VALUE"""),73.15)</f>
        <v>73.15</v>
      </c>
      <c r="E1701" s="17"/>
      <c r="M1701" s="17"/>
      <c r="P1701" s="17"/>
    </row>
    <row r="1702">
      <c r="B1702" s="11">
        <f>IFERROR(__xludf.DUMMYFUNCTION("""COMPUTED_VALUE"""),43557.66666666667)</f>
        <v>43557.66667</v>
      </c>
      <c r="C1702" s="9">
        <f>IFERROR(__xludf.DUMMYFUNCTION("""COMPUTED_VALUE"""),73.14)</f>
        <v>73.14</v>
      </c>
      <c r="E1702" s="17"/>
      <c r="M1702" s="17"/>
      <c r="P1702" s="17"/>
    </row>
    <row r="1703">
      <c r="B1703" s="11">
        <f>IFERROR(__xludf.DUMMYFUNCTION("""COMPUTED_VALUE"""),43556.66666666667)</f>
        <v>43556.66667</v>
      </c>
      <c r="C1703" s="9">
        <f>IFERROR(__xludf.DUMMYFUNCTION("""COMPUTED_VALUE"""),72.21)</f>
        <v>72.21</v>
      </c>
      <c r="E1703" s="17"/>
      <c r="M1703" s="17"/>
      <c r="P1703" s="17"/>
    </row>
    <row r="1704">
      <c r="B1704" s="11">
        <f>IFERROR(__xludf.DUMMYFUNCTION("""COMPUTED_VALUE"""),43553.66666666667)</f>
        <v>43553.66667</v>
      </c>
      <c r="C1704" s="9">
        <f>IFERROR(__xludf.DUMMYFUNCTION("""COMPUTED_VALUE"""),71.95)</f>
        <v>71.95</v>
      </c>
      <c r="E1704" s="17"/>
      <c r="M1704" s="17"/>
      <c r="P1704" s="17"/>
    </row>
    <row r="1705">
      <c r="B1705" s="11">
        <f>IFERROR(__xludf.DUMMYFUNCTION("""COMPUTED_VALUE"""),43552.66666666667)</f>
        <v>43552.66667</v>
      </c>
      <c r="C1705" s="9">
        <f>IFERROR(__xludf.DUMMYFUNCTION("""COMPUTED_VALUE"""),72.12)</f>
        <v>72.12</v>
      </c>
      <c r="E1705" s="17"/>
      <c r="M1705" s="17"/>
      <c r="P1705" s="17"/>
    </row>
    <row r="1706">
      <c r="B1706" s="11">
        <f>IFERROR(__xludf.DUMMYFUNCTION("""COMPUTED_VALUE"""),43551.66666666667)</f>
        <v>43551.66667</v>
      </c>
      <c r="C1706" s="9">
        <f>IFERROR(__xludf.DUMMYFUNCTION("""COMPUTED_VALUE"""),71.59)</f>
        <v>71.59</v>
      </c>
      <c r="E1706" s="17"/>
      <c r="M1706" s="17"/>
      <c r="P1706" s="17"/>
    </row>
    <row r="1707">
      <c r="B1707" s="11">
        <f>IFERROR(__xludf.DUMMYFUNCTION("""COMPUTED_VALUE"""),43550.66666666667)</f>
        <v>43550.66667</v>
      </c>
      <c r="C1707" s="9">
        <f>IFERROR(__xludf.DUMMYFUNCTION("""COMPUTED_VALUE"""),72.16)</f>
        <v>72.16</v>
      </c>
      <c r="E1707" s="17"/>
      <c r="M1707" s="17"/>
      <c r="P1707" s="17"/>
    </row>
    <row r="1708">
      <c r="B1708" s="11">
        <f>IFERROR(__xludf.DUMMYFUNCTION("""COMPUTED_VALUE"""),43549.66666666667)</f>
        <v>43549.66667</v>
      </c>
      <c r="C1708" s="9">
        <f>IFERROR(__xludf.DUMMYFUNCTION("""COMPUTED_VALUE"""),70.95)</f>
        <v>70.95</v>
      </c>
      <c r="E1708" s="17"/>
      <c r="M1708" s="17"/>
      <c r="P1708" s="17"/>
    </row>
    <row r="1709">
      <c r="B1709" s="11">
        <f>IFERROR(__xludf.DUMMYFUNCTION("""COMPUTED_VALUE"""),43546.66666666667)</f>
        <v>43546.66667</v>
      </c>
      <c r="C1709" s="9">
        <f>IFERROR(__xludf.DUMMYFUNCTION("""COMPUTED_VALUE"""),71.07)</f>
        <v>71.07</v>
      </c>
      <c r="E1709" s="17"/>
      <c r="M1709" s="17"/>
      <c r="P1709" s="17"/>
    </row>
    <row r="1710">
      <c r="B1710" s="11">
        <f>IFERROR(__xludf.DUMMYFUNCTION("""COMPUTED_VALUE"""),43545.66666666667)</f>
        <v>43545.66667</v>
      </c>
      <c r="C1710" s="9">
        <f>IFERROR(__xludf.DUMMYFUNCTION("""COMPUTED_VALUE"""),72.06)</f>
        <v>72.06</v>
      </c>
      <c r="E1710" s="17"/>
      <c r="M1710" s="17"/>
      <c r="P1710" s="17"/>
    </row>
    <row r="1711">
      <c r="B1711" s="11">
        <f>IFERROR(__xludf.DUMMYFUNCTION("""COMPUTED_VALUE"""),43544.66666666667)</f>
        <v>43544.66667</v>
      </c>
      <c r="C1711" s="9">
        <f>IFERROR(__xludf.DUMMYFUNCTION("""COMPUTED_VALUE"""),70.92)</f>
        <v>70.92</v>
      </c>
      <c r="E1711" s="17"/>
      <c r="M1711" s="17"/>
      <c r="P1711" s="17"/>
    </row>
    <row r="1712">
      <c r="B1712" s="11">
        <f>IFERROR(__xludf.DUMMYFUNCTION("""COMPUTED_VALUE"""),43543.66666666667)</f>
        <v>43543.66667</v>
      </c>
      <c r="C1712" s="9">
        <f>IFERROR(__xludf.DUMMYFUNCTION("""COMPUTED_VALUE"""),70.43)</f>
        <v>70.43</v>
      </c>
      <c r="E1712" s="17"/>
      <c r="M1712" s="17"/>
      <c r="P1712" s="17"/>
    </row>
    <row r="1713">
      <c r="B1713" s="11">
        <f>IFERROR(__xludf.DUMMYFUNCTION("""COMPUTED_VALUE"""),43542.66666666667)</f>
        <v>43542.66667</v>
      </c>
      <c r="C1713" s="9">
        <f>IFERROR(__xludf.DUMMYFUNCTION("""COMPUTED_VALUE"""),70.85)</f>
        <v>70.85</v>
      </c>
      <c r="E1713" s="17"/>
      <c r="M1713" s="17"/>
      <c r="P1713" s="17"/>
    </row>
    <row r="1714">
      <c r="B1714" s="11">
        <f>IFERROR(__xludf.DUMMYFUNCTION("""COMPUTED_VALUE"""),43539.66666666667)</f>
        <v>43539.66667</v>
      </c>
      <c r="C1714" s="9">
        <f>IFERROR(__xludf.DUMMYFUNCTION("""COMPUTED_VALUE"""),71.64)</f>
        <v>71.64</v>
      </c>
      <c r="E1714" s="17"/>
      <c r="M1714" s="17"/>
      <c r="P1714" s="17"/>
    </row>
    <row r="1715">
      <c r="B1715" s="11">
        <f>IFERROR(__xludf.DUMMYFUNCTION("""COMPUTED_VALUE"""),43538.66666666667)</f>
        <v>43538.66667</v>
      </c>
      <c r="C1715" s="9">
        <f>IFERROR(__xludf.DUMMYFUNCTION("""COMPUTED_VALUE"""),71.78)</f>
        <v>71.78</v>
      </c>
      <c r="E1715" s="17"/>
      <c r="M1715" s="17"/>
      <c r="P1715" s="17"/>
    </row>
    <row r="1716">
      <c r="B1716" s="11">
        <f>IFERROR(__xludf.DUMMYFUNCTION("""COMPUTED_VALUE"""),43537.66666666667)</f>
        <v>43537.66667</v>
      </c>
      <c r="C1716" s="9">
        <f>IFERROR(__xludf.DUMMYFUNCTION("""COMPUTED_VALUE"""),72.38)</f>
        <v>72.38</v>
      </c>
      <c r="E1716" s="17"/>
      <c r="M1716" s="17"/>
      <c r="P1716" s="17"/>
    </row>
    <row r="1717">
      <c r="B1717" s="11">
        <f>IFERROR(__xludf.DUMMYFUNCTION("""COMPUTED_VALUE"""),43536.66666666667)</f>
        <v>43536.66667</v>
      </c>
      <c r="C1717" s="9">
        <f>IFERROR(__xludf.DUMMYFUNCTION("""COMPUTED_VALUE"""),71.62)</f>
        <v>71.62</v>
      </c>
      <c r="E1717" s="17"/>
      <c r="M1717" s="17"/>
      <c r="P1717" s="17"/>
    </row>
    <row r="1718">
      <c r="B1718" s="11">
        <f>IFERROR(__xludf.DUMMYFUNCTION("""COMPUTED_VALUE"""),43535.66666666667)</f>
        <v>43535.66667</v>
      </c>
      <c r="C1718" s="9">
        <f>IFERROR(__xludf.DUMMYFUNCTION("""COMPUTED_VALUE"""),70.99)</f>
        <v>70.99</v>
      </c>
      <c r="E1718" s="17"/>
      <c r="M1718" s="17"/>
      <c r="P1718" s="17"/>
    </row>
    <row r="1719">
      <c r="B1719" s="11">
        <f>IFERROR(__xludf.DUMMYFUNCTION("""COMPUTED_VALUE"""),43532.66666666667)</f>
        <v>43532.66667</v>
      </c>
      <c r="C1719" s="9">
        <f>IFERROR(__xludf.DUMMYFUNCTION("""COMPUTED_VALUE"""),69.94)</f>
        <v>69.94</v>
      </c>
      <c r="E1719" s="17"/>
      <c r="M1719" s="17"/>
      <c r="P1719" s="17"/>
    </row>
    <row r="1720">
      <c r="B1720" s="11">
        <f>IFERROR(__xludf.DUMMYFUNCTION("""COMPUTED_VALUE"""),43531.66666666667)</f>
        <v>43531.66667</v>
      </c>
      <c r="C1720" s="9">
        <f>IFERROR(__xludf.DUMMYFUNCTION("""COMPUTED_VALUE"""),69.52)</f>
        <v>69.52</v>
      </c>
      <c r="E1720" s="17"/>
      <c r="M1720" s="17"/>
      <c r="P1720" s="17"/>
    </row>
    <row r="1721">
      <c r="B1721" s="11">
        <f>IFERROR(__xludf.DUMMYFUNCTION("""COMPUTED_VALUE"""),43530.66666666667)</f>
        <v>43530.66667</v>
      </c>
      <c r="C1721" s="9">
        <f>IFERROR(__xludf.DUMMYFUNCTION("""COMPUTED_VALUE"""),70.17)</f>
        <v>70.17</v>
      </c>
      <c r="E1721" s="17"/>
      <c r="M1721" s="17"/>
      <c r="P1721" s="17"/>
    </row>
    <row r="1722">
      <c r="B1722" s="11">
        <f>IFERROR(__xludf.DUMMYFUNCTION("""COMPUTED_VALUE"""),43529.66666666667)</f>
        <v>43529.66667</v>
      </c>
      <c r="C1722" s="9">
        <f>IFERROR(__xludf.DUMMYFUNCTION("""COMPUTED_VALUE"""),70.34)</f>
        <v>70.34</v>
      </c>
      <c r="E1722" s="17"/>
      <c r="M1722" s="17"/>
      <c r="P1722" s="17"/>
    </row>
    <row r="1723">
      <c r="B1723" s="11">
        <f>IFERROR(__xludf.DUMMYFUNCTION("""COMPUTED_VALUE"""),43528.66666666667)</f>
        <v>43528.66667</v>
      </c>
      <c r="C1723" s="9">
        <f>IFERROR(__xludf.DUMMYFUNCTION("""COMPUTED_VALUE"""),70.34)</f>
        <v>70.34</v>
      </c>
      <c r="E1723" s="17"/>
      <c r="M1723" s="17"/>
      <c r="P1723" s="17"/>
    </row>
    <row r="1724">
      <c r="B1724" s="11">
        <f>IFERROR(__xludf.DUMMYFUNCTION("""COMPUTED_VALUE"""),43525.66666666667)</f>
        <v>43525.66667</v>
      </c>
      <c r="C1724" s="9">
        <f>IFERROR(__xludf.DUMMYFUNCTION("""COMPUTED_VALUE"""),69.88)</f>
        <v>69.88</v>
      </c>
      <c r="E1724" s="17"/>
      <c r="M1724" s="17"/>
      <c r="P1724" s="17"/>
    </row>
    <row r="1725">
      <c r="B1725" s="11">
        <f>IFERROR(__xludf.DUMMYFUNCTION("""COMPUTED_VALUE"""),43524.66666666667)</f>
        <v>43524.66667</v>
      </c>
      <c r="C1725" s="9">
        <f>IFERROR(__xludf.DUMMYFUNCTION("""COMPUTED_VALUE"""),70.06)</f>
        <v>70.06</v>
      </c>
      <c r="E1725" s="17"/>
      <c r="M1725" s="17"/>
      <c r="P1725" s="17"/>
    </row>
    <row r="1726">
      <c r="B1726" s="11">
        <f>IFERROR(__xludf.DUMMYFUNCTION("""COMPUTED_VALUE"""),43523.66666666667)</f>
        <v>43523.66667</v>
      </c>
      <c r="C1726" s="9">
        <f>IFERROR(__xludf.DUMMYFUNCTION("""COMPUTED_VALUE"""),70.16)</f>
        <v>70.16</v>
      </c>
      <c r="E1726" s="17"/>
      <c r="M1726" s="17"/>
      <c r="P1726" s="17"/>
    </row>
    <row r="1727">
      <c r="B1727" s="11">
        <f>IFERROR(__xludf.DUMMYFUNCTION("""COMPUTED_VALUE"""),43522.66666666667)</f>
        <v>43522.66667</v>
      </c>
      <c r="C1727" s="9">
        <f>IFERROR(__xludf.DUMMYFUNCTION("""COMPUTED_VALUE"""),71.04)</f>
        <v>71.04</v>
      </c>
      <c r="E1727" s="17"/>
      <c r="M1727" s="17"/>
      <c r="P1727" s="17"/>
    </row>
    <row r="1728">
      <c r="B1728" s="11">
        <f>IFERROR(__xludf.DUMMYFUNCTION("""COMPUTED_VALUE"""),43521.66666666667)</f>
        <v>43521.66667</v>
      </c>
      <c r="C1728" s="9">
        <f>IFERROR(__xludf.DUMMYFUNCTION("""COMPUTED_VALUE"""),71.26)</f>
        <v>71.26</v>
      </c>
      <c r="E1728" s="17"/>
      <c r="M1728" s="17"/>
      <c r="P1728" s="17"/>
    </row>
    <row r="1729">
      <c r="B1729" s="11">
        <f>IFERROR(__xludf.DUMMYFUNCTION("""COMPUTED_VALUE"""),43518.66666666667)</f>
        <v>43518.66667</v>
      </c>
      <c r="C1729" s="9">
        <f>IFERROR(__xludf.DUMMYFUNCTION("""COMPUTED_VALUE"""),71.62)</f>
        <v>71.62</v>
      </c>
      <c r="E1729" s="17"/>
      <c r="M1729" s="17"/>
      <c r="P1729" s="17"/>
    </row>
    <row r="1730">
      <c r="B1730" s="11">
        <f>IFERROR(__xludf.DUMMYFUNCTION("""COMPUTED_VALUE"""),43517.66666666667)</f>
        <v>43517.66667</v>
      </c>
      <c r="C1730" s="9">
        <f>IFERROR(__xludf.DUMMYFUNCTION("""COMPUTED_VALUE"""),71.03)</f>
        <v>71.03</v>
      </c>
      <c r="E1730" s="17"/>
      <c r="M1730" s="17"/>
      <c r="P1730" s="17"/>
    </row>
    <row r="1731">
      <c r="B1731" s="11">
        <f>IFERROR(__xludf.DUMMYFUNCTION("""COMPUTED_VALUE"""),43516.66666666667)</f>
        <v>43516.66667</v>
      </c>
      <c r="C1731" s="9">
        <f>IFERROR(__xludf.DUMMYFUNCTION("""COMPUTED_VALUE"""),70.32)</f>
        <v>70.32</v>
      </c>
      <c r="E1731" s="17"/>
      <c r="M1731" s="17"/>
      <c r="P1731" s="17"/>
    </row>
    <row r="1732">
      <c r="B1732" s="11">
        <f>IFERROR(__xludf.DUMMYFUNCTION("""COMPUTED_VALUE"""),43515.66666666667)</f>
        <v>43515.66667</v>
      </c>
      <c r="C1732" s="9">
        <f>IFERROR(__xludf.DUMMYFUNCTION("""COMPUTED_VALUE"""),71.38)</f>
        <v>71.38</v>
      </c>
      <c r="E1732" s="17"/>
      <c r="M1732" s="17"/>
      <c r="P1732" s="17"/>
    </row>
    <row r="1733">
      <c r="B1733" s="11">
        <f>IFERROR(__xludf.DUMMYFUNCTION("""COMPUTED_VALUE"""),43511.66666666667)</f>
        <v>43511.66667</v>
      </c>
      <c r="C1733" s="9">
        <f>IFERROR(__xludf.DUMMYFUNCTION("""COMPUTED_VALUE"""),71.19)</f>
        <v>71.19</v>
      </c>
      <c r="E1733" s="17"/>
      <c r="M1733" s="17"/>
      <c r="P1733" s="17"/>
    </row>
    <row r="1734">
      <c r="B1734" s="11">
        <f>IFERROR(__xludf.DUMMYFUNCTION("""COMPUTED_VALUE"""),43510.66666666667)</f>
        <v>43510.66667</v>
      </c>
      <c r="C1734" s="9">
        <f>IFERROR(__xludf.DUMMYFUNCTION("""COMPUTED_VALUE"""),70.85)</f>
        <v>70.85</v>
      </c>
      <c r="E1734" s="17"/>
      <c r="M1734" s="17"/>
      <c r="P1734" s="17"/>
    </row>
    <row r="1735">
      <c r="B1735" s="11">
        <f>IFERROR(__xludf.DUMMYFUNCTION("""COMPUTED_VALUE"""),43509.66666666667)</f>
        <v>43509.66667</v>
      </c>
      <c r="C1735" s="9">
        <f>IFERROR(__xludf.DUMMYFUNCTION("""COMPUTED_VALUE"""),70.82)</f>
        <v>70.82</v>
      </c>
      <c r="E1735" s="17"/>
      <c r="M1735" s="17"/>
      <c r="P1735" s="17"/>
    </row>
    <row r="1736">
      <c r="B1736" s="11">
        <f>IFERROR(__xludf.DUMMYFUNCTION("""COMPUTED_VALUE"""),43508.66666666667)</f>
        <v>43508.66667</v>
      </c>
      <c r="C1736" s="9">
        <f>IFERROR(__xludf.DUMMYFUNCTION("""COMPUTED_VALUE"""),70.6)</f>
        <v>70.6</v>
      </c>
      <c r="E1736" s="17"/>
      <c r="M1736" s="17"/>
      <c r="P1736" s="17"/>
    </row>
    <row r="1737">
      <c r="B1737" s="11">
        <f>IFERROR(__xludf.DUMMYFUNCTION("""COMPUTED_VALUE"""),43507.66666666667)</f>
        <v>43507.66667</v>
      </c>
      <c r="C1737" s="9">
        <f>IFERROR(__xludf.DUMMYFUNCTION("""COMPUTED_VALUE"""),71.04)</f>
        <v>71.04</v>
      </c>
      <c r="E1737" s="17"/>
      <c r="M1737" s="17"/>
      <c r="P1737" s="17"/>
    </row>
    <row r="1738">
      <c r="B1738" s="11">
        <f>IFERROR(__xludf.DUMMYFUNCTION("""COMPUTED_VALUE"""),43504.66666666667)</f>
        <v>43504.66667</v>
      </c>
      <c r="C1738" s="9">
        <f>IFERROR(__xludf.DUMMYFUNCTION("""COMPUTED_VALUE"""),70.83)</f>
        <v>70.83</v>
      </c>
      <c r="E1738" s="17"/>
      <c r="M1738" s="17"/>
      <c r="P1738" s="17"/>
    </row>
    <row r="1739">
      <c r="B1739" s="11">
        <f>IFERROR(__xludf.DUMMYFUNCTION("""COMPUTED_VALUE"""),43503.66666666667)</f>
        <v>43503.66667</v>
      </c>
      <c r="C1739" s="9">
        <f>IFERROR(__xludf.DUMMYFUNCTION("""COMPUTED_VALUE"""),70.43)</f>
        <v>70.43</v>
      </c>
      <c r="E1739" s="17"/>
      <c r="M1739" s="17"/>
      <c r="P1739" s="17"/>
    </row>
    <row r="1740">
      <c r="B1740" s="11">
        <f>IFERROR(__xludf.DUMMYFUNCTION("""COMPUTED_VALUE"""),43502.66666666667)</f>
        <v>43502.66667</v>
      </c>
      <c r="C1740" s="9">
        <f>IFERROR(__xludf.DUMMYFUNCTION("""COMPUTED_VALUE"""),69.48)</f>
        <v>69.48</v>
      </c>
      <c r="E1740" s="17"/>
      <c r="M1740" s="17"/>
      <c r="P1740" s="17"/>
    </row>
    <row r="1741">
      <c r="B1741" s="11">
        <f>IFERROR(__xludf.DUMMYFUNCTION("""COMPUTED_VALUE"""),43501.66666666667)</f>
        <v>43501.66667</v>
      </c>
      <c r="C1741" s="9">
        <f>IFERROR(__xludf.DUMMYFUNCTION("""COMPUTED_VALUE"""),69.94)</f>
        <v>69.94</v>
      </c>
      <c r="E1741" s="17"/>
      <c r="M1741" s="17"/>
      <c r="P1741" s="17"/>
    </row>
    <row r="1742">
      <c r="B1742" s="11">
        <f>IFERROR(__xludf.DUMMYFUNCTION("""COMPUTED_VALUE"""),43500.66666666667)</f>
        <v>43500.66667</v>
      </c>
      <c r="C1742" s="9">
        <f>IFERROR(__xludf.DUMMYFUNCTION("""COMPUTED_VALUE"""),69.65)</f>
        <v>69.65</v>
      </c>
      <c r="E1742" s="17"/>
      <c r="M1742" s="17"/>
      <c r="P1742" s="17"/>
    </row>
    <row r="1743">
      <c r="B1743" s="11">
        <f>IFERROR(__xludf.DUMMYFUNCTION("""COMPUTED_VALUE"""),43497.66666666667)</f>
        <v>43497.66667</v>
      </c>
      <c r="C1743" s="9">
        <f>IFERROR(__xludf.DUMMYFUNCTION("""COMPUTED_VALUE"""),69.41)</f>
        <v>69.41</v>
      </c>
      <c r="E1743" s="17"/>
      <c r="M1743" s="17"/>
      <c r="P1743" s="17"/>
    </row>
    <row r="1744">
      <c r="B1744" s="11">
        <f>IFERROR(__xludf.DUMMYFUNCTION("""COMPUTED_VALUE"""),43496.66666666667)</f>
        <v>43496.66667</v>
      </c>
      <c r="C1744" s="9">
        <f>IFERROR(__xludf.DUMMYFUNCTION("""COMPUTED_VALUE"""),69.16)</f>
        <v>69.16</v>
      </c>
      <c r="E1744" s="17"/>
      <c r="M1744" s="17"/>
      <c r="P1744" s="17"/>
    </row>
    <row r="1745">
      <c r="B1745" s="11">
        <f>IFERROR(__xludf.DUMMYFUNCTION("""COMPUTED_VALUE"""),43495.66666666667)</f>
        <v>43495.66667</v>
      </c>
      <c r="C1745" s="9">
        <f>IFERROR(__xludf.DUMMYFUNCTION("""COMPUTED_VALUE"""),68.39)</f>
        <v>68.39</v>
      </c>
      <c r="E1745" s="17"/>
      <c r="M1745" s="17"/>
      <c r="P1745" s="17"/>
    </row>
    <row r="1746">
      <c r="B1746" s="11">
        <f>IFERROR(__xludf.DUMMYFUNCTION("""COMPUTED_VALUE"""),43494.66666666667)</f>
        <v>43494.66667</v>
      </c>
      <c r="C1746" s="9">
        <f>IFERROR(__xludf.DUMMYFUNCTION("""COMPUTED_VALUE"""),67.54)</f>
        <v>67.54</v>
      </c>
      <c r="E1746" s="17"/>
      <c r="M1746" s="17"/>
      <c r="P1746" s="17"/>
    </row>
    <row r="1747">
      <c r="B1747" s="11">
        <f>IFERROR(__xludf.DUMMYFUNCTION("""COMPUTED_VALUE"""),43493.66666666667)</f>
        <v>43493.66667</v>
      </c>
      <c r="C1747" s="9">
        <f>IFERROR(__xludf.DUMMYFUNCTION("""COMPUTED_VALUE"""),66.71)</f>
        <v>66.71</v>
      </c>
      <c r="E1747" s="17"/>
      <c r="M1747" s="17"/>
      <c r="P1747" s="17"/>
    </row>
    <row r="1748">
      <c r="B1748" s="11">
        <f>IFERROR(__xludf.DUMMYFUNCTION("""COMPUTED_VALUE"""),43490.66666666667)</f>
        <v>43490.66667</v>
      </c>
      <c r="C1748" s="9">
        <f>IFERROR(__xludf.DUMMYFUNCTION("""COMPUTED_VALUE"""),66.01)</f>
        <v>66.01</v>
      </c>
      <c r="E1748" s="17"/>
      <c r="M1748" s="17"/>
      <c r="P1748" s="17"/>
    </row>
    <row r="1749">
      <c r="B1749" s="11">
        <f>IFERROR(__xludf.DUMMYFUNCTION("""COMPUTED_VALUE"""),43489.66666666667)</f>
        <v>43489.66667</v>
      </c>
      <c r="C1749" s="9">
        <f>IFERROR(__xludf.DUMMYFUNCTION("""COMPUTED_VALUE"""),64.73)</f>
        <v>64.73</v>
      </c>
      <c r="E1749" s="17"/>
      <c r="M1749" s="17"/>
      <c r="P1749" s="17"/>
    </row>
    <row r="1750">
      <c r="B1750" s="11">
        <f>IFERROR(__xludf.DUMMYFUNCTION("""COMPUTED_VALUE"""),43488.66666666667)</f>
        <v>43488.66667</v>
      </c>
      <c r="C1750" s="9">
        <f>IFERROR(__xludf.DUMMYFUNCTION("""COMPUTED_VALUE"""),65.07)</f>
        <v>65.07</v>
      </c>
      <c r="E1750" s="17"/>
      <c r="M1750" s="17"/>
      <c r="P1750" s="17"/>
    </row>
    <row r="1751">
      <c r="B1751" s="11">
        <f>IFERROR(__xludf.DUMMYFUNCTION("""COMPUTED_VALUE"""),43487.66666666667)</f>
        <v>43487.66667</v>
      </c>
      <c r="C1751" s="9">
        <f>IFERROR(__xludf.DUMMYFUNCTION("""COMPUTED_VALUE"""),64.78)</f>
        <v>64.78</v>
      </c>
      <c r="E1751" s="17"/>
      <c r="M1751" s="17"/>
      <c r="P1751" s="17"/>
    </row>
    <row r="1752">
      <c r="B1752" s="11">
        <f>IFERROR(__xludf.DUMMYFUNCTION("""COMPUTED_VALUE"""),43483.66666666667)</f>
        <v>43483.66667</v>
      </c>
      <c r="C1752" s="9">
        <f>IFERROR(__xludf.DUMMYFUNCTION("""COMPUTED_VALUE"""),64.7)</f>
        <v>64.7</v>
      </c>
      <c r="E1752" s="17"/>
      <c r="M1752" s="17"/>
      <c r="P1752" s="17"/>
    </row>
    <row r="1753">
      <c r="B1753" s="11">
        <f>IFERROR(__xludf.DUMMYFUNCTION("""COMPUTED_VALUE"""),43482.66666666667)</f>
        <v>43482.66667</v>
      </c>
      <c r="C1753" s="9">
        <f>IFERROR(__xludf.DUMMYFUNCTION("""COMPUTED_VALUE"""),64.05)</f>
        <v>64.05</v>
      </c>
      <c r="E1753" s="17"/>
      <c r="M1753" s="17"/>
      <c r="P1753" s="17"/>
    </row>
    <row r="1754">
      <c r="B1754" s="11">
        <f>IFERROR(__xludf.DUMMYFUNCTION("""COMPUTED_VALUE"""),43481.66666666667)</f>
        <v>43481.66667</v>
      </c>
      <c r="C1754" s="9">
        <f>IFERROR(__xludf.DUMMYFUNCTION("""COMPUTED_VALUE"""),63.54)</f>
        <v>63.54</v>
      </c>
      <c r="E1754" s="17"/>
      <c r="M1754" s="17"/>
      <c r="P1754" s="17"/>
    </row>
    <row r="1755">
      <c r="B1755" s="11">
        <f>IFERROR(__xludf.DUMMYFUNCTION("""COMPUTED_VALUE"""),43480.66666666667)</f>
        <v>43480.66667</v>
      </c>
      <c r="C1755" s="9">
        <f>IFERROR(__xludf.DUMMYFUNCTION("""COMPUTED_VALUE"""),63.21)</f>
        <v>63.21</v>
      </c>
      <c r="E1755" s="17"/>
      <c r="M1755" s="17"/>
      <c r="P1755" s="17"/>
    </row>
    <row r="1756">
      <c r="B1756" s="11">
        <f>IFERROR(__xludf.DUMMYFUNCTION("""COMPUTED_VALUE"""),43479.66666666667)</f>
        <v>43479.66667</v>
      </c>
      <c r="C1756" s="9">
        <f>IFERROR(__xludf.DUMMYFUNCTION("""COMPUTED_VALUE"""),62.35)</f>
        <v>62.35</v>
      </c>
      <c r="E1756" s="17"/>
      <c r="M1756" s="17"/>
      <c r="P1756" s="17"/>
    </row>
    <row r="1757">
      <c r="B1757" s="11">
        <f>IFERROR(__xludf.DUMMYFUNCTION("""COMPUTED_VALUE"""),43476.66666666667)</f>
        <v>43476.66667</v>
      </c>
      <c r="C1757" s="9">
        <f>IFERROR(__xludf.DUMMYFUNCTION("""COMPUTED_VALUE"""),62.36)</f>
        <v>62.36</v>
      </c>
      <c r="E1757" s="17"/>
      <c r="M1757" s="17"/>
      <c r="P1757" s="17"/>
    </row>
    <row r="1758">
      <c r="B1758" s="11">
        <f>IFERROR(__xludf.DUMMYFUNCTION("""COMPUTED_VALUE"""),43475.66666666667)</f>
        <v>43475.66667</v>
      </c>
      <c r="C1758" s="9">
        <f>IFERROR(__xludf.DUMMYFUNCTION("""COMPUTED_VALUE"""),62.38)</f>
        <v>62.38</v>
      </c>
      <c r="E1758" s="17"/>
      <c r="M1758" s="17"/>
      <c r="P1758" s="17"/>
    </row>
    <row r="1759">
      <c r="B1759" s="11">
        <f>IFERROR(__xludf.DUMMYFUNCTION("""COMPUTED_VALUE"""),43474.66666666667)</f>
        <v>43474.66667</v>
      </c>
      <c r="C1759" s="9">
        <f>IFERROR(__xludf.DUMMYFUNCTION("""COMPUTED_VALUE"""),61.31)</f>
        <v>61.31</v>
      </c>
      <c r="E1759" s="17"/>
      <c r="M1759" s="17"/>
      <c r="P1759" s="17"/>
    </row>
    <row r="1760">
      <c r="B1760" s="11">
        <f>IFERROR(__xludf.DUMMYFUNCTION("""COMPUTED_VALUE"""),43473.66666666667)</f>
        <v>43473.66667</v>
      </c>
      <c r="C1760" s="9">
        <f>IFERROR(__xludf.DUMMYFUNCTION("""COMPUTED_VALUE"""),60.9)</f>
        <v>60.9</v>
      </c>
      <c r="E1760" s="17"/>
      <c r="M1760" s="17"/>
      <c r="P1760" s="17"/>
    </row>
    <row r="1761">
      <c r="B1761" s="11">
        <f>IFERROR(__xludf.DUMMYFUNCTION("""COMPUTED_VALUE"""),43472.66666666667)</f>
        <v>43472.66667</v>
      </c>
      <c r="C1761" s="9">
        <f>IFERROR(__xludf.DUMMYFUNCTION("""COMPUTED_VALUE"""),58.94)</f>
        <v>58.94</v>
      </c>
      <c r="E1761" s="17"/>
      <c r="M1761" s="17"/>
      <c r="P1761" s="17"/>
    </row>
    <row r="1762">
      <c r="B1762" s="11">
        <f>IFERROR(__xludf.DUMMYFUNCTION("""COMPUTED_VALUE"""),43469.66666666667)</f>
        <v>43469.66667</v>
      </c>
      <c r="C1762" s="9">
        <f>IFERROR(__xludf.DUMMYFUNCTION("""COMPUTED_VALUE"""),58.0)</f>
        <v>58</v>
      </c>
      <c r="E1762" s="17"/>
      <c r="M1762" s="17"/>
      <c r="P1762" s="17"/>
    </row>
    <row r="1763">
      <c r="B1763" s="11">
        <f>IFERROR(__xludf.DUMMYFUNCTION("""COMPUTED_VALUE"""),43468.66666666667)</f>
        <v>43468.66667</v>
      </c>
      <c r="C1763" s="9">
        <f>IFERROR(__xludf.DUMMYFUNCTION("""COMPUTED_VALUE"""),56.57)</f>
        <v>56.57</v>
      </c>
      <c r="E1763" s="17"/>
      <c r="M1763" s="17"/>
      <c r="P1763" s="17"/>
    </row>
    <row r="1764">
      <c r="B1764" s="11">
        <f>IFERROR(__xludf.DUMMYFUNCTION("""COMPUTED_VALUE"""),43467.66666666667)</f>
        <v>43467.66667</v>
      </c>
      <c r="C1764" s="9">
        <f>IFERROR(__xludf.DUMMYFUNCTION("""COMPUTED_VALUE"""),57.03)</f>
        <v>57.03</v>
      </c>
      <c r="E1764" s="17"/>
      <c r="M1764" s="17"/>
      <c r="P1764" s="17"/>
    </row>
    <row r="1765">
      <c r="B1765" s="11">
        <f>IFERROR(__xludf.DUMMYFUNCTION("""COMPUTED_VALUE"""),43465.66666666667)</f>
        <v>43465.66667</v>
      </c>
      <c r="C1765" s="9">
        <f>IFERROR(__xludf.DUMMYFUNCTION("""COMPUTED_VALUE"""),58.72)</f>
        <v>58.72</v>
      </c>
      <c r="E1765" s="17"/>
      <c r="M1765" s="17"/>
      <c r="P1765" s="17"/>
    </row>
    <row r="1766">
      <c r="B1766" s="11">
        <f>IFERROR(__xludf.DUMMYFUNCTION("""COMPUTED_VALUE"""),43462.66666666667)</f>
        <v>43462.66667</v>
      </c>
      <c r="C1766" s="9">
        <f>IFERROR(__xludf.DUMMYFUNCTION("""COMPUTED_VALUE"""),58.49)</f>
        <v>58.49</v>
      </c>
      <c r="E1766" s="17"/>
      <c r="M1766" s="17"/>
      <c r="P1766" s="17"/>
    </row>
    <row r="1767">
      <c r="B1767" s="11">
        <f>IFERROR(__xludf.DUMMYFUNCTION("""COMPUTED_VALUE"""),43461.66666666667)</f>
        <v>43461.66667</v>
      </c>
      <c r="C1767" s="9">
        <f>IFERROR(__xludf.DUMMYFUNCTION("""COMPUTED_VALUE"""),58.0)</f>
        <v>58</v>
      </c>
      <c r="E1767" s="17"/>
      <c r="M1767" s="17"/>
      <c r="P1767" s="17"/>
    </row>
    <row r="1768">
      <c r="B1768" s="11">
        <f>IFERROR(__xludf.DUMMYFUNCTION("""COMPUTED_VALUE"""),43460.66666666667)</f>
        <v>43460.66667</v>
      </c>
      <c r="C1768" s="9">
        <f>IFERROR(__xludf.DUMMYFUNCTION("""COMPUTED_VALUE"""),57.97)</f>
        <v>57.97</v>
      </c>
      <c r="E1768" s="17"/>
      <c r="M1768" s="17"/>
      <c r="P1768" s="17"/>
    </row>
    <row r="1769">
      <c r="B1769" s="11">
        <f>IFERROR(__xludf.DUMMYFUNCTION("""COMPUTED_VALUE"""),43458.54166666667)</f>
        <v>43458.54167</v>
      </c>
      <c r="C1769" s="9">
        <f>IFERROR(__xludf.DUMMYFUNCTION("""COMPUTED_VALUE"""),55.94)</f>
        <v>55.94</v>
      </c>
      <c r="E1769" s="17"/>
      <c r="M1769" s="17"/>
      <c r="P1769" s="17"/>
    </row>
    <row r="1770">
      <c r="B1770" s="11">
        <f>IFERROR(__xludf.DUMMYFUNCTION("""COMPUTED_VALUE"""),43455.66666666667)</f>
        <v>43455.66667</v>
      </c>
      <c r="C1770" s="9">
        <f>IFERROR(__xludf.DUMMYFUNCTION("""COMPUTED_VALUE"""),58.87)</f>
        <v>58.87</v>
      </c>
      <c r="E1770" s="17"/>
      <c r="M1770" s="17"/>
      <c r="P1770" s="17"/>
    </row>
    <row r="1771">
      <c r="B1771" s="11">
        <f>IFERROR(__xludf.DUMMYFUNCTION("""COMPUTED_VALUE"""),43454.66666666667)</f>
        <v>43454.66667</v>
      </c>
      <c r="C1771" s="9">
        <f>IFERROR(__xludf.DUMMYFUNCTION("""COMPUTED_VALUE"""),60.37)</f>
        <v>60.37</v>
      </c>
      <c r="E1771" s="17"/>
      <c r="M1771" s="17"/>
      <c r="P1771" s="17"/>
    </row>
    <row r="1772">
      <c r="B1772" s="11">
        <f>IFERROR(__xludf.DUMMYFUNCTION("""COMPUTED_VALUE"""),43453.66666666667)</f>
        <v>43453.66667</v>
      </c>
      <c r="C1772" s="9">
        <f>IFERROR(__xludf.DUMMYFUNCTION("""COMPUTED_VALUE"""),61.25)</f>
        <v>61.25</v>
      </c>
      <c r="E1772" s="17"/>
      <c r="M1772" s="17"/>
      <c r="P1772" s="17"/>
    </row>
    <row r="1773">
      <c r="B1773" s="11">
        <f>IFERROR(__xludf.DUMMYFUNCTION("""COMPUTED_VALUE"""),43452.66666666667)</f>
        <v>43452.66667</v>
      </c>
      <c r="C1773" s="9">
        <f>IFERROR(__xludf.DUMMYFUNCTION("""COMPUTED_VALUE"""),62.63)</f>
        <v>62.63</v>
      </c>
      <c r="E1773" s="17"/>
      <c r="M1773" s="17"/>
      <c r="P1773" s="17"/>
    </row>
    <row r="1774">
      <c r="B1774" s="11">
        <f>IFERROR(__xludf.DUMMYFUNCTION("""COMPUTED_VALUE"""),43451.66666666667)</f>
        <v>43451.66667</v>
      </c>
      <c r="C1774" s="9">
        <f>IFERROR(__xludf.DUMMYFUNCTION("""COMPUTED_VALUE"""),61.52)</f>
        <v>61.52</v>
      </c>
      <c r="E1774" s="17"/>
      <c r="M1774" s="17"/>
      <c r="P1774" s="17"/>
    </row>
    <row r="1775">
      <c r="B1775" s="11">
        <f>IFERROR(__xludf.DUMMYFUNCTION("""COMPUTED_VALUE"""),43448.66666666667)</f>
        <v>43448.66667</v>
      </c>
      <c r="C1775" s="9">
        <f>IFERROR(__xludf.DUMMYFUNCTION("""COMPUTED_VALUE"""),64.81)</f>
        <v>64.81</v>
      </c>
      <c r="E1775" s="17"/>
      <c r="M1775" s="17"/>
      <c r="P1775" s="17"/>
    </row>
    <row r="1776">
      <c r="B1776" s="11">
        <f>IFERROR(__xludf.DUMMYFUNCTION("""COMPUTED_VALUE"""),43447.66666666667)</f>
        <v>43447.66667</v>
      </c>
      <c r="C1776" s="9">
        <f>IFERROR(__xludf.DUMMYFUNCTION("""COMPUTED_VALUE"""),65.12)</f>
        <v>65.12</v>
      </c>
      <c r="E1776" s="17"/>
      <c r="M1776" s="17"/>
      <c r="P1776" s="17"/>
    </row>
    <row r="1777">
      <c r="B1777" s="11">
        <f>IFERROR(__xludf.DUMMYFUNCTION("""COMPUTED_VALUE"""),43446.66666666667)</f>
        <v>43446.66667</v>
      </c>
      <c r="C1777" s="9">
        <f>IFERROR(__xludf.DUMMYFUNCTION("""COMPUTED_VALUE"""),64.64)</f>
        <v>64.64</v>
      </c>
      <c r="E1777" s="17"/>
      <c r="M1777" s="17"/>
      <c r="P1777" s="17"/>
    </row>
    <row r="1778">
      <c r="B1778" s="11">
        <f>IFERROR(__xludf.DUMMYFUNCTION("""COMPUTED_VALUE"""),43445.66666666667)</f>
        <v>43445.66667</v>
      </c>
      <c r="C1778" s="9">
        <f>IFERROR(__xludf.DUMMYFUNCTION("""COMPUTED_VALUE"""),66.47)</f>
        <v>66.47</v>
      </c>
      <c r="E1778" s="17"/>
      <c r="M1778" s="17"/>
      <c r="P1778" s="17"/>
    </row>
    <row r="1779">
      <c r="B1779" s="11">
        <f>IFERROR(__xludf.DUMMYFUNCTION("""COMPUTED_VALUE"""),43444.66666666667)</f>
        <v>43444.66667</v>
      </c>
      <c r="C1779" s="9">
        <f>IFERROR(__xludf.DUMMYFUNCTION("""COMPUTED_VALUE"""),65.94)</f>
        <v>65.94</v>
      </c>
      <c r="E1779" s="17"/>
      <c r="M1779" s="17"/>
      <c r="P1779" s="17"/>
    </row>
    <row r="1780">
      <c r="B1780" s="11">
        <f>IFERROR(__xludf.DUMMYFUNCTION("""COMPUTED_VALUE"""),43441.66666666667)</f>
        <v>43441.66667</v>
      </c>
      <c r="C1780" s="9">
        <f>IFERROR(__xludf.DUMMYFUNCTION("""COMPUTED_VALUE"""),66.84)</f>
        <v>66.84</v>
      </c>
      <c r="E1780" s="17"/>
      <c r="M1780" s="17"/>
      <c r="P1780" s="17"/>
    </row>
    <row r="1781">
      <c r="B1781" s="11">
        <f>IFERROR(__xludf.DUMMYFUNCTION("""COMPUTED_VALUE"""),43440.66666666667)</f>
        <v>43440.66667</v>
      </c>
      <c r="C1781" s="9">
        <f>IFERROR(__xludf.DUMMYFUNCTION("""COMPUTED_VALUE"""),68.48)</f>
        <v>68.48</v>
      </c>
      <c r="E1781" s="17"/>
      <c r="M1781" s="17"/>
      <c r="P1781" s="17"/>
    </row>
    <row r="1782">
      <c r="B1782" s="11">
        <f>IFERROR(__xludf.DUMMYFUNCTION("""COMPUTED_VALUE"""),43438.66666666667)</f>
        <v>43438.66667</v>
      </c>
      <c r="C1782" s="9">
        <f>IFERROR(__xludf.DUMMYFUNCTION("""COMPUTED_VALUE"""),66.86)</f>
        <v>66.86</v>
      </c>
      <c r="E1782" s="17"/>
      <c r="M1782" s="17"/>
      <c r="P1782" s="17"/>
    </row>
    <row r="1783">
      <c r="B1783" s="11">
        <f>IFERROR(__xludf.DUMMYFUNCTION("""COMPUTED_VALUE"""),43437.66666666667)</f>
        <v>43437.66667</v>
      </c>
      <c r="C1783" s="9">
        <f>IFERROR(__xludf.DUMMYFUNCTION("""COMPUTED_VALUE"""),68.65)</f>
        <v>68.65</v>
      </c>
      <c r="E1783" s="17"/>
      <c r="M1783" s="17"/>
      <c r="P1783" s="17"/>
    </row>
    <row r="1784">
      <c r="B1784" s="11">
        <f>IFERROR(__xludf.DUMMYFUNCTION("""COMPUTED_VALUE"""),43434.66666666667)</f>
        <v>43434.66667</v>
      </c>
      <c r="C1784" s="9">
        <f>IFERROR(__xludf.DUMMYFUNCTION("""COMPUTED_VALUE"""),67.34)</f>
        <v>67.34</v>
      </c>
      <c r="E1784" s="17"/>
      <c r="M1784" s="17"/>
      <c r="P1784" s="17"/>
    </row>
    <row r="1785">
      <c r="B1785" s="11">
        <f>IFERROR(__xludf.DUMMYFUNCTION("""COMPUTED_VALUE"""),43433.66666666667)</f>
        <v>43433.66667</v>
      </c>
      <c r="C1785" s="9">
        <f>IFERROR(__xludf.DUMMYFUNCTION("""COMPUTED_VALUE"""),67.18)</f>
        <v>67.18</v>
      </c>
      <c r="E1785" s="17"/>
      <c r="M1785" s="17"/>
      <c r="P1785" s="17"/>
    </row>
    <row r="1786">
      <c r="B1786" s="11">
        <f>IFERROR(__xludf.DUMMYFUNCTION("""COMPUTED_VALUE"""),43432.66666666667)</f>
        <v>43432.66667</v>
      </c>
      <c r="C1786" s="9">
        <f>IFERROR(__xludf.DUMMYFUNCTION("""COMPUTED_VALUE"""),67.35)</f>
        <v>67.35</v>
      </c>
      <c r="E1786" s="17"/>
      <c r="M1786" s="17"/>
      <c r="P1786" s="17"/>
    </row>
    <row r="1787">
      <c r="B1787" s="11">
        <f>IFERROR(__xludf.DUMMYFUNCTION("""COMPUTED_VALUE"""),43431.66666666667)</f>
        <v>43431.66667</v>
      </c>
      <c r="C1787" s="9">
        <f>IFERROR(__xludf.DUMMYFUNCTION("""COMPUTED_VALUE"""),66.66)</f>
        <v>66.66</v>
      </c>
      <c r="E1787" s="17"/>
      <c r="M1787" s="17"/>
      <c r="P1787" s="17"/>
    </row>
    <row r="1788">
      <c r="B1788" s="11">
        <f>IFERROR(__xludf.DUMMYFUNCTION("""COMPUTED_VALUE"""),43430.66666666667)</f>
        <v>43430.66667</v>
      </c>
      <c r="C1788" s="9">
        <f>IFERROR(__xludf.DUMMYFUNCTION("""COMPUTED_VALUE"""),66.36)</f>
        <v>66.36</v>
      </c>
      <c r="E1788" s="17"/>
      <c r="M1788" s="17"/>
      <c r="P1788" s="17"/>
    </row>
    <row r="1789">
      <c r="B1789" s="11">
        <f>IFERROR(__xludf.DUMMYFUNCTION("""COMPUTED_VALUE"""),43427.54166666667)</f>
        <v>43427.54167</v>
      </c>
      <c r="C1789" s="9">
        <f>IFERROR(__xludf.DUMMYFUNCTION("""COMPUTED_VALUE"""),66.96)</f>
        <v>66.96</v>
      </c>
      <c r="E1789" s="17"/>
      <c r="M1789" s="17"/>
      <c r="P1789" s="17"/>
    </row>
    <row r="1790">
      <c r="B1790" s="11">
        <f>IFERROR(__xludf.DUMMYFUNCTION("""COMPUTED_VALUE"""),43425.66666666667)</f>
        <v>43425.66667</v>
      </c>
      <c r="C1790" s="9">
        <f>IFERROR(__xludf.DUMMYFUNCTION("""COMPUTED_VALUE"""),66.92)</f>
        <v>66.92</v>
      </c>
      <c r="E1790" s="17"/>
      <c r="M1790" s="17"/>
      <c r="P1790" s="17"/>
    </row>
    <row r="1791">
      <c r="B1791" s="11">
        <f>IFERROR(__xludf.DUMMYFUNCTION("""COMPUTED_VALUE"""),43424.66666666667)</f>
        <v>43424.66667</v>
      </c>
      <c r="C1791" s="9">
        <f>IFERROR(__xludf.DUMMYFUNCTION("""COMPUTED_VALUE"""),66.7)</f>
        <v>66.7</v>
      </c>
      <c r="E1791" s="17"/>
      <c r="M1791" s="17"/>
      <c r="P1791" s="17"/>
    </row>
    <row r="1792">
      <c r="B1792" s="11">
        <f>IFERROR(__xludf.DUMMYFUNCTION("""COMPUTED_VALUE"""),43423.66666666667)</f>
        <v>43423.66667</v>
      </c>
      <c r="C1792" s="9">
        <f>IFERROR(__xludf.DUMMYFUNCTION("""COMPUTED_VALUE"""),67.7)</f>
        <v>67.7</v>
      </c>
      <c r="E1792" s="17"/>
      <c r="M1792" s="17"/>
      <c r="P1792" s="17"/>
    </row>
    <row r="1793">
      <c r="B1793" s="11">
        <f>IFERROR(__xludf.DUMMYFUNCTION("""COMPUTED_VALUE"""),43420.66666666667)</f>
        <v>43420.66667</v>
      </c>
      <c r="C1793" s="9">
        <f>IFERROR(__xludf.DUMMYFUNCTION("""COMPUTED_VALUE"""),67.31)</f>
        <v>67.31</v>
      </c>
      <c r="E1793" s="17"/>
      <c r="M1793" s="17"/>
      <c r="P1793" s="17"/>
    </row>
    <row r="1794">
      <c r="B1794" s="11">
        <f>IFERROR(__xludf.DUMMYFUNCTION("""COMPUTED_VALUE"""),43419.66666666667)</f>
        <v>43419.66667</v>
      </c>
      <c r="C1794" s="9">
        <f>IFERROR(__xludf.DUMMYFUNCTION("""COMPUTED_VALUE"""),66.72)</f>
        <v>66.72</v>
      </c>
      <c r="E1794" s="17"/>
      <c r="M1794" s="17"/>
      <c r="P1794" s="17"/>
    </row>
    <row r="1795">
      <c r="B1795" s="11">
        <f>IFERROR(__xludf.DUMMYFUNCTION("""COMPUTED_VALUE"""),43418.66666666667)</f>
        <v>43418.66667</v>
      </c>
      <c r="C1795" s="9">
        <f>IFERROR(__xludf.DUMMYFUNCTION("""COMPUTED_VALUE"""),67.56)</f>
        <v>67.56</v>
      </c>
      <c r="E1795" s="17"/>
      <c r="M1795" s="17"/>
      <c r="P1795" s="17"/>
    </row>
    <row r="1796">
      <c r="B1796" s="11">
        <f>IFERROR(__xludf.DUMMYFUNCTION("""COMPUTED_VALUE"""),43417.66666666667)</f>
        <v>43417.66667</v>
      </c>
      <c r="C1796" s="9">
        <f>IFERROR(__xludf.DUMMYFUNCTION("""COMPUTED_VALUE"""),67.55)</f>
        <v>67.55</v>
      </c>
      <c r="E1796" s="17"/>
      <c r="M1796" s="17"/>
      <c r="P1796" s="17"/>
    </row>
    <row r="1797">
      <c r="B1797" s="11">
        <f>IFERROR(__xludf.DUMMYFUNCTION("""COMPUTED_VALUE"""),43416.66666666667)</f>
        <v>43416.66667</v>
      </c>
      <c r="C1797" s="9">
        <f>IFERROR(__xludf.DUMMYFUNCTION("""COMPUTED_VALUE"""),67.76)</f>
        <v>67.76</v>
      </c>
      <c r="E1797" s="17"/>
      <c r="M1797" s="17"/>
      <c r="P1797" s="17"/>
    </row>
    <row r="1798">
      <c r="B1798" s="11">
        <f>IFERROR(__xludf.DUMMYFUNCTION("""COMPUTED_VALUE"""),43413.66666666667)</f>
        <v>43413.66667</v>
      </c>
      <c r="C1798" s="9">
        <f>IFERROR(__xludf.DUMMYFUNCTION("""COMPUTED_VALUE"""),67.57)</f>
        <v>67.57</v>
      </c>
      <c r="E1798" s="17"/>
      <c r="M1798" s="17"/>
      <c r="P1798" s="17"/>
    </row>
    <row r="1799">
      <c r="B1799" s="11">
        <f>IFERROR(__xludf.DUMMYFUNCTION("""COMPUTED_VALUE"""),43412.66666666667)</f>
        <v>43412.66667</v>
      </c>
      <c r="C1799" s="9">
        <f>IFERROR(__xludf.DUMMYFUNCTION("""COMPUTED_VALUE"""),67.12)</f>
        <v>67.12</v>
      </c>
      <c r="E1799" s="17"/>
      <c r="M1799" s="17"/>
      <c r="P1799" s="17"/>
    </row>
    <row r="1800">
      <c r="B1800" s="11">
        <f>IFERROR(__xludf.DUMMYFUNCTION("""COMPUTED_VALUE"""),43411.66666666667)</f>
        <v>43411.66667</v>
      </c>
      <c r="C1800" s="9">
        <f>IFERROR(__xludf.DUMMYFUNCTION("""COMPUTED_VALUE"""),67.08)</f>
        <v>67.08</v>
      </c>
      <c r="E1800" s="17"/>
      <c r="M1800" s="17"/>
      <c r="P1800" s="17"/>
    </row>
    <row r="1801">
      <c r="B1801" s="11">
        <f>IFERROR(__xludf.DUMMYFUNCTION("""COMPUTED_VALUE"""),43410.66666666667)</f>
        <v>43410.66667</v>
      </c>
      <c r="C1801" s="9">
        <f>IFERROR(__xludf.DUMMYFUNCTION("""COMPUTED_VALUE"""),65.91)</f>
        <v>65.91</v>
      </c>
      <c r="E1801" s="17"/>
      <c r="M1801" s="17"/>
      <c r="P1801" s="17"/>
    </row>
    <row r="1802">
      <c r="B1802" s="11">
        <f>IFERROR(__xludf.DUMMYFUNCTION("""COMPUTED_VALUE"""),43409.66666666667)</f>
        <v>43409.66667</v>
      </c>
      <c r="C1802" s="9">
        <f>IFERROR(__xludf.DUMMYFUNCTION("""COMPUTED_VALUE"""),65.07)</f>
        <v>65.07</v>
      </c>
      <c r="E1802" s="17"/>
      <c r="M1802" s="17"/>
      <c r="P1802" s="17"/>
    </row>
    <row r="1803">
      <c r="B1803" s="11">
        <f>IFERROR(__xludf.DUMMYFUNCTION("""COMPUTED_VALUE"""),43406.66666666667)</f>
        <v>43406.66667</v>
      </c>
      <c r="C1803" s="9">
        <f>IFERROR(__xludf.DUMMYFUNCTION("""COMPUTED_VALUE"""),64.35)</f>
        <v>64.35</v>
      </c>
      <c r="E1803" s="17"/>
      <c r="M1803" s="17"/>
      <c r="P1803" s="17"/>
    </row>
    <row r="1804">
      <c r="B1804" s="11">
        <f>IFERROR(__xludf.DUMMYFUNCTION("""COMPUTED_VALUE"""),43405.66666666667)</f>
        <v>43405.66667</v>
      </c>
      <c r="C1804" s="9">
        <f>IFERROR(__xludf.DUMMYFUNCTION("""COMPUTED_VALUE"""),64.76)</f>
        <v>64.76</v>
      </c>
      <c r="E1804" s="17"/>
      <c r="M1804" s="17"/>
      <c r="P1804" s="17"/>
    </row>
    <row r="1805">
      <c r="B1805" s="11">
        <f>IFERROR(__xludf.DUMMYFUNCTION("""COMPUTED_VALUE"""),43404.66666666667)</f>
        <v>43404.66667</v>
      </c>
      <c r="C1805" s="9">
        <f>IFERROR(__xludf.DUMMYFUNCTION("""COMPUTED_VALUE"""),64.47)</f>
        <v>64.47</v>
      </c>
      <c r="E1805" s="17"/>
      <c r="M1805" s="17"/>
      <c r="P1805" s="17"/>
    </row>
    <row r="1806">
      <c r="B1806" s="11">
        <f>IFERROR(__xludf.DUMMYFUNCTION("""COMPUTED_VALUE"""),43403.66666666667)</f>
        <v>43403.66667</v>
      </c>
      <c r="C1806" s="9">
        <f>IFERROR(__xludf.DUMMYFUNCTION("""COMPUTED_VALUE"""),65.62)</f>
        <v>65.62</v>
      </c>
      <c r="E1806" s="17"/>
      <c r="M1806" s="17"/>
      <c r="P1806" s="17"/>
    </row>
    <row r="1807">
      <c r="B1807" s="11">
        <f>IFERROR(__xludf.DUMMYFUNCTION("""COMPUTED_VALUE"""),43402.66666666667)</f>
        <v>43402.66667</v>
      </c>
      <c r="C1807" s="9">
        <f>IFERROR(__xludf.DUMMYFUNCTION("""COMPUTED_VALUE"""),65.3)</f>
        <v>65.3</v>
      </c>
      <c r="E1807" s="17"/>
      <c r="M1807" s="17"/>
      <c r="P1807" s="17"/>
    </row>
    <row r="1808">
      <c r="B1808" s="11">
        <f>IFERROR(__xludf.DUMMYFUNCTION("""COMPUTED_VALUE"""),43399.66666666667)</f>
        <v>43399.66667</v>
      </c>
      <c r="C1808" s="9">
        <f>IFERROR(__xludf.DUMMYFUNCTION("""COMPUTED_VALUE"""),64.43)</f>
        <v>64.43</v>
      </c>
      <c r="E1808" s="17"/>
      <c r="M1808" s="17"/>
      <c r="P1808" s="17"/>
    </row>
    <row r="1809">
      <c r="B1809" s="11">
        <f>IFERROR(__xludf.DUMMYFUNCTION("""COMPUTED_VALUE"""),43398.66666666667)</f>
        <v>43398.66667</v>
      </c>
      <c r="C1809" s="9">
        <f>IFERROR(__xludf.DUMMYFUNCTION("""COMPUTED_VALUE"""),65.89)</f>
        <v>65.89</v>
      </c>
      <c r="E1809" s="17"/>
      <c r="M1809" s="17"/>
      <c r="P1809" s="17"/>
    </row>
    <row r="1810">
      <c r="B1810" s="11">
        <f>IFERROR(__xludf.DUMMYFUNCTION("""COMPUTED_VALUE"""),43397.66666666667)</f>
        <v>43397.66667</v>
      </c>
      <c r="C1810" s="9">
        <f>IFERROR(__xludf.DUMMYFUNCTION("""COMPUTED_VALUE"""),65.27)</f>
        <v>65.27</v>
      </c>
      <c r="E1810" s="17"/>
      <c r="M1810" s="17"/>
      <c r="P1810" s="17"/>
    </row>
    <row r="1811">
      <c r="B1811" s="11">
        <f>IFERROR(__xludf.DUMMYFUNCTION("""COMPUTED_VALUE"""),43396.66666666667)</f>
        <v>43396.66667</v>
      </c>
      <c r="C1811" s="9">
        <f>IFERROR(__xludf.DUMMYFUNCTION("""COMPUTED_VALUE"""),64.04)</f>
        <v>64.04</v>
      </c>
      <c r="E1811" s="17"/>
      <c r="M1811" s="17"/>
      <c r="P1811" s="17"/>
    </row>
    <row r="1812">
      <c r="B1812" s="11">
        <f>IFERROR(__xludf.DUMMYFUNCTION("""COMPUTED_VALUE"""),43395.66666666667)</f>
        <v>43395.66667</v>
      </c>
      <c r="C1812" s="9">
        <f>IFERROR(__xludf.DUMMYFUNCTION("""COMPUTED_VALUE"""),63.26)</f>
        <v>63.26</v>
      </c>
      <c r="E1812" s="17"/>
      <c r="M1812" s="17"/>
      <c r="P1812" s="17"/>
    </row>
    <row r="1813">
      <c r="B1813" s="11">
        <f>IFERROR(__xludf.DUMMYFUNCTION("""COMPUTED_VALUE"""),43392.66666666667)</f>
        <v>43392.66667</v>
      </c>
      <c r="C1813" s="9">
        <f>IFERROR(__xludf.DUMMYFUNCTION("""COMPUTED_VALUE"""),63.59)</f>
        <v>63.59</v>
      </c>
      <c r="E1813" s="17"/>
      <c r="M1813" s="17"/>
      <c r="P1813" s="17"/>
    </row>
    <row r="1814">
      <c r="B1814" s="11">
        <f>IFERROR(__xludf.DUMMYFUNCTION("""COMPUTED_VALUE"""),43391.66666666667)</f>
        <v>43391.66667</v>
      </c>
      <c r="C1814" s="9">
        <f>IFERROR(__xludf.DUMMYFUNCTION("""COMPUTED_VALUE"""),63.07)</f>
        <v>63.07</v>
      </c>
      <c r="E1814" s="17"/>
      <c r="M1814" s="17"/>
      <c r="P1814" s="17"/>
    </row>
    <row r="1815">
      <c r="B1815" s="11">
        <f>IFERROR(__xludf.DUMMYFUNCTION("""COMPUTED_VALUE"""),43390.66666666667)</f>
        <v>43390.66667</v>
      </c>
      <c r="C1815" s="9">
        <f>IFERROR(__xludf.DUMMYFUNCTION("""COMPUTED_VALUE"""),62.86)</f>
        <v>62.86</v>
      </c>
      <c r="E1815" s="17"/>
      <c r="M1815" s="17"/>
      <c r="P1815" s="17"/>
    </row>
    <row r="1816">
      <c r="B1816" s="11">
        <f>IFERROR(__xludf.DUMMYFUNCTION("""COMPUTED_VALUE"""),43389.66666666667)</f>
        <v>43389.66667</v>
      </c>
      <c r="C1816" s="9">
        <f>IFERROR(__xludf.DUMMYFUNCTION("""COMPUTED_VALUE"""),63.86)</f>
        <v>63.86</v>
      </c>
      <c r="E1816" s="17"/>
      <c r="M1816" s="17"/>
      <c r="P1816" s="17"/>
    </row>
    <row r="1817">
      <c r="B1817" s="11">
        <f>IFERROR(__xludf.DUMMYFUNCTION("""COMPUTED_VALUE"""),43388.66666666667)</f>
        <v>43388.66667</v>
      </c>
      <c r="C1817" s="9">
        <f>IFERROR(__xludf.DUMMYFUNCTION("""COMPUTED_VALUE"""),63.07)</f>
        <v>63.07</v>
      </c>
      <c r="E1817" s="17"/>
      <c r="M1817" s="17"/>
      <c r="P1817" s="17"/>
    </row>
    <row r="1818">
      <c r="B1818" s="11">
        <f>IFERROR(__xludf.DUMMYFUNCTION("""COMPUTED_VALUE"""),43385.66666666667)</f>
        <v>43385.66667</v>
      </c>
      <c r="C1818" s="9">
        <f>IFERROR(__xludf.DUMMYFUNCTION("""COMPUTED_VALUE"""),62.54)</f>
        <v>62.54</v>
      </c>
      <c r="E1818" s="17"/>
      <c r="M1818" s="17"/>
      <c r="P1818" s="17"/>
    </row>
    <row r="1819">
      <c r="B1819" s="11">
        <f>IFERROR(__xludf.DUMMYFUNCTION("""COMPUTED_VALUE"""),43384.66666666667)</f>
        <v>43384.66667</v>
      </c>
      <c r="C1819" s="9">
        <f>IFERROR(__xludf.DUMMYFUNCTION("""COMPUTED_VALUE"""),62.84)</f>
        <v>62.84</v>
      </c>
      <c r="E1819" s="17"/>
      <c r="M1819" s="17"/>
      <c r="P1819" s="17"/>
    </row>
    <row r="1820">
      <c r="B1820" s="11">
        <f>IFERROR(__xludf.DUMMYFUNCTION("""COMPUTED_VALUE"""),43383.66666666667)</f>
        <v>43383.66667</v>
      </c>
      <c r="C1820" s="9">
        <f>IFERROR(__xludf.DUMMYFUNCTION("""COMPUTED_VALUE"""),65.56)</f>
        <v>65.56</v>
      </c>
      <c r="E1820" s="17"/>
      <c r="M1820" s="17"/>
      <c r="P1820" s="17"/>
    </row>
    <row r="1821">
      <c r="B1821" s="11">
        <f>IFERROR(__xludf.DUMMYFUNCTION("""COMPUTED_VALUE"""),43382.66666666667)</f>
        <v>43382.66667</v>
      </c>
      <c r="C1821" s="9">
        <f>IFERROR(__xludf.DUMMYFUNCTION("""COMPUTED_VALUE"""),67.06)</f>
        <v>67.06</v>
      </c>
      <c r="E1821" s="17"/>
      <c r="M1821" s="17"/>
      <c r="P1821" s="17"/>
    </row>
    <row r="1822">
      <c r="B1822" s="11">
        <f>IFERROR(__xludf.DUMMYFUNCTION("""COMPUTED_VALUE"""),43381.66666666667)</f>
        <v>43381.66667</v>
      </c>
      <c r="C1822" s="9">
        <f>IFERROR(__xludf.DUMMYFUNCTION("""COMPUTED_VALUE"""),66.2)</f>
        <v>66.2</v>
      </c>
      <c r="E1822" s="17"/>
      <c r="M1822" s="17"/>
      <c r="P1822" s="17"/>
    </row>
    <row r="1823">
      <c r="B1823" s="11">
        <f>IFERROR(__xludf.DUMMYFUNCTION("""COMPUTED_VALUE"""),43378.66666666667)</f>
        <v>43378.66667</v>
      </c>
      <c r="C1823" s="9">
        <f>IFERROR(__xludf.DUMMYFUNCTION("""COMPUTED_VALUE"""),65.24)</f>
        <v>65.24</v>
      </c>
      <c r="E1823" s="17"/>
      <c r="M1823" s="17"/>
      <c r="P1823" s="17"/>
    </row>
    <row r="1824">
      <c r="B1824" s="11">
        <f>IFERROR(__xludf.DUMMYFUNCTION("""COMPUTED_VALUE"""),43377.66666666667)</f>
        <v>43377.66667</v>
      </c>
      <c r="C1824" s="9">
        <f>IFERROR(__xludf.DUMMYFUNCTION("""COMPUTED_VALUE"""),65.53)</f>
        <v>65.53</v>
      </c>
      <c r="E1824" s="17"/>
      <c r="M1824" s="17"/>
      <c r="P1824" s="17"/>
    </row>
    <row r="1825">
      <c r="B1825" s="11">
        <f>IFERROR(__xludf.DUMMYFUNCTION("""COMPUTED_VALUE"""),43376.66666666667)</f>
        <v>43376.66667</v>
      </c>
      <c r="C1825" s="9">
        <f>IFERROR(__xludf.DUMMYFUNCTION("""COMPUTED_VALUE"""),66.03)</f>
        <v>66.03</v>
      </c>
      <c r="E1825" s="17"/>
      <c r="M1825" s="17"/>
      <c r="P1825" s="17"/>
    </row>
    <row r="1826">
      <c r="B1826" s="11">
        <f>IFERROR(__xludf.DUMMYFUNCTION("""COMPUTED_VALUE"""),43375.66666666667)</f>
        <v>43375.66667</v>
      </c>
      <c r="C1826" s="9">
        <f>IFERROR(__xludf.DUMMYFUNCTION("""COMPUTED_VALUE"""),66.42)</f>
        <v>66.42</v>
      </c>
      <c r="E1826" s="17"/>
      <c r="M1826" s="17"/>
      <c r="P1826" s="17"/>
    </row>
    <row r="1827">
      <c r="B1827" s="11">
        <f>IFERROR(__xludf.DUMMYFUNCTION("""COMPUTED_VALUE"""),43374.66666666667)</f>
        <v>43374.66667</v>
      </c>
      <c r="C1827" s="9">
        <f>IFERROR(__xludf.DUMMYFUNCTION("""COMPUTED_VALUE"""),67.24)</f>
        <v>67.24</v>
      </c>
      <c r="E1827" s="17"/>
      <c r="M1827" s="17"/>
      <c r="P1827" s="17"/>
    </row>
    <row r="1828">
      <c r="B1828" s="11">
        <f>IFERROR(__xludf.DUMMYFUNCTION("""COMPUTED_VALUE"""),43371.66666666667)</f>
        <v>43371.66667</v>
      </c>
      <c r="C1828" s="9">
        <f>IFERROR(__xludf.DUMMYFUNCTION("""COMPUTED_VALUE"""),67.79)</f>
        <v>67.79</v>
      </c>
      <c r="E1828" s="17"/>
      <c r="M1828" s="17"/>
      <c r="P1828" s="17"/>
    </row>
    <row r="1829">
      <c r="B1829" s="11">
        <f>IFERROR(__xludf.DUMMYFUNCTION("""COMPUTED_VALUE"""),43370.66666666667)</f>
        <v>43370.66667</v>
      </c>
      <c r="C1829" s="9">
        <f>IFERROR(__xludf.DUMMYFUNCTION("""COMPUTED_VALUE"""),66.46)</f>
        <v>66.46</v>
      </c>
      <c r="E1829" s="17"/>
      <c r="M1829" s="17"/>
      <c r="P1829" s="17"/>
    </row>
    <row r="1830">
      <c r="B1830" s="11">
        <f>IFERROR(__xludf.DUMMYFUNCTION("""COMPUTED_VALUE"""),43369.66666666667)</f>
        <v>43369.66667</v>
      </c>
      <c r="C1830" s="9">
        <f>IFERROR(__xludf.DUMMYFUNCTION("""COMPUTED_VALUE"""),65.99)</f>
        <v>65.99</v>
      </c>
      <c r="E1830" s="17"/>
      <c r="M1830" s="17"/>
      <c r="P1830" s="17"/>
    </row>
    <row r="1831">
      <c r="B1831" s="11">
        <f>IFERROR(__xludf.DUMMYFUNCTION("""COMPUTED_VALUE"""),43368.66666666667)</f>
        <v>43368.66667</v>
      </c>
      <c r="C1831" s="9">
        <f>IFERROR(__xludf.DUMMYFUNCTION("""COMPUTED_VALUE"""),66.38)</f>
        <v>66.38</v>
      </c>
      <c r="E1831" s="17"/>
      <c r="M1831" s="17"/>
      <c r="P1831" s="17"/>
    </row>
    <row r="1832">
      <c r="B1832" s="11">
        <f>IFERROR(__xludf.DUMMYFUNCTION("""COMPUTED_VALUE"""),43367.66666666667)</f>
        <v>43367.66667</v>
      </c>
      <c r="C1832" s="9">
        <f>IFERROR(__xludf.DUMMYFUNCTION("""COMPUTED_VALUE"""),66.32)</f>
        <v>66.32</v>
      </c>
      <c r="E1832" s="17"/>
      <c r="M1832" s="17"/>
      <c r="P1832" s="17"/>
    </row>
    <row r="1833">
      <c r="B1833" s="11">
        <f>IFERROR(__xludf.DUMMYFUNCTION("""COMPUTED_VALUE"""),43364.66666666667)</f>
        <v>43364.66667</v>
      </c>
      <c r="C1833" s="9">
        <f>IFERROR(__xludf.DUMMYFUNCTION("""COMPUTED_VALUE"""),67.49)</f>
        <v>67.49</v>
      </c>
      <c r="E1833" s="17"/>
      <c r="M1833" s="17"/>
      <c r="P1833" s="17"/>
    </row>
    <row r="1834">
      <c r="B1834" s="11">
        <f>IFERROR(__xludf.DUMMYFUNCTION("""COMPUTED_VALUE"""),43363.66666666667)</f>
        <v>43363.66667</v>
      </c>
      <c r="C1834" s="9">
        <f>IFERROR(__xludf.DUMMYFUNCTION("""COMPUTED_VALUE"""),67.36)</f>
        <v>67.36</v>
      </c>
      <c r="E1834" s="17"/>
      <c r="M1834" s="17"/>
      <c r="P1834" s="17"/>
    </row>
    <row r="1835">
      <c r="B1835" s="11">
        <f>IFERROR(__xludf.DUMMYFUNCTION("""COMPUTED_VALUE"""),43362.66666666667)</f>
        <v>43362.66667</v>
      </c>
      <c r="C1835" s="9">
        <f>IFERROR(__xludf.DUMMYFUNCTION("""COMPUTED_VALUE"""),65.95)</f>
        <v>65.95</v>
      </c>
      <c r="E1835" s="17"/>
      <c r="M1835" s="17"/>
      <c r="P1835" s="17"/>
    </row>
    <row r="1836">
      <c r="B1836" s="11">
        <f>IFERROR(__xludf.DUMMYFUNCTION("""COMPUTED_VALUE"""),43361.66666666667)</f>
        <v>43361.66667</v>
      </c>
      <c r="C1836" s="9">
        <f>IFERROR(__xludf.DUMMYFUNCTION("""COMPUTED_VALUE"""),66.73)</f>
        <v>66.73</v>
      </c>
      <c r="E1836" s="17"/>
      <c r="M1836" s="17"/>
      <c r="P1836" s="17"/>
    </row>
    <row r="1837">
      <c r="B1837" s="11">
        <f>IFERROR(__xludf.DUMMYFUNCTION("""COMPUTED_VALUE"""),43360.66666666667)</f>
        <v>43360.66667</v>
      </c>
      <c r="C1837" s="9">
        <f>IFERROR(__xludf.DUMMYFUNCTION("""COMPUTED_VALUE"""),67.52)</f>
        <v>67.52</v>
      </c>
      <c r="E1837" s="17"/>
      <c r="M1837" s="17"/>
      <c r="P1837" s="17"/>
    </row>
    <row r="1838">
      <c r="B1838" s="11">
        <f>IFERROR(__xludf.DUMMYFUNCTION("""COMPUTED_VALUE"""),43357.66666666667)</f>
        <v>43357.66667</v>
      </c>
      <c r="C1838" s="9">
        <f>IFERROR(__xludf.DUMMYFUNCTION("""COMPUTED_VALUE"""),67.23)</f>
        <v>67.23</v>
      </c>
      <c r="E1838" s="17"/>
      <c r="M1838" s="17"/>
      <c r="P1838" s="17"/>
    </row>
    <row r="1839">
      <c r="B1839" s="11">
        <f>IFERROR(__xludf.DUMMYFUNCTION("""COMPUTED_VALUE"""),43356.66666666667)</f>
        <v>43356.66667</v>
      </c>
      <c r="C1839" s="9">
        <f>IFERROR(__xludf.DUMMYFUNCTION("""COMPUTED_VALUE"""),67.59)</f>
        <v>67.59</v>
      </c>
      <c r="E1839" s="17"/>
      <c r="M1839" s="17"/>
      <c r="P1839" s="17"/>
    </row>
    <row r="1840">
      <c r="B1840" s="11">
        <f>IFERROR(__xludf.DUMMYFUNCTION("""COMPUTED_VALUE"""),43355.66666666667)</f>
        <v>43355.66667</v>
      </c>
      <c r="C1840" s="9">
        <f>IFERROR(__xludf.DUMMYFUNCTION("""COMPUTED_VALUE"""),66.43)</f>
        <v>66.43</v>
      </c>
      <c r="E1840" s="17"/>
      <c r="M1840" s="17"/>
      <c r="P1840" s="17"/>
    </row>
    <row r="1841">
      <c r="B1841" s="11">
        <f>IFERROR(__xludf.DUMMYFUNCTION("""COMPUTED_VALUE"""),43354.66666666667)</f>
        <v>43354.66667</v>
      </c>
      <c r="C1841" s="9">
        <f>IFERROR(__xludf.DUMMYFUNCTION("""COMPUTED_VALUE"""),66.39)</f>
        <v>66.39</v>
      </c>
      <c r="E1841" s="17"/>
      <c r="M1841" s="17"/>
      <c r="P1841" s="17"/>
    </row>
    <row r="1842">
      <c r="B1842" s="11">
        <f>IFERROR(__xludf.DUMMYFUNCTION("""COMPUTED_VALUE"""),43353.66666666667)</f>
        <v>43353.66667</v>
      </c>
      <c r="C1842" s="9">
        <f>IFERROR(__xludf.DUMMYFUNCTION("""COMPUTED_VALUE"""),66.54)</f>
        <v>66.54</v>
      </c>
      <c r="E1842" s="17"/>
      <c r="M1842" s="17"/>
      <c r="P1842" s="17"/>
    </row>
    <row r="1843">
      <c r="B1843" s="11">
        <f>IFERROR(__xludf.DUMMYFUNCTION("""COMPUTED_VALUE"""),43350.66666666667)</f>
        <v>43350.66667</v>
      </c>
      <c r="C1843" s="9">
        <f>IFERROR(__xludf.DUMMYFUNCTION("""COMPUTED_VALUE"""),66.0)</f>
        <v>66</v>
      </c>
      <c r="E1843" s="17"/>
      <c r="M1843" s="17"/>
      <c r="P1843" s="17"/>
    </row>
    <row r="1844">
      <c r="B1844" s="11">
        <f>IFERROR(__xludf.DUMMYFUNCTION("""COMPUTED_VALUE"""),43349.66666666667)</f>
        <v>43349.66667</v>
      </c>
      <c r="C1844" s="9">
        <f>IFERROR(__xludf.DUMMYFUNCTION("""COMPUTED_VALUE"""),67.18)</f>
        <v>67.18</v>
      </c>
      <c r="E1844" s="17"/>
      <c r="M1844" s="17"/>
      <c r="P1844" s="17"/>
    </row>
    <row r="1845">
      <c r="B1845" s="11">
        <f>IFERROR(__xludf.DUMMYFUNCTION("""COMPUTED_VALUE"""),43348.66666666667)</f>
        <v>43348.66667</v>
      </c>
      <c r="C1845" s="9">
        <f>IFERROR(__xludf.DUMMYFUNCTION("""COMPUTED_VALUE"""),67.24)</f>
        <v>67.24</v>
      </c>
      <c r="E1845" s="17"/>
      <c r="M1845" s="17"/>
      <c r="P1845" s="17"/>
    </row>
    <row r="1846">
      <c r="B1846" s="11">
        <f>IFERROR(__xludf.DUMMYFUNCTION("""COMPUTED_VALUE"""),43347.66666666667)</f>
        <v>43347.66667</v>
      </c>
      <c r="C1846" s="9">
        <f>IFERROR(__xludf.DUMMYFUNCTION("""COMPUTED_VALUE"""),66.23)</f>
        <v>66.23</v>
      </c>
      <c r="E1846" s="17"/>
      <c r="M1846" s="17"/>
      <c r="P1846" s="17"/>
    </row>
    <row r="1847">
      <c r="B1847" s="11">
        <f>IFERROR(__xludf.DUMMYFUNCTION("""COMPUTED_VALUE"""),43343.66666666667)</f>
        <v>43343.66667</v>
      </c>
      <c r="C1847" s="9">
        <f>IFERROR(__xludf.DUMMYFUNCTION("""COMPUTED_VALUE"""),67.18)</f>
        <v>67.18</v>
      </c>
      <c r="E1847" s="17"/>
      <c r="M1847" s="17"/>
      <c r="P1847" s="17"/>
    </row>
    <row r="1848">
      <c r="B1848" s="11">
        <f>IFERROR(__xludf.DUMMYFUNCTION("""COMPUTED_VALUE"""),43342.66666666667)</f>
        <v>43342.66667</v>
      </c>
      <c r="C1848" s="9">
        <f>IFERROR(__xludf.DUMMYFUNCTION("""COMPUTED_VALUE"""),66.88)</f>
        <v>66.88</v>
      </c>
      <c r="E1848" s="17"/>
      <c r="M1848" s="17"/>
      <c r="P1848" s="17"/>
    </row>
    <row r="1849">
      <c r="B1849" s="11">
        <f>IFERROR(__xludf.DUMMYFUNCTION("""COMPUTED_VALUE"""),43341.66666666667)</f>
        <v>43341.66667</v>
      </c>
      <c r="C1849" s="9">
        <f>IFERROR(__xludf.DUMMYFUNCTION("""COMPUTED_VALUE"""),67.21)</f>
        <v>67.21</v>
      </c>
      <c r="E1849" s="17"/>
      <c r="M1849" s="17"/>
      <c r="P1849" s="17"/>
    </row>
    <row r="1850">
      <c r="B1850" s="11">
        <f>IFERROR(__xludf.DUMMYFUNCTION("""COMPUTED_VALUE"""),43340.66666666667)</f>
        <v>43340.66667</v>
      </c>
      <c r="C1850" s="9">
        <f>IFERROR(__xludf.DUMMYFUNCTION("""COMPUTED_VALUE"""),67.34)</f>
        <v>67.34</v>
      </c>
      <c r="E1850" s="17"/>
      <c r="M1850" s="17"/>
      <c r="P1850" s="17"/>
    </row>
    <row r="1851">
      <c r="B1851" s="11">
        <f>IFERROR(__xludf.DUMMYFUNCTION("""COMPUTED_VALUE"""),43339.66666666667)</f>
        <v>43339.66667</v>
      </c>
      <c r="C1851" s="9">
        <f>IFERROR(__xludf.DUMMYFUNCTION("""COMPUTED_VALUE"""),65.96)</f>
        <v>65.96</v>
      </c>
      <c r="E1851" s="17"/>
      <c r="M1851" s="17"/>
      <c r="P1851" s="17"/>
    </row>
    <row r="1852">
      <c r="B1852" s="11">
        <f>IFERROR(__xludf.DUMMYFUNCTION("""COMPUTED_VALUE"""),43336.66666666667)</f>
        <v>43336.66667</v>
      </c>
      <c r="C1852" s="9">
        <f>IFERROR(__xludf.DUMMYFUNCTION("""COMPUTED_VALUE"""),66.09)</f>
        <v>66.09</v>
      </c>
      <c r="E1852" s="17"/>
      <c r="M1852" s="17"/>
      <c r="P1852" s="17"/>
    </row>
    <row r="1853">
      <c r="B1853" s="11">
        <f>IFERROR(__xludf.DUMMYFUNCTION("""COMPUTED_VALUE"""),43335.66666666667)</f>
        <v>43335.66667</v>
      </c>
      <c r="C1853" s="9">
        <f>IFERROR(__xludf.DUMMYFUNCTION("""COMPUTED_VALUE"""),64.53)</f>
        <v>64.53</v>
      </c>
      <c r="E1853" s="17"/>
      <c r="M1853" s="17"/>
      <c r="P1853" s="17"/>
    </row>
    <row r="1854">
      <c r="B1854" s="11">
        <f>IFERROR(__xludf.DUMMYFUNCTION("""COMPUTED_VALUE"""),43334.66666666667)</f>
        <v>43334.66667</v>
      </c>
      <c r="C1854" s="9">
        <f>IFERROR(__xludf.DUMMYFUNCTION("""COMPUTED_VALUE"""),65.16)</f>
        <v>65.16</v>
      </c>
      <c r="E1854" s="17"/>
      <c r="M1854" s="17"/>
      <c r="P1854" s="17"/>
    </row>
    <row r="1855">
      <c r="B1855" s="11">
        <f>IFERROR(__xludf.DUMMYFUNCTION("""COMPUTED_VALUE"""),43333.66666666667)</f>
        <v>43333.66667</v>
      </c>
      <c r="C1855" s="9">
        <f>IFERROR(__xludf.DUMMYFUNCTION("""COMPUTED_VALUE"""),65.75)</f>
        <v>65.75</v>
      </c>
      <c r="E1855" s="17"/>
      <c r="M1855" s="17"/>
      <c r="P1855" s="17"/>
    </row>
    <row r="1856">
      <c r="B1856" s="11">
        <f>IFERROR(__xludf.DUMMYFUNCTION("""COMPUTED_VALUE"""),43332.66666666667)</f>
        <v>43332.66667</v>
      </c>
      <c r="C1856" s="9">
        <f>IFERROR(__xludf.DUMMYFUNCTION("""COMPUTED_VALUE"""),67.75)</f>
        <v>67.75</v>
      </c>
      <c r="E1856" s="17"/>
      <c r="M1856" s="17"/>
      <c r="P1856" s="17"/>
    </row>
    <row r="1857">
      <c r="B1857" s="11">
        <f>IFERROR(__xludf.DUMMYFUNCTION("""COMPUTED_VALUE"""),43329.66666666667)</f>
        <v>43329.66667</v>
      </c>
      <c r="C1857" s="9">
        <f>IFERROR(__xludf.DUMMYFUNCTION("""COMPUTED_VALUE"""),67.43)</f>
        <v>67.43</v>
      </c>
      <c r="E1857" s="17"/>
      <c r="M1857" s="17"/>
      <c r="P1857" s="17"/>
    </row>
    <row r="1858">
      <c r="B1858" s="11">
        <f>IFERROR(__xludf.DUMMYFUNCTION("""COMPUTED_VALUE"""),43328.66666666667)</f>
        <v>43328.66667</v>
      </c>
      <c r="C1858" s="9">
        <f>IFERROR(__xludf.DUMMYFUNCTION("""COMPUTED_VALUE"""),65.65)</f>
        <v>65.65</v>
      </c>
      <c r="E1858" s="17"/>
      <c r="M1858" s="17"/>
      <c r="P1858" s="17"/>
    </row>
    <row r="1859">
      <c r="B1859" s="11">
        <f>IFERROR(__xludf.DUMMYFUNCTION("""COMPUTED_VALUE"""),43327.66666666667)</f>
        <v>43327.66667</v>
      </c>
      <c r="C1859" s="9">
        <f>IFERROR(__xludf.DUMMYFUNCTION("""COMPUTED_VALUE"""),64.51)</f>
        <v>64.51</v>
      </c>
      <c r="E1859" s="17"/>
      <c r="M1859" s="17"/>
      <c r="P1859" s="17"/>
    </row>
    <row r="1860">
      <c r="B1860" s="11">
        <f>IFERROR(__xludf.DUMMYFUNCTION("""COMPUTED_VALUE"""),43326.66666666667)</f>
        <v>43326.66667</v>
      </c>
      <c r="C1860" s="9">
        <f>IFERROR(__xludf.DUMMYFUNCTION("""COMPUTED_VALUE"""),64.05)</f>
        <v>64.05</v>
      </c>
      <c r="E1860" s="17"/>
      <c r="M1860" s="17"/>
      <c r="P1860" s="17"/>
    </row>
    <row r="1861">
      <c r="B1861" s="11">
        <f>IFERROR(__xludf.DUMMYFUNCTION("""COMPUTED_VALUE"""),43325.66666666667)</f>
        <v>43325.66667</v>
      </c>
      <c r="C1861" s="9">
        <f>IFERROR(__xludf.DUMMYFUNCTION("""COMPUTED_VALUE"""),64.43)</f>
        <v>64.43</v>
      </c>
      <c r="E1861" s="17"/>
      <c r="M1861" s="17"/>
      <c r="P1861" s="17"/>
    </row>
    <row r="1862">
      <c r="B1862" s="11">
        <f>IFERROR(__xludf.DUMMYFUNCTION("""COMPUTED_VALUE"""),43322.66666666667)</f>
        <v>43322.66667</v>
      </c>
      <c r="C1862" s="9">
        <f>IFERROR(__xludf.DUMMYFUNCTION("""COMPUTED_VALUE"""),64.57)</f>
        <v>64.57</v>
      </c>
      <c r="E1862" s="17"/>
      <c r="M1862" s="17"/>
      <c r="P1862" s="17"/>
    </row>
    <row r="1863">
      <c r="B1863" s="11">
        <f>IFERROR(__xludf.DUMMYFUNCTION("""COMPUTED_VALUE"""),43321.66666666667)</f>
        <v>43321.66667</v>
      </c>
      <c r="C1863" s="9">
        <f>IFERROR(__xludf.DUMMYFUNCTION("""COMPUTED_VALUE"""),65.37)</f>
        <v>65.37</v>
      </c>
      <c r="E1863" s="17"/>
      <c r="M1863" s="17"/>
      <c r="P1863" s="17"/>
    </row>
    <row r="1864">
      <c r="B1864" s="11">
        <f>IFERROR(__xludf.DUMMYFUNCTION("""COMPUTED_VALUE"""),43320.66666666667)</f>
        <v>43320.66667</v>
      </c>
      <c r="C1864" s="9">
        <f>IFERROR(__xludf.DUMMYFUNCTION("""COMPUTED_VALUE"""),65.7)</f>
        <v>65.7</v>
      </c>
      <c r="E1864" s="17"/>
      <c r="M1864" s="17"/>
      <c r="P1864" s="17"/>
    </row>
    <row r="1865">
      <c r="B1865" s="11">
        <f>IFERROR(__xludf.DUMMYFUNCTION("""COMPUTED_VALUE"""),43319.66666666667)</f>
        <v>43319.66667</v>
      </c>
      <c r="C1865" s="9">
        <f>IFERROR(__xludf.DUMMYFUNCTION("""COMPUTED_VALUE"""),65.66)</f>
        <v>65.66</v>
      </c>
      <c r="E1865" s="17"/>
      <c r="M1865" s="17"/>
      <c r="P1865" s="17"/>
    </row>
    <row r="1866">
      <c r="B1866" s="11">
        <f>IFERROR(__xludf.DUMMYFUNCTION("""COMPUTED_VALUE"""),43318.66666666667)</f>
        <v>43318.66667</v>
      </c>
      <c r="C1866" s="9">
        <f>IFERROR(__xludf.DUMMYFUNCTION("""COMPUTED_VALUE"""),66.48)</f>
        <v>66.48</v>
      </c>
      <c r="E1866" s="17"/>
      <c r="M1866" s="17"/>
      <c r="P1866" s="17"/>
    </row>
    <row r="1867">
      <c r="B1867" s="11">
        <f>IFERROR(__xludf.DUMMYFUNCTION("""COMPUTED_VALUE"""),43315.66666666667)</f>
        <v>43315.66667</v>
      </c>
      <c r="C1867" s="9">
        <f>IFERROR(__xludf.DUMMYFUNCTION("""COMPUTED_VALUE"""),66.81)</f>
        <v>66.81</v>
      </c>
      <c r="E1867" s="17"/>
      <c r="M1867" s="17"/>
      <c r="P1867" s="17"/>
    </row>
    <row r="1868">
      <c r="B1868" s="11">
        <f>IFERROR(__xludf.DUMMYFUNCTION("""COMPUTED_VALUE"""),43314.66666666667)</f>
        <v>43314.66667</v>
      </c>
      <c r="C1868" s="9">
        <f>IFERROR(__xludf.DUMMYFUNCTION("""COMPUTED_VALUE"""),65.85)</f>
        <v>65.85</v>
      </c>
      <c r="E1868" s="17"/>
      <c r="M1868" s="17"/>
      <c r="P1868" s="17"/>
    </row>
    <row r="1869">
      <c r="B1869" s="11">
        <f>IFERROR(__xludf.DUMMYFUNCTION("""COMPUTED_VALUE"""),43313.66666666667)</f>
        <v>43313.66667</v>
      </c>
      <c r="C1869" s="9">
        <f>IFERROR(__xludf.DUMMYFUNCTION("""COMPUTED_VALUE"""),66.11)</f>
        <v>66.11</v>
      </c>
      <c r="E1869" s="17"/>
      <c r="M1869" s="17"/>
      <c r="P1869" s="17"/>
    </row>
    <row r="1870">
      <c r="B1870" s="11">
        <f>IFERROR(__xludf.DUMMYFUNCTION("""COMPUTED_VALUE"""),43312.66666666667)</f>
        <v>43312.66667</v>
      </c>
      <c r="C1870" s="9">
        <f>IFERROR(__xludf.DUMMYFUNCTION("""COMPUTED_VALUE"""),65.62)</f>
        <v>65.62</v>
      </c>
      <c r="E1870" s="17"/>
      <c r="M1870" s="17"/>
      <c r="P1870" s="17"/>
    </row>
    <row r="1871">
      <c r="B1871" s="11">
        <f>IFERROR(__xludf.DUMMYFUNCTION("""COMPUTED_VALUE"""),43311.66666666667)</f>
        <v>43311.66667</v>
      </c>
      <c r="C1871" s="9">
        <f>IFERROR(__xludf.DUMMYFUNCTION("""COMPUTED_VALUE"""),65.0)</f>
        <v>65</v>
      </c>
      <c r="E1871" s="17"/>
      <c r="M1871" s="17"/>
      <c r="P1871" s="17"/>
    </row>
    <row r="1872">
      <c r="B1872" s="11">
        <f>IFERROR(__xludf.DUMMYFUNCTION("""COMPUTED_VALUE"""),43308.66666666667)</f>
        <v>43308.66667</v>
      </c>
      <c r="C1872" s="9">
        <f>IFERROR(__xludf.DUMMYFUNCTION("""COMPUTED_VALUE"""),65.0)</f>
        <v>65</v>
      </c>
      <c r="E1872" s="17"/>
      <c r="M1872" s="17"/>
      <c r="P1872" s="17"/>
    </row>
    <row r="1873">
      <c r="B1873" s="11">
        <f>IFERROR(__xludf.DUMMYFUNCTION("""COMPUTED_VALUE"""),43307.66666666667)</f>
        <v>43307.66667</v>
      </c>
      <c r="C1873" s="9">
        <f>IFERROR(__xludf.DUMMYFUNCTION("""COMPUTED_VALUE"""),65.14)</f>
        <v>65.14</v>
      </c>
      <c r="E1873" s="17"/>
      <c r="M1873" s="17"/>
      <c r="P1873" s="17"/>
    </row>
    <row r="1874">
      <c r="B1874" s="11">
        <f>IFERROR(__xludf.DUMMYFUNCTION("""COMPUTED_VALUE"""),43306.66666666667)</f>
        <v>43306.66667</v>
      </c>
      <c r="C1874" s="9">
        <f>IFERROR(__xludf.DUMMYFUNCTION("""COMPUTED_VALUE"""),63.76)</f>
        <v>63.76</v>
      </c>
      <c r="E1874" s="17"/>
      <c r="M1874" s="17"/>
      <c r="P1874" s="17"/>
    </row>
    <row r="1875">
      <c r="B1875" s="11">
        <f>IFERROR(__xludf.DUMMYFUNCTION("""COMPUTED_VALUE"""),43305.66666666667)</f>
        <v>43305.66667</v>
      </c>
      <c r="C1875" s="9">
        <f>IFERROR(__xludf.DUMMYFUNCTION("""COMPUTED_VALUE"""),62.36)</f>
        <v>62.36</v>
      </c>
      <c r="E1875" s="17"/>
      <c r="M1875" s="17"/>
      <c r="P1875" s="17"/>
    </row>
    <row r="1876">
      <c r="B1876" s="11">
        <f>IFERROR(__xludf.DUMMYFUNCTION("""COMPUTED_VALUE"""),43304.66666666667)</f>
        <v>43304.66667</v>
      </c>
      <c r="C1876" s="9">
        <f>IFERROR(__xludf.DUMMYFUNCTION("""COMPUTED_VALUE"""),62.57)</f>
        <v>62.57</v>
      </c>
      <c r="E1876" s="17"/>
      <c r="M1876" s="17"/>
      <c r="P1876" s="17"/>
    </row>
    <row r="1877">
      <c r="B1877" s="11">
        <f>IFERROR(__xludf.DUMMYFUNCTION("""COMPUTED_VALUE"""),43301.66666666667)</f>
        <v>43301.66667</v>
      </c>
      <c r="C1877" s="9">
        <f>IFERROR(__xludf.DUMMYFUNCTION("""COMPUTED_VALUE"""),62.44)</f>
        <v>62.44</v>
      </c>
      <c r="E1877" s="17"/>
      <c r="M1877" s="17"/>
      <c r="P1877" s="17"/>
    </row>
    <row r="1878">
      <c r="B1878" s="11">
        <f>IFERROR(__xludf.DUMMYFUNCTION("""COMPUTED_VALUE"""),43300.66666666667)</f>
        <v>43300.66667</v>
      </c>
      <c r="C1878" s="9">
        <f>IFERROR(__xludf.DUMMYFUNCTION("""COMPUTED_VALUE"""),63.5)</f>
        <v>63.5</v>
      </c>
      <c r="E1878" s="17"/>
      <c r="M1878" s="17"/>
      <c r="P1878" s="17"/>
    </row>
    <row r="1879">
      <c r="B1879" s="11">
        <f>IFERROR(__xludf.DUMMYFUNCTION("""COMPUTED_VALUE"""),43299.66666666667)</f>
        <v>43299.66667</v>
      </c>
      <c r="C1879" s="9">
        <f>IFERROR(__xludf.DUMMYFUNCTION("""COMPUTED_VALUE"""),62.97)</f>
        <v>62.97</v>
      </c>
      <c r="E1879" s="17"/>
      <c r="M1879" s="17"/>
      <c r="P1879" s="17"/>
    </row>
    <row r="1880">
      <c r="B1880" s="11">
        <f>IFERROR(__xludf.DUMMYFUNCTION("""COMPUTED_VALUE"""),43298.66666666667)</f>
        <v>43298.66667</v>
      </c>
      <c r="C1880" s="9">
        <f>IFERROR(__xludf.DUMMYFUNCTION("""COMPUTED_VALUE"""),63.42)</f>
        <v>63.42</v>
      </c>
      <c r="E1880" s="17"/>
      <c r="M1880" s="17"/>
      <c r="P1880" s="17"/>
    </row>
    <row r="1881">
      <c r="B1881" s="11">
        <f>IFERROR(__xludf.DUMMYFUNCTION("""COMPUTED_VALUE"""),43297.66666666667)</f>
        <v>43297.66667</v>
      </c>
      <c r="C1881" s="9">
        <f>IFERROR(__xludf.DUMMYFUNCTION("""COMPUTED_VALUE"""),65.04)</f>
        <v>65.04</v>
      </c>
      <c r="E1881" s="17"/>
      <c r="M1881" s="17"/>
      <c r="P1881" s="17"/>
    </row>
    <row r="1882">
      <c r="B1882" s="11">
        <f>IFERROR(__xludf.DUMMYFUNCTION("""COMPUTED_VALUE"""),43294.66666666667)</f>
        <v>43294.66667</v>
      </c>
      <c r="C1882" s="9">
        <f>IFERROR(__xludf.DUMMYFUNCTION("""COMPUTED_VALUE"""),65.53)</f>
        <v>65.53</v>
      </c>
      <c r="E1882" s="17"/>
      <c r="M1882" s="17"/>
      <c r="P1882" s="17"/>
    </row>
    <row r="1883">
      <c r="B1883" s="11">
        <f>IFERROR(__xludf.DUMMYFUNCTION("""COMPUTED_VALUE"""),43293.66666666667)</f>
        <v>43293.66667</v>
      </c>
      <c r="C1883" s="9">
        <f>IFERROR(__xludf.DUMMYFUNCTION("""COMPUTED_VALUE"""),65.67)</f>
        <v>65.67</v>
      </c>
      <c r="E1883" s="17"/>
      <c r="M1883" s="17"/>
      <c r="P1883" s="17"/>
    </row>
    <row r="1884">
      <c r="B1884" s="11">
        <f>IFERROR(__xludf.DUMMYFUNCTION("""COMPUTED_VALUE"""),43292.66666666667)</f>
        <v>43292.66667</v>
      </c>
      <c r="C1884" s="9">
        <f>IFERROR(__xludf.DUMMYFUNCTION("""COMPUTED_VALUE"""),65.4)</f>
        <v>65.4</v>
      </c>
      <c r="E1884" s="17"/>
      <c r="M1884" s="17"/>
      <c r="P1884" s="17"/>
    </row>
    <row r="1885">
      <c r="B1885" s="11">
        <f>IFERROR(__xludf.DUMMYFUNCTION("""COMPUTED_VALUE"""),43291.66666666667)</f>
        <v>43291.66667</v>
      </c>
      <c r="C1885" s="9">
        <f>IFERROR(__xludf.DUMMYFUNCTION("""COMPUTED_VALUE"""),65.83)</f>
        <v>65.83</v>
      </c>
      <c r="E1885" s="17"/>
      <c r="M1885" s="17"/>
      <c r="P1885" s="17"/>
    </row>
    <row r="1886">
      <c r="B1886" s="11">
        <f>IFERROR(__xludf.DUMMYFUNCTION("""COMPUTED_VALUE"""),43290.66666666667)</f>
        <v>43290.66667</v>
      </c>
      <c r="C1886" s="9">
        <f>IFERROR(__xludf.DUMMYFUNCTION("""COMPUTED_VALUE"""),65.8)</f>
        <v>65.8</v>
      </c>
      <c r="E1886" s="17"/>
      <c r="M1886" s="17"/>
      <c r="P1886" s="17"/>
    </row>
    <row r="1887">
      <c r="B1887" s="11">
        <f>IFERROR(__xludf.DUMMYFUNCTION("""COMPUTED_VALUE"""),43287.66666666667)</f>
        <v>43287.66667</v>
      </c>
      <c r="C1887" s="9">
        <f>IFERROR(__xludf.DUMMYFUNCTION("""COMPUTED_VALUE"""),66.2)</f>
        <v>66.2</v>
      </c>
      <c r="E1887" s="17"/>
      <c r="M1887" s="17"/>
      <c r="P1887" s="17"/>
    </row>
    <row r="1888">
      <c r="B1888" s="11">
        <f>IFERROR(__xludf.DUMMYFUNCTION("""COMPUTED_VALUE"""),43286.66666666667)</f>
        <v>43286.66667</v>
      </c>
      <c r="C1888" s="9">
        <f>IFERROR(__xludf.DUMMYFUNCTION("""COMPUTED_VALUE"""),65.98)</f>
        <v>65.98</v>
      </c>
      <c r="E1888" s="17"/>
      <c r="M1888" s="17"/>
      <c r="P1888" s="17"/>
    </row>
    <row r="1889">
      <c r="B1889" s="11">
        <f>IFERROR(__xludf.DUMMYFUNCTION("""COMPUTED_VALUE"""),43284.54166666667)</f>
        <v>43284.54167</v>
      </c>
      <c r="C1889" s="9">
        <f>IFERROR(__xludf.DUMMYFUNCTION("""COMPUTED_VALUE"""),65.05)</f>
        <v>65.05</v>
      </c>
      <c r="E1889" s="17"/>
      <c r="M1889" s="17"/>
      <c r="P1889" s="17"/>
    </row>
    <row r="1890">
      <c r="B1890" s="11">
        <f>IFERROR(__xludf.DUMMYFUNCTION("""COMPUTED_VALUE"""),43283.66666666667)</f>
        <v>43283.66667</v>
      </c>
      <c r="C1890" s="9">
        <f>IFERROR(__xludf.DUMMYFUNCTION("""COMPUTED_VALUE"""),64.52)</f>
        <v>64.52</v>
      </c>
      <c r="E1890" s="17"/>
      <c r="M1890" s="17"/>
      <c r="P1890" s="17"/>
    </row>
    <row r="1891">
      <c r="B1891" s="11">
        <f>IFERROR(__xludf.DUMMYFUNCTION("""COMPUTED_VALUE"""),43280.66666666667)</f>
        <v>43280.66667</v>
      </c>
      <c r="C1891" s="9">
        <f>IFERROR(__xludf.DUMMYFUNCTION("""COMPUTED_VALUE"""),65.69)</f>
        <v>65.69</v>
      </c>
      <c r="E1891" s="17"/>
      <c r="M1891" s="17"/>
      <c r="P1891" s="17"/>
    </row>
    <row r="1892">
      <c r="B1892" s="11">
        <f>IFERROR(__xludf.DUMMYFUNCTION("""COMPUTED_VALUE"""),43279.66666666667)</f>
        <v>43279.66667</v>
      </c>
      <c r="C1892" s="9">
        <f>IFERROR(__xludf.DUMMYFUNCTION("""COMPUTED_VALUE"""),65.15)</f>
        <v>65.15</v>
      </c>
      <c r="E1892" s="17"/>
      <c r="M1892" s="17"/>
      <c r="P1892" s="17"/>
    </row>
    <row r="1893">
      <c r="B1893" s="11">
        <f>IFERROR(__xludf.DUMMYFUNCTION("""COMPUTED_VALUE"""),43278.66666666667)</f>
        <v>43278.66667</v>
      </c>
      <c r="C1893" s="9">
        <f>IFERROR(__xludf.DUMMYFUNCTION("""COMPUTED_VALUE"""),64.41)</f>
        <v>64.41</v>
      </c>
      <c r="E1893" s="17"/>
      <c r="M1893" s="17"/>
      <c r="P1893" s="17"/>
    </row>
    <row r="1894">
      <c r="B1894" s="11">
        <f>IFERROR(__xludf.DUMMYFUNCTION("""COMPUTED_VALUE"""),43277.66666666667)</f>
        <v>43277.66667</v>
      </c>
      <c r="C1894" s="9">
        <f>IFERROR(__xludf.DUMMYFUNCTION("""COMPUTED_VALUE"""),64.02)</f>
        <v>64.02</v>
      </c>
      <c r="E1894" s="17"/>
      <c r="M1894" s="17"/>
      <c r="P1894" s="17"/>
    </row>
    <row r="1895">
      <c r="B1895" s="11">
        <f>IFERROR(__xludf.DUMMYFUNCTION("""COMPUTED_VALUE"""),43276.66666666667)</f>
        <v>43276.66667</v>
      </c>
      <c r="C1895" s="9">
        <f>IFERROR(__xludf.DUMMYFUNCTION("""COMPUTED_VALUE"""),64.14)</f>
        <v>64.14</v>
      </c>
      <c r="E1895" s="17"/>
      <c r="M1895" s="17"/>
      <c r="P1895" s="17"/>
    </row>
    <row r="1896">
      <c r="B1896" s="11">
        <f>IFERROR(__xludf.DUMMYFUNCTION("""COMPUTED_VALUE"""),43273.66666666667)</f>
        <v>43273.66667</v>
      </c>
      <c r="C1896" s="9">
        <f>IFERROR(__xludf.DUMMYFUNCTION("""COMPUTED_VALUE"""),64.31)</f>
        <v>64.31</v>
      </c>
      <c r="E1896" s="17"/>
      <c r="M1896" s="17"/>
      <c r="P1896" s="17"/>
    </row>
    <row r="1897">
      <c r="B1897" s="11">
        <f>IFERROR(__xludf.DUMMYFUNCTION("""COMPUTED_VALUE"""),43272.66666666667)</f>
        <v>43272.66667</v>
      </c>
      <c r="C1897" s="9">
        <f>IFERROR(__xludf.DUMMYFUNCTION("""COMPUTED_VALUE"""),63.95)</f>
        <v>63.95</v>
      </c>
      <c r="E1897" s="17"/>
      <c r="M1897" s="17"/>
      <c r="P1897" s="17"/>
    </row>
    <row r="1898">
      <c r="B1898" s="11">
        <f>IFERROR(__xludf.DUMMYFUNCTION("""COMPUTED_VALUE"""),43271.66666666667)</f>
        <v>43271.66667</v>
      </c>
      <c r="C1898" s="9">
        <f>IFERROR(__xludf.DUMMYFUNCTION("""COMPUTED_VALUE"""),64.11)</f>
        <v>64.11</v>
      </c>
      <c r="E1898" s="17"/>
      <c r="M1898" s="17"/>
      <c r="P1898" s="17"/>
    </row>
    <row r="1899">
      <c r="B1899" s="11">
        <f>IFERROR(__xludf.DUMMYFUNCTION("""COMPUTED_VALUE"""),43270.66666666667)</f>
        <v>43270.66667</v>
      </c>
      <c r="C1899" s="9">
        <f>IFERROR(__xludf.DUMMYFUNCTION("""COMPUTED_VALUE"""),63.51)</f>
        <v>63.51</v>
      </c>
      <c r="E1899" s="17"/>
      <c r="M1899" s="17"/>
      <c r="P1899" s="17"/>
    </row>
    <row r="1900">
      <c r="B1900" s="11">
        <f>IFERROR(__xludf.DUMMYFUNCTION("""COMPUTED_VALUE"""),43269.66666666667)</f>
        <v>43269.66667</v>
      </c>
      <c r="C1900" s="9">
        <f>IFERROR(__xludf.DUMMYFUNCTION("""COMPUTED_VALUE"""),64.17)</f>
        <v>64.17</v>
      </c>
      <c r="E1900" s="17"/>
      <c r="M1900" s="17"/>
      <c r="P1900" s="17"/>
    </row>
    <row r="1901">
      <c r="B1901" s="11">
        <f>IFERROR(__xludf.DUMMYFUNCTION("""COMPUTED_VALUE"""),43266.66666666667)</f>
        <v>43266.66667</v>
      </c>
      <c r="C1901" s="9">
        <f>IFERROR(__xludf.DUMMYFUNCTION("""COMPUTED_VALUE"""),63.95)</f>
        <v>63.95</v>
      </c>
      <c r="E1901" s="17"/>
      <c r="M1901" s="17"/>
      <c r="P1901" s="17"/>
    </row>
    <row r="1902">
      <c r="B1902" s="11">
        <f>IFERROR(__xludf.DUMMYFUNCTION("""COMPUTED_VALUE"""),43265.66666666667)</f>
        <v>43265.66667</v>
      </c>
      <c r="C1902" s="9">
        <f>IFERROR(__xludf.DUMMYFUNCTION("""COMPUTED_VALUE"""),64.42)</f>
        <v>64.42</v>
      </c>
      <c r="E1902" s="17"/>
      <c r="M1902" s="17"/>
      <c r="P1902" s="17"/>
    </row>
    <row r="1903">
      <c r="B1903" s="11">
        <f>IFERROR(__xludf.DUMMYFUNCTION("""COMPUTED_VALUE"""),43264.66666666667)</f>
        <v>43264.66667</v>
      </c>
      <c r="C1903" s="9">
        <f>IFERROR(__xludf.DUMMYFUNCTION("""COMPUTED_VALUE"""),64.23)</f>
        <v>64.23</v>
      </c>
      <c r="E1903" s="17"/>
      <c r="M1903" s="17"/>
      <c r="P1903" s="17"/>
    </row>
    <row r="1904">
      <c r="B1904" s="11">
        <f>IFERROR(__xludf.DUMMYFUNCTION("""COMPUTED_VALUE"""),43263.66666666667)</f>
        <v>43263.66667</v>
      </c>
      <c r="C1904" s="9">
        <f>IFERROR(__xludf.DUMMYFUNCTION("""COMPUTED_VALUE"""),65.51)</f>
        <v>65.51</v>
      </c>
      <c r="E1904" s="17"/>
      <c r="M1904" s="17"/>
      <c r="P1904" s="17"/>
    </row>
    <row r="1905">
      <c r="B1905" s="11">
        <f>IFERROR(__xludf.DUMMYFUNCTION("""COMPUTED_VALUE"""),43262.66666666667)</f>
        <v>43262.66667</v>
      </c>
      <c r="C1905" s="9">
        <f>IFERROR(__xludf.DUMMYFUNCTION("""COMPUTED_VALUE"""),65.48)</f>
        <v>65.48</v>
      </c>
      <c r="E1905" s="17"/>
      <c r="M1905" s="17"/>
      <c r="P1905" s="17"/>
    </row>
    <row r="1906">
      <c r="B1906" s="11">
        <f>IFERROR(__xludf.DUMMYFUNCTION("""COMPUTED_VALUE"""),43259.66666666667)</f>
        <v>43259.66667</v>
      </c>
      <c r="C1906" s="9">
        <f>IFERROR(__xludf.DUMMYFUNCTION("""COMPUTED_VALUE"""),65.95)</f>
        <v>65.95</v>
      </c>
      <c r="E1906" s="17"/>
      <c r="M1906" s="17"/>
      <c r="P1906" s="17"/>
    </row>
    <row r="1907">
      <c r="B1907" s="11">
        <f>IFERROR(__xludf.DUMMYFUNCTION("""COMPUTED_VALUE"""),43258.66666666667)</f>
        <v>43258.66667</v>
      </c>
      <c r="C1907" s="9">
        <f>IFERROR(__xludf.DUMMYFUNCTION("""COMPUTED_VALUE"""),65.96)</f>
        <v>65.96</v>
      </c>
      <c r="E1907" s="17"/>
      <c r="M1907" s="17"/>
      <c r="P1907" s="17"/>
    </row>
    <row r="1908">
      <c r="B1908" s="11">
        <f>IFERROR(__xludf.DUMMYFUNCTION("""COMPUTED_VALUE"""),43257.66666666667)</f>
        <v>43257.66667</v>
      </c>
      <c r="C1908" s="9">
        <f>IFERROR(__xludf.DUMMYFUNCTION("""COMPUTED_VALUE"""),65.94)</f>
        <v>65.94</v>
      </c>
      <c r="E1908" s="17"/>
      <c r="M1908" s="17"/>
      <c r="P1908" s="17"/>
    </row>
    <row r="1909">
      <c r="B1909" s="11">
        <f>IFERROR(__xludf.DUMMYFUNCTION("""COMPUTED_VALUE"""),43256.66666666667)</f>
        <v>43256.66667</v>
      </c>
      <c r="C1909" s="9">
        <f>IFERROR(__xludf.DUMMYFUNCTION("""COMPUTED_VALUE"""),66.04)</f>
        <v>66.04</v>
      </c>
      <c r="E1909" s="17"/>
      <c r="M1909" s="17"/>
      <c r="P1909" s="17"/>
    </row>
    <row r="1910">
      <c r="B1910" s="11">
        <f>IFERROR(__xludf.DUMMYFUNCTION("""COMPUTED_VALUE"""),43255.66666666667)</f>
        <v>43255.66667</v>
      </c>
      <c r="C1910" s="9">
        <f>IFERROR(__xludf.DUMMYFUNCTION("""COMPUTED_VALUE"""),66.25)</f>
        <v>66.25</v>
      </c>
      <c r="E1910" s="17"/>
      <c r="M1910" s="17"/>
      <c r="P1910" s="17"/>
    </row>
    <row r="1911">
      <c r="B1911" s="11">
        <f>IFERROR(__xludf.DUMMYFUNCTION("""COMPUTED_VALUE"""),43252.66666666667)</f>
        <v>43252.66667</v>
      </c>
      <c r="C1911" s="9">
        <f>IFERROR(__xludf.DUMMYFUNCTION("""COMPUTED_VALUE"""),65.11)</f>
        <v>65.11</v>
      </c>
      <c r="E1911" s="17"/>
      <c r="M1911" s="17"/>
      <c r="P1911" s="17"/>
    </row>
    <row r="1912">
      <c r="B1912" s="11">
        <f>IFERROR(__xludf.DUMMYFUNCTION("""COMPUTED_VALUE"""),43251.66666666667)</f>
        <v>43251.66667</v>
      </c>
      <c r="C1912" s="9">
        <f>IFERROR(__xludf.DUMMYFUNCTION("""COMPUTED_VALUE"""),64.35)</f>
        <v>64.35</v>
      </c>
      <c r="E1912" s="17"/>
      <c r="M1912" s="17"/>
      <c r="P1912" s="17"/>
    </row>
    <row r="1913">
      <c r="B1913" s="11">
        <f>IFERROR(__xludf.DUMMYFUNCTION("""COMPUTED_VALUE"""),43250.66666666667)</f>
        <v>43250.66667</v>
      </c>
      <c r="C1913" s="9">
        <f>IFERROR(__xludf.DUMMYFUNCTION("""COMPUTED_VALUE"""),64.8)</f>
        <v>64.8</v>
      </c>
      <c r="E1913" s="17"/>
      <c r="M1913" s="17"/>
      <c r="P1913" s="17"/>
    </row>
    <row r="1914">
      <c r="B1914" s="11">
        <f>IFERROR(__xludf.DUMMYFUNCTION("""COMPUTED_VALUE"""),43249.66666666667)</f>
        <v>43249.66667</v>
      </c>
      <c r="C1914" s="9">
        <f>IFERROR(__xludf.DUMMYFUNCTION("""COMPUTED_VALUE"""),64.31)</f>
        <v>64.31</v>
      </c>
      <c r="E1914" s="17"/>
      <c r="M1914" s="17"/>
      <c r="P1914" s="17"/>
    </row>
    <row r="1915">
      <c r="B1915" s="11">
        <f>IFERROR(__xludf.DUMMYFUNCTION("""COMPUTED_VALUE"""),43245.66666666667)</f>
        <v>43245.66667</v>
      </c>
      <c r="C1915" s="9">
        <f>IFERROR(__xludf.DUMMYFUNCTION("""COMPUTED_VALUE"""),64.41)</f>
        <v>64.41</v>
      </c>
      <c r="E1915" s="17"/>
      <c r="M1915" s="17"/>
      <c r="P1915" s="17"/>
    </row>
    <row r="1916">
      <c r="B1916" s="11">
        <f>IFERROR(__xludf.DUMMYFUNCTION("""COMPUTED_VALUE"""),43244.66666666667)</f>
        <v>43244.66667</v>
      </c>
      <c r="C1916" s="9">
        <f>IFERROR(__xludf.DUMMYFUNCTION("""COMPUTED_VALUE"""),64.48)</f>
        <v>64.48</v>
      </c>
      <c r="E1916" s="17"/>
      <c r="M1916" s="17"/>
      <c r="P1916" s="17"/>
    </row>
    <row r="1917">
      <c r="B1917" s="11">
        <f>IFERROR(__xludf.DUMMYFUNCTION("""COMPUTED_VALUE"""),43243.66666666667)</f>
        <v>43243.66667</v>
      </c>
      <c r="C1917" s="9">
        <f>IFERROR(__xludf.DUMMYFUNCTION("""COMPUTED_VALUE"""),64.77)</f>
        <v>64.77</v>
      </c>
      <c r="E1917" s="17"/>
      <c r="M1917" s="17"/>
      <c r="P1917" s="17"/>
    </row>
    <row r="1918">
      <c r="B1918" s="11">
        <f>IFERROR(__xludf.DUMMYFUNCTION("""COMPUTED_VALUE"""),43242.66666666667)</f>
        <v>43242.66667</v>
      </c>
      <c r="C1918" s="9">
        <f>IFERROR(__xludf.DUMMYFUNCTION("""COMPUTED_VALUE"""),63.77)</f>
        <v>63.77</v>
      </c>
      <c r="E1918" s="17"/>
      <c r="M1918" s="17"/>
      <c r="P1918" s="17"/>
    </row>
    <row r="1919">
      <c r="B1919" s="11">
        <f>IFERROR(__xludf.DUMMYFUNCTION("""COMPUTED_VALUE"""),43241.66666666667)</f>
        <v>43241.66667</v>
      </c>
      <c r="C1919" s="9">
        <f>IFERROR(__xludf.DUMMYFUNCTION("""COMPUTED_VALUE"""),63.82)</f>
        <v>63.82</v>
      </c>
      <c r="E1919" s="17"/>
      <c r="M1919" s="17"/>
      <c r="P1919" s="17"/>
    </row>
    <row r="1920">
      <c r="B1920" s="11">
        <f>IFERROR(__xludf.DUMMYFUNCTION("""COMPUTED_VALUE"""),43238.66666666667)</f>
        <v>43238.66667</v>
      </c>
      <c r="C1920" s="9">
        <f>IFERROR(__xludf.DUMMYFUNCTION("""COMPUTED_VALUE"""),63.24)</f>
        <v>63.24</v>
      </c>
      <c r="E1920" s="17"/>
      <c r="M1920" s="17"/>
      <c r="P1920" s="17"/>
    </row>
    <row r="1921">
      <c r="B1921" s="11">
        <f>IFERROR(__xludf.DUMMYFUNCTION("""COMPUTED_VALUE"""),43237.66666666667)</f>
        <v>43237.66667</v>
      </c>
      <c r="C1921" s="9">
        <f>IFERROR(__xludf.DUMMYFUNCTION("""COMPUTED_VALUE"""),63.28)</f>
        <v>63.28</v>
      </c>
      <c r="E1921" s="17"/>
      <c r="M1921" s="17"/>
      <c r="P1921" s="17"/>
    </row>
    <row r="1922">
      <c r="B1922" s="11">
        <f>IFERROR(__xludf.DUMMYFUNCTION("""COMPUTED_VALUE"""),43236.66666666667)</f>
        <v>43236.66667</v>
      </c>
      <c r="C1922" s="9">
        <f>IFERROR(__xludf.DUMMYFUNCTION("""COMPUTED_VALUE"""),63.4)</f>
        <v>63.4</v>
      </c>
      <c r="E1922" s="17"/>
      <c r="M1922" s="17"/>
      <c r="P1922" s="17"/>
    </row>
    <row r="1923">
      <c r="B1923" s="11">
        <f>IFERROR(__xludf.DUMMYFUNCTION("""COMPUTED_VALUE"""),43235.66666666667)</f>
        <v>43235.66667</v>
      </c>
      <c r="C1923" s="9">
        <f>IFERROR(__xludf.DUMMYFUNCTION("""COMPUTED_VALUE"""),64.22)</f>
        <v>64.22</v>
      </c>
      <c r="E1923" s="17"/>
      <c r="M1923" s="17"/>
      <c r="P1923" s="17"/>
    </row>
    <row r="1924">
      <c r="B1924" s="11">
        <f>IFERROR(__xludf.DUMMYFUNCTION("""COMPUTED_VALUE"""),43234.66666666667)</f>
        <v>43234.66667</v>
      </c>
      <c r="C1924" s="9">
        <f>IFERROR(__xludf.DUMMYFUNCTION("""COMPUTED_VALUE"""),65.21)</f>
        <v>65.21</v>
      </c>
      <c r="E1924" s="17"/>
      <c r="M1924" s="17"/>
      <c r="P1924" s="17"/>
    </row>
    <row r="1925">
      <c r="B1925" s="11">
        <f>IFERROR(__xludf.DUMMYFUNCTION("""COMPUTED_VALUE"""),43231.66666666667)</f>
        <v>43231.66667</v>
      </c>
      <c r="C1925" s="9">
        <f>IFERROR(__xludf.DUMMYFUNCTION("""COMPUTED_VALUE"""),65.33)</f>
        <v>65.33</v>
      </c>
      <c r="E1925" s="17"/>
      <c r="M1925" s="17"/>
      <c r="P1925" s="17"/>
    </row>
    <row r="1926">
      <c r="B1926" s="11">
        <f>IFERROR(__xludf.DUMMYFUNCTION("""COMPUTED_VALUE"""),43230.66666666667)</f>
        <v>43230.66667</v>
      </c>
      <c r="C1926" s="9">
        <f>IFERROR(__xludf.DUMMYFUNCTION("""COMPUTED_VALUE"""),65.59)</f>
        <v>65.59</v>
      </c>
      <c r="E1926" s="17"/>
      <c r="M1926" s="17"/>
      <c r="P1926" s="17"/>
    </row>
    <row r="1927">
      <c r="B1927" s="11">
        <f>IFERROR(__xludf.DUMMYFUNCTION("""COMPUTED_VALUE"""),43229.66666666667)</f>
        <v>43229.66667</v>
      </c>
      <c r="C1927" s="9">
        <f>IFERROR(__xludf.DUMMYFUNCTION("""COMPUTED_VALUE"""),65.22)</f>
        <v>65.22</v>
      </c>
      <c r="E1927" s="17"/>
      <c r="M1927" s="17"/>
      <c r="P1927" s="17"/>
    </row>
    <row r="1928">
      <c r="B1928" s="11">
        <f>IFERROR(__xludf.DUMMYFUNCTION("""COMPUTED_VALUE"""),43228.66666666667)</f>
        <v>43228.66667</v>
      </c>
      <c r="C1928" s="9">
        <f>IFERROR(__xludf.DUMMYFUNCTION("""COMPUTED_VALUE"""),65.19)</f>
        <v>65.19</v>
      </c>
      <c r="E1928" s="17"/>
      <c r="M1928" s="17"/>
      <c r="P1928" s="17"/>
    </row>
    <row r="1929">
      <c r="B1929" s="11">
        <f>IFERROR(__xludf.DUMMYFUNCTION("""COMPUTED_VALUE"""),43227.66666666667)</f>
        <v>43227.66667</v>
      </c>
      <c r="C1929" s="9">
        <f>IFERROR(__xludf.DUMMYFUNCTION("""COMPUTED_VALUE"""),65.49)</f>
        <v>65.49</v>
      </c>
      <c r="E1929" s="17"/>
      <c r="M1929" s="17"/>
      <c r="P1929" s="17"/>
    </row>
    <row r="1930">
      <c r="B1930" s="11">
        <f>IFERROR(__xludf.DUMMYFUNCTION("""COMPUTED_VALUE"""),43224.66666666667)</f>
        <v>43224.66667</v>
      </c>
      <c r="C1930" s="9">
        <f>IFERROR(__xludf.DUMMYFUNCTION("""COMPUTED_VALUE"""),65.25)</f>
        <v>65.25</v>
      </c>
      <c r="E1930" s="17"/>
      <c r="M1930" s="17"/>
      <c r="P1930" s="17"/>
    </row>
    <row r="1931">
      <c r="B1931" s="11">
        <f>IFERROR(__xludf.DUMMYFUNCTION("""COMPUTED_VALUE"""),43223.66666666667)</f>
        <v>43223.66667</v>
      </c>
      <c r="C1931" s="9">
        <f>IFERROR(__xludf.DUMMYFUNCTION("""COMPUTED_VALUE"""),64.8)</f>
        <v>64.8</v>
      </c>
      <c r="E1931" s="17"/>
      <c r="M1931" s="17"/>
      <c r="P1931" s="17"/>
    </row>
    <row r="1932">
      <c r="B1932" s="11">
        <f>IFERROR(__xludf.DUMMYFUNCTION("""COMPUTED_VALUE"""),43222.66666666667)</f>
        <v>43222.66667</v>
      </c>
      <c r="C1932" s="9">
        <f>IFERROR(__xludf.DUMMYFUNCTION("""COMPUTED_VALUE"""),64.75)</f>
        <v>64.75</v>
      </c>
      <c r="E1932" s="17"/>
      <c r="M1932" s="17"/>
      <c r="P1932" s="17"/>
    </row>
    <row r="1933">
      <c r="B1933" s="11">
        <f>IFERROR(__xludf.DUMMYFUNCTION("""COMPUTED_VALUE"""),43221.66666666667)</f>
        <v>43221.66667</v>
      </c>
      <c r="C1933" s="9">
        <f>IFERROR(__xludf.DUMMYFUNCTION("""COMPUTED_VALUE"""),65.07)</f>
        <v>65.07</v>
      </c>
      <c r="E1933" s="17"/>
      <c r="M1933" s="17"/>
      <c r="P1933" s="17"/>
    </row>
    <row r="1934">
      <c r="B1934" s="11">
        <f>IFERROR(__xludf.DUMMYFUNCTION("""COMPUTED_VALUE"""),43220.66666666667)</f>
        <v>43220.66667</v>
      </c>
      <c r="C1934" s="9">
        <f>IFERROR(__xludf.DUMMYFUNCTION("""COMPUTED_VALUE"""),64.91)</f>
        <v>64.91</v>
      </c>
      <c r="E1934" s="17"/>
      <c r="M1934" s="17"/>
      <c r="P1934" s="17"/>
    </row>
    <row r="1935">
      <c r="B1935" s="11">
        <f>IFERROR(__xludf.DUMMYFUNCTION("""COMPUTED_VALUE"""),43217.66666666667)</f>
        <v>43217.66667</v>
      </c>
      <c r="C1935" s="9">
        <f>IFERROR(__xludf.DUMMYFUNCTION("""COMPUTED_VALUE"""),66.58)</f>
        <v>66.58</v>
      </c>
      <c r="E1935" s="17"/>
      <c r="M1935" s="17"/>
      <c r="P1935" s="17"/>
    </row>
    <row r="1936">
      <c r="B1936" s="11">
        <f>IFERROR(__xludf.DUMMYFUNCTION("""COMPUTED_VALUE"""),43216.66666666667)</f>
        <v>43216.66667</v>
      </c>
      <c r="C1936" s="9">
        <f>IFERROR(__xludf.DUMMYFUNCTION("""COMPUTED_VALUE"""),65.87)</f>
        <v>65.87</v>
      </c>
      <c r="E1936" s="17"/>
      <c r="M1936" s="17"/>
      <c r="P1936" s="17"/>
    </row>
    <row r="1937">
      <c r="B1937" s="11">
        <f>IFERROR(__xludf.DUMMYFUNCTION("""COMPUTED_VALUE"""),43215.66666666667)</f>
        <v>43215.66667</v>
      </c>
      <c r="C1937" s="9">
        <f>IFERROR(__xludf.DUMMYFUNCTION("""COMPUTED_VALUE"""),64.64)</f>
        <v>64.64</v>
      </c>
      <c r="E1937" s="17"/>
      <c r="M1937" s="17"/>
      <c r="P1937" s="17"/>
    </row>
    <row r="1938">
      <c r="B1938" s="11">
        <f>IFERROR(__xludf.DUMMYFUNCTION("""COMPUTED_VALUE"""),43214.66666666667)</f>
        <v>43214.66667</v>
      </c>
      <c r="C1938" s="9">
        <f>IFERROR(__xludf.DUMMYFUNCTION("""COMPUTED_VALUE"""),65.22)</f>
        <v>65.22</v>
      </c>
      <c r="E1938" s="17"/>
      <c r="M1938" s="17"/>
      <c r="P1938" s="17"/>
    </row>
    <row r="1939">
      <c r="B1939" s="11">
        <f>IFERROR(__xludf.DUMMYFUNCTION("""COMPUTED_VALUE"""),43213.66666666667)</f>
        <v>43213.66667</v>
      </c>
      <c r="C1939" s="9">
        <f>IFERROR(__xludf.DUMMYFUNCTION("""COMPUTED_VALUE"""),64.88)</f>
        <v>64.88</v>
      </c>
      <c r="E1939" s="17"/>
      <c r="M1939" s="17"/>
      <c r="P1939" s="17"/>
    </row>
    <row r="1940">
      <c r="B1940" s="11">
        <f>IFERROR(__xludf.DUMMYFUNCTION("""COMPUTED_VALUE"""),43210.66666666667)</f>
        <v>43210.66667</v>
      </c>
      <c r="C1940" s="9">
        <f>IFERROR(__xludf.DUMMYFUNCTION("""COMPUTED_VALUE"""),64.99)</f>
        <v>64.99</v>
      </c>
      <c r="E1940" s="17"/>
      <c r="M1940" s="17"/>
      <c r="P1940" s="17"/>
    </row>
    <row r="1941">
      <c r="B1941" s="11">
        <f>IFERROR(__xludf.DUMMYFUNCTION("""COMPUTED_VALUE"""),43209.66666666667)</f>
        <v>43209.66667</v>
      </c>
      <c r="C1941" s="9">
        <f>IFERROR(__xludf.DUMMYFUNCTION("""COMPUTED_VALUE"""),65.23)</f>
        <v>65.23</v>
      </c>
      <c r="E1941" s="17"/>
      <c r="M1941" s="17"/>
      <c r="P1941" s="17"/>
    </row>
    <row r="1942">
      <c r="B1942" s="11">
        <f>IFERROR(__xludf.DUMMYFUNCTION("""COMPUTED_VALUE"""),43208.66666666667)</f>
        <v>43208.66667</v>
      </c>
      <c r="C1942" s="9">
        <f>IFERROR(__xludf.DUMMYFUNCTION("""COMPUTED_VALUE"""),65.66)</f>
        <v>65.66</v>
      </c>
      <c r="E1942" s="17"/>
      <c r="M1942" s="17"/>
      <c r="P1942" s="17"/>
    </row>
    <row r="1943">
      <c r="B1943" s="11">
        <f>IFERROR(__xludf.DUMMYFUNCTION("""COMPUTED_VALUE"""),43207.66666666667)</f>
        <v>43207.66667</v>
      </c>
      <c r="C1943" s="9">
        <f>IFERROR(__xludf.DUMMYFUNCTION("""COMPUTED_VALUE"""),65.3)</f>
        <v>65.3</v>
      </c>
      <c r="E1943" s="17"/>
      <c r="M1943" s="17"/>
      <c r="P1943" s="17"/>
    </row>
    <row r="1944">
      <c r="B1944" s="11">
        <f>IFERROR(__xludf.DUMMYFUNCTION("""COMPUTED_VALUE"""),43206.66666666667)</f>
        <v>43206.66667</v>
      </c>
      <c r="C1944" s="9">
        <f>IFERROR(__xludf.DUMMYFUNCTION("""COMPUTED_VALUE"""),62.6)</f>
        <v>62.6</v>
      </c>
      <c r="E1944" s="17"/>
      <c r="M1944" s="17"/>
      <c r="P1944" s="17"/>
    </row>
    <row r="1945">
      <c r="B1945" s="11">
        <f>IFERROR(__xludf.DUMMYFUNCTION("""COMPUTED_VALUE"""),43203.66666666667)</f>
        <v>43203.66667</v>
      </c>
      <c r="C1945" s="9">
        <f>IFERROR(__xludf.DUMMYFUNCTION("""COMPUTED_VALUE"""),62.26)</f>
        <v>62.26</v>
      </c>
      <c r="E1945" s="17"/>
      <c r="M1945" s="17"/>
      <c r="P1945" s="17"/>
    </row>
    <row r="1946">
      <c r="B1946" s="11">
        <f>IFERROR(__xludf.DUMMYFUNCTION("""COMPUTED_VALUE"""),43202.66666666667)</f>
        <v>43202.66667</v>
      </c>
      <c r="C1946" s="9">
        <f>IFERROR(__xludf.DUMMYFUNCTION("""COMPUTED_VALUE"""),61.64)</f>
        <v>61.64</v>
      </c>
      <c r="E1946" s="17"/>
      <c r="M1946" s="17"/>
      <c r="P1946" s="17"/>
    </row>
    <row r="1947">
      <c r="B1947" s="11">
        <f>IFERROR(__xludf.DUMMYFUNCTION("""COMPUTED_VALUE"""),43201.66666666667)</f>
        <v>43201.66667</v>
      </c>
      <c r="C1947" s="9">
        <f>IFERROR(__xludf.DUMMYFUNCTION("""COMPUTED_VALUE"""),61.62)</f>
        <v>61.62</v>
      </c>
      <c r="E1947" s="17"/>
      <c r="M1947" s="17"/>
      <c r="P1947" s="17"/>
    </row>
    <row r="1948">
      <c r="B1948" s="11">
        <f>IFERROR(__xludf.DUMMYFUNCTION("""COMPUTED_VALUE"""),43200.66666666667)</f>
        <v>43200.66667</v>
      </c>
      <c r="C1948" s="9">
        <f>IFERROR(__xludf.DUMMYFUNCTION("""COMPUTED_VALUE"""),61.6)</f>
        <v>61.6</v>
      </c>
      <c r="E1948" s="17"/>
      <c r="M1948" s="17"/>
      <c r="P1948" s="17"/>
    </row>
    <row r="1949">
      <c r="B1949" s="11">
        <f>IFERROR(__xludf.DUMMYFUNCTION("""COMPUTED_VALUE"""),43199.66666666667)</f>
        <v>43199.66667</v>
      </c>
      <c r="C1949" s="9">
        <f>IFERROR(__xludf.DUMMYFUNCTION("""COMPUTED_VALUE"""),61.32)</f>
        <v>61.32</v>
      </c>
      <c r="E1949" s="17"/>
      <c r="M1949" s="17"/>
      <c r="P1949" s="17"/>
    </row>
    <row r="1950">
      <c r="B1950" s="11">
        <f>IFERROR(__xludf.DUMMYFUNCTION("""COMPUTED_VALUE"""),43196.66666666667)</f>
        <v>43196.66667</v>
      </c>
      <c r="C1950" s="9">
        <f>IFERROR(__xludf.DUMMYFUNCTION("""COMPUTED_VALUE"""),61.24)</f>
        <v>61.24</v>
      </c>
      <c r="E1950" s="17"/>
      <c r="M1950" s="17"/>
      <c r="P1950" s="17"/>
    </row>
    <row r="1951">
      <c r="B1951" s="11">
        <f>IFERROR(__xludf.DUMMYFUNCTION("""COMPUTED_VALUE"""),43195.66666666667)</f>
        <v>43195.66667</v>
      </c>
      <c r="C1951" s="9">
        <f>IFERROR(__xludf.DUMMYFUNCTION("""COMPUTED_VALUE"""),61.76)</f>
        <v>61.76</v>
      </c>
      <c r="E1951" s="17"/>
      <c r="M1951" s="17"/>
      <c r="P1951" s="17"/>
    </row>
    <row r="1952">
      <c r="B1952" s="11">
        <f>IFERROR(__xludf.DUMMYFUNCTION("""COMPUTED_VALUE"""),43194.66666666667)</f>
        <v>43194.66667</v>
      </c>
      <c r="C1952" s="9">
        <f>IFERROR(__xludf.DUMMYFUNCTION("""COMPUTED_VALUE"""),62.15)</f>
        <v>62.15</v>
      </c>
      <c r="E1952" s="17"/>
      <c r="M1952" s="17"/>
      <c r="P1952" s="17"/>
    </row>
    <row r="1953">
      <c r="B1953" s="11">
        <f>IFERROR(__xludf.DUMMYFUNCTION("""COMPUTED_VALUE"""),43193.66666666667)</f>
        <v>43193.66667</v>
      </c>
      <c r="C1953" s="9">
        <f>IFERROR(__xludf.DUMMYFUNCTION("""COMPUTED_VALUE"""),61.73)</f>
        <v>61.73</v>
      </c>
      <c r="E1953" s="17"/>
      <c r="M1953" s="17"/>
      <c r="P1953" s="17"/>
    </row>
    <row r="1954">
      <c r="B1954" s="11">
        <f>IFERROR(__xludf.DUMMYFUNCTION("""COMPUTED_VALUE"""),43192.66666666667)</f>
        <v>43192.66667</v>
      </c>
      <c r="C1954" s="9">
        <f>IFERROR(__xludf.DUMMYFUNCTION("""COMPUTED_VALUE"""),61.4)</f>
        <v>61.4</v>
      </c>
      <c r="E1954" s="17"/>
      <c r="M1954" s="17"/>
      <c r="P1954" s="17"/>
    </row>
    <row r="1955">
      <c r="B1955" s="11">
        <f>IFERROR(__xludf.DUMMYFUNCTION("""COMPUTED_VALUE"""),43188.66666666667)</f>
        <v>43188.66667</v>
      </c>
      <c r="C1955" s="9">
        <f>IFERROR(__xludf.DUMMYFUNCTION("""COMPUTED_VALUE"""),62.99)</f>
        <v>62.99</v>
      </c>
      <c r="E1955" s="17"/>
      <c r="M1955" s="17"/>
      <c r="P1955" s="17"/>
    </row>
    <row r="1956">
      <c r="B1956" s="11">
        <f>IFERROR(__xludf.DUMMYFUNCTION("""COMPUTED_VALUE"""),43187.66666666667)</f>
        <v>43187.66667</v>
      </c>
      <c r="C1956" s="9">
        <f>IFERROR(__xludf.DUMMYFUNCTION("""COMPUTED_VALUE"""),62.53)</f>
        <v>62.53</v>
      </c>
      <c r="E1956" s="17"/>
      <c r="M1956" s="17"/>
      <c r="P1956" s="17"/>
    </row>
    <row r="1957">
      <c r="B1957" s="11">
        <f>IFERROR(__xludf.DUMMYFUNCTION("""COMPUTED_VALUE"""),43186.66666666667)</f>
        <v>43186.66667</v>
      </c>
      <c r="C1957" s="9">
        <f>IFERROR(__xludf.DUMMYFUNCTION("""COMPUTED_VALUE"""),62.04)</f>
        <v>62.04</v>
      </c>
      <c r="E1957" s="17"/>
      <c r="M1957" s="17"/>
      <c r="P1957" s="17"/>
    </row>
    <row r="1958">
      <c r="B1958" s="11">
        <f>IFERROR(__xludf.DUMMYFUNCTION("""COMPUTED_VALUE"""),43185.66666666667)</f>
        <v>43185.66667</v>
      </c>
      <c r="C1958" s="9">
        <f>IFERROR(__xludf.DUMMYFUNCTION("""COMPUTED_VALUE"""),61.23)</f>
        <v>61.23</v>
      </c>
      <c r="E1958" s="17"/>
      <c r="M1958" s="17"/>
      <c r="P1958" s="17"/>
    </row>
    <row r="1959">
      <c r="B1959" s="11">
        <f>IFERROR(__xludf.DUMMYFUNCTION("""COMPUTED_VALUE"""),43182.66666666667)</f>
        <v>43182.66667</v>
      </c>
      <c r="C1959" s="9">
        <f>IFERROR(__xludf.DUMMYFUNCTION("""COMPUTED_VALUE"""),60.11)</f>
        <v>60.11</v>
      </c>
      <c r="E1959" s="17"/>
      <c r="M1959" s="17"/>
      <c r="P1959" s="17"/>
    </row>
    <row r="1960">
      <c r="B1960" s="11">
        <f>IFERROR(__xludf.DUMMYFUNCTION("""COMPUTED_VALUE"""),43181.66666666667)</f>
        <v>43181.66667</v>
      </c>
      <c r="C1960" s="9">
        <f>IFERROR(__xludf.DUMMYFUNCTION("""COMPUTED_VALUE"""),61.71)</f>
        <v>61.71</v>
      </c>
      <c r="E1960" s="17"/>
      <c r="M1960" s="17"/>
      <c r="P1960" s="17"/>
    </row>
    <row r="1961">
      <c r="B1961" s="11">
        <f>IFERROR(__xludf.DUMMYFUNCTION("""COMPUTED_VALUE"""),43180.66666666667)</f>
        <v>43180.66667</v>
      </c>
      <c r="C1961" s="9">
        <f>IFERROR(__xludf.DUMMYFUNCTION("""COMPUTED_VALUE"""),62.63)</f>
        <v>62.63</v>
      </c>
      <c r="E1961" s="17"/>
      <c r="M1961" s="17"/>
      <c r="P1961" s="17"/>
    </row>
    <row r="1962">
      <c r="B1962" s="11">
        <f>IFERROR(__xludf.DUMMYFUNCTION("""COMPUTED_VALUE"""),43179.66666666667)</f>
        <v>43179.66667</v>
      </c>
      <c r="C1962" s="9">
        <f>IFERROR(__xludf.DUMMYFUNCTION("""COMPUTED_VALUE"""),63.58)</f>
        <v>63.58</v>
      </c>
      <c r="E1962" s="17"/>
      <c r="M1962" s="17"/>
      <c r="P1962" s="17"/>
    </row>
    <row r="1963">
      <c r="B1963" s="11">
        <f>IFERROR(__xludf.DUMMYFUNCTION("""COMPUTED_VALUE"""),43178.66666666667)</f>
        <v>43178.66667</v>
      </c>
      <c r="C1963" s="9">
        <f>IFERROR(__xludf.DUMMYFUNCTION("""COMPUTED_VALUE"""),63.34)</f>
        <v>63.34</v>
      </c>
      <c r="E1963" s="17"/>
      <c r="M1963" s="17"/>
      <c r="P1963" s="17"/>
    </row>
    <row r="1964">
      <c r="B1964" s="11">
        <f>IFERROR(__xludf.DUMMYFUNCTION("""COMPUTED_VALUE"""),43175.66666666667)</f>
        <v>43175.66667</v>
      </c>
      <c r="C1964" s="9">
        <f>IFERROR(__xludf.DUMMYFUNCTION("""COMPUTED_VALUE"""),63.83)</f>
        <v>63.83</v>
      </c>
      <c r="E1964" s="17"/>
      <c r="M1964" s="17"/>
      <c r="P1964" s="17"/>
    </row>
    <row r="1965">
      <c r="B1965" s="11">
        <f>IFERROR(__xludf.DUMMYFUNCTION("""COMPUTED_VALUE"""),43174.66666666667)</f>
        <v>43174.66667</v>
      </c>
      <c r="C1965" s="9">
        <f>IFERROR(__xludf.DUMMYFUNCTION("""COMPUTED_VALUE"""),63.44)</f>
        <v>63.44</v>
      </c>
      <c r="E1965" s="17"/>
      <c r="M1965" s="17"/>
      <c r="P1965" s="17"/>
    </row>
    <row r="1966">
      <c r="B1966" s="11">
        <f>IFERROR(__xludf.DUMMYFUNCTION("""COMPUTED_VALUE"""),43173.66666666667)</f>
        <v>43173.66667</v>
      </c>
      <c r="C1966" s="9">
        <f>IFERROR(__xludf.DUMMYFUNCTION("""COMPUTED_VALUE"""),63.22)</f>
        <v>63.22</v>
      </c>
      <c r="E1966" s="17"/>
      <c r="M1966" s="17"/>
      <c r="P1966" s="17"/>
    </row>
    <row r="1967">
      <c r="B1967" s="11">
        <f>IFERROR(__xludf.DUMMYFUNCTION("""COMPUTED_VALUE"""),43172.66666666667)</f>
        <v>43172.66667</v>
      </c>
      <c r="C1967" s="9">
        <f>IFERROR(__xludf.DUMMYFUNCTION("""COMPUTED_VALUE"""),63.37)</f>
        <v>63.37</v>
      </c>
      <c r="E1967" s="17"/>
      <c r="M1967" s="17"/>
      <c r="P1967" s="17"/>
    </row>
    <row r="1968">
      <c r="B1968" s="11">
        <f>IFERROR(__xludf.DUMMYFUNCTION("""COMPUTED_VALUE"""),43171.66666666667)</f>
        <v>43171.66667</v>
      </c>
      <c r="C1968" s="9">
        <f>IFERROR(__xludf.DUMMYFUNCTION("""COMPUTED_VALUE"""),63.56)</f>
        <v>63.56</v>
      </c>
      <c r="E1968" s="17"/>
      <c r="M1968" s="17"/>
      <c r="P1968" s="17"/>
    </row>
    <row r="1969">
      <c r="B1969" s="11">
        <f>IFERROR(__xludf.DUMMYFUNCTION("""COMPUTED_VALUE"""),43168.66666666667)</f>
        <v>43168.66667</v>
      </c>
      <c r="C1969" s="9">
        <f>IFERROR(__xludf.DUMMYFUNCTION("""COMPUTED_VALUE"""),63.69)</f>
        <v>63.69</v>
      </c>
      <c r="E1969" s="17"/>
      <c r="M1969" s="17"/>
      <c r="P1969" s="17"/>
    </row>
    <row r="1970">
      <c r="B1970" s="11">
        <f>IFERROR(__xludf.DUMMYFUNCTION("""COMPUTED_VALUE"""),43167.66666666667)</f>
        <v>43167.66667</v>
      </c>
      <c r="C1970" s="9">
        <f>IFERROR(__xludf.DUMMYFUNCTION("""COMPUTED_VALUE"""),62.38)</f>
        <v>62.38</v>
      </c>
      <c r="E1970" s="17"/>
      <c r="M1970" s="17"/>
      <c r="P1970" s="17"/>
    </row>
    <row r="1971">
      <c r="B1971" s="11">
        <f>IFERROR(__xludf.DUMMYFUNCTION("""COMPUTED_VALUE"""),43166.66666666667)</f>
        <v>43166.66667</v>
      </c>
      <c r="C1971" s="9">
        <f>IFERROR(__xludf.DUMMYFUNCTION("""COMPUTED_VALUE"""),61.92)</f>
        <v>61.92</v>
      </c>
      <c r="E1971" s="17"/>
      <c r="M1971" s="17"/>
      <c r="P1971" s="17"/>
    </row>
    <row r="1972">
      <c r="B1972" s="11">
        <f>IFERROR(__xludf.DUMMYFUNCTION("""COMPUTED_VALUE"""),43165.66666666667)</f>
        <v>43165.66667</v>
      </c>
      <c r="C1972" s="9">
        <f>IFERROR(__xludf.DUMMYFUNCTION("""COMPUTED_VALUE"""),61.6)</f>
        <v>61.6</v>
      </c>
      <c r="E1972" s="17"/>
      <c r="M1972" s="17"/>
      <c r="P1972" s="17"/>
    </row>
    <row r="1973">
      <c r="B1973" s="11">
        <f>IFERROR(__xludf.DUMMYFUNCTION("""COMPUTED_VALUE"""),43164.66666666667)</f>
        <v>43164.66667</v>
      </c>
      <c r="C1973" s="9">
        <f>IFERROR(__xludf.DUMMYFUNCTION("""COMPUTED_VALUE"""),61.09)</f>
        <v>61.09</v>
      </c>
      <c r="E1973" s="17"/>
      <c r="M1973" s="17"/>
      <c r="P1973" s="17"/>
    </row>
    <row r="1974">
      <c r="B1974" s="11">
        <f>IFERROR(__xludf.DUMMYFUNCTION("""COMPUTED_VALUE"""),43161.66666666667)</f>
        <v>43161.66667</v>
      </c>
      <c r="C1974" s="9">
        <f>IFERROR(__xludf.DUMMYFUNCTION("""COMPUTED_VALUE"""),60.22)</f>
        <v>60.22</v>
      </c>
      <c r="E1974" s="17"/>
      <c r="M1974" s="17"/>
      <c r="P1974" s="17"/>
    </row>
    <row r="1975">
      <c r="B1975" s="11">
        <f>IFERROR(__xludf.DUMMYFUNCTION("""COMPUTED_VALUE"""),43160.66666666667)</f>
        <v>43160.66667</v>
      </c>
      <c r="C1975" s="9">
        <f>IFERROR(__xludf.DUMMYFUNCTION("""COMPUTED_VALUE"""),60.72)</f>
        <v>60.72</v>
      </c>
      <c r="E1975" s="17"/>
      <c r="M1975" s="17"/>
      <c r="P1975" s="17"/>
    </row>
    <row r="1976">
      <c r="B1976" s="11">
        <f>IFERROR(__xludf.DUMMYFUNCTION("""COMPUTED_VALUE"""),43159.66666666667)</f>
        <v>43159.66667</v>
      </c>
      <c r="C1976" s="9">
        <f>IFERROR(__xludf.DUMMYFUNCTION("""COMPUTED_VALUE"""),60.68)</f>
        <v>60.68</v>
      </c>
      <c r="E1976" s="17"/>
      <c r="M1976" s="17"/>
      <c r="P1976" s="17"/>
    </row>
    <row r="1977">
      <c r="B1977" s="11">
        <f>IFERROR(__xludf.DUMMYFUNCTION("""COMPUTED_VALUE"""),43158.66666666667)</f>
        <v>43158.66667</v>
      </c>
      <c r="C1977" s="9">
        <f>IFERROR(__xludf.DUMMYFUNCTION("""COMPUTED_VALUE"""),60.36)</f>
        <v>60.36</v>
      </c>
      <c r="E1977" s="17"/>
      <c r="M1977" s="17"/>
      <c r="P1977" s="17"/>
    </row>
    <row r="1978">
      <c r="B1978" s="11">
        <f>IFERROR(__xludf.DUMMYFUNCTION("""COMPUTED_VALUE"""),43157.66666666667)</f>
        <v>43157.66667</v>
      </c>
      <c r="C1978" s="9">
        <f>IFERROR(__xludf.DUMMYFUNCTION("""COMPUTED_VALUE"""),61.31)</f>
        <v>61.31</v>
      </c>
      <c r="E1978" s="17"/>
      <c r="M1978" s="17"/>
      <c r="P1978" s="17"/>
    </row>
    <row r="1979">
      <c r="B1979" s="11">
        <f>IFERROR(__xludf.DUMMYFUNCTION("""COMPUTED_VALUE"""),43154.66666666667)</f>
        <v>43154.66667</v>
      </c>
      <c r="C1979" s="9">
        <f>IFERROR(__xludf.DUMMYFUNCTION("""COMPUTED_VALUE"""),61.26)</f>
        <v>61.26</v>
      </c>
      <c r="E1979" s="17"/>
      <c r="M1979" s="17"/>
      <c r="P1979" s="17"/>
    </row>
    <row r="1980">
      <c r="B1980" s="11">
        <f>IFERROR(__xludf.DUMMYFUNCTION("""COMPUTED_VALUE"""),43153.66666666667)</f>
        <v>43153.66667</v>
      </c>
      <c r="C1980" s="9">
        <f>IFERROR(__xludf.DUMMYFUNCTION("""COMPUTED_VALUE"""),59.94)</f>
        <v>59.94</v>
      </c>
      <c r="E1980" s="17"/>
      <c r="M1980" s="17"/>
      <c r="P1980" s="17"/>
    </row>
    <row r="1981">
      <c r="B1981" s="11">
        <f>IFERROR(__xludf.DUMMYFUNCTION("""COMPUTED_VALUE"""),43152.66666666667)</f>
        <v>43152.66667</v>
      </c>
      <c r="C1981" s="9">
        <f>IFERROR(__xludf.DUMMYFUNCTION("""COMPUTED_VALUE"""),59.91)</f>
        <v>59.91</v>
      </c>
      <c r="E1981" s="17"/>
      <c r="M1981" s="17"/>
      <c r="P1981" s="17"/>
    </row>
    <row r="1982">
      <c r="B1982" s="11">
        <f>IFERROR(__xludf.DUMMYFUNCTION("""COMPUTED_VALUE"""),43151.66666666667)</f>
        <v>43151.66667</v>
      </c>
      <c r="C1982" s="9">
        <f>IFERROR(__xludf.DUMMYFUNCTION("""COMPUTED_VALUE"""),61.23)</f>
        <v>61.23</v>
      </c>
      <c r="E1982" s="17"/>
      <c r="M1982" s="17"/>
      <c r="P1982" s="17"/>
    </row>
    <row r="1983">
      <c r="B1983" s="11">
        <f>IFERROR(__xludf.DUMMYFUNCTION("""COMPUTED_VALUE"""),43147.66666666667)</f>
        <v>43147.66667</v>
      </c>
      <c r="C1983" s="9">
        <f>IFERROR(__xludf.DUMMYFUNCTION("""COMPUTED_VALUE"""),61.98)</f>
        <v>61.98</v>
      </c>
      <c r="E1983" s="17"/>
      <c r="M1983" s="17"/>
      <c r="P1983" s="17"/>
    </row>
    <row r="1984">
      <c r="B1984" s="11">
        <f>IFERROR(__xludf.DUMMYFUNCTION("""COMPUTED_VALUE"""),43146.66666666667)</f>
        <v>43146.66667</v>
      </c>
      <c r="C1984" s="9">
        <f>IFERROR(__xludf.DUMMYFUNCTION("""COMPUTED_VALUE"""),61.41)</f>
        <v>61.41</v>
      </c>
      <c r="E1984" s="17"/>
      <c r="M1984" s="17"/>
      <c r="P1984" s="17"/>
    </row>
    <row r="1985">
      <c r="B1985" s="11">
        <f>IFERROR(__xludf.DUMMYFUNCTION("""COMPUTED_VALUE"""),43145.66666666667)</f>
        <v>43145.66667</v>
      </c>
      <c r="C1985" s="9">
        <f>IFERROR(__xludf.DUMMYFUNCTION("""COMPUTED_VALUE"""),60.54)</f>
        <v>60.54</v>
      </c>
      <c r="E1985" s="17"/>
      <c r="M1985" s="17"/>
      <c r="P1985" s="17"/>
    </row>
    <row r="1986">
      <c r="B1986" s="11">
        <f>IFERROR(__xludf.DUMMYFUNCTION("""COMPUTED_VALUE"""),43144.66666666667)</f>
        <v>43144.66667</v>
      </c>
      <c r="C1986" s="9">
        <f>IFERROR(__xludf.DUMMYFUNCTION("""COMPUTED_VALUE"""),61.16)</f>
        <v>61.16</v>
      </c>
      <c r="E1986" s="17"/>
      <c r="M1986" s="17"/>
      <c r="P1986" s="17"/>
    </row>
    <row r="1987">
      <c r="B1987" s="11">
        <f>IFERROR(__xludf.DUMMYFUNCTION("""COMPUTED_VALUE"""),43143.66666666667)</f>
        <v>43143.66667</v>
      </c>
      <c r="C1987" s="9">
        <f>IFERROR(__xludf.DUMMYFUNCTION("""COMPUTED_VALUE"""),60.15)</f>
        <v>60.15</v>
      </c>
      <c r="E1987" s="17"/>
      <c r="M1987" s="17"/>
      <c r="P1987" s="17"/>
    </row>
    <row r="1988">
      <c r="B1988" s="11">
        <f>IFERROR(__xludf.DUMMYFUNCTION("""COMPUTED_VALUE"""),43140.66666666667)</f>
        <v>43140.66667</v>
      </c>
      <c r="C1988" s="9">
        <f>IFERROR(__xludf.DUMMYFUNCTION("""COMPUTED_VALUE"""),60.32)</f>
        <v>60.32</v>
      </c>
      <c r="E1988" s="17"/>
      <c r="M1988" s="17"/>
      <c r="P1988" s="17"/>
    </row>
    <row r="1989">
      <c r="B1989" s="11">
        <f>IFERROR(__xludf.DUMMYFUNCTION("""COMPUTED_VALUE"""),43139.66666666667)</f>
        <v>43139.66667</v>
      </c>
      <c r="C1989" s="9">
        <f>IFERROR(__xludf.DUMMYFUNCTION("""COMPUTED_VALUE"""),58.33)</f>
        <v>58.33</v>
      </c>
      <c r="E1989" s="17"/>
      <c r="M1989" s="17"/>
      <c r="P1989" s="17"/>
    </row>
    <row r="1990">
      <c r="B1990" s="11">
        <f>IFERROR(__xludf.DUMMYFUNCTION("""COMPUTED_VALUE"""),43138.66666666667)</f>
        <v>43138.66667</v>
      </c>
      <c r="C1990" s="9">
        <f>IFERROR(__xludf.DUMMYFUNCTION("""COMPUTED_VALUE"""),60.04)</f>
        <v>60.04</v>
      </c>
      <c r="E1990" s="17"/>
      <c r="M1990" s="17"/>
      <c r="P1990" s="17"/>
    </row>
    <row r="1991">
      <c r="B1991" s="11">
        <f>IFERROR(__xludf.DUMMYFUNCTION("""COMPUTED_VALUE"""),43137.66666666667)</f>
        <v>43137.66667</v>
      </c>
      <c r="C1991" s="9">
        <f>IFERROR(__xludf.DUMMYFUNCTION("""COMPUTED_VALUE"""),60.74)</f>
        <v>60.74</v>
      </c>
      <c r="E1991" s="17"/>
      <c r="M1991" s="17"/>
      <c r="P1991" s="17"/>
    </row>
    <row r="1992">
      <c r="B1992" s="11">
        <f>IFERROR(__xludf.DUMMYFUNCTION("""COMPUTED_VALUE"""),43136.66666666667)</f>
        <v>43136.66667</v>
      </c>
      <c r="C1992" s="9">
        <f>IFERROR(__xludf.DUMMYFUNCTION("""COMPUTED_VALUE"""),61.21)</f>
        <v>61.21</v>
      </c>
      <c r="E1992" s="17"/>
      <c r="M1992" s="17"/>
      <c r="P1992" s="17"/>
    </row>
    <row r="1993">
      <c r="B1993" s="11">
        <f>IFERROR(__xludf.DUMMYFUNCTION("""COMPUTED_VALUE"""),43133.66666666667)</f>
        <v>43133.66667</v>
      </c>
      <c r="C1993" s="9">
        <f>IFERROR(__xludf.DUMMYFUNCTION("""COMPUTED_VALUE"""),63.83)</f>
        <v>63.83</v>
      </c>
      <c r="E1993" s="17"/>
      <c r="M1993" s="17"/>
      <c r="P1993" s="17"/>
    </row>
    <row r="1994">
      <c r="B1994" s="11">
        <f>IFERROR(__xludf.DUMMYFUNCTION("""COMPUTED_VALUE"""),43132.66666666667)</f>
        <v>43132.66667</v>
      </c>
      <c r="C1994" s="9">
        <f>IFERROR(__xludf.DUMMYFUNCTION("""COMPUTED_VALUE"""),63.72)</f>
        <v>63.72</v>
      </c>
      <c r="E1994" s="17"/>
      <c r="M1994" s="17"/>
      <c r="P1994" s="17"/>
    </row>
    <row r="1995">
      <c r="B1995" s="11">
        <f>IFERROR(__xludf.DUMMYFUNCTION("""COMPUTED_VALUE"""),43131.66666666667)</f>
        <v>43131.66667</v>
      </c>
      <c r="C1995" s="9">
        <f>IFERROR(__xludf.DUMMYFUNCTION("""COMPUTED_VALUE"""),65.11)</f>
        <v>65.11</v>
      </c>
      <c r="E1995" s="17"/>
      <c r="M1995" s="17"/>
      <c r="P1995" s="17"/>
    </row>
    <row r="1996">
      <c r="B1996" s="11">
        <f>IFERROR(__xludf.DUMMYFUNCTION("""COMPUTED_VALUE"""),43130.66666666667)</f>
        <v>43130.66667</v>
      </c>
      <c r="C1996" s="9">
        <f>IFERROR(__xludf.DUMMYFUNCTION("""COMPUTED_VALUE"""),62.9)</f>
        <v>62.9</v>
      </c>
      <c r="E1996" s="17"/>
      <c r="M1996" s="17"/>
      <c r="P1996" s="17"/>
    </row>
    <row r="1997">
      <c r="B1997" s="11">
        <f>IFERROR(__xludf.DUMMYFUNCTION("""COMPUTED_VALUE"""),43129.66666666667)</f>
        <v>43129.66667</v>
      </c>
      <c r="C1997" s="9">
        <f>IFERROR(__xludf.DUMMYFUNCTION("""COMPUTED_VALUE"""),63.39)</f>
        <v>63.39</v>
      </c>
      <c r="E1997" s="17"/>
      <c r="M1997" s="17"/>
      <c r="P1997" s="17"/>
    </row>
    <row r="1998">
      <c r="B1998" s="11">
        <f>IFERROR(__xludf.DUMMYFUNCTION("""COMPUTED_VALUE"""),43126.66666666667)</f>
        <v>43126.66667</v>
      </c>
      <c r="C1998" s="9">
        <f>IFERROR(__xludf.DUMMYFUNCTION("""COMPUTED_VALUE"""),64.39)</f>
        <v>64.39</v>
      </c>
      <c r="E1998" s="17"/>
      <c r="M1998" s="17"/>
      <c r="P1998" s="17"/>
    </row>
    <row r="1999">
      <c r="B1999" s="11">
        <f>IFERROR(__xludf.DUMMYFUNCTION("""COMPUTED_VALUE"""),43125.66666666667)</f>
        <v>43125.66667</v>
      </c>
      <c r="C1999" s="9">
        <f>IFERROR(__xludf.DUMMYFUNCTION("""COMPUTED_VALUE"""),64.22)</f>
        <v>64.22</v>
      </c>
      <c r="E1999" s="17"/>
      <c r="M1999" s="17"/>
      <c r="P1999" s="17"/>
    </row>
    <row r="2000">
      <c r="B2000" s="11">
        <f>IFERROR(__xludf.DUMMYFUNCTION("""COMPUTED_VALUE"""),43124.66666666667)</f>
        <v>43124.66667</v>
      </c>
      <c r="C2000" s="9">
        <f>IFERROR(__xludf.DUMMYFUNCTION("""COMPUTED_VALUE"""),64.48)</f>
        <v>64.48</v>
      </c>
      <c r="E2000" s="17"/>
      <c r="M2000" s="17"/>
      <c r="P2000" s="17"/>
    </row>
    <row r="2001">
      <c r="B2001" s="11">
        <f>IFERROR(__xludf.DUMMYFUNCTION("""COMPUTED_VALUE"""),43123.66666666667)</f>
        <v>43123.66667</v>
      </c>
      <c r="C2001" s="9">
        <f>IFERROR(__xludf.DUMMYFUNCTION("""COMPUTED_VALUE"""),64.97)</f>
        <v>64.97</v>
      </c>
      <c r="E2001" s="17"/>
      <c r="M2001" s="17"/>
      <c r="P2001" s="17"/>
    </row>
    <row r="2002">
      <c r="B2002" s="11">
        <f>IFERROR(__xludf.DUMMYFUNCTION("""COMPUTED_VALUE"""),43122.66666666667)</f>
        <v>43122.66667</v>
      </c>
      <c r="C2002" s="9">
        <f>IFERROR(__xludf.DUMMYFUNCTION("""COMPUTED_VALUE"""),63.11)</f>
        <v>63.11</v>
      </c>
      <c r="E2002" s="17"/>
      <c r="M2002" s="17"/>
      <c r="P2002" s="17"/>
    </row>
    <row r="2003">
      <c r="B2003" s="11">
        <f>IFERROR(__xludf.DUMMYFUNCTION("""COMPUTED_VALUE"""),43119.66666666667)</f>
        <v>43119.66667</v>
      </c>
      <c r="C2003" s="9">
        <f>IFERROR(__xludf.DUMMYFUNCTION("""COMPUTED_VALUE"""),61.78)</f>
        <v>61.78</v>
      </c>
      <c r="E2003" s="17"/>
      <c r="M2003" s="17"/>
      <c r="P2003" s="17"/>
    </row>
    <row r="2004">
      <c r="B2004" s="11">
        <f>IFERROR(__xludf.DUMMYFUNCTION("""COMPUTED_VALUE"""),43118.66666666667)</f>
        <v>43118.66667</v>
      </c>
      <c r="C2004" s="9">
        <f>IFERROR(__xludf.DUMMYFUNCTION("""COMPUTED_VALUE"""),61.43)</f>
        <v>61.43</v>
      </c>
      <c r="E2004" s="17"/>
      <c r="M2004" s="17"/>
      <c r="P2004" s="17"/>
    </row>
    <row r="2005">
      <c r="B2005" s="11">
        <f>IFERROR(__xludf.DUMMYFUNCTION("""COMPUTED_VALUE"""),43117.66666666667)</f>
        <v>43117.66667</v>
      </c>
      <c r="C2005" s="9">
        <f>IFERROR(__xludf.DUMMYFUNCTION("""COMPUTED_VALUE"""),62.86)</f>
        <v>62.86</v>
      </c>
      <c r="E2005" s="17"/>
      <c r="M2005" s="17"/>
      <c r="P2005" s="17"/>
    </row>
    <row r="2006">
      <c r="B2006" s="11">
        <f>IFERROR(__xludf.DUMMYFUNCTION("""COMPUTED_VALUE"""),43116.66666666667)</f>
        <v>43116.66667</v>
      </c>
      <c r="C2006" s="9">
        <f>IFERROR(__xludf.DUMMYFUNCTION("""COMPUTED_VALUE"""),62.14)</f>
        <v>62.14</v>
      </c>
      <c r="E2006" s="17"/>
      <c r="M2006" s="17"/>
      <c r="P2006" s="17"/>
    </row>
    <row r="2007">
      <c r="B2007" s="11">
        <f>IFERROR(__xludf.DUMMYFUNCTION("""COMPUTED_VALUE"""),43112.66666666667)</f>
        <v>43112.66667</v>
      </c>
      <c r="C2007" s="9">
        <f>IFERROR(__xludf.DUMMYFUNCTION("""COMPUTED_VALUE"""),61.85)</f>
        <v>61.85</v>
      </c>
      <c r="E2007" s="17"/>
      <c r="M2007" s="17"/>
      <c r="P2007" s="17"/>
    </row>
    <row r="2008">
      <c r="B2008" s="11">
        <f>IFERROR(__xludf.DUMMYFUNCTION("""COMPUTED_VALUE"""),43111.66666666667)</f>
        <v>43111.66667</v>
      </c>
      <c r="C2008" s="9">
        <f>IFERROR(__xludf.DUMMYFUNCTION("""COMPUTED_VALUE"""),61.65)</f>
        <v>61.65</v>
      </c>
      <c r="E2008" s="17"/>
      <c r="M2008" s="17"/>
      <c r="P2008" s="17"/>
    </row>
    <row r="2009">
      <c r="B2009" s="11">
        <f>IFERROR(__xludf.DUMMYFUNCTION("""COMPUTED_VALUE"""),43110.66666666667)</f>
        <v>43110.66667</v>
      </c>
      <c r="C2009" s="9">
        <f>IFERROR(__xludf.DUMMYFUNCTION("""COMPUTED_VALUE"""),61.44)</f>
        <v>61.44</v>
      </c>
      <c r="E2009" s="17"/>
      <c r="M2009" s="17"/>
      <c r="P2009" s="17"/>
    </row>
    <row r="2010">
      <c r="B2010" s="11">
        <f>IFERROR(__xludf.DUMMYFUNCTION("""COMPUTED_VALUE"""),43109.66666666667)</f>
        <v>43109.66667</v>
      </c>
      <c r="C2010" s="9">
        <f>IFERROR(__xludf.DUMMYFUNCTION("""COMPUTED_VALUE"""),62.65)</f>
        <v>62.65</v>
      </c>
      <c r="E2010" s="17"/>
      <c r="M2010" s="17"/>
      <c r="P2010" s="17"/>
    </row>
    <row r="2011">
      <c r="B2011" s="11">
        <f>IFERROR(__xludf.DUMMYFUNCTION("""COMPUTED_VALUE"""),43108.66666666667)</f>
        <v>43108.66667</v>
      </c>
      <c r="C2011" s="9">
        <f>IFERROR(__xludf.DUMMYFUNCTION("""COMPUTED_VALUE"""),63.29)</f>
        <v>63.29</v>
      </c>
      <c r="E2011" s="17"/>
      <c r="M2011" s="17"/>
      <c r="P2011" s="17"/>
    </row>
    <row r="2012">
      <c r="B2012" s="11">
        <f>IFERROR(__xludf.DUMMYFUNCTION("""COMPUTED_VALUE"""),43105.66666666667)</f>
        <v>43105.66667</v>
      </c>
      <c r="C2012" s="9">
        <f>IFERROR(__xludf.DUMMYFUNCTION("""COMPUTED_VALUE"""),62.56)</f>
        <v>62.56</v>
      </c>
      <c r="E2012" s="17"/>
      <c r="M2012" s="17"/>
      <c r="P2012" s="17"/>
    </row>
    <row r="2013">
      <c r="B2013" s="11">
        <f>IFERROR(__xludf.DUMMYFUNCTION("""COMPUTED_VALUE"""),43104.66666666667)</f>
        <v>43104.66667</v>
      </c>
      <c r="C2013" s="9">
        <f>IFERROR(__xludf.DUMMYFUNCTION("""COMPUTED_VALUE"""),62.61)</f>
        <v>62.61</v>
      </c>
      <c r="E2013" s="17"/>
      <c r="M2013" s="17"/>
      <c r="P2013" s="17"/>
    </row>
    <row r="2014">
      <c r="B2014" s="11">
        <f>IFERROR(__xludf.DUMMYFUNCTION("""COMPUTED_VALUE"""),43103.66666666667)</f>
        <v>43103.66667</v>
      </c>
      <c r="C2014" s="9">
        <f>IFERROR(__xludf.DUMMYFUNCTION("""COMPUTED_VALUE"""),63.89)</f>
        <v>63.89</v>
      </c>
      <c r="E2014" s="17"/>
      <c r="M2014" s="17"/>
      <c r="P2014" s="17"/>
    </row>
    <row r="2015">
      <c r="B2015" s="11">
        <f>IFERROR(__xludf.DUMMYFUNCTION("""COMPUTED_VALUE"""),43102.66666666667)</f>
        <v>43102.66667</v>
      </c>
      <c r="C2015" s="9">
        <f>IFERROR(__xludf.DUMMYFUNCTION("""COMPUTED_VALUE"""),64.01)</f>
        <v>64.01</v>
      </c>
      <c r="E2015" s="17"/>
      <c r="M2015" s="17"/>
      <c r="P2015" s="17"/>
    </row>
    <row r="2016">
      <c r="B2016" s="11">
        <f>IFERROR(__xludf.DUMMYFUNCTION("""COMPUTED_VALUE"""),43098.66666666667)</f>
        <v>43098.66667</v>
      </c>
      <c r="C2016" s="9">
        <f>IFERROR(__xludf.DUMMYFUNCTION("""COMPUTED_VALUE"""),64.51)</f>
        <v>64.51</v>
      </c>
      <c r="E2016" s="17"/>
      <c r="M2016" s="17"/>
      <c r="P2016" s="17"/>
    </row>
    <row r="2017">
      <c r="B2017" s="11">
        <f>IFERROR(__xludf.DUMMYFUNCTION("""COMPUTED_VALUE"""),43097.66666666667)</f>
        <v>43097.66667</v>
      </c>
      <c r="C2017" s="9">
        <f>IFERROR(__xludf.DUMMYFUNCTION("""COMPUTED_VALUE"""),64.76)</f>
        <v>64.76</v>
      </c>
      <c r="E2017" s="17"/>
      <c r="M2017" s="17"/>
      <c r="P2017" s="17"/>
    </row>
    <row r="2018">
      <c r="B2018" s="11">
        <f>IFERROR(__xludf.DUMMYFUNCTION("""COMPUTED_VALUE"""),43096.66666666667)</f>
        <v>43096.66667</v>
      </c>
      <c r="C2018" s="9">
        <f>IFERROR(__xludf.DUMMYFUNCTION("""COMPUTED_VALUE"""),64.28)</f>
        <v>64.28</v>
      </c>
      <c r="E2018" s="17"/>
      <c r="M2018" s="17"/>
      <c r="P2018" s="17"/>
    </row>
    <row r="2019">
      <c r="B2019" s="11">
        <f>IFERROR(__xludf.DUMMYFUNCTION("""COMPUTED_VALUE"""),43095.66666666667)</f>
        <v>43095.66667</v>
      </c>
      <c r="C2019" s="9">
        <f>IFERROR(__xludf.DUMMYFUNCTION("""COMPUTED_VALUE"""),63.82)</f>
        <v>63.82</v>
      </c>
      <c r="E2019" s="17"/>
      <c r="M2019" s="17"/>
      <c r="P2019" s="17"/>
    </row>
    <row r="2020">
      <c r="B2020" s="11">
        <f>IFERROR(__xludf.DUMMYFUNCTION("""COMPUTED_VALUE"""),43091.66666666667)</f>
        <v>43091.66667</v>
      </c>
      <c r="C2020" s="9">
        <f>IFERROR(__xludf.DUMMYFUNCTION("""COMPUTED_VALUE"""),63.83)</f>
        <v>63.83</v>
      </c>
      <c r="E2020" s="17"/>
      <c r="M2020" s="17"/>
      <c r="P2020" s="17"/>
    </row>
    <row r="2021">
      <c r="B2021" s="11">
        <f>IFERROR(__xludf.DUMMYFUNCTION("""COMPUTED_VALUE"""),43090.66666666667)</f>
        <v>43090.66667</v>
      </c>
      <c r="C2021" s="9">
        <f>IFERROR(__xludf.DUMMYFUNCTION("""COMPUTED_VALUE"""),63.01)</f>
        <v>63.01</v>
      </c>
      <c r="E2021" s="17"/>
      <c r="M2021" s="17"/>
      <c r="P2021" s="17"/>
    </row>
    <row r="2022">
      <c r="B2022" s="11">
        <f>IFERROR(__xludf.DUMMYFUNCTION("""COMPUTED_VALUE"""),43089.66666666667)</f>
        <v>43089.66667</v>
      </c>
      <c r="C2022" s="9">
        <f>IFERROR(__xludf.DUMMYFUNCTION("""COMPUTED_VALUE"""),63.05)</f>
        <v>63.05</v>
      </c>
      <c r="E2022" s="17"/>
      <c r="M2022" s="17"/>
      <c r="P2022" s="17"/>
    </row>
    <row r="2023">
      <c r="B2023" s="11">
        <f>IFERROR(__xludf.DUMMYFUNCTION("""COMPUTED_VALUE"""),43088.66666666667)</f>
        <v>43088.66667</v>
      </c>
      <c r="C2023" s="9">
        <f>IFERROR(__xludf.DUMMYFUNCTION("""COMPUTED_VALUE"""),63.38)</f>
        <v>63.38</v>
      </c>
      <c r="E2023" s="17"/>
      <c r="M2023" s="17"/>
      <c r="P2023" s="17"/>
    </row>
    <row r="2024">
      <c r="B2024" s="11">
        <f>IFERROR(__xludf.DUMMYFUNCTION("""COMPUTED_VALUE"""),43087.66666666667)</f>
        <v>43087.66667</v>
      </c>
      <c r="C2024" s="9">
        <f>IFERROR(__xludf.DUMMYFUNCTION("""COMPUTED_VALUE"""),65.86)</f>
        <v>65.86</v>
      </c>
      <c r="E2024" s="17"/>
      <c r="M2024" s="17"/>
      <c r="P2024" s="17"/>
    </row>
    <row r="2025">
      <c r="B2025" s="11">
        <f>IFERROR(__xludf.DUMMYFUNCTION("""COMPUTED_VALUE"""),43084.66666666667)</f>
        <v>43084.66667</v>
      </c>
      <c r="C2025" s="9">
        <f>IFERROR(__xludf.DUMMYFUNCTION("""COMPUTED_VALUE"""),65.98)</f>
        <v>65.98</v>
      </c>
      <c r="E2025" s="17"/>
      <c r="M2025" s="17"/>
      <c r="P2025" s="17"/>
    </row>
    <row r="2026">
      <c r="B2026" s="11">
        <f>IFERROR(__xludf.DUMMYFUNCTION("""COMPUTED_VALUE"""),43083.66666666667)</f>
        <v>43083.66667</v>
      </c>
      <c r="C2026" s="9">
        <f>IFERROR(__xludf.DUMMYFUNCTION("""COMPUTED_VALUE"""),65.91)</f>
        <v>65.91</v>
      </c>
      <c r="E2026" s="17"/>
      <c r="M2026" s="17"/>
      <c r="P2026" s="17"/>
    </row>
    <row r="2027">
      <c r="B2027" s="11">
        <f>IFERROR(__xludf.DUMMYFUNCTION("""COMPUTED_VALUE"""),43082.66666666667)</f>
        <v>43082.66667</v>
      </c>
      <c r="C2027" s="9">
        <f>IFERROR(__xludf.DUMMYFUNCTION("""COMPUTED_VALUE"""),65.76)</f>
        <v>65.76</v>
      </c>
      <c r="E2027" s="17"/>
      <c r="M2027" s="17"/>
      <c r="P2027" s="17"/>
    </row>
    <row r="2028">
      <c r="B2028" s="11">
        <f>IFERROR(__xludf.DUMMYFUNCTION("""COMPUTED_VALUE"""),43081.66666666667)</f>
        <v>43081.66667</v>
      </c>
      <c r="C2028" s="9">
        <f>IFERROR(__xludf.DUMMYFUNCTION("""COMPUTED_VALUE"""),66.17)</f>
        <v>66.17</v>
      </c>
      <c r="E2028" s="17"/>
      <c r="M2028" s="17"/>
      <c r="P2028" s="17"/>
    </row>
    <row r="2029">
      <c r="B2029" s="11">
        <f>IFERROR(__xludf.DUMMYFUNCTION("""COMPUTED_VALUE"""),43080.66666666667)</f>
        <v>43080.66667</v>
      </c>
      <c r="C2029" s="9">
        <f>IFERROR(__xludf.DUMMYFUNCTION("""COMPUTED_VALUE"""),65.73)</f>
        <v>65.73</v>
      </c>
      <c r="E2029" s="17"/>
      <c r="M2029" s="17"/>
      <c r="P2029" s="17"/>
    </row>
    <row r="2030">
      <c r="B2030" s="11">
        <f>IFERROR(__xludf.DUMMYFUNCTION("""COMPUTED_VALUE"""),43077.66666666667)</f>
        <v>43077.66667</v>
      </c>
      <c r="C2030" s="9">
        <f>IFERROR(__xludf.DUMMYFUNCTION("""COMPUTED_VALUE"""),66.16)</f>
        <v>66.16</v>
      </c>
      <c r="E2030" s="17"/>
      <c r="M2030" s="17"/>
      <c r="P2030" s="17"/>
    </row>
    <row r="2031">
      <c r="B2031" s="11">
        <f>IFERROR(__xludf.DUMMYFUNCTION("""COMPUTED_VALUE"""),43076.66666666667)</f>
        <v>43076.66667</v>
      </c>
      <c r="C2031" s="9">
        <f>IFERROR(__xludf.DUMMYFUNCTION("""COMPUTED_VALUE"""),65.82)</f>
        <v>65.82</v>
      </c>
      <c r="E2031" s="17"/>
      <c r="M2031" s="17"/>
      <c r="P2031" s="17"/>
    </row>
    <row r="2032">
      <c r="B2032" s="11">
        <f>IFERROR(__xludf.DUMMYFUNCTION("""COMPUTED_VALUE"""),43075.66666666667)</f>
        <v>43075.66667</v>
      </c>
      <c r="C2032" s="9">
        <f>IFERROR(__xludf.DUMMYFUNCTION("""COMPUTED_VALUE"""),64.72)</f>
        <v>64.72</v>
      </c>
      <c r="E2032" s="17"/>
      <c r="M2032" s="17"/>
      <c r="P2032" s="17"/>
    </row>
    <row r="2033">
      <c r="B2033" s="11">
        <f>IFERROR(__xludf.DUMMYFUNCTION("""COMPUTED_VALUE"""),43074.66666666667)</f>
        <v>43074.66667</v>
      </c>
      <c r="C2033" s="9">
        <f>IFERROR(__xludf.DUMMYFUNCTION("""COMPUTED_VALUE"""),64.44)</f>
        <v>64.44</v>
      </c>
      <c r="E2033" s="17"/>
      <c r="M2033" s="17"/>
      <c r="P2033" s="17"/>
    </row>
    <row r="2034">
      <c r="B2034" s="11">
        <f>IFERROR(__xludf.DUMMYFUNCTION("""COMPUTED_VALUE"""),43073.66666666667)</f>
        <v>43073.66667</v>
      </c>
      <c r="C2034" s="9">
        <f>IFERROR(__xludf.DUMMYFUNCTION("""COMPUTED_VALUE"""),65.94)</f>
        <v>65.94</v>
      </c>
      <c r="E2034" s="17"/>
      <c r="M2034" s="17"/>
      <c r="P2034" s="17"/>
    </row>
    <row r="2035">
      <c r="B2035" s="11">
        <f>IFERROR(__xludf.DUMMYFUNCTION("""COMPUTED_VALUE"""),43070.66666666667)</f>
        <v>43070.66667</v>
      </c>
      <c r="C2035" s="9">
        <f>IFERROR(__xludf.DUMMYFUNCTION("""COMPUTED_VALUE"""),66.19)</f>
        <v>66.19</v>
      </c>
      <c r="E2035" s="17"/>
      <c r="M2035" s="17"/>
      <c r="P2035" s="17"/>
    </row>
    <row r="2036">
      <c r="B2036" s="11">
        <f>IFERROR(__xludf.DUMMYFUNCTION("""COMPUTED_VALUE"""),43069.66666666667)</f>
        <v>43069.66667</v>
      </c>
      <c r="C2036" s="9">
        <f>IFERROR(__xludf.DUMMYFUNCTION("""COMPUTED_VALUE"""),66.23)</f>
        <v>66.23</v>
      </c>
      <c r="E2036" s="17"/>
      <c r="M2036" s="17"/>
      <c r="P2036" s="17"/>
    </row>
    <row r="2037">
      <c r="B2037" s="11">
        <f>IFERROR(__xludf.DUMMYFUNCTION("""COMPUTED_VALUE"""),43068.66666666667)</f>
        <v>43068.66667</v>
      </c>
      <c r="C2037" s="9">
        <f>IFERROR(__xludf.DUMMYFUNCTION("""COMPUTED_VALUE"""),66.13)</f>
        <v>66.13</v>
      </c>
      <c r="E2037" s="17"/>
      <c r="M2037" s="17"/>
      <c r="P2037" s="17"/>
    </row>
    <row r="2038">
      <c r="B2038" s="11">
        <f>IFERROR(__xludf.DUMMYFUNCTION("""COMPUTED_VALUE"""),43067.66666666667)</f>
        <v>43067.66667</v>
      </c>
      <c r="C2038" s="9">
        <f>IFERROR(__xludf.DUMMYFUNCTION("""COMPUTED_VALUE"""),66.69)</f>
        <v>66.69</v>
      </c>
      <c r="E2038" s="17"/>
      <c r="M2038" s="17"/>
      <c r="P2038" s="17"/>
    </row>
    <row r="2039">
      <c r="B2039" s="11">
        <f>IFERROR(__xludf.DUMMYFUNCTION("""COMPUTED_VALUE"""),43066.66666666667)</f>
        <v>43066.66667</v>
      </c>
      <c r="C2039" s="9">
        <f>IFERROR(__xludf.DUMMYFUNCTION("""COMPUTED_VALUE"""),66.87)</f>
        <v>66.87</v>
      </c>
      <c r="E2039" s="17"/>
      <c r="M2039" s="17"/>
      <c r="P2039" s="17"/>
    </row>
    <row r="2040">
      <c r="B2040" s="11">
        <f>IFERROR(__xludf.DUMMYFUNCTION("""COMPUTED_VALUE"""),43063.54166666667)</f>
        <v>43063.54167</v>
      </c>
      <c r="C2040" s="9">
        <f>IFERROR(__xludf.DUMMYFUNCTION("""COMPUTED_VALUE"""),67.06)</f>
        <v>67.06</v>
      </c>
      <c r="E2040" s="17"/>
      <c r="M2040" s="17"/>
      <c r="P2040" s="17"/>
    </row>
    <row r="2041">
      <c r="B2041" s="11">
        <f>IFERROR(__xludf.DUMMYFUNCTION("""COMPUTED_VALUE"""),43061.66666666667)</f>
        <v>43061.66667</v>
      </c>
      <c r="C2041" s="9">
        <f>IFERROR(__xludf.DUMMYFUNCTION("""COMPUTED_VALUE"""),66.89)</f>
        <v>66.89</v>
      </c>
      <c r="E2041" s="17"/>
      <c r="M2041" s="17"/>
      <c r="P2041" s="17"/>
    </row>
    <row r="2042">
      <c r="B2042" s="11">
        <f>IFERROR(__xludf.DUMMYFUNCTION("""COMPUTED_VALUE"""),43060.66666666667)</f>
        <v>43060.66667</v>
      </c>
      <c r="C2042" s="9">
        <f>IFERROR(__xludf.DUMMYFUNCTION("""COMPUTED_VALUE"""),67.4)</f>
        <v>67.4</v>
      </c>
      <c r="E2042" s="17"/>
      <c r="M2042" s="17"/>
      <c r="P2042" s="17"/>
    </row>
    <row r="2043">
      <c r="B2043" s="11">
        <f>IFERROR(__xludf.DUMMYFUNCTION("""COMPUTED_VALUE"""),43059.66666666667)</f>
        <v>43059.66667</v>
      </c>
      <c r="C2043" s="9">
        <f>IFERROR(__xludf.DUMMYFUNCTION("""COMPUTED_VALUE"""),66.44)</f>
        <v>66.44</v>
      </c>
      <c r="E2043" s="17"/>
      <c r="M2043" s="17"/>
      <c r="P2043" s="17"/>
    </row>
    <row r="2044">
      <c r="B2044" s="11">
        <f>IFERROR(__xludf.DUMMYFUNCTION("""COMPUTED_VALUE"""),43056.66666666667)</f>
        <v>43056.66667</v>
      </c>
      <c r="C2044" s="9">
        <f>IFERROR(__xludf.DUMMYFUNCTION("""COMPUTED_VALUE"""),66.3)</f>
        <v>66.3</v>
      </c>
      <c r="E2044" s="17"/>
      <c r="M2044" s="17"/>
      <c r="P2044" s="17"/>
    </row>
    <row r="2045">
      <c r="B2045" s="11">
        <f>IFERROR(__xludf.DUMMYFUNCTION("""COMPUTED_VALUE"""),43055.66666666667)</f>
        <v>43055.66667</v>
      </c>
      <c r="C2045" s="9">
        <f>IFERROR(__xludf.DUMMYFUNCTION("""COMPUTED_VALUE"""),67.05)</f>
        <v>67.05</v>
      </c>
      <c r="E2045" s="17"/>
      <c r="M2045" s="17"/>
      <c r="P2045" s="17"/>
    </row>
    <row r="2046">
      <c r="B2046" s="11">
        <f>IFERROR(__xludf.DUMMYFUNCTION("""COMPUTED_VALUE"""),43054.66666666667)</f>
        <v>43054.66667</v>
      </c>
      <c r="C2046" s="9">
        <f>IFERROR(__xludf.DUMMYFUNCTION("""COMPUTED_VALUE"""),65.59)</f>
        <v>65.59</v>
      </c>
      <c r="E2046" s="17"/>
      <c r="M2046" s="17"/>
      <c r="P2046" s="17"/>
    </row>
    <row r="2047">
      <c r="B2047" s="11">
        <f>IFERROR(__xludf.DUMMYFUNCTION("""COMPUTED_VALUE"""),43053.66666666667)</f>
        <v>43053.66667</v>
      </c>
      <c r="C2047" s="9">
        <f>IFERROR(__xludf.DUMMYFUNCTION("""COMPUTED_VALUE"""),67.19)</f>
        <v>67.19</v>
      </c>
      <c r="E2047" s="17"/>
      <c r="M2047" s="17"/>
      <c r="P2047" s="17"/>
    </row>
    <row r="2048">
      <c r="B2048" s="11">
        <f>IFERROR(__xludf.DUMMYFUNCTION("""COMPUTED_VALUE"""),43052.66666666667)</f>
        <v>43052.66667</v>
      </c>
      <c r="C2048" s="9">
        <f>IFERROR(__xludf.DUMMYFUNCTION("""COMPUTED_VALUE"""),67.07)</f>
        <v>67.07</v>
      </c>
      <c r="E2048" s="17"/>
      <c r="M2048" s="17"/>
      <c r="P2048" s="17"/>
    </row>
    <row r="2049">
      <c r="B2049" s="11">
        <f>IFERROR(__xludf.DUMMYFUNCTION("""COMPUTED_VALUE"""),43049.66666666667)</f>
        <v>43049.66667</v>
      </c>
      <c r="C2049" s="9">
        <f>IFERROR(__xludf.DUMMYFUNCTION("""COMPUTED_VALUE"""),66.22)</f>
        <v>66.22</v>
      </c>
      <c r="E2049" s="17"/>
      <c r="M2049" s="17"/>
      <c r="P2049" s="17"/>
    </row>
    <row r="2050">
      <c r="B2050" s="11">
        <f>IFERROR(__xludf.DUMMYFUNCTION("""COMPUTED_VALUE"""),43048.66666666667)</f>
        <v>43048.66667</v>
      </c>
      <c r="C2050" s="9">
        <f>IFERROR(__xludf.DUMMYFUNCTION("""COMPUTED_VALUE"""),66.48)</f>
        <v>66.48</v>
      </c>
      <c r="E2050" s="17"/>
      <c r="M2050" s="17"/>
      <c r="P2050" s="17"/>
    </row>
    <row r="2051">
      <c r="B2051" s="11">
        <f>IFERROR(__xludf.DUMMYFUNCTION("""COMPUTED_VALUE"""),43047.66666666667)</f>
        <v>43047.66667</v>
      </c>
      <c r="C2051" s="9">
        <f>IFERROR(__xludf.DUMMYFUNCTION("""COMPUTED_VALUE"""),66.72)</f>
        <v>66.72</v>
      </c>
      <c r="E2051" s="17"/>
      <c r="M2051" s="17"/>
      <c r="P2051" s="17"/>
    </row>
    <row r="2052">
      <c r="B2052" s="11">
        <f>IFERROR(__xludf.DUMMYFUNCTION("""COMPUTED_VALUE"""),43046.66666666667)</f>
        <v>43046.66667</v>
      </c>
      <c r="C2052" s="9">
        <f>IFERROR(__xludf.DUMMYFUNCTION("""COMPUTED_VALUE"""),66.53)</f>
        <v>66.53</v>
      </c>
      <c r="E2052" s="17"/>
      <c r="M2052" s="17"/>
      <c r="P2052" s="17"/>
    </row>
    <row r="2053">
      <c r="B2053" s="11">
        <f>IFERROR(__xludf.DUMMYFUNCTION("""COMPUTED_VALUE"""),43045.66666666667)</f>
        <v>43045.66667</v>
      </c>
      <c r="C2053" s="9">
        <f>IFERROR(__xludf.DUMMYFUNCTION("""COMPUTED_VALUE"""),66.54)</f>
        <v>66.54</v>
      </c>
      <c r="E2053" s="17"/>
      <c r="M2053" s="17"/>
      <c r="P2053" s="17"/>
    </row>
    <row r="2054">
      <c r="B2054" s="11">
        <f>IFERROR(__xludf.DUMMYFUNCTION("""COMPUTED_VALUE"""),43042.66666666667)</f>
        <v>43042.66667</v>
      </c>
      <c r="C2054" s="9">
        <f>IFERROR(__xludf.DUMMYFUNCTION("""COMPUTED_VALUE"""),66.27)</f>
        <v>66.27</v>
      </c>
      <c r="E2054" s="17"/>
      <c r="M2054" s="17"/>
      <c r="P2054" s="17"/>
    </row>
    <row r="2055">
      <c r="B2055" s="11">
        <f>IFERROR(__xludf.DUMMYFUNCTION("""COMPUTED_VALUE"""),43041.66666666667)</f>
        <v>43041.66667</v>
      </c>
      <c r="C2055" s="9">
        <f>IFERROR(__xludf.DUMMYFUNCTION("""COMPUTED_VALUE"""),65.94)</f>
        <v>65.94</v>
      </c>
      <c r="E2055" s="17"/>
      <c r="M2055" s="17"/>
      <c r="P2055" s="17"/>
    </row>
    <row r="2056">
      <c r="B2056" s="11">
        <f>IFERROR(__xludf.DUMMYFUNCTION("""COMPUTED_VALUE"""),43040.66666666667)</f>
        <v>43040.66667</v>
      </c>
      <c r="C2056" s="9">
        <f>IFERROR(__xludf.DUMMYFUNCTION("""COMPUTED_VALUE"""),65.0)</f>
        <v>65</v>
      </c>
      <c r="E2056" s="17"/>
      <c r="M2056" s="17"/>
      <c r="P2056" s="17"/>
    </row>
    <row r="2057">
      <c r="B2057" s="11">
        <f>IFERROR(__xludf.DUMMYFUNCTION("""COMPUTED_VALUE"""),43039.66666666667)</f>
        <v>43039.66667</v>
      </c>
      <c r="C2057" s="9">
        <f>IFERROR(__xludf.DUMMYFUNCTION("""COMPUTED_VALUE"""),64.58)</f>
        <v>64.58</v>
      </c>
      <c r="E2057" s="17"/>
      <c r="M2057" s="17"/>
      <c r="P2057" s="17"/>
    </row>
    <row r="2058">
      <c r="B2058" s="11">
        <f>IFERROR(__xludf.DUMMYFUNCTION("""COMPUTED_VALUE"""),43038.66666666667)</f>
        <v>43038.66667</v>
      </c>
      <c r="C2058" s="9">
        <f>IFERROR(__xludf.DUMMYFUNCTION("""COMPUTED_VALUE"""),64.08)</f>
        <v>64.08</v>
      </c>
      <c r="E2058" s="17"/>
      <c r="M2058" s="17"/>
      <c r="P2058" s="17"/>
    </row>
    <row r="2059">
      <c r="B2059" s="11">
        <f>IFERROR(__xludf.DUMMYFUNCTION("""COMPUTED_VALUE"""),43035.66666666667)</f>
        <v>43035.66667</v>
      </c>
      <c r="C2059" s="9">
        <f>IFERROR(__xludf.DUMMYFUNCTION("""COMPUTED_VALUE"""),64.69)</f>
        <v>64.69</v>
      </c>
      <c r="E2059" s="17"/>
      <c r="M2059" s="17"/>
      <c r="P2059" s="17"/>
    </row>
    <row r="2060">
      <c r="B2060" s="11">
        <f>IFERROR(__xludf.DUMMYFUNCTION("""COMPUTED_VALUE"""),43034.66666666667)</f>
        <v>43034.66667</v>
      </c>
      <c r="C2060" s="9">
        <f>IFERROR(__xludf.DUMMYFUNCTION("""COMPUTED_VALUE"""),64.27)</f>
        <v>64.27</v>
      </c>
      <c r="E2060" s="17"/>
      <c r="M2060" s="17"/>
      <c r="P2060" s="17"/>
    </row>
    <row r="2061">
      <c r="B2061" s="11">
        <f>IFERROR(__xludf.DUMMYFUNCTION("""COMPUTED_VALUE"""),43033.66666666667)</f>
        <v>43033.66667</v>
      </c>
      <c r="C2061" s="9">
        <f>IFERROR(__xludf.DUMMYFUNCTION("""COMPUTED_VALUE"""),64.03)</f>
        <v>64.03</v>
      </c>
      <c r="E2061" s="17"/>
      <c r="M2061" s="17"/>
      <c r="P2061" s="17"/>
    </row>
    <row r="2062">
      <c r="B2062" s="11">
        <f>IFERROR(__xludf.DUMMYFUNCTION("""COMPUTED_VALUE"""),43032.66666666667)</f>
        <v>43032.66667</v>
      </c>
      <c r="C2062" s="9">
        <f>IFERROR(__xludf.DUMMYFUNCTION("""COMPUTED_VALUE"""),64.04)</f>
        <v>64.04</v>
      </c>
      <c r="E2062" s="17"/>
      <c r="M2062" s="17"/>
      <c r="P2062" s="17"/>
    </row>
    <row r="2063">
      <c r="B2063" s="11">
        <f>IFERROR(__xludf.DUMMYFUNCTION("""COMPUTED_VALUE"""),43031.66666666667)</f>
        <v>43031.66667</v>
      </c>
      <c r="C2063" s="9">
        <f>IFERROR(__xludf.DUMMYFUNCTION("""COMPUTED_VALUE"""),64.46)</f>
        <v>64.46</v>
      </c>
      <c r="E2063" s="17"/>
      <c r="M2063" s="17"/>
      <c r="P2063" s="17"/>
    </row>
    <row r="2064">
      <c r="B2064" s="11">
        <f>IFERROR(__xludf.DUMMYFUNCTION("""COMPUTED_VALUE"""),43028.66666666667)</f>
        <v>43028.66667</v>
      </c>
      <c r="C2064" s="9">
        <f>IFERROR(__xludf.DUMMYFUNCTION("""COMPUTED_VALUE"""),64.44)</f>
        <v>64.44</v>
      </c>
      <c r="E2064" s="17"/>
      <c r="M2064" s="17"/>
      <c r="P2064" s="17"/>
    </row>
    <row r="2065">
      <c r="B2065" s="11">
        <f>IFERROR(__xludf.DUMMYFUNCTION("""COMPUTED_VALUE"""),43027.66666666667)</f>
        <v>43027.66667</v>
      </c>
      <c r="C2065" s="9">
        <f>IFERROR(__xludf.DUMMYFUNCTION("""COMPUTED_VALUE"""),64.55)</f>
        <v>64.55</v>
      </c>
      <c r="E2065" s="17"/>
      <c r="M2065" s="17"/>
      <c r="P2065" s="17"/>
    </row>
    <row r="2066">
      <c r="B2066" s="11">
        <f>IFERROR(__xludf.DUMMYFUNCTION("""COMPUTED_VALUE"""),43026.66666666667)</f>
        <v>43026.66667</v>
      </c>
      <c r="C2066" s="9">
        <f>IFERROR(__xludf.DUMMYFUNCTION("""COMPUTED_VALUE"""),65.31)</f>
        <v>65.31</v>
      </c>
      <c r="E2066" s="17"/>
      <c r="M2066" s="17"/>
      <c r="P2066" s="17"/>
    </row>
    <row r="2067">
      <c r="B2067" s="11">
        <f>IFERROR(__xludf.DUMMYFUNCTION("""COMPUTED_VALUE"""),43025.66666666667)</f>
        <v>43025.66667</v>
      </c>
      <c r="C2067" s="9">
        <f>IFERROR(__xludf.DUMMYFUNCTION("""COMPUTED_VALUE"""),64.31)</f>
        <v>64.31</v>
      </c>
      <c r="E2067" s="17"/>
      <c r="M2067" s="17"/>
      <c r="P2067" s="17"/>
    </row>
    <row r="2068">
      <c r="B2068" s="11">
        <f>IFERROR(__xludf.DUMMYFUNCTION("""COMPUTED_VALUE"""),43024.66666666667)</f>
        <v>43024.66667</v>
      </c>
      <c r="C2068" s="9">
        <f>IFERROR(__xludf.DUMMYFUNCTION("""COMPUTED_VALUE"""),65.0)</f>
        <v>65</v>
      </c>
      <c r="E2068" s="17"/>
      <c r="M2068" s="17"/>
      <c r="P2068" s="17"/>
    </row>
    <row r="2069">
      <c r="B2069" s="11">
        <f>IFERROR(__xludf.DUMMYFUNCTION("""COMPUTED_VALUE"""),43021.66666666667)</f>
        <v>43021.66667</v>
      </c>
      <c r="C2069" s="9">
        <f>IFERROR(__xludf.DUMMYFUNCTION("""COMPUTED_VALUE"""),65.21)</f>
        <v>65.21</v>
      </c>
      <c r="E2069" s="17"/>
      <c r="M2069" s="17"/>
      <c r="P2069" s="17"/>
    </row>
    <row r="2070">
      <c r="B2070" s="11">
        <f>IFERROR(__xludf.DUMMYFUNCTION("""COMPUTED_VALUE"""),43020.66666666667)</f>
        <v>43020.66667</v>
      </c>
      <c r="C2070" s="9">
        <f>IFERROR(__xludf.DUMMYFUNCTION("""COMPUTED_VALUE"""),65.08)</f>
        <v>65.08</v>
      </c>
      <c r="E2070" s="17"/>
      <c r="M2070" s="17"/>
      <c r="P2070" s="17"/>
    </row>
    <row r="2071">
      <c r="B2071" s="11">
        <f>IFERROR(__xludf.DUMMYFUNCTION("""COMPUTED_VALUE"""),43019.66666666667)</f>
        <v>43019.66667</v>
      </c>
      <c r="C2071" s="9">
        <f>IFERROR(__xludf.DUMMYFUNCTION("""COMPUTED_VALUE"""),64.5)</f>
        <v>64.5</v>
      </c>
      <c r="E2071" s="17"/>
      <c r="M2071" s="17"/>
      <c r="P2071" s="17"/>
    </row>
    <row r="2072">
      <c r="B2072" s="11">
        <f>IFERROR(__xludf.DUMMYFUNCTION("""COMPUTED_VALUE"""),43018.66666666667)</f>
        <v>43018.66667</v>
      </c>
      <c r="C2072" s="9">
        <f>IFERROR(__xludf.DUMMYFUNCTION("""COMPUTED_VALUE"""),64.72)</f>
        <v>64.72</v>
      </c>
      <c r="E2072" s="17"/>
      <c r="M2072" s="17"/>
      <c r="P2072" s="17"/>
    </row>
    <row r="2073">
      <c r="B2073" s="11">
        <f>IFERROR(__xludf.DUMMYFUNCTION("""COMPUTED_VALUE"""),43017.66666666667)</f>
        <v>43017.66667</v>
      </c>
      <c r="C2073" s="9">
        <f>IFERROR(__xludf.DUMMYFUNCTION("""COMPUTED_VALUE"""),64.83)</f>
        <v>64.83</v>
      </c>
      <c r="E2073" s="17"/>
      <c r="M2073" s="17"/>
      <c r="P2073" s="17"/>
    </row>
    <row r="2074">
      <c r="B2074" s="11">
        <f>IFERROR(__xludf.DUMMYFUNCTION("""COMPUTED_VALUE"""),43014.66666666667)</f>
        <v>43014.66667</v>
      </c>
      <c r="C2074" s="9">
        <f>IFERROR(__xludf.DUMMYFUNCTION("""COMPUTED_VALUE"""),64.52)</f>
        <v>64.52</v>
      </c>
      <c r="E2074" s="17"/>
      <c r="M2074" s="17"/>
      <c r="P2074" s="17"/>
    </row>
    <row r="2075">
      <c r="B2075" s="11">
        <f>IFERROR(__xludf.DUMMYFUNCTION("""COMPUTED_VALUE"""),43013.66666666667)</f>
        <v>43013.66667</v>
      </c>
      <c r="C2075" s="9">
        <f>IFERROR(__xludf.DUMMYFUNCTION("""COMPUTED_VALUE"""),64.57)</f>
        <v>64.57</v>
      </c>
      <c r="E2075" s="17"/>
      <c r="M2075" s="17"/>
      <c r="P2075" s="17"/>
    </row>
    <row r="2076">
      <c r="B2076" s="11">
        <f>IFERROR(__xludf.DUMMYFUNCTION("""COMPUTED_VALUE"""),43012.66666666667)</f>
        <v>43012.66667</v>
      </c>
      <c r="C2076" s="9">
        <f>IFERROR(__xludf.DUMMYFUNCTION("""COMPUTED_VALUE"""),64.08)</f>
        <v>64.08</v>
      </c>
      <c r="E2076" s="17"/>
      <c r="M2076" s="17"/>
      <c r="P2076" s="17"/>
    </row>
    <row r="2077">
      <c r="B2077" s="11">
        <f>IFERROR(__xludf.DUMMYFUNCTION("""COMPUTED_VALUE"""),43011.66666666667)</f>
        <v>43011.66667</v>
      </c>
      <c r="C2077" s="9">
        <f>IFERROR(__xludf.DUMMYFUNCTION("""COMPUTED_VALUE"""),63.69)</f>
        <v>63.69</v>
      </c>
      <c r="E2077" s="17"/>
      <c r="M2077" s="17"/>
      <c r="P2077" s="17"/>
    </row>
    <row r="2078">
      <c r="B2078" s="11">
        <f>IFERROR(__xludf.DUMMYFUNCTION("""COMPUTED_VALUE"""),43010.66666666667)</f>
        <v>43010.66667</v>
      </c>
      <c r="C2078" s="9">
        <f>IFERROR(__xludf.DUMMYFUNCTION("""COMPUTED_VALUE"""),63.59)</f>
        <v>63.59</v>
      </c>
      <c r="E2078" s="17"/>
      <c r="M2078" s="17"/>
      <c r="P2078" s="17"/>
    </row>
    <row r="2079">
      <c r="B2079" s="11">
        <f>IFERROR(__xludf.DUMMYFUNCTION("""COMPUTED_VALUE"""),43007.66666666667)</f>
        <v>43007.66667</v>
      </c>
      <c r="C2079" s="9">
        <f>IFERROR(__xludf.DUMMYFUNCTION("""COMPUTED_VALUE"""),63.46)</f>
        <v>63.46</v>
      </c>
      <c r="E2079" s="17"/>
      <c r="M2079" s="17"/>
      <c r="P2079" s="17"/>
    </row>
    <row r="2080">
      <c r="B2080" s="11">
        <f>IFERROR(__xludf.DUMMYFUNCTION("""COMPUTED_VALUE"""),43006.66666666667)</f>
        <v>43006.66667</v>
      </c>
      <c r="C2080" s="9">
        <f>IFERROR(__xludf.DUMMYFUNCTION("""COMPUTED_VALUE"""),63.55)</f>
        <v>63.55</v>
      </c>
      <c r="E2080" s="17"/>
      <c r="M2080" s="17"/>
      <c r="P2080" s="17"/>
    </row>
    <row r="2081">
      <c r="B2081" s="11">
        <f>IFERROR(__xludf.DUMMYFUNCTION("""COMPUTED_VALUE"""),43005.66666666667)</f>
        <v>43005.66667</v>
      </c>
      <c r="C2081" s="9">
        <f>IFERROR(__xludf.DUMMYFUNCTION("""COMPUTED_VALUE"""),62.91)</f>
        <v>62.91</v>
      </c>
      <c r="E2081" s="17"/>
      <c r="M2081" s="17"/>
      <c r="P2081" s="17"/>
    </row>
    <row r="2082">
      <c r="B2082" s="11">
        <f>IFERROR(__xludf.DUMMYFUNCTION("""COMPUTED_VALUE"""),43004.66666666667)</f>
        <v>43004.66667</v>
      </c>
      <c r="C2082" s="9">
        <f>IFERROR(__xludf.DUMMYFUNCTION("""COMPUTED_VALUE"""),63.66)</f>
        <v>63.66</v>
      </c>
      <c r="E2082" s="17"/>
      <c r="M2082" s="17"/>
      <c r="P2082" s="17"/>
    </row>
    <row r="2083">
      <c r="B2083" s="11">
        <f>IFERROR(__xludf.DUMMYFUNCTION("""COMPUTED_VALUE"""),43003.66666666667)</f>
        <v>43003.66667</v>
      </c>
      <c r="C2083" s="9">
        <f>IFERROR(__xludf.DUMMYFUNCTION("""COMPUTED_VALUE"""),64.02)</f>
        <v>64.02</v>
      </c>
      <c r="E2083" s="17"/>
      <c r="M2083" s="17"/>
      <c r="P2083" s="17"/>
    </row>
    <row r="2084">
      <c r="B2084" s="11">
        <f>IFERROR(__xludf.DUMMYFUNCTION("""COMPUTED_VALUE"""),43000.66666666667)</f>
        <v>43000.66667</v>
      </c>
      <c r="C2084" s="9">
        <f>IFERROR(__xludf.DUMMYFUNCTION("""COMPUTED_VALUE"""),63.68)</f>
        <v>63.68</v>
      </c>
      <c r="E2084" s="17"/>
      <c r="M2084" s="17"/>
      <c r="P2084" s="17"/>
    </row>
    <row r="2085">
      <c r="B2085" s="11">
        <f>IFERROR(__xludf.DUMMYFUNCTION("""COMPUTED_VALUE"""),42999.66666666667)</f>
        <v>42999.66667</v>
      </c>
      <c r="C2085" s="9">
        <f>IFERROR(__xludf.DUMMYFUNCTION("""COMPUTED_VALUE"""),64.36)</f>
        <v>64.36</v>
      </c>
      <c r="E2085" s="17"/>
      <c r="M2085" s="17"/>
      <c r="P2085" s="17"/>
    </row>
    <row r="2086">
      <c r="B2086" s="11">
        <f>IFERROR(__xludf.DUMMYFUNCTION("""COMPUTED_VALUE"""),42998.66666666667)</f>
        <v>42998.66667</v>
      </c>
      <c r="C2086" s="9">
        <f>IFERROR(__xludf.DUMMYFUNCTION("""COMPUTED_VALUE"""),64.62)</f>
        <v>64.62</v>
      </c>
      <c r="E2086" s="17"/>
      <c r="M2086" s="17"/>
      <c r="P2086" s="17"/>
    </row>
    <row r="2087">
      <c r="B2087" s="11">
        <f>IFERROR(__xludf.DUMMYFUNCTION("""COMPUTED_VALUE"""),42997.66666666667)</f>
        <v>42997.66667</v>
      </c>
      <c r="C2087" s="9">
        <f>IFERROR(__xludf.DUMMYFUNCTION("""COMPUTED_VALUE"""),64.75)</f>
        <v>64.75</v>
      </c>
      <c r="E2087" s="17"/>
      <c r="M2087" s="17"/>
      <c r="P2087" s="17"/>
    </row>
    <row r="2088">
      <c r="B2088" s="11">
        <f>IFERROR(__xludf.DUMMYFUNCTION("""COMPUTED_VALUE"""),42996.66666666667)</f>
        <v>42996.66667</v>
      </c>
      <c r="C2088" s="9">
        <f>IFERROR(__xludf.DUMMYFUNCTION("""COMPUTED_VALUE"""),65.03)</f>
        <v>65.03</v>
      </c>
      <c r="E2088" s="17"/>
      <c r="M2088" s="17"/>
      <c r="P2088" s="17"/>
    </row>
    <row r="2089">
      <c r="B2089" s="11">
        <f>IFERROR(__xludf.DUMMYFUNCTION("""COMPUTED_VALUE"""),42993.66666666667)</f>
        <v>42993.66667</v>
      </c>
      <c r="C2089" s="9">
        <f>IFERROR(__xludf.DUMMYFUNCTION("""COMPUTED_VALUE"""),65.2)</f>
        <v>65.2</v>
      </c>
      <c r="E2089" s="17"/>
      <c r="M2089" s="17"/>
      <c r="P2089" s="17"/>
    </row>
    <row r="2090">
      <c r="B2090" s="11">
        <f>IFERROR(__xludf.DUMMYFUNCTION("""COMPUTED_VALUE"""),42992.66666666667)</f>
        <v>42992.66667</v>
      </c>
      <c r="C2090" s="9">
        <f>IFERROR(__xludf.DUMMYFUNCTION("""COMPUTED_VALUE"""),65.29)</f>
        <v>65.29</v>
      </c>
      <c r="E2090" s="17"/>
      <c r="M2090" s="17"/>
      <c r="P2090" s="17"/>
    </row>
    <row r="2091">
      <c r="B2091" s="11">
        <f>IFERROR(__xludf.DUMMYFUNCTION("""COMPUTED_VALUE"""),42991.66666666667)</f>
        <v>42991.66667</v>
      </c>
      <c r="C2091" s="9">
        <f>IFERROR(__xludf.DUMMYFUNCTION("""COMPUTED_VALUE"""),64.01)</f>
        <v>64.01</v>
      </c>
      <c r="E2091" s="17"/>
      <c r="M2091" s="17"/>
      <c r="P2091" s="17"/>
    </row>
    <row r="2092">
      <c r="B2092" s="11">
        <f>IFERROR(__xludf.DUMMYFUNCTION("""COMPUTED_VALUE"""),42990.66666666667)</f>
        <v>42990.66667</v>
      </c>
      <c r="C2092" s="9">
        <f>IFERROR(__xludf.DUMMYFUNCTION("""COMPUTED_VALUE"""),64.66)</f>
        <v>64.66</v>
      </c>
      <c r="E2092" s="17"/>
      <c r="M2092" s="17"/>
      <c r="P2092" s="17"/>
    </row>
    <row r="2093">
      <c r="B2093" s="11">
        <f>IFERROR(__xludf.DUMMYFUNCTION("""COMPUTED_VALUE"""),42989.66666666667)</f>
        <v>42989.66667</v>
      </c>
      <c r="C2093" s="9">
        <f>IFERROR(__xludf.DUMMYFUNCTION("""COMPUTED_VALUE"""),65.13)</f>
        <v>65.13</v>
      </c>
      <c r="E2093" s="17"/>
      <c r="M2093" s="17"/>
      <c r="P2093" s="17"/>
    </row>
    <row r="2094">
      <c r="B2094" s="11">
        <f>IFERROR(__xludf.DUMMYFUNCTION("""COMPUTED_VALUE"""),42986.66666666667)</f>
        <v>42986.66667</v>
      </c>
      <c r="C2094" s="9">
        <f>IFERROR(__xludf.DUMMYFUNCTION("""COMPUTED_VALUE"""),63.97)</f>
        <v>63.97</v>
      </c>
      <c r="E2094" s="17"/>
      <c r="M2094" s="17"/>
      <c r="P2094" s="17"/>
    </row>
    <row r="2095">
      <c r="B2095" s="11">
        <f>IFERROR(__xludf.DUMMYFUNCTION("""COMPUTED_VALUE"""),42985.66666666667)</f>
        <v>42985.66667</v>
      </c>
      <c r="C2095" s="9">
        <f>IFERROR(__xludf.DUMMYFUNCTION("""COMPUTED_VALUE"""),63.71)</f>
        <v>63.71</v>
      </c>
      <c r="E2095" s="17"/>
      <c r="M2095" s="17"/>
      <c r="P2095" s="17"/>
    </row>
    <row r="2096">
      <c r="B2096" s="11">
        <f>IFERROR(__xludf.DUMMYFUNCTION("""COMPUTED_VALUE"""),42984.66666666667)</f>
        <v>42984.66667</v>
      </c>
      <c r="C2096" s="9">
        <f>IFERROR(__xludf.DUMMYFUNCTION("""COMPUTED_VALUE"""),63.14)</f>
        <v>63.14</v>
      </c>
      <c r="E2096" s="17"/>
      <c r="M2096" s="17"/>
      <c r="P2096" s="17"/>
    </row>
    <row r="2097">
      <c r="B2097" s="11">
        <f>IFERROR(__xludf.DUMMYFUNCTION("""COMPUTED_VALUE"""),42983.66666666667)</f>
        <v>42983.66667</v>
      </c>
      <c r="C2097" s="9">
        <f>IFERROR(__xludf.DUMMYFUNCTION("""COMPUTED_VALUE"""),63.51)</f>
        <v>63.51</v>
      </c>
      <c r="E2097" s="17"/>
      <c r="M2097" s="17"/>
      <c r="P2097" s="17"/>
    </row>
    <row r="2098">
      <c r="B2098" s="11">
        <f>IFERROR(__xludf.DUMMYFUNCTION("""COMPUTED_VALUE"""),42979.66666666667)</f>
        <v>42979.66667</v>
      </c>
      <c r="C2098" s="9">
        <f>IFERROR(__xludf.DUMMYFUNCTION("""COMPUTED_VALUE"""),63.78)</f>
        <v>63.78</v>
      </c>
      <c r="E2098" s="17"/>
      <c r="M2098" s="17"/>
      <c r="P2098" s="17"/>
    </row>
    <row r="2099">
      <c r="B2099" s="11">
        <f>IFERROR(__xludf.DUMMYFUNCTION("""COMPUTED_VALUE"""),42978.66666666667)</f>
        <v>42978.66667</v>
      </c>
      <c r="C2099" s="9">
        <f>IFERROR(__xludf.DUMMYFUNCTION("""COMPUTED_VALUE"""),63.36)</f>
        <v>63.36</v>
      </c>
      <c r="E2099" s="17"/>
      <c r="M2099" s="17"/>
      <c r="P2099" s="17"/>
    </row>
    <row r="2100">
      <c r="B2100" s="11">
        <f>IFERROR(__xludf.DUMMYFUNCTION("""COMPUTED_VALUE"""),42977.66666666667)</f>
        <v>42977.66667</v>
      </c>
      <c r="C2100" s="9">
        <f>IFERROR(__xludf.DUMMYFUNCTION("""COMPUTED_VALUE"""),62.46)</f>
        <v>62.46</v>
      </c>
      <c r="E2100" s="17"/>
      <c r="M2100" s="17"/>
      <c r="P2100" s="17"/>
    </row>
    <row r="2101">
      <c r="B2101" s="11">
        <f>IFERROR(__xludf.DUMMYFUNCTION("""COMPUTED_VALUE"""),42976.66666666667)</f>
        <v>42976.66667</v>
      </c>
      <c r="C2101" s="9">
        <f>IFERROR(__xludf.DUMMYFUNCTION("""COMPUTED_VALUE"""),62.18)</f>
        <v>62.18</v>
      </c>
      <c r="E2101" s="17"/>
      <c r="M2101" s="17"/>
      <c r="P2101" s="17"/>
    </row>
    <row r="2102">
      <c r="B2102" s="11">
        <f>IFERROR(__xludf.DUMMYFUNCTION("""COMPUTED_VALUE"""),42975.66666666667)</f>
        <v>42975.66667</v>
      </c>
      <c r="C2102" s="9">
        <f>IFERROR(__xludf.DUMMYFUNCTION("""COMPUTED_VALUE"""),62.43)</f>
        <v>62.43</v>
      </c>
      <c r="E2102" s="17"/>
      <c r="M2102" s="17"/>
      <c r="P2102" s="17"/>
    </row>
    <row r="2103">
      <c r="B2103" s="11">
        <f>IFERROR(__xludf.DUMMYFUNCTION("""COMPUTED_VALUE"""),42972.66666666667)</f>
        <v>42972.66667</v>
      </c>
      <c r="C2103" s="9">
        <f>IFERROR(__xludf.DUMMYFUNCTION("""COMPUTED_VALUE"""),62.58)</f>
        <v>62.58</v>
      </c>
      <c r="E2103" s="17"/>
      <c r="M2103" s="17"/>
      <c r="P2103" s="17"/>
    </row>
    <row r="2104">
      <c r="B2104" s="11">
        <f>IFERROR(__xludf.DUMMYFUNCTION("""COMPUTED_VALUE"""),42971.66666666667)</f>
        <v>42971.66667</v>
      </c>
      <c r="C2104" s="9">
        <f>IFERROR(__xludf.DUMMYFUNCTION("""COMPUTED_VALUE"""),62.27)</f>
        <v>62.27</v>
      </c>
      <c r="E2104" s="17"/>
      <c r="M2104" s="17"/>
      <c r="P2104" s="17"/>
    </row>
    <row r="2105">
      <c r="B2105" s="11">
        <f>IFERROR(__xludf.DUMMYFUNCTION("""COMPUTED_VALUE"""),42970.66666666667)</f>
        <v>42970.66667</v>
      </c>
      <c r="C2105" s="9">
        <f>IFERROR(__xludf.DUMMYFUNCTION("""COMPUTED_VALUE"""),62.81)</f>
        <v>62.81</v>
      </c>
      <c r="E2105" s="17"/>
      <c r="M2105" s="17"/>
      <c r="P2105" s="17"/>
    </row>
    <row r="2106">
      <c r="B2106" s="11">
        <f>IFERROR(__xludf.DUMMYFUNCTION("""COMPUTED_VALUE"""),42969.66666666667)</f>
        <v>42969.66667</v>
      </c>
      <c r="C2106" s="9">
        <f>IFERROR(__xludf.DUMMYFUNCTION("""COMPUTED_VALUE"""),61.7)</f>
        <v>61.7</v>
      </c>
      <c r="E2106" s="17"/>
      <c r="M2106" s="17"/>
      <c r="P2106" s="17"/>
    </row>
    <row r="2107">
      <c r="B2107" s="11">
        <f>IFERROR(__xludf.DUMMYFUNCTION("""COMPUTED_VALUE"""),42968.66666666667)</f>
        <v>42968.66667</v>
      </c>
      <c r="C2107" s="9">
        <f>IFERROR(__xludf.DUMMYFUNCTION("""COMPUTED_VALUE"""),62.09)</f>
        <v>62.09</v>
      </c>
      <c r="E2107" s="17"/>
      <c r="M2107" s="17"/>
      <c r="P2107" s="17"/>
    </row>
    <row r="2108">
      <c r="B2108" s="11">
        <f>IFERROR(__xludf.DUMMYFUNCTION("""COMPUTED_VALUE"""),42965.66666666667)</f>
        <v>42965.66667</v>
      </c>
      <c r="C2108" s="9">
        <f>IFERROR(__xludf.DUMMYFUNCTION("""COMPUTED_VALUE"""),61.23)</f>
        <v>61.23</v>
      </c>
      <c r="E2108" s="17"/>
      <c r="M2108" s="17"/>
      <c r="P2108" s="17"/>
    </row>
    <row r="2109">
      <c r="B2109" s="11">
        <f>IFERROR(__xludf.DUMMYFUNCTION("""COMPUTED_VALUE"""),42964.66666666667)</f>
        <v>42964.66667</v>
      </c>
      <c r="C2109" s="9">
        <f>IFERROR(__xludf.DUMMYFUNCTION("""COMPUTED_VALUE"""),61.3)</f>
        <v>61.3</v>
      </c>
      <c r="E2109" s="17"/>
      <c r="M2109" s="17"/>
      <c r="P2109" s="17"/>
    </row>
    <row r="2110">
      <c r="B2110" s="11">
        <f>IFERROR(__xludf.DUMMYFUNCTION("""COMPUTED_VALUE"""),42963.66666666667)</f>
        <v>42963.66667</v>
      </c>
      <c r="C2110" s="9">
        <f>IFERROR(__xludf.DUMMYFUNCTION("""COMPUTED_VALUE"""),62.25)</f>
        <v>62.25</v>
      </c>
      <c r="E2110" s="17"/>
      <c r="M2110" s="17"/>
      <c r="P2110" s="17"/>
    </row>
    <row r="2111">
      <c r="B2111" s="11">
        <f>IFERROR(__xludf.DUMMYFUNCTION("""COMPUTED_VALUE"""),42962.66666666667)</f>
        <v>42962.66667</v>
      </c>
      <c r="C2111" s="9">
        <f>IFERROR(__xludf.DUMMYFUNCTION("""COMPUTED_VALUE"""),61.89)</f>
        <v>61.89</v>
      </c>
      <c r="E2111" s="17"/>
      <c r="M2111" s="17"/>
      <c r="P2111" s="17"/>
    </row>
    <row r="2112">
      <c r="B2112" s="11">
        <f>IFERROR(__xludf.DUMMYFUNCTION("""COMPUTED_VALUE"""),42961.66666666667)</f>
        <v>42961.66667</v>
      </c>
      <c r="C2112" s="9">
        <f>IFERROR(__xludf.DUMMYFUNCTION("""COMPUTED_VALUE"""),61.33)</f>
        <v>61.33</v>
      </c>
      <c r="E2112" s="17"/>
      <c r="M2112" s="17"/>
      <c r="P2112" s="17"/>
    </row>
    <row r="2113">
      <c r="B2113" s="11">
        <f>IFERROR(__xludf.DUMMYFUNCTION("""COMPUTED_VALUE"""),42958.66666666667)</f>
        <v>42958.66667</v>
      </c>
      <c r="C2113" s="9">
        <f>IFERROR(__xludf.DUMMYFUNCTION("""COMPUTED_VALUE"""),59.71)</f>
        <v>59.71</v>
      </c>
      <c r="E2113" s="17"/>
      <c r="M2113" s="17"/>
      <c r="P2113" s="17"/>
    </row>
    <row r="2114">
      <c r="B2114" s="11">
        <f>IFERROR(__xludf.DUMMYFUNCTION("""COMPUTED_VALUE"""),42957.66666666667)</f>
        <v>42957.66667</v>
      </c>
      <c r="C2114" s="9">
        <f>IFERROR(__xludf.DUMMYFUNCTION("""COMPUTED_VALUE"""),59.94)</f>
        <v>59.94</v>
      </c>
      <c r="E2114" s="17"/>
      <c r="M2114" s="17"/>
      <c r="P2114" s="17"/>
    </row>
    <row r="2115">
      <c r="B2115" s="11">
        <f>IFERROR(__xludf.DUMMYFUNCTION("""COMPUTED_VALUE"""),42956.66666666667)</f>
        <v>42956.66667</v>
      </c>
      <c r="C2115" s="9">
        <f>IFERROR(__xludf.DUMMYFUNCTION("""COMPUTED_VALUE"""),60.74)</f>
        <v>60.74</v>
      </c>
      <c r="E2115" s="17"/>
      <c r="M2115" s="17"/>
      <c r="P2115" s="17"/>
    </row>
    <row r="2116">
      <c r="B2116" s="11">
        <f>IFERROR(__xludf.DUMMYFUNCTION("""COMPUTED_VALUE"""),42955.66666666667)</f>
        <v>42955.66667</v>
      </c>
      <c r="C2116" s="9">
        <f>IFERROR(__xludf.DUMMYFUNCTION("""COMPUTED_VALUE"""),60.78)</f>
        <v>60.78</v>
      </c>
      <c r="E2116" s="17"/>
      <c r="M2116" s="17"/>
      <c r="P2116" s="17"/>
    </row>
    <row r="2117">
      <c r="B2117" s="11">
        <f>IFERROR(__xludf.DUMMYFUNCTION("""COMPUTED_VALUE"""),42954.66666666667)</f>
        <v>42954.66667</v>
      </c>
      <c r="C2117" s="9">
        <f>IFERROR(__xludf.DUMMYFUNCTION("""COMPUTED_VALUE"""),60.65)</f>
        <v>60.65</v>
      </c>
      <c r="E2117" s="17"/>
      <c r="M2117" s="17"/>
      <c r="P2117" s="17"/>
    </row>
    <row r="2118">
      <c r="B2118" s="11">
        <f>IFERROR(__xludf.DUMMYFUNCTION("""COMPUTED_VALUE"""),42951.66666666667)</f>
        <v>42951.66667</v>
      </c>
      <c r="C2118" s="9">
        <f>IFERROR(__xludf.DUMMYFUNCTION("""COMPUTED_VALUE"""),61.36)</f>
        <v>61.36</v>
      </c>
      <c r="E2118" s="17"/>
      <c r="M2118" s="17"/>
      <c r="P2118" s="17"/>
    </row>
    <row r="2119">
      <c r="B2119" s="11">
        <f>IFERROR(__xludf.DUMMYFUNCTION("""COMPUTED_VALUE"""),42950.66666666667)</f>
        <v>42950.66667</v>
      </c>
      <c r="C2119" s="9">
        <f>IFERROR(__xludf.DUMMYFUNCTION("""COMPUTED_VALUE"""),61.12)</f>
        <v>61.12</v>
      </c>
      <c r="E2119" s="17"/>
      <c r="M2119" s="17"/>
      <c r="P2119" s="17"/>
    </row>
    <row r="2120">
      <c r="B2120" s="11">
        <f>IFERROR(__xludf.DUMMYFUNCTION("""COMPUTED_VALUE"""),42949.66666666667)</f>
        <v>42949.66667</v>
      </c>
      <c r="C2120" s="9">
        <f>IFERROR(__xludf.DUMMYFUNCTION("""COMPUTED_VALUE"""),61.2)</f>
        <v>61.2</v>
      </c>
      <c r="E2120" s="17"/>
      <c r="M2120" s="17"/>
      <c r="P2120" s="17"/>
    </row>
    <row r="2121">
      <c r="B2121" s="11">
        <f>IFERROR(__xludf.DUMMYFUNCTION("""COMPUTED_VALUE"""),42948.66666666667)</f>
        <v>42948.66667</v>
      </c>
      <c r="C2121" s="9">
        <f>IFERROR(__xludf.DUMMYFUNCTION("""COMPUTED_VALUE"""),61.34)</f>
        <v>61.34</v>
      </c>
      <c r="E2121" s="17"/>
      <c r="M2121" s="17"/>
      <c r="P2121" s="17"/>
    </row>
    <row r="2122">
      <c r="B2122" s="11">
        <f>IFERROR(__xludf.DUMMYFUNCTION("""COMPUTED_VALUE"""),42947.66666666667)</f>
        <v>42947.66667</v>
      </c>
      <c r="C2122" s="9">
        <f>IFERROR(__xludf.DUMMYFUNCTION("""COMPUTED_VALUE"""),60.81)</f>
        <v>60.81</v>
      </c>
      <c r="E2122" s="17"/>
      <c r="M2122" s="17"/>
      <c r="P2122" s="17"/>
    </row>
    <row r="2123">
      <c r="B2123" s="11">
        <f>IFERROR(__xludf.DUMMYFUNCTION("""COMPUTED_VALUE"""),42944.66666666667)</f>
        <v>42944.66667</v>
      </c>
      <c r="C2123" s="9">
        <f>IFERROR(__xludf.DUMMYFUNCTION("""COMPUTED_VALUE"""),61.55)</f>
        <v>61.55</v>
      </c>
      <c r="E2123" s="17"/>
      <c r="M2123" s="17"/>
      <c r="P2123" s="17"/>
    </row>
    <row r="2124">
      <c r="B2124" s="11">
        <f>IFERROR(__xludf.DUMMYFUNCTION("""COMPUTED_VALUE"""),42943.66666666667)</f>
        <v>42943.66667</v>
      </c>
      <c r="C2124" s="9">
        <f>IFERROR(__xludf.DUMMYFUNCTION("""COMPUTED_VALUE"""),61.16)</f>
        <v>61.16</v>
      </c>
      <c r="E2124" s="17"/>
      <c r="M2124" s="17"/>
      <c r="P2124" s="17"/>
    </row>
    <row r="2125">
      <c r="B2125" s="11">
        <f>IFERROR(__xludf.DUMMYFUNCTION("""COMPUTED_VALUE"""),42942.66666666667)</f>
        <v>42942.66667</v>
      </c>
      <c r="C2125" s="9">
        <f>IFERROR(__xludf.DUMMYFUNCTION("""COMPUTED_VALUE"""),61.14)</f>
        <v>61.14</v>
      </c>
      <c r="E2125" s="17"/>
      <c r="M2125" s="17"/>
      <c r="P2125" s="17"/>
    </row>
    <row r="2126">
      <c r="B2126" s="11">
        <f>IFERROR(__xludf.DUMMYFUNCTION("""COMPUTED_VALUE"""),42941.66666666667)</f>
        <v>42941.66667</v>
      </c>
      <c r="C2126" s="9">
        <f>IFERROR(__xludf.DUMMYFUNCTION("""COMPUTED_VALUE"""),60.27)</f>
        <v>60.27</v>
      </c>
      <c r="E2126" s="17"/>
      <c r="M2126" s="17"/>
      <c r="P2126" s="17"/>
    </row>
    <row r="2127">
      <c r="B2127" s="11">
        <f>IFERROR(__xludf.DUMMYFUNCTION("""COMPUTED_VALUE"""),42940.66666666667)</f>
        <v>42940.66667</v>
      </c>
      <c r="C2127" s="9">
        <f>IFERROR(__xludf.DUMMYFUNCTION("""COMPUTED_VALUE"""),60.3)</f>
        <v>60.3</v>
      </c>
      <c r="E2127" s="17"/>
      <c r="M2127" s="17"/>
      <c r="P2127" s="17"/>
    </row>
    <row r="2128">
      <c r="B2128" s="11">
        <f>IFERROR(__xludf.DUMMYFUNCTION("""COMPUTED_VALUE"""),42937.66666666667)</f>
        <v>42937.66667</v>
      </c>
      <c r="C2128" s="9">
        <f>IFERROR(__xludf.DUMMYFUNCTION("""COMPUTED_VALUE"""),58.99)</f>
        <v>58.99</v>
      </c>
      <c r="E2128" s="17"/>
      <c r="M2128" s="17"/>
      <c r="P2128" s="17"/>
    </row>
    <row r="2129">
      <c r="B2129" s="11">
        <f>IFERROR(__xludf.DUMMYFUNCTION("""COMPUTED_VALUE"""),42936.66666666667)</f>
        <v>42936.66667</v>
      </c>
      <c r="C2129" s="9">
        <f>IFERROR(__xludf.DUMMYFUNCTION("""COMPUTED_VALUE"""),59.17)</f>
        <v>59.17</v>
      </c>
      <c r="E2129" s="17"/>
      <c r="M2129" s="17"/>
      <c r="P2129" s="17"/>
    </row>
    <row r="2130">
      <c r="B2130" s="11">
        <f>IFERROR(__xludf.DUMMYFUNCTION("""COMPUTED_VALUE"""),42935.66666666667)</f>
        <v>42935.66667</v>
      </c>
      <c r="C2130" s="9">
        <f>IFERROR(__xludf.DUMMYFUNCTION("""COMPUTED_VALUE"""),60.12)</f>
        <v>60.12</v>
      </c>
      <c r="E2130" s="17"/>
      <c r="M2130" s="17"/>
      <c r="P2130" s="17"/>
    </row>
    <row r="2131">
      <c r="B2131" s="11">
        <f>IFERROR(__xludf.DUMMYFUNCTION("""COMPUTED_VALUE"""),42934.66666666667)</f>
        <v>42934.66667</v>
      </c>
      <c r="C2131" s="9">
        <f>IFERROR(__xludf.DUMMYFUNCTION("""COMPUTED_VALUE"""),60.12)</f>
        <v>60.12</v>
      </c>
      <c r="E2131" s="17"/>
      <c r="M2131" s="17"/>
      <c r="P2131" s="17"/>
    </row>
    <row r="2132">
      <c r="B2132" s="11">
        <f>IFERROR(__xludf.DUMMYFUNCTION("""COMPUTED_VALUE"""),42933.66666666667)</f>
        <v>42933.66667</v>
      </c>
      <c r="C2132" s="9">
        <f>IFERROR(__xludf.DUMMYFUNCTION("""COMPUTED_VALUE"""),58.52)</f>
        <v>58.52</v>
      </c>
      <c r="E2132" s="17"/>
      <c r="M2132" s="17"/>
      <c r="P2132" s="17"/>
    </row>
    <row r="2133">
      <c r="B2133" s="11">
        <f>IFERROR(__xludf.DUMMYFUNCTION("""COMPUTED_VALUE"""),42930.66666666667)</f>
        <v>42930.66667</v>
      </c>
      <c r="C2133" s="9">
        <f>IFERROR(__xludf.DUMMYFUNCTION("""COMPUTED_VALUE"""),58.08)</f>
        <v>58.08</v>
      </c>
      <c r="E2133" s="17"/>
      <c r="M2133" s="17"/>
      <c r="P2133" s="17"/>
    </row>
    <row r="2134">
      <c r="B2134" s="11">
        <f>IFERROR(__xludf.DUMMYFUNCTION("""COMPUTED_VALUE"""),42929.66666666667)</f>
        <v>42929.66667</v>
      </c>
      <c r="C2134" s="9">
        <f>IFERROR(__xludf.DUMMYFUNCTION("""COMPUTED_VALUE"""),57.55)</f>
        <v>57.55</v>
      </c>
      <c r="E2134" s="17"/>
      <c r="M2134" s="17"/>
      <c r="P2134" s="17"/>
    </row>
    <row r="2135">
      <c r="B2135" s="11">
        <f>IFERROR(__xludf.DUMMYFUNCTION("""COMPUTED_VALUE"""),42928.66666666667)</f>
        <v>42928.66667</v>
      </c>
      <c r="C2135" s="9">
        <f>IFERROR(__xludf.DUMMYFUNCTION("""COMPUTED_VALUE"""),57.79)</f>
        <v>57.79</v>
      </c>
      <c r="E2135" s="17"/>
      <c r="M2135" s="17"/>
      <c r="P2135" s="17"/>
    </row>
    <row r="2136">
      <c r="B2136" s="11">
        <f>IFERROR(__xludf.DUMMYFUNCTION("""COMPUTED_VALUE"""),42927.66666666667)</f>
        <v>42927.66667</v>
      </c>
      <c r="C2136" s="9">
        <f>IFERROR(__xludf.DUMMYFUNCTION("""COMPUTED_VALUE"""),56.94)</f>
        <v>56.94</v>
      </c>
      <c r="E2136" s="17"/>
      <c r="M2136" s="17"/>
      <c r="P2136" s="17"/>
    </row>
    <row r="2137">
      <c r="B2137" s="11">
        <f>IFERROR(__xludf.DUMMYFUNCTION("""COMPUTED_VALUE"""),42926.66666666667)</f>
        <v>42926.66667</v>
      </c>
      <c r="C2137" s="9">
        <f>IFERROR(__xludf.DUMMYFUNCTION("""COMPUTED_VALUE"""),57.28)</f>
        <v>57.28</v>
      </c>
      <c r="E2137" s="17"/>
      <c r="M2137" s="17"/>
      <c r="P2137" s="17"/>
    </row>
    <row r="2138">
      <c r="B2138" s="11">
        <f>IFERROR(__xludf.DUMMYFUNCTION("""COMPUTED_VALUE"""),42923.66666666667)</f>
        <v>42923.66667</v>
      </c>
      <c r="C2138" s="9">
        <f>IFERROR(__xludf.DUMMYFUNCTION("""COMPUTED_VALUE"""),57.75)</f>
        <v>57.75</v>
      </c>
      <c r="E2138" s="17"/>
      <c r="M2138" s="17"/>
      <c r="P2138" s="17"/>
    </row>
    <row r="2139">
      <c r="B2139" s="11">
        <f>IFERROR(__xludf.DUMMYFUNCTION("""COMPUTED_VALUE"""),42922.66666666667)</f>
        <v>42922.66667</v>
      </c>
      <c r="C2139" s="9">
        <f>IFERROR(__xludf.DUMMYFUNCTION("""COMPUTED_VALUE"""),57.28)</f>
        <v>57.28</v>
      </c>
      <c r="E2139" s="17"/>
      <c r="M2139" s="17"/>
      <c r="P2139" s="17"/>
    </row>
    <row r="2140">
      <c r="B2140" s="11">
        <f>IFERROR(__xludf.DUMMYFUNCTION("""COMPUTED_VALUE"""),42921.66666666667)</f>
        <v>42921.66667</v>
      </c>
      <c r="C2140" s="9">
        <f>IFERROR(__xludf.DUMMYFUNCTION("""COMPUTED_VALUE"""),58.53)</f>
        <v>58.53</v>
      </c>
      <c r="E2140" s="17"/>
      <c r="M2140" s="17"/>
      <c r="P2140" s="17"/>
    </row>
    <row r="2141">
      <c r="B2141" s="11">
        <f>IFERROR(__xludf.DUMMYFUNCTION("""COMPUTED_VALUE"""),42919.66666666667)</f>
        <v>42919.66667</v>
      </c>
      <c r="C2141" s="9">
        <f>IFERROR(__xludf.DUMMYFUNCTION("""COMPUTED_VALUE"""),59.19)</f>
        <v>59.19</v>
      </c>
      <c r="E2141" s="17"/>
      <c r="M2141" s="17"/>
      <c r="P2141" s="17"/>
    </row>
    <row r="2142">
      <c r="B2142" s="11">
        <f>IFERROR(__xludf.DUMMYFUNCTION("""COMPUTED_VALUE"""),42916.66666666667)</f>
        <v>42916.66667</v>
      </c>
      <c r="C2142" s="9">
        <f>IFERROR(__xludf.DUMMYFUNCTION("""COMPUTED_VALUE"""),58.64)</f>
        <v>58.64</v>
      </c>
      <c r="E2142" s="17"/>
      <c r="M2142" s="17"/>
      <c r="P2142" s="17"/>
    </row>
    <row r="2143">
      <c r="B2143" s="11">
        <f>IFERROR(__xludf.DUMMYFUNCTION("""COMPUTED_VALUE"""),42915.66666666667)</f>
        <v>42915.66667</v>
      </c>
      <c r="C2143" s="9">
        <f>IFERROR(__xludf.DUMMYFUNCTION("""COMPUTED_VALUE"""),58.69)</f>
        <v>58.69</v>
      </c>
      <c r="E2143" s="17"/>
      <c r="M2143" s="17"/>
      <c r="P2143" s="17"/>
    </row>
    <row r="2144">
      <c r="B2144" s="11">
        <f>IFERROR(__xludf.DUMMYFUNCTION("""COMPUTED_VALUE"""),42914.66666666667)</f>
        <v>42914.66667</v>
      </c>
      <c r="C2144" s="9">
        <f>IFERROR(__xludf.DUMMYFUNCTION("""COMPUTED_VALUE"""),59.19)</f>
        <v>59.19</v>
      </c>
      <c r="E2144" s="17"/>
      <c r="M2144" s="17"/>
      <c r="P2144" s="17"/>
    </row>
    <row r="2145">
      <c r="B2145" s="11">
        <f>IFERROR(__xludf.DUMMYFUNCTION("""COMPUTED_VALUE"""),42913.66666666667)</f>
        <v>42913.66667</v>
      </c>
      <c r="C2145" s="9">
        <f>IFERROR(__xludf.DUMMYFUNCTION("""COMPUTED_VALUE"""),58.72)</f>
        <v>58.72</v>
      </c>
      <c r="E2145" s="17"/>
      <c r="M2145" s="17"/>
      <c r="P2145" s="17"/>
    </row>
    <row r="2146">
      <c r="B2146" s="11">
        <f>IFERROR(__xludf.DUMMYFUNCTION("""COMPUTED_VALUE"""),42912.66666666667)</f>
        <v>42912.66667</v>
      </c>
      <c r="C2146" s="9">
        <f>IFERROR(__xludf.DUMMYFUNCTION("""COMPUTED_VALUE"""),59.06)</f>
        <v>59.06</v>
      </c>
      <c r="E2146" s="17"/>
      <c r="M2146" s="17"/>
      <c r="P2146" s="17"/>
    </row>
    <row r="2147">
      <c r="B2147" s="11">
        <f>IFERROR(__xludf.DUMMYFUNCTION("""COMPUTED_VALUE"""),42909.66666666667)</f>
        <v>42909.66667</v>
      </c>
      <c r="C2147" s="9">
        <f>IFERROR(__xludf.DUMMYFUNCTION("""COMPUTED_VALUE"""),58.52)</f>
        <v>58.52</v>
      </c>
      <c r="E2147" s="17"/>
      <c r="M2147" s="17"/>
      <c r="P2147" s="17"/>
    </row>
    <row r="2148">
      <c r="B2148" s="11">
        <f>IFERROR(__xludf.DUMMYFUNCTION("""COMPUTED_VALUE"""),42908.66666666667)</f>
        <v>42908.66667</v>
      </c>
      <c r="C2148" s="9">
        <f>IFERROR(__xludf.DUMMYFUNCTION("""COMPUTED_VALUE"""),57.64)</f>
        <v>57.64</v>
      </c>
      <c r="E2148" s="17"/>
      <c r="M2148" s="17"/>
      <c r="P2148" s="17"/>
    </row>
    <row r="2149">
      <c r="B2149" s="11">
        <f>IFERROR(__xludf.DUMMYFUNCTION("""COMPUTED_VALUE"""),42907.66666666667)</f>
        <v>42907.66667</v>
      </c>
      <c r="C2149" s="9">
        <f>IFERROR(__xludf.DUMMYFUNCTION("""COMPUTED_VALUE"""),58.05)</f>
        <v>58.05</v>
      </c>
      <c r="E2149" s="17"/>
      <c r="M2149" s="17"/>
      <c r="P2149" s="17"/>
    </row>
    <row r="2150">
      <c r="B2150" s="11">
        <f>IFERROR(__xludf.DUMMYFUNCTION("""COMPUTED_VALUE"""),42906.66666666667)</f>
        <v>42906.66667</v>
      </c>
      <c r="C2150" s="9">
        <f>IFERROR(__xludf.DUMMYFUNCTION("""COMPUTED_VALUE"""),57.67)</f>
        <v>57.67</v>
      </c>
      <c r="E2150" s="17"/>
      <c r="M2150" s="17"/>
      <c r="P2150" s="17"/>
    </row>
    <row r="2151">
      <c r="B2151" s="11">
        <f>IFERROR(__xludf.DUMMYFUNCTION("""COMPUTED_VALUE"""),42905.66666666667)</f>
        <v>42905.66667</v>
      </c>
      <c r="C2151" s="9">
        <f>IFERROR(__xludf.DUMMYFUNCTION("""COMPUTED_VALUE"""),58.59)</f>
        <v>58.59</v>
      </c>
      <c r="E2151" s="17"/>
      <c r="M2151" s="17"/>
      <c r="P2151" s="17"/>
    </row>
    <row r="2152">
      <c r="B2152" s="11">
        <f>IFERROR(__xludf.DUMMYFUNCTION("""COMPUTED_VALUE"""),42902.66666666667)</f>
        <v>42902.66667</v>
      </c>
      <c r="C2152" s="9">
        <f>IFERROR(__xludf.DUMMYFUNCTION("""COMPUTED_VALUE"""),58.13)</f>
        <v>58.13</v>
      </c>
      <c r="E2152" s="17"/>
      <c r="M2152" s="17"/>
      <c r="P2152" s="17"/>
    </row>
    <row r="2153">
      <c r="B2153" s="11">
        <f>IFERROR(__xludf.DUMMYFUNCTION("""COMPUTED_VALUE"""),42901.66666666667)</f>
        <v>42901.66667</v>
      </c>
      <c r="C2153" s="9">
        <f>IFERROR(__xludf.DUMMYFUNCTION("""COMPUTED_VALUE"""),58.51)</f>
        <v>58.51</v>
      </c>
      <c r="E2153" s="17"/>
      <c r="M2153" s="17"/>
      <c r="P2153" s="17"/>
    </row>
    <row r="2154">
      <c r="B2154" s="11">
        <f>IFERROR(__xludf.DUMMYFUNCTION("""COMPUTED_VALUE"""),42900.66666666667)</f>
        <v>42900.66667</v>
      </c>
      <c r="C2154" s="9">
        <f>IFERROR(__xludf.DUMMYFUNCTION("""COMPUTED_VALUE"""),57.83)</f>
        <v>57.83</v>
      </c>
      <c r="E2154" s="17"/>
      <c r="M2154" s="17"/>
      <c r="P2154" s="17"/>
    </row>
    <row r="2155">
      <c r="B2155" s="11">
        <f>IFERROR(__xludf.DUMMYFUNCTION("""COMPUTED_VALUE"""),42899.66666666667)</f>
        <v>42899.66667</v>
      </c>
      <c r="C2155" s="9">
        <f>IFERROR(__xludf.DUMMYFUNCTION("""COMPUTED_VALUE"""),57.19)</f>
        <v>57.19</v>
      </c>
      <c r="E2155" s="17"/>
      <c r="M2155" s="17"/>
      <c r="P2155" s="17"/>
    </row>
    <row r="2156">
      <c r="B2156" s="11">
        <f>IFERROR(__xludf.DUMMYFUNCTION("""COMPUTED_VALUE"""),42898.66666666667)</f>
        <v>42898.66667</v>
      </c>
      <c r="C2156" s="9">
        <f>IFERROR(__xludf.DUMMYFUNCTION("""COMPUTED_VALUE"""),57.33)</f>
        <v>57.33</v>
      </c>
      <c r="E2156" s="17"/>
      <c r="M2156" s="17"/>
      <c r="P2156" s="17"/>
    </row>
    <row r="2157">
      <c r="B2157" s="11">
        <f>IFERROR(__xludf.DUMMYFUNCTION("""COMPUTED_VALUE"""),42895.66666666667)</f>
        <v>42895.66667</v>
      </c>
      <c r="C2157" s="9">
        <f>IFERROR(__xludf.DUMMYFUNCTION("""COMPUTED_VALUE"""),57.13)</f>
        <v>57.13</v>
      </c>
      <c r="E2157" s="17"/>
      <c r="M2157" s="17"/>
      <c r="P2157" s="17"/>
    </row>
    <row r="2158">
      <c r="B2158" s="11">
        <f>IFERROR(__xludf.DUMMYFUNCTION("""COMPUTED_VALUE"""),42894.66666666667)</f>
        <v>42894.66667</v>
      </c>
      <c r="C2158" s="9">
        <f>IFERROR(__xludf.DUMMYFUNCTION("""COMPUTED_VALUE"""),56.46)</f>
        <v>56.46</v>
      </c>
      <c r="E2158" s="17"/>
      <c r="M2158" s="17"/>
      <c r="P2158" s="17"/>
    </row>
    <row r="2159">
      <c r="B2159" s="11">
        <f>IFERROR(__xludf.DUMMYFUNCTION("""COMPUTED_VALUE"""),42893.66666666667)</f>
        <v>42893.66667</v>
      </c>
      <c r="C2159" s="9">
        <f>IFERROR(__xludf.DUMMYFUNCTION("""COMPUTED_VALUE"""),56.76)</f>
        <v>56.76</v>
      </c>
      <c r="E2159" s="17"/>
      <c r="M2159" s="17"/>
      <c r="P2159" s="17"/>
    </row>
    <row r="2160">
      <c r="B2160" s="11">
        <f>IFERROR(__xludf.DUMMYFUNCTION("""COMPUTED_VALUE"""),42892.66666666667)</f>
        <v>42892.66667</v>
      </c>
      <c r="C2160" s="9">
        <f>IFERROR(__xludf.DUMMYFUNCTION("""COMPUTED_VALUE"""),56.48)</f>
        <v>56.48</v>
      </c>
      <c r="E2160" s="17"/>
      <c r="M2160" s="17"/>
      <c r="P2160" s="17"/>
    </row>
    <row r="2161">
      <c r="B2161" s="11">
        <f>IFERROR(__xludf.DUMMYFUNCTION("""COMPUTED_VALUE"""),42891.66666666667)</f>
        <v>42891.66667</v>
      </c>
      <c r="C2161" s="9">
        <f>IFERROR(__xludf.DUMMYFUNCTION("""COMPUTED_VALUE"""),56.41)</f>
        <v>56.41</v>
      </c>
      <c r="E2161" s="17"/>
      <c r="M2161" s="17"/>
      <c r="P2161" s="17"/>
    </row>
    <row r="2162">
      <c r="B2162" s="11">
        <f>IFERROR(__xludf.DUMMYFUNCTION("""COMPUTED_VALUE"""),42888.66666666667)</f>
        <v>42888.66667</v>
      </c>
      <c r="C2162" s="9">
        <f>IFERROR(__xludf.DUMMYFUNCTION("""COMPUTED_VALUE"""),56.88)</f>
        <v>56.88</v>
      </c>
      <c r="E2162" s="17"/>
      <c r="M2162" s="17"/>
      <c r="P2162" s="17"/>
    </row>
    <row r="2163">
      <c r="B2163" s="11">
        <f>IFERROR(__xludf.DUMMYFUNCTION("""COMPUTED_VALUE"""),42887.66666666667)</f>
        <v>42887.66667</v>
      </c>
      <c r="C2163" s="9">
        <f>IFERROR(__xludf.DUMMYFUNCTION("""COMPUTED_VALUE"""),55.91)</f>
        <v>55.91</v>
      </c>
      <c r="E2163" s="17"/>
      <c r="M2163" s="17"/>
      <c r="P2163" s="17"/>
    </row>
    <row r="2164">
      <c r="B2164" s="11">
        <f>IFERROR(__xludf.DUMMYFUNCTION("""COMPUTED_VALUE"""),42886.66666666667)</f>
        <v>42886.66667</v>
      </c>
      <c r="C2164" s="9">
        <f>IFERROR(__xludf.DUMMYFUNCTION("""COMPUTED_VALUE"""),55.54)</f>
        <v>55.54</v>
      </c>
      <c r="E2164" s="17"/>
      <c r="M2164" s="17"/>
      <c r="P2164" s="17"/>
    </row>
    <row r="2165">
      <c r="B2165" s="11">
        <f>IFERROR(__xludf.DUMMYFUNCTION("""COMPUTED_VALUE"""),42885.66666666667)</f>
        <v>42885.66667</v>
      </c>
      <c r="C2165" s="9">
        <f>IFERROR(__xludf.DUMMYFUNCTION("""COMPUTED_VALUE"""),55.83)</f>
        <v>55.83</v>
      </c>
      <c r="E2165" s="17"/>
      <c r="M2165" s="17"/>
      <c r="P2165" s="17"/>
    </row>
    <row r="2166">
      <c r="B2166" s="11">
        <f>IFERROR(__xludf.DUMMYFUNCTION("""COMPUTED_VALUE"""),42881.66666666667)</f>
        <v>42881.66667</v>
      </c>
      <c r="C2166" s="9">
        <f>IFERROR(__xludf.DUMMYFUNCTION("""COMPUTED_VALUE"""),55.79)</f>
        <v>55.79</v>
      </c>
      <c r="E2166" s="17"/>
      <c r="M2166" s="17"/>
      <c r="P2166" s="17"/>
    </row>
    <row r="2167">
      <c r="B2167" s="11">
        <f>IFERROR(__xludf.DUMMYFUNCTION("""COMPUTED_VALUE"""),42880.66666666667)</f>
        <v>42880.66667</v>
      </c>
      <c r="C2167" s="9">
        <f>IFERROR(__xludf.DUMMYFUNCTION("""COMPUTED_VALUE"""),55.9)</f>
        <v>55.9</v>
      </c>
      <c r="E2167" s="17"/>
      <c r="M2167" s="17"/>
      <c r="P2167" s="17"/>
    </row>
    <row r="2168">
      <c r="B2168" s="11">
        <f>IFERROR(__xludf.DUMMYFUNCTION("""COMPUTED_VALUE"""),42879.66666666667)</f>
        <v>42879.66667</v>
      </c>
      <c r="C2168" s="9">
        <f>IFERROR(__xludf.DUMMYFUNCTION("""COMPUTED_VALUE"""),55.87)</f>
        <v>55.87</v>
      </c>
      <c r="E2168" s="17"/>
      <c r="M2168" s="17"/>
      <c r="P2168" s="17"/>
    </row>
    <row r="2169">
      <c r="B2169" s="11">
        <f>IFERROR(__xludf.DUMMYFUNCTION("""COMPUTED_VALUE"""),42878.66666666667)</f>
        <v>42878.66667</v>
      </c>
      <c r="C2169" s="9">
        <f>IFERROR(__xludf.DUMMYFUNCTION("""COMPUTED_VALUE"""),55.69)</f>
        <v>55.69</v>
      </c>
      <c r="E2169" s="17"/>
      <c r="M2169" s="17"/>
      <c r="P2169" s="17"/>
    </row>
    <row r="2170">
      <c r="B2170" s="11">
        <f>IFERROR(__xludf.DUMMYFUNCTION("""COMPUTED_VALUE"""),42877.66666666667)</f>
        <v>42877.66667</v>
      </c>
      <c r="C2170" s="9">
        <f>IFERROR(__xludf.DUMMYFUNCTION("""COMPUTED_VALUE"""),55.41)</f>
        <v>55.41</v>
      </c>
      <c r="E2170" s="17"/>
      <c r="M2170" s="17"/>
      <c r="P2170" s="17"/>
    </row>
    <row r="2171">
      <c r="B2171" s="11">
        <f>IFERROR(__xludf.DUMMYFUNCTION("""COMPUTED_VALUE"""),42874.66666666667)</f>
        <v>42874.66667</v>
      </c>
      <c r="C2171" s="9">
        <f>IFERROR(__xludf.DUMMYFUNCTION("""COMPUTED_VALUE"""),55.24)</f>
        <v>55.24</v>
      </c>
      <c r="E2171" s="17"/>
      <c r="M2171" s="17"/>
      <c r="P2171" s="17"/>
    </row>
    <row r="2172">
      <c r="B2172" s="11">
        <f>IFERROR(__xludf.DUMMYFUNCTION("""COMPUTED_VALUE"""),42873.66666666667)</f>
        <v>42873.66667</v>
      </c>
      <c r="C2172" s="9">
        <f>IFERROR(__xludf.DUMMYFUNCTION("""COMPUTED_VALUE"""),54.77)</f>
        <v>54.77</v>
      </c>
      <c r="E2172" s="17"/>
      <c r="M2172" s="17"/>
      <c r="P2172" s="17"/>
    </row>
    <row r="2173">
      <c r="B2173" s="11">
        <f>IFERROR(__xludf.DUMMYFUNCTION("""COMPUTED_VALUE"""),42872.66666666667)</f>
        <v>42872.66667</v>
      </c>
      <c r="C2173" s="9">
        <f>IFERROR(__xludf.DUMMYFUNCTION("""COMPUTED_VALUE"""),55.33)</f>
        <v>55.33</v>
      </c>
      <c r="E2173" s="17"/>
      <c r="M2173" s="17"/>
      <c r="P2173" s="17"/>
    </row>
    <row r="2174">
      <c r="B2174" s="11">
        <f>IFERROR(__xludf.DUMMYFUNCTION("""COMPUTED_VALUE"""),42871.66666666667)</f>
        <v>42871.66667</v>
      </c>
      <c r="C2174" s="9">
        <f>IFERROR(__xludf.DUMMYFUNCTION("""COMPUTED_VALUE"""),54.83)</f>
        <v>54.83</v>
      </c>
      <c r="E2174" s="17"/>
      <c r="M2174" s="17"/>
      <c r="P2174" s="17"/>
    </row>
    <row r="2175">
      <c r="B2175" s="11">
        <f>IFERROR(__xludf.DUMMYFUNCTION("""COMPUTED_VALUE"""),42870.66666666667)</f>
        <v>42870.66667</v>
      </c>
      <c r="C2175" s="9">
        <f>IFERROR(__xludf.DUMMYFUNCTION("""COMPUTED_VALUE"""),55.0)</f>
        <v>55</v>
      </c>
      <c r="E2175" s="17"/>
      <c r="M2175" s="17"/>
      <c r="P2175" s="17"/>
    </row>
    <row r="2176">
      <c r="B2176" s="11">
        <f>IFERROR(__xludf.DUMMYFUNCTION("""COMPUTED_VALUE"""),42867.66666666667)</f>
        <v>42867.66667</v>
      </c>
      <c r="C2176" s="9">
        <f>IFERROR(__xludf.DUMMYFUNCTION("""COMPUTED_VALUE"""),54.35)</f>
        <v>54.35</v>
      </c>
      <c r="E2176" s="17"/>
      <c r="M2176" s="17"/>
      <c r="P2176" s="17"/>
    </row>
    <row r="2177">
      <c r="B2177" s="11">
        <f>IFERROR(__xludf.DUMMYFUNCTION("""COMPUTED_VALUE"""),42866.66666666667)</f>
        <v>42866.66667</v>
      </c>
      <c r="C2177" s="9">
        <f>IFERROR(__xludf.DUMMYFUNCTION("""COMPUTED_VALUE"""),54.62)</f>
        <v>54.62</v>
      </c>
      <c r="E2177" s="17"/>
      <c r="M2177" s="17"/>
      <c r="P2177" s="17"/>
    </row>
    <row r="2178">
      <c r="B2178" s="11">
        <f>IFERROR(__xludf.DUMMYFUNCTION("""COMPUTED_VALUE"""),42865.66666666667)</f>
        <v>42865.66667</v>
      </c>
      <c r="C2178" s="9">
        <f>IFERROR(__xludf.DUMMYFUNCTION("""COMPUTED_VALUE"""),54.63)</f>
        <v>54.63</v>
      </c>
      <c r="E2178" s="17"/>
      <c r="M2178" s="17"/>
      <c r="P2178" s="17"/>
    </row>
    <row r="2179">
      <c r="B2179" s="11">
        <f>IFERROR(__xludf.DUMMYFUNCTION("""COMPUTED_VALUE"""),42864.66666666667)</f>
        <v>42864.66667</v>
      </c>
      <c r="C2179" s="9">
        <f>IFERROR(__xludf.DUMMYFUNCTION("""COMPUTED_VALUE"""),54.2)</f>
        <v>54.2</v>
      </c>
      <c r="E2179" s="17"/>
      <c r="M2179" s="17"/>
      <c r="P2179" s="17"/>
    </row>
    <row r="2180">
      <c r="B2180" s="11">
        <f>IFERROR(__xludf.DUMMYFUNCTION("""COMPUTED_VALUE"""),42863.66666666667)</f>
        <v>42863.66667</v>
      </c>
      <c r="C2180" s="9">
        <f>IFERROR(__xludf.DUMMYFUNCTION("""COMPUTED_VALUE"""),54.8)</f>
        <v>54.8</v>
      </c>
      <c r="E2180" s="17"/>
      <c r="M2180" s="17"/>
      <c r="P2180" s="17"/>
    </row>
    <row r="2181">
      <c r="B2181" s="11">
        <f>IFERROR(__xludf.DUMMYFUNCTION("""COMPUTED_VALUE"""),42860.66666666667)</f>
        <v>42860.66667</v>
      </c>
      <c r="C2181" s="9">
        <f>IFERROR(__xludf.DUMMYFUNCTION("""COMPUTED_VALUE"""),54.66)</f>
        <v>54.66</v>
      </c>
      <c r="E2181" s="17"/>
      <c r="M2181" s="17"/>
      <c r="P2181" s="17"/>
    </row>
    <row r="2182">
      <c r="B2182" s="11">
        <f>IFERROR(__xludf.DUMMYFUNCTION("""COMPUTED_VALUE"""),42859.66666666667)</f>
        <v>42859.66667</v>
      </c>
      <c r="C2182" s="9">
        <f>IFERROR(__xludf.DUMMYFUNCTION("""COMPUTED_VALUE"""),54.11)</f>
        <v>54.11</v>
      </c>
      <c r="E2182" s="17"/>
      <c r="M2182" s="17"/>
      <c r="P2182" s="17"/>
    </row>
    <row r="2183">
      <c r="B2183" s="11">
        <f>IFERROR(__xludf.DUMMYFUNCTION("""COMPUTED_VALUE"""),42858.66666666667)</f>
        <v>42858.66667</v>
      </c>
      <c r="C2183" s="9">
        <f>IFERROR(__xludf.DUMMYFUNCTION("""COMPUTED_VALUE"""),53.82)</f>
        <v>53.82</v>
      </c>
      <c r="E2183" s="17"/>
      <c r="M2183" s="17"/>
      <c r="P2183" s="17"/>
    </row>
    <row r="2184">
      <c r="B2184" s="11">
        <f>IFERROR(__xludf.DUMMYFUNCTION("""COMPUTED_VALUE"""),42857.66666666667)</f>
        <v>42857.66667</v>
      </c>
      <c r="C2184" s="9">
        <f>IFERROR(__xludf.DUMMYFUNCTION("""COMPUTED_VALUE"""),54.6)</f>
        <v>54.6</v>
      </c>
      <c r="E2184" s="17"/>
      <c r="M2184" s="17"/>
      <c r="P2184" s="17"/>
    </row>
    <row r="2185">
      <c r="B2185" s="11">
        <f>IFERROR(__xludf.DUMMYFUNCTION("""COMPUTED_VALUE"""),42856.66666666667)</f>
        <v>42856.66667</v>
      </c>
      <c r="C2185" s="9">
        <f>IFERROR(__xludf.DUMMYFUNCTION("""COMPUTED_VALUE"""),54.76)</f>
        <v>54.76</v>
      </c>
      <c r="E2185" s="17"/>
      <c r="M2185" s="17"/>
      <c r="P2185" s="17"/>
    </row>
    <row r="2186">
      <c r="B2186" s="11">
        <f>IFERROR(__xludf.DUMMYFUNCTION("""COMPUTED_VALUE"""),42853.66666666667)</f>
        <v>42853.66667</v>
      </c>
      <c r="C2186" s="9">
        <f>IFERROR(__xludf.DUMMYFUNCTION("""COMPUTED_VALUE"""),54.41)</f>
        <v>54.41</v>
      </c>
      <c r="E2186" s="17"/>
      <c r="M2186" s="17"/>
      <c r="P2186" s="17"/>
    </row>
    <row r="2187">
      <c r="B2187" s="11">
        <f>IFERROR(__xludf.DUMMYFUNCTION("""COMPUTED_VALUE"""),42852.66666666667)</f>
        <v>42852.66667</v>
      </c>
      <c r="C2187" s="9">
        <f>IFERROR(__xludf.DUMMYFUNCTION("""COMPUTED_VALUE"""),54.9)</f>
        <v>54.9</v>
      </c>
      <c r="E2187" s="17"/>
      <c r="M2187" s="17"/>
      <c r="P2187" s="17"/>
    </row>
    <row r="2188">
      <c r="B2188" s="11">
        <f>IFERROR(__xludf.DUMMYFUNCTION("""COMPUTED_VALUE"""),42851.66666666667)</f>
        <v>42851.66667</v>
      </c>
      <c r="C2188" s="9">
        <f>IFERROR(__xludf.DUMMYFUNCTION("""COMPUTED_VALUE"""),54.45)</f>
        <v>54.45</v>
      </c>
      <c r="E2188" s="17"/>
      <c r="M2188" s="17"/>
      <c r="P2188" s="17"/>
    </row>
    <row r="2189">
      <c r="B2189" s="11">
        <f>IFERROR(__xludf.DUMMYFUNCTION("""COMPUTED_VALUE"""),42850.66666666667)</f>
        <v>42850.66667</v>
      </c>
      <c r="C2189" s="9">
        <f>IFERROR(__xludf.DUMMYFUNCTION("""COMPUTED_VALUE"""),54.86)</f>
        <v>54.86</v>
      </c>
      <c r="E2189" s="17"/>
      <c r="M2189" s="17"/>
      <c r="P2189" s="17"/>
    </row>
    <row r="2190">
      <c r="B2190" s="11">
        <f>IFERROR(__xludf.DUMMYFUNCTION("""COMPUTED_VALUE"""),42849.66666666667)</f>
        <v>42849.66667</v>
      </c>
      <c r="C2190" s="9">
        <f>IFERROR(__xludf.DUMMYFUNCTION("""COMPUTED_VALUE"""),54.34)</f>
        <v>54.34</v>
      </c>
      <c r="E2190" s="17"/>
      <c r="M2190" s="17"/>
      <c r="P2190" s="17"/>
    </row>
    <row r="2191">
      <c r="B2191" s="11">
        <f>IFERROR(__xludf.DUMMYFUNCTION("""COMPUTED_VALUE"""),42846.66666666667)</f>
        <v>42846.66667</v>
      </c>
      <c r="C2191" s="9">
        <f>IFERROR(__xludf.DUMMYFUNCTION("""COMPUTED_VALUE"""),54.35)</f>
        <v>54.35</v>
      </c>
      <c r="E2191" s="17"/>
      <c r="M2191" s="17"/>
      <c r="P2191" s="17"/>
    </row>
    <row r="2192">
      <c r="B2192" s="11">
        <f>IFERROR(__xludf.DUMMYFUNCTION("""COMPUTED_VALUE"""),42845.66666666667)</f>
        <v>42845.66667</v>
      </c>
      <c r="C2192" s="9">
        <f>IFERROR(__xludf.DUMMYFUNCTION("""COMPUTED_VALUE"""),54.53)</f>
        <v>54.53</v>
      </c>
      <c r="E2192" s="17"/>
      <c r="M2192" s="17"/>
      <c r="P2192" s="17"/>
    </row>
    <row r="2193">
      <c r="B2193" s="11">
        <f>IFERROR(__xludf.DUMMYFUNCTION("""COMPUTED_VALUE"""),42844.66666666667)</f>
        <v>42844.66667</v>
      </c>
      <c r="C2193" s="9">
        <f>IFERROR(__xludf.DUMMYFUNCTION("""COMPUTED_VALUE"""),54.3)</f>
        <v>54.3</v>
      </c>
      <c r="E2193" s="17"/>
      <c r="M2193" s="17"/>
      <c r="P2193" s="17"/>
    </row>
    <row r="2194">
      <c r="B2194" s="11">
        <f>IFERROR(__xludf.DUMMYFUNCTION("""COMPUTED_VALUE"""),42843.66666666667)</f>
        <v>42843.66667</v>
      </c>
      <c r="C2194" s="9">
        <f>IFERROR(__xludf.DUMMYFUNCTION("""COMPUTED_VALUE"""),54.56)</f>
        <v>54.56</v>
      </c>
      <c r="E2194" s="17"/>
      <c r="M2194" s="17"/>
      <c r="P2194" s="17"/>
    </row>
    <row r="2195">
      <c r="B2195" s="11">
        <f>IFERROR(__xludf.DUMMYFUNCTION("""COMPUTED_VALUE"""),42842.66666666667)</f>
        <v>42842.66667</v>
      </c>
      <c r="C2195" s="9">
        <f>IFERROR(__xludf.DUMMYFUNCTION("""COMPUTED_VALUE"""),55.26)</f>
        <v>55.26</v>
      </c>
      <c r="E2195" s="17"/>
      <c r="M2195" s="17"/>
      <c r="P2195" s="17"/>
    </row>
    <row r="2196">
      <c r="B2196" s="11">
        <f>IFERROR(__xludf.DUMMYFUNCTION("""COMPUTED_VALUE"""),42838.66666666667)</f>
        <v>42838.66667</v>
      </c>
      <c r="C2196" s="9">
        <f>IFERROR(__xludf.DUMMYFUNCTION("""COMPUTED_VALUE"""),54.57)</f>
        <v>54.57</v>
      </c>
      <c r="E2196" s="17"/>
      <c r="M2196" s="17"/>
      <c r="P2196" s="17"/>
    </row>
    <row r="2197">
      <c r="B2197" s="11">
        <f>IFERROR(__xludf.DUMMYFUNCTION("""COMPUTED_VALUE"""),42837.66666666667)</f>
        <v>42837.66667</v>
      </c>
      <c r="C2197" s="9">
        <f>IFERROR(__xludf.DUMMYFUNCTION("""COMPUTED_VALUE"""),54.93)</f>
        <v>54.93</v>
      </c>
      <c r="E2197" s="17"/>
      <c r="M2197" s="17"/>
      <c r="P2197" s="17"/>
    </row>
    <row r="2198">
      <c r="B2198" s="11">
        <f>IFERROR(__xludf.DUMMYFUNCTION("""COMPUTED_VALUE"""),42836.66666666667)</f>
        <v>42836.66667</v>
      </c>
      <c r="C2198" s="9">
        <f>IFERROR(__xludf.DUMMYFUNCTION("""COMPUTED_VALUE"""),54.58)</f>
        <v>54.58</v>
      </c>
      <c r="E2198" s="17"/>
      <c r="M2198" s="17"/>
      <c r="P2198" s="17"/>
    </row>
    <row r="2199">
      <c r="B2199" s="11">
        <f>IFERROR(__xludf.DUMMYFUNCTION("""COMPUTED_VALUE"""),42835.66666666667)</f>
        <v>42835.66667</v>
      </c>
      <c r="C2199" s="9">
        <f>IFERROR(__xludf.DUMMYFUNCTION("""COMPUTED_VALUE"""),54.2)</f>
        <v>54.2</v>
      </c>
      <c r="E2199" s="17"/>
      <c r="M2199" s="17"/>
      <c r="P2199" s="17"/>
    </row>
    <row r="2200">
      <c r="B2200" s="11">
        <f>IFERROR(__xludf.DUMMYFUNCTION("""COMPUTED_VALUE"""),42832.66666666667)</f>
        <v>42832.66667</v>
      </c>
      <c r="C2200" s="9">
        <f>IFERROR(__xludf.DUMMYFUNCTION("""COMPUTED_VALUE"""),53.58)</f>
        <v>53.58</v>
      </c>
      <c r="E2200" s="17"/>
      <c r="M2200" s="17"/>
      <c r="P2200" s="17"/>
    </row>
    <row r="2201">
      <c r="B2201" s="11">
        <f>IFERROR(__xludf.DUMMYFUNCTION("""COMPUTED_VALUE"""),42831.66666666667)</f>
        <v>42831.66667</v>
      </c>
      <c r="C2201" s="9">
        <f>IFERROR(__xludf.DUMMYFUNCTION("""COMPUTED_VALUE"""),53.06)</f>
        <v>53.06</v>
      </c>
      <c r="E2201" s="17"/>
      <c r="M2201" s="17"/>
      <c r="P2201" s="17"/>
    </row>
    <row r="2202">
      <c r="B2202" s="11">
        <f>IFERROR(__xludf.DUMMYFUNCTION("""COMPUTED_VALUE"""),42830.66666666667)</f>
        <v>42830.66667</v>
      </c>
      <c r="C2202" s="9">
        <f>IFERROR(__xludf.DUMMYFUNCTION("""COMPUTED_VALUE"""),52.67)</f>
        <v>52.67</v>
      </c>
      <c r="E2202" s="17"/>
      <c r="M2202" s="17"/>
      <c r="P2202" s="17"/>
    </row>
    <row r="2203">
      <c r="B2203" s="11">
        <f>IFERROR(__xludf.DUMMYFUNCTION("""COMPUTED_VALUE"""),42829.66666666667)</f>
        <v>42829.66667</v>
      </c>
      <c r="C2203" s="9">
        <f>IFERROR(__xludf.DUMMYFUNCTION("""COMPUTED_VALUE"""),52.5)</f>
        <v>52.5</v>
      </c>
      <c r="E2203" s="17"/>
      <c r="M2203" s="17"/>
      <c r="P2203" s="17"/>
    </row>
    <row r="2204">
      <c r="B2204" s="11">
        <f>IFERROR(__xludf.DUMMYFUNCTION("""COMPUTED_VALUE"""),42828.66666666667)</f>
        <v>42828.66667</v>
      </c>
      <c r="C2204" s="9">
        <f>IFERROR(__xludf.DUMMYFUNCTION("""COMPUTED_VALUE"""),52.24)</f>
        <v>52.24</v>
      </c>
      <c r="E2204" s="17"/>
      <c r="M2204" s="17"/>
      <c r="P2204" s="17"/>
    </row>
    <row r="2205">
      <c r="B2205" s="11">
        <f>IFERROR(__xludf.DUMMYFUNCTION("""COMPUTED_VALUE"""),42825.66666666667)</f>
        <v>42825.66667</v>
      </c>
      <c r="C2205" s="9">
        <f>IFERROR(__xludf.DUMMYFUNCTION("""COMPUTED_VALUE"""),51.88)</f>
        <v>51.88</v>
      </c>
      <c r="E2205" s="17"/>
      <c r="M2205" s="17"/>
      <c r="P2205" s="17"/>
    </row>
    <row r="2206">
      <c r="B2206" s="11">
        <f>IFERROR(__xludf.DUMMYFUNCTION("""COMPUTED_VALUE"""),42824.66666666667)</f>
        <v>42824.66667</v>
      </c>
      <c r="C2206" s="9">
        <f>IFERROR(__xludf.DUMMYFUNCTION("""COMPUTED_VALUE"""),51.18)</f>
        <v>51.18</v>
      </c>
      <c r="E2206" s="17"/>
      <c r="M2206" s="17"/>
      <c r="P2206" s="17"/>
    </row>
    <row r="2207">
      <c r="B2207" s="11">
        <f>IFERROR(__xludf.DUMMYFUNCTION("""COMPUTED_VALUE"""),42823.66666666667)</f>
        <v>42823.66667</v>
      </c>
      <c r="C2207" s="9">
        <f>IFERROR(__xludf.DUMMYFUNCTION("""COMPUTED_VALUE"""),50.64)</f>
        <v>50.64</v>
      </c>
      <c r="E2207" s="17"/>
      <c r="M2207" s="17"/>
      <c r="P2207" s="17"/>
    </row>
    <row r="2208">
      <c r="B2208" s="11">
        <f>IFERROR(__xludf.DUMMYFUNCTION("""COMPUTED_VALUE"""),42822.66666666667)</f>
        <v>42822.66667</v>
      </c>
      <c r="C2208" s="9">
        <f>IFERROR(__xludf.DUMMYFUNCTION("""COMPUTED_VALUE"""),50.3)</f>
        <v>50.3</v>
      </c>
      <c r="E2208" s="17"/>
      <c r="M2208" s="17"/>
      <c r="P2208" s="17"/>
    </row>
    <row r="2209">
      <c r="B2209" s="11">
        <f>IFERROR(__xludf.DUMMYFUNCTION("""COMPUTED_VALUE"""),42821.66666666667)</f>
        <v>42821.66667</v>
      </c>
      <c r="C2209" s="9">
        <f>IFERROR(__xludf.DUMMYFUNCTION("""COMPUTED_VALUE"""),49.87)</f>
        <v>49.87</v>
      </c>
      <c r="E2209" s="17"/>
      <c r="M2209" s="17"/>
      <c r="P2209" s="17"/>
    </row>
    <row r="2210">
      <c r="B2210" s="11">
        <f>IFERROR(__xludf.DUMMYFUNCTION("""COMPUTED_VALUE"""),42818.66666666667)</f>
        <v>42818.66667</v>
      </c>
      <c r="C2210" s="9">
        <f>IFERROR(__xludf.DUMMYFUNCTION("""COMPUTED_VALUE"""),51.03)</f>
        <v>51.03</v>
      </c>
      <c r="E2210" s="17"/>
      <c r="M2210" s="17"/>
      <c r="P2210" s="17"/>
    </row>
    <row r="2211">
      <c r="B2211" s="11">
        <f>IFERROR(__xludf.DUMMYFUNCTION("""COMPUTED_VALUE"""),42817.66666666667)</f>
        <v>42817.66667</v>
      </c>
      <c r="C2211" s="9">
        <f>IFERROR(__xludf.DUMMYFUNCTION("""COMPUTED_VALUE"""),50.86)</f>
        <v>50.86</v>
      </c>
      <c r="E2211" s="17"/>
      <c r="M2211" s="17"/>
      <c r="P2211" s="17"/>
    </row>
    <row r="2212">
      <c r="B2212" s="11">
        <f>IFERROR(__xludf.DUMMYFUNCTION("""COMPUTED_VALUE"""),42816.66666666667)</f>
        <v>42816.66667</v>
      </c>
      <c r="C2212" s="9">
        <f>IFERROR(__xludf.DUMMYFUNCTION("""COMPUTED_VALUE"""),50.31)</f>
        <v>50.31</v>
      </c>
      <c r="E2212" s="17"/>
      <c r="M2212" s="17"/>
      <c r="P2212" s="17"/>
    </row>
    <row r="2213">
      <c r="B2213" s="11">
        <f>IFERROR(__xludf.DUMMYFUNCTION("""COMPUTED_VALUE"""),42815.66666666667)</f>
        <v>42815.66667</v>
      </c>
      <c r="C2213" s="9">
        <f>IFERROR(__xludf.DUMMYFUNCTION("""COMPUTED_VALUE"""),50.41)</f>
        <v>50.41</v>
      </c>
      <c r="E2213" s="17"/>
      <c r="M2213" s="17"/>
      <c r="P2213" s="17"/>
    </row>
    <row r="2214">
      <c r="B2214" s="11">
        <f>IFERROR(__xludf.DUMMYFUNCTION("""COMPUTED_VALUE"""),42814.66666666667)</f>
        <v>42814.66667</v>
      </c>
      <c r="C2214" s="9">
        <f>IFERROR(__xludf.DUMMYFUNCTION("""COMPUTED_VALUE"""),51.51)</f>
        <v>51.51</v>
      </c>
      <c r="E2214" s="17"/>
      <c r="M2214" s="17"/>
      <c r="P2214" s="17"/>
    </row>
    <row r="2215">
      <c r="B2215" s="11">
        <f>IFERROR(__xludf.DUMMYFUNCTION("""COMPUTED_VALUE"""),42811.66666666667)</f>
        <v>42811.66667</v>
      </c>
      <c r="C2215" s="9">
        <f>IFERROR(__xludf.DUMMYFUNCTION("""COMPUTED_VALUE"""),50.98)</f>
        <v>50.98</v>
      </c>
      <c r="E2215" s="17"/>
      <c r="M2215" s="17"/>
      <c r="P2215" s="17"/>
    </row>
    <row r="2216">
      <c r="B2216" s="11">
        <f>IFERROR(__xludf.DUMMYFUNCTION("""COMPUTED_VALUE"""),42810.66666666667)</f>
        <v>42810.66667</v>
      </c>
      <c r="C2216" s="9">
        <f>IFERROR(__xludf.DUMMYFUNCTION("""COMPUTED_VALUE"""),50.7)</f>
        <v>50.7</v>
      </c>
      <c r="E2216" s="17"/>
      <c r="M2216" s="17"/>
      <c r="P2216" s="17"/>
    </row>
    <row r="2217">
      <c r="B2217" s="11">
        <f>IFERROR(__xludf.DUMMYFUNCTION("""COMPUTED_VALUE"""),42809.66666666667)</f>
        <v>42809.66667</v>
      </c>
      <c r="C2217" s="9">
        <f>IFERROR(__xludf.DUMMYFUNCTION("""COMPUTED_VALUE"""),50.7)</f>
        <v>50.7</v>
      </c>
      <c r="E2217" s="17"/>
      <c r="M2217" s="17"/>
      <c r="P2217" s="17"/>
    </row>
    <row r="2218">
      <c r="B2218" s="11">
        <f>IFERROR(__xludf.DUMMYFUNCTION("""COMPUTED_VALUE"""),42808.66666666667)</f>
        <v>42808.66667</v>
      </c>
      <c r="C2218" s="9">
        <f>IFERROR(__xludf.DUMMYFUNCTION("""COMPUTED_VALUE"""),49.36)</f>
        <v>49.36</v>
      </c>
      <c r="E2218" s="17"/>
      <c r="M2218" s="17"/>
      <c r="P2218" s="17"/>
    </row>
    <row r="2219">
      <c r="B2219" s="11">
        <f>IFERROR(__xludf.DUMMYFUNCTION("""COMPUTED_VALUE"""),42807.66666666667)</f>
        <v>42807.66667</v>
      </c>
      <c r="C2219" s="9">
        <f>IFERROR(__xludf.DUMMYFUNCTION("""COMPUTED_VALUE"""),49.29)</f>
        <v>49.29</v>
      </c>
      <c r="E2219" s="17"/>
      <c r="M2219" s="17"/>
      <c r="P2219" s="17"/>
    </row>
    <row r="2220">
      <c r="B2220" s="11">
        <f>IFERROR(__xludf.DUMMYFUNCTION("""COMPUTED_VALUE"""),42804.66666666667)</f>
        <v>42804.66667</v>
      </c>
      <c r="C2220" s="9">
        <f>IFERROR(__xludf.DUMMYFUNCTION("""COMPUTED_VALUE"""),49.4)</f>
        <v>49.4</v>
      </c>
      <c r="E2220" s="17"/>
      <c r="M2220" s="17"/>
      <c r="P2220" s="17"/>
    </row>
    <row r="2221">
      <c r="B2221" s="11">
        <f>IFERROR(__xludf.DUMMYFUNCTION("""COMPUTED_VALUE"""),42803.66666666667)</f>
        <v>42803.66667</v>
      </c>
      <c r="C2221" s="9">
        <f>IFERROR(__xludf.DUMMYFUNCTION("""COMPUTED_VALUE"""),49.3)</f>
        <v>49.3</v>
      </c>
      <c r="E2221" s="17"/>
      <c r="M2221" s="17"/>
      <c r="P2221" s="17"/>
    </row>
    <row r="2222">
      <c r="B2222" s="11">
        <f>IFERROR(__xludf.DUMMYFUNCTION("""COMPUTED_VALUE"""),42802.66666666667)</f>
        <v>42802.66667</v>
      </c>
      <c r="C2222" s="9">
        <f>IFERROR(__xludf.DUMMYFUNCTION("""COMPUTED_VALUE"""),49.93)</f>
        <v>49.93</v>
      </c>
      <c r="E2222" s="17"/>
      <c r="M2222" s="17"/>
      <c r="P2222" s="17"/>
    </row>
    <row r="2223">
      <c r="B2223" s="11">
        <f>IFERROR(__xludf.DUMMYFUNCTION("""COMPUTED_VALUE"""),42801.66666666667)</f>
        <v>42801.66667</v>
      </c>
      <c r="C2223" s="9">
        <f>IFERROR(__xludf.DUMMYFUNCTION("""COMPUTED_VALUE"""),50.55)</f>
        <v>50.55</v>
      </c>
      <c r="E2223" s="17"/>
      <c r="M2223" s="17"/>
      <c r="P2223" s="17"/>
    </row>
    <row r="2224">
      <c r="B2224" s="11">
        <f>IFERROR(__xludf.DUMMYFUNCTION("""COMPUTED_VALUE"""),42800.66666666667)</f>
        <v>42800.66667</v>
      </c>
      <c r="C2224" s="9">
        <f>IFERROR(__xludf.DUMMYFUNCTION("""COMPUTED_VALUE"""),50.59)</f>
        <v>50.59</v>
      </c>
      <c r="E2224" s="17"/>
      <c r="M2224" s="17"/>
      <c r="P2224" s="17"/>
    </row>
    <row r="2225">
      <c r="B2225" s="11">
        <f>IFERROR(__xludf.DUMMYFUNCTION("""COMPUTED_VALUE"""),42797.66666666667)</f>
        <v>42797.66667</v>
      </c>
      <c r="C2225" s="9">
        <f>IFERROR(__xludf.DUMMYFUNCTION("""COMPUTED_VALUE"""),51.14)</f>
        <v>51.14</v>
      </c>
      <c r="E2225" s="17"/>
      <c r="M2225" s="17"/>
      <c r="P2225" s="17"/>
    </row>
    <row r="2226">
      <c r="B2226" s="11">
        <f>IFERROR(__xludf.DUMMYFUNCTION("""COMPUTED_VALUE"""),42796.66666666667)</f>
        <v>42796.66667</v>
      </c>
      <c r="C2226" s="9">
        <f>IFERROR(__xludf.DUMMYFUNCTION("""COMPUTED_VALUE"""),51.05)</f>
        <v>51.05</v>
      </c>
      <c r="E2226" s="17"/>
      <c r="M2226" s="17"/>
      <c r="P2226" s="17"/>
    </row>
    <row r="2227">
      <c r="B2227" s="11">
        <f>IFERROR(__xludf.DUMMYFUNCTION("""COMPUTED_VALUE"""),42795.66666666667)</f>
        <v>42795.66667</v>
      </c>
      <c r="C2227" s="9">
        <f>IFERROR(__xludf.DUMMYFUNCTION("""COMPUTED_VALUE"""),50.99)</f>
        <v>50.99</v>
      </c>
      <c r="E2227" s="17"/>
      <c r="M2227" s="17"/>
      <c r="P2227" s="17"/>
    </row>
    <row r="2228">
      <c r="B2228" s="11">
        <f>IFERROR(__xludf.DUMMYFUNCTION("""COMPUTED_VALUE"""),42794.66666666667)</f>
        <v>42794.66667</v>
      </c>
      <c r="C2228" s="9">
        <f>IFERROR(__xludf.DUMMYFUNCTION("""COMPUTED_VALUE"""),51.05)</f>
        <v>51.05</v>
      </c>
      <c r="E2228" s="17"/>
      <c r="M2228" s="17"/>
      <c r="P2228" s="17"/>
    </row>
    <row r="2229">
      <c r="B2229" s="11">
        <f>IFERROR(__xludf.DUMMYFUNCTION("""COMPUTED_VALUE"""),42793.66666666667)</f>
        <v>42793.66667</v>
      </c>
      <c r="C2229" s="9">
        <f>IFERROR(__xludf.DUMMYFUNCTION("""COMPUTED_VALUE"""),51.61)</f>
        <v>51.61</v>
      </c>
      <c r="E2229" s="17"/>
      <c r="M2229" s="17"/>
      <c r="P2229" s="17"/>
    </row>
    <row r="2230">
      <c r="B2230" s="11">
        <f>IFERROR(__xludf.DUMMYFUNCTION("""COMPUTED_VALUE"""),42790.66666666667)</f>
        <v>42790.66667</v>
      </c>
      <c r="C2230" s="9">
        <f>IFERROR(__xludf.DUMMYFUNCTION("""COMPUTED_VALUE"""),51.08)</f>
        <v>51.08</v>
      </c>
      <c r="E2230" s="17"/>
      <c r="M2230" s="17"/>
      <c r="P2230" s="17"/>
    </row>
    <row r="2231">
      <c r="B2231" s="11">
        <f>IFERROR(__xludf.DUMMYFUNCTION("""COMPUTED_VALUE"""),42789.66666666667)</f>
        <v>42789.66667</v>
      </c>
      <c r="C2231" s="9">
        <f>IFERROR(__xludf.DUMMYFUNCTION("""COMPUTED_VALUE"""),50.56)</f>
        <v>50.56</v>
      </c>
      <c r="E2231" s="17"/>
      <c r="M2231" s="17"/>
      <c r="P2231" s="17"/>
    </row>
    <row r="2232">
      <c r="B2232" s="11">
        <f>IFERROR(__xludf.DUMMYFUNCTION("""COMPUTED_VALUE"""),42788.66666666667)</f>
        <v>42788.66667</v>
      </c>
      <c r="C2232" s="9">
        <f>IFERROR(__xludf.DUMMYFUNCTION("""COMPUTED_VALUE"""),50.34)</f>
        <v>50.34</v>
      </c>
      <c r="E2232" s="17"/>
      <c r="M2232" s="17"/>
      <c r="P2232" s="17"/>
    </row>
    <row r="2233">
      <c r="B2233" s="11">
        <f>IFERROR(__xludf.DUMMYFUNCTION("""COMPUTED_VALUE"""),42787.66666666667)</f>
        <v>42787.66667</v>
      </c>
      <c r="C2233" s="9">
        <f>IFERROR(__xludf.DUMMYFUNCTION("""COMPUTED_VALUE"""),50.75)</f>
        <v>50.75</v>
      </c>
      <c r="E2233" s="17"/>
      <c r="M2233" s="17"/>
      <c r="P2233" s="17"/>
    </row>
    <row r="2234">
      <c r="B2234" s="11">
        <f>IFERROR(__xludf.DUMMYFUNCTION("""COMPUTED_VALUE"""),42783.66666666667)</f>
        <v>42783.66667</v>
      </c>
      <c r="C2234" s="9">
        <f>IFERROR(__xludf.DUMMYFUNCTION("""COMPUTED_VALUE"""),50.19)</f>
        <v>50.19</v>
      </c>
      <c r="E2234" s="17"/>
      <c r="M2234" s="17"/>
      <c r="P2234" s="17"/>
    </row>
    <row r="2235">
      <c r="B2235" s="11">
        <f>IFERROR(__xludf.DUMMYFUNCTION("""COMPUTED_VALUE"""),42782.66666666667)</f>
        <v>42782.66667</v>
      </c>
      <c r="C2235" s="9">
        <f>IFERROR(__xludf.DUMMYFUNCTION("""COMPUTED_VALUE"""),50.12)</f>
        <v>50.12</v>
      </c>
      <c r="E2235" s="17"/>
      <c r="M2235" s="17"/>
      <c r="P2235" s="17"/>
    </row>
    <row r="2236">
      <c r="B2236" s="11">
        <f>IFERROR(__xludf.DUMMYFUNCTION("""COMPUTED_VALUE"""),42781.66666666667)</f>
        <v>42781.66667</v>
      </c>
      <c r="C2236" s="9">
        <f>IFERROR(__xludf.DUMMYFUNCTION("""COMPUTED_VALUE"""),49.41)</f>
        <v>49.41</v>
      </c>
      <c r="E2236" s="17"/>
      <c r="M2236" s="17"/>
      <c r="P2236" s="17"/>
    </row>
    <row r="2237">
      <c r="B2237" s="11">
        <f>IFERROR(__xludf.DUMMYFUNCTION("""COMPUTED_VALUE"""),42780.66666666667)</f>
        <v>42780.66667</v>
      </c>
      <c r="C2237" s="9">
        <f>IFERROR(__xludf.DUMMYFUNCTION("""COMPUTED_VALUE"""),49.92)</f>
        <v>49.92</v>
      </c>
      <c r="E2237" s="17"/>
      <c r="M2237" s="17"/>
      <c r="P2237" s="17"/>
    </row>
    <row r="2238">
      <c r="B2238" s="11">
        <f>IFERROR(__xludf.DUMMYFUNCTION("""COMPUTED_VALUE"""),42779.66666666667)</f>
        <v>42779.66667</v>
      </c>
      <c r="C2238" s="9">
        <f>IFERROR(__xludf.DUMMYFUNCTION("""COMPUTED_VALUE"""),49.97)</f>
        <v>49.97</v>
      </c>
      <c r="E2238" s="17"/>
      <c r="M2238" s="17"/>
      <c r="P2238" s="17"/>
    </row>
    <row r="2239">
      <c r="B2239" s="11">
        <f>IFERROR(__xludf.DUMMYFUNCTION("""COMPUTED_VALUE"""),42776.66666666667)</f>
        <v>42776.66667</v>
      </c>
      <c r="C2239" s="9">
        <f>IFERROR(__xludf.DUMMYFUNCTION("""COMPUTED_VALUE"""),50.11)</f>
        <v>50.11</v>
      </c>
      <c r="E2239" s="17"/>
      <c r="M2239" s="17"/>
      <c r="P2239" s="17"/>
    </row>
    <row r="2240">
      <c r="B2240" s="11">
        <f>IFERROR(__xludf.DUMMYFUNCTION("""COMPUTED_VALUE"""),42775.66666666667)</f>
        <v>42775.66667</v>
      </c>
      <c r="C2240" s="9">
        <f>IFERROR(__xludf.DUMMYFUNCTION("""COMPUTED_VALUE"""),49.42)</f>
        <v>49.42</v>
      </c>
      <c r="E2240" s="17"/>
      <c r="M2240" s="17"/>
      <c r="P2240" s="17"/>
    </row>
    <row r="2241">
      <c r="B2241" s="11">
        <f>IFERROR(__xludf.DUMMYFUNCTION("""COMPUTED_VALUE"""),42774.66666666667)</f>
        <v>42774.66667</v>
      </c>
      <c r="C2241" s="9">
        <f>IFERROR(__xludf.DUMMYFUNCTION("""COMPUTED_VALUE"""),49.37)</f>
        <v>49.37</v>
      </c>
      <c r="E2241" s="17"/>
      <c r="M2241" s="17"/>
      <c r="P2241" s="17"/>
    </row>
    <row r="2242">
      <c r="B2242" s="11">
        <f>IFERROR(__xludf.DUMMYFUNCTION("""COMPUTED_VALUE"""),42773.66666666667)</f>
        <v>42773.66667</v>
      </c>
      <c r="C2242" s="9">
        <f>IFERROR(__xludf.DUMMYFUNCTION("""COMPUTED_VALUE"""),48.73)</f>
        <v>48.73</v>
      </c>
      <c r="E2242" s="17"/>
      <c r="M2242" s="17"/>
      <c r="P2242" s="17"/>
    </row>
    <row r="2243">
      <c r="B2243" s="11">
        <f>IFERROR(__xludf.DUMMYFUNCTION("""COMPUTED_VALUE"""),42772.66666666667)</f>
        <v>42772.66667</v>
      </c>
      <c r="C2243" s="9">
        <f>IFERROR(__xludf.DUMMYFUNCTION("""COMPUTED_VALUE"""),49.39)</f>
        <v>49.39</v>
      </c>
      <c r="E2243" s="17"/>
      <c r="M2243" s="17"/>
      <c r="P2243" s="17"/>
    </row>
    <row r="2244">
      <c r="B2244" s="11">
        <f>IFERROR(__xludf.DUMMYFUNCTION("""COMPUTED_VALUE"""),42769.66666666667)</f>
        <v>42769.66667</v>
      </c>
      <c r="C2244" s="9">
        <f>IFERROR(__xludf.DUMMYFUNCTION("""COMPUTED_VALUE"""),50.21)</f>
        <v>50.21</v>
      </c>
      <c r="E2244" s="17"/>
      <c r="M2244" s="17"/>
      <c r="P2244" s="17"/>
    </row>
    <row r="2245">
      <c r="B2245" s="11">
        <f>IFERROR(__xludf.DUMMYFUNCTION("""COMPUTED_VALUE"""),42768.66666666667)</f>
        <v>42768.66667</v>
      </c>
      <c r="C2245" s="9">
        <f>IFERROR(__xludf.DUMMYFUNCTION("""COMPUTED_VALUE"""),49.06)</f>
        <v>49.06</v>
      </c>
      <c r="E2245" s="17"/>
      <c r="M2245" s="17"/>
      <c r="P2245" s="17"/>
    </row>
    <row r="2246">
      <c r="B2246" s="11">
        <f>IFERROR(__xludf.DUMMYFUNCTION("""COMPUTED_VALUE"""),42767.66666666667)</f>
        <v>42767.66667</v>
      </c>
      <c r="C2246" s="9">
        <f>IFERROR(__xludf.DUMMYFUNCTION("""COMPUTED_VALUE"""),48.44)</f>
        <v>48.44</v>
      </c>
      <c r="E2246" s="17"/>
      <c r="M2246" s="17"/>
      <c r="P2246" s="17"/>
    </row>
    <row r="2247">
      <c r="B2247" s="11">
        <f>IFERROR(__xludf.DUMMYFUNCTION("""COMPUTED_VALUE"""),42766.66666666667)</f>
        <v>42766.66667</v>
      </c>
      <c r="C2247" s="9">
        <f>IFERROR(__xludf.DUMMYFUNCTION("""COMPUTED_VALUE"""),48.85)</f>
        <v>48.85</v>
      </c>
      <c r="E2247" s="17"/>
      <c r="M2247" s="17"/>
      <c r="P2247" s="17"/>
    </row>
    <row r="2248">
      <c r="B2248" s="11">
        <f>IFERROR(__xludf.DUMMYFUNCTION("""COMPUTED_VALUE"""),42765.66666666667)</f>
        <v>42765.66667</v>
      </c>
      <c r="C2248" s="9">
        <f>IFERROR(__xludf.DUMMYFUNCTION("""COMPUTED_VALUE"""),48.74)</f>
        <v>48.74</v>
      </c>
      <c r="E2248" s="17"/>
      <c r="M2248" s="17"/>
      <c r="P2248" s="17"/>
    </row>
    <row r="2249">
      <c r="B2249" s="11">
        <f>IFERROR(__xludf.DUMMYFUNCTION("""COMPUTED_VALUE"""),42762.66666666667)</f>
        <v>42762.66667</v>
      </c>
      <c r="C2249" s="9">
        <f>IFERROR(__xludf.DUMMYFUNCTION("""COMPUTED_VALUE"""),49.25)</f>
        <v>49.25</v>
      </c>
      <c r="E2249" s="17"/>
      <c r="M2249" s="17"/>
      <c r="P2249" s="17"/>
    </row>
    <row r="2250">
      <c r="B2250" s="11">
        <f>IFERROR(__xludf.DUMMYFUNCTION("""COMPUTED_VALUE"""),42761.66666666667)</f>
        <v>42761.66667</v>
      </c>
      <c r="C2250" s="9">
        <f>IFERROR(__xludf.DUMMYFUNCTION("""COMPUTED_VALUE"""),50.94)</f>
        <v>50.94</v>
      </c>
      <c r="E2250" s="17"/>
      <c r="M2250" s="17"/>
      <c r="P2250" s="17"/>
    </row>
    <row r="2251">
      <c r="B2251" s="11">
        <f>IFERROR(__xludf.DUMMYFUNCTION("""COMPUTED_VALUE"""),42760.66666666667)</f>
        <v>42760.66667</v>
      </c>
      <c r="C2251" s="9">
        <f>IFERROR(__xludf.DUMMYFUNCTION("""COMPUTED_VALUE"""),51.79)</f>
        <v>51.79</v>
      </c>
      <c r="E2251" s="17"/>
      <c r="M2251" s="17"/>
      <c r="P2251" s="17"/>
    </row>
    <row r="2252">
      <c r="B2252" s="11">
        <f>IFERROR(__xludf.DUMMYFUNCTION("""COMPUTED_VALUE"""),42759.66666666667)</f>
        <v>42759.66667</v>
      </c>
      <c r="C2252" s="9">
        <f>IFERROR(__xludf.DUMMYFUNCTION("""COMPUTED_VALUE"""),51.83)</f>
        <v>51.83</v>
      </c>
      <c r="E2252" s="17"/>
      <c r="M2252" s="17"/>
      <c r="P2252" s="17"/>
    </row>
    <row r="2253">
      <c r="B2253" s="11">
        <f>IFERROR(__xludf.DUMMYFUNCTION("""COMPUTED_VALUE"""),42758.66666666667)</f>
        <v>42758.66667</v>
      </c>
      <c r="C2253" s="9">
        <f>IFERROR(__xludf.DUMMYFUNCTION("""COMPUTED_VALUE"""),52.83)</f>
        <v>52.83</v>
      </c>
      <c r="E2253" s="17"/>
      <c r="M2253" s="17"/>
      <c r="P2253" s="17"/>
    </row>
    <row r="2254">
      <c r="B2254" s="11">
        <f>IFERROR(__xludf.DUMMYFUNCTION("""COMPUTED_VALUE"""),42755.66666666667)</f>
        <v>42755.66667</v>
      </c>
      <c r="C2254" s="9">
        <f>IFERROR(__xludf.DUMMYFUNCTION("""COMPUTED_VALUE"""),52.57)</f>
        <v>52.57</v>
      </c>
      <c r="E2254" s="17"/>
      <c r="M2254" s="17"/>
      <c r="P2254" s="17"/>
    </row>
    <row r="2255">
      <c r="B2255" s="11">
        <f>IFERROR(__xludf.DUMMYFUNCTION("""COMPUTED_VALUE"""),42754.66666666667)</f>
        <v>42754.66667</v>
      </c>
      <c r="C2255" s="9">
        <f>IFERROR(__xludf.DUMMYFUNCTION("""COMPUTED_VALUE"""),52.76)</f>
        <v>52.76</v>
      </c>
      <c r="E2255" s="17"/>
      <c r="M2255" s="17"/>
      <c r="P2255" s="17"/>
    </row>
    <row r="2256">
      <c r="B2256" s="11">
        <f>IFERROR(__xludf.DUMMYFUNCTION("""COMPUTED_VALUE"""),42753.66666666667)</f>
        <v>42753.66667</v>
      </c>
      <c r="C2256" s="9">
        <f>IFERROR(__xludf.DUMMYFUNCTION("""COMPUTED_VALUE"""),52.85)</f>
        <v>52.85</v>
      </c>
      <c r="E2256" s="17"/>
      <c r="M2256" s="17"/>
      <c r="P2256" s="17"/>
    </row>
    <row r="2257">
      <c r="B2257" s="11">
        <f>IFERROR(__xludf.DUMMYFUNCTION("""COMPUTED_VALUE"""),42752.66666666667)</f>
        <v>42752.66667</v>
      </c>
      <c r="C2257" s="9">
        <f>IFERROR(__xludf.DUMMYFUNCTION("""COMPUTED_VALUE"""),52.53)</f>
        <v>52.53</v>
      </c>
      <c r="E2257" s="17"/>
      <c r="M2257" s="17"/>
      <c r="P2257" s="17"/>
    </row>
    <row r="2258">
      <c r="B2258" s="11">
        <f>IFERROR(__xludf.DUMMYFUNCTION("""COMPUTED_VALUE"""),42748.66666666667)</f>
        <v>42748.66667</v>
      </c>
      <c r="C2258" s="9">
        <f>IFERROR(__xludf.DUMMYFUNCTION("""COMPUTED_VALUE"""),52.3)</f>
        <v>52.3</v>
      </c>
      <c r="E2258" s="17"/>
      <c r="M2258" s="17"/>
      <c r="P2258" s="17"/>
    </row>
    <row r="2259">
      <c r="B2259" s="11">
        <f>IFERROR(__xludf.DUMMYFUNCTION("""COMPUTED_VALUE"""),42747.66666666667)</f>
        <v>42747.66667</v>
      </c>
      <c r="C2259" s="9">
        <f>IFERROR(__xludf.DUMMYFUNCTION("""COMPUTED_VALUE"""),52.69)</f>
        <v>52.69</v>
      </c>
      <c r="E2259" s="17"/>
      <c r="M2259" s="17"/>
      <c r="P2259" s="17"/>
    </row>
    <row r="2260">
      <c r="B2260" s="11">
        <f>IFERROR(__xludf.DUMMYFUNCTION("""COMPUTED_VALUE"""),42746.66666666667)</f>
        <v>42746.66667</v>
      </c>
      <c r="C2260" s="9">
        <f>IFERROR(__xludf.DUMMYFUNCTION("""COMPUTED_VALUE"""),52.25)</f>
        <v>52.25</v>
      </c>
      <c r="E2260" s="17"/>
      <c r="M2260" s="17"/>
      <c r="P2260" s="17"/>
    </row>
    <row r="2261">
      <c r="B2261" s="11">
        <f>IFERROR(__xludf.DUMMYFUNCTION("""COMPUTED_VALUE"""),42745.66666666667)</f>
        <v>42745.66667</v>
      </c>
      <c r="C2261" s="9">
        <f>IFERROR(__xludf.DUMMYFUNCTION("""COMPUTED_VALUE"""),52.47)</f>
        <v>52.47</v>
      </c>
      <c r="E2261" s="17"/>
      <c r="M2261" s="17"/>
      <c r="P2261" s="17"/>
    </row>
    <row r="2262">
      <c r="B2262" s="11">
        <f>IFERROR(__xludf.DUMMYFUNCTION("""COMPUTED_VALUE"""),42744.66666666667)</f>
        <v>42744.66667</v>
      </c>
      <c r="C2262" s="9">
        <f>IFERROR(__xludf.DUMMYFUNCTION("""COMPUTED_VALUE"""),53.7)</f>
        <v>53.7</v>
      </c>
      <c r="E2262" s="17"/>
      <c r="M2262" s="17"/>
      <c r="P2262" s="17"/>
    </row>
    <row r="2263">
      <c r="B2263" s="11">
        <f>IFERROR(__xludf.DUMMYFUNCTION("""COMPUTED_VALUE"""),42741.66666666667)</f>
        <v>42741.66667</v>
      </c>
      <c r="C2263" s="9">
        <f>IFERROR(__xludf.DUMMYFUNCTION("""COMPUTED_VALUE"""),54.11)</f>
        <v>54.11</v>
      </c>
      <c r="E2263" s="17"/>
      <c r="M2263" s="17"/>
      <c r="P2263" s="17"/>
    </row>
    <row r="2264">
      <c r="B2264" s="11">
        <f>IFERROR(__xludf.DUMMYFUNCTION("""COMPUTED_VALUE"""),42740.66666666667)</f>
        <v>42740.66667</v>
      </c>
      <c r="C2264" s="9">
        <f>IFERROR(__xludf.DUMMYFUNCTION("""COMPUTED_VALUE"""),53.76)</f>
        <v>53.76</v>
      </c>
      <c r="E2264" s="17"/>
      <c r="M2264" s="17"/>
      <c r="P2264" s="17"/>
    </row>
    <row r="2265">
      <c r="B2265" s="11">
        <f>IFERROR(__xludf.DUMMYFUNCTION("""COMPUTED_VALUE"""),42739.66666666667)</f>
        <v>42739.66667</v>
      </c>
      <c r="C2265" s="9">
        <f>IFERROR(__xludf.DUMMYFUNCTION("""COMPUTED_VALUE"""),53.74)</f>
        <v>53.74</v>
      </c>
      <c r="E2265" s="17"/>
      <c r="M2265" s="17"/>
      <c r="P2265" s="17"/>
    </row>
    <row r="2266">
      <c r="B2266" s="11">
        <f>IFERROR(__xludf.DUMMYFUNCTION("""COMPUTED_VALUE"""),42738.66666666667)</f>
        <v>42738.66667</v>
      </c>
      <c r="C2266" s="9">
        <f>IFERROR(__xludf.DUMMYFUNCTION("""COMPUTED_VALUE"""),52.8)</f>
        <v>52.8</v>
      </c>
      <c r="E2266" s="17"/>
      <c r="M2266" s="17"/>
      <c r="P2266" s="17"/>
    </row>
    <row r="2267">
      <c r="B2267" s="11">
        <f>IFERROR(__xludf.DUMMYFUNCTION("""COMPUTED_VALUE"""),42734.66666666667)</f>
        <v>42734.66667</v>
      </c>
      <c r="C2267" s="9">
        <f>IFERROR(__xludf.DUMMYFUNCTION("""COMPUTED_VALUE"""),52.79)</f>
        <v>52.79</v>
      </c>
      <c r="E2267" s="17"/>
      <c r="M2267" s="17"/>
      <c r="P2267" s="17"/>
    </row>
    <row r="2268">
      <c r="B2268" s="11">
        <f>IFERROR(__xludf.DUMMYFUNCTION("""COMPUTED_VALUE"""),42733.66666666667)</f>
        <v>42733.66667</v>
      </c>
      <c r="C2268" s="9">
        <f>IFERROR(__xludf.DUMMYFUNCTION("""COMPUTED_VALUE"""),52.27)</f>
        <v>52.27</v>
      </c>
      <c r="E2268" s="17"/>
      <c r="M2268" s="17"/>
      <c r="P2268" s="17"/>
    </row>
    <row r="2269">
      <c r="B2269" s="11">
        <f>IFERROR(__xludf.DUMMYFUNCTION("""COMPUTED_VALUE"""),42732.66666666667)</f>
        <v>42732.66667</v>
      </c>
      <c r="C2269" s="9">
        <f>IFERROR(__xludf.DUMMYFUNCTION("""COMPUTED_VALUE"""),51.55)</f>
        <v>51.55</v>
      </c>
      <c r="E2269" s="17"/>
      <c r="M2269" s="17"/>
      <c r="P2269" s="17"/>
    </row>
    <row r="2270">
      <c r="B2270" s="11">
        <f>IFERROR(__xludf.DUMMYFUNCTION("""COMPUTED_VALUE"""),42731.66666666667)</f>
        <v>42731.66667</v>
      </c>
      <c r="C2270" s="9">
        <f>IFERROR(__xludf.DUMMYFUNCTION("""COMPUTED_VALUE"""),52.04)</f>
        <v>52.04</v>
      </c>
      <c r="E2270" s="17"/>
      <c r="M2270" s="17"/>
      <c r="P2270" s="17"/>
    </row>
    <row r="2271">
      <c r="B2271" s="11">
        <f>IFERROR(__xludf.DUMMYFUNCTION("""COMPUTED_VALUE"""),42727.66666666667)</f>
        <v>42727.66667</v>
      </c>
      <c r="C2271" s="9">
        <f>IFERROR(__xludf.DUMMYFUNCTION("""COMPUTED_VALUE"""),51.75)</f>
        <v>51.75</v>
      </c>
      <c r="E2271" s="17"/>
      <c r="M2271" s="17"/>
      <c r="P2271" s="17"/>
    </row>
    <row r="2272">
      <c r="B2272" s="11">
        <f>IFERROR(__xludf.DUMMYFUNCTION("""COMPUTED_VALUE"""),42726.66666666667)</f>
        <v>42726.66667</v>
      </c>
      <c r="C2272" s="9">
        <f>IFERROR(__xludf.DUMMYFUNCTION("""COMPUTED_VALUE"""),51.9)</f>
        <v>51.9</v>
      </c>
      <c r="E2272" s="17"/>
      <c r="M2272" s="17"/>
      <c r="P2272" s="17"/>
    </row>
    <row r="2273">
      <c r="B2273" s="11">
        <f>IFERROR(__xludf.DUMMYFUNCTION("""COMPUTED_VALUE"""),42725.66666666667)</f>
        <v>42725.66667</v>
      </c>
      <c r="C2273" s="9">
        <f>IFERROR(__xludf.DUMMYFUNCTION("""COMPUTED_VALUE"""),51.9)</f>
        <v>51.9</v>
      </c>
      <c r="E2273" s="17"/>
      <c r="M2273" s="17"/>
      <c r="P2273" s="17"/>
    </row>
    <row r="2274">
      <c r="B2274" s="11">
        <f>IFERROR(__xludf.DUMMYFUNCTION("""COMPUTED_VALUE"""),42724.66666666667)</f>
        <v>42724.66667</v>
      </c>
      <c r="C2274" s="9">
        <f>IFERROR(__xludf.DUMMYFUNCTION("""COMPUTED_VALUE"""),52.45)</f>
        <v>52.45</v>
      </c>
      <c r="E2274" s="17"/>
      <c r="M2274" s="17"/>
      <c r="P2274" s="17"/>
    </row>
    <row r="2275">
      <c r="B2275" s="11">
        <f>IFERROR(__xludf.DUMMYFUNCTION("""COMPUTED_VALUE"""),42723.66666666667)</f>
        <v>42723.66667</v>
      </c>
      <c r="C2275" s="9">
        <f>IFERROR(__xludf.DUMMYFUNCTION("""COMPUTED_VALUE"""),52.49)</f>
        <v>52.49</v>
      </c>
      <c r="E2275" s="17"/>
      <c r="M2275" s="17"/>
      <c r="P2275" s="17"/>
    </row>
    <row r="2276">
      <c r="B2276" s="11">
        <f>IFERROR(__xludf.DUMMYFUNCTION("""COMPUTED_VALUE"""),42720.66666666667)</f>
        <v>42720.66667</v>
      </c>
      <c r="C2276" s="9">
        <f>IFERROR(__xludf.DUMMYFUNCTION("""COMPUTED_VALUE"""),52.48)</f>
        <v>52.48</v>
      </c>
      <c r="E2276" s="17"/>
      <c r="M2276" s="17"/>
      <c r="P2276" s="17"/>
    </row>
    <row r="2277">
      <c r="B2277" s="11">
        <f>IFERROR(__xludf.DUMMYFUNCTION("""COMPUTED_VALUE"""),42719.66666666667)</f>
        <v>42719.66667</v>
      </c>
      <c r="C2277" s="9">
        <f>IFERROR(__xludf.DUMMYFUNCTION("""COMPUTED_VALUE"""),51.32)</f>
        <v>51.32</v>
      </c>
      <c r="E2277" s="17"/>
      <c r="M2277" s="17"/>
      <c r="P2277" s="17"/>
    </row>
    <row r="2278">
      <c r="B2278" s="11">
        <f>IFERROR(__xludf.DUMMYFUNCTION("""COMPUTED_VALUE"""),42718.66666666667)</f>
        <v>42718.66667</v>
      </c>
      <c r="C2278" s="9">
        <f>IFERROR(__xludf.DUMMYFUNCTION("""COMPUTED_VALUE"""),51.76)</f>
        <v>51.76</v>
      </c>
      <c r="E2278" s="17"/>
      <c r="M2278" s="17"/>
      <c r="P2278" s="17"/>
    </row>
    <row r="2279">
      <c r="B2279" s="11">
        <f>IFERROR(__xludf.DUMMYFUNCTION("""COMPUTED_VALUE"""),42717.66666666667)</f>
        <v>42717.66667</v>
      </c>
      <c r="C2279" s="9">
        <f>IFERROR(__xludf.DUMMYFUNCTION("""COMPUTED_VALUE"""),53.2)</f>
        <v>53.2</v>
      </c>
      <c r="E2279" s="17"/>
      <c r="M2279" s="17"/>
      <c r="P2279" s="17"/>
    </row>
    <row r="2280">
      <c r="B2280" s="11">
        <f>IFERROR(__xludf.DUMMYFUNCTION("""COMPUTED_VALUE"""),42716.66666666667)</f>
        <v>42716.66667</v>
      </c>
      <c r="C2280" s="9">
        <f>IFERROR(__xludf.DUMMYFUNCTION("""COMPUTED_VALUE"""),52.95)</f>
        <v>52.95</v>
      </c>
      <c r="E2280" s="17"/>
      <c r="M2280" s="17"/>
      <c r="P2280" s="17"/>
    </row>
    <row r="2281">
      <c r="B2281" s="11">
        <f>IFERROR(__xludf.DUMMYFUNCTION("""COMPUTED_VALUE"""),42713.66666666667)</f>
        <v>42713.66667</v>
      </c>
      <c r="C2281" s="9">
        <f>IFERROR(__xludf.DUMMYFUNCTION("""COMPUTED_VALUE"""),52.39)</f>
        <v>52.39</v>
      </c>
      <c r="E2281" s="17"/>
      <c r="M2281" s="17"/>
      <c r="P2281" s="17"/>
    </row>
    <row r="2282">
      <c r="B2282" s="11">
        <f>IFERROR(__xludf.DUMMYFUNCTION("""COMPUTED_VALUE"""),42712.66666666667)</f>
        <v>42712.66667</v>
      </c>
      <c r="C2282" s="9">
        <f>IFERROR(__xludf.DUMMYFUNCTION("""COMPUTED_VALUE"""),52.48)</f>
        <v>52.48</v>
      </c>
      <c r="E2282" s="17"/>
      <c r="M2282" s="17"/>
      <c r="P2282" s="17"/>
    </row>
    <row r="2283">
      <c r="B2283" s="11">
        <f>IFERROR(__xludf.DUMMYFUNCTION("""COMPUTED_VALUE"""),42711.66666666667)</f>
        <v>42711.66667</v>
      </c>
      <c r="C2283" s="9">
        <f>IFERROR(__xludf.DUMMYFUNCTION("""COMPUTED_VALUE"""),52.52)</f>
        <v>52.52</v>
      </c>
      <c r="E2283" s="17"/>
      <c r="M2283" s="17"/>
      <c r="P2283" s="17"/>
    </row>
    <row r="2284">
      <c r="B2284" s="11">
        <f>IFERROR(__xludf.DUMMYFUNCTION("""COMPUTED_VALUE"""),42710.66666666667)</f>
        <v>42710.66667</v>
      </c>
      <c r="C2284" s="9">
        <f>IFERROR(__xludf.DUMMYFUNCTION("""COMPUTED_VALUE"""),50.7)</f>
        <v>50.7</v>
      </c>
      <c r="E2284" s="17"/>
      <c r="M2284" s="17"/>
      <c r="P2284" s="17"/>
    </row>
    <row r="2285">
      <c r="B2285" s="11">
        <f>IFERROR(__xludf.DUMMYFUNCTION("""COMPUTED_VALUE"""),42709.66666666667)</f>
        <v>42709.66667</v>
      </c>
      <c r="C2285" s="9">
        <f>IFERROR(__xludf.DUMMYFUNCTION("""COMPUTED_VALUE"""),50.6)</f>
        <v>50.6</v>
      </c>
      <c r="E2285" s="17"/>
      <c r="M2285" s="17"/>
      <c r="P2285" s="17"/>
    </row>
    <row r="2286">
      <c r="B2286" s="11">
        <f>IFERROR(__xludf.DUMMYFUNCTION("""COMPUTED_VALUE"""),42706.66666666667)</f>
        <v>42706.66667</v>
      </c>
      <c r="C2286" s="9">
        <f>IFERROR(__xludf.DUMMYFUNCTION("""COMPUTED_VALUE"""),49.95)</f>
        <v>49.95</v>
      </c>
      <c r="E2286" s="17"/>
      <c r="M2286" s="17"/>
      <c r="P2286" s="17"/>
    </row>
    <row r="2287">
      <c r="B2287" s="11">
        <f>IFERROR(__xludf.DUMMYFUNCTION("""COMPUTED_VALUE"""),42705.66666666667)</f>
        <v>42705.66667</v>
      </c>
      <c r="C2287" s="9">
        <f>IFERROR(__xludf.DUMMYFUNCTION("""COMPUTED_VALUE"""),49.95)</f>
        <v>49.95</v>
      </c>
      <c r="E2287" s="17"/>
      <c r="M2287" s="17"/>
      <c r="P2287" s="17"/>
    </row>
    <row r="2288">
      <c r="B2288" s="11">
        <f>IFERROR(__xludf.DUMMYFUNCTION("""COMPUTED_VALUE"""),42704.66666666667)</f>
        <v>42704.66667</v>
      </c>
      <c r="C2288" s="9">
        <f>IFERROR(__xludf.DUMMYFUNCTION("""COMPUTED_VALUE"""),50.9)</f>
        <v>50.9</v>
      </c>
      <c r="E2288" s="17"/>
      <c r="M2288" s="17"/>
      <c r="P2288" s="17"/>
    </row>
    <row r="2289">
      <c r="B2289" s="11">
        <f>IFERROR(__xludf.DUMMYFUNCTION("""COMPUTED_VALUE"""),42703.66666666667)</f>
        <v>42703.66667</v>
      </c>
      <c r="C2289" s="9">
        <f>IFERROR(__xludf.DUMMYFUNCTION("""COMPUTED_VALUE"""),51.44)</f>
        <v>51.44</v>
      </c>
      <c r="E2289" s="17"/>
      <c r="M2289" s="17"/>
      <c r="P2289" s="17"/>
    </row>
    <row r="2290">
      <c r="B2290" s="11">
        <f>IFERROR(__xludf.DUMMYFUNCTION("""COMPUTED_VALUE"""),42702.66666666667)</f>
        <v>42702.66667</v>
      </c>
      <c r="C2290" s="9">
        <f>IFERROR(__xludf.DUMMYFUNCTION("""COMPUTED_VALUE"""),50.61)</f>
        <v>50.61</v>
      </c>
      <c r="E2290" s="17"/>
      <c r="M2290" s="17"/>
      <c r="P2290" s="17"/>
    </row>
    <row r="2291">
      <c r="B2291" s="11">
        <f>IFERROR(__xludf.DUMMYFUNCTION("""COMPUTED_VALUE"""),42699.66666666667)</f>
        <v>42699.66667</v>
      </c>
      <c r="C2291" s="9">
        <f>IFERROR(__xludf.DUMMYFUNCTION("""COMPUTED_VALUE"""),49.7)</f>
        <v>49.7</v>
      </c>
      <c r="E2291" s="17"/>
      <c r="M2291" s="17"/>
      <c r="P2291" s="17"/>
    </row>
    <row r="2292">
      <c r="B2292" s="11">
        <f>IFERROR(__xludf.DUMMYFUNCTION("""COMPUTED_VALUE"""),42697.66666666667)</f>
        <v>42697.66667</v>
      </c>
      <c r="C2292" s="9">
        <f>IFERROR(__xludf.DUMMYFUNCTION("""COMPUTED_VALUE"""),49.71)</f>
        <v>49.71</v>
      </c>
      <c r="E2292" s="17"/>
      <c r="M2292" s="17"/>
      <c r="P2292" s="17"/>
    </row>
    <row r="2293">
      <c r="B2293" s="11">
        <f>IFERROR(__xludf.DUMMYFUNCTION("""COMPUTED_VALUE"""),42696.66666666667)</f>
        <v>42696.66667</v>
      </c>
      <c r="C2293" s="9">
        <f>IFERROR(__xludf.DUMMYFUNCTION("""COMPUTED_VALUE"""),49.74)</f>
        <v>49.74</v>
      </c>
      <c r="E2293" s="17"/>
      <c r="M2293" s="17"/>
      <c r="P2293" s="17"/>
    </row>
    <row r="2294">
      <c r="B2294" s="11">
        <f>IFERROR(__xludf.DUMMYFUNCTION("""COMPUTED_VALUE"""),42695.66666666667)</f>
        <v>42695.66667</v>
      </c>
      <c r="C2294" s="9">
        <f>IFERROR(__xludf.DUMMYFUNCTION("""COMPUTED_VALUE"""),48.91)</f>
        <v>48.91</v>
      </c>
      <c r="E2294" s="17"/>
      <c r="M2294" s="17"/>
      <c r="P2294" s="17"/>
    </row>
    <row r="2295">
      <c r="B2295" s="11">
        <f>IFERROR(__xludf.DUMMYFUNCTION("""COMPUTED_VALUE"""),42692.66666666667)</f>
        <v>42692.66667</v>
      </c>
      <c r="C2295" s="9">
        <f>IFERROR(__xludf.DUMMYFUNCTION("""COMPUTED_VALUE"""),48.97)</f>
        <v>48.97</v>
      </c>
      <c r="E2295" s="17"/>
      <c r="M2295" s="17"/>
      <c r="P2295" s="17"/>
    </row>
    <row r="2296">
      <c r="B2296" s="11">
        <f>IFERROR(__xludf.DUMMYFUNCTION("""COMPUTED_VALUE"""),42691.66666666667)</f>
        <v>42691.66667</v>
      </c>
      <c r="C2296" s="9">
        <f>IFERROR(__xludf.DUMMYFUNCTION("""COMPUTED_VALUE"""),48.02)</f>
        <v>48.02</v>
      </c>
      <c r="E2296" s="17"/>
      <c r="M2296" s="17"/>
      <c r="P2296" s="17"/>
    </row>
    <row r="2297">
      <c r="B2297" s="11">
        <f>IFERROR(__xludf.DUMMYFUNCTION("""COMPUTED_VALUE"""),42690.66666666667)</f>
        <v>42690.66667</v>
      </c>
      <c r="C2297" s="9">
        <f>IFERROR(__xludf.DUMMYFUNCTION("""COMPUTED_VALUE"""),48.14)</f>
        <v>48.14</v>
      </c>
      <c r="E2297" s="17"/>
      <c r="M2297" s="17"/>
      <c r="P2297" s="17"/>
    </row>
    <row r="2298">
      <c r="B2298" s="11">
        <f>IFERROR(__xludf.DUMMYFUNCTION("""COMPUTED_VALUE"""),42689.66666666667)</f>
        <v>42689.66667</v>
      </c>
      <c r="C2298" s="9">
        <f>IFERROR(__xludf.DUMMYFUNCTION("""COMPUTED_VALUE"""),48.04)</f>
        <v>48.04</v>
      </c>
      <c r="E2298" s="17"/>
      <c r="M2298" s="17"/>
      <c r="P2298" s="17"/>
    </row>
    <row r="2299">
      <c r="B2299" s="11">
        <f>IFERROR(__xludf.DUMMYFUNCTION("""COMPUTED_VALUE"""),42688.66666666667)</f>
        <v>42688.66667</v>
      </c>
      <c r="C2299" s="9">
        <f>IFERROR(__xludf.DUMMYFUNCTION("""COMPUTED_VALUE"""),47.82)</f>
        <v>47.82</v>
      </c>
      <c r="E2299" s="17"/>
      <c r="M2299" s="17"/>
      <c r="P2299" s="17"/>
    </row>
    <row r="2300">
      <c r="B2300" s="11">
        <f>IFERROR(__xludf.DUMMYFUNCTION("""COMPUTED_VALUE"""),42685.66666666667)</f>
        <v>42685.66667</v>
      </c>
      <c r="C2300" s="9">
        <f>IFERROR(__xludf.DUMMYFUNCTION("""COMPUTED_VALUE"""),46.38)</f>
        <v>46.38</v>
      </c>
      <c r="E2300" s="17"/>
      <c r="M2300" s="17"/>
      <c r="P2300" s="17"/>
    </row>
    <row r="2301">
      <c r="B2301" s="11">
        <f>IFERROR(__xludf.DUMMYFUNCTION("""COMPUTED_VALUE"""),42684.66666666667)</f>
        <v>42684.66667</v>
      </c>
      <c r="C2301" s="9">
        <f>IFERROR(__xludf.DUMMYFUNCTION("""COMPUTED_VALUE"""),47.01)</f>
        <v>47.01</v>
      </c>
      <c r="E2301" s="17"/>
      <c r="M2301" s="17"/>
      <c r="P2301" s="17"/>
    </row>
    <row r="2302">
      <c r="B2302" s="11">
        <f>IFERROR(__xludf.DUMMYFUNCTION("""COMPUTED_VALUE"""),42683.66666666667)</f>
        <v>42683.66667</v>
      </c>
      <c r="C2302" s="9">
        <f>IFERROR(__xludf.DUMMYFUNCTION("""COMPUTED_VALUE"""),48.58)</f>
        <v>48.58</v>
      </c>
      <c r="E2302" s="17"/>
      <c r="M2302" s="17"/>
      <c r="P2302" s="17"/>
    </row>
    <row r="2303">
      <c r="B2303" s="11">
        <f>IFERROR(__xludf.DUMMYFUNCTION("""COMPUTED_VALUE"""),42682.66666666667)</f>
        <v>42682.66667</v>
      </c>
      <c r="C2303" s="9">
        <f>IFERROR(__xludf.DUMMYFUNCTION("""COMPUTED_VALUE"""),51.05)</f>
        <v>51.05</v>
      </c>
      <c r="E2303" s="17"/>
      <c r="M2303" s="17"/>
      <c r="P2303" s="17"/>
    </row>
    <row r="2304">
      <c r="B2304" s="11">
        <f>IFERROR(__xludf.DUMMYFUNCTION("""COMPUTED_VALUE"""),42681.66666666667)</f>
        <v>42681.66667</v>
      </c>
      <c r="C2304" s="9">
        <f>IFERROR(__xludf.DUMMYFUNCTION("""COMPUTED_VALUE"""),50.82)</f>
        <v>50.82</v>
      </c>
      <c r="E2304" s="17"/>
      <c r="M2304" s="17"/>
      <c r="P2304" s="17"/>
    </row>
    <row r="2305">
      <c r="B2305" s="11">
        <f>IFERROR(__xludf.DUMMYFUNCTION("""COMPUTED_VALUE"""),42678.66666666667)</f>
        <v>42678.66667</v>
      </c>
      <c r="C2305" s="9">
        <f>IFERROR(__xludf.DUMMYFUNCTION("""COMPUTED_VALUE"""),49.34)</f>
        <v>49.34</v>
      </c>
      <c r="E2305" s="17"/>
      <c r="M2305" s="17"/>
      <c r="P2305" s="17"/>
    </row>
    <row r="2306">
      <c r="B2306" s="11">
        <f>IFERROR(__xludf.DUMMYFUNCTION("""COMPUTED_VALUE"""),42677.66666666667)</f>
        <v>42677.66667</v>
      </c>
      <c r="C2306" s="9">
        <f>IFERROR(__xludf.DUMMYFUNCTION("""COMPUTED_VALUE"""),49.28)</f>
        <v>49.28</v>
      </c>
      <c r="E2306" s="17"/>
      <c r="M2306" s="17"/>
      <c r="P2306" s="17"/>
    </row>
    <row r="2307">
      <c r="B2307" s="11">
        <f>IFERROR(__xludf.DUMMYFUNCTION("""COMPUTED_VALUE"""),42676.66666666667)</f>
        <v>42676.66667</v>
      </c>
      <c r="C2307" s="9">
        <f>IFERROR(__xludf.DUMMYFUNCTION("""COMPUTED_VALUE"""),49.85)</f>
        <v>49.85</v>
      </c>
      <c r="E2307" s="17"/>
      <c r="M2307" s="17"/>
      <c r="P2307" s="17"/>
    </row>
    <row r="2308">
      <c r="B2308" s="11">
        <f>IFERROR(__xludf.DUMMYFUNCTION("""COMPUTED_VALUE"""),42675.66666666667)</f>
        <v>42675.66667</v>
      </c>
      <c r="C2308" s="9">
        <f>IFERROR(__xludf.DUMMYFUNCTION("""COMPUTED_VALUE"""),50.78)</f>
        <v>50.78</v>
      </c>
      <c r="E2308" s="17"/>
      <c r="M2308" s="17"/>
      <c r="P2308" s="17"/>
    </row>
    <row r="2309">
      <c r="B2309" s="11">
        <f>IFERROR(__xludf.DUMMYFUNCTION("""COMPUTED_VALUE"""),42674.66666666667)</f>
        <v>42674.66667</v>
      </c>
      <c r="C2309" s="9">
        <f>IFERROR(__xludf.DUMMYFUNCTION("""COMPUTED_VALUE"""),52.16)</f>
        <v>52.16</v>
      </c>
      <c r="E2309" s="17"/>
      <c r="M2309" s="17"/>
      <c r="P2309" s="17"/>
    </row>
    <row r="2310">
      <c r="B2310" s="11">
        <f>IFERROR(__xludf.DUMMYFUNCTION("""COMPUTED_VALUE"""),42671.66666666667)</f>
        <v>42671.66667</v>
      </c>
      <c r="C2310" s="9">
        <f>IFERROR(__xludf.DUMMYFUNCTION("""COMPUTED_VALUE"""),51.07)</f>
        <v>51.07</v>
      </c>
      <c r="E2310" s="17"/>
      <c r="M2310" s="17"/>
      <c r="P2310" s="17"/>
    </row>
    <row r="2311">
      <c r="B2311" s="11">
        <f>IFERROR(__xludf.DUMMYFUNCTION("""COMPUTED_VALUE"""),42670.66666666667)</f>
        <v>42670.66667</v>
      </c>
      <c r="C2311" s="9">
        <f>IFERROR(__xludf.DUMMYFUNCTION("""COMPUTED_VALUE"""),51.0)</f>
        <v>51</v>
      </c>
      <c r="E2311" s="17"/>
      <c r="M2311" s="17"/>
      <c r="P2311" s="17"/>
    </row>
    <row r="2312">
      <c r="B2312" s="11">
        <f>IFERROR(__xludf.DUMMYFUNCTION("""COMPUTED_VALUE"""),42669.66666666667)</f>
        <v>42669.66667</v>
      </c>
      <c r="C2312" s="9">
        <f>IFERROR(__xludf.DUMMYFUNCTION("""COMPUTED_VALUE"""),52.08)</f>
        <v>52.08</v>
      </c>
      <c r="E2312" s="17"/>
      <c r="M2312" s="17"/>
      <c r="P2312" s="17"/>
    </row>
    <row r="2313">
      <c r="B2313" s="11">
        <f>IFERROR(__xludf.DUMMYFUNCTION("""COMPUTED_VALUE"""),42668.66666666667)</f>
        <v>42668.66667</v>
      </c>
      <c r="C2313" s="9">
        <f>IFERROR(__xludf.DUMMYFUNCTION("""COMPUTED_VALUE"""),52.64)</f>
        <v>52.64</v>
      </c>
      <c r="E2313" s="17"/>
      <c r="M2313" s="17"/>
      <c r="P2313" s="17"/>
    </row>
    <row r="2314">
      <c r="B2314" s="11">
        <f>IFERROR(__xludf.DUMMYFUNCTION("""COMPUTED_VALUE"""),42667.66666666667)</f>
        <v>42667.66667</v>
      </c>
      <c r="C2314" s="9">
        <f>IFERROR(__xludf.DUMMYFUNCTION("""COMPUTED_VALUE"""),52.81)</f>
        <v>52.81</v>
      </c>
      <c r="E2314" s="17"/>
      <c r="M2314" s="17"/>
      <c r="P2314" s="17"/>
    </row>
    <row r="2315">
      <c r="B2315" s="11">
        <f>IFERROR(__xludf.DUMMYFUNCTION("""COMPUTED_VALUE"""),42664.66666666667)</f>
        <v>42664.66667</v>
      </c>
      <c r="C2315" s="9">
        <f>IFERROR(__xludf.DUMMYFUNCTION("""COMPUTED_VALUE"""),52.4)</f>
        <v>52.4</v>
      </c>
      <c r="E2315" s="17"/>
      <c r="M2315" s="17"/>
      <c r="P2315" s="17"/>
    </row>
    <row r="2316">
      <c r="B2316" s="11">
        <f>IFERROR(__xludf.DUMMYFUNCTION("""COMPUTED_VALUE"""),42663.66666666667)</f>
        <v>42663.66667</v>
      </c>
      <c r="C2316" s="9">
        <f>IFERROR(__xludf.DUMMYFUNCTION("""COMPUTED_VALUE"""),52.71)</f>
        <v>52.71</v>
      </c>
      <c r="E2316" s="17"/>
      <c r="M2316" s="17"/>
      <c r="P2316" s="17"/>
    </row>
    <row r="2317">
      <c r="B2317" s="11">
        <f>IFERROR(__xludf.DUMMYFUNCTION("""COMPUTED_VALUE"""),42662.66666666667)</f>
        <v>42662.66667</v>
      </c>
      <c r="C2317" s="9">
        <f>IFERROR(__xludf.DUMMYFUNCTION("""COMPUTED_VALUE"""),52.31)</f>
        <v>52.31</v>
      </c>
      <c r="E2317" s="17"/>
      <c r="M2317" s="17"/>
      <c r="P2317" s="17"/>
    </row>
    <row r="2318">
      <c r="B2318" s="11">
        <f>IFERROR(__xludf.DUMMYFUNCTION("""COMPUTED_VALUE"""),42661.66666666667)</f>
        <v>42661.66667</v>
      </c>
      <c r="C2318" s="9">
        <f>IFERROR(__xludf.DUMMYFUNCTION("""COMPUTED_VALUE"""),52.07)</f>
        <v>52.07</v>
      </c>
      <c r="E2318" s="17"/>
      <c r="M2318" s="17"/>
      <c r="P2318" s="17"/>
    </row>
    <row r="2319">
      <c r="B2319" s="11">
        <f>IFERROR(__xludf.DUMMYFUNCTION("""COMPUTED_VALUE"""),42660.66666666667)</f>
        <v>42660.66667</v>
      </c>
      <c r="C2319" s="9">
        <f>IFERROR(__xludf.DUMMYFUNCTION("""COMPUTED_VALUE"""),51.2)</f>
        <v>51.2</v>
      </c>
      <c r="E2319" s="17"/>
      <c r="M2319" s="17"/>
      <c r="P2319" s="17"/>
    </row>
    <row r="2320">
      <c r="B2320" s="11">
        <f>IFERROR(__xludf.DUMMYFUNCTION("""COMPUTED_VALUE"""),42657.66666666667)</f>
        <v>42657.66667</v>
      </c>
      <c r="C2320" s="9">
        <f>IFERROR(__xludf.DUMMYFUNCTION("""COMPUTED_VALUE"""),50.87)</f>
        <v>50.87</v>
      </c>
      <c r="E2320" s="17"/>
      <c r="M2320" s="17"/>
      <c r="P2320" s="17"/>
    </row>
    <row r="2321">
      <c r="B2321" s="11">
        <f>IFERROR(__xludf.DUMMYFUNCTION("""COMPUTED_VALUE"""),42656.66666666667)</f>
        <v>42656.66667</v>
      </c>
      <c r="C2321" s="9">
        <f>IFERROR(__xludf.DUMMYFUNCTION("""COMPUTED_VALUE"""),51.21)</f>
        <v>51.21</v>
      </c>
      <c r="E2321" s="17"/>
      <c r="M2321" s="17"/>
      <c r="P2321" s="17"/>
    </row>
    <row r="2322">
      <c r="B2322" s="11">
        <f>IFERROR(__xludf.DUMMYFUNCTION("""COMPUTED_VALUE"""),42655.66666666667)</f>
        <v>42655.66667</v>
      </c>
      <c r="C2322" s="9">
        <f>IFERROR(__xludf.DUMMYFUNCTION("""COMPUTED_VALUE"""),50.18)</f>
        <v>50.18</v>
      </c>
      <c r="E2322" s="17"/>
      <c r="M2322" s="17"/>
      <c r="P2322" s="17"/>
    </row>
    <row r="2323">
      <c r="B2323" s="11">
        <f>IFERROR(__xludf.DUMMYFUNCTION("""COMPUTED_VALUE"""),42654.66666666667)</f>
        <v>42654.66667</v>
      </c>
      <c r="C2323" s="9">
        <f>IFERROR(__xludf.DUMMYFUNCTION("""COMPUTED_VALUE"""),49.72)</f>
        <v>49.72</v>
      </c>
      <c r="E2323" s="17"/>
      <c r="M2323" s="17"/>
      <c r="P2323" s="17"/>
    </row>
    <row r="2324">
      <c r="B2324" s="11">
        <f>IFERROR(__xludf.DUMMYFUNCTION("""COMPUTED_VALUE"""),42653.66666666667)</f>
        <v>42653.66667</v>
      </c>
      <c r="C2324" s="9">
        <f>IFERROR(__xludf.DUMMYFUNCTION("""COMPUTED_VALUE"""),50.1)</f>
        <v>50.1</v>
      </c>
      <c r="E2324" s="17"/>
      <c r="M2324" s="17"/>
      <c r="P2324" s="17"/>
    </row>
    <row r="2325">
      <c r="B2325" s="11">
        <f>IFERROR(__xludf.DUMMYFUNCTION("""COMPUTED_VALUE"""),42650.66666666667)</f>
        <v>42650.66667</v>
      </c>
      <c r="C2325" s="9">
        <f>IFERROR(__xludf.DUMMYFUNCTION("""COMPUTED_VALUE"""),49.8)</f>
        <v>49.8</v>
      </c>
      <c r="E2325" s="17"/>
      <c r="M2325" s="17"/>
      <c r="P2325" s="17"/>
    </row>
    <row r="2326">
      <c r="B2326" s="11">
        <f>IFERROR(__xludf.DUMMYFUNCTION("""COMPUTED_VALUE"""),42649.66666666667)</f>
        <v>42649.66667</v>
      </c>
      <c r="C2326" s="9">
        <f>IFERROR(__xludf.DUMMYFUNCTION("""COMPUTED_VALUE"""),50.21)</f>
        <v>50.21</v>
      </c>
      <c r="E2326" s="17"/>
      <c r="M2326" s="17"/>
      <c r="P2326" s="17"/>
    </row>
    <row r="2327">
      <c r="B2327" s="11">
        <f>IFERROR(__xludf.DUMMYFUNCTION("""COMPUTED_VALUE"""),42648.66666666667)</f>
        <v>42648.66667</v>
      </c>
      <c r="C2327" s="9">
        <f>IFERROR(__xludf.DUMMYFUNCTION("""COMPUTED_VALUE"""),50.49)</f>
        <v>50.49</v>
      </c>
      <c r="E2327" s="17"/>
      <c r="M2327" s="17"/>
      <c r="P2327" s="17"/>
    </row>
    <row r="2328">
      <c r="B2328" s="11">
        <f>IFERROR(__xludf.DUMMYFUNCTION("""COMPUTED_VALUE"""),42647.66666666667)</f>
        <v>42647.66667</v>
      </c>
      <c r="C2328" s="9">
        <f>IFERROR(__xludf.DUMMYFUNCTION("""COMPUTED_VALUE"""),51.17)</f>
        <v>51.17</v>
      </c>
      <c r="E2328" s="17"/>
      <c r="M2328" s="17"/>
      <c r="P2328" s="17"/>
    </row>
    <row r="2329">
      <c r="B2329" s="11">
        <f>IFERROR(__xludf.DUMMYFUNCTION("""COMPUTED_VALUE"""),42646.66666666667)</f>
        <v>42646.66667</v>
      </c>
      <c r="C2329" s="9">
        <f>IFERROR(__xludf.DUMMYFUNCTION("""COMPUTED_VALUE"""),52.63)</f>
        <v>52.63</v>
      </c>
      <c r="E2329" s="17"/>
      <c r="M2329" s="17"/>
      <c r="P2329" s="17"/>
    </row>
    <row r="2330">
      <c r="B2330" s="11">
        <f>IFERROR(__xludf.DUMMYFUNCTION("""COMPUTED_VALUE"""),42643.66666666667)</f>
        <v>42643.66667</v>
      </c>
      <c r="C2330" s="9">
        <f>IFERROR(__xludf.DUMMYFUNCTION("""COMPUTED_VALUE"""),53.54)</f>
        <v>53.54</v>
      </c>
      <c r="E2330" s="17"/>
      <c r="M2330" s="17"/>
      <c r="P2330" s="17"/>
    </row>
    <row r="2331">
      <c r="B2331" s="11">
        <f>IFERROR(__xludf.DUMMYFUNCTION("""COMPUTED_VALUE"""),42642.66666666667)</f>
        <v>42642.66667</v>
      </c>
      <c r="C2331" s="9">
        <f>IFERROR(__xludf.DUMMYFUNCTION("""COMPUTED_VALUE"""),53.79)</f>
        <v>53.79</v>
      </c>
      <c r="E2331" s="17"/>
      <c r="M2331" s="17"/>
      <c r="P2331" s="17"/>
    </row>
    <row r="2332">
      <c r="B2332" s="11">
        <f>IFERROR(__xludf.DUMMYFUNCTION("""COMPUTED_VALUE"""),42641.66666666667)</f>
        <v>42641.66667</v>
      </c>
      <c r="C2332" s="9">
        <f>IFERROR(__xludf.DUMMYFUNCTION("""COMPUTED_VALUE"""),54.51)</f>
        <v>54.51</v>
      </c>
      <c r="E2332" s="17"/>
      <c r="M2332" s="17"/>
      <c r="P2332" s="17"/>
    </row>
    <row r="2333">
      <c r="B2333" s="11">
        <f>IFERROR(__xludf.DUMMYFUNCTION("""COMPUTED_VALUE"""),42640.66666666667)</f>
        <v>42640.66667</v>
      </c>
      <c r="C2333" s="9">
        <f>IFERROR(__xludf.DUMMYFUNCTION("""COMPUTED_VALUE"""),53.89)</f>
        <v>53.89</v>
      </c>
      <c r="E2333" s="17"/>
      <c r="M2333" s="17"/>
      <c r="P2333" s="17"/>
    </row>
    <row r="2334">
      <c r="B2334" s="11">
        <f>IFERROR(__xludf.DUMMYFUNCTION("""COMPUTED_VALUE"""),42639.66666666667)</f>
        <v>42639.66667</v>
      </c>
      <c r="C2334" s="9">
        <f>IFERROR(__xludf.DUMMYFUNCTION("""COMPUTED_VALUE"""),54.34)</f>
        <v>54.34</v>
      </c>
      <c r="E2334" s="17"/>
      <c r="M2334" s="17"/>
      <c r="P2334" s="17"/>
    </row>
    <row r="2335">
      <c r="B2335" s="11">
        <f>IFERROR(__xludf.DUMMYFUNCTION("""COMPUTED_VALUE"""),42636.66666666667)</f>
        <v>42636.66667</v>
      </c>
      <c r="C2335" s="9">
        <f>IFERROR(__xludf.DUMMYFUNCTION("""COMPUTED_VALUE"""),54.5)</f>
        <v>54.5</v>
      </c>
      <c r="E2335" s="17"/>
      <c r="M2335" s="17"/>
      <c r="P2335" s="17"/>
    </row>
    <row r="2336">
      <c r="B2336" s="11">
        <f>IFERROR(__xludf.DUMMYFUNCTION("""COMPUTED_VALUE"""),42635.66666666667)</f>
        <v>42635.66667</v>
      </c>
      <c r="C2336" s="9">
        <f>IFERROR(__xludf.DUMMYFUNCTION("""COMPUTED_VALUE"""),54.39)</f>
        <v>54.39</v>
      </c>
      <c r="E2336" s="17"/>
      <c r="M2336" s="17"/>
      <c r="P2336" s="17"/>
    </row>
    <row r="2337">
      <c r="B2337" s="11">
        <f>IFERROR(__xludf.DUMMYFUNCTION("""COMPUTED_VALUE"""),42634.66666666667)</f>
        <v>42634.66667</v>
      </c>
      <c r="C2337" s="9">
        <f>IFERROR(__xludf.DUMMYFUNCTION("""COMPUTED_VALUE"""),53.29)</f>
        <v>53.29</v>
      </c>
      <c r="E2337" s="17"/>
      <c r="M2337" s="17"/>
      <c r="P2337" s="17"/>
    </row>
    <row r="2338">
      <c r="B2338" s="11">
        <f>IFERROR(__xludf.DUMMYFUNCTION("""COMPUTED_VALUE"""),42633.66666666667)</f>
        <v>42633.66667</v>
      </c>
      <c r="C2338" s="9">
        <f>IFERROR(__xludf.DUMMYFUNCTION("""COMPUTED_VALUE"""),52.27)</f>
        <v>52.27</v>
      </c>
      <c r="E2338" s="17"/>
      <c r="M2338" s="17"/>
      <c r="P2338" s="17"/>
    </row>
    <row r="2339">
      <c r="B2339" s="11">
        <f>IFERROR(__xludf.DUMMYFUNCTION("""COMPUTED_VALUE"""),42632.66666666667)</f>
        <v>42632.66667</v>
      </c>
      <c r="C2339" s="9">
        <f>IFERROR(__xludf.DUMMYFUNCTION("""COMPUTED_VALUE"""),52.42)</f>
        <v>52.42</v>
      </c>
      <c r="E2339" s="17"/>
      <c r="M2339" s="17"/>
      <c r="P2339" s="17"/>
    </row>
    <row r="2340">
      <c r="B2340" s="11">
        <f>IFERROR(__xludf.DUMMYFUNCTION("""COMPUTED_VALUE"""),42629.66666666667)</f>
        <v>42629.66667</v>
      </c>
      <c r="C2340" s="9">
        <f>IFERROR(__xludf.DUMMYFUNCTION("""COMPUTED_VALUE"""),51.47)</f>
        <v>51.47</v>
      </c>
      <c r="E2340" s="17"/>
      <c r="M2340" s="17"/>
      <c r="P2340" s="17"/>
    </row>
    <row r="2341">
      <c r="B2341" s="11">
        <f>IFERROR(__xludf.DUMMYFUNCTION("""COMPUTED_VALUE"""),42628.66666666667)</f>
        <v>42628.66667</v>
      </c>
      <c r="C2341" s="9">
        <f>IFERROR(__xludf.DUMMYFUNCTION("""COMPUTED_VALUE"""),51.26)</f>
        <v>51.26</v>
      </c>
      <c r="E2341" s="17"/>
      <c r="M2341" s="17"/>
      <c r="P2341" s="17"/>
    </row>
    <row r="2342">
      <c r="B2342" s="11">
        <f>IFERROR(__xludf.DUMMYFUNCTION("""COMPUTED_VALUE"""),42627.66666666667)</f>
        <v>42627.66667</v>
      </c>
      <c r="C2342" s="9">
        <f>IFERROR(__xludf.DUMMYFUNCTION("""COMPUTED_VALUE"""),51.5)</f>
        <v>51.5</v>
      </c>
      <c r="E2342" s="17"/>
      <c r="M2342" s="17"/>
      <c r="P2342" s="17"/>
    </row>
    <row r="2343">
      <c r="B2343" s="11">
        <f>IFERROR(__xludf.DUMMYFUNCTION("""COMPUTED_VALUE"""),42626.66666666667)</f>
        <v>42626.66667</v>
      </c>
      <c r="C2343" s="9">
        <f>IFERROR(__xludf.DUMMYFUNCTION("""COMPUTED_VALUE"""),51.15)</f>
        <v>51.15</v>
      </c>
      <c r="E2343" s="17"/>
      <c r="M2343" s="17"/>
      <c r="P2343" s="17"/>
    </row>
    <row r="2344">
      <c r="B2344" s="11">
        <f>IFERROR(__xludf.DUMMYFUNCTION("""COMPUTED_VALUE"""),42625.66666666667)</f>
        <v>42625.66667</v>
      </c>
      <c r="C2344" s="9">
        <f>IFERROR(__xludf.DUMMYFUNCTION("""COMPUTED_VALUE"""),52.48)</f>
        <v>52.48</v>
      </c>
      <c r="E2344" s="17"/>
      <c r="M2344" s="17"/>
      <c r="P2344" s="17"/>
    </row>
    <row r="2345">
      <c r="B2345" s="11">
        <f>IFERROR(__xludf.DUMMYFUNCTION("""COMPUTED_VALUE"""),42622.66666666667)</f>
        <v>42622.66667</v>
      </c>
      <c r="C2345" s="9">
        <f>IFERROR(__xludf.DUMMYFUNCTION("""COMPUTED_VALUE"""),51.49)</f>
        <v>51.49</v>
      </c>
      <c r="E2345" s="17"/>
      <c r="M2345" s="17"/>
      <c r="P2345" s="17"/>
    </row>
    <row r="2346">
      <c r="B2346" s="11">
        <f>IFERROR(__xludf.DUMMYFUNCTION("""COMPUTED_VALUE"""),42621.66666666667)</f>
        <v>42621.66667</v>
      </c>
      <c r="C2346" s="9">
        <f>IFERROR(__xludf.DUMMYFUNCTION("""COMPUTED_VALUE"""),54.04)</f>
        <v>54.04</v>
      </c>
      <c r="E2346" s="17"/>
      <c r="M2346" s="17"/>
      <c r="P2346" s="17"/>
    </row>
    <row r="2347">
      <c r="B2347" s="11">
        <f>IFERROR(__xludf.DUMMYFUNCTION("""COMPUTED_VALUE"""),42620.66666666667)</f>
        <v>42620.66667</v>
      </c>
      <c r="C2347" s="9">
        <f>IFERROR(__xludf.DUMMYFUNCTION("""COMPUTED_VALUE"""),54.56)</f>
        <v>54.56</v>
      </c>
      <c r="E2347" s="17"/>
      <c r="M2347" s="17"/>
      <c r="P2347" s="17"/>
    </row>
    <row r="2348">
      <c r="B2348" s="11">
        <f>IFERROR(__xludf.DUMMYFUNCTION("""COMPUTED_VALUE"""),42619.66666666667)</f>
        <v>42619.66667</v>
      </c>
      <c r="C2348" s="9">
        <f>IFERROR(__xludf.DUMMYFUNCTION("""COMPUTED_VALUE"""),54.13)</f>
        <v>54.13</v>
      </c>
      <c r="E2348" s="17"/>
      <c r="M2348" s="17"/>
      <c r="P2348" s="17"/>
    </row>
    <row r="2349">
      <c r="B2349" s="11">
        <f>IFERROR(__xludf.DUMMYFUNCTION("""COMPUTED_VALUE"""),42615.66666666667)</f>
        <v>42615.66667</v>
      </c>
      <c r="C2349" s="9">
        <f>IFERROR(__xludf.DUMMYFUNCTION("""COMPUTED_VALUE"""),53.98)</f>
        <v>53.98</v>
      </c>
      <c r="E2349" s="17"/>
      <c r="M2349" s="17"/>
      <c r="P2349" s="17"/>
    </row>
    <row r="2350">
      <c r="B2350" s="11">
        <f>IFERROR(__xludf.DUMMYFUNCTION("""COMPUTED_VALUE"""),42614.66666666667)</f>
        <v>42614.66667</v>
      </c>
      <c r="C2350" s="9">
        <f>IFERROR(__xludf.DUMMYFUNCTION("""COMPUTED_VALUE"""),53.02)</f>
        <v>53.02</v>
      </c>
      <c r="E2350" s="17"/>
      <c r="M2350" s="17"/>
      <c r="P2350" s="17"/>
    </row>
    <row r="2351">
      <c r="B2351" s="11">
        <f>IFERROR(__xludf.DUMMYFUNCTION("""COMPUTED_VALUE"""),42613.66666666667)</f>
        <v>42613.66667</v>
      </c>
      <c r="C2351" s="9">
        <f>IFERROR(__xludf.DUMMYFUNCTION("""COMPUTED_VALUE"""),53.11)</f>
        <v>53.11</v>
      </c>
      <c r="E2351" s="17"/>
      <c r="M2351" s="17"/>
      <c r="P2351" s="17"/>
    </row>
    <row r="2352">
      <c r="B2352" s="11">
        <f>IFERROR(__xludf.DUMMYFUNCTION("""COMPUTED_VALUE"""),42612.66666666667)</f>
        <v>42612.66667</v>
      </c>
      <c r="C2352" s="9">
        <f>IFERROR(__xludf.DUMMYFUNCTION("""COMPUTED_VALUE"""),53.14)</f>
        <v>53.14</v>
      </c>
      <c r="E2352" s="17"/>
      <c r="M2352" s="17"/>
      <c r="P2352" s="17"/>
    </row>
    <row r="2353">
      <c r="B2353" s="11">
        <f>IFERROR(__xludf.DUMMYFUNCTION("""COMPUTED_VALUE"""),42611.66666666667)</f>
        <v>42611.66667</v>
      </c>
      <c r="C2353" s="9">
        <f>IFERROR(__xludf.DUMMYFUNCTION("""COMPUTED_VALUE"""),53.16)</f>
        <v>53.16</v>
      </c>
      <c r="E2353" s="17"/>
      <c r="M2353" s="17"/>
      <c r="P2353" s="17"/>
    </row>
    <row r="2354">
      <c r="B2354" s="11">
        <f>IFERROR(__xludf.DUMMYFUNCTION("""COMPUTED_VALUE"""),42608.66666666667)</f>
        <v>42608.66667</v>
      </c>
      <c r="C2354" s="9">
        <f>IFERROR(__xludf.DUMMYFUNCTION("""COMPUTED_VALUE"""),52.56)</f>
        <v>52.56</v>
      </c>
      <c r="E2354" s="17"/>
      <c r="M2354" s="17"/>
      <c r="P2354" s="17"/>
    </row>
    <row r="2355">
      <c r="B2355" s="11">
        <f>IFERROR(__xludf.DUMMYFUNCTION("""COMPUTED_VALUE"""),42607.66666666667)</f>
        <v>42607.66667</v>
      </c>
      <c r="C2355" s="9">
        <f>IFERROR(__xludf.DUMMYFUNCTION("""COMPUTED_VALUE"""),53.31)</f>
        <v>53.31</v>
      </c>
      <c r="E2355" s="17"/>
      <c r="M2355" s="17"/>
      <c r="P2355" s="17"/>
    </row>
    <row r="2356">
      <c r="B2356" s="11">
        <f>IFERROR(__xludf.DUMMYFUNCTION("""COMPUTED_VALUE"""),42606.66666666667)</f>
        <v>42606.66667</v>
      </c>
      <c r="C2356" s="9">
        <f>IFERROR(__xludf.DUMMYFUNCTION("""COMPUTED_VALUE"""),53.19)</f>
        <v>53.19</v>
      </c>
      <c r="E2356" s="17"/>
      <c r="M2356" s="17"/>
      <c r="P2356" s="17"/>
    </row>
    <row r="2357">
      <c r="B2357" s="11">
        <f>IFERROR(__xludf.DUMMYFUNCTION("""COMPUTED_VALUE"""),42605.66666666667)</f>
        <v>42605.66667</v>
      </c>
      <c r="C2357" s="9">
        <f>IFERROR(__xludf.DUMMYFUNCTION("""COMPUTED_VALUE"""),53.82)</f>
        <v>53.82</v>
      </c>
      <c r="E2357" s="17"/>
      <c r="M2357" s="17"/>
      <c r="P2357" s="17"/>
    </row>
    <row r="2358">
      <c r="B2358" s="11">
        <f>IFERROR(__xludf.DUMMYFUNCTION("""COMPUTED_VALUE"""),42604.66666666667)</f>
        <v>42604.66667</v>
      </c>
      <c r="C2358" s="9">
        <f>IFERROR(__xludf.DUMMYFUNCTION("""COMPUTED_VALUE"""),53.6)</f>
        <v>53.6</v>
      </c>
      <c r="E2358" s="17"/>
      <c r="M2358" s="17"/>
      <c r="P2358" s="17"/>
    </row>
    <row r="2359">
      <c r="B2359" s="11">
        <f>IFERROR(__xludf.DUMMYFUNCTION("""COMPUTED_VALUE"""),42601.66666666667)</f>
        <v>42601.66667</v>
      </c>
      <c r="C2359" s="9">
        <f>IFERROR(__xludf.DUMMYFUNCTION("""COMPUTED_VALUE"""),53.32)</f>
        <v>53.32</v>
      </c>
      <c r="E2359" s="17"/>
      <c r="M2359" s="17"/>
      <c r="P2359" s="17"/>
    </row>
    <row r="2360">
      <c r="B2360" s="11">
        <f>IFERROR(__xludf.DUMMYFUNCTION("""COMPUTED_VALUE"""),42600.66666666667)</f>
        <v>42600.66667</v>
      </c>
      <c r="C2360" s="9">
        <f>IFERROR(__xludf.DUMMYFUNCTION("""COMPUTED_VALUE"""),53.42)</f>
        <v>53.42</v>
      </c>
      <c r="E2360" s="17"/>
      <c r="M2360" s="17"/>
      <c r="P2360" s="17"/>
    </row>
    <row r="2361">
      <c r="B2361" s="11">
        <f>IFERROR(__xludf.DUMMYFUNCTION("""COMPUTED_VALUE"""),42599.66666666667)</f>
        <v>42599.66667</v>
      </c>
      <c r="C2361" s="9">
        <f>IFERROR(__xludf.DUMMYFUNCTION("""COMPUTED_VALUE"""),53.59)</f>
        <v>53.59</v>
      </c>
      <c r="E2361" s="17"/>
      <c r="M2361" s="17"/>
      <c r="P2361" s="17"/>
    </row>
    <row r="2362">
      <c r="B2362" s="11">
        <f>IFERROR(__xludf.DUMMYFUNCTION("""COMPUTED_VALUE"""),42598.66666666667)</f>
        <v>42598.66667</v>
      </c>
      <c r="C2362" s="9">
        <f>IFERROR(__xludf.DUMMYFUNCTION("""COMPUTED_VALUE"""),53.88)</f>
        <v>53.88</v>
      </c>
      <c r="E2362" s="17"/>
      <c r="M2362" s="17"/>
      <c r="P2362" s="17"/>
    </row>
    <row r="2363">
      <c r="B2363" s="11">
        <f>IFERROR(__xludf.DUMMYFUNCTION("""COMPUTED_VALUE"""),42597.66666666667)</f>
        <v>42597.66667</v>
      </c>
      <c r="C2363" s="9">
        <f>IFERROR(__xludf.DUMMYFUNCTION("""COMPUTED_VALUE"""),54.17)</f>
        <v>54.17</v>
      </c>
      <c r="E2363" s="17"/>
      <c r="M2363" s="17"/>
      <c r="P2363" s="17"/>
    </row>
    <row r="2364">
      <c r="B2364" s="11">
        <f>IFERROR(__xludf.DUMMYFUNCTION("""COMPUTED_VALUE"""),42594.66666666667)</f>
        <v>42594.66667</v>
      </c>
      <c r="C2364" s="9">
        <f>IFERROR(__xludf.DUMMYFUNCTION("""COMPUTED_VALUE"""),54.35)</f>
        <v>54.35</v>
      </c>
      <c r="E2364" s="17"/>
      <c r="M2364" s="17"/>
      <c r="P2364" s="17"/>
    </row>
    <row r="2365">
      <c r="B2365" s="11">
        <f>IFERROR(__xludf.DUMMYFUNCTION("""COMPUTED_VALUE"""),42593.66666666667)</f>
        <v>42593.66667</v>
      </c>
      <c r="C2365" s="9">
        <f>IFERROR(__xludf.DUMMYFUNCTION("""COMPUTED_VALUE"""),54.03)</f>
        <v>54.03</v>
      </c>
      <c r="E2365" s="17"/>
      <c r="M2365" s="17"/>
      <c r="P2365" s="17"/>
    </row>
    <row r="2366">
      <c r="B2366" s="11">
        <f>IFERROR(__xludf.DUMMYFUNCTION("""COMPUTED_VALUE"""),42592.66666666667)</f>
        <v>42592.66667</v>
      </c>
      <c r="C2366" s="9">
        <f>IFERROR(__xludf.DUMMYFUNCTION("""COMPUTED_VALUE"""),54.4)</f>
        <v>54.4</v>
      </c>
      <c r="E2366" s="17"/>
      <c r="M2366" s="17"/>
      <c r="P2366" s="17"/>
    </row>
    <row r="2367">
      <c r="B2367" s="11">
        <f>IFERROR(__xludf.DUMMYFUNCTION("""COMPUTED_VALUE"""),42591.66666666667)</f>
        <v>42591.66667</v>
      </c>
      <c r="C2367" s="9">
        <f>IFERROR(__xludf.DUMMYFUNCTION("""COMPUTED_VALUE"""),54.24)</f>
        <v>54.24</v>
      </c>
      <c r="E2367" s="17"/>
      <c r="M2367" s="17"/>
      <c r="P2367" s="17"/>
    </row>
    <row r="2368">
      <c r="B2368" s="11">
        <f>IFERROR(__xludf.DUMMYFUNCTION("""COMPUTED_VALUE"""),42590.66666666667)</f>
        <v>42590.66667</v>
      </c>
      <c r="C2368" s="9">
        <f>IFERROR(__xludf.DUMMYFUNCTION("""COMPUTED_VALUE"""),53.75)</f>
        <v>53.75</v>
      </c>
      <c r="E2368" s="17"/>
      <c r="M2368" s="17"/>
      <c r="P2368" s="17"/>
    </row>
    <row r="2369">
      <c r="B2369" s="11">
        <f>IFERROR(__xludf.DUMMYFUNCTION("""COMPUTED_VALUE"""),42587.66666666667)</f>
        <v>42587.66667</v>
      </c>
      <c r="C2369" s="9">
        <f>IFERROR(__xludf.DUMMYFUNCTION("""COMPUTED_VALUE"""),54.12)</f>
        <v>54.12</v>
      </c>
      <c r="E2369" s="17"/>
      <c r="M2369" s="17"/>
      <c r="P2369" s="17"/>
    </row>
    <row r="2370">
      <c r="B2370" s="11">
        <f>IFERROR(__xludf.DUMMYFUNCTION("""COMPUTED_VALUE"""),42586.66666666667)</f>
        <v>42586.66667</v>
      </c>
      <c r="C2370" s="9">
        <f>IFERROR(__xludf.DUMMYFUNCTION("""COMPUTED_VALUE"""),54.0)</f>
        <v>54</v>
      </c>
      <c r="E2370" s="17"/>
      <c r="M2370" s="17"/>
      <c r="P2370" s="17"/>
    </row>
    <row r="2371">
      <c r="B2371" s="11">
        <f>IFERROR(__xludf.DUMMYFUNCTION("""COMPUTED_VALUE"""),42585.66666666667)</f>
        <v>42585.66667</v>
      </c>
      <c r="C2371" s="9">
        <f>IFERROR(__xludf.DUMMYFUNCTION("""COMPUTED_VALUE"""),54.06)</f>
        <v>54.06</v>
      </c>
      <c r="E2371" s="17"/>
      <c r="M2371" s="17"/>
      <c r="P2371" s="17"/>
    </row>
    <row r="2372">
      <c r="B2372" s="11">
        <f>IFERROR(__xludf.DUMMYFUNCTION("""COMPUTED_VALUE"""),42584.66666666667)</f>
        <v>42584.66667</v>
      </c>
      <c r="C2372" s="9">
        <f>IFERROR(__xludf.DUMMYFUNCTION("""COMPUTED_VALUE"""),54.2)</f>
        <v>54.2</v>
      </c>
      <c r="E2372" s="17"/>
      <c r="M2372" s="17"/>
      <c r="P2372" s="17"/>
    </row>
    <row r="2373">
      <c r="B2373" s="11">
        <f>IFERROR(__xludf.DUMMYFUNCTION("""COMPUTED_VALUE"""),42583.66666666667)</f>
        <v>42583.66667</v>
      </c>
      <c r="C2373" s="9">
        <f>IFERROR(__xludf.DUMMYFUNCTION("""COMPUTED_VALUE"""),54.61)</f>
        <v>54.61</v>
      </c>
      <c r="E2373" s="17"/>
      <c r="M2373" s="17"/>
      <c r="P2373" s="17"/>
    </row>
    <row r="2374">
      <c r="B2374" s="11">
        <f>IFERROR(__xludf.DUMMYFUNCTION("""COMPUTED_VALUE"""),42580.66666666667)</f>
        <v>42580.66667</v>
      </c>
      <c r="C2374" s="9">
        <f>IFERROR(__xludf.DUMMYFUNCTION("""COMPUTED_VALUE"""),54.49)</f>
        <v>54.49</v>
      </c>
      <c r="E2374" s="17"/>
      <c r="M2374" s="17"/>
      <c r="P2374" s="17"/>
    </row>
    <row r="2375">
      <c r="B2375" s="11">
        <f>IFERROR(__xludf.DUMMYFUNCTION("""COMPUTED_VALUE"""),42579.66666666667)</f>
        <v>42579.66667</v>
      </c>
      <c r="C2375" s="9">
        <f>IFERROR(__xludf.DUMMYFUNCTION("""COMPUTED_VALUE"""),53.63)</f>
        <v>53.63</v>
      </c>
      <c r="E2375" s="17"/>
      <c r="M2375" s="17"/>
      <c r="P2375" s="17"/>
    </row>
    <row r="2376">
      <c r="B2376" s="11">
        <f>IFERROR(__xludf.DUMMYFUNCTION("""COMPUTED_VALUE"""),42578.66666666667)</f>
        <v>42578.66667</v>
      </c>
      <c r="C2376" s="9">
        <f>IFERROR(__xludf.DUMMYFUNCTION("""COMPUTED_VALUE"""),52.52)</f>
        <v>52.52</v>
      </c>
      <c r="E2376" s="17"/>
      <c r="M2376" s="17"/>
      <c r="P2376" s="17"/>
    </row>
    <row r="2377">
      <c r="B2377" s="11">
        <f>IFERROR(__xludf.DUMMYFUNCTION("""COMPUTED_VALUE"""),42577.66666666667)</f>
        <v>42577.66667</v>
      </c>
      <c r="C2377" s="9">
        <f>IFERROR(__xludf.DUMMYFUNCTION("""COMPUTED_VALUE"""),53.2)</f>
        <v>53.2</v>
      </c>
      <c r="E2377" s="17"/>
      <c r="M2377" s="17"/>
      <c r="P2377" s="17"/>
    </row>
    <row r="2378">
      <c r="B2378" s="11">
        <f>IFERROR(__xludf.DUMMYFUNCTION("""COMPUTED_VALUE"""),42576.66666666667)</f>
        <v>42576.66667</v>
      </c>
      <c r="C2378" s="9">
        <f>IFERROR(__xludf.DUMMYFUNCTION("""COMPUTED_VALUE"""),52.99)</f>
        <v>52.99</v>
      </c>
      <c r="E2378" s="17"/>
      <c r="M2378" s="17"/>
      <c r="P2378" s="17"/>
    </row>
    <row r="2379">
      <c r="B2379" s="11">
        <f>IFERROR(__xludf.DUMMYFUNCTION("""COMPUTED_VALUE"""),42573.66666666667)</f>
        <v>42573.66667</v>
      </c>
      <c r="C2379" s="9">
        <f>IFERROR(__xludf.DUMMYFUNCTION("""COMPUTED_VALUE"""),52.57)</f>
        <v>52.57</v>
      </c>
      <c r="E2379" s="17"/>
      <c r="M2379" s="17"/>
      <c r="P2379" s="17"/>
    </row>
    <row r="2380">
      <c r="B2380" s="11">
        <f>IFERROR(__xludf.DUMMYFUNCTION("""COMPUTED_VALUE"""),42572.66666666667)</f>
        <v>42572.66667</v>
      </c>
      <c r="C2380" s="9">
        <f>IFERROR(__xludf.DUMMYFUNCTION("""COMPUTED_VALUE"""),51.78)</f>
        <v>51.78</v>
      </c>
      <c r="E2380" s="17"/>
      <c r="M2380" s="17"/>
      <c r="P2380" s="17"/>
    </row>
    <row r="2381">
      <c r="B2381" s="11">
        <f>IFERROR(__xludf.DUMMYFUNCTION("""COMPUTED_VALUE"""),42571.66666666667)</f>
        <v>42571.66667</v>
      </c>
      <c r="C2381" s="9">
        <f>IFERROR(__xludf.DUMMYFUNCTION("""COMPUTED_VALUE"""),51.6)</f>
        <v>51.6</v>
      </c>
      <c r="E2381" s="17"/>
      <c r="M2381" s="17"/>
      <c r="P2381" s="17"/>
    </row>
    <row r="2382">
      <c r="B2382" s="11">
        <f>IFERROR(__xludf.DUMMYFUNCTION("""COMPUTED_VALUE"""),42570.66666666667)</f>
        <v>42570.66667</v>
      </c>
      <c r="C2382" s="9">
        <f>IFERROR(__xludf.DUMMYFUNCTION("""COMPUTED_VALUE"""),51.71)</f>
        <v>51.71</v>
      </c>
      <c r="E2382" s="17"/>
      <c r="M2382" s="17"/>
      <c r="P2382" s="17"/>
    </row>
    <row r="2383">
      <c r="B2383" s="11">
        <f>IFERROR(__xludf.DUMMYFUNCTION("""COMPUTED_VALUE"""),42569.66666666667)</f>
        <v>42569.66667</v>
      </c>
      <c r="C2383" s="9">
        <f>IFERROR(__xludf.DUMMYFUNCTION("""COMPUTED_VALUE"""),51.62)</f>
        <v>51.62</v>
      </c>
      <c r="E2383" s="17"/>
      <c r="M2383" s="17"/>
      <c r="P2383" s="17"/>
    </row>
    <row r="2384">
      <c r="B2384" s="11">
        <f>IFERROR(__xludf.DUMMYFUNCTION("""COMPUTED_VALUE"""),42566.66666666667)</f>
        <v>42566.66667</v>
      </c>
      <c r="C2384" s="9">
        <f>IFERROR(__xludf.DUMMYFUNCTION("""COMPUTED_VALUE"""),51.33)</f>
        <v>51.33</v>
      </c>
      <c r="E2384" s="17"/>
      <c r="M2384" s="17"/>
      <c r="P2384" s="17"/>
    </row>
    <row r="2385">
      <c r="B2385" s="11">
        <f>IFERROR(__xludf.DUMMYFUNCTION("""COMPUTED_VALUE"""),42565.66666666667)</f>
        <v>42565.66667</v>
      </c>
      <c r="C2385" s="9">
        <f>IFERROR(__xludf.DUMMYFUNCTION("""COMPUTED_VALUE"""),50.96)</f>
        <v>50.96</v>
      </c>
      <c r="E2385" s="17"/>
      <c r="M2385" s="17"/>
      <c r="P2385" s="17"/>
    </row>
    <row r="2386">
      <c r="B2386" s="11">
        <f>IFERROR(__xludf.DUMMYFUNCTION("""COMPUTED_VALUE"""),42564.66666666667)</f>
        <v>42564.66667</v>
      </c>
      <c r="C2386" s="9">
        <f>IFERROR(__xludf.DUMMYFUNCTION("""COMPUTED_VALUE"""),50.65)</f>
        <v>50.65</v>
      </c>
      <c r="E2386" s="17"/>
      <c r="M2386" s="17"/>
      <c r="P2386" s="17"/>
    </row>
    <row r="2387">
      <c r="B2387" s="11">
        <f>IFERROR(__xludf.DUMMYFUNCTION("""COMPUTED_VALUE"""),42563.66666666667)</f>
        <v>42563.66667</v>
      </c>
      <c r="C2387" s="9">
        <f>IFERROR(__xludf.DUMMYFUNCTION("""COMPUTED_VALUE"""),50.09)</f>
        <v>50.09</v>
      </c>
      <c r="E2387" s="17"/>
      <c r="M2387" s="17"/>
      <c r="P2387" s="17"/>
    </row>
    <row r="2388">
      <c r="B2388" s="11">
        <f>IFERROR(__xludf.DUMMYFUNCTION("""COMPUTED_VALUE"""),42562.66666666667)</f>
        <v>42562.66667</v>
      </c>
      <c r="C2388" s="9">
        <f>IFERROR(__xludf.DUMMYFUNCTION("""COMPUTED_VALUE"""),49.91)</f>
        <v>49.91</v>
      </c>
      <c r="E2388" s="17"/>
      <c r="M2388" s="17"/>
      <c r="P2388" s="17"/>
    </row>
    <row r="2389">
      <c r="B2389" s="11">
        <f>IFERROR(__xludf.DUMMYFUNCTION("""COMPUTED_VALUE"""),42559.66666666667)</f>
        <v>42559.66667</v>
      </c>
      <c r="C2389" s="9">
        <f>IFERROR(__xludf.DUMMYFUNCTION("""COMPUTED_VALUE"""),49.55)</f>
        <v>49.55</v>
      </c>
      <c r="E2389" s="17"/>
      <c r="M2389" s="17"/>
      <c r="P2389" s="17"/>
    </row>
    <row r="2390">
      <c r="B2390" s="11">
        <f>IFERROR(__xludf.DUMMYFUNCTION("""COMPUTED_VALUE"""),42558.66666666667)</f>
        <v>42558.66667</v>
      </c>
      <c r="C2390" s="9">
        <f>IFERROR(__xludf.DUMMYFUNCTION("""COMPUTED_VALUE"""),48.75)</f>
        <v>48.75</v>
      </c>
      <c r="E2390" s="17"/>
      <c r="M2390" s="17"/>
      <c r="P2390" s="17"/>
    </row>
    <row r="2391">
      <c r="B2391" s="11">
        <f>IFERROR(__xludf.DUMMYFUNCTION("""COMPUTED_VALUE"""),42557.66666666667)</f>
        <v>42557.66667</v>
      </c>
      <c r="C2391" s="9">
        <f>IFERROR(__xludf.DUMMYFUNCTION("""COMPUTED_VALUE"""),49.37)</f>
        <v>49.37</v>
      </c>
      <c r="E2391" s="17"/>
      <c r="M2391" s="17"/>
      <c r="P2391" s="17"/>
    </row>
    <row r="2392">
      <c r="B2392" s="11">
        <f>IFERROR(__xludf.DUMMYFUNCTION("""COMPUTED_VALUE"""),42556.66666666667)</f>
        <v>42556.66667</v>
      </c>
      <c r="C2392" s="9">
        <f>IFERROR(__xludf.DUMMYFUNCTION("""COMPUTED_VALUE"""),49.54)</f>
        <v>49.54</v>
      </c>
      <c r="E2392" s="17"/>
      <c r="M2392" s="17"/>
      <c r="P2392" s="17"/>
    </row>
    <row r="2393">
      <c r="B2393" s="11">
        <f>IFERROR(__xludf.DUMMYFUNCTION("""COMPUTED_VALUE"""),42552.66666666667)</f>
        <v>42552.66667</v>
      </c>
      <c r="C2393" s="9">
        <f>IFERROR(__xludf.DUMMYFUNCTION("""COMPUTED_VALUE"""),48.74)</f>
        <v>48.74</v>
      </c>
      <c r="E2393" s="17"/>
      <c r="M2393" s="17"/>
      <c r="P2393" s="17"/>
    </row>
    <row r="2394">
      <c r="B2394" s="11">
        <f>IFERROR(__xludf.DUMMYFUNCTION("""COMPUTED_VALUE"""),42551.66666666667)</f>
        <v>42551.66667</v>
      </c>
      <c r="C2394" s="9">
        <f>IFERROR(__xludf.DUMMYFUNCTION("""COMPUTED_VALUE"""),49.04)</f>
        <v>49.04</v>
      </c>
      <c r="E2394" s="17"/>
      <c r="M2394" s="17"/>
      <c r="P2394" s="17"/>
    </row>
    <row r="2395">
      <c r="B2395" s="11">
        <f>IFERROR(__xludf.DUMMYFUNCTION("""COMPUTED_VALUE"""),42550.66666666667)</f>
        <v>42550.66667</v>
      </c>
      <c r="C2395" s="9">
        <f>IFERROR(__xludf.DUMMYFUNCTION("""COMPUTED_VALUE"""),49.11)</f>
        <v>49.11</v>
      </c>
      <c r="E2395" s="17"/>
      <c r="M2395" s="17"/>
      <c r="P2395" s="17"/>
    </row>
    <row r="2396">
      <c r="B2396" s="11">
        <f>IFERROR(__xludf.DUMMYFUNCTION("""COMPUTED_VALUE"""),42549.66666666667)</f>
        <v>42549.66667</v>
      </c>
      <c r="C2396" s="9">
        <f>IFERROR(__xludf.DUMMYFUNCTION("""COMPUTED_VALUE"""),47.96)</f>
        <v>47.96</v>
      </c>
      <c r="E2396" s="17"/>
      <c r="M2396" s="17"/>
      <c r="P2396" s="17"/>
    </row>
    <row r="2397">
      <c r="B2397" s="11">
        <f>IFERROR(__xludf.DUMMYFUNCTION("""COMPUTED_VALUE"""),42548.66666666667)</f>
        <v>42548.66667</v>
      </c>
      <c r="C2397" s="9">
        <f>IFERROR(__xludf.DUMMYFUNCTION("""COMPUTED_VALUE"""),46.92)</f>
        <v>46.92</v>
      </c>
      <c r="E2397" s="17"/>
      <c r="M2397" s="17"/>
      <c r="P2397" s="17"/>
    </row>
    <row r="2398">
      <c r="B2398" s="11">
        <f>IFERROR(__xludf.DUMMYFUNCTION("""COMPUTED_VALUE"""),42545.66666666667)</f>
        <v>42545.66667</v>
      </c>
      <c r="C2398" s="9">
        <f>IFERROR(__xludf.DUMMYFUNCTION("""COMPUTED_VALUE"""),48.14)</f>
        <v>48.14</v>
      </c>
      <c r="E2398" s="17"/>
      <c r="M2398" s="17"/>
      <c r="P2398" s="17"/>
    </row>
    <row r="2399">
      <c r="B2399" s="11">
        <f>IFERROR(__xludf.DUMMYFUNCTION("""COMPUTED_VALUE"""),42544.66666666667)</f>
        <v>42544.66667</v>
      </c>
      <c r="C2399" s="9">
        <f>IFERROR(__xludf.DUMMYFUNCTION("""COMPUTED_VALUE"""),50.09)</f>
        <v>50.09</v>
      </c>
      <c r="E2399" s="17"/>
      <c r="M2399" s="17"/>
      <c r="P2399" s="17"/>
    </row>
    <row r="2400">
      <c r="B2400" s="11">
        <f>IFERROR(__xludf.DUMMYFUNCTION("""COMPUTED_VALUE"""),42543.66666666667)</f>
        <v>42543.66667</v>
      </c>
      <c r="C2400" s="9">
        <f>IFERROR(__xludf.DUMMYFUNCTION("""COMPUTED_VALUE"""),50.03)</f>
        <v>50.03</v>
      </c>
      <c r="E2400" s="17"/>
      <c r="M2400" s="17"/>
      <c r="P2400" s="17"/>
    </row>
    <row r="2401">
      <c r="B2401" s="11">
        <f>IFERROR(__xludf.DUMMYFUNCTION("""COMPUTED_VALUE"""),42542.66666666667)</f>
        <v>42542.66667</v>
      </c>
      <c r="C2401" s="9">
        <f>IFERROR(__xludf.DUMMYFUNCTION("""COMPUTED_VALUE"""),49.97)</f>
        <v>49.97</v>
      </c>
      <c r="E2401" s="17"/>
      <c r="M2401" s="17"/>
      <c r="P2401" s="17"/>
    </row>
    <row r="2402">
      <c r="B2402" s="11">
        <f>IFERROR(__xludf.DUMMYFUNCTION("""COMPUTED_VALUE"""),42541.66666666667)</f>
        <v>42541.66667</v>
      </c>
      <c r="C2402" s="9">
        <f>IFERROR(__xludf.DUMMYFUNCTION("""COMPUTED_VALUE"""),49.89)</f>
        <v>49.89</v>
      </c>
      <c r="E2402" s="17"/>
      <c r="M2402" s="17"/>
      <c r="P2402" s="17"/>
    </row>
    <row r="2403">
      <c r="B2403" s="11">
        <f>IFERROR(__xludf.DUMMYFUNCTION("""COMPUTED_VALUE"""),42538.66666666667)</f>
        <v>42538.66667</v>
      </c>
      <c r="C2403" s="9">
        <f>IFERROR(__xludf.DUMMYFUNCTION("""COMPUTED_VALUE"""),49.86)</f>
        <v>49.86</v>
      </c>
      <c r="E2403" s="17"/>
      <c r="M2403" s="17"/>
      <c r="P2403" s="17"/>
    </row>
    <row r="2404">
      <c r="B2404" s="11">
        <f>IFERROR(__xludf.DUMMYFUNCTION("""COMPUTED_VALUE"""),42537.66666666667)</f>
        <v>42537.66667</v>
      </c>
      <c r="C2404" s="9">
        <f>IFERROR(__xludf.DUMMYFUNCTION("""COMPUTED_VALUE"""),50.33)</f>
        <v>50.33</v>
      </c>
      <c r="E2404" s="17"/>
      <c r="M2404" s="17"/>
      <c r="P2404" s="17"/>
    </row>
    <row r="2405">
      <c r="B2405" s="11">
        <f>IFERROR(__xludf.DUMMYFUNCTION("""COMPUTED_VALUE"""),42536.66666666667)</f>
        <v>42536.66667</v>
      </c>
      <c r="C2405" s="9">
        <f>IFERROR(__xludf.DUMMYFUNCTION("""COMPUTED_VALUE"""),49.88)</f>
        <v>49.88</v>
      </c>
      <c r="E2405" s="17"/>
      <c r="M2405" s="17"/>
      <c r="P2405" s="17"/>
    </row>
    <row r="2406">
      <c r="B2406" s="11">
        <f>IFERROR(__xludf.DUMMYFUNCTION("""COMPUTED_VALUE"""),42535.66666666667)</f>
        <v>42535.66667</v>
      </c>
      <c r="C2406" s="9">
        <f>IFERROR(__xludf.DUMMYFUNCTION("""COMPUTED_VALUE"""),49.35)</f>
        <v>49.35</v>
      </c>
      <c r="E2406" s="17"/>
      <c r="M2406" s="17"/>
      <c r="P2406" s="17"/>
    </row>
    <row r="2407">
      <c r="B2407" s="11">
        <f>IFERROR(__xludf.DUMMYFUNCTION("""COMPUTED_VALUE"""),42534.66666666667)</f>
        <v>42534.66667</v>
      </c>
      <c r="C2407" s="9">
        <f>IFERROR(__xludf.DUMMYFUNCTION("""COMPUTED_VALUE"""),49.98)</f>
        <v>49.98</v>
      </c>
      <c r="E2407" s="17"/>
      <c r="M2407" s="17"/>
      <c r="P2407" s="17"/>
    </row>
    <row r="2408">
      <c r="B2408" s="11">
        <f>IFERROR(__xludf.DUMMYFUNCTION("""COMPUTED_VALUE"""),42531.66666666667)</f>
        <v>42531.66667</v>
      </c>
      <c r="C2408" s="9">
        <f>IFERROR(__xludf.DUMMYFUNCTION("""COMPUTED_VALUE"""),49.92)</f>
        <v>49.92</v>
      </c>
      <c r="E2408" s="17"/>
      <c r="M2408" s="17"/>
      <c r="P2408" s="17"/>
    </row>
    <row r="2409">
      <c r="B2409" s="11">
        <f>IFERROR(__xludf.DUMMYFUNCTION("""COMPUTED_VALUE"""),42530.66666666667)</f>
        <v>42530.66667</v>
      </c>
      <c r="C2409" s="9">
        <f>IFERROR(__xludf.DUMMYFUNCTION("""COMPUTED_VALUE"""),49.87)</f>
        <v>49.87</v>
      </c>
      <c r="E2409" s="17"/>
      <c r="M2409" s="17"/>
      <c r="P2409" s="17"/>
    </row>
    <row r="2410">
      <c r="B2410" s="11">
        <f>IFERROR(__xludf.DUMMYFUNCTION("""COMPUTED_VALUE"""),42529.66666666667)</f>
        <v>42529.66667</v>
      </c>
      <c r="C2410" s="9">
        <f>IFERROR(__xludf.DUMMYFUNCTION("""COMPUTED_VALUE"""),49.36)</f>
        <v>49.36</v>
      </c>
      <c r="E2410" s="17"/>
      <c r="M2410" s="17"/>
      <c r="P2410" s="17"/>
    </row>
    <row r="2411">
      <c r="B2411" s="11">
        <f>IFERROR(__xludf.DUMMYFUNCTION("""COMPUTED_VALUE"""),42528.66666666667)</f>
        <v>42528.66667</v>
      </c>
      <c r="C2411" s="9">
        <f>IFERROR(__xludf.DUMMYFUNCTION("""COMPUTED_VALUE"""),49.01)</f>
        <v>49.01</v>
      </c>
      <c r="E2411" s="17"/>
      <c r="M2411" s="17"/>
      <c r="P2411" s="17"/>
    </row>
    <row r="2412">
      <c r="B2412" s="11">
        <f>IFERROR(__xludf.DUMMYFUNCTION("""COMPUTED_VALUE"""),42527.66666666667)</f>
        <v>42527.66667</v>
      </c>
      <c r="C2412" s="9">
        <f>IFERROR(__xludf.DUMMYFUNCTION("""COMPUTED_VALUE"""),48.32)</f>
        <v>48.32</v>
      </c>
      <c r="E2412" s="17"/>
      <c r="M2412" s="17"/>
      <c r="P2412" s="17"/>
    </row>
    <row r="2413">
      <c r="B2413" s="11">
        <f>IFERROR(__xludf.DUMMYFUNCTION("""COMPUTED_VALUE"""),42524.66666666667)</f>
        <v>42524.66667</v>
      </c>
      <c r="C2413" s="9">
        <f>IFERROR(__xludf.DUMMYFUNCTION("""COMPUTED_VALUE"""),48.46)</f>
        <v>48.46</v>
      </c>
      <c r="E2413" s="17"/>
      <c r="M2413" s="17"/>
      <c r="P2413" s="17"/>
    </row>
    <row r="2414">
      <c r="B2414" s="11">
        <f>IFERROR(__xludf.DUMMYFUNCTION("""COMPUTED_VALUE"""),42523.66666666667)</f>
        <v>42523.66667</v>
      </c>
      <c r="C2414" s="9">
        <f>IFERROR(__xludf.DUMMYFUNCTION("""COMPUTED_VALUE"""),48.01)</f>
        <v>48.01</v>
      </c>
      <c r="E2414" s="17"/>
      <c r="M2414" s="17"/>
      <c r="P2414" s="17"/>
    </row>
    <row r="2415">
      <c r="B2415" s="11">
        <f>IFERROR(__xludf.DUMMYFUNCTION("""COMPUTED_VALUE"""),42522.66666666667)</f>
        <v>42522.66667</v>
      </c>
      <c r="C2415" s="9">
        <f>IFERROR(__xludf.DUMMYFUNCTION("""COMPUTED_VALUE"""),47.79)</f>
        <v>47.79</v>
      </c>
      <c r="E2415" s="17"/>
      <c r="M2415" s="17"/>
      <c r="P2415" s="17"/>
    </row>
    <row r="2416">
      <c r="B2416" s="11">
        <f>IFERROR(__xludf.DUMMYFUNCTION("""COMPUTED_VALUE"""),42521.66666666667)</f>
        <v>42521.66667</v>
      </c>
      <c r="C2416" s="9">
        <f>IFERROR(__xludf.DUMMYFUNCTION("""COMPUTED_VALUE"""),47.53)</f>
        <v>47.53</v>
      </c>
      <c r="E2416" s="17"/>
      <c r="M2416" s="17"/>
      <c r="P2416" s="17"/>
    </row>
    <row r="2417">
      <c r="B2417" s="11">
        <f>IFERROR(__xludf.DUMMYFUNCTION("""COMPUTED_VALUE"""),42517.66666666667)</f>
        <v>42517.66667</v>
      </c>
      <c r="C2417" s="9">
        <f>IFERROR(__xludf.DUMMYFUNCTION("""COMPUTED_VALUE"""),47.58)</f>
        <v>47.58</v>
      </c>
      <c r="E2417" s="17"/>
      <c r="M2417" s="17"/>
      <c r="P2417" s="17"/>
    </row>
    <row r="2418">
      <c r="B2418" s="11">
        <f>IFERROR(__xludf.DUMMYFUNCTION("""COMPUTED_VALUE"""),42516.66666666667)</f>
        <v>42516.66667</v>
      </c>
      <c r="C2418" s="9">
        <f>IFERROR(__xludf.DUMMYFUNCTION("""COMPUTED_VALUE"""),47.11)</f>
        <v>47.11</v>
      </c>
      <c r="E2418" s="17"/>
      <c r="M2418" s="17"/>
      <c r="P2418" s="17"/>
    </row>
    <row r="2419">
      <c r="B2419" s="11">
        <f>IFERROR(__xludf.DUMMYFUNCTION("""COMPUTED_VALUE"""),42515.66666666667)</f>
        <v>42515.66667</v>
      </c>
      <c r="C2419" s="9">
        <f>IFERROR(__xludf.DUMMYFUNCTION("""COMPUTED_VALUE"""),47.09)</f>
        <v>47.09</v>
      </c>
      <c r="E2419" s="17"/>
      <c r="M2419" s="17"/>
      <c r="P2419" s="17"/>
    </row>
    <row r="2420">
      <c r="B2420" s="11">
        <f>IFERROR(__xludf.DUMMYFUNCTION("""COMPUTED_VALUE"""),42514.66666666667)</f>
        <v>42514.66667</v>
      </c>
      <c r="C2420" s="9">
        <f>IFERROR(__xludf.DUMMYFUNCTION("""COMPUTED_VALUE"""),47.26)</f>
        <v>47.26</v>
      </c>
      <c r="E2420" s="17"/>
      <c r="M2420" s="17"/>
      <c r="P2420" s="17"/>
    </row>
    <row r="2421">
      <c r="B2421" s="11">
        <f>IFERROR(__xludf.DUMMYFUNCTION("""COMPUTED_VALUE"""),42513.66666666667)</f>
        <v>42513.66667</v>
      </c>
      <c r="C2421" s="9">
        <f>IFERROR(__xludf.DUMMYFUNCTION("""COMPUTED_VALUE"""),46.54)</f>
        <v>46.54</v>
      </c>
      <c r="E2421" s="17"/>
      <c r="M2421" s="17"/>
      <c r="P2421" s="17"/>
    </row>
    <row r="2422">
      <c r="B2422" s="11">
        <f>IFERROR(__xludf.DUMMYFUNCTION("""COMPUTED_VALUE"""),42510.66666666667)</f>
        <v>42510.66667</v>
      </c>
      <c r="C2422" s="9">
        <f>IFERROR(__xludf.DUMMYFUNCTION("""COMPUTED_VALUE"""),46.84)</f>
        <v>46.84</v>
      </c>
      <c r="E2422" s="17"/>
      <c r="M2422" s="17"/>
      <c r="P2422" s="17"/>
    </row>
    <row r="2423">
      <c r="B2423" s="11">
        <f>IFERROR(__xludf.DUMMYFUNCTION("""COMPUTED_VALUE"""),42509.66666666667)</f>
        <v>42509.66667</v>
      </c>
      <c r="C2423" s="9">
        <f>IFERROR(__xludf.DUMMYFUNCTION("""COMPUTED_VALUE"""),46.52)</f>
        <v>46.52</v>
      </c>
      <c r="E2423" s="17"/>
      <c r="M2423" s="17"/>
      <c r="P2423" s="17"/>
    </row>
    <row r="2424">
      <c r="B2424" s="11">
        <f>IFERROR(__xludf.DUMMYFUNCTION("""COMPUTED_VALUE"""),42508.66666666667)</f>
        <v>42508.66667</v>
      </c>
      <c r="C2424" s="9">
        <f>IFERROR(__xludf.DUMMYFUNCTION("""COMPUTED_VALUE"""),46.86)</f>
        <v>46.86</v>
      </c>
      <c r="E2424" s="17"/>
      <c r="M2424" s="17"/>
      <c r="P2424" s="17"/>
    </row>
    <row r="2425">
      <c r="B2425" s="11">
        <f>IFERROR(__xludf.DUMMYFUNCTION("""COMPUTED_VALUE"""),42507.66666666667)</f>
        <v>42507.66667</v>
      </c>
      <c r="C2425" s="9">
        <f>IFERROR(__xludf.DUMMYFUNCTION("""COMPUTED_VALUE"""),47.5)</f>
        <v>47.5</v>
      </c>
      <c r="E2425" s="17"/>
      <c r="M2425" s="17"/>
      <c r="P2425" s="17"/>
    </row>
    <row r="2426">
      <c r="B2426" s="11">
        <f>IFERROR(__xludf.DUMMYFUNCTION("""COMPUTED_VALUE"""),42506.66666666667)</f>
        <v>42506.66667</v>
      </c>
      <c r="C2426" s="9">
        <f>IFERROR(__xludf.DUMMYFUNCTION("""COMPUTED_VALUE"""),48.09)</f>
        <v>48.09</v>
      </c>
      <c r="E2426" s="17"/>
      <c r="M2426" s="17"/>
      <c r="P2426" s="17"/>
    </row>
    <row r="2427">
      <c r="B2427" s="11">
        <f>IFERROR(__xludf.DUMMYFUNCTION("""COMPUTED_VALUE"""),42503.66666666667)</f>
        <v>42503.66667</v>
      </c>
      <c r="C2427" s="9">
        <f>IFERROR(__xludf.DUMMYFUNCTION("""COMPUTED_VALUE"""),47.44)</f>
        <v>47.44</v>
      </c>
      <c r="E2427" s="17"/>
      <c r="M2427" s="17"/>
      <c r="P2427" s="17"/>
    </row>
    <row r="2428">
      <c r="B2428" s="11">
        <f>IFERROR(__xludf.DUMMYFUNCTION("""COMPUTED_VALUE"""),42502.66666666667)</f>
        <v>42502.66667</v>
      </c>
      <c r="C2428" s="9">
        <f>IFERROR(__xludf.DUMMYFUNCTION("""COMPUTED_VALUE"""),47.45)</f>
        <v>47.45</v>
      </c>
      <c r="E2428" s="17"/>
      <c r="M2428" s="17"/>
      <c r="P2428" s="17"/>
    </row>
    <row r="2429">
      <c r="B2429" s="11">
        <f>IFERROR(__xludf.DUMMYFUNCTION("""COMPUTED_VALUE"""),42501.66666666667)</f>
        <v>42501.66667</v>
      </c>
      <c r="C2429" s="9">
        <f>IFERROR(__xludf.DUMMYFUNCTION("""COMPUTED_VALUE"""),46.96)</f>
        <v>46.96</v>
      </c>
      <c r="E2429" s="17"/>
      <c r="M2429" s="17"/>
      <c r="P2429" s="17"/>
    </row>
    <row r="2430">
      <c r="B2430" s="11">
        <f>IFERROR(__xludf.DUMMYFUNCTION("""COMPUTED_VALUE"""),42500.66666666667)</f>
        <v>42500.66667</v>
      </c>
      <c r="C2430" s="9">
        <f>IFERROR(__xludf.DUMMYFUNCTION("""COMPUTED_VALUE"""),47.75)</f>
        <v>47.75</v>
      </c>
      <c r="E2430" s="17"/>
      <c r="M2430" s="17"/>
      <c r="P2430" s="17"/>
    </row>
    <row r="2431">
      <c r="B2431" s="11">
        <f>IFERROR(__xludf.DUMMYFUNCTION("""COMPUTED_VALUE"""),42499.66666666667)</f>
        <v>42499.66667</v>
      </c>
      <c r="C2431" s="9">
        <f>IFERROR(__xludf.DUMMYFUNCTION("""COMPUTED_VALUE"""),47.29)</f>
        <v>47.29</v>
      </c>
      <c r="E2431" s="17"/>
      <c r="M2431" s="17"/>
      <c r="P2431" s="17"/>
    </row>
    <row r="2432">
      <c r="B2432" s="11">
        <f>IFERROR(__xludf.DUMMYFUNCTION("""COMPUTED_VALUE"""),42496.66666666667)</f>
        <v>42496.66667</v>
      </c>
      <c r="C2432" s="9">
        <f>IFERROR(__xludf.DUMMYFUNCTION("""COMPUTED_VALUE"""),46.6)</f>
        <v>46.6</v>
      </c>
      <c r="E2432" s="17"/>
      <c r="M2432" s="17"/>
      <c r="P2432" s="17"/>
    </row>
    <row r="2433">
      <c r="B2433" s="11">
        <f>IFERROR(__xludf.DUMMYFUNCTION("""COMPUTED_VALUE"""),42495.66666666667)</f>
        <v>42495.66667</v>
      </c>
      <c r="C2433" s="9">
        <f>IFERROR(__xludf.DUMMYFUNCTION("""COMPUTED_VALUE"""),46.11)</f>
        <v>46.11</v>
      </c>
      <c r="E2433" s="17"/>
      <c r="M2433" s="17"/>
      <c r="P2433" s="17"/>
    </row>
    <row r="2434">
      <c r="B2434" s="11">
        <f>IFERROR(__xludf.DUMMYFUNCTION("""COMPUTED_VALUE"""),42494.66666666667)</f>
        <v>42494.66667</v>
      </c>
      <c r="C2434" s="9">
        <f>IFERROR(__xludf.DUMMYFUNCTION("""COMPUTED_VALUE"""),45.88)</f>
        <v>45.88</v>
      </c>
      <c r="E2434" s="17"/>
      <c r="M2434" s="17"/>
      <c r="P2434" s="17"/>
    </row>
    <row r="2435">
      <c r="B2435" s="11">
        <f>IFERROR(__xludf.DUMMYFUNCTION("""COMPUTED_VALUE"""),42493.66666666667)</f>
        <v>42493.66667</v>
      </c>
      <c r="C2435" s="9">
        <f>IFERROR(__xludf.DUMMYFUNCTION("""COMPUTED_VALUE"""),45.65)</f>
        <v>45.65</v>
      </c>
      <c r="E2435" s="17"/>
      <c r="M2435" s="17"/>
      <c r="P2435" s="17"/>
    </row>
    <row r="2436">
      <c r="B2436" s="11">
        <f>IFERROR(__xludf.DUMMYFUNCTION("""COMPUTED_VALUE"""),42492.66666666667)</f>
        <v>42492.66667</v>
      </c>
      <c r="C2436" s="9">
        <f>IFERROR(__xludf.DUMMYFUNCTION("""COMPUTED_VALUE"""),46.01)</f>
        <v>46.01</v>
      </c>
      <c r="E2436" s="17"/>
      <c r="M2436" s="17"/>
      <c r="P2436" s="17"/>
    </row>
    <row r="2437">
      <c r="B2437" s="11">
        <f>IFERROR(__xludf.DUMMYFUNCTION("""COMPUTED_VALUE"""),42489.66666666667)</f>
        <v>42489.66667</v>
      </c>
      <c r="C2437" s="9">
        <f>IFERROR(__xludf.DUMMYFUNCTION("""COMPUTED_VALUE"""),45.41)</f>
        <v>45.41</v>
      </c>
      <c r="E2437" s="17"/>
      <c r="M2437" s="17"/>
      <c r="P2437" s="17"/>
    </row>
    <row r="2438">
      <c r="B2438" s="11">
        <f>IFERROR(__xludf.DUMMYFUNCTION("""COMPUTED_VALUE"""),42488.66666666667)</f>
        <v>42488.66667</v>
      </c>
      <c r="C2438" s="9">
        <f>IFERROR(__xludf.DUMMYFUNCTION("""COMPUTED_VALUE"""),45.65)</f>
        <v>45.65</v>
      </c>
      <c r="E2438" s="17"/>
      <c r="M2438" s="17"/>
      <c r="P2438" s="17"/>
    </row>
    <row r="2439">
      <c r="B2439" s="11">
        <f>IFERROR(__xludf.DUMMYFUNCTION("""COMPUTED_VALUE"""),42487.66666666667)</f>
        <v>42487.66667</v>
      </c>
      <c r="C2439" s="9">
        <f>IFERROR(__xludf.DUMMYFUNCTION("""COMPUTED_VALUE"""),46.0)</f>
        <v>46</v>
      </c>
      <c r="E2439" s="17"/>
      <c r="M2439" s="17"/>
      <c r="P2439" s="17"/>
    </row>
    <row r="2440">
      <c r="B2440" s="11">
        <f>IFERROR(__xludf.DUMMYFUNCTION("""COMPUTED_VALUE"""),42486.66666666667)</f>
        <v>42486.66667</v>
      </c>
      <c r="C2440" s="9">
        <f>IFERROR(__xludf.DUMMYFUNCTION("""COMPUTED_VALUE"""),45.8)</f>
        <v>45.8</v>
      </c>
      <c r="E2440" s="17"/>
      <c r="M2440" s="17"/>
      <c r="P2440" s="17"/>
    </row>
    <row r="2441">
      <c r="B2441" s="11">
        <f>IFERROR(__xludf.DUMMYFUNCTION("""COMPUTED_VALUE"""),42485.66666666667)</f>
        <v>42485.66667</v>
      </c>
      <c r="C2441" s="9">
        <f>IFERROR(__xludf.DUMMYFUNCTION("""COMPUTED_VALUE"""),45.79)</f>
        <v>45.79</v>
      </c>
      <c r="E2441" s="17"/>
      <c r="M2441" s="17"/>
      <c r="P2441" s="17"/>
    </row>
    <row r="2442">
      <c r="B2442" s="11">
        <f>IFERROR(__xludf.DUMMYFUNCTION("""COMPUTED_VALUE"""),42482.66666666667)</f>
        <v>42482.66667</v>
      </c>
      <c r="C2442" s="9">
        <f>IFERROR(__xludf.DUMMYFUNCTION("""COMPUTED_VALUE"""),44.9)</f>
        <v>44.9</v>
      </c>
      <c r="E2442" s="17"/>
      <c r="M2442" s="17"/>
      <c r="P2442" s="17"/>
    </row>
    <row r="2443">
      <c r="B2443" s="11">
        <f>IFERROR(__xludf.DUMMYFUNCTION("""COMPUTED_VALUE"""),42481.66666666667)</f>
        <v>42481.66667</v>
      </c>
      <c r="C2443" s="9">
        <f>IFERROR(__xludf.DUMMYFUNCTION("""COMPUTED_VALUE"""),44.24)</f>
        <v>44.24</v>
      </c>
      <c r="E2443" s="17"/>
      <c r="M2443" s="17"/>
      <c r="P2443" s="17"/>
    </row>
    <row r="2444">
      <c r="B2444" s="11">
        <f>IFERROR(__xludf.DUMMYFUNCTION("""COMPUTED_VALUE"""),42480.66666666667)</f>
        <v>42480.66667</v>
      </c>
      <c r="C2444" s="9">
        <f>IFERROR(__xludf.DUMMYFUNCTION("""COMPUTED_VALUE"""),45.03)</f>
        <v>45.03</v>
      </c>
      <c r="E2444" s="17"/>
      <c r="M2444" s="17"/>
      <c r="P2444" s="17"/>
    </row>
    <row r="2445">
      <c r="B2445" s="11">
        <f>IFERROR(__xludf.DUMMYFUNCTION("""COMPUTED_VALUE"""),42479.66666666667)</f>
        <v>42479.66667</v>
      </c>
      <c r="C2445" s="9">
        <f>IFERROR(__xludf.DUMMYFUNCTION("""COMPUTED_VALUE"""),45.78)</f>
        <v>45.78</v>
      </c>
      <c r="E2445" s="17"/>
      <c r="M2445" s="17"/>
      <c r="P2445" s="17"/>
    </row>
    <row r="2446">
      <c r="B2446" s="11">
        <f>IFERROR(__xludf.DUMMYFUNCTION("""COMPUTED_VALUE"""),42478.66666666667)</f>
        <v>42478.66667</v>
      </c>
      <c r="C2446" s="9">
        <f>IFERROR(__xludf.DUMMYFUNCTION("""COMPUTED_VALUE"""),45.12)</f>
        <v>45.12</v>
      </c>
      <c r="E2446" s="17"/>
      <c r="M2446" s="17"/>
      <c r="P2446" s="17"/>
    </row>
    <row r="2447">
      <c r="B2447" s="11">
        <f>IFERROR(__xludf.DUMMYFUNCTION("""COMPUTED_VALUE"""),42475.66666666667)</f>
        <v>42475.66667</v>
      </c>
      <c r="C2447" s="9">
        <f>IFERROR(__xludf.DUMMYFUNCTION("""COMPUTED_VALUE"""),44.83)</f>
        <v>44.83</v>
      </c>
      <c r="E2447" s="17"/>
      <c r="M2447" s="17"/>
      <c r="P2447" s="17"/>
    </row>
    <row r="2448">
      <c r="B2448" s="11">
        <f>IFERROR(__xludf.DUMMYFUNCTION("""COMPUTED_VALUE"""),42474.66666666667)</f>
        <v>42474.66667</v>
      </c>
      <c r="C2448" s="9">
        <f>IFERROR(__xludf.DUMMYFUNCTION("""COMPUTED_VALUE"""),44.4)</f>
        <v>44.4</v>
      </c>
      <c r="E2448" s="17"/>
      <c r="M2448" s="17"/>
      <c r="P2448" s="17"/>
    </row>
    <row r="2449">
      <c r="B2449" s="11">
        <f>IFERROR(__xludf.DUMMYFUNCTION("""COMPUTED_VALUE"""),42473.66666666667)</f>
        <v>42473.66667</v>
      </c>
      <c r="C2449" s="9">
        <f>IFERROR(__xludf.DUMMYFUNCTION("""COMPUTED_VALUE"""),44.53)</f>
        <v>44.53</v>
      </c>
      <c r="E2449" s="17"/>
      <c r="M2449" s="17"/>
      <c r="P2449" s="17"/>
    </row>
    <row r="2450">
      <c r="B2450" s="11">
        <f>IFERROR(__xludf.DUMMYFUNCTION("""COMPUTED_VALUE"""),42472.66666666667)</f>
        <v>42472.66667</v>
      </c>
      <c r="C2450" s="9">
        <f>IFERROR(__xludf.DUMMYFUNCTION("""COMPUTED_VALUE"""),43.97)</f>
        <v>43.97</v>
      </c>
      <c r="E2450" s="17"/>
      <c r="M2450" s="17"/>
      <c r="P2450" s="17"/>
    </row>
    <row r="2451">
      <c r="B2451" s="11">
        <f>IFERROR(__xludf.DUMMYFUNCTION("""COMPUTED_VALUE"""),42471.66666666667)</f>
        <v>42471.66667</v>
      </c>
      <c r="C2451" s="9">
        <f>IFERROR(__xludf.DUMMYFUNCTION("""COMPUTED_VALUE"""),43.97)</f>
        <v>43.97</v>
      </c>
      <c r="E2451" s="17"/>
      <c r="M2451" s="17"/>
      <c r="P2451" s="17"/>
    </row>
    <row r="2452">
      <c r="B2452" s="11">
        <f>IFERROR(__xludf.DUMMYFUNCTION("""COMPUTED_VALUE"""),42468.66666666667)</f>
        <v>42468.66667</v>
      </c>
      <c r="C2452" s="9">
        <f>IFERROR(__xludf.DUMMYFUNCTION("""COMPUTED_VALUE"""),44.12)</f>
        <v>44.12</v>
      </c>
      <c r="E2452" s="17"/>
      <c r="M2452" s="17"/>
      <c r="P2452" s="17"/>
    </row>
    <row r="2453">
      <c r="B2453" s="11">
        <f>IFERROR(__xludf.DUMMYFUNCTION("""COMPUTED_VALUE"""),42467.66666666667)</f>
        <v>42467.66667</v>
      </c>
      <c r="C2453" s="9">
        <f>IFERROR(__xludf.DUMMYFUNCTION("""COMPUTED_VALUE"""),43.65)</f>
        <v>43.65</v>
      </c>
      <c r="E2453" s="17"/>
      <c r="M2453" s="17"/>
      <c r="P2453" s="17"/>
    </row>
    <row r="2454">
      <c r="B2454" s="11">
        <f>IFERROR(__xludf.DUMMYFUNCTION("""COMPUTED_VALUE"""),42466.66666666667)</f>
        <v>42466.66667</v>
      </c>
      <c r="C2454" s="9">
        <f>IFERROR(__xludf.DUMMYFUNCTION("""COMPUTED_VALUE"""),44.05)</f>
        <v>44.05</v>
      </c>
      <c r="E2454" s="17"/>
      <c r="M2454" s="17"/>
      <c r="P2454" s="17"/>
    </row>
    <row r="2455">
      <c r="B2455" s="11">
        <f>IFERROR(__xludf.DUMMYFUNCTION("""COMPUTED_VALUE"""),42465.66666666667)</f>
        <v>42465.66667</v>
      </c>
      <c r="C2455" s="9">
        <f>IFERROR(__xludf.DUMMYFUNCTION("""COMPUTED_VALUE"""),44.12)</f>
        <v>44.12</v>
      </c>
      <c r="E2455" s="17"/>
      <c r="M2455" s="17"/>
      <c r="P2455" s="17"/>
    </row>
    <row r="2456">
      <c r="B2456" s="11">
        <f>IFERROR(__xludf.DUMMYFUNCTION("""COMPUTED_VALUE"""),42464.66666666667)</f>
        <v>42464.66667</v>
      </c>
      <c r="C2456" s="9">
        <f>IFERROR(__xludf.DUMMYFUNCTION("""COMPUTED_VALUE"""),44.39)</f>
        <v>44.39</v>
      </c>
      <c r="E2456" s="17"/>
      <c r="M2456" s="17"/>
      <c r="P2456" s="17"/>
    </row>
    <row r="2457">
      <c r="B2457" s="11">
        <f>IFERROR(__xludf.DUMMYFUNCTION("""COMPUTED_VALUE"""),42461.66666666667)</f>
        <v>42461.66667</v>
      </c>
      <c r="C2457" s="9">
        <f>IFERROR(__xludf.DUMMYFUNCTION("""COMPUTED_VALUE"""),44.62)</f>
        <v>44.62</v>
      </c>
      <c r="E2457" s="17"/>
      <c r="M2457" s="17"/>
      <c r="P2457" s="17"/>
    </row>
    <row r="2458">
      <c r="B2458" s="11">
        <f>IFERROR(__xludf.DUMMYFUNCTION("""COMPUTED_VALUE"""),42460.66666666667)</f>
        <v>42460.66667</v>
      </c>
      <c r="C2458" s="9">
        <f>IFERROR(__xludf.DUMMYFUNCTION("""COMPUTED_VALUE"""),44.18)</f>
        <v>44.18</v>
      </c>
      <c r="E2458" s="17"/>
      <c r="M2458" s="17"/>
      <c r="P2458" s="17"/>
    </row>
    <row r="2459">
      <c r="B2459" s="11">
        <f>IFERROR(__xludf.DUMMYFUNCTION("""COMPUTED_VALUE"""),42459.66666666667)</f>
        <v>42459.66667</v>
      </c>
      <c r="C2459" s="9">
        <f>IFERROR(__xludf.DUMMYFUNCTION("""COMPUTED_VALUE"""),43.67)</f>
        <v>43.67</v>
      </c>
      <c r="E2459" s="17"/>
      <c r="M2459" s="17"/>
      <c r="P2459" s="17"/>
    </row>
    <row r="2460">
      <c r="B2460" s="11">
        <f>IFERROR(__xludf.DUMMYFUNCTION("""COMPUTED_VALUE"""),42458.66666666667)</f>
        <v>42458.66667</v>
      </c>
      <c r="C2460" s="9">
        <f>IFERROR(__xludf.DUMMYFUNCTION("""COMPUTED_VALUE"""),43.84)</f>
        <v>43.84</v>
      </c>
      <c r="E2460" s="17"/>
      <c r="M2460" s="17"/>
      <c r="P2460" s="17"/>
    </row>
    <row r="2461">
      <c r="B2461" s="11">
        <f>IFERROR(__xludf.DUMMYFUNCTION("""COMPUTED_VALUE"""),42457.66666666667)</f>
        <v>42457.66667</v>
      </c>
      <c r="C2461" s="9">
        <f>IFERROR(__xludf.DUMMYFUNCTION("""COMPUTED_VALUE"""),42.95)</f>
        <v>42.95</v>
      </c>
      <c r="E2461" s="17"/>
      <c r="M2461" s="17"/>
      <c r="P2461" s="17"/>
    </row>
    <row r="2462">
      <c r="B2462" s="11">
        <f>IFERROR(__xludf.DUMMYFUNCTION("""COMPUTED_VALUE"""),42453.66666666667)</f>
        <v>42453.66667</v>
      </c>
      <c r="C2462" s="9">
        <f>IFERROR(__xludf.DUMMYFUNCTION("""COMPUTED_VALUE"""),42.32)</f>
        <v>42.32</v>
      </c>
      <c r="E2462" s="17"/>
      <c r="M2462" s="17"/>
      <c r="P2462" s="17"/>
    </row>
    <row r="2463">
      <c r="B2463" s="11">
        <f>IFERROR(__xludf.DUMMYFUNCTION("""COMPUTED_VALUE"""),42452.66666666667)</f>
        <v>42452.66667</v>
      </c>
      <c r="C2463" s="9">
        <f>IFERROR(__xludf.DUMMYFUNCTION("""COMPUTED_VALUE"""),42.18)</f>
        <v>42.18</v>
      </c>
      <c r="E2463" s="17"/>
      <c r="M2463" s="17"/>
      <c r="P2463" s="17"/>
    </row>
    <row r="2464">
      <c r="B2464" s="11">
        <f>IFERROR(__xludf.DUMMYFUNCTION("""COMPUTED_VALUE"""),42451.66666666667)</f>
        <v>42451.66667</v>
      </c>
      <c r="C2464" s="9">
        <f>IFERROR(__xludf.DUMMYFUNCTION("""COMPUTED_VALUE"""),42.56)</f>
        <v>42.56</v>
      </c>
      <c r="E2464" s="17"/>
      <c r="M2464" s="17"/>
      <c r="P2464" s="17"/>
    </row>
    <row r="2465">
      <c r="B2465" s="11">
        <f>IFERROR(__xludf.DUMMYFUNCTION("""COMPUTED_VALUE"""),42450.66666666667)</f>
        <v>42450.66667</v>
      </c>
      <c r="C2465" s="9">
        <f>IFERROR(__xludf.DUMMYFUNCTION("""COMPUTED_VALUE"""),42.61)</f>
        <v>42.61</v>
      </c>
      <c r="E2465" s="17"/>
      <c r="M2465" s="17"/>
      <c r="P2465" s="17"/>
    </row>
    <row r="2466">
      <c r="B2466" s="11">
        <f>IFERROR(__xludf.DUMMYFUNCTION("""COMPUTED_VALUE"""),42447.66666666667)</f>
        <v>42447.66667</v>
      </c>
      <c r="C2466" s="9">
        <f>IFERROR(__xludf.DUMMYFUNCTION("""COMPUTED_VALUE"""),42.75)</f>
        <v>42.75</v>
      </c>
      <c r="E2466" s="17"/>
      <c r="M2466" s="17"/>
      <c r="P2466" s="17"/>
    </row>
    <row r="2467">
      <c r="B2467" s="11">
        <f>IFERROR(__xludf.DUMMYFUNCTION("""COMPUTED_VALUE"""),42446.66666666667)</f>
        <v>42446.66667</v>
      </c>
      <c r="C2467" s="9">
        <f>IFERROR(__xludf.DUMMYFUNCTION("""COMPUTED_VALUE"""),42.97)</f>
        <v>42.97</v>
      </c>
      <c r="E2467" s="17"/>
      <c r="M2467" s="17"/>
      <c r="P2467" s="17"/>
    </row>
    <row r="2468">
      <c r="B2468" s="11">
        <f>IFERROR(__xludf.DUMMYFUNCTION("""COMPUTED_VALUE"""),42445.66666666667)</f>
        <v>42445.66667</v>
      </c>
      <c r="C2468" s="9">
        <f>IFERROR(__xludf.DUMMYFUNCTION("""COMPUTED_VALUE"""),42.33)</f>
        <v>42.33</v>
      </c>
      <c r="E2468" s="17"/>
      <c r="M2468" s="17"/>
      <c r="P2468" s="17"/>
    </row>
    <row r="2469">
      <c r="B2469" s="11">
        <f>IFERROR(__xludf.DUMMYFUNCTION("""COMPUTED_VALUE"""),42444.66666666667)</f>
        <v>42444.66667</v>
      </c>
      <c r="C2469" s="9">
        <f>IFERROR(__xludf.DUMMYFUNCTION("""COMPUTED_VALUE"""),42.35)</f>
        <v>42.35</v>
      </c>
      <c r="E2469" s="17"/>
      <c r="M2469" s="17"/>
      <c r="P2469" s="17"/>
    </row>
    <row r="2470">
      <c r="B2470" s="11">
        <f>IFERROR(__xludf.DUMMYFUNCTION("""COMPUTED_VALUE"""),42443.66666666667)</f>
        <v>42443.66667</v>
      </c>
      <c r="C2470" s="9">
        <f>IFERROR(__xludf.DUMMYFUNCTION("""COMPUTED_VALUE"""),42.39)</f>
        <v>42.39</v>
      </c>
      <c r="E2470" s="17"/>
      <c r="M2470" s="17"/>
      <c r="P2470" s="17"/>
    </row>
    <row r="2471">
      <c r="B2471" s="11">
        <f>IFERROR(__xludf.DUMMYFUNCTION("""COMPUTED_VALUE"""),42440.66666666667)</f>
        <v>42440.66667</v>
      </c>
      <c r="C2471" s="9">
        <f>IFERROR(__xludf.DUMMYFUNCTION("""COMPUTED_VALUE"""),42.49)</f>
        <v>42.49</v>
      </c>
      <c r="E2471" s="17"/>
      <c r="M2471" s="17"/>
      <c r="P2471" s="17"/>
    </row>
    <row r="2472">
      <c r="B2472" s="11">
        <f>IFERROR(__xludf.DUMMYFUNCTION("""COMPUTED_VALUE"""),42439.66666666667)</f>
        <v>42439.66667</v>
      </c>
      <c r="C2472" s="9">
        <f>IFERROR(__xludf.DUMMYFUNCTION("""COMPUTED_VALUE"""),41.4)</f>
        <v>41.4</v>
      </c>
      <c r="E2472" s="17"/>
      <c r="M2472" s="17"/>
      <c r="P2472" s="17"/>
    </row>
    <row r="2473">
      <c r="B2473" s="11">
        <f>IFERROR(__xludf.DUMMYFUNCTION("""COMPUTED_VALUE"""),42438.66666666667)</f>
        <v>42438.66667</v>
      </c>
      <c r="C2473" s="9">
        <f>IFERROR(__xludf.DUMMYFUNCTION("""COMPUTED_VALUE"""),41.72)</f>
        <v>41.72</v>
      </c>
      <c r="E2473" s="17"/>
      <c r="M2473" s="17"/>
      <c r="P2473" s="17"/>
    </row>
    <row r="2474">
      <c r="B2474" s="11">
        <f>IFERROR(__xludf.DUMMYFUNCTION("""COMPUTED_VALUE"""),42437.66666666667)</f>
        <v>42437.66667</v>
      </c>
      <c r="C2474" s="9">
        <f>IFERROR(__xludf.DUMMYFUNCTION("""COMPUTED_VALUE"""),41.34)</f>
        <v>41.34</v>
      </c>
      <c r="E2474" s="17"/>
      <c r="M2474" s="17"/>
      <c r="P2474" s="17"/>
    </row>
    <row r="2475">
      <c r="B2475" s="11">
        <f>IFERROR(__xludf.DUMMYFUNCTION("""COMPUTED_VALUE"""),42436.66666666667)</f>
        <v>42436.66667</v>
      </c>
      <c r="C2475" s="9">
        <f>IFERROR(__xludf.DUMMYFUNCTION("""COMPUTED_VALUE"""),41.6)</f>
        <v>41.6</v>
      </c>
      <c r="E2475" s="17"/>
      <c r="M2475" s="17"/>
      <c r="P2475" s="17"/>
    </row>
    <row r="2476">
      <c r="B2476" s="11">
        <f>IFERROR(__xludf.DUMMYFUNCTION("""COMPUTED_VALUE"""),42433.66666666667)</f>
        <v>42433.66667</v>
      </c>
      <c r="C2476" s="9">
        <f>IFERROR(__xludf.DUMMYFUNCTION("""COMPUTED_VALUE"""),41.49)</f>
        <v>41.49</v>
      </c>
      <c r="E2476" s="17"/>
      <c r="M2476" s="17"/>
      <c r="P2476" s="17"/>
    </row>
    <row r="2477">
      <c r="B2477" s="11">
        <f>IFERROR(__xludf.DUMMYFUNCTION("""COMPUTED_VALUE"""),42432.66666666667)</f>
        <v>42432.66667</v>
      </c>
      <c r="C2477" s="9">
        <f>IFERROR(__xludf.DUMMYFUNCTION("""COMPUTED_VALUE"""),41.02)</f>
        <v>41.02</v>
      </c>
      <c r="E2477" s="17"/>
      <c r="M2477" s="17"/>
      <c r="P2477" s="17"/>
    </row>
    <row r="2478">
      <c r="B2478" s="11">
        <f>IFERROR(__xludf.DUMMYFUNCTION("""COMPUTED_VALUE"""),42431.66666666667)</f>
        <v>42431.66667</v>
      </c>
      <c r="C2478" s="9">
        <f>IFERROR(__xludf.DUMMYFUNCTION("""COMPUTED_VALUE"""),40.47)</f>
        <v>40.47</v>
      </c>
      <c r="E2478" s="17"/>
      <c r="M2478" s="17"/>
      <c r="P2478" s="17"/>
    </row>
    <row r="2479">
      <c r="B2479" s="11">
        <f>IFERROR(__xludf.DUMMYFUNCTION("""COMPUTED_VALUE"""),42430.66666666667)</f>
        <v>42430.66667</v>
      </c>
      <c r="C2479" s="9">
        <f>IFERROR(__xludf.DUMMYFUNCTION("""COMPUTED_VALUE"""),40.28)</f>
        <v>40.28</v>
      </c>
      <c r="E2479" s="17"/>
      <c r="M2479" s="17"/>
      <c r="P2479" s="17"/>
    </row>
    <row r="2480">
      <c r="B2480" s="11">
        <f>IFERROR(__xludf.DUMMYFUNCTION("""COMPUTED_VALUE"""),42429.66666666667)</f>
        <v>42429.66667</v>
      </c>
      <c r="C2480" s="9">
        <f>IFERROR(__xludf.DUMMYFUNCTION("""COMPUTED_VALUE"""),38.46)</f>
        <v>38.46</v>
      </c>
      <c r="E2480" s="17"/>
      <c r="M2480" s="17"/>
      <c r="P2480" s="17"/>
    </row>
    <row r="2481">
      <c r="B2481" s="11">
        <f>IFERROR(__xludf.DUMMYFUNCTION("""COMPUTED_VALUE"""),42426.66666666667)</f>
        <v>42426.66667</v>
      </c>
      <c r="C2481" s="9">
        <f>IFERROR(__xludf.DUMMYFUNCTION("""COMPUTED_VALUE"""),38.61)</f>
        <v>38.61</v>
      </c>
      <c r="E2481" s="17"/>
      <c r="M2481" s="17"/>
      <c r="P2481" s="17"/>
    </row>
    <row r="2482">
      <c r="B2482" s="11">
        <f>IFERROR(__xludf.DUMMYFUNCTION("""COMPUTED_VALUE"""),42425.66666666667)</f>
        <v>42425.66667</v>
      </c>
      <c r="C2482" s="9">
        <f>IFERROR(__xludf.DUMMYFUNCTION("""COMPUTED_VALUE"""),39.07)</f>
        <v>39.07</v>
      </c>
      <c r="E2482" s="17"/>
      <c r="M2482" s="17"/>
      <c r="P2482" s="17"/>
    </row>
    <row r="2483">
      <c r="B2483" s="11">
        <f>IFERROR(__xludf.DUMMYFUNCTION("""COMPUTED_VALUE"""),42424.66666666667)</f>
        <v>42424.66667</v>
      </c>
      <c r="C2483" s="9">
        <f>IFERROR(__xludf.DUMMYFUNCTION("""COMPUTED_VALUE"""),38.17)</f>
        <v>38.17</v>
      </c>
      <c r="E2483" s="17"/>
      <c r="M2483" s="17"/>
      <c r="P2483" s="17"/>
    </row>
    <row r="2484">
      <c r="B2484" s="11">
        <f>IFERROR(__xludf.DUMMYFUNCTION("""COMPUTED_VALUE"""),42423.66666666667)</f>
        <v>42423.66667</v>
      </c>
      <c r="C2484" s="9">
        <f>IFERROR(__xludf.DUMMYFUNCTION("""COMPUTED_VALUE"""),37.91)</f>
        <v>37.91</v>
      </c>
      <c r="E2484" s="17"/>
      <c r="M2484" s="17"/>
      <c r="P2484" s="17"/>
    </row>
    <row r="2485">
      <c r="B2485" s="11">
        <f>IFERROR(__xludf.DUMMYFUNCTION("""COMPUTED_VALUE"""),42422.66666666667)</f>
        <v>42422.66667</v>
      </c>
      <c r="C2485" s="9">
        <f>IFERROR(__xludf.DUMMYFUNCTION("""COMPUTED_VALUE"""),37.71)</f>
        <v>37.71</v>
      </c>
      <c r="E2485" s="17"/>
      <c r="M2485" s="17"/>
      <c r="P2485" s="17"/>
    </row>
    <row r="2486">
      <c r="B2486" s="11">
        <f>IFERROR(__xludf.DUMMYFUNCTION("""COMPUTED_VALUE"""),42419.66666666667)</f>
        <v>42419.66667</v>
      </c>
      <c r="C2486" s="9">
        <f>IFERROR(__xludf.DUMMYFUNCTION("""COMPUTED_VALUE"""),37.33)</f>
        <v>37.33</v>
      </c>
      <c r="E2486" s="17"/>
      <c r="M2486" s="17"/>
      <c r="P2486" s="17"/>
    </row>
    <row r="2487">
      <c r="B2487" s="11">
        <f>IFERROR(__xludf.DUMMYFUNCTION("""COMPUTED_VALUE"""),42418.66666666667)</f>
        <v>42418.66667</v>
      </c>
      <c r="C2487" s="9">
        <f>IFERROR(__xludf.DUMMYFUNCTION("""COMPUTED_VALUE"""),37.67)</f>
        <v>37.67</v>
      </c>
      <c r="E2487" s="17"/>
      <c r="M2487" s="17"/>
      <c r="P2487" s="17"/>
    </row>
    <row r="2488">
      <c r="B2488" s="11">
        <f>IFERROR(__xludf.DUMMYFUNCTION("""COMPUTED_VALUE"""),42417.66666666667)</f>
        <v>42417.66667</v>
      </c>
      <c r="C2488" s="9">
        <f>IFERROR(__xludf.DUMMYFUNCTION("""COMPUTED_VALUE"""),37.46)</f>
        <v>37.46</v>
      </c>
      <c r="E2488" s="17"/>
      <c r="M2488" s="17"/>
      <c r="P2488" s="17"/>
    </row>
    <row r="2489">
      <c r="B2489" s="11">
        <f>IFERROR(__xludf.DUMMYFUNCTION("""COMPUTED_VALUE"""),42416.66666666667)</f>
        <v>42416.66667</v>
      </c>
      <c r="C2489" s="9">
        <f>IFERROR(__xludf.DUMMYFUNCTION("""COMPUTED_VALUE"""),37.16)</f>
        <v>37.16</v>
      </c>
      <c r="E2489" s="17"/>
      <c r="M2489" s="17"/>
      <c r="P2489" s="17"/>
    </row>
    <row r="2490">
      <c r="B2490" s="11">
        <f>IFERROR(__xludf.DUMMYFUNCTION("""COMPUTED_VALUE"""),42412.66666666667)</f>
        <v>42412.66667</v>
      </c>
      <c r="C2490" s="9">
        <f>IFERROR(__xludf.DUMMYFUNCTION("""COMPUTED_VALUE"""),36.07)</f>
        <v>36.07</v>
      </c>
      <c r="E2490" s="17"/>
      <c r="M2490" s="17"/>
      <c r="P2490" s="17"/>
    </row>
    <row r="2491">
      <c r="B2491" s="11">
        <f>IFERROR(__xludf.DUMMYFUNCTION("""COMPUTED_VALUE"""),42411.66666666667)</f>
        <v>42411.66667</v>
      </c>
      <c r="C2491" s="9">
        <f>IFERROR(__xludf.DUMMYFUNCTION("""COMPUTED_VALUE"""),35.57)</f>
        <v>35.57</v>
      </c>
      <c r="E2491" s="17"/>
      <c r="M2491" s="17"/>
      <c r="P2491" s="17"/>
    </row>
    <row r="2492">
      <c r="B2492" s="11">
        <f>IFERROR(__xludf.DUMMYFUNCTION("""COMPUTED_VALUE"""),42410.66666666667)</f>
        <v>42410.66667</v>
      </c>
      <c r="C2492" s="9">
        <f>IFERROR(__xludf.DUMMYFUNCTION("""COMPUTED_VALUE"""),37.3)</f>
        <v>37.3</v>
      </c>
      <c r="E2492" s="17"/>
      <c r="M2492" s="17"/>
      <c r="P2492" s="17"/>
    </row>
    <row r="2493">
      <c r="B2493" s="11">
        <f>IFERROR(__xludf.DUMMYFUNCTION("""COMPUTED_VALUE"""),42409.66666666667)</f>
        <v>42409.66667</v>
      </c>
      <c r="C2493" s="9">
        <f>IFERROR(__xludf.DUMMYFUNCTION("""COMPUTED_VALUE"""),37.4)</f>
        <v>37.4</v>
      </c>
      <c r="E2493" s="17"/>
      <c r="M2493" s="17"/>
      <c r="P2493" s="17"/>
    </row>
    <row r="2494">
      <c r="B2494" s="11">
        <f>IFERROR(__xludf.DUMMYFUNCTION("""COMPUTED_VALUE"""),42408.66666666667)</f>
        <v>42408.66667</v>
      </c>
      <c r="C2494" s="9">
        <f>IFERROR(__xludf.DUMMYFUNCTION("""COMPUTED_VALUE"""),37.65)</f>
        <v>37.65</v>
      </c>
      <c r="E2494" s="17"/>
      <c r="M2494" s="17"/>
      <c r="P2494" s="17"/>
    </row>
    <row r="2495">
      <c r="B2495" s="11">
        <f>IFERROR(__xludf.DUMMYFUNCTION("""COMPUTED_VALUE"""),42405.66666666667)</f>
        <v>42405.66667</v>
      </c>
      <c r="C2495" s="9">
        <f>IFERROR(__xludf.DUMMYFUNCTION("""COMPUTED_VALUE"""),39.24)</f>
        <v>39.24</v>
      </c>
      <c r="E2495" s="17"/>
      <c r="M2495" s="17"/>
      <c r="P2495" s="17"/>
    </row>
    <row r="2496">
      <c r="B2496" s="11">
        <f>IFERROR(__xludf.DUMMYFUNCTION("""COMPUTED_VALUE"""),42404.66666666667)</f>
        <v>42404.66667</v>
      </c>
      <c r="C2496" s="9">
        <f>IFERROR(__xludf.DUMMYFUNCTION("""COMPUTED_VALUE"""),39.58)</f>
        <v>39.58</v>
      </c>
      <c r="E2496" s="17"/>
      <c r="M2496" s="17"/>
      <c r="P2496" s="17"/>
    </row>
    <row r="2497">
      <c r="B2497" s="11">
        <f>IFERROR(__xludf.DUMMYFUNCTION("""COMPUTED_VALUE"""),42403.66666666667)</f>
        <v>42403.66667</v>
      </c>
      <c r="C2497" s="9">
        <f>IFERROR(__xludf.DUMMYFUNCTION("""COMPUTED_VALUE"""),39.52)</f>
        <v>39.52</v>
      </c>
      <c r="E2497" s="17"/>
      <c r="M2497" s="17"/>
      <c r="P2497" s="17"/>
    </row>
    <row r="2498">
      <c r="B2498" s="11">
        <f>IFERROR(__xludf.DUMMYFUNCTION("""COMPUTED_VALUE"""),42402.66666666667)</f>
        <v>42402.66667</v>
      </c>
      <c r="C2498" s="9">
        <f>IFERROR(__xludf.DUMMYFUNCTION("""COMPUTED_VALUE"""),39.27)</f>
        <v>39.27</v>
      </c>
      <c r="E2498" s="17"/>
      <c r="M2498" s="17"/>
      <c r="P2498" s="17"/>
    </row>
    <row r="2499">
      <c r="B2499" s="11">
        <f>IFERROR(__xludf.DUMMYFUNCTION("""COMPUTED_VALUE"""),42401.66666666667)</f>
        <v>42401.66667</v>
      </c>
      <c r="C2499" s="9">
        <f>IFERROR(__xludf.DUMMYFUNCTION("""COMPUTED_VALUE"""),39.47)</f>
        <v>39.47</v>
      </c>
      <c r="E2499" s="17"/>
      <c r="M2499" s="17"/>
      <c r="P2499" s="17"/>
    </row>
    <row r="2500">
      <c r="B2500" s="11">
        <f>IFERROR(__xludf.DUMMYFUNCTION("""COMPUTED_VALUE"""),42398.66666666667)</f>
        <v>42398.66667</v>
      </c>
      <c r="C2500" s="9">
        <f>IFERROR(__xludf.DUMMYFUNCTION("""COMPUTED_VALUE"""),39.47)</f>
        <v>39.47</v>
      </c>
      <c r="E2500" s="17"/>
      <c r="M2500" s="17"/>
      <c r="P2500" s="17"/>
    </row>
    <row r="2501">
      <c r="B2501" s="11">
        <f>IFERROR(__xludf.DUMMYFUNCTION("""COMPUTED_VALUE"""),42397.66666666667)</f>
        <v>42397.66667</v>
      </c>
      <c r="C2501" s="9">
        <f>IFERROR(__xludf.DUMMYFUNCTION("""COMPUTED_VALUE"""),38.88)</f>
        <v>38.88</v>
      </c>
      <c r="E2501" s="17"/>
      <c r="M2501" s="17"/>
      <c r="P2501" s="17"/>
    </row>
    <row r="2502">
      <c r="B2502" s="11">
        <f>IFERROR(__xludf.DUMMYFUNCTION("""COMPUTED_VALUE"""),42396.66666666667)</f>
        <v>42396.66667</v>
      </c>
      <c r="C2502" s="9">
        <f>IFERROR(__xludf.DUMMYFUNCTION("""COMPUTED_VALUE"""),39.47)</f>
        <v>39.47</v>
      </c>
      <c r="E2502" s="17"/>
      <c r="M2502" s="17"/>
      <c r="P2502" s="17"/>
    </row>
    <row r="2503">
      <c r="B2503" s="11">
        <f>IFERROR(__xludf.DUMMYFUNCTION("""COMPUTED_VALUE"""),42395.66666666667)</f>
        <v>42395.66667</v>
      </c>
      <c r="C2503" s="9">
        <f>IFERROR(__xludf.DUMMYFUNCTION("""COMPUTED_VALUE"""),39.85)</f>
        <v>39.85</v>
      </c>
      <c r="E2503" s="17"/>
      <c r="M2503" s="17"/>
      <c r="P2503" s="17"/>
    </row>
    <row r="2504">
      <c r="B2504" s="11">
        <f>IFERROR(__xludf.DUMMYFUNCTION("""COMPUTED_VALUE"""),42394.66666666667)</f>
        <v>42394.66667</v>
      </c>
      <c r="C2504" s="9">
        <f>IFERROR(__xludf.DUMMYFUNCTION("""COMPUTED_VALUE"""),38.22)</f>
        <v>38.22</v>
      </c>
      <c r="E2504" s="17"/>
      <c r="M2504" s="17"/>
      <c r="P2504" s="17"/>
    </row>
    <row r="2505">
      <c r="B2505" s="11">
        <f>IFERROR(__xludf.DUMMYFUNCTION("""COMPUTED_VALUE"""),42391.66666666667)</f>
        <v>42391.66667</v>
      </c>
      <c r="C2505" s="9">
        <f>IFERROR(__xludf.DUMMYFUNCTION("""COMPUTED_VALUE"""),38.59)</f>
        <v>38.59</v>
      </c>
      <c r="E2505" s="17"/>
      <c r="M2505" s="17"/>
      <c r="P2505" s="17"/>
    </row>
    <row r="2506">
      <c r="B2506" s="11">
        <f>IFERROR(__xludf.DUMMYFUNCTION("""COMPUTED_VALUE"""),42390.66666666667)</f>
        <v>42390.66667</v>
      </c>
      <c r="C2506" s="9">
        <f>IFERROR(__xludf.DUMMYFUNCTION("""COMPUTED_VALUE"""),37.73)</f>
        <v>37.73</v>
      </c>
      <c r="E2506" s="17"/>
      <c r="M2506" s="17"/>
      <c r="P2506" s="17"/>
    </row>
    <row r="2507">
      <c r="B2507" s="11">
        <f>IFERROR(__xludf.DUMMYFUNCTION("""COMPUTED_VALUE"""),42389.66666666667)</f>
        <v>42389.66667</v>
      </c>
      <c r="C2507" s="9">
        <f>IFERROR(__xludf.DUMMYFUNCTION("""COMPUTED_VALUE"""),37.41)</f>
        <v>37.41</v>
      </c>
      <c r="E2507" s="17"/>
      <c r="M2507" s="17"/>
      <c r="P2507" s="17"/>
    </row>
    <row r="2508">
      <c r="B2508" s="11">
        <f>IFERROR(__xludf.DUMMYFUNCTION("""COMPUTED_VALUE"""),42388.66666666667)</f>
        <v>42388.66667</v>
      </c>
      <c r="C2508" s="9">
        <f>IFERROR(__xludf.DUMMYFUNCTION("""COMPUTED_VALUE"""),39.04)</f>
        <v>39.04</v>
      </c>
      <c r="E2508" s="17"/>
      <c r="M2508" s="17"/>
      <c r="P2508" s="17"/>
    </row>
    <row r="2509">
      <c r="B2509" s="11">
        <f>IFERROR(__xludf.DUMMYFUNCTION("""COMPUTED_VALUE"""),42384.66666666667)</f>
        <v>42384.66667</v>
      </c>
      <c r="C2509" s="9">
        <f>IFERROR(__xludf.DUMMYFUNCTION("""COMPUTED_VALUE"""),38.81)</f>
        <v>38.81</v>
      </c>
      <c r="E2509" s="17"/>
      <c r="M2509" s="17"/>
      <c r="P2509" s="17"/>
    </row>
    <row r="2510">
      <c r="B2510" s="11">
        <f>IFERROR(__xludf.DUMMYFUNCTION("""COMPUTED_VALUE"""),42383.66666666667)</f>
        <v>42383.66667</v>
      </c>
      <c r="C2510" s="9">
        <f>IFERROR(__xludf.DUMMYFUNCTION("""COMPUTED_VALUE"""),39.65)</f>
        <v>39.65</v>
      </c>
      <c r="E2510" s="17"/>
      <c r="M2510" s="17"/>
      <c r="P2510" s="17"/>
    </row>
    <row r="2511">
      <c r="B2511" s="11">
        <f>IFERROR(__xludf.DUMMYFUNCTION("""COMPUTED_VALUE"""),42382.66666666667)</f>
        <v>42382.66667</v>
      </c>
      <c r="C2511" s="9">
        <f>IFERROR(__xludf.DUMMYFUNCTION("""COMPUTED_VALUE"""),40.5)</f>
        <v>40.5</v>
      </c>
      <c r="E2511" s="17"/>
      <c r="M2511" s="17"/>
      <c r="P2511" s="17"/>
    </row>
    <row r="2512">
      <c r="B2512" s="11">
        <f>IFERROR(__xludf.DUMMYFUNCTION("""COMPUTED_VALUE"""),42381.66666666667)</f>
        <v>42381.66667</v>
      </c>
      <c r="C2512" s="9">
        <f>IFERROR(__xludf.DUMMYFUNCTION("""COMPUTED_VALUE"""),40.69)</f>
        <v>40.69</v>
      </c>
      <c r="E2512" s="17"/>
      <c r="M2512" s="17"/>
      <c r="P2512" s="17"/>
    </row>
    <row r="2513">
      <c r="B2513" s="11">
        <f>IFERROR(__xludf.DUMMYFUNCTION("""COMPUTED_VALUE"""),42380.66666666667)</f>
        <v>42380.66667</v>
      </c>
      <c r="C2513" s="9">
        <f>IFERROR(__xludf.DUMMYFUNCTION("""COMPUTED_VALUE"""),41.02)</f>
        <v>41.02</v>
      </c>
      <c r="E2513" s="17"/>
      <c r="M2513" s="17"/>
      <c r="P2513" s="17"/>
    </row>
    <row r="2514">
      <c r="B2514" s="11">
        <f>IFERROR(__xludf.DUMMYFUNCTION("""COMPUTED_VALUE"""),42377.66666666667)</f>
        <v>42377.66667</v>
      </c>
      <c r="C2514" s="9">
        <f>IFERROR(__xludf.DUMMYFUNCTION("""COMPUTED_VALUE"""),41.07)</f>
        <v>41.07</v>
      </c>
      <c r="E2514" s="17"/>
      <c r="M2514" s="17"/>
      <c r="P2514" s="17"/>
    </row>
    <row r="2515">
      <c r="B2515" s="11">
        <f>IFERROR(__xludf.DUMMYFUNCTION("""COMPUTED_VALUE"""),42376.66666666667)</f>
        <v>42376.66667</v>
      </c>
      <c r="C2515" s="9">
        <f>IFERROR(__xludf.DUMMYFUNCTION("""COMPUTED_VALUE"""),41.44)</f>
        <v>41.44</v>
      </c>
      <c r="E2515" s="17"/>
      <c r="M2515" s="17"/>
      <c r="P2515" s="17"/>
    </row>
    <row r="2516">
      <c r="B2516" s="11">
        <f>IFERROR(__xludf.DUMMYFUNCTION("""COMPUTED_VALUE"""),42375.66666666667)</f>
        <v>42375.66667</v>
      </c>
      <c r="C2516" s="9">
        <f>IFERROR(__xludf.DUMMYFUNCTION("""COMPUTED_VALUE"""),42.55)</f>
        <v>42.55</v>
      </c>
      <c r="E2516" s="17"/>
      <c r="M2516" s="17"/>
      <c r="P2516" s="17"/>
    </row>
    <row r="2517">
      <c r="B2517" s="11">
        <f>IFERROR(__xludf.DUMMYFUNCTION("""COMPUTED_VALUE"""),42374.66666666667)</f>
        <v>42374.66667</v>
      </c>
      <c r="C2517" s="9">
        <f>IFERROR(__xludf.DUMMYFUNCTION("""COMPUTED_VALUE"""),42.78)</f>
        <v>42.78</v>
      </c>
      <c r="E2517" s="17"/>
      <c r="M2517" s="17"/>
      <c r="P2517" s="17"/>
    </row>
    <row r="2518">
      <c r="B2518" s="11">
        <f>IFERROR(__xludf.DUMMYFUNCTION("""COMPUTED_VALUE"""),42373.66666666667)</f>
        <v>42373.66667</v>
      </c>
      <c r="C2518" s="9">
        <f>IFERROR(__xludf.DUMMYFUNCTION("""COMPUTED_VALUE"""),41.9)</f>
        <v>41.9</v>
      </c>
      <c r="E2518" s="17"/>
      <c r="M2518" s="17"/>
      <c r="P2518" s="17"/>
    </row>
    <row r="2519">
      <c r="B2519" s="11">
        <f>IFERROR(__xludf.DUMMYFUNCTION("""COMPUTED_VALUE"""),42369.66666666667)</f>
        <v>42369.66667</v>
      </c>
      <c r="C2519" s="9">
        <f>IFERROR(__xludf.DUMMYFUNCTION("""COMPUTED_VALUE"""),42.92)</f>
        <v>42.92</v>
      </c>
      <c r="E2519" s="17"/>
      <c r="M2519" s="17"/>
      <c r="P2519" s="17"/>
    </row>
    <row r="2520">
      <c r="B2520" s="11">
        <f>IFERROR(__xludf.DUMMYFUNCTION("""COMPUTED_VALUE"""),42368.66666666667)</f>
        <v>42368.66667</v>
      </c>
      <c r="C2520" s="9">
        <f>IFERROR(__xludf.DUMMYFUNCTION("""COMPUTED_VALUE"""),43.24)</f>
        <v>43.24</v>
      </c>
      <c r="E2520" s="17"/>
      <c r="M2520" s="17"/>
      <c r="P2520" s="17"/>
    </row>
    <row r="2521">
      <c r="B2521" s="11">
        <f>IFERROR(__xludf.DUMMYFUNCTION("""COMPUTED_VALUE"""),42367.66666666667)</f>
        <v>42367.66667</v>
      </c>
      <c r="C2521" s="9">
        <f>IFERROR(__xludf.DUMMYFUNCTION("""COMPUTED_VALUE"""),43.57)</f>
        <v>43.57</v>
      </c>
      <c r="E2521" s="17"/>
      <c r="M2521" s="17"/>
      <c r="P2521" s="17"/>
    </row>
    <row r="2522">
      <c r="B2522" s="11">
        <f>IFERROR(__xludf.DUMMYFUNCTION("""COMPUTED_VALUE"""),42366.66666666667)</f>
        <v>42366.66667</v>
      </c>
      <c r="C2522" s="9">
        <f>IFERROR(__xludf.DUMMYFUNCTION("""COMPUTED_VALUE"""),42.91)</f>
        <v>42.91</v>
      </c>
      <c r="E2522" s="17"/>
      <c r="M2522" s="17"/>
      <c r="P2522" s="17"/>
    </row>
    <row r="2523">
      <c r="B2523" s="11">
        <f>IFERROR(__xludf.DUMMYFUNCTION("""COMPUTED_VALUE"""),42362.66666666667)</f>
        <v>42362.66667</v>
      </c>
      <c r="C2523" s="9">
        <f>IFERROR(__xludf.DUMMYFUNCTION("""COMPUTED_VALUE"""),42.46)</f>
        <v>42.46</v>
      </c>
      <c r="E2523" s="17"/>
      <c r="M2523" s="17"/>
      <c r="P2523" s="17"/>
    </row>
    <row r="2524">
      <c r="B2524" s="11">
        <f>IFERROR(__xludf.DUMMYFUNCTION("""COMPUTED_VALUE"""),42361.66666666667)</f>
        <v>42361.66667</v>
      </c>
      <c r="C2524" s="9">
        <f>IFERROR(__xludf.DUMMYFUNCTION("""COMPUTED_VALUE"""),42.39)</f>
        <v>42.39</v>
      </c>
      <c r="E2524" s="17"/>
      <c r="M2524" s="17"/>
      <c r="P2524" s="17"/>
    </row>
    <row r="2525">
      <c r="B2525" s="11">
        <f>IFERROR(__xludf.DUMMYFUNCTION("""COMPUTED_VALUE"""),42360.66666666667)</f>
        <v>42360.66667</v>
      </c>
      <c r="C2525" s="9">
        <f>IFERROR(__xludf.DUMMYFUNCTION("""COMPUTED_VALUE"""),42.07)</f>
        <v>42.07</v>
      </c>
      <c r="E2525" s="17"/>
      <c r="M2525" s="17"/>
      <c r="P2525" s="17"/>
    </row>
    <row r="2526">
      <c r="B2526" s="11">
        <f>IFERROR(__xludf.DUMMYFUNCTION("""COMPUTED_VALUE"""),42359.66666666667)</f>
        <v>42359.66667</v>
      </c>
      <c r="C2526" s="9">
        <f>IFERROR(__xludf.DUMMYFUNCTION("""COMPUTED_VALUE"""),41.9)</f>
        <v>41.9</v>
      </c>
      <c r="E2526" s="17"/>
      <c r="M2526" s="17"/>
      <c r="P2526" s="17"/>
    </row>
    <row r="2527">
      <c r="B2527" s="11">
        <f>IFERROR(__xludf.DUMMYFUNCTION("""COMPUTED_VALUE"""),42356.66666666667)</f>
        <v>42356.66667</v>
      </c>
      <c r="C2527" s="9">
        <f>IFERROR(__xludf.DUMMYFUNCTION("""COMPUTED_VALUE"""),41.69)</f>
        <v>41.69</v>
      </c>
      <c r="E2527" s="17"/>
      <c r="M2527" s="17"/>
      <c r="P2527" s="17"/>
    </row>
    <row r="2528">
      <c r="B2528" s="11">
        <f>IFERROR(__xludf.DUMMYFUNCTION("""COMPUTED_VALUE"""),42355.66666666667)</f>
        <v>42355.66667</v>
      </c>
      <c r="C2528" s="9">
        <f>IFERROR(__xludf.DUMMYFUNCTION("""COMPUTED_VALUE"""),42.0)</f>
        <v>42</v>
      </c>
      <c r="E2528" s="17"/>
      <c r="M2528" s="17"/>
      <c r="P2528" s="17"/>
    </row>
    <row r="2529">
      <c r="B2529" s="11">
        <f>IFERROR(__xludf.DUMMYFUNCTION("""COMPUTED_VALUE"""),42354.66666666667)</f>
        <v>42354.66667</v>
      </c>
      <c r="C2529" s="9">
        <f>IFERROR(__xludf.DUMMYFUNCTION("""COMPUTED_VALUE"""),42.32)</f>
        <v>42.32</v>
      </c>
      <c r="E2529" s="17"/>
      <c r="M2529" s="17"/>
      <c r="P2529" s="17"/>
    </row>
    <row r="2530">
      <c r="B2530" s="11">
        <f>IFERROR(__xludf.DUMMYFUNCTION("""COMPUTED_VALUE"""),42353.66666666667)</f>
        <v>42353.66667</v>
      </c>
      <c r="C2530" s="9">
        <f>IFERROR(__xludf.DUMMYFUNCTION("""COMPUTED_VALUE"""),41.56)</f>
        <v>41.56</v>
      </c>
      <c r="E2530" s="17"/>
      <c r="M2530" s="17"/>
      <c r="P2530" s="17"/>
    </row>
    <row r="2531">
      <c r="B2531" s="11">
        <f>IFERROR(__xludf.DUMMYFUNCTION("""COMPUTED_VALUE"""),42352.66666666667)</f>
        <v>42352.66667</v>
      </c>
      <c r="C2531" s="9">
        <f>IFERROR(__xludf.DUMMYFUNCTION("""COMPUTED_VALUE"""),41.29)</f>
        <v>41.29</v>
      </c>
      <c r="E2531" s="17"/>
      <c r="M2531" s="17"/>
      <c r="P2531" s="17"/>
    </row>
    <row r="2532">
      <c r="B2532" s="11">
        <f>IFERROR(__xludf.DUMMYFUNCTION("""COMPUTED_VALUE"""),42349.66666666667)</f>
        <v>42349.66667</v>
      </c>
      <c r="C2532" s="9">
        <f>IFERROR(__xludf.DUMMYFUNCTION("""COMPUTED_VALUE"""),41.41)</f>
        <v>41.41</v>
      </c>
      <c r="E2532" s="17"/>
      <c r="M2532" s="17"/>
      <c r="P2532" s="17"/>
    </row>
    <row r="2533">
      <c r="B2533" s="11">
        <f>IFERROR(__xludf.DUMMYFUNCTION("""COMPUTED_VALUE"""),42348.66666666667)</f>
        <v>42348.66667</v>
      </c>
      <c r="C2533" s="9">
        <f>IFERROR(__xludf.DUMMYFUNCTION("""COMPUTED_VALUE"""),41.99)</f>
        <v>41.99</v>
      </c>
      <c r="E2533" s="17"/>
      <c r="M2533" s="17"/>
      <c r="P2533" s="17"/>
    </row>
    <row r="2534">
      <c r="B2534" s="11">
        <f>IFERROR(__xludf.DUMMYFUNCTION("""COMPUTED_VALUE"""),42347.66666666667)</f>
        <v>42347.66667</v>
      </c>
      <c r="C2534" s="9">
        <f>IFERROR(__xludf.DUMMYFUNCTION("""COMPUTED_VALUE"""),42.13)</f>
        <v>42.13</v>
      </c>
      <c r="E2534" s="17"/>
      <c r="M2534" s="17"/>
      <c r="P2534" s="17"/>
    </row>
    <row r="2535">
      <c r="B2535" s="11">
        <f>IFERROR(__xludf.DUMMYFUNCTION("""COMPUTED_VALUE"""),42346.66666666667)</f>
        <v>42346.66667</v>
      </c>
      <c r="C2535" s="9">
        <f>IFERROR(__xludf.DUMMYFUNCTION("""COMPUTED_VALUE"""),42.44)</f>
        <v>42.44</v>
      </c>
      <c r="E2535" s="17"/>
      <c r="M2535" s="17"/>
      <c r="P2535" s="17"/>
    </row>
    <row r="2536">
      <c r="B2536" s="11">
        <f>IFERROR(__xludf.DUMMYFUNCTION("""COMPUTED_VALUE"""),42345.66666666667)</f>
        <v>42345.66667</v>
      </c>
      <c r="C2536" s="9">
        <f>IFERROR(__xludf.DUMMYFUNCTION("""COMPUTED_VALUE"""),42.66)</f>
        <v>42.66</v>
      </c>
      <c r="E2536" s="17"/>
      <c r="M2536" s="17"/>
      <c r="P2536" s="17"/>
    </row>
    <row r="2537">
      <c r="B2537" s="11">
        <f>IFERROR(__xludf.DUMMYFUNCTION("""COMPUTED_VALUE"""),42342.66666666667)</f>
        <v>42342.66667</v>
      </c>
      <c r="C2537" s="9">
        <f>IFERROR(__xludf.DUMMYFUNCTION("""COMPUTED_VALUE"""),42.7)</f>
        <v>42.7</v>
      </c>
      <c r="E2537" s="17"/>
      <c r="M2537" s="17"/>
      <c r="P2537" s="17"/>
    </row>
    <row r="2538">
      <c r="B2538" s="11">
        <f>IFERROR(__xludf.DUMMYFUNCTION("""COMPUTED_VALUE"""),42341.66666666667)</f>
        <v>42341.66667</v>
      </c>
      <c r="C2538" s="9">
        <f>IFERROR(__xludf.DUMMYFUNCTION("""COMPUTED_VALUE"""),41.48)</f>
        <v>41.48</v>
      </c>
      <c r="E2538" s="17"/>
      <c r="M2538" s="17"/>
      <c r="P2538" s="17"/>
    </row>
    <row r="2539">
      <c r="B2539" s="11">
        <f>IFERROR(__xludf.DUMMYFUNCTION("""COMPUTED_VALUE"""),42340.66666666667)</f>
        <v>42340.66667</v>
      </c>
      <c r="C2539" s="9">
        <f>IFERROR(__xludf.DUMMYFUNCTION("""COMPUTED_VALUE"""),42.35)</f>
        <v>42.35</v>
      </c>
      <c r="E2539" s="17"/>
      <c r="M2539" s="17"/>
      <c r="P2539" s="17"/>
    </row>
    <row r="2540">
      <c r="B2540" s="11">
        <f>IFERROR(__xludf.DUMMYFUNCTION("""COMPUTED_VALUE"""),42339.66666666667)</f>
        <v>42339.66667</v>
      </c>
      <c r="C2540" s="9">
        <f>IFERROR(__xludf.DUMMYFUNCTION("""COMPUTED_VALUE"""),43.67)</f>
        <v>43.67</v>
      </c>
      <c r="E2540" s="17"/>
      <c r="M2540" s="17"/>
      <c r="P2540" s="17"/>
    </row>
    <row r="2541">
      <c r="B2541" s="11">
        <f>IFERROR(__xludf.DUMMYFUNCTION("""COMPUTED_VALUE"""),42338.66666666667)</f>
        <v>42338.66667</v>
      </c>
      <c r="C2541" s="9">
        <f>IFERROR(__xludf.DUMMYFUNCTION("""COMPUTED_VALUE"""),42.75)</f>
        <v>42.75</v>
      </c>
      <c r="E2541" s="17"/>
      <c r="M2541" s="17"/>
      <c r="P2541" s="17"/>
    </row>
    <row r="2542">
      <c r="B2542" s="11">
        <f>IFERROR(__xludf.DUMMYFUNCTION("""COMPUTED_VALUE"""),42335.66666666667)</f>
        <v>42335.66667</v>
      </c>
      <c r="C2542" s="9">
        <f>IFERROR(__xludf.DUMMYFUNCTION("""COMPUTED_VALUE"""),43.6)</f>
        <v>43.6</v>
      </c>
      <c r="E2542" s="17"/>
      <c r="M2542" s="17"/>
      <c r="P2542" s="17"/>
    </row>
    <row r="2543">
      <c r="B2543" s="11">
        <f>IFERROR(__xludf.DUMMYFUNCTION("""COMPUTED_VALUE"""),42333.66666666667)</f>
        <v>42333.66667</v>
      </c>
      <c r="C2543" s="9">
        <f>IFERROR(__xludf.DUMMYFUNCTION("""COMPUTED_VALUE"""),43.24)</f>
        <v>43.24</v>
      </c>
      <c r="E2543" s="17"/>
      <c r="M2543" s="17"/>
      <c r="P2543" s="17"/>
    </row>
    <row r="2544">
      <c r="B2544" s="11">
        <f>IFERROR(__xludf.DUMMYFUNCTION("""COMPUTED_VALUE"""),42332.66666666667)</f>
        <v>42332.66667</v>
      </c>
      <c r="C2544" s="9">
        <f>IFERROR(__xludf.DUMMYFUNCTION("""COMPUTED_VALUE"""),43.34)</f>
        <v>43.34</v>
      </c>
      <c r="E2544" s="17"/>
      <c r="M2544" s="17"/>
      <c r="P2544" s="17"/>
    </row>
    <row r="2545">
      <c r="B2545" s="11">
        <f>IFERROR(__xludf.DUMMYFUNCTION("""COMPUTED_VALUE"""),42331.66666666667)</f>
        <v>42331.66667</v>
      </c>
      <c r="C2545" s="9">
        <f>IFERROR(__xludf.DUMMYFUNCTION("""COMPUTED_VALUE"""),43.22)</f>
        <v>43.22</v>
      </c>
      <c r="E2545" s="17"/>
      <c r="M2545" s="17"/>
      <c r="P2545" s="17"/>
    </row>
    <row r="2546">
      <c r="B2546" s="11">
        <f>IFERROR(__xludf.DUMMYFUNCTION("""COMPUTED_VALUE"""),42328.66666666667)</f>
        <v>42328.66667</v>
      </c>
      <c r="C2546" s="9">
        <f>IFERROR(__xludf.DUMMYFUNCTION("""COMPUTED_VALUE"""),43.1)</f>
        <v>43.1</v>
      </c>
      <c r="E2546" s="17"/>
      <c r="M2546" s="17"/>
      <c r="P2546" s="17"/>
    </row>
    <row r="2547">
      <c r="B2547" s="11">
        <f>IFERROR(__xludf.DUMMYFUNCTION("""COMPUTED_VALUE"""),42327.66666666667)</f>
        <v>42327.66667</v>
      </c>
      <c r="C2547" s="9">
        <f>IFERROR(__xludf.DUMMYFUNCTION("""COMPUTED_VALUE"""),42.29)</f>
        <v>42.29</v>
      </c>
      <c r="E2547" s="17"/>
      <c r="M2547" s="17"/>
      <c r="P2547" s="17"/>
    </row>
    <row r="2548">
      <c r="B2548" s="11">
        <f>IFERROR(__xludf.DUMMYFUNCTION("""COMPUTED_VALUE"""),42326.66666666667)</f>
        <v>42326.66667</v>
      </c>
      <c r="C2548" s="9">
        <f>IFERROR(__xludf.DUMMYFUNCTION("""COMPUTED_VALUE"""),42.27)</f>
        <v>42.27</v>
      </c>
      <c r="E2548" s="17"/>
      <c r="M2548" s="17"/>
      <c r="P2548" s="17"/>
    </row>
    <row r="2549">
      <c r="B2549" s="11">
        <f>IFERROR(__xludf.DUMMYFUNCTION("""COMPUTED_VALUE"""),42325.66666666667)</f>
        <v>42325.66667</v>
      </c>
      <c r="C2549" s="9">
        <f>IFERROR(__xludf.DUMMYFUNCTION("""COMPUTED_VALUE"""),41.6)</f>
        <v>41.6</v>
      </c>
      <c r="E2549" s="17"/>
      <c r="M2549" s="17"/>
      <c r="P2549" s="17"/>
    </row>
    <row r="2550">
      <c r="B2550" s="11">
        <f>IFERROR(__xludf.DUMMYFUNCTION("""COMPUTED_VALUE"""),42324.66666666667)</f>
        <v>42324.66667</v>
      </c>
      <c r="C2550" s="9">
        <f>IFERROR(__xludf.DUMMYFUNCTION("""COMPUTED_VALUE"""),41.8)</f>
        <v>41.8</v>
      </c>
      <c r="E2550" s="17"/>
      <c r="M2550" s="17"/>
      <c r="P2550" s="17"/>
    </row>
    <row r="2551">
      <c r="B2551" s="11">
        <f>IFERROR(__xludf.DUMMYFUNCTION("""COMPUTED_VALUE"""),42321.66666666667)</f>
        <v>42321.66667</v>
      </c>
      <c r="C2551" s="9">
        <f>IFERROR(__xludf.DUMMYFUNCTION("""COMPUTED_VALUE"""),40.97)</f>
        <v>40.97</v>
      </c>
      <c r="E2551" s="17"/>
      <c r="M2551" s="17"/>
      <c r="P2551" s="17"/>
    </row>
    <row r="2552">
      <c r="B2552" s="11">
        <f>IFERROR(__xludf.DUMMYFUNCTION("""COMPUTED_VALUE"""),42320.66666666667)</f>
        <v>42320.66667</v>
      </c>
      <c r="C2552" s="9">
        <f>IFERROR(__xludf.DUMMYFUNCTION("""COMPUTED_VALUE"""),41.06)</f>
        <v>41.06</v>
      </c>
      <c r="E2552" s="17"/>
      <c r="M2552" s="17"/>
      <c r="P2552" s="17"/>
    </row>
    <row r="2553">
      <c r="B2553" s="11">
        <f>IFERROR(__xludf.DUMMYFUNCTION("""COMPUTED_VALUE"""),42319.66666666667)</f>
        <v>42319.66667</v>
      </c>
      <c r="C2553" s="9">
        <f>IFERROR(__xludf.DUMMYFUNCTION("""COMPUTED_VALUE"""),41.34)</f>
        <v>41.34</v>
      </c>
      <c r="E2553" s="17"/>
      <c r="M2553" s="17"/>
      <c r="P2553" s="17"/>
    </row>
    <row r="2554">
      <c r="B2554" s="11">
        <f>IFERROR(__xludf.DUMMYFUNCTION("""COMPUTED_VALUE"""),42318.66666666667)</f>
        <v>42318.66667</v>
      </c>
      <c r="C2554" s="9">
        <f>IFERROR(__xludf.DUMMYFUNCTION("""COMPUTED_VALUE"""),41.14)</f>
        <v>41.14</v>
      </c>
      <c r="E2554" s="17"/>
      <c r="M2554" s="17"/>
      <c r="P2554" s="17"/>
    </row>
    <row r="2555">
      <c r="B2555" s="11">
        <f>IFERROR(__xludf.DUMMYFUNCTION("""COMPUTED_VALUE"""),42317.66666666667)</f>
        <v>42317.66667</v>
      </c>
      <c r="C2555" s="9">
        <f>IFERROR(__xludf.DUMMYFUNCTION("""COMPUTED_VALUE"""),40.86)</f>
        <v>40.86</v>
      </c>
      <c r="E2555" s="17"/>
      <c r="M2555" s="17"/>
      <c r="P2555" s="17"/>
    </row>
    <row r="2556">
      <c r="B2556" s="11">
        <f>IFERROR(__xludf.DUMMYFUNCTION("""COMPUTED_VALUE"""),42314.66666666667)</f>
        <v>42314.66667</v>
      </c>
      <c r="C2556" s="9">
        <f>IFERROR(__xludf.DUMMYFUNCTION("""COMPUTED_VALUE"""),41.87)</f>
        <v>41.87</v>
      </c>
      <c r="E2556" s="17"/>
      <c r="M2556" s="17"/>
      <c r="P2556" s="17"/>
    </row>
    <row r="2557">
      <c r="B2557" s="11">
        <f>IFERROR(__xludf.DUMMYFUNCTION("""COMPUTED_VALUE"""),42313.66666666667)</f>
        <v>42313.66667</v>
      </c>
      <c r="C2557" s="9">
        <f>IFERROR(__xludf.DUMMYFUNCTION("""COMPUTED_VALUE"""),43.15)</f>
        <v>43.15</v>
      </c>
      <c r="E2557" s="17"/>
      <c r="M2557" s="17"/>
      <c r="P2557" s="17"/>
    </row>
    <row r="2558">
      <c r="B2558" s="11">
        <f>IFERROR(__xludf.DUMMYFUNCTION("""COMPUTED_VALUE"""),42312.66666666667)</f>
        <v>42312.66667</v>
      </c>
      <c r="C2558" s="9">
        <f>IFERROR(__xludf.DUMMYFUNCTION("""COMPUTED_VALUE"""),43.17)</f>
        <v>43.17</v>
      </c>
      <c r="E2558" s="17"/>
      <c r="M2558" s="17"/>
      <c r="P2558" s="17"/>
    </row>
    <row r="2559">
      <c r="B2559" s="11">
        <f>IFERROR(__xludf.DUMMYFUNCTION("""COMPUTED_VALUE"""),42311.66666666667)</f>
        <v>42311.66667</v>
      </c>
      <c r="C2559" s="9">
        <f>IFERROR(__xludf.DUMMYFUNCTION("""COMPUTED_VALUE"""),43.25)</f>
        <v>43.25</v>
      </c>
      <c r="E2559" s="17"/>
      <c r="M2559" s="17"/>
      <c r="P2559" s="17"/>
    </row>
    <row r="2560">
      <c r="B2560" s="11">
        <f>IFERROR(__xludf.DUMMYFUNCTION("""COMPUTED_VALUE"""),42310.66666666667)</f>
        <v>42310.66667</v>
      </c>
      <c r="C2560" s="9">
        <f>IFERROR(__xludf.DUMMYFUNCTION("""COMPUTED_VALUE"""),43.68)</f>
        <v>43.68</v>
      </c>
      <c r="E2560" s="17"/>
      <c r="M2560" s="17"/>
      <c r="P2560" s="17"/>
    </row>
    <row r="2561">
      <c r="B2561" s="11">
        <f>IFERROR(__xludf.DUMMYFUNCTION("""COMPUTED_VALUE"""),42307.66666666667)</f>
        <v>42307.66667</v>
      </c>
      <c r="C2561" s="9">
        <f>IFERROR(__xludf.DUMMYFUNCTION("""COMPUTED_VALUE"""),42.73)</f>
        <v>42.73</v>
      </c>
      <c r="E2561" s="17"/>
      <c r="M2561" s="17"/>
      <c r="P2561" s="17"/>
    </row>
    <row r="2562">
      <c r="B2562" s="11">
        <f>IFERROR(__xludf.DUMMYFUNCTION("""COMPUTED_VALUE"""),42306.66666666667)</f>
        <v>42306.66667</v>
      </c>
      <c r="C2562" s="9">
        <f>IFERROR(__xludf.DUMMYFUNCTION("""COMPUTED_VALUE"""),43.16)</f>
        <v>43.16</v>
      </c>
      <c r="E2562" s="17"/>
      <c r="M2562" s="17"/>
      <c r="P2562" s="17"/>
    </row>
    <row r="2563">
      <c r="B2563" s="11">
        <f>IFERROR(__xludf.DUMMYFUNCTION("""COMPUTED_VALUE"""),42305.66666666667)</f>
        <v>42305.66667</v>
      </c>
      <c r="C2563" s="9">
        <f>IFERROR(__xludf.DUMMYFUNCTION("""COMPUTED_VALUE"""),43.35)</f>
        <v>43.35</v>
      </c>
      <c r="E2563" s="17"/>
      <c r="M2563" s="17"/>
      <c r="P2563" s="17"/>
    </row>
    <row r="2564">
      <c r="B2564" s="11">
        <f>IFERROR(__xludf.DUMMYFUNCTION("""COMPUTED_VALUE"""),42304.66666666667)</f>
        <v>42304.66667</v>
      </c>
      <c r="C2564" s="9">
        <f>IFERROR(__xludf.DUMMYFUNCTION("""COMPUTED_VALUE"""),43.12)</f>
        <v>43.12</v>
      </c>
      <c r="E2564" s="17"/>
      <c r="M2564" s="17"/>
      <c r="P2564" s="17"/>
    </row>
    <row r="2565">
      <c r="B2565" s="11">
        <f>IFERROR(__xludf.DUMMYFUNCTION("""COMPUTED_VALUE"""),42303.66666666667)</f>
        <v>42303.66667</v>
      </c>
      <c r="C2565" s="9">
        <f>IFERROR(__xludf.DUMMYFUNCTION("""COMPUTED_VALUE"""),43.23)</f>
        <v>43.23</v>
      </c>
      <c r="E2565" s="17"/>
      <c r="M2565" s="17"/>
      <c r="P2565" s="17"/>
    </row>
    <row r="2566">
      <c r="B2566" s="11">
        <f>IFERROR(__xludf.DUMMYFUNCTION("""COMPUTED_VALUE"""),42300.66666666667)</f>
        <v>42300.66667</v>
      </c>
      <c r="C2566" s="9">
        <f>IFERROR(__xludf.DUMMYFUNCTION("""COMPUTED_VALUE"""),43.03)</f>
        <v>43.03</v>
      </c>
      <c r="E2566" s="17"/>
      <c r="M2566" s="17"/>
      <c r="P2566" s="17"/>
    </row>
    <row r="2567">
      <c r="B2567" s="11">
        <f>IFERROR(__xludf.DUMMYFUNCTION("""COMPUTED_VALUE"""),42299.66666666667)</f>
        <v>42299.66667</v>
      </c>
      <c r="C2567" s="9">
        <f>IFERROR(__xludf.DUMMYFUNCTION("""COMPUTED_VALUE"""),43.21)</f>
        <v>43.21</v>
      </c>
      <c r="E2567" s="17"/>
      <c r="M2567" s="17"/>
      <c r="P2567" s="17"/>
    </row>
    <row r="2568">
      <c r="B2568" s="11">
        <f>IFERROR(__xludf.DUMMYFUNCTION("""COMPUTED_VALUE"""),42298.66666666667)</f>
        <v>42298.66667</v>
      </c>
      <c r="C2568" s="9">
        <f>IFERROR(__xludf.DUMMYFUNCTION("""COMPUTED_VALUE"""),42.79)</f>
        <v>42.79</v>
      </c>
      <c r="E2568" s="17"/>
      <c r="M2568" s="17"/>
      <c r="P2568" s="17"/>
    </row>
    <row r="2569">
      <c r="B2569" s="11">
        <f>IFERROR(__xludf.DUMMYFUNCTION("""COMPUTED_VALUE"""),42297.66666666667)</f>
        <v>42297.66667</v>
      </c>
      <c r="C2569" s="9">
        <f>IFERROR(__xludf.DUMMYFUNCTION("""COMPUTED_VALUE"""),42.76)</f>
        <v>42.76</v>
      </c>
      <c r="E2569" s="17"/>
      <c r="M2569" s="17"/>
      <c r="P2569" s="17"/>
    </row>
    <row r="2570">
      <c r="B2570" s="11">
        <f>IFERROR(__xludf.DUMMYFUNCTION("""COMPUTED_VALUE"""),42296.66666666667)</f>
        <v>42296.66667</v>
      </c>
      <c r="C2570" s="9">
        <f>IFERROR(__xludf.DUMMYFUNCTION("""COMPUTED_VALUE"""),42.3)</f>
        <v>42.3</v>
      </c>
      <c r="E2570" s="17"/>
      <c r="M2570" s="17"/>
      <c r="P2570" s="17"/>
    </row>
    <row r="2571">
      <c r="B2571" s="11">
        <f>IFERROR(__xludf.DUMMYFUNCTION("""COMPUTED_VALUE"""),42293.66666666667)</f>
        <v>42293.66667</v>
      </c>
      <c r="C2571" s="9">
        <f>IFERROR(__xludf.DUMMYFUNCTION("""COMPUTED_VALUE"""),41.68)</f>
        <v>41.68</v>
      </c>
      <c r="E2571" s="17"/>
      <c r="M2571" s="17"/>
      <c r="P2571" s="17"/>
    </row>
    <row r="2572">
      <c r="B2572" s="11">
        <f>IFERROR(__xludf.DUMMYFUNCTION("""COMPUTED_VALUE"""),42292.66666666667)</f>
        <v>42292.66667</v>
      </c>
      <c r="C2572" s="9">
        <f>IFERROR(__xludf.DUMMYFUNCTION("""COMPUTED_VALUE"""),41.5)</f>
        <v>41.5</v>
      </c>
      <c r="E2572" s="17"/>
      <c r="M2572" s="17"/>
      <c r="P2572" s="17"/>
    </row>
    <row r="2573">
      <c r="B2573" s="11">
        <f>IFERROR(__xludf.DUMMYFUNCTION("""COMPUTED_VALUE"""),42291.66666666667)</f>
        <v>42291.66667</v>
      </c>
      <c r="C2573" s="9">
        <f>IFERROR(__xludf.DUMMYFUNCTION("""COMPUTED_VALUE"""),40.95)</f>
        <v>40.95</v>
      </c>
      <c r="E2573" s="17"/>
      <c r="M2573" s="17"/>
      <c r="P2573" s="17"/>
    </row>
    <row r="2574">
      <c r="B2574" s="11">
        <f>IFERROR(__xludf.DUMMYFUNCTION("""COMPUTED_VALUE"""),42290.66666666667)</f>
        <v>42290.66667</v>
      </c>
      <c r="C2574" s="9">
        <f>IFERROR(__xludf.DUMMYFUNCTION("""COMPUTED_VALUE"""),41.3)</f>
        <v>41.3</v>
      </c>
      <c r="E2574" s="17"/>
      <c r="M2574" s="17"/>
      <c r="P2574" s="17"/>
    </row>
    <row r="2575">
      <c r="B2575" s="11">
        <f>IFERROR(__xludf.DUMMYFUNCTION("""COMPUTED_VALUE"""),42289.66666666667)</f>
        <v>42289.66667</v>
      </c>
      <c r="C2575" s="9">
        <f>IFERROR(__xludf.DUMMYFUNCTION("""COMPUTED_VALUE"""),41.91)</f>
        <v>41.91</v>
      </c>
      <c r="E2575" s="17"/>
      <c r="M2575" s="17"/>
      <c r="P2575" s="17"/>
    </row>
    <row r="2576">
      <c r="B2576" s="11">
        <f>IFERROR(__xludf.DUMMYFUNCTION("""COMPUTED_VALUE"""),42286.66666666667)</f>
        <v>42286.66667</v>
      </c>
      <c r="C2576" s="9">
        <f>IFERROR(__xludf.DUMMYFUNCTION("""COMPUTED_VALUE"""),41.41)</f>
        <v>41.41</v>
      </c>
      <c r="E2576" s="17"/>
      <c r="M2576" s="17"/>
      <c r="P2576" s="17"/>
    </row>
    <row r="2577">
      <c r="B2577" s="11">
        <f>IFERROR(__xludf.DUMMYFUNCTION("""COMPUTED_VALUE"""),42285.66666666667)</f>
        <v>42285.66667</v>
      </c>
      <c r="C2577" s="9">
        <f>IFERROR(__xludf.DUMMYFUNCTION("""COMPUTED_VALUE"""),41.23)</f>
        <v>41.23</v>
      </c>
      <c r="E2577" s="17"/>
      <c r="M2577" s="17"/>
      <c r="P2577" s="17"/>
    </row>
    <row r="2578">
      <c r="B2578" s="11">
        <f>IFERROR(__xludf.DUMMYFUNCTION("""COMPUTED_VALUE"""),42284.66666666667)</f>
        <v>42284.66667</v>
      </c>
      <c r="C2578" s="9">
        <f>IFERROR(__xludf.DUMMYFUNCTION("""COMPUTED_VALUE"""),40.75)</f>
        <v>40.75</v>
      </c>
      <c r="E2578" s="17"/>
      <c r="M2578" s="17"/>
      <c r="P2578" s="17"/>
    </row>
    <row r="2579">
      <c r="B2579" s="11">
        <f>IFERROR(__xludf.DUMMYFUNCTION("""COMPUTED_VALUE"""),42283.66666666667)</f>
        <v>42283.66667</v>
      </c>
      <c r="C2579" s="9">
        <f>IFERROR(__xludf.DUMMYFUNCTION("""COMPUTED_VALUE"""),40.54)</f>
        <v>40.54</v>
      </c>
      <c r="E2579" s="17"/>
      <c r="M2579" s="17"/>
      <c r="P2579" s="17"/>
    </row>
    <row r="2580">
      <c r="B2580" s="11">
        <f>IFERROR(__xludf.DUMMYFUNCTION("""COMPUTED_VALUE"""),42282.66666666667)</f>
        <v>42282.66667</v>
      </c>
      <c r="C2580" s="9">
        <f>IFERROR(__xludf.DUMMYFUNCTION("""COMPUTED_VALUE"""),40.54)</f>
        <v>40.54</v>
      </c>
      <c r="E2580" s="17"/>
      <c r="M2580" s="17"/>
      <c r="P2580" s="17"/>
    </row>
    <row r="2581">
      <c r="B2581" s="11">
        <f>IFERROR(__xludf.DUMMYFUNCTION("""COMPUTED_VALUE"""),42279.66666666667)</f>
        <v>42279.66667</v>
      </c>
      <c r="C2581" s="9">
        <f>IFERROR(__xludf.DUMMYFUNCTION("""COMPUTED_VALUE"""),39.87)</f>
        <v>39.87</v>
      </c>
      <c r="E2581" s="17"/>
      <c r="M2581" s="17"/>
      <c r="P2581" s="17"/>
    </row>
    <row r="2582">
      <c r="B2582" s="11">
        <f>IFERROR(__xludf.DUMMYFUNCTION("""COMPUTED_VALUE"""),42278.66666666667)</f>
        <v>42278.66667</v>
      </c>
      <c r="C2582" s="9">
        <f>IFERROR(__xludf.DUMMYFUNCTION("""COMPUTED_VALUE"""),39.28)</f>
        <v>39.28</v>
      </c>
      <c r="E2582" s="17"/>
      <c r="M2582" s="17"/>
      <c r="P2582" s="17"/>
    </row>
    <row r="2583">
      <c r="B2583" s="11">
        <f>IFERROR(__xludf.DUMMYFUNCTION("""COMPUTED_VALUE"""),42277.66666666667)</f>
        <v>42277.66667</v>
      </c>
      <c r="C2583" s="9">
        <f>IFERROR(__xludf.DUMMYFUNCTION("""COMPUTED_VALUE"""),38.9)</f>
        <v>38.9</v>
      </c>
      <c r="E2583" s="17"/>
      <c r="M2583" s="17"/>
      <c r="P2583" s="17"/>
    </row>
    <row r="2584">
      <c r="B2584" s="11">
        <f>IFERROR(__xludf.DUMMYFUNCTION("""COMPUTED_VALUE"""),42276.66666666667)</f>
        <v>42276.66667</v>
      </c>
      <c r="C2584" s="9">
        <f>IFERROR(__xludf.DUMMYFUNCTION("""COMPUTED_VALUE"""),38.74)</f>
        <v>38.74</v>
      </c>
      <c r="E2584" s="17"/>
      <c r="M2584" s="17"/>
      <c r="P2584" s="17"/>
    </row>
    <row r="2585">
      <c r="B2585" s="11">
        <f>IFERROR(__xludf.DUMMYFUNCTION("""COMPUTED_VALUE"""),42275.66666666667)</f>
        <v>42275.66667</v>
      </c>
      <c r="C2585" s="9">
        <f>IFERROR(__xludf.DUMMYFUNCTION("""COMPUTED_VALUE"""),38.02)</f>
        <v>38.02</v>
      </c>
      <c r="E2585" s="17"/>
      <c r="M2585" s="17"/>
      <c r="P2585" s="17"/>
    </row>
    <row r="2586">
      <c r="B2586" s="11">
        <f>IFERROR(__xludf.DUMMYFUNCTION("""COMPUTED_VALUE"""),42272.66666666667)</f>
        <v>42272.66667</v>
      </c>
      <c r="C2586" s="9">
        <f>IFERROR(__xludf.DUMMYFUNCTION("""COMPUTED_VALUE"""),38.66)</f>
        <v>38.66</v>
      </c>
      <c r="E2586" s="17"/>
      <c r="M2586" s="17"/>
      <c r="P2586" s="17"/>
    </row>
    <row r="2587">
      <c r="B2587" s="11">
        <f>IFERROR(__xludf.DUMMYFUNCTION("""COMPUTED_VALUE"""),42271.66666666667)</f>
        <v>42271.66667</v>
      </c>
      <c r="C2587" s="9">
        <f>IFERROR(__xludf.DUMMYFUNCTION("""COMPUTED_VALUE"""),38.01)</f>
        <v>38.01</v>
      </c>
      <c r="E2587" s="17"/>
      <c r="M2587" s="17"/>
      <c r="P2587" s="17"/>
    </row>
    <row r="2588">
      <c r="B2588" s="11">
        <f>IFERROR(__xludf.DUMMYFUNCTION("""COMPUTED_VALUE"""),42270.66666666667)</f>
        <v>42270.66667</v>
      </c>
      <c r="C2588" s="9">
        <f>IFERROR(__xludf.DUMMYFUNCTION("""COMPUTED_VALUE"""),38.44)</f>
        <v>38.44</v>
      </c>
      <c r="E2588" s="17"/>
      <c r="M2588" s="17"/>
      <c r="P2588" s="17"/>
    </row>
    <row r="2589">
      <c r="B2589" s="11">
        <f>IFERROR(__xludf.DUMMYFUNCTION("""COMPUTED_VALUE"""),42269.66666666667)</f>
        <v>42269.66667</v>
      </c>
      <c r="C2589" s="9">
        <f>IFERROR(__xludf.DUMMYFUNCTION("""COMPUTED_VALUE"""),38.14)</f>
        <v>38.14</v>
      </c>
      <c r="E2589" s="17"/>
      <c r="M2589" s="17"/>
      <c r="P2589" s="17"/>
    </row>
    <row r="2590">
      <c r="B2590" s="11">
        <f>IFERROR(__xludf.DUMMYFUNCTION("""COMPUTED_VALUE"""),42268.66666666667)</f>
        <v>42268.66667</v>
      </c>
      <c r="C2590" s="9">
        <f>IFERROR(__xludf.DUMMYFUNCTION("""COMPUTED_VALUE"""),38.66)</f>
        <v>38.66</v>
      </c>
      <c r="E2590" s="17"/>
      <c r="M2590" s="17"/>
      <c r="P2590" s="17"/>
    </row>
    <row r="2591">
      <c r="B2591" s="11">
        <f>IFERROR(__xludf.DUMMYFUNCTION("""COMPUTED_VALUE"""),42265.66666666667)</f>
        <v>42265.66667</v>
      </c>
      <c r="C2591" s="9">
        <f>IFERROR(__xludf.DUMMYFUNCTION("""COMPUTED_VALUE"""),38.15)</f>
        <v>38.15</v>
      </c>
      <c r="E2591" s="17"/>
      <c r="M2591" s="17"/>
      <c r="P2591" s="17"/>
    </row>
    <row r="2592">
      <c r="B2592" s="11">
        <f>IFERROR(__xludf.DUMMYFUNCTION("""COMPUTED_VALUE"""),42264.66666666667)</f>
        <v>42264.66667</v>
      </c>
      <c r="C2592" s="9">
        <f>IFERROR(__xludf.DUMMYFUNCTION("""COMPUTED_VALUE"""),38.19)</f>
        <v>38.19</v>
      </c>
      <c r="E2592" s="17"/>
      <c r="M2592" s="17"/>
      <c r="P2592" s="17"/>
    </row>
    <row r="2593">
      <c r="B2593" s="11">
        <f>IFERROR(__xludf.DUMMYFUNCTION("""COMPUTED_VALUE"""),42263.66666666667)</f>
        <v>42263.66667</v>
      </c>
      <c r="C2593" s="9">
        <f>IFERROR(__xludf.DUMMYFUNCTION("""COMPUTED_VALUE"""),37.71)</f>
        <v>37.71</v>
      </c>
      <c r="E2593" s="17"/>
      <c r="M2593" s="17"/>
      <c r="P2593" s="17"/>
    </row>
    <row r="2594">
      <c r="B2594" s="11">
        <f>IFERROR(__xludf.DUMMYFUNCTION("""COMPUTED_VALUE"""),42262.66666666667)</f>
        <v>42262.66667</v>
      </c>
      <c r="C2594" s="9">
        <f>IFERROR(__xludf.DUMMYFUNCTION("""COMPUTED_VALUE"""),37.74)</f>
        <v>37.74</v>
      </c>
      <c r="E2594" s="17"/>
      <c r="M2594" s="17"/>
      <c r="P2594" s="17"/>
    </row>
    <row r="2595">
      <c r="B2595" s="11">
        <f>IFERROR(__xludf.DUMMYFUNCTION("""COMPUTED_VALUE"""),42261.66666666667)</f>
        <v>42261.66667</v>
      </c>
      <c r="C2595" s="9">
        <f>IFERROR(__xludf.DUMMYFUNCTION("""COMPUTED_VALUE"""),37.2)</f>
        <v>37.2</v>
      </c>
      <c r="E2595" s="17"/>
      <c r="M2595" s="17"/>
      <c r="P2595" s="17"/>
    </row>
    <row r="2596">
      <c r="B2596" s="11">
        <f>IFERROR(__xludf.DUMMYFUNCTION("""COMPUTED_VALUE"""),42258.66666666667)</f>
        <v>42258.66667</v>
      </c>
      <c r="C2596" s="9">
        <f>IFERROR(__xludf.DUMMYFUNCTION("""COMPUTED_VALUE"""),37.23)</f>
        <v>37.23</v>
      </c>
      <c r="E2596" s="17"/>
      <c r="M2596" s="17"/>
      <c r="P2596" s="17"/>
    </row>
    <row r="2597">
      <c r="B2597" s="11">
        <f>IFERROR(__xludf.DUMMYFUNCTION("""COMPUTED_VALUE"""),42257.66666666667)</f>
        <v>42257.66667</v>
      </c>
      <c r="C2597" s="9">
        <f>IFERROR(__xludf.DUMMYFUNCTION("""COMPUTED_VALUE"""),36.75)</f>
        <v>36.75</v>
      </c>
      <c r="E2597" s="17"/>
      <c r="M2597" s="17"/>
      <c r="P2597" s="17"/>
    </row>
    <row r="2598">
      <c r="B2598" s="11">
        <f>IFERROR(__xludf.DUMMYFUNCTION("""COMPUTED_VALUE"""),42256.66666666667)</f>
        <v>42256.66667</v>
      </c>
      <c r="C2598" s="9">
        <f>IFERROR(__xludf.DUMMYFUNCTION("""COMPUTED_VALUE"""),36.5)</f>
        <v>36.5</v>
      </c>
      <c r="E2598" s="17"/>
      <c r="M2598" s="17"/>
      <c r="P2598" s="17"/>
    </row>
    <row r="2599">
      <c r="B2599" s="11">
        <f>IFERROR(__xludf.DUMMYFUNCTION("""COMPUTED_VALUE"""),42255.66666666667)</f>
        <v>42255.66667</v>
      </c>
      <c r="C2599" s="9">
        <f>IFERROR(__xludf.DUMMYFUNCTION("""COMPUTED_VALUE"""),37.27)</f>
        <v>37.27</v>
      </c>
      <c r="E2599" s="17"/>
      <c r="M2599" s="17"/>
      <c r="P2599" s="17"/>
    </row>
    <row r="2600">
      <c r="B2600" s="11">
        <f>IFERROR(__xludf.DUMMYFUNCTION("""COMPUTED_VALUE"""),42251.66666666667)</f>
        <v>42251.66667</v>
      </c>
      <c r="C2600" s="9">
        <f>IFERROR(__xludf.DUMMYFUNCTION("""COMPUTED_VALUE"""),36.68)</f>
        <v>36.68</v>
      </c>
      <c r="E2600" s="17"/>
      <c r="M2600" s="17"/>
      <c r="P2600" s="17"/>
    </row>
    <row r="2601">
      <c r="B2601" s="11">
        <f>IFERROR(__xludf.DUMMYFUNCTION("""COMPUTED_VALUE"""),42250.66666666667)</f>
        <v>42250.66667</v>
      </c>
      <c r="C2601" s="9">
        <f>IFERROR(__xludf.DUMMYFUNCTION("""COMPUTED_VALUE"""),37.81)</f>
        <v>37.81</v>
      </c>
      <c r="E2601" s="17"/>
      <c r="M2601" s="17"/>
      <c r="P2601" s="17"/>
    </row>
    <row r="2602">
      <c r="B2602" s="11">
        <f>IFERROR(__xludf.DUMMYFUNCTION("""COMPUTED_VALUE"""),42249.66666666667)</f>
        <v>42249.66667</v>
      </c>
      <c r="C2602" s="9">
        <f>IFERROR(__xludf.DUMMYFUNCTION("""COMPUTED_VALUE"""),37.44)</f>
        <v>37.44</v>
      </c>
      <c r="E2602" s="17"/>
      <c r="M2602" s="17"/>
      <c r="P2602" s="17"/>
    </row>
    <row r="2603">
      <c r="B2603" s="11">
        <f>IFERROR(__xludf.DUMMYFUNCTION("""COMPUTED_VALUE"""),42248.66666666667)</f>
        <v>42248.66667</v>
      </c>
      <c r="C2603" s="9">
        <f>IFERROR(__xludf.DUMMYFUNCTION("""COMPUTED_VALUE"""),36.94)</f>
        <v>36.94</v>
      </c>
      <c r="E2603" s="17"/>
      <c r="M2603" s="17"/>
      <c r="P2603" s="17"/>
    </row>
    <row r="2604">
      <c r="B2604" s="11">
        <f>IFERROR(__xludf.DUMMYFUNCTION("""COMPUTED_VALUE"""),42247.66666666667)</f>
        <v>42247.66667</v>
      </c>
      <c r="C2604" s="9">
        <f>IFERROR(__xludf.DUMMYFUNCTION("""COMPUTED_VALUE"""),38.0)</f>
        <v>38</v>
      </c>
      <c r="E2604" s="17"/>
      <c r="M2604" s="17"/>
      <c r="P2604" s="17"/>
    </row>
    <row r="2605">
      <c r="B2605" s="11">
        <f>IFERROR(__xludf.DUMMYFUNCTION("""COMPUTED_VALUE"""),42244.66666666667)</f>
        <v>42244.66667</v>
      </c>
      <c r="C2605" s="9">
        <f>IFERROR(__xludf.DUMMYFUNCTION("""COMPUTED_VALUE"""),38.89)</f>
        <v>38.89</v>
      </c>
      <c r="E2605" s="17"/>
      <c r="M2605" s="17"/>
      <c r="P2605" s="17"/>
    </row>
    <row r="2606">
      <c r="B2606" s="11">
        <f>IFERROR(__xludf.DUMMYFUNCTION("""COMPUTED_VALUE"""),42243.66666666667)</f>
        <v>42243.66667</v>
      </c>
      <c r="C2606" s="9">
        <f>IFERROR(__xludf.DUMMYFUNCTION("""COMPUTED_VALUE"""),38.72)</f>
        <v>38.72</v>
      </c>
      <c r="E2606" s="17"/>
      <c r="M2606" s="17"/>
      <c r="P2606" s="17"/>
    </row>
    <row r="2607">
      <c r="B2607" s="11">
        <f>IFERROR(__xludf.DUMMYFUNCTION("""COMPUTED_VALUE"""),42242.66666666667)</f>
        <v>42242.66667</v>
      </c>
      <c r="C2607" s="9">
        <f>IFERROR(__xludf.DUMMYFUNCTION("""COMPUTED_VALUE"""),37.53)</f>
        <v>37.53</v>
      </c>
      <c r="E2607" s="17"/>
      <c r="M2607" s="17"/>
      <c r="P2607" s="17"/>
    </row>
    <row r="2608">
      <c r="B2608" s="11">
        <f>IFERROR(__xludf.DUMMYFUNCTION("""COMPUTED_VALUE"""),42241.66666666667)</f>
        <v>42241.66667</v>
      </c>
      <c r="C2608" s="9">
        <f>IFERROR(__xludf.DUMMYFUNCTION("""COMPUTED_VALUE"""),36.45)</f>
        <v>36.45</v>
      </c>
      <c r="E2608" s="17"/>
      <c r="M2608" s="17"/>
      <c r="P2608" s="17"/>
    </row>
    <row r="2609">
      <c r="B2609" s="11">
        <f>IFERROR(__xludf.DUMMYFUNCTION("""COMPUTED_VALUE"""),42240.66666666667)</f>
        <v>42240.66667</v>
      </c>
      <c r="C2609" s="9">
        <f>IFERROR(__xludf.DUMMYFUNCTION("""COMPUTED_VALUE"""),38.08)</f>
        <v>38.08</v>
      </c>
      <c r="E2609" s="17"/>
      <c r="M2609" s="17"/>
      <c r="P2609" s="17"/>
    </row>
    <row r="2610">
      <c r="B2610" s="11">
        <f>IFERROR(__xludf.DUMMYFUNCTION("""COMPUTED_VALUE"""),42237.66666666667)</f>
        <v>42237.66667</v>
      </c>
      <c r="C2610" s="9">
        <f>IFERROR(__xludf.DUMMYFUNCTION("""COMPUTED_VALUE"""),40.66)</f>
        <v>40.66</v>
      </c>
      <c r="E2610" s="17"/>
      <c r="M2610" s="17"/>
      <c r="P2610" s="17"/>
    </row>
    <row r="2611">
      <c r="B2611" s="11">
        <f>IFERROR(__xludf.DUMMYFUNCTION("""COMPUTED_VALUE"""),42236.66666666667)</f>
        <v>42236.66667</v>
      </c>
      <c r="C2611" s="9">
        <f>IFERROR(__xludf.DUMMYFUNCTION("""COMPUTED_VALUE"""),41.61)</f>
        <v>41.61</v>
      </c>
      <c r="E2611" s="17"/>
      <c r="M2611" s="17"/>
      <c r="P2611" s="17"/>
    </row>
    <row r="2612">
      <c r="B2612" s="11">
        <f>IFERROR(__xludf.DUMMYFUNCTION("""COMPUTED_VALUE"""),42235.66666666667)</f>
        <v>42235.66667</v>
      </c>
      <c r="C2612" s="9">
        <f>IFERROR(__xludf.DUMMYFUNCTION("""COMPUTED_VALUE"""),42.11)</f>
        <v>42.11</v>
      </c>
      <c r="E2612" s="17"/>
      <c r="M2612" s="17"/>
      <c r="P2612" s="17"/>
    </row>
    <row r="2613">
      <c r="B2613" s="11">
        <f>IFERROR(__xludf.DUMMYFUNCTION("""COMPUTED_VALUE"""),42234.66666666667)</f>
        <v>42234.66667</v>
      </c>
      <c r="C2613" s="9">
        <f>IFERROR(__xludf.DUMMYFUNCTION("""COMPUTED_VALUE"""),42.25)</f>
        <v>42.25</v>
      </c>
      <c r="E2613" s="17"/>
      <c r="M2613" s="17"/>
      <c r="P2613" s="17"/>
    </row>
    <row r="2614">
      <c r="B2614" s="11">
        <f>IFERROR(__xludf.DUMMYFUNCTION("""COMPUTED_VALUE"""),42233.66666666667)</f>
        <v>42233.66667</v>
      </c>
      <c r="C2614" s="9">
        <f>IFERROR(__xludf.DUMMYFUNCTION("""COMPUTED_VALUE"""),41.94)</f>
        <v>41.94</v>
      </c>
      <c r="E2614" s="17"/>
      <c r="M2614" s="17"/>
      <c r="P2614" s="17"/>
    </row>
    <row r="2615">
      <c r="B2615" s="11">
        <f>IFERROR(__xludf.DUMMYFUNCTION("""COMPUTED_VALUE"""),42230.66666666667)</f>
        <v>42230.66667</v>
      </c>
      <c r="C2615" s="9">
        <f>IFERROR(__xludf.DUMMYFUNCTION("""COMPUTED_VALUE"""),41.35)</f>
        <v>41.35</v>
      </c>
      <c r="E2615" s="17"/>
      <c r="M2615" s="17"/>
      <c r="P2615" s="17"/>
    </row>
    <row r="2616">
      <c r="B2616" s="11">
        <f>IFERROR(__xludf.DUMMYFUNCTION("""COMPUTED_VALUE"""),42229.66666666667)</f>
        <v>42229.66667</v>
      </c>
      <c r="C2616" s="9">
        <f>IFERROR(__xludf.DUMMYFUNCTION("""COMPUTED_VALUE"""),41.25)</f>
        <v>41.25</v>
      </c>
      <c r="E2616" s="17"/>
      <c r="M2616" s="17"/>
      <c r="P2616" s="17"/>
    </row>
    <row r="2617">
      <c r="B2617" s="11">
        <f>IFERROR(__xludf.DUMMYFUNCTION("""COMPUTED_VALUE"""),42228.66666666667)</f>
        <v>42228.66667</v>
      </c>
      <c r="C2617" s="9">
        <f>IFERROR(__xludf.DUMMYFUNCTION("""COMPUTED_VALUE"""),41.18)</f>
        <v>41.18</v>
      </c>
      <c r="E2617" s="17"/>
      <c r="M2617" s="17"/>
      <c r="P2617" s="17"/>
    </row>
    <row r="2618">
      <c r="B2618" s="11">
        <f>IFERROR(__xludf.DUMMYFUNCTION("""COMPUTED_VALUE"""),42227.66666666667)</f>
        <v>42227.66667</v>
      </c>
      <c r="C2618" s="9">
        <f>IFERROR(__xludf.DUMMYFUNCTION("""COMPUTED_VALUE"""),41.14)</f>
        <v>41.14</v>
      </c>
      <c r="E2618" s="17"/>
      <c r="M2618" s="17"/>
      <c r="P2618" s="17"/>
    </row>
    <row r="2619">
      <c r="B2619" s="11">
        <f>IFERROR(__xludf.DUMMYFUNCTION("""COMPUTED_VALUE"""),42226.66666666667)</f>
        <v>42226.66667</v>
      </c>
      <c r="C2619" s="9">
        <f>IFERROR(__xludf.DUMMYFUNCTION("""COMPUTED_VALUE"""),40.73)</f>
        <v>40.73</v>
      </c>
      <c r="E2619" s="17"/>
      <c r="M2619" s="17"/>
      <c r="P2619" s="17"/>
    </row>
    <row r="2620">
      <c r="B2620" s="11">
        <f>IFERROR(__xludf.DUMMYFUNCTION("""COMPUTED_VALUE"""),42223.66666666667)</f>
        <v>42223.66667</v>
      </c>
      <c r="C2620" s="9">
        <f>IFERROR(__xludf.DUMMYFUNCTION("""COMPUTED_VALUE"""),40.76)</f>
        <v>40.76</v>
      </c>
      <c r="E2620" s="17"/>
      <c r="M2620" s="17"/>
      <c r="P2620" s="17"/>
    </row>
    <row r="2621">
      <c r="B2621" s="11">
        <f>IFERROR(__xludf.DUMMYFUNCTION("""COMPUTED_VALUE"""),42222.66666666667)</f>
        <v>42222.66667</v>
      </c>
      <c r="C2621" s="9">
        <f>IFERROR(__xludf.DUMMYFUNCTION("""COMPUTED_VALUE"""),40.69)</f>
        <v>40.69</v>
      </c>
      <c r="E2621" s="17"/>
      <c r="M2621" s="17"/>
      <c r="P2621" s="17"/>
    </row>
    <row r="2622">
      <c r="B2622" s="11">
        <f>IFERROR(__xludf.DUMMYFUNCTION("""COMPUTED_VALUE"""),42221.66666666667)</f>
        <v>42221.66667</v>
      </c>
      <c r="C2622" s="9">
        <f>IFERROR(__xludf.DUMMYFUNCTION("""COMPUTED_VALUE"""),40.48)</f>
        <v>40.48</v>
      </c>
      <c r="E2622" s="17"/>
      <c r="M2622" s="17"/>
      <c r="P2622" s="17"/>
    </row>
    <row r="2623">
      <c r="B2623" s="11">
        <f>IFERROR(__xludf.DUMMYFUNCTION("""COMPUTED_VALUE"""),42220.66666666667)</f>
        <v>42220.66667</v>
      </c>
      <c r="C2623" s="9">
        <f>IFERROR(__xludf.DUMMYFUNCTION("""COMPUTED_VALUE"""),40.45)</f>
        <v>40.45</v>
      </c>
      <c r="E2623" s="17"/>
      <c r="M2623" s="17"/>
      <c r="P2623" s="17"/>
    </row>
    <row r="2624">
      <c r="B2624" s="11">
        <f>IFERROR(__xludf.DUMMYFUNCTION("""COMPUTED_VALUE"""),42219.66666666667)</f>
        <v>42219.66667</v>
      </c>
      <c r="C2624" s="9">
        <f>IFERROR(__xludf.DUMMYFUNCTION("""COMPUTED_VALUE"""),40.64)</f>
        <v>40.64</v>
      </c>
      <c r="E2624" s="17"/>
      <c r="M2624" s="17"/>
      <c r="P2624" s="17"/>
    </row>
    <row r="2625">
      <c r="B2625" s="11">
        <f>IFERROR(__xludf.DUMMYFUNCTION("""COMPUTED_VALUE"""),42216.66666666667)</f>
        <v>42216.66667</v>
      </c>
      <c r="C2625" s="9">
        <f>IFERROR(__xludf.DUMMYFUNCTION("""COMPUTED_VALUE"""),40.61)</f>
        <v>40.61</v>
      </c>
      <c r="E2625" s="17"/>
      <c r="M2625" s="17"/>
      <c r="P2625" s="17"/>
    </row>
    <row r="2626">
      <c r="B2626" s="11">
        <f>IFERROR(__xludf.DUMMYFUNCTION("""COMPUTED_VALUE"""),42215.66666666667)</f>
        <v>42215.66667</v>
      </c>
      <c r="C2626" s="9">
        <f>IFERROR(__xludf.DUMMYFUNCTION("""COMPUTED_VALUE"""),40.2)</f>
        <v>40.2</v>
      </c>
      <c r="E2626" s="17"/>
      <c r="M2626" s="17"/>
      <c r="P2626" s="17"/>
    </row>
    <row r="2627">
      <c r="B2627" s="11">
        <f>IFERROR(__xludf.DUMMYFUNCTION("""COMPUTED_VALUE"""),42214.66666666667)</f>
        <v>42214.66667</v>
      </c>
      <c r="C2627" s="9">
        <f>IFERROR(__xludf.DUMMYFUNCTION("""COMPUTED_VALUE"""),40.64)</f>
        <v>40.64</v>
      </c>
      <c r="E2627" s="17"/>
      <c r="M2627" s="17"/>
      <c r="P2627" s="17"/>
    </row>
    <row r="2628">
      <c r="B2628" s="11">
        <f>IFERROR(__xludf.DUMMYFUNCTION("""COMPUTED_VALUE"""),42213.66666666667)</f>
        <v>42213.66667</v>
      </c>
      <c r="C2628" s="9">
        <f>IFERROR(__xludf.DUMMYFUNCTION("""COMPUTED_VALUE"""),40.36)</f>
        <v>40.36</v>
      </c>
      <c r="E2628" s="17"/>
      <c r="M2628" s="17"/>
      <c r="P2628" s="17"/>
    </row>
    <row r="2629">
      <c r="B2629" s="11">
        <f>IFERROR(__xludf.DUMMYFUNCTION("""COMPUTED_VALUE"""),42212.66666666667)</f>
        <v>42212.66667</v>
      </c>
      <c r="C2629" s="9">
        <f>IFERROR(__xludf.DUMMYFUNCTION("""COMPUTED_VALUE"""),39.95)</f>
        <v>39.95</v>
      </c>
      <c r="E2629" s="17"/>
      <c r="M2629" s="17"/>
      <c r="P2629" s="17"/>
    </row>
    <row r="2630">
      <c r="B2630" s="11">
        <f>IFERROR(__xludf.DUMMYFUNCTION("""COMPUTED_VALUE"""),42209.66666666667)</f>
        <v>42209.66667</v>
      </c>
      <c r="C2630" s="9">
        <f>IFERROR(__xludf.DUMMYFUNCTION("""COMPUTED_VALUE"""),39.86)</f>
        <v>39.86</v>
      </c>
      <c r="E2630" s="17"/>
      <c r="M2630" s="17"/>
      <c r="P2630" s="17"/>
    </row>
    <row r="2631">
      <c r="B2631" s="11">
        <f>IFERROR(__xludf.DUMMYFUNCTION("""COMPUTED_VALUE"""),42208.66666666667)</f>
        <v>42208.66667</v>
      </c>
      <c r="C2631" s="9">
        <f>IFERROR(__xludf.DUMMYFUNCTION("""COMPUTED_VALUE"""),39.92)</f>
        <v>39.92</v>
      </c>
      <c r="E2631" s="17"/>
      <c r="M2631" s="17"/>
      <c r="P2631" s="17"/>
    </row>
    <row r="2632">
      <c r="B2632" s="11">
        <f>IFERROR(__xludf.DUMMYFUNCTION("""COMPUTED_VALUE"""),42207.66666666667)</f>
        <v>42207.66667</v>
      </c>
      <c r="C2632" s="9">
        <f>IFERROR(__xludf.DUMMYFUNCTION("""COMPUTED_VALUE"""),40.14)</f>
        <v>40.14</v>
      </c>
      <c r="E2632" s="17"/>
      <c r="M2632" s="17"/>
      <c r="P2632" s="17"/>
    </row>
    <row r="2633">
      <c r="B2633" s="11">
        <f>IFERROR(__xludf.DUMMYFUNCTION("""COMPUTED_VALUE"""),42206.66666666667)</f>
        <v>42206.66667</v>
      </c>
      <c r="C2633" s="9">
        <f>IFERROR(__xludf.DUMMYFUNCTION("""COMPUTED_VALUE"""),40.31)</f>
        <v>40.31</v>
      </c>
      <c r="E2633" s="17"/>
      <c r="M2633" s="17"/>
      <c r="P2633" s="17"/>
    </row>
    <row r="2634">
      <c r="B2634" s="11">
        <f>IFERROR(__xludf.DUMMYFUNCTION("""COMPUTED_VALUE"""),42205.66666666667)</f>
        <v>42205.66667</v>
      </c>
      <c r="C2634" s="9">
        <f>IFERROR(__xludf.DUMMYFUNCTION("""COMPUTED_VALUE"""),39.65)</f>
        <v>39.65</v>
      </c>
      <c r="E2634" s="17"/>
      <c r="M2634" s="17"/>
      <c r="P2634" s="17"/>
    </row>
    <row r="2635">
      <c r="B2635" s="11">
        <f>IFERROR(__xludf.DUMMYFUNCTION("""COMPUTED_VALUE"""),42202.66666666667)</f>
        <v>42202.66667</v>
      </c>
      <c r="C2635" s="9">
        <f>IFERROR(__xludf.DUMMYFUNCTION("""COMPUTED_VALUE"""),39.5)</f>
        <v>39.5</v>
      </c>
      <c r="E2635" s="17"/>
      <c r="M2635" s="17"/>
      <c r="P2635" s="17"/>
    </row>
    <row r="2636">
      <c r="B2636" s="11">
        <f>IFERROR(__xludf.DUMMYFUNCTION("""COMPUTED_VALUE"""),42201.66666666667)</f>
        <v>42201.66667</v>
      </c>
      <c r="C2636" s="9">
        <f>IFERROR(__xludf.DUMMYFUNCTION("""COMPUTED_VALUE"""),39.5)</f>
        <v>39.5</v>
      </c>
      <c r="E2636" s="17"/>
      <c r="M2636" s="17"/>
      <c r="P2636" s="17"/>
    </row>
    <row r="2637">
      <c r="B2637" s="11">
        <f>IFERROR(__xludf.DUMMYFUNCTION("""COMPUTED_VALUE"""),42200.66666666667)</f>
        <v>42200.66667</v>
      </c>
      <c r="C2637" s="9">
        <f>IFERROR(__xludf.DUMMYFUNCTION("""COMPUTED_VALUE"""),39.0)</f>
        <v>39</v>
      </c>
      <c r="E2637" s="17"/>
      <c r="M2637" s="17"/>
      <c r="P2637" s="17"/>
    </row>
    <row r="2638">
      <c r="B2638" s="11">
        <f>IFERROR(__xludf.DUMMYFUNCTION("""COMPUTED_VALUE"""),42199.66666666667)</f>
        <v>42199.66667</v>
      </c>
      <c r="C2638" s="9">
        <f>IFERROR(__xludf.DUMMYFUNCTION("""COMPUTED_VALUE"""),38.89)</f>
        <v>38.89</v>
      </c>
      <c r="E2638" s="17"/>
      <c r="M2638" s="17"/>
      <c r="P2638" s="17"/>
    </row>
    <row r="2639">
      <c r="B2639" s="11">
        <f>IFERROR(__xludf.DUMMYFUNCTION("""COMPUTED_VALUE"""),42198.66666666667)</f>
        <v>42198.66667</v>
      </c>
      <c r="C2639" s="9">
        <f>IFERROR(__xludf.DUMMYFUNCTION("""COMPUTED_VALUE"""),38.85)</f>
        <v>38.85</v>
      </c>
      <c r="E2639" s="17"/>
      <c r="M2639" s="17"/>
      <c r="P2639" s="17"/>
    </row>
    <row r="2640">
      <c r="B2640" s="11">
        <f>IFERROR(__xludf.DUMMYFUNCTION("""COMPUTED_VALUE"""),42195.66666666667)</f>
        <v>42195.66667</v>
      </c>
      <c r="C2640" s="9">
        <f>IFERROR(__xludf.DUMMYFUNCTION("""COMPUTED_VALUE"""),38.57)</f>
        <v>38.57</v>
      </c>
      <c r="E2640" s="17"/>
      <c r="M2640" s="17"/>
      <c r="P2640" s="17"/>
    </row>
    <row r="2641">
      <c r="B2641" s="11">
        <f>IFERROR(__xludf.DUMMYFUNCTION("""COMPUTED_VALUE"""),42194.66666666667)</f>
        <v>42194.66667</v>
      </c>
      <c r="C2641" s="9">
        <f>IFERROR(__xludf.DUMMYFUNCTION("""COMPUTED_VALUE"""),38.25)</f>
        <v>38.25</v>
      </c>
      <c r="E2641" s="17"/>
      <c r="M2641" s="17"/>
      <c r="P2641" s="17"/>
    </row>
    <row r="2642">
      <c r="B2642" s="11">
        <f>IFERROR(__xludf.DUMMYFUNCTION("""COMPUTED_VALUE"""),42193.66666666667)</f>
        <v>42193.66667</v>
      </c>
      <c r="C2642" s="9">
        <f>IFERROR(__xludf.DUMMYFUNCTION("""COMPUTED_VALUE"""),38.21)</f>
        <v>38.21</v>
      </c>
      <c r="E2642" s="17"/>
      <c r="M2642" s="17"/>
      <c r="P2642" s="17"/>
    </row>
    <row r="2643">
      <c r="B2643" s="11">
        <f>IFERROR(__xludf.DUMMYFUNCTION("""COMPUTED_VALUE"""),42192.66666666667)</f>
        <v>42192.66667</v>
      </c>
      <c r="C2643" s="9">
        <f>IFERROR(__xludf.DUMMYFUNCTION("""COMPUTED_VALUE"""),38.7)</f>
        <v>38.7</v>
      </c>
      <c r="E2643" s="17"/>
      <c r="M2643" s="17"/>
      <c r="P2643" s="17"/>
    </row>
    <row r="2644">
      <c r="B2644" s="11">
        <f>IFERROR(__xludf.DUMMYFUNCTION("""COMPUTED_VALUE"""),42191.66666666667)</f>
        <v>42191.66667</v>
      </c>
      <c r="C2644" s="9">
        <f>IFERROR(__xludf.DUMMYFUNCTION("""COMPUTED_VALUE"""),37.89)</f>
        <v>37.89</v>
      </c>
      <c r="E2644" s="17"/>
      <c r="M2644" s="17"/>
      <c r="P2644" s="17"/>
    </row>
    <row r="2645">
      <c r="B2645" s="11">
        <f>IFERROR(__xludf.DUMMYFUNCTION("""COMPUTED_VALUE"""),42187.66666666667)</f>
        <v>42187.66667</v>
      </c>
      <c r="C2645" s="9">
        <f>IFERROR(__xludf.DUMMYFUNCTION("""COMPUTED_VALUE"""),37.93)</f>
        <v>37.93</v>
      </c>
      <c r="E2645" s="17"/>
      <c r="M2645" s="17"/>
      <c r="P2645" s="17"/>
    </row>
    <row r="2646">
      <c r="B2646" s="11">
        <f>IFERROR(__xludf.DUMMYFUNCTION("""COMPUTED_VALUE"""),42186.66666666667)</f>
        <v>42186.66667</v>
      </c>
      <c r="C2646" s="9">
        <f>IFERROR(__xludf.DUMMYFUNCTION("""COMPUTED_VALUE"""),37.8)</f>
        <v>37.8</v>
      </c>
      <c r="E2646" s="17"/>
      <c r="M2646" s="17"/>
      <c r="P2646" s="17"/>
    </row>
    <row r="2647">
      <c r="B2647" s="11">
        <f>IFERROR(__xludf.DUMMYFUNCTION("""COMPUTED_VALUE"""),42185.66666666667)</f>
        <v>42185.66667</v>
      </c>
      <c r="C2647" s="9">
        <f>IFERROR(__xludf.DUMMYFUNCTION("""COMPUTED_VALUE"""),37.1)</f>
        <v>37.1</v>
      </c>
      <c r="E2647" s="17"/>
      <c r="M2647" s="17"/>
      <c r="P2647" s="17"/>
    </row>
    <row r="2648">
      <c r="B2648" s="11">
        <f>IFERROR(__xludf.DUMMYFUNCTION("""COMPUTED_VALUE"""),42184.66666666667)</f>
        <v>42184.66667</v>
      </c>
      <c r="C2648" s="9">
        <f>IFERROR(__xludf.DUMMYFUNCTION("""COMPUTED_VALUE"""),37.16)</f>
        <v>37.16</v>
      </c>
      <c r="E2648" s="17"/>
      <c r="M2648" s="17"/>
      <c r="P2648" s="17"/>
    </row>
    <row r="2649">
      <c r="B2649" s="11">
        <f>IFERROR(__xludf.DUMMYFUNCTION("""COMPUTED_VALUE"""),42181.66666666667)</f>
        <v>42181.66667</v>
      </c>
      <c r="C2649" s="9">
        <f>IFERROR(__xludf.DUMMYFUNCTION("""COMPUTED_VALUE"""),38.24)</f>
        <v>38.24</v>
      </c>
      <c r="E2649" s="17"/>
      <c r="M2649" s="17"/>
      <c r="P2649" s="17"/>
    </row>
    <row r="2650">
      <c r="B2650" s="11">
        <f>IFERROR(__xludf.DUMMYFUNCTION("""COMPUTED_VALUE"""),42180.66666666667)</f>
        <v>42180.66667</v>
      </c>
      <c r="C2650" s="9">
        <f>IFERROR(__xludf.DUMMYFUNCTION("""COMPUTED_VALUE"""),38.11)</f>
        <v>38.11</v>
      </c>
      <c r="E2650" s="17"/>
      <c r="M2650" s="17"/>
      <c r="P2650" s="17"/>
    </row>
    <row r="2651">
      <c r="B2651" s="11">
        <f>IFERROR(__xludf.DUMMYFUNCTION("""COMPUTED_VALUE"""),42179.66666666667)</f>
        <v>42179.66667</v>
      </c>
      <c r="C2651" s="9">
        <f>IFERROR(__xludf.DUMMYFUNCTION("""COMPUTED_VALUE"""),38.62)</f>
        <v>38.62</v>
      </c>
      <c r="E2651" s="17"/>
      <c r="M2651" s="17"/>
      <c r="P2651" s="17"/>
    </row>
    <row r="2652">
      <c r="B2652" s="11">
        <f>IFERROR(__xludf.DUMMYFUNCTION("""COMPUTED_VALUE"""),42178.66666666667)</f>
        <v>42178.66667</v>
      </c>
      <c r="C2652" s="9">
        <f>IFERROR(__xludf.DUMMYFUNCTION("""COMPUTED_VALUE"""),38.8)</f>
        <v>38.8</v>
      </c>
      <c r="E2652" s="17"/>
      <c r="M2652" s="17"/>
      <c r="P2652" s="17"/>
    </row>
    <row r="2653">
      <c r="B2653" s="11">
        <f>IFERROR(__xludf.DUMMYFUNCTION("""COMPUTED_VALUE"""),42177.66666666667)</f>
        <v>42177.66667</v>
      </c>
      <c r="C2653" s="9">
        <f>IFERROR(__xludf.DUMMYFUNCTION("""COMPUTED_VALUE"""),39.22)</f>
        <v>39.22</v>
      </c>
      <c r="E2653" s="17"/>
      <c r="M2653" s="17"/>
      <c r="P2653" s="17"/>
    </row>
    <row r="2654">
      <c r="B2654" s="11">
        <f>IFERROR(__xludf.DUMMYFUNCTION("""COMPUTED_VALUE"""),42174.66666666667)</f>
        <v>42174.66667</v>
      </c>
      <c r="C2654" s="9">
        <f>IFERROR(__xludf.DUMMYFUNCTION("""COMPUTED_VALUE"""),39.3)</f>
        <v>39.3</v>
      </c>
      <c r="E2654" s="17"/>
      <c r="M2654" s="17"/>
      <c r="P2654" s="17"/>
    </row>
    <row r="2655">
      <c r="B2655" s="11">
        <f>IFERROR(__xludf.DUMMYFUNCTION("""COMPUTED_VALUE"""),42173.66666666667)</f>
        <v>42173.66667</v>
      </c>
      <c r="C2655" s="9">
        <f>IFERROR(__xludf.DUMMYFUNCTION("""COMPUTED_VALUE"""),39.75)</f>
        <v>39.75</v>
      </c>
      <c r="E2655" s="17"/>
      <c r="M2655" s="17"/>
      <c r="P2655" s="17"/>
    </row>
    <row r="2656">
      <c r="B2656" s="11">
        <f>IFERROR(__xludf.DUMMYFUNCTION("""COMPUTED_VALUE"""),42172.66666666667)</f>
        <v>42172.66667</v>
      </c>
      <c r="C2656" s="9">
        <f>IFERROR(__xludf.DUMMYFUNCTION("""COMPUTED_VALUE"""),39.4)</f>
        <v>39.4</v>
      </c>
      <c r="E2656" s="17"/>
      <c r="M2656" s="17"/>
      <c r="P2656" s="17"/>
    </row>
    <row r="2657">
      <c r="B2657" s="11">
        <f>IFERROR(__xludf.DUMMYFUNCTION("""COMPUTED_VALUE"""),42171.66666666667)</f>
        <v>42171.66667</v>
      </c>
      <c r="C2657" s="9">
        <f>IFERROR(__xludf.DUMMYFUNCTION("""COMPUTED_VALUE"""),39.2)</f>
        <v>39.2</v>
      </c>
      <c r="E2657" s="17"/>
      <c r="M2657" s="17"/>
      <c r="P2657" s="17"/>
    </row>
    <row r="2658">
      <c r="B2658" s="11">
        <f>IFERROR(__xludf.DUMMYFUNCTION("""COMPUTED_VALUE"""),42170.66666666667)</f>
        <v>42170.66667</v>
      </c>
      <c r="C2658" s="9">
        <f>IFERROR(__xludf.DUMMYFUNCTION("""COMPUTED_VALUE"""),39.03)</f>
        <v>39.03</v>
      </c>
      <c r="E2658" s="17"/>
      <c r="M2658" s="17"/>
      <c r="P2658" s="17"/>
    </row>
    <row r="2659">
      <c r="B2659" s="11">
        <f>IFERROR(__xludf.DUMMYFUNCTION("""COMPUTED_VALUE"""),42167.66666666667)</f>
        <v>42167.66667</v>
      </c>
      <c r="C2659" s="9">
        <f>IFERROR(__xludf.DUMMYFUNCTION("""COMPUTED_VALUE"""),39.29)</f>
        <v>39.29</v>
      </c>
      <c r="E2659" s="17"/>
      <c r="M2659" s="17"/>
      <c r="P2659" s="17"/>
    </row>
    <row r="2660">
      <c r="B2660" s="11">
        <f>IFERROR(__xludf.DUMMYFUNCTION("""COMPUTED_VALUE"""),42166.66666666667)</f>
        <v>42166.66667</v>
      </c>
      <c r="C2660" s="9">
        <f>IFERROR(__xludf.DUMMYFUNCTION("""COMPUTED_VALUE"""),39.65)</f>
        <v>39.65</v>
      </c>
      <c r="E2660" s="17"/>
      <c r="M2660" s="17"/>
      <c r="P2660" s="17"/>
    </row>
    <row r="2661">
      <c r="B2661" s="11">
        <f>IFERROR(__xludf.DUMMYFUNCTION("""COMPUTED_VALUE"""),42165.66666666667)</f>
        <v>42165.66667</v>
      </c>
      <c r="C2661" s="9">
        <f>IFERROR(__xludf.DUMMYFUNCTION("""COMPUTED_VALUE"""),39.39)</f>
        <v>39.39</v>
      </c>
      <c r="E2661" s="17"/>
      <c r="M2661" s="17"/>
      <c r="P2661" s="17"/>
    </row>
    <row r="2662">
      <c r="B2662" s="11">
        <f>IFERROR(__xludf.DUMMYFUNCTION("""COMPUTED_VALUE"""),42164.66666666667)</f>
        <v>42164.66667</v>
      </c>
      <c r="C2662" s="9">
        <f>IFERROR(__xludf.DUMMYFUNCTION("""COMPUTED_VALUE"""),39.07)</f>
        <v>39.07</v>
      </c>
      <c r="E2662" s="17"/>
      <c r="M2662" s="17"/>
      <c r="P2662" s="17"/>
    </row>
    <row r="2663">
      <c r="B2663" s="11">
        <f>IFERROR(__xludf.DUMMYFUNCTION("""COMPUTED_VALUE"""),42163.66666666667)</f>
        <v>42163.66667</v>
      </c>
      <c r="C2663" s="9">
        <f>IFERROR(__xludf.DUMMYFUNCTION("""COMPUTED_VALUE"""),39.8)</f>
        <v>39.8</v>
      </c>
      <c r="E2663" s="17"/>
      <c r="M2663" s="17"/>
      <c r="P2663" s="17"/>
    </row>
    <row r="2664">
      <c r="B2664" s="11">
        <f>IFERROR(__xludf.DUMMYFUNCTION("""COMPUTED_VALUE"""),42160.66666666667)</f>
        <v>42160.66667</v>
      </c>
      <c r="C2664" s="9">
        <f>IFERROR(__xludf.DUMMYFUNCTION("""COMPUTED_VALUE"""),39.98)</f>
        <v>39.98</v>
      </c>
      <c r="E2664" s="17"/>
      <c r="M2664" s="17"/>
      <c r="P2664" s="17"/>
    </row>
    <row r="2665">
      <c r="B2665" s="11">
        <f>IFERROR(__xludf.DUMMYFUNCTION("""COMPUTED_VALUE"""),42159.66666666667)</f>
        <v>42159.66667</v>
      </c>
      <c r="C2665" s="9">
        <f>IFERROR(__xludf.DUMMYFUNCTION("""COMPUTED_VALUE"""),40.06)</f>
        <v>40.06</v>
      </c>
      <c r="E2665" s="17"/>
      <c r="M2665" s="17"/>
      <c r="P2665" s="17"/>
    </row>
    <row r="2666">
      <c r="B2666" s="11">
        <f>IFERROR(__xludf.DUMMYFUNCTION("""COMPUTED_VALUE"""),42158.66666666667)</f>
        <v>42158.66667</v>
      </c>
      <c r="C2666" s="9">
        <f>IFERROR(__xludf.DUMMYFUNCTION("""COMPUTED_VALUE"""),39.95)</f>
        <v>39.95</v>
      </c>
      <c r="E2666" s="17"/>
      <c r="M2666" s="17"/>
      <c r="P2666" s="17"/>
    </row>
    <row r="2667">
      <c r="B2667" s="11">
        <f>IFERROR(__xludf.DUMMYFUNCTION("""COMPUTED_VALUE"""),42157.66666666667)</f>
        <v>42157.66667</v>
      </c>
      <c r="C2667" s="9">
        <f>IFERROR(__xludf.DUMMYFUNCTION("""COMPUTED_VALUE"""),40.17)</f>
        <v>40.17</v>
      </c>
      <c r="E2667" s="17"/>
      <c r="M2667" s="17"/>
      <c r="P2667" s="17"/>
    </row>
    <row r="2668">
      <c r="B2668" s="11">
        <f>IFERROR(__xludf.DUMMYFUNCTION("""COMPUTED_VALUE"""),42156.66666666667)</f>
        <v>42156.66667</v>
      </c>
      <c r="C2668" s="9">
        <f>IFERROR(__xludf.DUMMYFUNCTION("""COMPUTED_VALUE"""),40.12)</f>
        <v>40.12</v>
      </c>
      <c r="E2668" s="17"/>
      <c r="M2668" s="17"/>
      <c r="P2668" s="17"/>
    </row>
    <row r="2669">
      <c r="B2669" s="11">
        <f>IFERROR(__xludf.DUMMYFUNCTION("""COMPUTED_VALUE"""),42153.66666666667)</f>
        <v>42153.66667</v>
      </c>
      <c r="C2669" s="9">
        <f>IFERROR(__xludf.DUMMYFUNCTION("""COMPUTED_VALUE"""),39.59)</f>
        <v>39.59</v>
      </c>
      <c r="E2669" s="17"/>
      <c r="M2669" s="17"/>
      <c r="P2669" s="17"/>
    </row>
    <row r="2670">
      <c r="B2670" s="11">
        <f>IFERROR(__xludf.DUMMYFUNCTION("""COMPUTED_VALUE"""),42152.66666666667)</f>
        <v>42152.66667</v>
      </c>
      <c r="C2670" s="9">
        <f>IFERROR(__xludf.DUMMYFUNCTION("""COMPUTED_VALUE"""),40.26)</f>
        <v>40.26</v>
      </c>
      <c r="E2670" s="17"/>
      <c r="M2670" s="17"/>
      <c r="P2670" s="17"/>
    </row>
    <row r="2671">
      <c r="B2671" s="11">
        <f>IFERROR(__xludf.DUMMYFUNCTION("""COMPUTED_VALUE"""),42151.66666666667)</f>
        <v>42151.66667</v>
      </c>
      <c r="C2671" s="9">
        <f>IFERROR(__xludf.DUMMYFUNCTION("""COMPUTED_VALUE"""),40.37)</f>
        <v>40.37</v>
      </c>
      <c r="E2671" s="17"/>
      <c r="M2671" s="17"/>
      <c r="P2671" s="17"/>
    </row>
    <row r="2672">
      <c r="B2672" s="11">
        <f>IFERROR(__xludf.DUMMYFUNCTION("""COMPUTED_VALUE"""),42150.66666666667)</f>
        <v>42150.66667</v>
      </c>
      <c r="C2672" s="9">
        <f>IFERROR(__xludf.DUMMYFUNCTION("""COMPUTED_VALUE"""),39.95)</f>
        <v>39.95</v>
      </c>
      <c r="E2672" s="17"/>
      <c r="M2672" s="17"/>
      <c r="P2672" s="17"/>
    </row>
    <row r="2673">
      <c r="B2673" s="11">
        <f>IFERROR(__xludf.DUMMYFUNCTION("""COMPUTED_VALUE"""),42146.66666666667)</f>
        <v>42146.66667</v>
      </c>
      <c r="C2673" s="9">
        <f>IFERROR(__xludf.DUMMYFUNCTION("""COMPUTED_VALUE"""),40.28)</f>
        <v>40.28</v>
      </c>
      <c r="E2673" s="17"/>
      <c r="M2673" s="17"/>
      <c r="P2673" s="17"/>
    </row>
    <row r="2674">
      <c r="B2674" s="11">
        <f>IFERROR(__xludf.DUMMYFUNCTION("""COMPUTED_VALUE"""),42145.66666666667)</f>
        <v>42145.66667</v>
      </c>
      <c r="C2674" s="9">
        <f>IFERROR(__xludf.DUMMYFUNCTION("""COMPUTED_VALUE"""),40.33)</f>
        <v>40.33</v>
      </c>
      <c r="E2674" s="17"/>
      <c r="M2674" s="17"/>
      <c r="P2674" s="17"/>
    </row>
    <row r="2675">
      <c r="B2675" s="11">
        <f>IFERROR(__xludf.DUMMYFUNCTION("""COMPUTED_VALUE"""),42144.66666666667)</f>
        <v>42144.66667</v>
      </c>
      <c r="C2675" s="9">
        <f>IFERROR(__xludf.DUMMYFUNCTION("""COMPUTED_VALUE"""),40.75)</f>
        <v>40.75</v>
      </c>
      <c r="E2675" s="17"/>
      <c r="M2675" s="17"/>
      <c r="P2675" s="17"/>
    </row>
    <row r="2676">
      <c r="B2676" s="11">
        <f>IFERROR(__xludf.DUMMYFUNCTION("""COMPUTED_VALUE"""),42143.66666666667)</f>
        <v>42143.66667</v>
      </c>
      <c r="C2676" s="9">
        <f>IFERROR(__xludf.DUMMYFUNCTION("""COMPUTED_VALUE"""),40.55)</f>
        <v>40.55</v>
      </c>
      <c r="E2676" s="17"/>
      <c r="M2676" s="17"/>
      <c r="P2676" s="17"/>
    </row>
    <row r="2677">
      <c r="B2677" s="11">
        <f>IFERROR(__xludf.DUMMYFUNCTION("""COMPUTED_VALUE"""),42142.66666666667)</f>
        <v>42142.66667</v>
      </c>
      <c r="C2677" s="9">
        <f>IFERROR(__xludf.DUMMYFUNCTION("""COMPUTED_VALUE"""),40.58)</f>
        <v>40.58</v>
      </c>
      <c r="E2677" s="17"/>
      <c r="M2677" s="17"/>
      <c r="P2677" s="17"/>
    </row>
    <row r="2678">
      <c r="B2678" s="11">
        <f>IFERROR(__xludf.DUMMYFUNCTION("""COMPUTED_VALUE"""),42139.66666666667)</f>
        <v>42139.66667</v>
      </c>
      <c r="C2678" s="9">
        <f>IFERROR(__xludf.DUMMYFUNCTION("""COMPUTED_VALUE"""),40.73)</f>
        <v>40.73</v>
      </c>
      <c r="E2678" s="17"/>
      <c r="M2678" s="17"/>
      <c r="P2678" s="17"/>
    </row>
    <row r="2679">
      <c r="B2679" s="11">
        <f>IFERROR(__xludf.DUMMYFUNCTION("""COMPUTED_VALUE"""),42138.66666666667)</f>
        <v>42138.66667</v>
      </c>
      <c r="C2679" s="9">
        <f>IFERROR(__xludf.DUMMYFUNCTION("""COMPUTED_VALUE"""),40.27)</f>
        <v>40.27</v>
      </c>
      <c r="E2679" s="17"/>
      <c r="M2679" s="17"/>
      <c r="P2679" s="17"/>
    </row>
    <row r="2680">
      <c r="B2680" s="11">
        <f>IFERROR(__xludf.DUMMYFUNCTION("""COMPUTED_VALUE"""),42137.66666666667)</f>
        <v>42137.66667</v>
      </c>
      <c r="C2680" s="9">
        <f>IFERROR(__xludf.DUMMYFUNCTION("""COMPUTED_VALUE"""),39.91)</f>
        <v>39.91</v>
      </c>
      <c r="E2680" s="17"/>
      <c r="M2680" s="17"/>
      <c r="P2680" s="17"/>
    </row>
    <row r="2681">
      <c r="B2681" s="11">
        <f>IFERROR(__xludf.DUMMYFUNCTION("""COMPUTED_VALUE"""),42136.66666666667)</f>
        <v>42136.66667</v>
      </c>
      <c r="C2681" s="9">
        <f>IFERROR(__xludf.DUMMYFUNCTION("""COMPUTED_VALUE"""),40.35)</f>
        <v>40.35</v>
      </c>
      <c r="E2681" s="17"/>
      <c r="M2681" s="17"/>
      <c r="P2681" s="17"/>
    </row>
    <row r="2682">
      <c r="B2682" s="11">
        <f>IFERROR(__xludf.DUMMYFUNCTION("""COMPUTED_VALUE"""),42135.66666666667)</f>
        <v>42135.66667</v>
      </c>
      <c r="C2682" s="9">
        <f>IFERROR(__xludf.DUMMYFUNCTION("""COMPUTED_VALUE"""),40.44)</f>
        <v>40.44</v>
      </c>
      <c r="E2682" s="17"/>
      <c r="M2682" s="17"/>
      <c r="P2682" s="17"/>
    </row>
    <row r="2683">
      <c r="B2683" s="11">
        <f>IFERROR(__xludf.DUMMYFUNCTION("""COMPUTED_VALUE"""),42132.66666666667)</f>
        <v>42132.66667</v>
      </c>
      <c r="C2683" s="9">
        <f>IFERROR(__xludf.DUMMYFUNCTION("""COMPUTED_VALUE"""),40.75)</f>
        <v>40.75</v>
      </c>
      <c r="E2683" s="17"/>
      <c r="M2683" s="17"/>
      <c r="P2683" s="17"/>
    </row>
    <row r="2684">
      <c r="B2684" s="11">
        <f>IFERROR(__xludf.DUMMYFUNCTION("""COMPUTED_VALUE"""),42131.66666666667)</f>
        <v>42131.66667</v>
      </c>
      <c r="C2684" s="9">
        <f>IFERROR(__xludf.DUMMYFUNCTION("""COMPUTED_VALUE"""),40.23)</f>
        <v>40.23</v>
      </c>
      <c r="E2684" s="17"/>
      <c r="M2684" s="17"/>
      <c r="P2684" s="17"/>
    </row>
    <row r="2685">
      <c r="B2685" s="11">
        <f>IFERROR(__xludf.DUMMYFUNCTION("""COMPUTED_VALUE"""),42130.66666666667)</f>
        <v>42130.66667</v>
      </c>
      <c r="C2685" s="9">
        <f>IFERROR(__xludf.DUMMYFUNCTION("""COMPUTED_VALUE"""),39.61)</f>
        <v>39.61</v>
      </c>
      <c r="E2685" s="17"/>
      <c r="M2685" s="17"/>
      <c r="P2685" s="17"/>
    </row>
    <row r="2686">
      <c r="B2686" s="11">
        <f>IFERROR(__xludf.DUMMYFUNCTION("""COMPUTED_VALUE"""),42129.66666666667)</f>
        <v>42129.66667</v>
      </c>
      <c r="C2686" s="9">
        <f>IFERROR(__xludf.DUMMYFUNCTION("""COMPUTED_VALUE"""),39.51)</f>
        <v>39.51</v>
      </c>
      <c r="E2686" s="17"/>
      <c r="M2686" s="17"/>
      <c r="P2686" s="17"/>
    </row>
    <row r="2687">
      <c r="B2687" s="11">
        <f>IFERROR(__xludf.DUMMYFUNCTION("""COMPUTED_VALUE"""),42128.66666666667)</f>
        <v>42128.66667</v>
      </c>
      <c r="C2687" s="9">
        <f>IFERROR(__xludf.DUMMYFUNCTION("""COMPUTED_VALUE"""),40.37)</f>
        <v>40.37</v>
      </c>
      <c r="E2687" s="17"/>
      <c r="M2687" s="17"/>
      <c r="P2687" s="17"/>
    </row>
    <row r="2688">
      <c r="B2688" s="11">
        <f>IFERROR(__xludf.DUMMYFUNCTION("""COMPUTED_VALUE"""),42125.66666666667)</f>
        <v>42125.66667</v>
      </c>
      <c r="C2688" s="9">
        <f>IFERROR(__xludf.DUMMYFUNCTION("""COMPUTED_VALUE"""),40.42)</f>
        <v>40.42</v>
      </c>
      <c r="E2688" s="17"/>
      <c r="M2688" s="17"/>
      <c r="P2688" s="17"/>
    </row>
    <row r="2689">
      <c r="B2689" s="11">
        <f>IFERROR(__xludf.DUMMYFUNCTION("""COMPUTED_VALUE"""),42124.66666666667)</f>
        <v>42124.66667</v>
      </c>
      <c r="C2689" s="9">
        <f>IFERROR(__xludf.DUMMYFUNCTION("""COMPUTED_VALUE"""),40.2)</f>
        <v>40.2</v>
      </c>
      <c r="E2689" s="17"/>
      <c r="M2689" s="17"/>
      <c r="P2689" s="17"/>
    </row>
    <row r="2690">
      <c r="B2690" s="11">
        <f>IFERROR(__xludf.DUMMYFUNCTION("""COMPUTED_VALUE"""),42123.66666666667)</f>
        <v>42123.66667</v>
      </c>
      <c r="C2690" s="9">
        <f>IFERROR(__xludf.DUMMYFUNCTION("""COMPUTED_VALUE"""),41.08)</f>
        <v>41.08</v>
      </c>
      <c r="E2690" s="17"/>
      <c r="M2690" s="17"/>
      <c r="P2690" s="17"/>
    </row>
    <row r="2691">
      <c r="B2691" s="11">
        <f>IFERROR(__xludf.DUMMYFUNCTION("""COMPUTED_VALUE"""),42122.66666666667)</f>
        <v>42122.66667</v>
      </c>
      <c r="C2691" s="9">
        <f>IFERROR(__xludf.DUMMYFUNCTION("""COMPUTED_VALUE"""),42.23)</f>
        <v>42.23</v>
      </c>
      <c r="E2691" s="17"/>
      <c r="M2691" s="17"/>
      <c r="P2691" s="17"/>
    </row>
    <row r="2692">
      <c r="B2692" s="11">
        <f>IFERROR(__xludf.DUMMYFUNCTION("""COMPUTED_VALUE"""),42121.66666666667)</f>
        <v>42121.66667</v>
      </c>
      <c r="C2692" s="9">
        <f>IFERROR(__xludf.DUMMYFUNCTION("""COMPUTED_VALUE"""),42.45)</f>
        <v>42.45</v>
      </c>
      <c r="E2692" s="17"/>
      <c r="M2692" s="17"/>
      <c r="P2692" s="17"/>
    </row>
    <row r="2693">
      <c r="B2693" s="11">
        <f>IFERROR(__xludf.DUMMYFUNCTION("""COMPUTED_VALUE"""),42118.66666666667)</f>
        <v>42118.66667</v>
      </c>
      <c r="C2693" s="9">
        <f>IFERROR(__xludf.DUMMYFUNCTION("""COMPUTED_VALUE"""),42.56)</f>
        <v>42.56</v>
      </c>
      <c r="E2693" s="17"/>
      <c r="M2693" s="17"/>
      <c r="P2693" s="17"/>
    </row>
    <row r="2694">
      <c r="B2694" s="11">
        <f>IFERROR(__xludf.DUMMYFUNCTION("""COMPUTED_VALUE"""),42117.66666666667)</f>
        <v>42117.66667</v>
      </c>
      <c r="C2694" s="9">
        <f>IFERROR(__xludf.DUMMYFUNCTION("""COMPUTED_VALUE"""),42.56)</f>
        <v>42.56</v>
      </c>
      <c r="E2694" s="17"/>
      <c r="M2694" s="17"/>
      <c r="P2694" s="17"/>
    </row>
    <row r="2695">
      <c r="B2695" s="11">
        <f>IFERROR(__xludf.DUMMYFUNCTION("""COMPUTED_VALUE"""),42116.66666666667)</f>
        <v>42116.66667</v>
      </c>
      <c r="C2695" s="9">
        <f>IFERROR(__xludf.DUMMYFUNCTION("""COMPUTED_VALUE"""),42.36)</f>
        <v>42.36</v>
      </c>
      <c r="E2695" s="17"/>
      <c r="M2695" s="17"/>
      <c r="P2695" s="17"/>
    </row>
    <row r="2696">
      <c r="B2696" s="11">
        <f>IFERROR(__xludf.DUMMYFUNCTION("""COMPUTED_VALUE"""),42115.66666666667)</f>
        <v>42115.66667</v>
      </c>
      <c r="C2696" s="9">
        <f>IFERROR(__xludf.DUMMYFUNCTION("""COMPUTED_VALUE"""),42.76)</f>
        <v>42.76</v>
      </c>
      <c r="E2696" s="17"/>
      <c r="M2696" s="17"/>
      <c r="P2696" s="17"/>
    </row>
    <row r="2697">
      <c r="B2697" s="11">
        <f>IFERROR(__xludf.DUMMYFUNCTION("""COMPUTED_VALUE"""),42114.66666666667)</f>
        <v>42114.66667</v>
      </c>
      <c r="C2697" s="9">
        <f>IFERROR(__xludf.DUMMYFUNCTION("""COMPUTED_VALUE"""),43.05)</f>
        <v>43.05</v>
      </c>
      <c r="E2697" s="17"/>
      <c r="M2697" s="17"/>
      <c r="P2697" s="17"/>
    </row>
    <row r="2698">
      <c r="B2698" s="11">
        <f>IFERROR(__xludf.DUMMYFUNCTION("""COMPUTED_VALUE"""),42111.66666666667)</f>
        <v>42111.66667</v>
      </c>
      <c r="C2698" s="9">
        <f>IFERROR(__xludf.DUMMYFUNCTION("""COMPUTED_VALUE"""),42.88)</f>
        <v>42.88</v>
      </c>
      <c r="E2698" s="17"/>
      <c r="M2698" s="17"/>
      <c r="P2698" s="17"/>
    </row>
    <row r="2699">
      <c r="B2699" s="11">
        <f>IFERROR(__xludf.DUMMYFUNCTION("""COMPUTED_VALUE"""),42110.66666666667)</f>
        <v>42110.66667</v>
      </c>
      <c r="C2699" s="9">
        <f>IFERROR(__xludf.DUMMYFUNCTION("""COMPUTED_VALUE"""),42.97)</f>
        <v>42.97</v>
      </c>
      <c r="E2699" s="17"/>
      <c r="M2699" s="17"/>
      <c r="P2699" s="17"/>
    </row>
    <row r="2700">
      <c r="B2700" s="11">
        <f>IFERROR(__xludf.DUMMYFUNCTION("""COMPUTED_VALUE"""),42109.66666666667)</f>
        <v>42109.66667</v>
      </c>
      <c r="C2700" s="9">
        <f>IFERROR(__xludf.DUMMYFUNCTION("""COMPUTED_VALUE"""),42.75)</f>
        <v>42.75</v>
      </c>
      <c r="E2700" s="17"/>
      <c r="M2700" s="17"/>
      <c r="P2700" s="17"/>
    </row>
    <row r="2701">
      <c r="B2701" s="11">
        <f>IFERROR(__xludf.DUMMYFUNCTION("""COMPUTED_VALUE"""),42108.66666666667)</f>
        <v>42108.66667</v>
      </c>
      <c r="C2701" s="9">
        <f>IFERROR(__xludf.DUMMYFUNCTION("""COMPUTED_VALUE"""),42.84)</f>
        <v>42.84</v>
      </c>
      <c r="E2701" s="17"/>
      <c r="M2701" s="17"/>
      <c r="P2701" s="17"/>
    </row>
    <row r="2702">
      <c r="B2702" s="11">
        <f>IFERROR(__xludf.DUMMYFUNCTION("""COMPUTED_VALUE"""),42107.66666666667)</f>
        <v>42107.66667</v>
      </c>
      <c r="C2702" s="9">
        <f>IFERROR(__xludf.DUMMYFUNCTION("""COMPUTED_VALUE"""),42.43)</f>
        <v>42.43</v>
      </c>
      <c r="E2702" s="17"/>
      <c r="M2702" s="17"/>
      <c r="P2702" s="17"/>
    </row>
    <row r="2703">
      <c r="B2703" s="11">
        <f>IFERROR(__xludf.DUMMYFUNCTION("""COMPUTED_VALUE"""),42104.66666666667)</f>
        <v>42104.66667</v>
      </c>
      <c r="C2703" s="9">
        <f>IFERROR(__xludf.DUMMYFUNCTION("""COMPUTED_VALUE"""),42.49)</f>
        <v>42.49</v>
      </c>
      <c r="E2703" s="17"/>
      <c r="M2703" s="17"/>
      <c r="P2703" s="17"/>
    </row>
    <row r="2704">
      <c r="B2704" s="11">
        <f>IFERROR(__xludf.DUMMYFUNCTION("""COMPUTED_VALUE"""),42103.66666666667)</f>
        <v>42103.66667</v>
      </c>
      <c r="C2704" s="9">
        <f>IFERROR(__xludf.DUMMYFUNCTION("""COMPUTED_VALUE"""),42.37)</f>
        <v>42.37</v>
      </c>
      <c r="E2704" s="17"/>
      <c r="M2704" s="17"/>
      <c r="P2704" s="17"/>
    </row>
    <row r="2705">
      <c r="B2705" s="11">
        <f>IFERROR(__xludf.DUMMYFUNCTION("""COMPUTED_VALUE"""),42102.66666666667)</f>
        <v>42102.66667</v>
      </c>
      <c r="C2705" s="9">
        <f>IFERROR(__xludf.DUMMYFUNCTION("""COMPUTED_VALUE"""),43.5)</f>
        <v>43.5</v>
      </c>
      <c r="E2705" s="17"/>
      <c r="M2705" s="17"/>
      <c r="P2705" s="17"/>
    </row>
    <row r="2706">
      <c r="B2706" s="11">
        <f>IFERROR(__xludf.DUMMYFUNCTION("""COMPUTED_VALUE"""),42101.66666666667)</f>
        <v>42101.66667</v>
      </c>
      <c r="C2706" s="9">
        <f>IFERROR(__xludf.DUMMYFUNCTION("""COMPUTED_VALUE"""),43.35)</f>
        <v>43.35</v>
      </c>
      <c r="E2706" s="17"/>
      <c r="M2706" s="17"/>
      <c r="P2706" s="17"/>
    </row>
    <row r="2707">
      <c r="B2707" s="11">
        <f>IFERROR(__xludf.DUMMYFUNCTION("""COMPUTED_VALUE"""),42100.66666666667)</f>
        <v>42100.66667</v>
      </c>
      <c r="C2707" s="9">
        <f>IFERROR(__xludf.DUMMYFUNCTION("""COMPUTED_VALUE"""),44.37)</f>
        <v>44.37</v>
      </c>
      <c r="E2707" s="17"/>
      <c r="M2707" s="17"/>
      <c r="P2707" s="17"/>
    </row>
    <row r="2708">
      <c r="B2708" s="11">
        <f>IFERROR(__xludf.DUMMYFUNCTION("""COMPUTED_VALUE"""),42096.66666666667)</f>
        <v>42096.66667</v>
      </c>
      <c r="C2708" s="9">
        <f>IFERROR(__xludf.DUMMYFUNCTION("""COMPUTED_VALUE"""),43.59)</f>
        <v>43.59</v>
      </c>
      <c r="E2708" s="17"/>
      <c r="M2708" s="17"/>
      <c r="P2708" s="17"/>
    </row>
    <row r="2709">
      <c r="B2709" s="11">
        <f>IFERROR(__xludf.DUMMYFUNCTION("""COMPUTED_VALUE"""),42095.66666666667)</f>
        <v>42095.66667</v>
      </c>
      <c r="C2709" s="9">
        <f>IFERROR(__xludf.DUMMYFUNCTION("""COMPUTED_VALUE"""),43.39)</f>
        <v>43.39</v>
      </c>
      <c r="E2709" s="17"/>
      <c r="M2709" s="17"/>
      <c r="P2709" s="17"/>
    </row>
    <row r="2710">
      <c r="B2710" s="11">
        <f>IFERROR(__xludf.DUMMYFUNCTION("""COMPUTED_VALUE"""),42094.66666666667)</f>
        <v>42094.66667</v>
      </c>
      <c r="C2710" s="9">
        <f>IFERROR(__xludf.DUMMYFUNCTION("""COMPUTED_VALUE"""),43.56)</f>
        <v>43.56</v>
      </c>
      <c r="E2710" s="17"/>
      <c r="M2710" s="17"/>
      <c r="P2710" s="17"/>
    </row>
    <row r="2711">
      <c r="B2711" s="11">
        <f>IFERROR(__xludf.DUMMYFUNCTION("""COMPUTED_VALUE"""),42093.66666666667)</f>
        <v>42093.66667</v>
      </c>
      <c r="C2711" s="9">
        <f>IFERROR(__xludf.DUMMYFUNCTION("""COMPUTED_VALUE"""),43.96)</f>
        <v>43.96</v>
      </c>
      <c r="E2711" s="17"/>
      <c r="M2711" s="17"/>
      <c r="P2711" s="17"/>
    </row>
    <row r="2712">
      <c r="B2712" s="11">
        <f>IFERROR(__xludf.DUMMYFUNCTION("""COMPUTED_VALUE"""),42090.66666666667)</f>
        <v>42090.66667</v>
      </c>
      <c r="C2712" s="9">
        <f>IFERROR(__xludf.DUMMYFUNCTION("""COMPUTED_VALUE"""),43.04)</f>
        <v>43.04</v>
      </c>
      <c r="E2712" s="17"/>
      <c r="M2712" s="17"/>
      <c r="P2712" s="17"/>
    </row>
    <row r="2713">
      <c r="B2713" s="11">
        <f>IFERROR(__xludf.DUMMYFUNCTION("""COMPUTED_VALUE"""),42089.66666666667)</f>
        <v>42089.66667</v>
      </c>
      <c r="C2713" s="9">
        <f>IFERROR(__xludf.DUMMYFUNCTION("""COMPUTED_VALUE"""),43.07)</f>
        <v>43.07</v>
      </c>
      <c r="E2713" s="17"/>
      <c r="M2713" s="17"/>
      <c r="P2713" s="17"/>
    </row>
    <row r="2714">
      <c r="B2714" s="11">
        <f>IFERROR(__xludf.DUMMYFUNCTION("""COMPUTED_VALUE"""),42088.66666666667)</f>
        <v>42088.66667</v>
      </c>
      <c r="C2714" s="9">
        <f>IFERROR(__xludf.DUMMYFUNCTION("""COMPUTED_VALUE"""),43.62)</f>
        <v>43.62</v>
      </c>
      <c r="E2714" s="17"/>
      <c r="M2714" s="17"/>
      <c r="P2714" s="17"/>
    </row>
    <row r="2715">
      <c r="B2715" s="11">
        <f>IFERROR(__xludf.DUMMYFUNCTION("""COMPUTED_VALUE"""),42087.66666666667)</f>
        <v>42087.66667</v>
      </c>
      <c r="C2715" s="9">
        <f>IFERROR(__xludf.DUMMYFUNCTION("""COMPUTED_VALUE"""),44.38)</f>
        <v>44.38</v>
      </c>
      <c r="E2715" s="17"/>
      <c r="M2715" s="17"/>
      <c r="P2715" s="17"/>
    </row>
    <row r="2716">
      <c r="B2716" s="11">
        <f>IFERROR(__xludf.DUMMYFUNCTION("""COMPUTED_VALUE"""),42086.66666666667)</f>
        <v>42086.66667</v>
      </c>
      <c r="C2716" s="9">
        <f>IFERROR(__xludf.DUMMYFUNCTION("""COMPUTED_VALUE"""),44.73)</f>
        <v>44.73</v>
      </c>
      <c r="E2716" s="17"/>
      <c r="M2716" s="17"/>
      <c r="P2716" s="17"/>
    </row>
    <row r="2717">
      <c r="B2717" s="11">
        <f>IFERROR(__xludf.DUMMYFUNCTION("""COMPUTED_VALUE"""),42083.66666666667)</f>
        <v>42083.66667</v>
      </c>
      <c r="C2717" s="9">
        <f>IFERROR(__xludf.DUMMYFUNCTION("""COMPUTED_VALUE"""),44.39)</f>
        <v>44.39</v>
      </c>
      <c r="E2717" s="17"/>
      <c r="M2717" s="17"/>
      <c r="P2717" s="17"/>
    </row>
    <row r="2718">
      <c r="B2718" s="11">
        <f>IFERROR(__xludf.DUMMYFUNCTION("""COMPUTED_VALUE"""),42082.66666666667)</f>
        <v>42082.66667</v>
      </c>
      <c r="C2718" s="9">
        <f>IFERROR(__xludf.DUMMYFUNCTION("""COMPUTED_VALUE"""),43.68)</f>
        <v>43.68</v>
      </c>
      <c r="E2718" s="17"/>
      <c r="M2718" s="17"/>
      <c r="P2718" s="17"/>
    </row>
    <row r="2719">
      <c r="B2719" s="11">
        <f>IFERROR(__xludf.DUMMYFUNCTION("""COMPUTED_VALUE"""),42081.66666666667)</f>
        <v>42081.66667</v>
      </c>
      <c r="C2719" s="9">
        <f>IFERROR(__xludf.DUMMYFUNCTION("""COMPUTED_VALUE"""),43.5)</f>
        <v>43.5</v>
      </c>
      <c r="E2719" s="17"/>
      <c r="M2719" s="17"/>
      <c r="P2719" s="17"/>
    </row>
    <row r="2720">
      <c r="B2720" s="11">
        <f>IFERROR(__xludf.DUMMYFUNCTION("""COMPUTED_VALUE"""),42080.66666666667)</f>
        <v>42080.66667</v>
      </c>
      <c r="C2720" s="9">
        <f>IFERROR(__xludf.DUMMYFUNCTION("""COMPUTED_VALUE"""),42.78)</f>
        <v>42.78</v>
      </c>
      <c r="E2720" s="17"/>
      <c r="M2720" s="17"/>
      <c r="P2720" s="17"/>
    </row>
    <row r="2721">
      <c r="B2721" s="11">
        <f>IFERROR(__xludf.DUMMYFUNCTION("""COMPUTED_VALUE"""),42079.66666666667)</f>
        <v>42079.66667</v>
      </c>
      <c r="C2721" s="9">
        <f>IFERROR(__xludf.DUMMYFUNCTION("""COMPUTED_VALUE"""),42.8)</f>
        <v>42.8</v>
      </c>
      <c r="E2721" s="17"/>
      <c r="M2721" s="17"/>
      <c r="P2721" s="17"/>
    </row>
    <row r="2722">
      <c r="B2722" s="11">
        <f>IFERROR(__xludf.DUMMYFUNCTION("""COMPUTED_VALUE"""),42076.66666666667)</f>
        <v>42076.66667</v>
      </c>
      <c r="C2722" s="9">
        <f>IFERROR(__xludf.DUMMYFUNCTION("""COMPUTED_VALUE"""),42.45)</f>
        <v>42.45</v>
      </c>
      <c r="E2722" s="17"/>
      <c r="M2722" s="17"/>
      <c r="P2722" s="17"/>
    </row>
    <row r="2723">
      <c r="B2723" s="11">
        <f>IFERROR(__xludf.DUMMYFUNCTION("""COMPUTED_VALUE"""),42075.66666666667)</f>
        <v>42075.66667</v>
      </c>
      <c r="C2723" s="9">
        <f>IFERROR(__xludf.DUMMYFUNCTION("""COMPUTED_VALUE"""),42.56)</f>
        <v>42.56</v>
      </c>
      <c r="E2723" s="17"/>
      <c r="M2723" s="17"/>
      <c r="P2723" s="17"/>
    </row>
    <row r="2724">
      <c r="B2724" s="11">
        <f>IFERROR(__xludf.DUMMYFUNCTION("""COMPUTED_VALUE"""),42074.66666666667)</f>
        <v>42074.66667</v>
      </c>
      <c r="C2724" s="9">
        <f>IFERROR(__xludf.DUMMYFUNCTION("""COMPUTED_VALUE"""),41.72)</f>
        <v>41.72</v>
      </c>
      <c r="E2724" s="17"/>
      <c r="M2724" s="17"/>
      <c r="P2724" s="17"/>
    </row>
    <row r="2725">
      <c r="B2725" s="11">
        <f>IFERROR(__xludf.DUMMYFUNCTION("""COMPUTED_VALUE"""),42073.66666666667)</f>
        <v>42073.66667</v>
      </c>
      <c r="C2725" s="9">
        <f>IFERROR(__xludf.DUMMYFUNCTION("""COMPUTED_VALUE"""),41.15)</f>
        <v>41.15</v>
      </c>
      <c r="E2725" s="17"/>
      <c r="M2725" s="17"/>
      <c r="P2725" s="17"/>
    </row>
    <row r="2726">
      <c r="B2726" s="11">
        <f>IFERROR(__xludf.DUMMYFUNCTION("""COMPUTED_VALUE"""),42072.66666666667)</f>
        <v>42072.66667</v>
      </c>
      <c r="C2726" s="9">
        <f>IFERROR(__xludf.DUMMYFUNCTION("""COMPUTED_VALUE"""),41.46)</f>
        <v>41.46</v>
      </c>
      <c r="E2726" s="17"/>
      <c r="M2726" s="17"/>
      <c r="P2726" s="17"/>
    </row>
    <row r="2727">
      <c r="B2727" s="11">
        <f>IFERROR(__xludf.DUMMYFUNCTION("""COMPUTED_VALUE"""),42069.66666666667)</f>
        <v>42069.66667</v>
      </c>
      <c r="C2727" s="9">
        <f>IFERROR(__xludf.DUMMYFUNCTION("""COMPUTED_VALUE"""),41.4)</f>
        <v>41.4</v>
      </c>
      <c r="E2727" s="17"/>
      <c r="M2727" s="17"/>
      <c r="P2727" s="17"/>
    </row>
    <row r="2728">
      <c r="B2728" s="11">
        <f>IFERROR(__xludf.DUMMYFUNCTION("""COMPUTED_VALUE"""),42068.66666666667)</f>
        <v>42068.66667</v>
      </c>
      <c r="C2728" s="9">
        <f>IFERROR(__xludf.DUMMYFUNCTION("""COMPUTED_VALUE"""),42.66)</f>
        <v>42.66</v>
      </c>
      <c r="E2728" s="17"/>
      <c r="M2728" s="17"/>
      <c r="P2728" s="17"/>
    </row>
    <row r="2729">
      <c r="B2729" s="11">
        <f>IFERROR(__xludf.DUMMYFUNCTION("""COMPUTED_VALUE"""),42067.66666666667)</f>
        <v>42067.66667</v>
      </c>
      <c r="C2729" s="9">
        <f>IFERROR(__xludf.DUMMYFUNCTION("""COMPUTED_VALUE"""),42.38)</f>
        <v>42.38</v>
      </c>
      <c r="E2729" s="17"/>
      <c r="M2729" s="17"/>
      <c r="P2729" s="17"/>
    </row>
    <row r="2730">
      <c r="B2730" s="11">
        <f>IFERROR(__xludf.DUMMYFUNCTION("""COMPUTED_VALUE"""),42066.66666666667)</f>
        <v>42066.66667</v>
      </c>
      <c r="C2730" s="9">
        <f>IFERROR(__xludf.DUMMYFUNCTION("""COMPUTED_VALUE"""),42.65)</f>
        <v>42.65</v>
      </c>
      <c r="E2730" s="17"/>
      <c r="M2730" s="17"/>
      <c r="P2730" s="17"/>
    </row>
    <row r="2731">
      <c r="B2731" s="11">
        <f>IFERROR(__xludf.DUMMYFUNCTION("""COMPUTED_VALUE"""),42065.66666666667)</f>
        <v>42065.66667</v>
      </c>
      <c r="C2731" s="9">
        <f>IFERROR(__xludf.DUMMYFUNCTION("""COMPUTED_VALUE"""),42.7)</f>
        <v>42.7</v>
      </c>
      <c r="E2731" s="17"/>
      <c r="M2731" s="17"/>
      <c r="P2731" s="17"/>
    </row>
    <row r="2732">
      <c r="B2732" s="11">
        <f>IFERROR(__xludf.DUMMYFUNCTION("""COMPUTED_VALUE"""),42062.66666666667)</f>
        <v>42062.66667</v>
      </c>
      <c r="C2732" s="9">
        <f>IFERROR(__xludf.DUMMYFUNCTION("""COMPUTED_VALUE"""),42.71)</f>
        <v>42.71</v>
      </c>
      <c r="E2732" s="17"/>
      <c r="M2732" s="17"/>
      <c r="P2732" s="17"/>
    </row>
    <row r="2733">
      <c r="B2733" s="11">
        <f>IFERROR(__xludf.DUMMYFUNCTION("""COMPUTED_VALUE"""),42061.66666666667)</f>
        <v>42061.66667</v>
      </c>
      <c r="C2733" s="9">
        <f>IFERROR(__xludf.DUMMYFUNCTION("""COMPUTED_VALUE"""),42.43)</f>
        <v>42.43</v>
      </c>
      <c r="E2733" s="17"/>
      <c r="M2733" s="17"/>
      <c r="P2733" s="17"/>
    </row>
    <row r="2734">
      <c r="B2734" s="11">
        <f>IFERROR(__xludf.DUMMYFUNCTION("""COMPUTED_VALUE"""),42060.66666666667)</f>
        <v>42060.66667</v>
      </c>
      <c r="C2734" s="9">
        <f>IFERROR(__xludf.DUMMYFUNCTION("""COMPUTED_VALUE"""),42.9)</f>
        <v>42.9</v>
      </c>
      <c r="E2734" s="17"/>
      <c r="M2734" s="17"/>
      <c r="P2734" s="17"/>
    </row>
    <row r="2735">
      <c r="B2735" s="11">
        <f>IFERROR(__xludf.DUMMYFUNCTION("""COMPUTED_VALUE"""),42059.66666666667)</f>
        <v>42059.66667</v>
      </c>
      <c r="C2735" s="9">
        <f>IFERROR(__xludf.DUMMYFUNCTION("""COMPUTED_VALUE"""),42.69)</f>
        <v>42.69</v>
      </c>
      <c r="E2735" s="17"/>
      <c r="M2735" s="17"/>
      <c r="P2735" s="17"/>
    </row>
    <row r="2736">
      <c r="B2736" s="11">
        <f>IFERROR(__xludf.DUMMYFUNCTION("""COMPUTED_VALUE"""),42058.66666666667)</f>
        <v>42058.66667</v>
      </c>
      <c r="C2736" s="9">
        <f>IFERROR(__xludf.DUMMYFUNCTION("""COMPUTED_VALUE"""),43.46)</f>
        <v>43.46</v>
      </c>
      <c r="E2736" s="17"/>
      <c r="M2736" s="17"/>
      <c r="P2736" s="17"/>
    </row>
    <row r="2737">
      <c r="B2737" s="11">
        <f>IFERROR(__xludf.DUMMYFUNCTION("""COMPUTED_VALUE"""),42055.66666666667)</f>
        <v>42055.66667</v>
      </c>
      <c r="C2737" s="9">
        <f>IFERROR(__xludf.DUMMYFUNCTION("""COMPUTED_VALUE"""),43.02)</f>
        <v>43.02</v>
      </c>
      <c r="E2737" s="17"/>
      <c r="M2737" s="17"/>
      <c r="P2737" s="17"/>
    </row>
    <row r="2738">
      <c r="B2738" s="11">
        <f>IFERROR(__xludf.DUMMYFUNCTION("""COMPUTED_VALUE"""),42054.66666666667)</f>
        <v>42054.66667</v>
      </c>
      <c r="C2738" s="9">
        <f>IFERROR(__xludf.DUMMYFUNCTION("""COMPUTED_VALUE"""),42.85)</f>
        <v>42.85</v>
      </c>
      <c r="E2738" s="17"/>
      <c r="M2738" s="17"/>
      <c r="P2738" s="17"/>
    </row>
    <row r="2739">
      <c r="B2739" s="11">
        <f>IFERROR(__xludf.DUMMYFUNCTION("""COMPUTED_VALUE"""),42053.66666666667)</f>
        <v>42053.66667</v>
      </c>
      <c r="C2739" s="9">
        <f>IFERROR(__xludf.DUMMYFUNCTION("""COMPUTED_VALUE"""),43.96)</f>
        <v>43.96</v>
      </c>
      <c r="E2739" s="17"/>
      <c r="M2739" s="17"/>
      <c r="P2739" s="17"/>
    </row>
    <row r="2740">
      <c r="B2740" s="11">
        <f>IFERROR(__xludf.DUMMYFUNCTION("""COMPUTED_VALUE"""),42052.66666666667)</f>
        <v>42052.66667</v>
      </c>
      <c r="C2740" s="9">
        <f>IFERROR(__xludf.DUMMYFUNCTION("""COMPUTED_VALUE"""),43.71)</f>
        <v>43.71</v>
      </c>
      <c r="E2740" s="17"/>
      <c r="M2740" s="17"/>
      <c r="P2740" s="17"/>
    </row>
    <row r="2741">
      <c r="B2741" s="11">
        <f>IFERROR(__xludf.DUMMYFUNCTION("""COMPUTED_VALUE"""),42048.66666666667)</f>
        <v>42048.66667</v>
      </c>
      <c r="C2741" s="9">
        <f>IFERROR(__xludf.DUMMYFUNCTION("""COMPUTED_VALUE"""),43.81)</f>
        <v>43.81</v>
      </c>
      <c r="E2741" s="17"/>
      <c r="M2741" s="17"/>
      <c r="P2741" s="17"/>
    </row>
    <row r="2742">
      <c r="B2742" s="11">
        <f>IFERROR(__xludf.DUMMYFUNCTION("""COMPUTED_VALUE"""),42047.66666666667)</f>
        <v>42047.66667</v>
      </c>
      <c r="C2742" s="9">
        <f>IFERROR(__xludf.DUMMYFUNCTION("""COMPUTED_VALUE"""),44.77)</f>
        <v>44.77</v>
      </c>
      <c r="E2742" s="17"/>
      <c r="M2742" s="17"/>
      <c r="P2742" s="17"/>
    </row>
    <row r="2743">
      <c r="B2743" s="11">
        <f>IFERROR(__xludf.DUMMYFUNCTION("""COMPUTED_VALUE"""),42046.66666666667)</f>
        <v>42046.66667</v>
      </c>
      <c r="C2743" s="9">
        <f>IFERROR(__xludf.DUMMYFUNCTION("""COMPUTED_VALUE"""),44.41)</f>
        <v>44.41</v>
      </c>
      <c r="E2743" s="17"/>
      <c r="M2743" s="17"/>
      <c r="P2743" s="17"/>
    </row>
    <row r="2744">
      <c r="B2744" s="11">
        <f>IFERROR(__xludf.DUMMYFUNCTION("""COMPUTED_VALUE"""),42045.66666666667)</f>
        <v>42045.66667</v>
      </c>
      <c r="C2744" s="9">
        <f>IFERROR(__xludf.DUMMYFUNCTION("""COMPUTED_VALUE"""),44.88)</f>
        <v>44.88</v>
      </c>
      <c r="E2744" s="17"/>
      <c r="M2744" s="17"/>
      <c r="P2744" s="17"/>
    </row>
    <row r="2745">
      <c r="B2745" s="11">
        <f>IFERROR(__xludf.DUMMYFUNCTION("""COMPUTED_VALUE"""),42044.66666666667)</f>
        <v>42044.66667</v>
      </c>
      <c r="C2745" s="9">
        <f>IFERROR(__xludf.DUMMYFUNCTION("""COMPUTED_VALUE"""),44.68)</f>
        <v>44.68</v>
      </c>
      <c r="E2745" s="17"/>
      <c r="M2745" s="17"/>
      <c r="P2745" s="17"/>
    </row>
    <row r="2746">
      <c r="B2746" s="11">
        <f>IFERROR(__xludf.DUMMYFUNCTION("""COMPUTED_VALUE"""),42041.66666666667)</f>
        <v>42041.66667</v>
      </c>
      <c r="C2746" s="9">
        <f>IFERROR(__xludf.DUMMYFUNCTION("""COMPUTED_VALUE"""),44.64)</f>
        <v>44.64</v>
      </c>
      <c r="E2746" s="17"/>
      <c r="M2746" s="17"/>
      <c r="P2746" s="17"/>
    </row>
    <row r="2747">
      <c r="B2747" s="11">
        <f>IFERROR(__xludf.DUMMYFUNCTION("""COMPUTED_VALUE"""),42040.66666666667)</f>
        <v>42040.66667</v>
      </c>
      <c r="C2747" s="9">
        <f>IFERROR(__xludf.DUMMYFUNCTION("""COMPUTED_VALUE"""),45.79)</f>
        <v>45.79</v>
      </c>
      <c r="E2747" s="17"/>
      <c r="M2747" s="17"/>
      <c r="P2747" s="17"/>
    </row>
    <row r="2748">
      <c r="B2748" s="11">
        <f>IFERROR(__xludf.DUMMYFUNCTION("""COMPUTED_VALUE"""),42039.66666666667)</f>
        <v>42039.66667</v>
      </c>
      <c r="C2748" s="9">
        <f>IFERROR(__xludf.DUMMYFUNCTION("""COMPUTED_VALUE"""),45.17)</f>
        <v>45.17</v>
      </c>
      <c r="E2748" s="17"/>
      <c r="M2748" s="17"/>
      <c r="P2748" s="17"/>
    </row>
    <row r="2749">
      <c r="B2749" s="11">
        <f>IFERROR(__xludf.DUMMYFUNCTION("""COMPUTED_VALUE"""),42038.66666666667)</f>
        <v>42038.66667</v>
      </c>
      <c r="C2749" s="9">
        <f>IFERROR(__xludf.DUMMYFUNCTION("""COMPUTED_VALUE"""),45.22)</f>
        <v>45.22</v>
      </c>
      <c r="E2749" s="17"/>
      <c r="M2749" s="17"/>
      <c r="P2749" s="17"/>
    </row>
    <row r="2750">
      <c r="B2750" s="11">
        <f>IFERROR(__xludf.DUMMYFUNCTION("""COMPUTED_VALUE"""),42037.66666666667)</f>
        <v>42037.66667</v>
      </c>
      <c r="C2750" s="9">
        <f>IFERROR(__xludf.DUMMYFUNCTION("""COMPUTED_VALUE"""),45.15)</f>
        <v>45.15</v>
      </c>
      <c r="E2750" s="17"/>
      <c r="M2750" s="17"/>
      <c r="P2750" s="17"/>
    </row>
    <row r="2751">
      <c r="B2751" s="11">
        <f>IFERROR(__xludf.DUMMYFUNCTION("""COMPUTED_VALUE"""),42034.66666666667)</f>
        <v>42034.66667</v>
      </c>
      <c r="C2751" s="9">
        <f>IFERROR(__xludf.DUMMYFUNCTION("""COMPUTED_VALUE"""),45.14)</f>
        <v>45.14</v>
      </c>
      <c r="E2751" s="17"/>
      <c r="M2751" s="17"/>
      <c r="P2751" s="17"/>
    </row>
    <row r="2752">
      <c r="B2752" s="11">
        <f>IFERROR(__xludf.DUMMYFUNCTION("""COMPUTED_VALUE"""),42033.66666666667)</f>
        <v>42033.66667</v>
      </c>
      <c r="C2752" s="9">
        <f>IFERROR(__xludf.DUMMYFUNCTION("""COMPUTED_VALUE"""),46.24)</f>
        <v>46.24</v>
      </c>
      <c r="E2752" s="17"/>
      <c r="M2752" s="17"/>
      <c r="P2752" s="17"/>
    </row>
    <row r="2753">
      <c r="B2753" s="11">
        <f>IFERROR(__xludf.DUMMYFUNCTION("""COMPUTED_VALUE"""),42032.66666666667)</f>
        <v>42032.66667</v>
      </c>
      <c r="C2753" s="9">
        <f>IFERROR(__xludf.DUMMYFUNCTION("""COMPUTED_VALUE"""),46.42)</f>
        <v>46.42</v>
      </c>
      <c r="E2753" s="17"/>
      <c r="M2753" s="17"/>
      <c r="P2753" s="17"/>
    </row>
    <row r="2754">
      <c r="B2754" s="11">
        <f>IFERROR(__xludf.DUMMYFUNCTION("""COMPUTED_VALUE"""),42031.66666666667)</f>
        <v>42031.66667</v>
      </c>
      <c r="C2754" s="9">
        <f>IFERROR(__xludf.DUMMYFUNCTION("""COMPUTED_VALUE"""),47.13)</f>
        <v>47.13</v>
      </c>
      <c r="E2754" s="17"/>
      <c r="M2754" s="17"/>
      <c r="P2754" s="17"/>
    </row>
    <row r="2755">
      <c r="B2755" s="11">
        <f>IFERROR(__xludf.DUMMYFUNCTION("""COMPUTED_VALUE"""),42030.66666666667)</f>
        <v>42030.66667</v>
      </c>
      <c r="C2755" s="9">
        <f>IFERROR(__xludf.DUMMYFUNCTION("""COMPUTED_VALUE"""),45.85)</f>
        <v>45.85</v>
      </c>
      <c r="E2755" s="17"/>
      <c r="M2755" s="17"/>
      <c r="P2755" s="17"/>
    </row>
    <row r="2756">
      <c r="B2756" s="11">
        <f>IFERROR(__xludf.DUMMYFUNCTION("""COMPUTED_VALUE"""),42027.66666666667)</f>
        <v>42027.66667</v>
      </c>
      <c r="C2756" s="9">
        <f>IFERROR(__xludf.DUMMYFUNCTION("""COMPUTED_VALUE"""),45.31)</f>
        <v>45.31</v>
      </c>
      <c r="E2756" s="17"/>
      <c r="M2756" s="17"/>
      <c r="P2756" s="17"/>
    </row>
    <row r="2757">
      <c r="B2757" s="11">
        <f>IFERROR(__xludf.DUMMYFUNCTION("""COMPUTED_VALUE"""),42026.66666666667)</f>
        <v>42026.66667</v>
      </c>
      <c r="C2757" s="9">
        <f>IFERROR(__xludf.DUMMYFUNCTION("""COMPUTED_VALUE"""),45.12)</f>
        <v>45.12</v>
      </c>
      <c r="E2757" s="17"/>
      <c r="M2757" s="17"/>
      <c r="P2757" s="17"/>
    </row>
    <row r="2758">
      <c r="B2758" s="11">
        <f>IFERROR(__xludf.DUMMYFUNCTION("""COMPUTED_VALUE"""),42025.66666666667)</f>
        <v>42025.66667</v>
      </c>
      <c r="C2758" s="9">
        <f>IFERROR(__xludf.DUMMYFUNCTION("""COMPUTED_VALUE"""),44.03)</f>
        <v>44.03</v>
      </c>
      <c r="E2758" s="17"/>
      <c r="M2758" s="17"/>
      <c r="P2758" s="17"/>
    </row>
    <row r="2759">
      <c r="B2759" s="11">
        <f>IFERROR(__xludf.DUMMYFUNCTION("""COMPUTED_VALUE"""),42024.66666666667)</f>
        <v>42024.66667</v>
      </c>
      <c r="C2759" s="9">
        <f>IFERROR(__xludf.DUMMYFUNCTION("""COMPUTED_VALUE"""),43.84)</f>
        <v>43.84</v>
      </c>
      <c r="E2759" s="17"/>
      <c r="M2759" s="17"/>
      <c r="P2759" s="17"/>
    </row>
    <row r="2760">
      <c r="B2760" s="11">
        <f>IFERROR(__xludf.DUMMYFUNCTION("""COMPUTED_VALUE"""),42020.66666666667)</f>
        <v>42020.66667</v>
      </c>
      <c r="C2760" s="9">
        <f>IFERROR(__xludf.DUMMYFUNCTION("""COMPUTED_VALUE"""),44.15)</f>
        <v>44.15</v>
      </c>
      <c r="E2760" s="17"/>
      <c r="M2760" s="17"/>
      <c r="P2760" s="17"/>
    </row>
    <row r="2761">
      <c r="B2761" s="11">
        <f>IFERROR(__xludf.DUMMYFUNCTION("""COMPUTED_VALUE"""),42019.66666666667)</f>
        <v>42019.66667</v>
      </c>
      <c r="C2761" s="9">
        <f>IFERROR(__xludf.DUMMYFUNCTION("""COMPUTED_VALUE"""),43.77)</f>
        <v>43.77</v>
      </c>
      <c r="E2761" s="17"/>
      <c r="M2761" s="17"/>
      <c r="P2761" s="17"/>
    </row>
    <row r="2762">
      <c r="B2762" s="11">
        <f>IFERROR(__xludf.DUMMYFUNCTION("""COMPUTED_VALUE"""),42018.66666666667)</f>
        <v>42018.66667</v>
      </c>
      <c r="C2762" s="9">
        <f>IFERROR(__xludf.DUMMYFUNCTION("""COMPUTED_VALUE"""),43.72)</f>
        <v>43.72</v>
      </c>
      <c r="E2762" s="17"/>
      <c r="M2762" s="17"/>
      <c r="P2762" s="17"/>
    </row>
    <row r="2763">
      <c r="B2763" s="11">
        <f>IFERROR(__xludf.DUMMYFUNCTION("""COMPUTED_VALUE"""),42017.66666666667)</f>
        <v>42017.66667</v>
      </c>
      <c r="C2763" s="9">
        <f>IFERROR(__xludf.DUMMYFUNCTION("""COMPUTED_VALUE"""),43.71)</f>
        <v>43.71</v>
      </c>
      <c r="E2763" s="17"/>
      <c r="M2763" s="17"/>
      <c r="P2763" s="17"/>
    </row>
    <row r="2764">
      <c r="B2764" s="11">
        <f>IFERROR(__xludf.DUMMYFUNCTION("""COMPUTED_VALUE"""),42016.66666666667)</f>
        <v>42016.66667</v>
      </c>
      <c r="C2764" s="9">
        <f>IFERROR(__xludf.DUMMYFUNCTION("""COMPUTED_VALUE"""),44.6)</f>
        <v>44.6</v>
      </c>
      <c r="E2764" s="17"/>
      <c r="M2764" s="17"/>
      <c r="P2764" s="17"/>
    </row>
    <row r="2765">
      <c r="B2765" s="11">
        <f>IFERROR(__xludf.DUMMYFUNCTION("""COMPUTED_VALUE"""),42013.66666666667)</f>
        <v>42013.66667</v>
      </c>
      <c r="C2765" s="9">
        <f>IFERROR(__xludf.DUMMYFUNCTION("""COMPUTED_VALUE"""),44.15)</f>
        <v>44.15</v>
      </c>
      <c r="E2765" s="17"/>
      <c r="M2765" s="17"/>
      <c r="P2765" s="17"/>
    </row>
    <row r="2766">
      <c r="B2766" s="11">
        <f>IFERROR(__xludf.DUMMYFUNCTION("""COMPUTED_VALUE"""),42012.66666666667)</f>
        <v>42012.66667</v>
      </c>
      <c r="C2766" s="9">
        <f>IFERROR(__xludf.DUMMYFUNCTION("""COMPUTED_VALUE"""),44.22)</f>
        <v>44.22</v>
      </c>
      <c r="E2766" s="17"/>
      <c r="M2766" s="17"/>
      <c r="P2766" s="17"/>
    </row>
    <row r="2767">
      <c r="B2767" s="11">
        <f>IFERROR(__xludf.DUMMYFUNCTION("""COMPUTED_VALUE"""),42011.66666666667)</f>
        <v>42011.66667</v>
      </c>
      <c r="C2767" s="9">
        <f>IFERROR(__xludf.DUMMYFUNCTION("""COMPUTED_VALUE"""),44.21)</f>
        <v>44.21</v>
      </c>
      <c r="E2767" s="17"/>
      <c r="M2767" s="17"/>
      <c r="P2767" s="17"/>
    </row>
    <row r="2768">
      <c r="B2768" s="11">
        <f>IFERROR(__xludf.DUMMYFUNCTION("""COMPUTED_VALUE"""),42010.66666666667)</f>
        <v>42010.66667</v>
      </c>
      <c r="C2768" s="9">
        <f>IFERROR(__xludf.DUMMYFUNCTION("""COMPUTED_VALUE"""),43.55)</f>
        <v>43.55</v>
      </c>
      <c r="E2768" s="17"/>
      <c r="M2768" s="17"/>
      <c r="P2768" s="17"/>
    </row>
    <row r="2769">
      <c r="B2769" s="11">
        <f>IFERROR(__xludf.DUMMYFUNCTION("""COMPUTED_VALUE"""),42009.66666666667)</f>
        <v>42009.66667</v>
      </c>
      <c r="C2769" s="9">
        <f>IFERROR(__xludf.DUMMYFUNCTION("""COMPUTED_VALUE"""),43.4)</f>
        <v>43.4</v>
      </c>
      <c r="E2769" s="17"/>
      <c r="M2769" s="17"/>
      <c r="P2769" s="17"/>
    </row>
    <row r="2770">
      <c r="B2770" s="11">
        <f>IFERROR(__xludf.DUMMYFUNCTION("""COMPUTED_VALUE"""),42006.66666666667)</f>
        <v>42006.66667</v>
      </c>
      <c r="C2770" s="9">
        <f>IFERROR(__xludf.DUMMYFUNCTION("""COMPUTED_VALUE"""),43.43)</f>
        <v>43.43</v>
      </c>
      <c r="E2770" s="17"/>
      <c r="M2770" s="17"/>
      <c r="P2770" s="17"/>
    </row>
    <row r="2771">
      <c r="B2771" s="11">
        <f>IFERROR(__xludf.DUMMYFUNCTION("""COMPUTED_VALUE"""),42004.66666666667)</f>
        <v>42004.66667</v>
      </c>
      <c r="C2771" s="9">
        <f>IFERROR(__xludf.DUMMYFUNCTION("""COMPUTED_VALUE"""),43.03)</f>
        <v>43.03</v>
      </c>
      <c r="E2771" s="17"/>
      <c r="M2771" s="17"/>
      <c r="P2771" s="17"/>
    </row>
    <row r="2772">
      <c r="B2772" s="11">
        <f>IFERROR(__xludf.DUMMYFUNCTION("""COMPUTED_VALUE"""),42003.66666666667)</f>
        <v>42003.66667</v>
      </c>
      <c r="C2772" s="9">
        <f>IFERROR(__xludf.DUMMYFUNCTION("""COMPUTED_VALUE"""),43.64)</f>
        <v>43.64</v>
      </c>
      <c r="E2772" s="17"/>
      <c r="M2772" s="17"/>
      <c r="P2772" s="17"/>
    </row>
    <row r="2773">
      <c r="B2773" s="11">
        <f>IFERROR(__xludf.DUMMYFUNCTION("""COMPUTED_VALUE"""),42002.66666666667)</f>
        <v>42002.66667</v>
      </c>
      <c r="C2773" s="9">
        <f>IFERROR(__xludf.DUMMYFUNCTION("""COMPUTED_VALUE"""),43.51)</f>
        <v>43.51</v>
      </c>
      <c r="E2773" s="17"/>
      <c r="M2773" s="17"/>
      <c r="P2773" s="17"/>
    </row>
    <row r="2774">
      <c r="B2774" s="11">
        <f>IFERROR(__xludf.DUMMYFUNCTION("""COMPUTED_VALUE"""),41999.66666666667)</f>
        <v>41999.66667</v>
      </c>
      <c r="C2774" s="9">
        <f>IFERROR(__xludf.DUMMYFUNCTION("""COMPUTED_VALUE"""),43.46)</f>
        <v>43.46</v>
      </c>
      <c r="E2774" s="17"/>
      <c r="M2774" s="17"/>
      <c r="P2774" s="17"/>
    </row>
    <row r="2775">
      <c r="B2775" s="11">
        <f>IFERROR(__xludf.DUMMYFUNCTION("""COMPUTED_VALUE"""),41997.66666666667)</f>
        <v>41997.66667</v>
      </c>
      <c r="C2775" s="9">
        <f>IFERROR(__xludf.DUMMYFUNCTION("""COMPUTED_VALUE"""),43.11)</f>
        <v>43.11</v>
      </c>
      <c r="E2775" s="17"/>
      <c r="M2775" s="17"/>
      <c r="P2775" s="17"/>
    </row>
    <row r="2776">
      <c r="B2776" s="11">
        <f>IFERROR(__xludf.DUMMYFUNCTION("""COMPUTED_VALUE"""),41996.66666666667)</f>
        <v>41996.66667</v>
      </c>
      <c r="C2776" s="9">
        <f>IFERROR(__xludf.DUMMYFUNCTION("""COMPUTED_VALUE"""),43.48)</f>
        <v>43.48</v>
      </c>
      <c r="E2776" s="17"/>
      <c r="M2776" s="17"/>
      <c r="P2776" s="17"/>
    </row>
    <row r="2777">
      <c r="B2777" s="11">
        <f>IFERROR(__xludf.DUMMYFUNCTION("""COMPUTED_VALUE"""),41995.66666666667)</f>
        <v>41995.66667</v>
      </c>
      <c r="C2777" s="9">
        <f>IFERROR(__xludf.DUMMYFUNCTION("""COMPUTED_VALUE"""),43.37)</f>
        <v>43.37</v>
      </c>
      <c r="E2777" s="17"/>
      <c r="M2777" s="17"/>
      <c r="P2777" s="17"/>
    </row>
    <row r="2778">
      <c r="B2778" s="11">
        <f>IFERROR(__xludf.DUMMYFUNCTION("""COMPUTED_VALUE"""),41992.66666666667)</f>
        <v>41992.66667</v>
      </c>
      <c r="C2778" s="9">
        <f>IFERROR(__xludf.DUMMYFUNCTION("""COMPUTED_VALUE"""),42.5)</f>
        <v>42.5</v>
      </c>
      <c r="E2778" s="17"/>
      <c r="M2778" s="17"/>
      <c r="P2778" s="17"/>
    </row>
    <row r="2779">
      <c r="B2779" s="11">
        <f>IFERROR(__xludf.DUMMYFUNCTION("""COMPUTED_VALUE"""),41991.66666666667)</f>
        <v>41991.66667</v>
      </c>
      <c r="C2779" s="9">
        <f>IFERROR(__xludf.DUMMYFUNCTION("""COMPUTED_VALUE"""),42.64)</f>
        <v>42.64</v>
      </c>
      <c r="E2779" s="17"/>
      <c r="M2779" s="17"/>
      <c r="P2779" s="17"/>
    </row>
    <row r="2780">
      <c r="B2780" s="11">
        <f>IFERROR(__xludf.DUMMYFUNCTION("""COMPUTED_VALUE"""),41990.66666666667)</f>
        <v>41990.66667</v>
      </c>
      <c r="C2780" s="9">
        <f>IFERROR(__xludf.DUMMYFUNCTION("""COMPUTED_VALUE"""),42.38)</f>
        <v>42.38</v>
      </c>
      <c r="E2780" s="17"/>
      <c r="M2780" s="17"/>
      <c r="P2780" s="17"/>
    </row>
    <row r="2781">
      <c r="B2781" s="11">
        <f>IFERROR(__xludf.DUMMYFUNCTION("""COMPUTED_VALUE"""),41989.66666666667)</f>
        <v>41989.66667</v>
      </c>
      <c r="C2781" s="9">
        <f>IFERROR(__xludf.DUMMYFUNCTION("""COMPUTED_VALUE"""),41.37)</f>
        <v>41.37</v>
      </c>
      <c r="E2781" s="17"/>
      <c r="M2781" s="17"/>
      <c r="P2781" s="17"/>
    </row>
    <row r="2782">
      <c r="B2782" s="11">
        <f>IFERROR(__xludf.DUMMYFUNCTION("""COMPUTED_VALUE"""),41988.66666666667)</f>
        <v>41988.66667</v>
      </c>
      <c r="C2782" s="9">
        <f>IFERROR(__xludf.DUMMYFUNCTION("""COMPUTED_VALUE"""),41.29)</f>
        <v>41.29</v>
      </c>
      <c r="E2782" s="17"/>
      <c r="M2782" s="17"/>
      <c r="P2782" s="17"/>
    </row>
    <row r="2783">
      <c r="B2783" s="11">
        <f>IFERROR(__xludf.DUMMYFUNCTION("""COMPUTED_VALUE"""),41985.66666666667)</f>
        <v>41985.66667</v>
      </c>
      <c r="C2783" s="9">
        <f>IFERROR(__xludf.DUMMYFUNCTION("""COMPUTED_VALUE"""),42.24)</f>
        <v>42.24</v>
      </c>
      <c r="E2783" s="17"/>
      <c r="M2783" s="17"/>
      <c r="P2783" s="17"/>
    </row>
    <row r="2784">
      <c r="B2784" s="11">
        <f>IFERROR(__xludf.DUMMYFUNCTION("""COMPUTED_VALUE"""),41984.66666666667)</f>
        <v>41984.66667</v>
      </c>
      <c r="C2784" s="9">
        <f>IFERROR(__xludf.DUMMYFUNCTION("""COMPUTED_VALUE"""),42.89)</f>
        <v>42.89</v>
      </c>
      <c r="E2784" s="17"/>
      <c r="M2784" s="17"/>
      <c r="P2784" s="17"/>
    </row>
    <row r="2785">
      <c r="B2785" s="11">
        <f>IFERROR(__xludf.DUMMYFUNCTION("""COMPUTED_VALUE"""),41983.66666666667)</f>
        <v>41983.66667</v>
      </c>
      <c r="C2785" s="9">
        <f>IFERROR(__xludf.DUMMYFUNCTION("""COMPUTED_VALUE"""),42.68)</f>
        <v>42.68</v>
      </c>
      <c r="E2785" s="17"/>
      <c r="M2785" s="17"/>
      <c r="P2785" s="17"/>
    </row>
    <row r="2786">
      <c r="B2786" s="11">
        <f>IFERROR(__xludf.DUMMYFUNCTION("""COMPUTED_VALUE"""),41982.66666666667)</f>
        <v>41982.66667</v>
      </c>
      <c r="C2786" s="9">
        <f>IFERROR(__xludf.DUMMYFUNCTION("""COMPUTED_VALUE"""),42.95)</f>
        <v>42.95</v>
      </c>
      <c r="E2786" s="17"/>
      <c r="M2786" s="17"/>
      <c r="P2786" s="17"/>
    </row>
    <row r="2787">
      <c r="B2787" s="11">
        <f>IFERROR(__xludf.DUMMYFUNCTION("""COMPUTED_VALUE"""),41981.66666666667)</f>
        <v>41981.66667</v>
      </c>
      <c r="C2787" s="9">
        <f>IFERROR(__xludf.DUMMYFUNCTION("""COMPUTED_VALUE"""),42.8)</f>
        <v>42.8</v>
      </c>
      <c r="E2787" s="17"/>
      <c r="M2787" s="17"/>
      <c r="P2787" s="17"/>
    </row>
    <row r="2788">
      <c r="B2788" s="11">
        <f>IFERROR(__xludf.DUMMYFUNCTION("""COMPUTED_VALUE"""),41978.66666666667)</f>
        <v>41978.66667</v>
      </c>
      <c r="C2788" s="9">
        <f>IFERROR(__xludf.DUMMYFUNCTION("""COMPUTED_VALUE"""),42.58)</f>
        <v>42.58</v>
      </c>
      <c r="E2788" s="17"/>
      <c r="M2788" s="17"/>
      <c r="P2788" s="17"/>
    </row>
    <row r="2789">
      <c r="B2789" s="11">
        <f>IFERROR(__xludf.DUMMYFUNCTION("""COMPUTED_VALUE"""),41977.66666666667)</f>
        <v>41977.66667</v>
      </c>
      <c r="C2789" s="9">
        <f>IFERROR(__xludf.DUMMYFUNCTION("""COMPUTED_VALUE"""),42.54)</f>
        <v>42.54</v>
      </c>
      <c r="E2789" s="17"/>
      <c r="M2789" s="17"/>
      <c r="P2789" s="17"/>
    </row>
    <row r="2790">
      <c r="B2790" s="11">
        <f>IFERROR(__xludf.DUMMYFUNCTION("""COMPUTED_VALUE"""),41976.66666666667)</f>
        <v>41976.66667</v>
      </c>
      <c r="C2790" s="9">
        <f>IFERROR(__xludf.DUMMYFUNCTION("""COMPUTED_VALUE"""),42.71)</f>
        <v>42.71</v>
      </c>
      <c r="E2790" s="17"/>
      <c r="M2790" s="17"/>
      <c r="P2790" s="17"/>
    </row>
    <row r="2791">
      <c r="B2791" s="11">
        <f>IFERROR(__xludf.DUMMYFUNCTION("""COMPUTED_VALUE"""),41975.66666666667)</f>
        <v>41975.66667</v>
      </c>
      <c r="C2791" s="9">
        <f>IFERROR(__xludf.DUMMYFUNCTION("""COMPUTED_VALUE"""),42.65)</f>
        <v>42.65</v>
      </c>
      <c r="E2791" s="17"/>
      <c r="M2791" s="17"/>
      <c r="P2791" s="17"/>
    </row>
    <row r="2792">
      <c r="B2792" s="11">
        <f>IFERROR(__xludf.DUMMYFUNCTION("""COMPUTED_VALUE"""),41974.66666666667)</f>
        <v>41974.66667</v>
      </c>
      <c r="C2792" s="9">
        <f>IFERROR(__xludf.DUMMYFUNCTION("""COMPUTED_VALUE"""),42.31)</f>
        <v>42.31</v>
      </c>
      <c r="E2792" s="17"/>
      <c r="M2792" s="17"/>
      <c r="P2792" s="17"/>
    </row>
    <row r="2793">
      <c r="B2793" s="11">
        <f>IFERROR(__xludf.DUMMYFUNCTION("""COMPUTED_VALUE"""),41971.66666666667)</f>
        <v>41971.66667</v>
      </c>
      <c r="C2793" s="9">
        <f>IFERROR(__xludf.DUMMYFUNCTION("""COMPUTED_VALUE"""),42.28)</f>
        <v>42.28</v>
      </c>
      <c r="E2793" s="17"/>
      <c r="M2793" s="17"/>
      <c r="P2793" s="17"/>
    </row>
    <row r="2794">
      <c r="B2794" s="11">
        <f>IFERROR(__xludf.DUMMYFUNCTION("""COMPUTED_VALUE"""),41969.66666666667)</f>
        <v>41969.66667</v>
      </c>
      <c r="C2794" s="9">
        <f>IFERROR(__xludf.DUMMYFUNCTION("""COMPUTED_VALUE"""),42.0)</f>
        <v>42</v>
      </c>
      <c r="E2794" s="17"/>
      <c r="M2794" s="17"/>
      <c r="P2794" s="17"/>
    </row>
    <row r="2795">
      <c r="B2795" s="11">
        <f>IFERROR(__xludf.DUMMYFUNCTION("""COMPUTED_VALUE"""),41968.66666666667)</f>
        <v>41968.66667</v>
      </c>
      <c r="C2795" s="9">
        <f>IFERROR(__xludf.DUMMYFUNCTION("""COMPUTED_VALUE"""),41.6)</f>
        <v>41.6</v>
      </c>
      <c r="E2795" s="17"/>
      <c r="M2795" s="17"/>
      <c r="P2795" s="17"/>
    </row>
    <row r="2796">
      <c r="B2796" s="11">
        <f>IFERROR(__xludf.DUMMYFUNCTION("""COMPUTED_VALUE"""),41967.66666666667)</f>
        <v>41967.66667</v>
      </c>
      <c r="C2796" s="9">
        <f>IFERROR(__xludf.DUMMYFUNCTION("""COMPUTED_VALUE"""),41.49)</f>
        <v>41.49</v>
      </c>
      <c r="E2796" s="17"/>
      <c r="M2796" s="17"/>
      <c r="P2796" s="17"/>
    </row>
    <row r="2797">
      <c r="B2797" s="11">
        <f>IFERROR(__xludf.DUMMYFUNCTION("""COMPUTED_VALUE"""),41964.66666666667)</f>
        <v>41964.66667</v>
      </c>
      <c r="C2797" s="9">
        <f>IFERROR(__xludf.DUMMYFUNCTION("""COMPUTED_VALUE"""),41.24)</f>
        <v>41.24</v>
      </c>
      <c r="E2797" s="17"/>
      <c r="M2797" s="17"/>
      <c r="P2797" s="17"/>
    </row>
    <row r="2798">
      <c r="B2798" s="11">
        <f>IFERROR(__xludf.DUMMYFUNCTION("""COMPUTED_VALUE"""),41963.66666666667)</f>
        <v>41963.66667</v>
      </c>
      <c r="C2798" s="9">
        <f>IFERROR(__xludf.DUMMYFUNCTION("""COMPUTED_VALUE"""),40.95)</f>
        <v>40.95</v>
      </c>
      <c r="E2798" s="17"/>
      <c r="M2798" s="17"/>
      <c r="P2798" s="17"/>
    </row>
    <row r="2799">
      <c r="B2799" s="11">
        <f>IFERROR(__xludf.DUMMYFUNCTION("""COMPUTED_VALUE"""),41962.66666666667)</f>
        <v>41962.66667</v>
      </c>
      <c r="C2799" s="9">
        <f>IFERROR(__xludf.DUMMYFUNCTION("""COMPUTED_VALUE"""),40.84)</f>
        <v>40.84</v>
      </c>
      <c r="E2799" s="17"/>
      <c r="M2799" s="17"/>
      <c r="P2799" s="17"/>
    </row>
    <row r="2800">
      <c r="B2800" s="11">
        <f>IFERROR(__xludf.DUMMYFUNCTION("""COMPUTED_VALUE"""),41961.66666666667)</f>
        <v>41961.66667</v>
      </c>
      <c r="C2800" s="9">
        <f>IFERROR(__xludf.DUMMYFUNCTION("""COMPUTED_VALUE"""),41.38)</f>
        <v>41.38</v>
      </c>
      <c r="E2800" s="17"/>
      <c r="M2800" s="17"/>
      <c r="P2800" s="17"/>
    </row>
    <row r="2801">
      <c r="B2801" s="11">
        <f>IFERROR(__xludf.DUMMYFUNCTION("""COMPUTED_VALUE"""),41960.66666666667)</f>
        <v>41960.66667</v>
      </c>
      <c r="C2801" s="9">
        <f>IFERROR(__xludf.DUMMYFUNCTION("""COMPUTED_VALUE"""),41.01)</f>
        <v>41.01</v>
      </c>
      <c r="E2801" s="17"/>
      <c r="M2801" s="17"/>
      <c r="P2801" s="17"/>
    </row>
    <row r="2802">
      <c r="B2802" s="11">
        <f>IFERROR(__xludf.DUMMYFUNCTION("""COMPUTED_VALUE"""),41957.66666666667)</f>
        <v>41957.66667</v>
      </c>
      <c r="C2802" s="9">
        <f>IFERROR(__xludf.DUMMYFUNCTION("""COMPUTED_VALUE"""),40.77)</f>
        <v>40.77</v>
      </c>
      <c r="E2802" s="17"/>
      <c r="M2802" s="17"/>
      <c r="P2802" s="17"/>
    </row>
    <row r="2803">
      <c r="B2803" s="11">
        <f>IFERROR(__xludf.DUMMYFUNCTION("""COMPUTED_VALUE"""),41956.66666666667)</f>
        <v>41956.66667</v>
      </c>
      <c r="C2803" s="9">
        <f>IFERROR(__xludf.DUMMYFUNCTION("""COMPUTED_VALUE"""),41.1)</f>
        <v>41.1</v>
      </c>
      <c r="E2803" s="17"/>
      <c r="M2803" s="17"/>
      <c r="P2803" s="17"/>
    </row>
    <row r="2804">
      <c r="B2804" s="11">
        <f>IFERROR(__xludf.DUMMYFUNCTION("""COMPUTED_VALUE"""),41955.66666666667)</f>
        <v>41955.66667</v>
      </c>
      <c r="C2804" s="9">
        <f>IFERROR(__xludf.DUMMYFUNCTION("""COMPUTED_VALUE"""),41.0)</f>
        <v>41</v>
      </c>
      <c r="E2804" s="17"/>
      <c r="M2804" s="17"/>
      <c r="P2804" s="17"/>
    </row>
    <row r="2805">
      <c r="B2805" s="11">
        <f>IFERROR(__xludf.DUMMYFUNCTION("""COMPUTED_VALUE"""),41954.66666666667)</f>
        <v>41954.66667</v>
      </c>
      <c r="C2805" s="9">
        <f>IFERROR(__xludf.DUMMYFUNCTION("""COMPUTED_VALUE"""),41.65)</f>
        <v>41.65</v>
      </c>
      <c r="E2805" s="17"/>
      <c r="M2805" s="17"/>
      <c r="P2805" s="17"/>
    </row>
    <row r="2806">
      <c r="B2806" s="11">
        <f>IFERROR(__xludf.DUMMYFUNCTION("""COMPUTED_VALUE"""),41953.66666666667)</f>
        <v>41953.66667</v>
      </c>
      <c r="C2806" s="9">
        <f>IFERROR(__xludf.DUMMYFUNCTION("""COMPUTED_VALUE"""),41.68)</f>
        <v>41.68</v>
      </c>
      <c r="E2806" s="17"/>
      <c r="M2806" s="17"/>
      <c r="P2806" s="17"/>
    </row>
    <row r="2807">
      <c r="B2807" s="11">
        <f>IFERROR(__xludf.DUMMYFUNCTION("""COMPUTED_VALUE"""),41950.666666666664)</f>
        <v>41950.66667</v>
      </c>
      <c r="C2807" s="9">
        <f>IFERROR(__xludf.DUMMYFUNCTION("""COMPUTED_VALUE"""),41.41)</f>
        <v>41.41</v>
      </c>
      <c r="E2807" s="17"/>
      <c r="M2807" s="17"/>
      <c r="P2807" s="17"/>
    </row>
    <row r="2808">
      <c r="B2808" s="11">
        <f>IFERROR(__xludf.DUMMYFUNCTION("""COMPUTED_VALUE"""),41949.666666666664)</f>
        <v>41949.66667</v>
      </c>
      <c r="C2808" s="9">
        <f>IFERROR(__xludf.DUMMYFUNCTION("""COMPUTED_VALUE"""),41.58)</f>
        <v>41.58</v>
      </c>
      <c r="E2808" s="17"/>
      <c r="M2808" s="17"/>
      <c r="P2808" s="17"/>
    </row>
    <row r="2809">
      <c r="B2809" s="11">
        <f>IFERROR(__xludf.DUMMYFUNCTION("""COMPUTED_VALUE"""),41948.666666666664)</f>
        <v>41948.66667</v>
      </c>
      <c r="C2809" s="9">
        <f>IFERROR(__xludf.DUMMYFUNCTION("""COMPUTED_VALUE"""),41.65)</f>
        <v>41.65</v>
      </c>
      <c r="E2809" s="17"/>
      <c r="M2809" s="17"/>
      <c r="P2809" s="17"/>
    </row>
    <row r="2810">
      <c r="B2810" s="11">
        <f>IFERROR(__xludf.DUMMYFUNCTION("""COMPUTED_VALUE"""),41947.666666666664)</f>
        <v>41947.66667</v>
      </c>
      <c r="C2810" s="9">
        <f>IFERROR(__xludf.DUMMYFUNCTION("""COMPUTED_VALUE"""),41.53)</f>
        <v>41.53</v>
      </c>
      <c r="E2810" s="17"/>
      <c r="M2810" s="17"/>
      <c r="P2810" s="17"/>
    </row>
    <row r="2811">
      <c r="B2811" s="11">
        <f>IFERROR(__xludf.DUMMYFUNCTION("""COMPUTED_VALUE"""),41946.666666666664)</f>
        <v>41946.66667</v>
      </c>
      <c r="C2811" s="9">
        <f>IFERROR(__xludf.DUMMYFUNCTION("""COMPUTED_VALUE"""),41.83)</f>
        <v>41.83</v>
      </c>
      <c r="E2811" s="17"/>
      <c r="M2811" s="17"/>
      <c r="P2811" s="17"/>
    </row>
    <row r="2812">
      <c r="B2812" s="11">
        <f>IFERROR(__xludf.DUMMYFUNCTION("""COMPUTED_VALUE"""),41943.666666666664)</f>
        <v>41943.66667</v>
      </c>
      <c r="C2812" s="9">
        <f>IFERROR(__xludf.DUMMYFUNCTION("""COMPUTED_VALUE"""),41.65)</f>
        <v>41.65</v>
      </c>
      <c r="E2812" s="17"/>
      <c r="M2812" s="17"/>
      <c r="P2812" s="17"/>
    </row>
    <row r="2813">
      <c r="B2813" s="11">
        <f>IFERROR(__xludf.DUMMYFUNCTION("""COMPUTED_VALUE"""),41942.666666666664)</f>
        <v>41942.66667</v>
      </c>
      <c r="C2813" s="9">
        <f>IFERROR(__xludf.DUMMYFUNCTION("""COMPUTED_VALUE"""),41.05)</f>
        <v>41.05</v>
      </c>
      <c r="E2813" s="17"/>
      <c r="M2813" s="17"/>
      <c r="P2813" s="17"/>
    </row>
    <row r="2814">
      <c r="B2814" s="11">
        <f>IFERROR(__xludf.DUMMYFUNCTION("""COMPUTED_VALUE"""),41941.666666666664)</f>
        <v>41941.66667</v>
      </c>
      <c r="C2814" s="9">
        <f>IFERROR(__xludf.DUMMYFUNCTION("""COMPUTED_VALUE"""),40.99)</f>
        <v>40.99</v>
      </c>
      <c r="E2814" s="17"/>
      <c r="M2814" s="17"/>
      <c r="P2814" s="17"/>
    </row>
    <row r="2815">
      <c r="B2815" s="11">
        <f>IFERROR(__xludf.DUMMYFUNCTION("""COMPUTED_VALUE"""),41940.666666666664)</f>
        <v>41940.66667</v>
      </c>
      <c r="C2815" s="9">
        <f>IFERROR(__xludf.DUMMYFUNCTION("""COMPUTED_VALUE"""),41.06)</f>
        <v>41.06</v>
      </c>
      <c r="E2815" s="17"/>
      <c r="M2815" s="17"/>
      <c r="P2815" s="17"/>
    </row>
    <row r="2816">
      <c r="B2816" s="11">
        <f>IFERROR(__xludf.DUMMYFUNCTION("""COMPUTED_VALUE"""),41939.666666666664)</f>
        <v>41939.66667</v>
      </c>
      <c r="C2816" s="9">
        <f>IFERROR(__xludf.DUMMYFUNCTION("""COMPUTED_VALUE"""),40.76)</f>
        <v>40.76</v>
      </c>
      <c r="E2816" s="17"/>
      <c r="M2816" s="17"/>
      <c r="P2816" s="17"/>
    </row>
    <row r="2817">
      <c r="B2817" s="11">
        <f>IFERROR(__xludf.DUMMYFUNCTION("""COMPUTED_VALUE"""),41936.666666666664)</f>
        <v>41936.66667</v>
      </c>
      <c r="C2817" s="9">
        <f>IFERROR(__xludf.DUMMYFUNCTION("""COMPUTED_VALUE"""),40.73)</f>
        <v>40.73</v>
      </c>
      <c r="E2817" s="17"/>
      <c r="M2817" s="17"/>
      <c r="P2817" s="17"/>
    </row>
    <row r="2818">
      <c r="B2818" s="11">
        <f>IFERROR(__xludf.DUMMYFUNCTION("""COMPUTED_VALUE"""),41935.666666666664)</f>
        <v>41935.66667</v>
      </c>
      <c r="C2818" s="9">
        <f>IFERROR(__xludf.DUMMYFUNCTION("""COMPUTED_VALUE"""),40.45)</f>
        <v>40.45</v>
      </c>
      <c r="E2818" s="17"/>
      <c r="M2818" s="17"/>
      <c r="P2818" s="17"/>
    </row>
    <row r="2819">
      <c r="B2819" s="11">
        <f>IFERROR(__xludf.DUMMYFUNCTION("""COMPUTED_VALUE"""),41934.666666666664)</f>
        <v>41934.66667</v>
      </c>
      <c r="C2819" s="9">
        <f>IFERROR(__xludf.DUMMYFUNCTION("""COMPUTED_VALUE"""),40.01)</f>
        <v>40.01</v>
      </c>
      <c r="E2819" s="17"/>
      <c r="M2819" s="17"/>
      <c r="P2819" s="17"/>
    </row>
    <row r="2820">
      <c r="B2820" s="11">
        <f>IFERROR(__xludf.DUMMYFUNCTION("""COMPUTED_VALUE"""),41933.666666666664)</f>
        <v>41933.66667</v>
      </c>
      <c r="C2820" s="9">
        <f>IFERROR(__xludf.DUMMYFUNCTION("""COMPUTED_VALUE"""),40.21)</f>
        <v>40.21</v>
      </c>
      <c r="E2820" s="17"/>
      <c r="M2820" s="17"/>
      <c r="P2820" s="17"/>
    </row>
    <row r="2821">
      <c r="B2821" s="11">
        <f>IFERROR(__xludf.DUMMYFUNCTION("""COMPUTED_VALUE"""),41932.666666666664)</f>
        <v>41932.66667</v>
      </c>
      <c r="C2821" s="9">
        <f>IFERROR(__xludf.DUMMYFUNCTION("""COMPUTED_VALUE"""),39.58)</f>
        <v>39.58</v>
      </c>
      <c r="E2821" s="17"/>
      <c r="M2821" s="17"/>
      <c r="P2821" s="17"/>
    </row>
    <row r="2822">
      <c r="B2822" s="11">
        <f>IFERROR(__xludf.DUMMYFUNCTION("""COMPUTED_VALUE"""),41929.666666666664)</f>
        <v>41929.66667</v>
      </c>
      <c r="C2822" s="9">
        <f>IFERROR(__xludf.DUMMYFUNCTION("""COMPUTED_VALUE"""),39.09)</f>
        <v>39.09</v>
      </c>
      <c r="E2822" s="17"/>
      <c r="M2822" s="17"/>
      <c r="P2822" s="17"/>
    </row>
    <row r="2823">
      <c r="B2823" s="11">
        <f>IFERROR(__xludf.DUMMYFUNCTION("""COMPUTED_VALUE"""),41928.666666666664)</f>
        <v>41928.66667</v>
      </c>
      <c r="C2823" s="9">
        <f>IFERROR(__xludf.DUMMYFUNCTION("""COMPUTED_VALUE"""),38.42)</f>
        <v>38.42</v>
      </c>
      <c r="E2823" s="17"/>
      <c r="M2823" s="17"/>
      <c r="P2823" s="17"/>
    </row>
    <row r="2824">
      <c r="B2824" s="11">
        <f>IFERROR(__xludf.DUMMYFUNCTION("""COMPUTED_VALUE"""),41927.666666666664)</f>
        <v>41927.66667</v>
      </c>
      <c r="C2824" s="9">
        <f>IFERROR(__xludf.DUMMYFUNCTION("""COMPUTED_VALUE"""),38.2)</f>
        <v>38.2</v>
      </c>
      <c r="E2824" s="17"/>
      <c r="M2824" s="17"/>
      <c r="P2824" s="17"/>
    </row>
    <row r="2825">
      <c r="B2825" s="11">
        <f>IFERROR(__xludf.DUMMYFUNCTION("""COMPUTED_VALUE"""),41926.666666666664)</f>
        <v>41926.66667</v>
      </c>
      <c r="C2825" s="9">
        <f>IFERROR(__xludf.DUMMYFUNCTION("""COMPUTED_VALUE"""),38.28)</f>
        <v>38.28</v>
      </c>
      <c r="E2825" s="17"/>
      <c r="M2825" s="17"/>
      <c r="P2825" s="17"/>
    </row>
    <row r="2826">
      <c r="B2826" s="11">
        <f>IFERROR(__xludf.DUMMYFUNCTION("""COMPUTED_VALUE"""),41925.666666666664)</f>
        <v>41925.66667</v>
      </c>
      <c r="C2826" s="9">
        <f>IFERROR(__xludf.DUMMYFUNCTION("""COMPUTED_VALUE"""),37.17)</f>
        <v>37.17</v>
      </c>
      <c r="E2826" s="17"/>
      <c r="M2826" s="17"/>
      <c r="P2826" s="17"/>
    </row>
    <row r="2827">
      <c r="B2827" s="11">
        <f>IFERROR(__xludf.DUMMYFUNCTION("""COMPUTED_VALUE"""),41922.666666666664)</f>
        <v>41922.66667</v>
      </c>
      <c r="C2827" s="9">
        <f>IFERROR(__xludf.DUMMYFUNCTION("""COMPUTED_VALUE"""),37.28)</f>
        <v>37.28</v>
      </c>
      <c r="E2827" s="17"/>
      <c r="M2827" s="17"/>
      <c r="P2827" s="17"/>
    </row>
    <row r="2828">
      <c r="B2828" s="11">
        <f>IFERROR(__xludf.DUMMYFUNCTION("""COMPUTED_VALUE"""),41921.666666666664)</f>
        <v>41921.66667</v>
      </c>
      <c r="C2828" s="9">
        <f>IFERROR(__xludf.DUMMYFUNCTION("""COMPUTED_VALUE"""),37.63)</f>
        <v>37.63</v>
      </c>
      <c r="E2828" s="17"/>
      <c r="M2828" s="17"/>
      <c r="P2828" s="17"/>
    </row>
    <row r="2829">
      <c r="B2829" s="11">
        <f>IFERROR(__xludf.DUMMYFUNCTION("""COMPUTED_VALUE"""),41920.666666666664)</f>
        <v>41920.66667</v>
      </c>
      <c r="C2829" s="9">
        <f>IFERROR(__xludf.DUMMYFUNCTION("""COMPUTED_VALUE"""),38.11)</f>
        <v>38.11</v>
      </c>
      <c r="E2829" s="17"/>
      <c r="M2829" s="17"/>
      <c r="P2829" s="17"/>
    </row>
    <row r="2830">
      <c r="B2830" s="11">
        <f>IFERROR(__xludf.DUMMYFUNCTION("""COMPUTED_VALUE"""),41919.666666666664)</f>
        <v>41919.66667</v>
      </c>
      <c r="C2830" s="9">
        <f>IFERROR(__xludf.DUMMYFUNCTION("""COMPUTED_VALUE"""),37.3)</f>
        <v>37.3</v>
      </c>
      <c r="E2830" s="17"/>
      <c r="M2830" s="17"/>
      <c r="P2830" s="17"/>
    </row>
    <row r="2831">
      <c r="B2831" s="11">
        <f>IFERROR(__xludf.DUMMYFUNCTION("""COMPUTED_VALUE"""),41918.666666666664)</f>
        <v>41918.66667</v>
      </c>
      <c r="C2831" s="9">
        <f>IFERROR(__xludf.DUMMYFUNCTION("""COMPUTED_VALUE"""),37.73)</f>
        <v>37.73</v>
      </c>
      <c r="E2831" s="17"/>
      <c r="M2831" s="17"/>
      <c r="P2831" s="17"/>
    </row>
    <row r="2832">
      <c r="B2832" s="11">
        <f>IFERROR(__xludf.DUMMYFUNCTION("""COMPUTED_VALUE"""),41915.666666666664)</f>
        <v>41915.66667</v>
      </c>
      <c r="C2832" s="9">
        <f>IFERROR(__xludf.DUMMYFUNCTION("""COMPUTED_VALUE"""),37.63)</f>
        <v>37.63</v>
      </c>
      <c r="E2832" s="17"/>
      <c r="M2832" s="17"/>
      <c r="P2832" s="17"/>
    </row>
    <row r="2833">
      <c r="B2833" s="11">
        <f>IFERROR(__xludf.DUMMYFUNCTION("""COMPUTED_VALUE"""),41914.666666666664)</f>
        <v>41914.66667</v>
      </c>
      <c r="C2833" s="9">
        <f>IFERROR(__xludf.DUMMYFUNCTION("""COMPUTED_VALUE"""),37.55)</f>
        <v>37.55</v>
      </c>
      <c r="E2833" s="17"/>
      <c r="M2833" s="17"/>
      <c r="P2833" s="17"/>
    </row>
    <row r="2834">
      <c r="B2834" s="11">
        <f>IFERROR(__xludf.DUMMYFUNCTION("""COMPUTED_VALUE"""),41913.666666666664)</f>
        <v>41913.66667</v>
      </c>
      <c r="C2834" s="9">
        <f>IFERROR(__xludf.DUMMYFUNCTION("""COMPUTED_VALUE"""),37.56)</f>
        <v>37.56</v>
      </c>
      <c r="E2834" s="17"/>
      <c r="M2834" s="17"/>
      <c r="P2834" s="17"/>
    </row>
    <row r="2835">
      <c r="B2835" s="11">
        <f>IFERROR(__xludf.DUMMYFUNCTION("""COMPUTED_VALUE"""),41912.666666666664)</f>
        <v>41912.66667</v>
      </c>
      <c r="C2835" s="9">
        <f>IFERROR(__xludf.DUMMYFUNCTION("""COMPUTED_VALUE"""),37.7)</f>
        <v>37.7</v>
      </c>
      <c r="E2835" s="17"/>
      <c r="M2835" s="17"/>
      <c r="P2835" s="17"/>
    </row>
    <row r="2836">
      <c r="B2836" s="11">
        <f>IFERROR(__xludf.DUMMYFUNCTION("""COMPUTED_VALUE"""),41911.666666666664)</f>
        <v>41911.66667</v>
      </c>
      <c r="C2836" s="9">
        <f>IFERROR(__xludf.DUMMYFUNCTION("""COMPUTED_VALUE"""),38.18)</f>
        <v>38.18</v>
      </c>
      <c r="E2836" s="17"/>
      <c r="M2836" s="17"/>
      <c r="P2836" s="17"/>
    </row>
    <row r="2837">
      <c r="B2837" s="11">
        <f>IFERROR(__xludf.DUMMYFUNCTION("""COMPUTED_VALUE"""),41908.666666666664)</f>
        <v>41908.66667</v>
      </c>
      <c r="C2837" s="9">
        <f>IFERROR(__xludf.DUMMYFUNCTION("""COMPUTED_VALUE"""),38.04)</f>
        <v>38.04</v>
      </c>
      <c r="E2837" s="17"/>
      <c r="M2837" s="17"/>
      <c r="P2837" s="17"/>
    </row>
    <row r="2838">
      <c r="B2838" s="11">
        <f>IFERROR(__xludf.DUMMYFUNCTION("""COMPUTED_VALUE"""),41907.666666666664)</f>
        <v>41907.66667</v>
      </c>
      <c r="C2838" s="9">
        <f>IFERROR(__xludf.DUMMYFUNCTION("""COMPUTED_VALUE"""),37.45)</f>
        <v>37.45</v>
      </c>
      <c r="E2838" s="17"/>
      <c r="M2838" s="17"/>
      <c r="P2838" s="17"/>
    </row>
    <row r="2839">
      <c r="B2839" s="11">
        <f>IFERROR(__xludf.DUMMYFUNCTION("""COMPUTED_VALUE"""),41906.666666666664)</f>
        <v>41906.66667</v>
      </c>
      <c r="C2839" s="9">
        <f>IFERROR(__xludf.DUMMYFUNCTION("""COMPUTED_VALUE"""),38.03)</f>
        <v>38.03</v>
      </c>
      <c r="E2839" s="17"/>
      <c r="M2839" s="17"/>
      <c r="P2839" s="17"/>
    </row>
    <row r="2840">
      <c r="B2840" s="11">
        <f>IFERROR(__xludf.DUMMYFUNCTION("""COMPUTED_VALUE"""),41905.666666666664)</f>
        <v>41905.66667</v>
      </c>
      <c r="C2840" s="9">
        <f>IFERROR(__xludf.DUMMYFUNCTION("""COMPUTED_VALUE"""),37.96)</f>
        <v>37.96</v>
      </c>
      <c r="E2840" s="17"/>
      <c r="M2840" s="17"/>
      <c r="P2840" s="17"/>
    </row>
    <row r="2841">
      <c r="B2841" s="11">
        <f>IFERROR(__xludf.DUMMYFUNCTION("""COMPUTED_VALUE"""),41904.666666666664)</f>
        <v>41904.66667</v>
      </c>
      <c r="C2841" s="9">
        <f>IFERROR(__xludf.DUMMYFUNCTION("""COMPUTED_VALUE"""),38.18)</f>
        <v>38.18</v>
      </c>
      <c r="E2841" s="17"/>
      <c r="M2841" s="17"/>
      <c r="P2841" s="17"/>
    </row>
    <row r="2842">
      <c r="B2842" s="11">
        <f>IFERROR(__xludf.DUMMYFUNCTION("""COMPUTED_VALUE"""),41901.666666666664)</f>
        <v>41901.66667</v>
      </c>
      <c r="C2842" s="9">
        <f>IFERROR(__xludf.DUMMYFUNCTION("""COMPUTED_VALUE"""),38.65)</f>
        <v>38.65</v>
      </c>
      <c r="E2842" s="17"/>
      <c r="M2842" s="17"/>
      <c r="P2842" s="17"/>
    </row>
    <row r="2843">
      <c r="B2843" s="11">
        <f>IFERROR(__xludf.DUMMYFUNCTION("""COMPUTED_VALUE"""),41900.666666666664)</f>
        <v>41900.66667</v>
      </c>
      <c r="C2843" s="9">
        <f>IFERROR(__xludf.DUMMYFUNCTION("""COMPUTED_VALUE"""),38.31)</f>
        <v>38.31</v>
      </c>
      <c r="E2843" s="17"/>
      <c r="M2843" s="17"/>
      <c r="P2843" s="17"/>
    </row>
    <row r="2844">
      <c r="B2844" s="11">
        <f>IFERROR(__xludf.DUMMYFUNCTION("""COMPUTED_VALUE"""),41899.666666666664)</f>
        <v>41899.66667</v>
      </c>
      <c r="C2844" s="9">
        <f>IFERROR(__xludf.DUMMYFUNCTION("""COMPUTED_VALUE"""),38.78)</f>
        <v>38.78</v>
      </c>
      <c r="E2844" s="17"/>
      <c r="M2844" s="17"/>
      <c r="P2844" s="17"/>
    </row>
    <row r="2845">
      <c r="B2845" s="11">
        <f>IFERROR(__xludf.DUMMYFUNCTION("""COMPUTED_VALUE"""),41898.666666666664)</f>
        <v>41898.66667</v>
      </c>
      <c r="C2845" s="9">
        <f>IFERROR(__xludf.DUMMYFUNCTION("""COMPUTED_VALUE"""),38.99)</f>
        <v>38.99</v>
      </c>
      <c r="E2845" s="17"/>
      <c r="M2845" s="17"/>
      <c r="P2845" s="17"/>
    </row>
    <row r="2846">
      <c r="B2846" s="11">
        <f>IFERROR(__xludf.DUMMYFUNCTION("""COMPUTED_VALUE"""),41897.666666666664)</f>
        <v>41897.66667</v>
      </c>
      <c r="C2846" s="9">
        <f>IFERROR(__xludf.DUMMYFUNCTION("""COMPUTED_VALUE"""),38.83)</f>
        <v>38.83</v>
      </c>
      <c r="E2846" s="17"/>
      <c r="M2846" s="17"/>
      <c r="P2846" s="17"/>
    </row>
    <row r="2847">
      <c r="B2847" s="11">
        <f>IFERROR(__xludf.DUMMYFUNCTION("""COMPUTED_VALUE"""),41894.666666666664)</f>
        <v>41894.66667</v>
      </c>
      <c r="C2847" s="9">
        <f>IFERROR(__xludf.DUMMYFUNCTION("""COMPUTED_VALUE"""),39.05)</f>
        <v>39.05</v>
      </c>
      <c r="E2847" s="17"/>
      <c r="M2847" s="17"/>
      <c r="P2847" s="17"/>
    </row>
    <row r="2848">
      <c r="B2848" s="11">
        <f>IFERROR(__xludf.DUMMYFUNCTION("""COMPUTED_VALUE"""),41893.666666666664)</f>
        <v>41893.66667</v>
      </c>
      <c r="C2848" s="9">
        <f>IFERROR(__xludf.DUMMYFUNCTION("""COMPUTED_VALUE"""),40.41)</f>
        <v>40.41</v>
      </c>
      <c r="E2848" s="17"/>
      <c r="M2848" s="17"/>
      <c r="P2848" s="17"/>
    </row>
    <row r="2849">
      <c r="B2849" s="11">
        <f>IFERROR(__xludf.DUMMYFUNCTION("""COMPUTED_VALUE"""),41892.666666666664)</f>
        <v>41892.66667</v>
      </c>
      <c r="C2849" s="9">
        <f>IFERROR(__xludf.DUMMYFUNCTION("""COMPUTED_VALUE"""),40.65)</f>
        <v>40.65</v>
      </c>
      <c r="E2849" s="17"/>
      <c r="M2849" s="17"/>
      <c r="P2849" s="17"/>
    </row>
    <row r="2850">
      <c r="B2850" s="11">
        <f>IFERROR(__xludf.DUMMYFUNCTION("""COMPUTED_VALUE"""),41891.666666666664)</f>
        <v>41891.66667</v>
      </c>
      <c r="C2850" s="9">
        <f>IFERROR(__xludf.DUMMYFUNCTION("""COMPUTED_VALUE"""),41.35)</f>
        <v>41.35</v>
      </c>
      <c r="E2850" s="17"/>
      <c r="M2850" s="17"/>
      <c r="P2850" s="17"/>
    </row>
    <row r="2851">
      <c r="B2851" s="11">
        <f>IFERROR(__xludf.DUMMYFUNCTION("""COMPUTED_VALUE"""),41890.666666666664)</f>
        <v>41890.66667</v>
      </c>
      <c r="C2851" s="9">
        <f>IFERROR(__xludf.DUMMYFUNCTION("""COMPUTED_VALUE"""),41.45)</f>
        <v>41.45</v>
      </c>
      <c r="E2851" s="17"/>
      <c r="M2851" s="17"/>
      <c r="P2851" s="17"/>
    </row>
    <row r="2852">
      <c r="B2852" s="11">
        <f>IFERROR(__xludf.DUMMYFUNCTION("""COMPUTED_VALUE"""),41887.666666666664)</f>
        <v>41887.66667</v>
      </c>
      <c r="C2852" s="9">
        <f>IFERROR(__xludf.DUMMYFUNCTION("""COMPUTED_VALUE"""),41.26)</f>
        <v>41.26</v>
      </c>
      <c r="E2852" s="17"/>
      <c r="M2852" s="17"/>
      <c r="P2852" s="17"/>
    </row>
    <row r="2853">
      <c r="B2853" s="11">
        <f>IFERROR(__xludf.DUMMYFUNCTION("""COMPUTED_VALUE"""),41886.666666666664)</f>
        <v>41886.66667</v>
      </c>
      <c r="C2853" s="9">
        <f>IFERROR(__xludf.DUMMYFUNCTION("""COMPUTED_VALUE"""),40.59)</f>
        <v>40.59</v>
      </c>
      <c r="E2853" s="17"/>
      <c r="M2853" s="17"/>
      <c r="P2853" s="17"/>
    </row>
    <row r="2854">
      <c r="B2854" s="11">
        <f>IFERROR(__xludf.DUMMYFUNCTION("""COMPUTED_VALUE"""),41885.666666666664)</f>
        <v>41885.66667</v>
      </c>
      <c r="C2854" s="9">
        <f>IFERROR(__xludf.DUMMYFUNCTION("""COMPUTED_VALUE"""),40.72)</f>
        <v>40.72</v>
      </c>
      <c r="E2854" s="17"/>
      <c r="M2854" s="17"/>
      <c r="P2854" s="17"/>
    </row>
    <row r="2855">
      <c r="B2855" s="11">
        <f>IFERROR(__xludf.DUMMYFUNCTION("""COMPUTED_VALUE"""),41884.666666666664)</f>
        <v>41884.66667</v>
      </c>
      <c r="C2855" s="9">
        <f>IFERROR(__xludf.DUMMYFUNCTION("""COMPUTED_VALUE"""),40.91)</f>
        <v>40.91</v>
      </c>
      <c r="E2855" s="17"/>
      <c r="M2855" s="17"/>
      <c r="P2855" s="17"/>
    </row>
    <row r="2856">
      <c r="B2856" s="11">
        <f>IFERROR(__xludf.DUMMYFUNCTION("""COMPUTED_VALUE"""),41880.666666666664)</f>
        <v>41880.66667</v>
      </c>
      <c r="C2856" s="9">
        <f>IFERROR(__xludf.DUMMYFUNCTION("""COMPUTED_VALUE"""),40.94)</f>
        <v>40.94</v>
      </c>
      <c r="E2856" s="17"/>
      <c r="M2856" s="17"/>
      <c r="P2856" s="17"/>
    </row>
    <row r="2857">
      <c r="B2857" s="11">
        <f>IFERROR(__xludf.DUMMYFUNCTION("""COMPUTED_VALUE"""),41879.666666666664)</f>
        <v>41879.66667</v>
      </c>
      <c r="C2857" s="9">
        <f>IFERROR(__xludf.DUMMYFUNCTION("""COMPUTED_VALUE"""),40.74)</f>
        <v>40.74</v>
      </c>
      <c r="E2857" s="17"/>
      <c r="M2857" s="17"/>
      <c r="P2857" s="17"/>
    </row>
    <row r="2858">
      <c r="B2858" s="11">
        <f>IFERROR(__xludf.DUMMYFUNCTION("""COMPUTED_VALUE"""),41878.666666666664)</f>
        <v>41878.66667</v>
      </c>
      <c r="C2858" s="9">
        <f>IFERROR(__xludf.DUMMYFUNCTION("""COMPUTED_VALUE"""),40.75)</f>
        <v>40.75</v>
      </c>
      <c r="E2858" s="17"/>
      <c r="M2858" s="17"/>
      <c r="P2858" s="17"/>
    </row>
    <row r="2859">
      <c r="B2859" s="11">
        <f>IFERROR(__xludf.DUMMYFUNCTION("""COMPUTED_VALUE"""),41877.666666666664)</f>
        <v>41877.66667</v>
      </c>
      <c r="C2859" s="9">
        <f>IFERROR(__xludf.DUMMYFUNCTION("""COMPUTED_VALUE"""),40.8)</f>
        <v>40.8</v>
      </c>
      <c r="E2859" s="17"/>
      <c r="M2859" s="17"/>
      <c r="P2859" s="17"/>
    </row>
    <row r="2860">
      <c r="B2860" s="11">
        <f>IFERROR(__xludf.DUMMYFUNCTION("""COMPUTED_VALUE"""),41876.666666666664)</f>
        <v>41876.66667</v>
      </c>
      <c r="C2860" s="9">
        <f>IFERROR(__xludf.DUMMYFUNCTION("""COMPUTED_VALUE"""),40.83)</f>
        <v>40.83</v>
      </c>
      <c r="E2860" s="17"/>
      <c r="M2860" s="17"/>
      <c r="P2860" s="17"/>
    </row>
    <row r="2861">
      <c r="B2861" s="11">
        <f>IFERROR(__xludf.DUMMYFUNCTION("""COMPUTED_VALUE"""),41873.666666666664)</f>
        <v>41873.66667</v>
      </c>
      <c r="C2861" s="9">
        <f>IFERROR(__xludf.DUMMYFUNCTION("""COMPUTED_VALUE"""),40.91)</f>
        <v>40.91</v>
      </c>
      <c r="E2861" s="17"/>
      <c r="M2861" s="17"/>
      <c r="P2861" s="17"/>
    </row>
    <row r="2862">
      <c r="B2862" s="11">
        <f>IFERROR(__xludf.DUMMYFUNCTION("""COMPUTED_VALUE"""),41872.666666666664)</f>
        <v>41872.66667</v>
      </c>
      <c r="C2862" s="9">
        <f>IFERROR(__xludf.DUMMYFUNCTION("""COMPUTED_VALUE"""),41.14)</f>
        <v>41.14</v>
      </c>
      <c r="E2862" s="17"/>
      <c r="M2862" s="17"/>
      <c r="P2862" s="17"/>
    </row>
    <row r="2863">
      <c r="B2863" s="11">
        <f>IFERROR(__xludf.DUMMYFUNCTION("""COMPUTED_VALUE"""),41871.666666666664)</f>
        <v>41871.66667</v>
      </c>
      <c r="C2863" s="9">
        <f>IFERROR(__xludf.DUMMYFUNCTION("""COMPUTED_VALUE"""),41.37)</f>
        <v>41.37</v>
      </c>
      <c r="E2863" s="17"/>
      <c r="M2863" s="17"/>
      <c r="P2863" s="17"/>
    </row>
    <row r="2864">
      <c r="B2864" s="11">
        <f>IFERROR(__xludf.DUMMYFUNCTION("""COMPUTED_VALUE"""),41870.666666666664)</f>
        <v>41870.66667</v>
      </c>
      <c r="C2864" s="9">
        <f>IFERROR(__xludf.DUMMYFUNCTION("""COMPUTED_VALUE"""),41.27)</f>
        <v>41.27</v>
      </c>
      <c r="E2864" s="17"/>
      <c r="M2864" s="17"/>
      <c r="P2864" s="17"/>
    </row>
    <row r="2865">
      <c r="B2865" s="11">
        <f>IFERROR(__xludf.DUMMYFUNCTION("""COMPUTED_VALUE"""),41869.666666666664)</f>
        <v>41869.66667</v>
      </c>
      <c r="C2865" s="9">
        <f>IFERROR(__xludf.DUMMYFUNCTION("""COMPUTED_VALUE"""),41.28)</f>
        <v>41.28</v>
      </c>
      <c r="E2865" s="17"/>
      <c r="M2865" s="17"/>
      <c r="P2865" s="17"/>
    </row>
    <row r="2866">
      <c r="B2866" s="11">
        <f>IFERROR(__xludf.DUMMYFUNCTION("""COMPUTED_VALUE"""),41866.666666666664)</f>
        <v>41866.66667</v>
      </c>
      <c r="C2866" s="9">
        <f>IFERROR(__xludf.DUMMYFUNCTION("""COMPUTED_VALUE"""),40.8)</f>
        <v>40.8</v>
      </c>
      <c r="E2866" s="17"/>
      <c r="M2866" s="17"/>
      <c r="P2866" s="17"/>
    </row>
    <row r="2867">
      <c r="B2867" s="11">
        <f>IFERROR(__xludf.DUMMYFUNCTION("""COMPUTED_VALUE"""),41865.666666666664)</f>
        <v>41865.66667</v>
      </c>
      <c r="C2867" s="9">
        <f>IFERROR(__xludf.DUMMYFUNCTION("""COMPUTED_VALUE"""),40.83)</f>
        <v>40.83</v>
      </c>
      <c r="E2867" s="17"/>
      <c r="M2867" s="17"/>
      <c r="P2867" s="17"/>
    </row>
    <row r="2868">
      <c r="B2868" s="11">
        <f>IFERROR(__xludf.DUMMYFUNCTION("""COMPUTED_VALUE"""),41864.666666666664)</f>
        <v>41864.66667</v>
      </c>
      <c r="C2868" s="9">
        <f>IFERROR(__xludf.DUMMYFUNCTION("""COMPUTED_VALUE"""),40.88)</f>
        <v>40.88</v>
      </c>
      <c r="E2868" s="17"/>
      <c r="M2868" s="17"/>
      <c r="P2868" s="17"/>
    </row>
    <row r="2869">
      <c r="B2869" s="11">
        <f>IFERROR(__xludf.DUMMYFUNCTION("""COMPUTED_VALUE"""),41863.666666666664)</f>
        <v>41863.66667</v>
      </c>
      <c r="C2869" s="9">
        <f>IFERROR(__xludf.DUMMYFUNCTION("""COMPUTED_VALUE"""),40.28)</f>
        <v>40.28</v>
      </c>
      <c r="E2869" s="17"/>
      <c r="M2869" s="17"/>
      <c r="P2869" s="17"/>
    </row>
    <row r="2870">
      <c r="B2870" s="11">
        <f>IFERROR(__xludf.DUMMYFUNCTION("""COMPUTED_VALUE"""),41862.666666666664)</f>
        <v>41862.66667</v>
      </c>
      <c r="C2870" s="9">
        <f>IFERROR(__xludf.DUMMYFUNCTION("""COMPUTED_VALUE"""),40.34)</f>
        <v>40.34</v>
      </c>
      <c r="E2870" s="17"/>
      <c r="M2870" s="17"/>
      <c r="P2870" s="17"/>
    </row>
    <row r="2871">
      <c r="B2871" s="11">
        <f>IFERROR(__xludf.DUMMYFUNCTION("""COMPUTED_VALUE"""),41859.666666666664)</f>
        <v>41859.66667</v>
      </c>
      <c r="C2871" s="9">
        <f>IFERROR(__xludf.DUMMYFUNCTION("""COMPUTED_VALUE"""),40.21)</f>
        <v>40.21</v>
      </c>
      <c r="E2871" s="17"/>
      <c r="M2871" s="17"/>
      <c r="P2871" s="17"/>
    </row>
    <row r="2872">
      <c r="B2872" s="11">
        <f>IFERROR(__xludf.DUMMYFUNCTION("""COMPUTED_VALUE"""),41858.666666666664)</f>
        <v>41858.66667</v>
      </c>
      <c r="C2872" s="9">
        <f>IFERROR(__xludf.DUMMYFUNCTION("""COMPUTED_VALUE"""),39.87)</f>
        <v>39.87</v>
      </c>
      <c r="E2872" s="17"/>
      <c r="M2872" s="17"/>
      <c r="P2872" s="17"/>
    </row>
    <row r="2873">
      <c r="B2873" s="11">
        <f>IFERROR(__xludf.DUMMYFUNCTION("""COMPUTED_VALUE"""),41857.666666666664)</f>
        <v>41857.66667</v>
      </c>
      <c r="C2873" s="9">
        <f>IFERROR(__xludf.DUMMYFUNCTION("""COMPUTED_VALUE"""),39.95)</f>
        <v>39.95</v>
      </c>
      <c r="E2873" s="17"/>
      <c r="M2873" s="17"/>
      <c r="P2873" s="17"/>
    </row>
    <row r="2874">
      <c r="B2874" s="11">
        <f>IFERROR(__xludf.DUMMYFUNCTION("""COMPUTED_VALUE"""),41856.666666666664)</f>
        <v>41856.66667</v>
      </c>
      <c r="C2874" s="9">
        <f>IFERROR(__xludf.DUMMYFUNCTION("""COMPUTED_VALUE"""),40.16)</f>
        <v>40.16</v>
      </c>
      <c r="E2874" s="17"/>
      <c r="M2874" s="17"/>
      <c r="P2874" s="17"/>
    </row>
    <row r="2875">
      <c r="B2875" s="11">
        <f>IFERROR(__xludf.DUMMYFUNCTION("""COMPUTED_VALUE"""),41855.666666666664)</f>
        <v>41855.66667</v>
      </c>
      <c r="C2875" s="9">
        <f>IFERROR(__xludf.DUMMYFUNCTION("""COMPUTED_VALUE"""),40.69)</f>
        <v>40.69</v>
      </c>
      <c r="E2875" s="17"/>
      <c r="M2875" s="17"/>
      <c r="P2875" s="17"/>
    </row>
    <row r="2876">
      <c r="B2876" s="11">
        <f>IFERROR(__xludf.DUMMYFUNCTION("""COMPUTED_VALUE"""),41852.666666666664)</f>
        <v>41852.66667</v>
      </c>
      <c r="C2876" s="9">
        <f>IFERROR(__xludf.DUMMYFUNCTION("""COMPUTED_VALUE"""),40.55)</f>
        <v>40.55</v>
      </c>
      <c r="E2876" s="17"/>
      <c r="M2876" s="17"/>
      <c r="P2876" s="17"/>
    </row>
    <row r="2877">
      <c r="B2877" s="11">
        <f>IFERROR(__xludf.DUMMYFUNCTION("""COMPUTED_VALUE"""),41851.666666666664)</f>
        <v>41851.66667</v>
      </c>
      <c r="C2877" s="9">
        <f>IFERROR(__xludf.DUMMYFUNCTION("""COMPUTED_VALUE"""),40.81)</f>
        <v>40.81</v>
      </c>
      <c r="E2877" s="17"/>
      <c r="M2877" s="17"/>
      <c r="P2877" s="17"/>
    </row>
    <row r="2878">
      <c r="B2878" s="11">
        <f>IFERROR(__xludf.DUMMYFUNCTION("""COMPUTED_VALUE"""),41850.666666666664)</f>
        <v>41850.66667</v>
      </c>
      <c r="C2878" s="9">
        <f>IFERROR(__xludf.DUMMYFUNCTION("""COMPUTED_VALUE"""),41.43)</f>
        <v>41.43</v>
      </c>
      <c r="E2878" s="17"/>
      <c r="M2878" s="17"/>
      <c r="P2878" s="17"/>
    </row>
    <row r="2879">
      <c r="B2879" s="11">
        <f>IFERROR(__xludf.DUMMYFUNCTION("""COMPUTED_VALUE"""),41849.666666666664)</f>
        <v>41849.66667</v>
      </c>
      <c r="C2879" s="9">
        <f>IFERROR(__xludf.DUMMYFUNCTION("""COMPUTED_VALUE"""),41.76)</f>
        <v>41.76</v>
      </c>
      <c r="E2879" s="17"/>
      <c r="M2879" s="17"/>
      <c r="P2879" s="17"/>
    </row>
    <row r="2880">
      <c r="B2880" s="11">
        <f>IFERROR(__xludf.DUMMYFUNCTION("""COMPUTED_VALUE"""),41848.666666666664)</f>
        <v>41848.66667</v>
      </c>
      <c r="C2880" s="9">
        <f>IFERROR(__xludf.DUMMYFUNCTION("""COMPUTED_VALUE"""),42.16)</f>
        <v>42.16</v>
      </c>
      <c r="E2880" s="17"/>
      <c r="M2880" s="17"/>
      <c r="P2880" s="17"/>
    </row>
    <row r="2881">
      <c r="B2881" s="11">
        <f>IFERROR(__xludf.DUMMYFUNCTION("""COMPUTED_VALUE"""),41845.666666666664)</f>
        <v>41845.66667</v>
      </c>
      <c r="C2881" s="9">
        <f>IFERROR(__xludf.DUMMYFUNCTION("""COMPUTED_VALUE"""),41.63)</f>
        <v>41.63</v>
      </c>
      <c r="E2881" s="17"/>
      <c r="M2881" s="17"/>
      <c r="P2881" s="17"/>
    </row>
    <row r="2882">
      <c r="B2882" s="11">
        <f>IFERROR(__xludf.DUMMYFUNCTION("""COMPUTED_VALUE"""),41844.666666666664)</f>
        <v>41844.66667</v>
      </c>
      <c r="C2882" s="9">
        <f>IFERROR(__xludf.DUMMYFUNCTION("""COMPUTED_VALUE"""),41.87)</f>
        <v>41.87</v>
      </c>
      <c r="E2882" s="17"/>
      <c r="M2882" s="17"/>
      <c r="P2882" s="17"/>
    </row>
    <row r="2883">
      <c r="B2883" s="11">
        <f>IFERROR(__xludf.DUMMYFUNCTION("""COMPUTED_VALUE"""),41843.666666666664)</f>
        <v>41843.66667</v>
      </c>
      <c r="C2883" s="9">
        <f>IFERROR(__xludf.DUMMYFUNCTION("""COMPUTED_VALUE"""),42.02)</f>
        <v>42.02</v>
      </c>
      <c r="E2883" s="17"/>
      <c r="M2883" s="17"/>
      <c r="P2883" s="17"/>
    </row>
    <row r="2884">
      <c r="B2884" s="11">
        <f>IFERROR(__xludf.DUMMYFUNCTION("""COMPUTED_VALUE"""),41842.666666666664)</f>
        <v>41842.66667</v>
      </c>
      <c r="C2884" s="9">
        <f>IFERROR(__xludf.DUMMYFUNCTION("""COMPUTED_VALUE"""),41.98)</f>
        <v>41.98</v>
      </c>
      <c r="E2884" s="17"/>
      <c r="M2884" s="17"/>
      <c r="P2884" s="17"/>
    </row>
    <row r="2885">
      <c r="B2885" s="11">
        <f>IFERROR(__xludf.DUMMYFUNCTION("""COMPUTED_VALUE"""),41841.666666666664)</f>
        <v>41841.66667</v>
      </c>
      <c r="C2885" s="9">
        <f>IFERROR(__xludf.DUMMYFUNCTION("""COMPUTED_VALUE"""),41.55)</f>
        <v>41.55</v>
      </c>
      <c r="E2885" s="17"/>
      <c r="M2885" s="17"/>
      <c r="P2885" s="17"/>
    </row>
    <row r="2886">
      <c r="B2886" s="11">
        <f>IFERROR(__xludf.DUMMYFUNCTION("""COMPUTED_VALUE"""),41838.666666666664)</f>
        <v>41838.66667</v>
      </c>
      <c r="C2886" s="9">
        <f>IFERROR(__xludf.DUMMYFUNCTION("""COMPUTED_VALUE"""),41.71)</f>
        <v>41.71</v>
      </c>
      <c r="E2886" s="17"/>
      <c r="M2886" s="17"/>
      <c r="P2886" s="17"/>
    </row>
    <row r="2887">
      <c r="B2887" s="11">
        <f>IFERROR(__xludf.DUMMYFUNCTION("""COMPUTED_VALUE"""),41837.666666666664)</f>
        <v>41837.66667</v>
      </c>
      <c r="C2887" s="9">
        <f>IFERROR(__xludf.DUMMYFUNCTION("""COMPUTED_VALUE"""),41.45)</f>
        <v>41.45</v>
      </c>
      <c r="E2887" s="17"/>
      <c r="M2887" s="17"/>
      <c r="P2887" s="17"/>
    </row>
    <row r="2888">
      <c r="B2888" s="11">
        <f>IFERROR(__xludf.DUMMYFUNCTION("""COMPUTED_VALUE"""),41836.666666666664)</f>
        <v>41836.66667</v>
      </c>
      <c r="C2888" s="9">
        <f>IFERROR(__xludf.DUMMYFUNCTION("""COMPUTED_VALUE"""),41.71)</f>
        <v>41.71</v>
      </c>
      <c r="E2888" s="17"/>
      <c r="M2888" s="17"/>
      <c r="P2888" s="17"/>
    </row>
    <row r="2889">
      <c r="B2889" s="11">
        <f>IFERROR(__xludf.DUMMYFUNCTION("""COMPUTED_VALUE"""),41835.666666666664)</f>
        <v>41835.66667</v>
      </c>
      <c r="C2889" s="9">
        <f>IFERROR(__xludf.DUMMYFUNCTION("""COMPUTED_VALUE"""),41.46)</f>
        <v>41.46</v>
      </c>
      <c r="E2889" s="17"/>
      <c r="M2889" s="17"/>
      <c r="P2889" s="17"/>
    </row>
    <row r="2890">
      <c r="B2890" s="11">
        <f>IFERROR(__xludf.DUMMYFUNCTION("""COMPUTED_VALUE"""),41834.666666666664)</f>
        <v>41834.66667</v>
      </c>
      <c r="C2890" s="9">
        <f>IFERROR(__xludf.DUMMYFUNCTION("""COMPUTED_VALUE"""),41.59)</f>
        <v>41.59</v>
      </c>
      <c r="E2890" s="17"/>
      <c r="M2890" s="17"/>
      <c r="P2890" s="17"/>
    </row>
    <row r="2891">
      <c r="B2891" s="11">
        <f>IFERROR(__xludf.DUMMYFUNCTION("""COMPUTED_VALUE"""),41831.666666666664)</f>
        <v>41831.66667</v>
      </c>
      <c r="C2891" s="9">
        <f>IFERROR(__xludf.DUMMYFUNCTION("""COMPUTED_VALUE"""),41.29)</f>
        <v>41.29</v>
      </c>
      <c r="E2891" s="17"/>
      <c r="M2891" s="17"/>
      <c r="P2891" s="17"/>
    </row>
    <row r="2892">
      <c r="B2892" s="11">
        <f>IFERROR(__xludf.DUMMYFUNCTION("""COMPUTED_VALUE"""),41830.666666666664)</f>
        <v>41830.66667</v>
      </c>
      <c r="C2892" s="9">
        <f>IFERROR(__xludf.DUMMYFUNCTION("""COMPUTED_VALUE"""),41.23)</f>
        <v>41.23</v>
      </c>
      <c r="E2892" s="17"/>
      <c r="M2892" s="17"/>
      <c r="P2892" s="17"/>
    </row>
    <row r="2893">
      <c r="B2893" s="11">
        <f>IFERROR(__xludf.DUMMYFUNCTION("""COMPUTED_VALUE"""),41829.666666666664)</f>
        <v>41829.66667</v>
      </c>
      <c r="C2893" s="9">
        <f>IFERROR(__xludf.DUMMYFUNCTION("""COMPUTED_VALUE"""),41.05)</f>
        <v>41.05</v>
      </c>
      <c r="E2893" s="17"/>
      <c r="M2893" s="17"/>
      <c r="P2893" s="17"/>
    </row>
    <row r="2894">
      <c r="B2894" s="11">
        <f>IFERROR(__xludf.DUMMYFUNCTION("""COMPUTED_VALUE"""),41828.666666666664)</f>
        <v>41828.66667</v>
      </c>
      <c r="C2894" s="9">
        <f>IFERROR(__xludf.DUMMYFUNCTION("""COMPUTED_VALUE"""),41.12)</f>
        <v>41.12</v>
      </c>
      <c r="E2894" s="17"/>
      <c r="M2894" s="17"/>
      <c r="P2894" s="17"/>
    </row>
    <row r="2895">
      <c r="B2895" s="11">
        <f>IFERROR(__xludf.DUMMYFUNCTION("""COMPUTED_VALUE"""),41827.666666666664)</f>
        <v>41827.66667</v>
      </c>
      <c r="C2895" s="9">
        <f>IFERROR(__xludf.DUMMYFUNCTION("""COMPUTED_VALUE"""),41.13)</f>
        <v>41.13</v>
      </c>
      <c r="E2895" s="17"/>
      <c r="M2895" s="17"/>
      <c r="P2895" s="17"/>
    </row>
    <row r="2896">
      <c r="B2896" s="11">
        <f>IFERROR(__xludf.DUMMYFUNCTION("""COMPUTED_VALUE"""),41823.666666666664)</f>
        <v>41823.66667</v>
      </c>
      <c r="C2896" s="9">
        <f>IFERROR(__xludf.DUMMYFUNCTION("""COMPUTED_VALUE"""),40.9)</f>
        <v>40.9</v>
      </c>
      <c r="E2896" s="17"/>
      <c r="M2896" s="17"/>
      <c r="P2896" s="17"/>
    </row>
    <row r="2897">
      <c r="B2897" s="11">
        <f>IFERROR(__xludf.DUMMYFUNCTION("""COMPUTED_VALUE"""),41822.666666666664)</f>
        <v>41822.66667</v>
      </c>
      <c r="C2897" s="9">
        <f>IFERROR(__xludf.DUMMYFUNCTION("""COMPUTED_VALUE"""),41.17)</f>
        <v>41.17</v>
      </c>
      <c r="E2897" s="17"/>
      <c r="M2897" s="17"/>
      <c r="P2897" s="17"/>
    </row>
    <row r="2898">
      <c r="B2898" s="11">
        <f>IFERROR(__xludf.DUMMYFUNCTION("""COMPUTED_VALUE"""),41821.666666666664)</f>
        <v>41821.66667</v>
      </c>
      <c r="C2898" s="9">
        <f>IFERROR(__xludf.DUMMYFUNCTION("""COMPUTED_VALUE"""),41.13)</f>
        <v>41.13</v>
      </c>
      <c r="E2898" s="17"/>
      <c r="M2898" s="17"/>
      <c r="P2898" s="17"/>
    </row>
    <row r="2899">
      <c r="B2899" s="11">
        <f>IFERROR(__xludf.DUMMYFUNCTION("""COMPUTED_VALUE"""),41820.666666666664)</f>
        <v>41820.66667</v>
      </c>
      <c r="C2899" s="9">
        <f>IFERROR(__xludf.DUMMYFUNCTION("""COMPUTED_VALUE"""),41.09)</f>
        <v>41.09</v>
      </c>
      <c r="E2899" s="17"/>
      <c r="M2899" s="17"/>
      <c r="P2899" s="17"/>
    </row>
    <row r="2900">
      <c r="B2900" s="11">
        <f>IFERROR(__xludf.DUMMYFUNCTION("""COMPUTED_VALUE"""),41817.666666666664)</f>
        <v>41817.66667</v>
      </c>
      <c r="C2900" s="9">
        <f>IFERROR(__xludf.DUMMYFUNCTION("""COMPUTED_VALUE"""),41.18)</f>
        <v>41.18</v>
      </c>
      <c r="E2900" s="17"/>
      <c r="M2900" s="17"/>
      <c r="P2900" s="17"/>
    </row>
    <row r="2901">
      <c r="B2901" s="11">
        <f>IFERROR(__xludf.DUMMYFUNCTION("""COMPUTED_VALUE"""),41816.666666666664)</f>
        <v>41816.66667</v>
      </c>
      <c r="C2901" s="9">
        <f>IFERROR(__xludf.DUMMYFUNCTION("""COMPUTED_VALUE"""),41.1)</f>
        <v>41.1</v>
      </c>
      <c r="E2901" s="17"/>
      <c r="M2901" s="17"/>
      <c r="P2901" s="17"/>
    </row>
    <row r="2902">
      <c r="B2902" s="11">
        <f>IFERROR(__xludf.DUMMYFUNCTION("""COMPUTED_VALUE"""),41815.666666666664)</f>
        <v>41815.66667</v>
      </c>
      <c r="C2902" s="9">
        <f>IFERROR(__xludf.DUMMYFUNCTION("""COMPUTED_VALUE"""),41.56)</f>
        <v>41.56</v>
      </c>
      <c r="E2902" s="17"/>
      <c r="M2902" s="17"/>
      <c r="P2902" s="17"/>
    </row>
    <row r="2903">
      <c r="B2903" s="11">
        <f>IFERROR(__xludf.DUMMYFUNCTION("""COMPUTED_VALUE"""),41814.666666666664)</f>
        <v>41814.66667</v>
      </c>
      <c r="C2903" s="9">
        <f>IFERROR(__xludf.DUMMYFUNCTION("""COMPUTED_VALUE"""),41.37)</f>
        <v>41.37</v>
      </c>
      <c r="E2903" s="17"/>
      <c r="M2903" s="17"/>
      <c r="P2903" s="17"/>
    </row>
    <row r="2904">
      <c r="B2904" s="11">
        <f>IFERROR(__xludf.DUMMYFUNCTION("""COMPUTED_VALUE"""),41813.666666666664)</f>
        <v>41813.66667</v>
      </c>
      <c r="C2904" s="9">
        <f>IFERROR(__xludf.DUMMYFUNCTION("""COMPUTED_VALUE"""),41.21)</f>
        <v>41.21</v>
      </c>
      <c r="E2904" s="17"/>
      <c r="M2904" s="17"/>
      <c r="P2904" s="17"/>
    </row>
    <row r="2905">
      <c r="B2905" s="11">
        <f>IFERROR(__xludf.DUMMYFUNCTION("""COMPUTED_VALUE"""),41810.666666666664)</f>
        <v>41810.66667</v>
      </c>
      <c r="C2905" s="9">
        <f>IFERROR(__xludf.DUMMYFUNCTION("""COMPUTED_VALUE"""),41.28)</f>
        <v>41.28</v>
      </c>
      <c r="E2905" s="17"/>
      <c r="M2905" s="17"/>
      <c r="P2905" s="17"/>
    </row>
    <row r="2906">
      <c r="B2906" s="11">
        <f>IFERROR(__xludf.DUMMYFUNCTION("""COMPUTED_VALUE"""),41809.666666666664)</f>
        <v>41809.66667</v>
      </c>
      <c r="C2906" s="9">
        <f>IFERROR(__xludf.DUMMYFUNCTION("""COMPUTED_VALUE"""),41.68)</f>
        <v>41.68</v>
      </c>
      <c r="E2906" s="17"/>
      <c r="M2906" s="17"/>
      <c r="P2906" s="17"/>
    </row>
    <row r="2907">
      <c r="B2907" s="11">
        <f>IFERROR(__xludf.DUMMYFUNCTION("""COMPUTED_VALUE"""),41808.666666666664)</f>
        <v>41808.66667</v>
      </c>
      <c r="C2907" s="9">
        <f>IFERROR(__xludf.DUMMYFUNCTION("""COMPUTED_VALUE"""),41.38)</f>
        <v>41.38</v>
      </c>
      <c r="E2907" s="17"/>
      <c r="M2907" s="17"/>
      <c r="P2907" s="17"/>
    </row>
    <row r="2908">
      <c r="B2908" s="11">
        <f>IFERROR(__xludf.DUMMYFUNCTION("""COMPUTED_VALUE"""),41807.666666666664)</f>
        <v>41807.66667</v>
      </c>
      <c r="C2908" s="9">
        <f>IFERROR(__xludf.DUMMYFUNCTION("""COMPUTED_VALUE"""),41.03)</f>
        <v>41.03</v>
      </c>
      <c r="E2908" s="17"/>
      <c r="M2908" s="17"/>
      <c r="P2908" s="17"/>
    </row>
    <row r="2909">
      <c r="B2909" s="11">
        <f>IFERROR(__xludf.DUMMYFUNCTION("""COMPUTED_VALUE"""),41806.666666666664)</f>
        <v>41806.66667</v>
      </c>
      <c r="C2909" s="9">
        <f>IFERROR(__xludf.DUMMYFUNCTION("""COMPUTED_VALUE"""),40.91)</f>
        <v>40.91</v>
      </c>
      <c r="E2909" s="17"/>
      <c r="M2909" s="17"/>
      <c r="P2909" s="17"/>
    </row>
    <row r="2910">
      <c r="B2910" s="11">
        <f>IFERROR(__xludf.DUMMYFUNCTION("""COMPUTED_VALUE"""),41803.666666666664)</f>
        <v>41803.66667</v>
      </c>
      <c r="C2910" s="9">
        <f>IFERROR(__xludf.DUMMYFUNCTION("""COMPUTED_VALUE"""),40.91)</f>
        <v>40.91</v>
      </c>
      <c r="E2910" s="17"/>
      <c r="M2910" s="17"/>
      <c r="P2910" s="17"/>
    </row>
    <row r="2911">
      <c r="B2911" s="11">
        <f>IFERROR(__xludf.DUMMYFUNCTION("""COMPUTED_VALUE"""),41802.666666666664)</f>
        <v>41802.66667</v>
      </c>
      <c r="C2911" s="9">
        <f>IFERROR(__xludf.DUMMYFUNCTION("""COMPUTED_VALUE"""),40.96)</f>
        <v>40.96</v>
      </c>
      <c r="E2911" s="17"/>
      <c r="M2911" s="17"/>
      <c r="P2911" s="17"/>
    </row>
    <row r="2912">
      <c r="B2912" s="11">
        <f>IFERROR(__xludf.DUMMYFUNCTION("""COMPUTED_VALUE"""),41801.666666666664)</f>
        <v>41801.66667</v>
      </c>
      <c r="C2912" s="9">
        <f>IFERROR(__xludf.DUMMYFUNCTION("""COMPUTED_VALUE"""),41.19)</f>
        <v>41.19</v>
      </c>
      <c r="E2912" s="17"/>
      <c r="M2912" s="17"/>
      <c r="P2912" s="17"/>
    </row>
    <row r="2913">
      <c r="B2913" s="11">
        <f>IFERROR(__xludf.DUMMYFUNCTION("""COMPUTED_VALUE"""),41800.666666666664)</f>
        <v>41800.66667</v>
      </c>
      <c r="C2913" s="9">
        <f>IFERROR(__xludf.DUMMYFUNCTION("""COMPUTED_VALUE"""),41.14)</f>
        <v>41.14</v>
      </c>
      <c r="E2913" s="17"/>
      <c r="M2913" s="17"/>
      <c r="P2913" s="17"/>
    </row>
    <row r="2914">
      <c r="B2914" s="11">
        <f>IFERROR(__xludf.DUMMYFUNCTION("""COMPUTED_VALUE"""),41799.666666666664)</f>
        <v>41799.66667</v>
      </c>
      <c r="C2914" s="9">
        <f>IFERROR(__xludf.DUMMYFUNCTION("""COMPUTED_VALUE"""),41.43)</f>
        <v>41.43</v>
      </c>
      <c r="E2914" s="17"/>
      <c r="M2914" s="17"/>
      <c r="P2914" s="17"/>
    </row>
    <row r="2915">
      <c r="B2915" s="11">
        <f>IFERROR(__xludf.DUMMYFUNCTION("""COMPUTED_VALUE"""),41796.666666666664)</f>
        <v>41796.66667</v>
      </c>
      <c r="C2915" s="9">
        <f>IFERROR(__xludf.DUMMYFUNCTION("""COMPUTED_VALUE"""),42.19)</f>
        <v>42.19</v>
      </c>
      <c r="E2915" s="17"/>
      <c r="M2915" s="17"/>
      <c r="P2915" s="17"/>
    </row>
    <row r="2916">
      <c r="B2916" s="11">
        <f>IFERROR(__xludf.DUMMYFUNCTION("""COMPUTED_VALUE"""),41795.666666666664)</f>
        <v>41795.66667</v>
      </c>
      <c r="C2916" s="9">
        <f>IFERROR(__xludf.DUMMYFUNCTION("""COMPUTED_VALUE"""),42.53)</f>
        <v>42.53</v>
      </c>
      <c r="E2916" s="17"/>
      <c r="M2916" s="17"/>
      <c r="P2916" s="17"/>
    </row>
    <row r="2917">
      <c r="B2917" s="11">
        <f>IFERROR(__xludf.DUMMYFUNCTION("""COMPUTED_VALUE"""),41794.666666666664)</f>
        <v>41794.66667</v>
      </c>
      <c r="C2917" s="9">
        <f>IFERROR(__xludf.DUMMYFUNCTION("""COMPUTED_VALUE"""),41.38)</f>
        <v>41.38</v>
      </c>
      <c r="E2917" s="17"/>
      <c r="M2917" s="17"/>
      <c r="P2917" s="17"/>
    </row>
    <row r="2918">
      <c r="B2918" s="11">
        <f>IFERROR(__xludf.DUMMYFUNCTION("""COMPUTED_VALUE"""),41793.666666666664)</f>
        <v>41793.66667</v>
      </c>
      <c r="C2918" s="9">
        <f>IFERROR(__xludf.DUMMYFUNCTION("""COMPUTED_VALUE"""),41.05)</f>
        <v>41.05</v>
      </c>
      <c r="E2918" s="17"/>
      <c r="M2918" s="17"/>
      <c r="P2918" s="17"/>
    </row>
    <row r="2919">
      <c r="B2919" s="11">
        <f>IFERROR(__xludf.DUMMYFUNCTION("""COMPUTED_VALUE"""),41792.666666666664)</f>
        <v>41792.66667</v>
      </c>
      <c r="C2919" s="9">
        <f>IFERROR(__xludf.DUMMYFUNCTION("""COMPUTED_VALUE"""),41.51)</f>
        <v>41.51</v>
      </c>
      <c r="E2919" s="17"/>
      <c r="M2919" s="17"/>
      <c r="P2919" s="17"/>
    </row>
    <row r="2920">
      <c r="B2920" s="11">
        <f>IFERROR(__xludf.DUMMYFUNCTION("""COMPUTED_VALUE"""),41789.666666666664)</f>
        <v>41789.66667</v>
      </c>
      <c r="C2920" s="9">
        <f>IFERROR(__xludf.DUMMYFUNCTION("""COMPUTED_VALUE"""),41.51)</f>
        <v>41.51</v>
      </c>
      <c r="E2920" s="17"/>
      <c r="M2920" s="17"/>
      <c r="P2920" s="17"/>
    </row>
    <row r="2921">
      <c r="B2921" s="11">
        <f>IFERROR(__xludf.DUMMYFUNCTION("""COMPUTED_VALUE"""),41788.666666666664)</f>
        <v>41788.66667</v>
      </c>
      <c r="C2921" s="9">
        <f>IFERROR(__xludf.DUMMYFUNCTION("""COMPUTED_VALUE"""),41.34)</f>
        <v>41.34</v>
      </c>
      <c r="E2921" s="17"/>
      <c r="M2921" s="17"/>
      <c r="P2921" s="17"/>
    </row>
    <row r="2922">
      <c r="B2922" s="11">
        <f>IFERROR(__xludf.DUMMYFUNCTION("""COMPUTED_VALUE"""),41787.666666666664)</f>
        <v>41787.66667</v>
      </c>
      <c r="C2922" s="9">
        <f>IFERROR(__xludf.DUMMYFUNCTION("""COMPUTED_VALUE"""),41.04)</f>
        <v>41.04</v>
      </c>
      <c r="E2922" s="17"/>
      <c r="M2922" s="17"/>
      <c r="P2922" s="17"/>
    </row>
    <row r="2923">
      <c r="B2923" s="11">
        <f>IFERROR(__xludf.DUMMYFUNCTION("""COMPUTED_VALUE"""),41786.666666666664)</f>
        <v>41786.66667</v>
      </c>
      <c r="C2923" s="9">
        <f>IFERROR(__xludf.DUMMYFUNCTION("""COMPUTED_VALUE"""),41.46)</f>
        <v>41.46</v>
      </c>
      <c r="E2923" s="17"/>
      <c r="M2923" s="17"/>
      <c r="P2923" s="17"/>
    </row>
    <row r="2924">
      <c r="B2924" s="11">
        <f>IFERROR(__xludf.DUMMYFUNCTION("""COMPUTED_VALUE"""),41782.666666666664)</f>
        <v>41782.66667</v>
      </c>
      <c r="C2924" s="9">
        <f>IFERROR(__xludf.DUMMYFUNCTION("""COMPUTED_VALUE"""),41.02)</f>
        <v>41.02</v>
      </c>
      <c r="E2924" s="17"/>
      <c r="M2924" s="17"/>
      <c r="P2924" s="17"/>
    </row>
    <row r="2925">
      <c r="B2925" s="11">
        <f>IFERROR(__xludf.DUMMYFUNCTION("""COMPUTED_VALUE"""),41781.666666666664)</f>
        <v>41781.66667</v>
      </c>
      <c r="C2925" s="9">
        <f>IFERROR(__xludf.DUMMYFUNCTION("""COMPUTED_VALUE"""),40.5)</f>
        <v>40.5</v>
      </c>
      <c r="E2925" s="17"/>
      <c r="M2925" s="17"/>
      <c r="P2925" s="17"/>
    </row>
    <row r="2926">
      <c r="B2926" s="11">
        <f>IFERROR(__xludf.DUMMYFUNCTION("""COMPUTED_VALUE"""),41780.666666666664)</f>
        <v>41780.66667</v>
      </c>
      <c r="C2926" s="9">
        <f>IFERROR(__xludf.DUMMYFUNCTION("""COMPUTED_VALUE"""),40.6)</f>
        <v>40.6</v>
      </c>
      <c r="E2926" s="17"/>
      <c r="M2926" s="17"/>
      <c r="P2926" s="17"/>
    </row>
    <row r="2927">
      <c r="B2927" s="11">
        <f>IFERROR(__xludf.DUMMYFUNCTION("""COMPUTED_VALUE"""),41779.666666666664)</f>
        <v>41779.66667</v>
      </c>
      <c r="C2927" s="9">
        <f>IFERROR(__xludf.DUMMYFUNCTION("""COMPUTED_VALUE"""),40.82)</f>
        <v>40.82</v>
      </c>
      <c r="E2927" s="17"/>
      <c r="M2927" s="17"/>
      <c r="P2927" s="17"/>
    </row>
    <row r="2928">
      <c r="B2928" s="11">
        <f>IFERROR(__xludf.DUMMYFUNCTION("""COMPUTED_VALUE"""),41778.666666666664)</f>
        <v>41778.66667</v>
      </c>
      <c r="C2928" s="9">
        <f>IFERROR(__xludf.DUMMYFUNCTION("""COMPUTED_VALUE"""),41.12)</f>
        <v>41.12</v>
      </c>
      <c r="E2928" s="17"/>
      <c r="M2928" s="17"/>
      <c r="P2928" s="17"/>
    </row>
    <row r="2929">
      <c r="B2929" s="11">
        <f>IFERROR(__xludf.DUMMYFUNCTION("""COMPUTED_VALUE"""),41775.666666666664)</f>
        <v>41775.66667</v>
      </c>
      <c r="C2929" s="9">
        <f>IFERROR(__xludf.DUMMYFUNCTION("""COMPUTED_VALUE"""),41.45)</f>
        <v>41.45</v>
      </c>
      <c r="E2929" s="17"/>
      <c r="M2929" s="17"/>
      <c r="P2929" s="17"/>
    </row>
    <row r="2930">
      <c r="B2930" s="11">
        <f>IFERROR(__xludf.DUMMYFUNCTION("""COMPUTED_VALUE"""),41774.666666666664)</f>
        <v>41774.66667</v>
      </c>
      <c r="C2930" s="9">
        <f>IFERROR(__xludf.DUMMYFUNCTION("""COMPUTED_VALUE"""),40.99)</f>
        <v>40.99</v>
      </c>
      <c r="E2930" s="17"/>
      <c r="M2930" s="17"/>
      <c r="P2930" s="17"/>
    </row>
    <row r="2931">
      <c r="B2931" s="11">
        <f>IFERROR(__xludf.DUMMYFUNCTION("""COMPUTED_VALUE"""),41773.666666666664)</f>
        <v>41773.66667</v>
      </c>
      <c r="C2931" s="9">
        <f>IFERROR(__xludf.DUMMYFUNCTION("""COMPUTED_VALUE"""),41.27)</f>
        <v>41.27</v>
      </c>
      <c r="E2931" s="17"/>
      <c r="M2931" s="17"/>
      <c r="P2931" s="17"/>
    </row>
    <row r="2932">
      <c r="B2932" s="11">
        <f>IFERROR(__xludf.DUMMYFUNCTION("""COMPUTED_VALUE"""),41772.666666666664)</f>
        <v>41772.66667</v>
      </c>
      <c r="C2932" s="9">
        <f>IFERROR(__xludf.DUMMYFUNCTION("""COMPUTED_VALUE"""),41.36)</f>
        <v>41.36</v>
      </c>
      <c r="E2932" s="17"/>
      <c r="M2932" s="17"/>
      <c r="P2932" s="17"/>
    </row>
    <row r="2933">
      <c r="B2933" s="11">
        <f>IFERROR(__xludf.DUMMYFUNCTION("""COMPUTED_VALUE"""),41771.666666666664)</f>
        <v>41771.66667</v>
      </c>
      <c r="C2933" s="9">
        <f>IFERROR(__xludf.DUMMYFUNCTION("""COMPUTED_VALUE"""),41.41)</f>
        <v>41.41</v>
      </c>
      <c r="E2933" s="17"/>
      <c r="M2933" s="17"/>
      <c r="P2933" s="17"/>
    </row>
    <row r="2934">
      <c r="B2934" s="11">
        <f>IFERROR(__xludf.DUMMYFUNCTION("""COMPUTED_VALUE"""),41768.666666666664)</f>
        <v>41768.66667</v>
      </c>
      <c r="C2934" s="9">
        <f>IFERROR(__xludf.DUMMYFUNCTION("""COMPUTED_VALUE"""),41.2)</f>
        <v>41.2</v>
      </c>
      <c r="E2934" s="17"/>
      <c r="M2934" s="17"/>
      <c r="P2934" s="17"/>
    </row>
    <row r="2935">
      <c r="B2935" s="11">
        <f>IFERROR(__xludf.DUMMYFUNCTION("""COMPUTED_VALUE"""),41767.666666666664)</f>
        <v>41767.66667</v>
      </c>
      <c r="C2935" s="9">
        <f>IFERROR(__xludf.DUMMYFUNCTION("""COMPUTED_VALUE"""),41.38)</f>
        <v>41.38</v>
      </c>
      <c r="E2935" s="17"/>
      <c r="M2935" s="17"/>
      <c r="P2935" s="17"/>
    </row>
    <row r="2936">
      <c r="B2936" s="11">
        <f>IFERROR(__xludf.DUMMYFUNCTION("""COMPUTED_VALUE"""),41766.666666666664)</f>
        <v>41766.66667</v>
      </c>
      <c r="C2936" s="9">
        <f>IFERROR(__xludf.DUMMYFUNCTION("""COMPUTED_VALUE"""),41.22)</f>
        <v>41.22</v>
      </c>
      <c r="E2936" s="17"/>
      <c r="M2936" s="17"/>
      <c r="P2936" s="17"/>
    </row>
    <row r="2937">
      <c r="B2937" s="11">
        <f>IFERROR(__xludf.DUMMYFUNCTION("""COMPUTED_VALUE"""),41765.666666666664)</f>
        <v>41765.66667</v>
      </c>
      <c r="C2937" s="9">
        <f>IFERROR(__xludf.DUMMYFUNCTION("""COMPUTED_VALUE"""),40.63)</f>
        <v>40.63</v>
      </c>
      <c r="E2937" s="17"/>
      <c r="M2937" s="17"/>
      <c r="P2937" s="17"/>
    </row>
    <row r="2938">
      <c r="B2938" s="11">
        <f>IFERROR(__xludf.DUMMYFUNCTION("""COMPUTED_VALUE"""),41764.666666666664)</f>
        <v>41764.66667</v>
      </c>
      <c r="C2938" s="9">
        <f>IFERROR(__xludf.DUMMYFUNCTION("""COMPUTED_VALUE"""),41.19)</f>
        <v>41.19</v>
      </c>
      <c r="E2938" s="17"/>
      <c r="M2938" s="17"/>
      <c r="P2938" s="17"/>
    </row>
    <row r="2939">
      <c r="B2939" s="11">
        <f>IFERROR(__xludf.DUMMYFUNCTION("""COMPUTED_VALUE"""),41761.666666666664)</f>
        <v>41761.66667</v>
      </c>
      <c r="C2939" s="9">
        <f>IFERROR(__xludf.DUMMYFUNCTION("""COMPUTED_VALUE"""),40.79)</f>
        <v>40.79</v>
      </c>
      <c r="E2939" s="17"/>
      <c r="M2939" s="17"/>
      <c r="P2939" s="17"/>
    </row>
    <row r="2940">
      <c r="B2940" s="11">
        <f>IFERROR(__xludf.DUMMYFUNCTION("""COMPUTED_VALUE"""),41760.666666666664)</f>
        <v>41760.66667</v>
      </c>
      <c r="C2940" s="9">
        <f>IFERROR(__xludf.DUMMYFUNCTION("""COMPUTED_VALUE"""),40.94)</f>
        <v>40.94</v>
      </c>
      <c r="E2940" s="17"/>
      <c r="M2940" s="17"/>
      <c r="P2940" s="17"/>
    </row>
    <row r="2941">
      <c r="B2941" s="11">
        <f>IFERROR(__xludf.DUMMYFUNCTION("""COMPUTED_VALUE"""),41759.666666666664)</f>
        <v>41759.66667</v>
      </c>
      <c r="C2941" s="9">
        <f>IFERROR(__xludf.DUMMYFUNCTION("""COMPUTED_VALUE"""),40.63)</f>
        <v>40.63</v>
      </c>
      <c r="E2941" s="17"/>
      <c r="M2941" s="17"/>
      <c r="P2941" s="17"/>
    </row>
    <row r="2942">
      <c r="B2942" s="11">
        <f>IFERROR(__xludf.DUMMYFUNCTION("""COMPUTED_VALUE"""),41758.666666666664)</f>
        <v>41758.66667</v>
      </c>
      <c r="C2942" s="9">
        <f>IFERROR(__xludf.DUMMYFUNCTION("""COMPUTED_VALUE"""),40.89)</f>
        <v>40.89</v>
      </c>
      <c r="E2942" s="17"/>
      <c r="M2942" s="17"/>
      <c r="P2942" s="17"/>
    </row>
    <row r="2943">
      <c r="B2943" s="11">
        <f>IFERROR(__xludf.DUMMYFUNCTION("""COMPUTED_VALUE"""),41757.666666666664)</f>
        <v>41757.66667</v>
      </c>
      <c r="C2943" s="9">
        <f>IFERROR(__xludf.DUMMYFUNCTION("""COMPUTED_VALUE"""),40.94)</f>
        <v>40.94</v>
      </c>
      <c r="E2943" s="17"/>
      <c r="M2943" s="17"/>
      <c r="P2943" s="17"/>
    </row>
    <row r="2944">
      <c r="B2944" s="11">
        <f>IFERROR(__xludf.DUMMYFUNCTION("""COMPUTED_VALUE"""),41754.666666666664)</f>
        <v>41754.66667</v>
      </c>
      <c r="C2944" s="9">
        <f>IFERROR(__xludf.DUMMYFUNCTION("""COMPUTED_VALUE"""),40.73)</f>
        <v>40.73</v>
      </c>
      <c r="E2944" s="17"/>
      <c r="M2944" s="17"/>
      <c r="P2944" s="17"/>
    </row>
    <row r="2945">
      <c r="B2945" s="11">
        <f>IFERROR(__xludf.DUMMYFUNCTION("""COMPUTED_VALUE"""),41753.666666666664)</f>
        <v>41753.66667</v>
      </c>
      <c r="C2945" s="9">
        <f>IFERROR(__xludf.DUMMYFUNCTION("""COMPUTED_VALUE"""),41.23)</f>
        <v>41.23</v>
      </c>
      <c r="E2945" s="17"/>
      <c r="M2945" s="17"/>
      <c r="P2945" s="17"/>
    </row>
    <row r="2946">
      <c r="B2946" s="11">
        <f>IFERROR(__xludf.DUMMYFUNCTION("""COMPUTED_VALUE"""),41752.666666666664)</f>
        <v>41752.66667</v>
      </c>
      <c r="C2946" s="9">
        <f>IFERROR(__xludf.DUMMYFUNCTION("""COMPUTED_VALUE"""),40.94)</f>
        <v>40.94</v>
      </c>
      <c r="E2946" s="17"/>
      <c r="M2946" s="17"/>
      <c r="P2946" s="17"/>
    </row>
    <row r="2947">
      <c r="B2947" s="11">
        <f>IFERROR(__xludf.DUMMYFUNCTION("""COMPUTED_VALUE"""),41751.666666666664)</f>
        <v>41751.66667</v>
      </c>
      <c r="C2947" s="9">
        <f>IFERROR(__xludf.DUMMYFUNCTION("""COMPUTED_VALUE"""),41.23)</f>
        <v>41.23</v>
      </c>
      <c r="E2947" s="17"/>
      <c r="M2947" s="17"/>
      <c r="P2947" s="17"/>
    </row>
    <row r="2948">
      <c r="B2948" s="11">
        <f>IFERROR(__xludf.DUMMYFUNCTION("""COMPUTED_VALUE"""),41750.666666666664)</f>
        <v>41750.66667</v>
      </c>
      <c r="C2948" s="9">
        <f>IFERROR(__xludf.DUMMYFUNCTION("""COMPUTED_VALUE"""),41.39)</f>
        <v>41.39</v>
      </c>
      <c r="E2948" s="17"/>
      <c r="M2948" s="17"/>
      <c r="P2948" s="17"/>
    </row>
    <row r="2949">
      <c r="B2949" s="11">
        <f>IFERROR(__xludf.DUMMYFUNCTION("""COMPUTED_VALUE"""),41746.666666666664)</f>
        <v>41746.66667</v>
      </c>
      <c r="C2949" s="9">
        <f>IFERROR(__xludf.DUMMYFUNCTION("""COMPUTED_VALUE"""),41.29)</f>
        <v>41.29</v>
      </c>
      <c r="E2949" s="17"/>
      <c r="M2949" s="17"/>
      <c r="P2949" s="17"/>
    </row>
    <row r="2950">
      <c r="B2950" s="11">
        <f>IFERROR(__xludf.DUMMYFUNCTION("""COMPUTED_VALUE"""),41745.666666666664)</f>
        <v>41745.66667</v>
      </c>
      <c r="C2950" s="9">
        <f>IFERROR(__xludf.DUMMYFUNCTION("""COMPUTED_VALUE"""),40.9)</f>
        <v>40.9</v>
      </c>
      <c r="E2950" s="17"/>
      <c r="M2950" s="17"/>
      <c r="P2950" s="17"/>
    </row>
    <row r="2951">
      <c r="B2951" s="11">
        <f>IFERROR(__xludf.DUMMYFUNCTION("""COMPUTED_VALUE"""),41744.666666666664)</f>
        <v>41744.66667</v>
      </c>
      <c r="C2951" s="9">
        <f>IFERROR(__xludf.DUMMYFUNCTION("""COMPUTED_VALUE"""),40.71)</f>
        <v>40.71</v>
      </c>
      <c r="E2951" s="17"/>
      <c r="M2951" s="17"/>
      <c r="P2951" s="17"/>
    </row>
    <row r="2952">
      <c r="B2952" s="11">
        <f>IFERROR(__xludf.DUMMYFUNCTION("""COMPUTED_VALUE"""),41743.666666666664)</f>
        <v>41743.66667</v>
      </c>
      <c r="C2952" s="9">
        <f>IFERROR(__xludf.DUMMYFUNCTION("""COMPUTED_VALUE"""),40.1)</f>
        <v>40.1</v>
      </c>
      <c r="E2952" s="17"/>
      <c r="M2952" s="17"/>
      <c r="P2952" s="17"/>
    </row>
    <row r="2953">
      <c r="B2953" s="11">
        <f>IFERROR(__xludf.DUMMYFUNCTION("""COMPUTED_VALUE"""),41740.666666666664)</f>
        <v>41740.66667</v>
      </c>
      <c r="C2953" s="9">
        <f>IFERROR(__xludf.DUMMYFUNCTION("""COMPUTED_VALUE"""),40.05)</f>
        <v>40.05</v>
      </c>
      <c r="E2953" s="17"/>
      <c r="M2953" s="17"/>
      <c r="P2953" s="17"/>
    </row>
    <row r="2954">
      <c r="B2954" s="11">
        <f>IFERROR(__xludf.DUMMYFUNCTION("""COMPUTED_VALUE"""),41739.666666666664)</f>
        <v>41739.66667</v>
      </c>
      <c r="C2954" s="9">
        <f>IFERROR(__xludf.DUMMYFUNCTION("""COMPUTED_VALUE"""),40.45)</f>
        <v>40.45</v>
      </c>
      <c r="E2954" s="17"/>
      <c r="M2954" s="17"/>
      <c r="P2954" s="17"/>
    </row>
    <row r="2955">
      <c r="B2955" s="11">
        <f>IFERROR(__xludf.DUMMYFUNCTION("""COMPUTED_VALUE"""),41738.666666666664)</f>
        <v>41738.66667</v>
      </c>
      <c r="C2955" s="9">
        <f>IFERROR(__xludf.DUMMYFUNCTION("""COMPUTED_VALUE"""),41.31)</f>
        <v>41.31</v>
      </c>
      <c r="E2955" s="17"/>
      <c r="M2955" s="17"/>
      <c r="P2955" s="17"/>
    </row>
    <row r="2956">
      <c r="B2956" s="11">
        <f>IFERROR(__xludf.DUMMYFUNCTION("""COMPUTED_VALUE"""),41737.666666666664)</f>
        <v>41737.66667</v>
      </c>
      <c r="C2956" s="9">
        <f>IFERROR(__xludf.DUMMYFUNCTION("""COMPUTED_VALUE"""),41.16)</f>
        <v>41.16</v>
      </c>
      <c r="E2956" s="17"/>
      <c r="M2956" s="17"/>
      <c r="P2956" s="17"/>
    </row>
    <row r="2957">
      <c r="B2957" s="11">
        <f>IFERROR(__xludf.DUMMYFUNCTION("""COMPUTED_VALUE"""),41736.666666666664)</f>
        <v>41736.66667</v>
      </c>
      <c r="C2957" s="9">
        <f>IFERROR(__xludf.DUMMYFUNCTION("""COMPUTED_VALUE"""),41.09)</f>
        <v>41.09</v>
      </c>
      <c r="E2957" s="17"/>
      <c r="M2957" s="17"/>
      <c r="P2957" s="17"/>
    </row>
    <row r="2958">
      <c r="B2958" s="11">
        <f>IFERROR(__xludf.DUMMYFUNCTION("""COMPUTED_VALUE"""),41733.666666666664)</f>
        <v>41733.66667</v>
      </c>
      <c r="C2958" s="9">
        <f>IFERROR(__xludf.DUMMYFUNCTION("""COMPUTED_VALUE"""),41.04)</f>
        <v>41.04</v>
      </c>
      <c r="E2958" s="17"/>
      <c r="M2958" s="17"/>
      <c r="P2958" s="17"/>
    </row>
    <row r="2959">
      <c r="B2959" s="11">
        <f>IFERROR(__xludf.DUMMYFUNCTION("""COMPUTED_VALUE"""),41732.666666666664)</f>
        <v>41732.66667</v>
      </c>
      <c r="C2959" s="9">
        <f>IFERROR(__xludf.DUMMYFUNCTION("""COMPUTED_VALUE"""),40.88)</f>
        <v>40.88</v>
      </c>
      <c r="E2959" s="17"/>
      <c r="M2959" s="17"/>
      <c r="P2959" s="17"/>
    </row>
    <row r="2960">
      <c r="B2960" s="11">
        <f>IFERROR(__xludf.DUMMYFUNCTION("""COMPUTED_VALUE"""),41731.666666666664)</f>
        <v>41731.66667</v>
      </c>
      <c r="C2960" s="9">
        <f>IFERROR(__xludf.DUMMYFUNCTION("""COMPUTED_VALUE"""),40.81)</f>
        <v>40.81</v>
      </c>
      <c r="E2960" s="17"/>
      <c r="M2960" s="17"/>
      <c r="P2960" s="17"/>
    </row>
    <row r="2961">
      <c r="B2961" s="11">
        <f>IFERROR(__xludf.DUMMYFUNCTION("""COMPUTED_VALUE"""),41730.666666666664)</f>
        <v>41730.66667</v>
      </c>
      <c r="C2961" s="9">
        <f>IFERROR(__xludf.DUMMYFUNCTION("""COMPUTED_VALUE"""),40.88)</f>
        <v>40.88</v>
      </c>
      <c r="E2961" s="17"/>
      <c r="M2961" s="17"/>
      <c r="P2961" s="17"/>
    </row>
    <row r="2962">
      <c r="B2962" s="11">
        <f>IFERROR(__xludf.DUMMYFUNCTION("""COMPUTED_VALUE"""),41729.666666666664)</f>
        <v>41729.66667</v>
      </c>
      <c r="C2962" s="9">
        <f>IFERROR(__xludf.DUMMYFUNCTION("""COMPUTED_VALUE"""),40.83)</f>
        <v>40.83</v>
      </c>
      <c r="E2962" s="17"/>
      <c r="M2962" s="17"/>
      <c r="P2962" s="17"/>
    </row>
    <row r="2963">
      <c r="B2963" s="11">
        <f>IFERROR(__xludf.DUMMYFUNCTION("""COMPUTED_VALUE"""),41726.666666666664)</f>
        <v>41726.66667</v>
      </c>
      <c r="C2963" s="9">
        <f>IFERROR(__xludf.DUMMYFUNCTION("""COMPUTED_VALUE"""),40.54)</f>
        <v>40.54</v>
      </c>
      <c r="E2963" s="17"/>
      <c r="M2963" s="17"/>
      <c r="P2963" s="17"/>
    </row>
    <row r="2964">
      <c r="B2964" s="11">
        <f>IFERROR(__xludf.DUMMYFUNCTION("""COMPUTED_VALUE"""),41725.666666666664)</f>
        <v>41725.66667</v>
      </c>
      <c r="C2964" s="9">
        <f>IFERROR(__xludf.DUMMYFUNCTION("""COMPUTED_VALUE"""),40.12)</f>
        <v>40.12</v>
      </c>
      <c r="E2964" s="17"/>
      <c r="M2964" s="17"/>
      <c r="P2964" s="17"/>
    </row>
    <row r="2965">
      <c r="B2965" s="11">
        <f>IFERROR(__xludf.DUMMYFUNCTION("""COMPUTED_VALUE"""),41724.666666666664)</f>
        <v>41724.66667</v>
      </c>
      <c r="C2965" s="9">
        <f>IFERROR(__xludf.DUMMYFUNCTION("""COMPUTED_VALUE"""),39.91)</f>
        <v>39.91</v>
      </c>
      <c r="E2965" s="17"/>
      <c r="M2965" s="17"/>
      <c r="P2965" s="17"/>
    </row>
    <row r="2966">
      <c r="B2966" s="11">
        <f>IFERROR(__xludf.DUMMYFUNCTION("""COMPUTED_VALUE"""),41723.666666666664)</f>
        <v>41723.66667</v>
      </c>
      <c r="C2966" s="9">
        <f>IFERROR(__xludf.DUMMYFUNCTION("""COMPUTED_VALUE"""),40.47)</f>
        <v>40.47</v>
      </c>
      <c r="E2966" s="17"/>
      <c r="M2966" s="17"/>
      <c r="P2966" s="17"/>
    </row>
    <row r="2967">
      <c r="B2967" s="11">
        <f>IFERROR(__xludf.DUMMYFUNCTION("""COMPUTED_VALUE"""),41722.666666666664)</f>
        <v>41722.66667</v>
      </c>
      <c r="C2967" s="9">
        <f>IFERROR(__xludf.DUMMYFUNCTION("""COMPUTED_VALUE"""),40.11)</f>
        <v>40.11</v>
      </c>
      <c r="E2967" s="17"/>
      <c r="M2967" s="17"/>
      <c r="P2967" s="17"/>
    </row>
    <row r="2968">
      <c r="B2968" s="11">
        <f>IFERROR(__xludf.DUMMYFUNCTION("""COMPUTED_VALUE"""),41719.666666666664)</f>
        <v>41719.66667</v>
      </c>
      <c r="C2968" s="9">
        <f>IFERROR(__xludf.DUMMYFUNCTION("""COMPUTED_VALUE"""),40.59)</f>
        <v>40.59</v>
      </c>
      <c r="E2968" s="17"/>
      <c r="M2968" s="17"/>
      <c r="P2968" s="17"/>
    </row>
    <row r="2969">
      <c r="B2969" s="11">
        <f>IFERROR(__xludf.DUMMYFUNCTION("""COMPUTED_VALUE"""),41718.666666666664)</f>
        <v>41718.66667</v>
      </c>
      <c r="C2969" s="9">
        <f>IFERROR(__xludf.DUMMYFUNCTION("""COMPUTED_VALUE"""),40.25)</f>
        <v>40.25</v>
      </c>
      <c r="E2969" s="17"/>
      <c r="M2969" s="17"/>
      <c r="P2969" s="17"/>
    </row>
    <row r="2970">
      <c r="B2970" s="11">
        <f>IFERROR(__xludf.DUMMYFUNCTION("""COMPUTED_VALUE"""),41717.666666666664)</f>
        <v>41717.66667</v>
      </c>
      <c r="C2970" s="9">
        <f>IFERROR(__xludf.DUMMYFUNCTION("""COMPUTED_VALUE"""),40.02)</f>
        <v>40.02</v>
      </c>
      <c r="E2970" s="17"/>
      <c r="M2970" s="17"/>
      <c r="P2970" s="17"/>
    </row>
    <row r="2971">
      <c r="B2971" s="11">
        <f>IFERROR(__xludf.DUMMYFUNCTION("""COMPUTED_VALUE"""),41716.666666666664)</f>
        <v>41716.66667</v>
      </c>
      <c r="C2971" s="9">
        <f>IFERROR(__xludf.DUMMYFUNCTION("""COMPUTED_VALUE"""),40.84)</f>
        <v>40.84</v>
      </c>
      <c r="E2971" s="17"/>
      <c r="M2971" s="17"/>
      <c r="P2971" s="17"/>
    </row>
    <row r="2972">
      <c r="B2972" s="11">
        <f>IFERROR(__xludf.DUMMYFUNCTION("""COMPUTED_VALUE"""),41715.666666666664)</f>
        <v>41715.66667</v>
      </c>
      <c r="C2972" s="9">
        <f>IFERROR(__xludf.DUMMYFUNCTION("""COMPUTED_VALUE"""),40.5)</f>
        <v>40.5</v>
      </c>
      <c r="E2972" s="17"/>
      <c r="M2972" s="17"/>
      <c r="P2972" s="17"/>
    </row>
    <row r="2973">
      <c r="B2973" s="11">
        <f>IFERROR(__xludf.DUMMYFUNCTION("""COMPUTED_VALUE"""),41712.666666666664)</f>
        <v>41712.66667</v>
      </c>
      <c r="C2973" s="9">
        <f>IFERROR(__xludf.DUMMYFUNCTION("""COMPUTED_VALUE"""),40.19)</f>
        <v>40.19</v>
      </c>
      <c r="E2973" s="17"/>
      <c r="M2973" s="17"/>
      <c r="P2973" s="17"/>
    </row>
    <row r="2974">
      <c r="B2974" s="11">
        <f>IFERROR(__xludf.DUMMYFUNCTION("""COMPUTED_VALUE"""),41711.666666666664)</f>
        <v>41711.66667</v>
      </c>
      <c r="C2974" s="9">
        <f>IFERROR(__xludf.DUMMYFUNCTION("""COMPUTED_VALUE"""),40.36)</f>
        <v>40.36</v>
      </c>
      <c r="E2974" s="17"/>
      <c r="M2974" s="17"/>
      <c r="P2974" s="17"/>
    </row>
    <row r="2975">
      <c r="B2975" s="11">
        <f>IFERROR(__xludf.DUMMYFUNCTION("""COMPUTED_VALUE"""),41710.666666666664)</f>
        <v>41710.66667</v>
      </c>
      <c r="C2975" s="9">
        <f>IFERROR(__xludf.DUMMYFUNCTION("""COMPUTED_VALUE"""),40.63)</f>
        <v>40.63</v>
      </c>
      <c r="E2975" s="17"/>
      <c r="M2975" s="17"/>
      <c r="P2975" s="17"/>
    </row>
    <row r="2976">
      <c r="B2976" s="11">
        <f>IFERROR(__xludf.DUMMYFUNCTION("""COMPUTED_VALUE"""),41709.666666666664)</f>
        <v>41709.66667</v>
      </c>
      <c r="C2976" s="9">
        <f>IFERROR(__xludf.DUMMYFUNCTION("""COMPUTED_VALUE"""),40.45)</f>
        <v>40.45</v>
      </c>
      <c r="E2976" s="17"/>
      <c r="M2976" s="17"/>
      <c r="P2976" s="17"/>
    </row>
    <row r="2977">
      <c r="B2977" s="11">
        <f>IFERROR(__xludf.DUMMYFUNCTION("""COMPUTED_VALUE"""),41708.666666666664)</f>
        <v>41708.66667</v>
      </c>
      <c r="C2977" s="9">
        <f>IFERROR(__xludf.DUMMYFUNCTION("""COMPUTED_VALUE"""),40.32)</f>
        <v>40.32</v>
      </c>
      <c r="E2977" s="17"/>
      <c r="M2977" s="17"/>
      <c r="P2977" s="17"/>
    </row>
    <row r="2978">
      <c r="B2978" s="11">
        <f>IFERROR(__xludf.DUMMYFUNCTION("""COMPUTED_VALUE"""),41705.666666666664)</f>
        <v>41705.66667</v>
      </c>
      <c r="C2978" s="9">
        <f>IFERROR(__xludf.DUMMYFUNCTION("""COMPUTED_VALUE"""),40.87)</f>
        <v>40.87</v>
      </c>
      <c r="E2978" s="17"/>
      <c r="M2978" s="17"/>
      <c r="P2978" s="17"/>
    </row>
    <row r="2979">
      <c r="B2979" s="11">
        <f>IFERROR(__xludf.DUMMYFUNCTION("""COMPUTED_VALUE"""),41704.666666666664)</f>
        <v>41704.66667</v>
      </c>
      <c r="C2979" s="9">
        <f>IFERROR(__xludf.DUMMYFUNCTION("""COMPUTED_VALUE"""),41.32)</f>
        <v>41.32</v>
      </c>
      <c r="E2979" s="17"/>
      <c r="M2979" s="17"/>
      <c r="P2979" s="17"/>
    </row>
    <row r="2980">
      <c r="B2980" s="11">
        <f>IFERROR(__xludf.DUMMYFUNCTION("""COMPUTED_VALUE"""),41703.666666666664)</f>
        <v>41703.66667</v>
      </c>
      <c r="C2980" s="9">
        <f>IFERROR(__xludf.DUMMYFUNCTION("""COMPUTED_VALUE"""),41.76)</f>
        <v>41.76</v>
      </c>
      <c r="E2980" s="17"/>
      <c r="M2980" s="17"/>
      <c r="P2980" s="17"/>
    </row>
    <row r="2981">
      <c r="B2981" s="11">
        <f>IFERROR(__xludf.DUMMYFUNCTION("""COMPUTED_VALUE"""),41702.666666666664)</f>
        <v>41702.66667</v>
      </c>
      <c r="C2981" s="9">
        <f>IFERROR(__xludf.DUMMYFUNCTION("""COMPUTED_VALUE"""),41.97)</f>
        <v>41.97</v>
      </c>
      <c r="E2981" s="17"/>
      <c r="M2981" s="17"/>
      <c r="P2981" s="17"/>
    </row>
    <row r="2982">
      <c r="B2982" s="11">
        <f>IFERROR(__xludf.DUMMYFUNCTION("""COMPUTED_VALUE"""),41701.666666666664)</f>
        <v>41701.66667</v>
      </c>
      <c r="C2982" s="9">
        <f>IFERROR(__xludf.DUMMYFUNCTION("""COMPUTED_VALUE"""),40.93)</f>
        <v>40.93</v>
      </c>
      <c r="E2982" s="17"/>
      <c r="M2982" s="17"/>
      <c r="P2982" s="17"/>
    </row>
    <row r="2983">
      <c r="B2983" s="11">
        <f>IFERROR(__xludf.DUMMYFUNCTION("""COMPUTED_VALUE"""),41698.666666666664)</f>
        <v>41698.66667</v>
      </c>
      <c r="C2983" s="9">
        <f>IFERROR(__xludf.DUMMYFUNCTION("""COMPUTED_VALUE"""),41.19)</f>
        <v>41.19</v>
      </c>
      <c r="E2983" s="17"/>
      <c r="M2983" s="17"/>
      <c r="P2983" s="17"/>
    </row>
    <row r="2984">
      <c r="B2984" s="11">
        <f>IFERROR(__xludf.DUMMYFUNCTION("""COMPUTED_VALUE"""),41697.666666666664)</f>
        <v>41697.66667</v>
      </c>
      <c r="C2984" s="9">
        <f>IFERROR(__xludf.DUMMYFUNCTION("""COMPUTED_VALUE"""),40.9)</f>
        <v>40.9</v>
      </c>
      <c r="E2984" s="17"/>
      <c r="M2984" s="17"/>
      <c r="P2984" s="17"/>
    </row>
    <row r="2985">
      <c r="B2985" s="11">
        <f>IFERROR(__xludf.DUMMYFUNCTION("""COMPUTED_VALUE"""),41696.666666666664)</f>
        <v>41696.66667</v>
      </c>
      <c r="C2985" s="9">
        <f>IFERROR(__xludf.DUMMYFUNCTION("""COMPUTED_VALUE"""),41.02)</f>
        <v>41.02</v>
      </c>
      <c r="E2985" s="17"/>
      <c r="M2985" s="17"/>
      <c r="P2985" s="17"/>
    </row>
    <row r="2986">
      <c r="B2986" s="11">
        <f>IFERROR(__xludf.DUMMYFUNCTION("""COMPUTED_VALUE"""),41695.666666666664)</f>
        <v>41695.66667</v>
      </c>
      <c r="C2986" s="9">
        <f>IFERROR(__xludf.DUMMYFUNCTION("""COMPUTED_VALUE"""),40.91)</f>
        <v>40.91</v>
      </c>
      <c r="E2986" s="17"/>
      <c r="M2986" s="17"/>
      <c r="P2986" s="17"/>
    </row>
    <row r="2987">
      <c r="B2987" s="11">
        <f>IFERROR(__xludf.DUMMYFUNCTION("""COMPUTED_VALUE"""),41694.666666666664)</f>
        <v>41694.66667</v>
      </c>
      <c r="C2987" s="9">
        <f>IFERROR(__xludf.DUMMYFUNCTION("""COMPUTED_VALUE"""),40.69)</f>
        <v>40.69</v>
      </c>
      <c r="E2987" s="17"/>
      <c r="M2987" s="17"/>
      <c r="P2987" s="17"/>
    </row>
    <row r="2988">
      <c r="B2988" s="11">
        <f>IFERROR(__xludf.DUMMYFUNCTION("""COMPUTED_VALUE"""),41691.666666666664)</f>
        <v>41691.66667</v>
      </c>
      <c r="C2988" s="9">
        <f>IFERROR(__xludf.DUMMYFUNCTION("""COMPUTED_VALUE"""),40.61)</f>
        <v>40.61</v>
      </c>
      <c r="E2988" s="17"/>
      <c r="M2988" s="17"/>
      <c r="P2988" s="17"/>
    </row>
    <row r="2989">
      <c r="B2989" s="11">
        <f>IFERROR(__xludf.DUMMYFUNCTION("""COMPUTED_VALUE"""),41690.666666666664)</f>
        <v>41690.66667</v>
      </c>
      <c r="C2989" s="9">
        <f>IFERROR(__xludf.DUMMYFUNCTION("""COMPUTED_VALUE"""),40.39)</f>
        <v>40.39</v>
      </c>
      <c r="E2989" s="17"/>
      <c r="M2989" s="17"/>
      <c r="P2989" s="17"/>
    </row>
    <row r="2990">
      <c r="B2990" s="11">
        <f>IFERROR(__xludf.DUMMYFUNCTION("""COMPUTED_VALUE"""),41689.666666666664)</f>
        <v>41689.66667</v>
      </c>
      <c r="C2990" s="9">
        <f>IFERROR(__xludf.DUMMYFUNCTION("""COMPUTED_VALUE"""),40.72)</f>
        <v>40.72</v>
      </c>
      <c r="E2990" s="17"/>
      <c r="M2990" s="17"/>
      <c r="P2990" s="17"/>
    </row>
    <row r="2991">
      <c r="B2991" s="11">
        <f>IFERROR(__xludf.DUMMYFUNCTION("""COMPUTED_VALUE"""),41688.666666666664)</f>
        <v>41688.66667</v>
      </c>
      <c r="C2991" s="9">
        <f>IFERROR(__xludf.DUMMYFUNCTION("""COMPUTED_VALUE"""),40.8)</f>
        <v>40.8</v>
      </c>
      <c r="E2991" s="17"/>
      <c r="M2991" s="17"/>
      <c r="P2991" s="17"/>
    </row>
    <row r="2992">
      <c r="B2992" s="11">
        <f>IFERROR(__xludf.DUMMYFUNCTION("""COMPUTED_VALUE"""),41684.666666666664)</f>
        <v>41684.66667</v>
      </c>
      <c r="C2992" s="9">
        <f>IFERROR(__xludf.DUMMYFUNCTION("""COMPUTED_VALUE"""),40.67)</f>
        <v>40.67</v>
      </c>
      <c r="E2992" s="17"/>
      <c r="M2992" s="17"/>
      <c r="P2992" s="17"/>
    </row>
    <row r="2993">
      <c r="B2993" s="11">
        <f>IFERROR(__xludf.DUMMYFUNCTION("""COMPUTED_VALUE"""),41683.666666666664)</f>
        <v>41683.66667</v>
      </c>
      <c r="C2993" s="9">
        <f>IFERROR(__xludf.DUMMYFUNCTION("""COMPUTED_VALUE"""),40.83)</f>
        <v>40.83</v>
      </c>
      <c r="E2993" s="17"/>
      <c r="M2993" s="17"/>
      <c r="P2993" s="17"/>
    </row>
    <row r="2994">
      <c r="B2994" s="11">
        <f>IFERROR(__xludf.DUMMYFUNCTION("""COMPUTED_VALUE"""),41682.666666666664)</f>
        <v>41682.66667</v>
      </c>
      <c r="C2994" s="9">
        <f>IFERROR(__xludf.DUMMYFUNCTION("""COMPUTED_VALUE"""),40.71)</f>
        <v>40.71</v>
      </c>
      <c r="E2994" s="17"/>
      <c r="M2994" s="17"/>
      <c r="P2994" s="17"/>
    </row>
    <row r="2995">
      <c r="B2995" s="11">
        <f>IFERROR(__xludf.DUMMYFUNCTION("""COMPUTED_VALUE"""),41681.666666666664)</f>
        <v>41681.66667</v>
      </c>
      <c r="C2995" s="9">
        <f>IFERROR(__xludf.DUMMYFUNCTION("""COMPUTED_VALUE"""),40.62)</f>
        <v>40.62</v>
      </c>
      <c r="E2995" s="17"/>
      <c r="M2995" s="17"/>
      <c r="P2995" s="17"/>
    </row>
    <row r="2996">
      <c r="B2996" s="11">
        <f>IFERROR(__xludf.DUMMYFUNCTION("""COMPUTED_VALUE"""),41680.666666666664)</f>
        <v>41680.66667</v>
      </c>
      <c r="C2996" s="9">
        <f>IFERROR(__xludf.DUMMYFUNCTION("""COMPUTED_VALUE"""),40.34)</f>
        <v>40.34</v>
      </c>
      <c r="E2996" s="17"/>
      <c r="M2996" s="17"/>
      <c r="P2996" s="17"/>
    </row>
    <row r="2997">
      <c r="B2997" s="11">
        <f>IFERROR(__xludf.DUMMYFUNCTION("""COMPUTED_VALUE"""),41677.666666666664)</f>
        <v>41677.66667</v>
      </c>
      <c r="C2997" s="9">
        <f>IFERROR(__xludf.DUMMYFUNCTION("""COMPUTED_VALUE"""),39.93)</f>
        <v>39.93</v>
      </c>
      <c r="E2997" s="17"/>
      <c r="M2997" s="17"/>
      <c r="P2997" s="17"/>
    </row>
    <row r="2998">
      <c r="B2998" s="11">
        <f>IFERROR(__xludf.DUMMYFUNCTION("""COMPUTED_VALUE"""),41676.666666666664)</f>
        <v>41676.66667</v>
      </c>
      <c r="C2998" s="9">
        <f>IFERROR(__xludf.DUMMYFUNCTION("""COMPUTED_VALUE"""),39.58)</f>
        <v>39.58</v>
      </c>
      <c r="E2998" s="17"/>
      <c r="M2998" s="17"/>
      <c r="P2998" s="17"/>
    </row>
    <row r="2999">
      <c r="B2999" s="11">
        <f>IFERROR(__xludf.DUMMYFUNCTION("""COMPUTED_VALUE"""),41675.666666666664)</f>
        <v>41675.66667</v>
      </c>
      <c r="C2999" s="9">
        <f>IFERROR(__xludf.DUMMYFUNCTION("""COMPUTED_VALUE"""),39.12)</f>
        <v>39.12</v>
      </c>
      <c r="E2999" s="17"/>
      <c r="M2999" s="17"/>
      <c r="P2999" s="17"/>
    </row>
    <row r="3000">
      <c r="B3000" s="11">
        <f>IFERROR(__xludf.DUMMYFUNCTION("""COMPUTED_VALUE"""),41674.666666666664)</f>
        <v>41674.66667</v>
      </c>
      <c r="C3000" s="9">
        <f>IFERROR(__xludf.DUMMYFUNCTION("""COMPUTED_VALUE"""),38.75)</f>
        <v>38.75</v>
      </c>
      <c r="E3000" s="17"/>
      <c r="M3000" s="17"/>
      <c r="P3000" s="17"/>
    </row>
    <row r="3001">
      <c r="B3001" s="11">
        <f>IFERROR(__xludf.DUMMYFUNCTION("""COMPUTED_VALUE"""),41673.666666666664)</f>
        <v>41673.66667</v>
      </c>
      <c r="C3001" s="9">
        <f>IFERROR(__xludf.DUMMYFUNCTION("""COMPUTED_VALUE"""),38.17)</f>
        <v>38.17</v>
      </c>
      <c r="E3001" s="17"/>
      <c r="M3001" s="17"/>
      <c r="P3001" s="17"/>
    </row>
    <row r="3002">
      <c r="B3002" s="11">
        <f>IFERROR(__xludf.DUMMYFUNCTION("""COMPUTED_VALUE"""),41670.666666666664)</f>
        <v>41670.66667</v>
      </c>
      <c r="C3002" s="9">
        <f>IFERROR(__xludf.DUMMYFUNCTION("""COMPUTED_VALUE"""),38.76)</f>
        <v>38.76</v>
      </c>
      <c r="E3002" s="17"/>
      <c r="M3002" s="17"/>
      <c r="P3002" s="17"/>
    </row>
    <row r="3003">
      <c r="B3003" s="11">
        <f>IFERROR(__xludf.DUMMYFUNCTION("""COMPUTED_VALUE"""),41669.666666666664)</f>
        <v>41669.66667</v>
      </c>
      <c r="C3003" s="9">
        <f>IFERROR(__xludf.DUMMYFUNCTION("""COMPUTED_VALUE"""),38.81)</f>
        <v>38.81</v>
      </c>
      <c r="E3003" s="17"/>
      <c r="M3003" s="17"/>
      <c r="P3003" s="17"/>
    </row>
    <row r="3004">
      <c r="B3004" s="11">
        <f>IFERROR(__xludf.DUMMYFUNCTION("""COMPUTED_VALUE"""),41668.666666666664)</f>
        <v>41668.66667</v>
      </c>
      <c r="C3004" s="9">
        <f>IFERROR(__xludf.DUMMYFUNCTION("""COMPUTED_VALUE"""),37.01)</f>
        <v>37.01</v>
      </c>
      <c r="E3004" s="17"/>
      <c r="M3004" s="17"/>
      <c r="P3004" s="17"/>
    </row>
    <row r="3005">
      <c r="B3005" s="11">
        <f>IFERROR(__xludf.DUMMYFUNCTION("""COMPUTED_VALUE"""),41667.666666666664)</f>
        <v>41667.66667</v>
      </c>
      <c r="C3005" s="9">
        <f>IFERROR(__xludf.DUMMYFUNCTION("""COMPUTED_VALUE"""),37.23)</f>
        <v>37.23</v>
      </c>
      <c r="E3005" s="17"/>
      <c r="M3005" s="17"/>
      <c r="P3005" s="17"/>
    </row>
    <row r="3006">
      <c r="B3006" s="11">
        <f>IFERROR(__xludf.DUMMYFUNCTION("""COMPUTED_VALUE"""),41666.666666666664)</f>
        <v>41666.66667</v>
      </c>
      <c r="C3006" s="9">
        <f>IFERROR(__xludf.DUMMYFUNCTION("""COMPUTED_VALUE"""),36.51)</f>
        <v>36.51</v>
      </c>
      <c r="E3006" s="17"/>
      <c r="M3006" s="17"/>
      <c r="P3006" s="17"/>
    </row>
    <row r="3007">
      <c r="B3007" s="11">
        <f>IFERROR(__xludf.DUMMYFUNCTION("""COMPUTED_VALUE"""),41663.666666666664)</f>
        <v>41663.66667</v>
      </c>
      <c r="C3007" s="9">
        <f>IFERROR(__xludf.DUMMYFUNCTION("""COMPUTED_VALUE"""),36.74)</f>
        <v>36.74</v>
      </c>
      <c r="E3007" s="17"/>
      <c r="M3007" s="17"/>
      <c r="P3007" s="17"/>
    </row>
    <row r="3008">
      <c r="B3008" s="11">
        <f>IFERROR(__xludf.DUMMYFUNCTION("""COMPUTED_VALUE"""),41662.666666666664)</f>
        <v>41662.66667</v>
      </c>
      <c r="C3008" s="9">
        <f>IFERROR(__xludf.DUMMYFUNCTION("""COMPUTED_VALUE"""),37.42)</f>
        <v>37.42</v>
      </c>
      <c r="E3008" s="17"/>
      <c r="M3008" s="17"/>
      <c r="P3008" s="17"/>
    </row>
    <row r="3009">
      <c r="B3009" s="11">
        <f>IFERROR(__xludf.DUMMYFUNCTION("""COMPUTED_VALUE"""),41661.666666666664)</f>
        <v>41661.66667</v>
      </c>
      <c r="C3009" s="9">
        <f>IFERROR(__xludf.DUMMYFUNCTION("""COMPUTED_VALUE"""),37.75)</f>
        <v>37.75</v>
      </c>
      <c r="E3009" s="17"/>
      <c r="M3009" s="17"/>
      <c r="P3009" s="17"/>
    </row>
    <row r="3010">
      <c r="B3010" s="11">
        <f>IFERROR(__xludf.DUMMYFUNCTION("""COMPUTED_VALUE"""),41660.666666666664)</f>
        <v>41660.66667</v>
      </c>
      <c r="C3010" s="9">
        <f>IFERROR(__xludf.DUMMYFUNCTION("""COMPUTED_VALUE"""),37.34)</f>
        <v>37.34</v>
      </c>
      <c r="E3010" s="17"/>
      <c r="M3010" s="17"/>
      <c r="P3010" s="17"/>
    </row>
    <row r="3011">
      <c r="B3011" s="11">
        <f>IFERROR(__xludf.DUMMYFUNCTION("""COMPUTED_VALUE"""),41656.666666666664)</f>
        <v>41656.66667</v>
      </c>
      <c r="C3011" s="9">
        <f>IFERROR(__xludf.DUMMYFUNCTION("""COMPUTED_VALUE"""),36.98)</f>
        <v>36.98</v>
      </c>
      <c r="E3011" s="17"/>
      <c r="M3011" s="17"/>
      <c r="P3011" s="17"/>
    </row>
    <row r="3012">
      <c r="B3012" s="11">
        <f>IFERROR(__xludf.DUMMYFUNCTION("""COMPUTED_VALUE"""),41655.666666666664)</f>
        <v>41655.66667</v>
      </c>
      <c r="C3012" s="9">
        <f>IFERROR(__xludf.DUMMYFUNCTION("""COMPUTED_VALUE"""),37.29)</f>
        <v>37.29</v>
      </c>
      <c r="E3012" s="17"/>
      <c r="M3012" s="17"/>
      <c r="P3012" s="17"/>
    </row>
    <row r="3013">
      <c r="B3013" s="11">
        <f>IFERROR(__xludf.DUMMYFUNCTION("""COMPUTED_VALUE"""),41654.666666666664)</f>
        <v>41654.66667</v>
      </c>
      <c r="C3013" s="9">
        <f>IFERROR(__xludf.DUMMYFUNCTION("""COMPUTED_VALUE"""),37.51)</f>
        <v>37.51</v>
      </c>
      <c r="E3013" s="17"/>
      <c r="M3013" s="17"/>
      <c r="P3013" s="17"/>
    </row>
    <row r="3014">
      <c r="B3014" s="11">
        <f>IFERROR(__xludf.DUMMYFUNCTION("""COMPUTED_VALUE"""),41653.666666666664)</f>
        <v>41653.66667</v>
      </c>
      <c r="C3014" s="9">
        <f>IFERROR(__xludf.DUMMYFUNCTION("""COMPUTED_VALUE"""),37.22)</f>
        <v>37.22</v>
      </c>
      <c r="E3014" s="17"/>
      <c r="M3014" s="17"/>
      <c r="P3014" s="17"/>
    </row>
    <row r="3015">
      <c r="B3015" s="11">
        <f>IFERROR(__xludf.DUMMYFUNCTION("""COMPUTED_VALUE"""),41652.666666666664)</f>
        <v>41652.66667</v>
      </c>
      <c r="C3015" s="9">
        <f>IFERROR(__xludf.DUMMYFUNCTION("""COMPUTED_VALUE"""),36.75)</f>
        <v>36.75</v>
      </c>
      <c r="E3015" s="17"/>
      <c r="M3015" s="17"/>
      <c r="P3015" s="17"/>
    </row>
    <row r="3016">
      <c r="B3016" s="11">
        <f>IFERROR(__xludf.DUMMYFUNCTION("""COMPUTED_VALUE"""),41649.666666666664)</f>
        <v>41649.66667</v>
      </c>
      <c r="C3016" s="9">
        <f>IFERROR(__xludf.DUMMYFUNCTION("""COMPUTED_VALUE"""),37.6)</f>
        <v>37.6</v>
      </c>
      <c r="E3016" s="17"/>
      <c r="M3016" s="17"/>
      <c r="P3016" s="17"/>
    </row>
    <row r="3017">
      <c r="B3017" s="11">
        <f>IFERROR(__xludf.DUMMYFUNCTION("""COMPUTED_VALUE"""),41648.666666666664)</f>
        <v>41648.66667</v>
      </c>
      <c r="C3017" s="9">
        <f>IFERROR(__xludf.DUMMYFUNCTION("""COMPUTED_VALUE"""),37.2)</f>
        <v>37.2</v>
      </c>
      <c r="E3017" s="17"/>
      <c r="M3017" s="17"/>
      <c r="P3017" s="17"/>
    </row>
    <row r="3018">
      <c r="B3018" s="11">
        <f>IFERROR(__xludf.DUMMYFUNCTION("""COMPUTED_VALUE"""),41647.666666666664)</f>
        <v>41647.66667</v>
      </c>
      <c r="C3018" s="9">
        <f>IFERROR(__xludf.DUMMYFUNCTION("""COMPUTED_VALUE"""),37.68)</f>
        <v>37.68</v>
      </c>
      <c r="E3018" s="17"/>
      <c r="M3018" s="17"/>
      <c r="P3018" s="17"/>
    </row>
    <row r="3019">
      <c r="B3019" s="11">
        <f>IFERROR(__xludf.DUMMYFUNCTION("""COMPUTED_VALUE"""),41646.666666666664)</f>
        <v>41646.66667</v>
      </c>
      <c r="C3019" s="9">
        <f>IFERROR(__xludf.DUMMYFUNCTION("""COMPUTED_VALUE"""),37.73)</f>
        <v>37.73</v>
      </c>
      <c r="E3019" s="17"/>
      <c r="M3019" s="17"/>
      <c r="P3019" s="17"/>
    </row>
    <row r="3020">
      <c r="B3020" s="11">
        <f>IFERROR(__xludf.DUMMYFUNCTION("""COMPUTED_VALUE"""),41645.666666666664)</f>
        <v>41645.66667</v>
      </c>
      <c r="C3020" s="9">
        <f>IFERROR(__xludf.DUMMYFUNCTION("""COMPUTED_VALUE"""),37.4)</f>
        <v>37.4</v>
      </c>
      <c r="E3020" s="17"/>
      <c r="M3020" s="17"/>
      <c r="P3020" s="17"/>
    </row>
    <row r="3021">
      <c r="B3021" s="11">
        <f>IFERROR(__xludf.DUMMYFUNCTION("""COMPUTED_VALUE"""),41642.666666666664)</f>
        <v>41642.66667</v>
      </c>
      <c r="C3021" s="9">
        <f>IFERROR(__xludf.DUMMYFUNCTION("""COMPUTED_VALUE"""),37.24)</f>
        <v>37.24</v>
      </c>
      <c r="E3021" s="17"/>
      <c r="M3021" s="17"/>
      <c r="P3021" s="17"/>
    </row>
    <row r="3022">
      <c r="B3022" s="11">
        <f>IFERROR(__xludf.DUMMYFUNCTION("""COMPUTED_VALUE"""),41641.666666666664)</f>
        <v>41641.66667</v>
      </c>
      <c r="C3022" s="9">
        <f>IFERROR(__xludf.DUMMYFUNCTION("""COMPUTED_VALUE"""),36.91)</f>
        <v>36.91</v>
      </c>
      <c r="E3022" s="17"/>
      <c r="M3022" s="17"/>
      <c r="P3022" s="17"/>
    </row>
    <row r="3023">
      <c r="B3023" s="11">
        <f>IFERROR(__xludf.DUMMYFUNCTION("""COMPUTED_VALUE"""),41639.666666666664)</f>
        <v>41639.66667</v>
      </c>
      <c r="C3023" s="9">
        <f>IFERROR(__xludf.DUMMYFUNCTION("""COMPUTED_VALUE"""),36.95)</f>
        <v>36.95</v>
      </c>
      <c r="E3023" s="17"/>
      <c r="M3023" s="17"/>
      <c r="P3023" s="17"/>
    </row>
    <row r="3024">
      <c r="B3024" s="11">
        <f>IFERROR(__xludf.DUMMYFUNCTION("""COMPUTED_VALUE"""),41638.666666666664)</f>
        <v>41638.66667</v>
      </c>
      <c r="C3024" s="9">
        <f>IFERROR(__xludf.DUMMYFUNCTION("""COMPUTED_VALUE"""),37.19)</f>
        <v>37.19</v>
      </c>
      <c r="E3024" s="17"/>
      <c r="M3024" s="17"/>
      <c r="P3024" s="17"/>
    </row>
    <row r="3025">
      <c r="B3025" s="11">
        <f>IFERROR(__xludf.DUMMYFUNCTION("""COMPUTED_VALUE"""),41635.666666666664)</f>
        <v>41635.66667</v>
      </c>
      <c r="C3025" s="9">
        <f>IFERROR(__xludf.DUMMYFUNCTION("""COMPUTED_VALUE"""),37.19)</f>
        <v>37.19</v>
      </c>
      <c r="E3025" s="17"/>
      <c r="M3025" s="17"/>
      <c r="P3025" s="17"/>
    </row>
    <row r="3026">
      <c r="B3026" s="11">
        <f>IFERROR(__xludf.DUMMYFUNCTION("""COMPUTED_VALUE"""),41634.666666666664)</f>
        <v>41634.66667</v>
      </c>
      <c r="C3026" s="9">
        <f>IFERROR(__xludf.DUMMYFUNCTION("""COMPUTED_VALUE"""),37.13)</f>
        <v>37.13</v>
      </c>
      <c r="E3026" s="17"/>
      <c r="M3026" s="17"/>
      <c r="P3026" s="17"/>
    </row>
    <row r="3027">
      <c r="B3027" s="11">
        <f>IFERROR(__xludf.DUMMYFUNCTION("""COMPUTED_VALUE"""),41632.666666666664)</f>
        <v>41632.66667</v>
      </c>
      <c r="C3027" s="9">
        <f>IFERROR(__xludf.DUMMYFUNCTION("""COMPUTED_VALUE"""),36.97)</f>
        <v>36.97</v>
      </c>
      <c r="E3027" s="17"/>
      <c r="M3027" s="17"/>
      <c r="P3027" s="17"/>
    </row>
    <row r="3028">
      <c r="B3028" s="11">
        <f>IFERROR(__xludf.DUMMYFUNCTION("""COMPUTED_VALUE"""),41631.666666666664)</f>
        <v>41631.66667</v>
      </c>
      <c r="C3028" s="9">
        <f>IFERROR(__xludf.DUMMYFUNCTION("""COMPUTED_VALUE"""),36.99)</f>
        <v>36.99</v>
      </c>
      <c r="E3028" s="17"/>
      <c r="M3028" s="17"/>
      <c r="P3028" s="17"/>
    </row>
    <row r="3029">
      <c r="B3029" s="11">
        <f>IFERROR(__xludf.DUMMYFUNCTION("""COMPUTED_VALUE"""),41628.666666666664)</f>
        <v>41628.66667</v>
      </c>
      <c r="C3029" s="9">
        <f>IFERROR(__xludf.DUMMYFUNCTION("""COMPUTED_VALUE"""),36.83)</f>
        <v>36.83</v>
      </c>
      <c r="E3029" s="17"/>
      <c r="M3029" s="17"/>
      <c r="P3029" s="17"/>
    </row>
    <row r="3030">
      <c r="B3030" s="11">
        <f>IFERROR(__xludf.DUMMYFUNCTION("""COMPUTED_VALUE"""),41627.666666666664)</f>
        <v>41627.66667</v>
      </c>
      <c r="C3030" s="9">
        <f>IFERROR(__xludf.DUMMYFUNCTION("""COMPUTED_VALUE"""),36.73)</f>
        <v>36.73</v>
      </c>
      <c r="E3030" s="17"/>
      <c r="M3030" s="17"/>
      <c r="P3030" s="17"/>
    </row>
    <row r="3031">
      <c r="B3031" s="11">
        <f>IFERROR(__xludf.DUMMYFUNCTION("""COMPUTED_VALUE"""),41626.666666666664)</f>
        <v>41626.66667</v>
      </c>
      <c r="C3031" s="9">
        <f>IFERROR(__xludf.DUMMYFUNCTION("""COMPUTED_VALUE"""),37.16)</f>
        <v>37.16</v>
      </c>
      <c r="E3031" s="17"/>
      <c r="M3031" s="17"/>
      <c r="P3031" s="17"/>
    </row>
    <row r="3032">
      <c r="B3032" s="11">
        <f>IFERROR(__xludf.DUMMYFUNCTION("""COMPUTED_VALUE"""),41625.666666666664)</f>
        <v>41625.66667</v>
      </c>
      <c r="C3032" s="9">
        <f>IFERROR(__xludf.DUMMYFUNCTION("""COMPUTED_VALUE"""),36.33)</f>
        <v>36.33</v>
      </c>
      <c r="E3032" s="17"/>
      <c r="M3032" s="17"/>
      <c r="P3032" s="17"/>
    </row>
    <row r="3033">
      <c r="B3033" s="11">
        <f>IFERROR(__xludf.DUMMYFUNCTION("""COMPUTED_VALUE"""),41624.666666666664)</f>
        <v>41624.66667</v>
      </c>
      <c r="C3033" s="9">
        <f>IFERROR(__xludf.DUMMYFUNCTION("""COMPUTED_VALUE"""),36.14)</f>
        <v>36.14</v>
      </c>
      <c r="E3033" s="17"/>
      <c r="M3033" s="17"/>
      <c r="P3033" s="17"/>
    </row>
    <row r="3034">
      <c r="B3034" s="11">
        <f>IFERROR(__xludf.DUMMYFUNCTION("""COMPUTED_VALUE"""),41621.666666666664)</f>
        <v>41621.66667</v>
      </c>
      <c r="C3034" s="9">
        <f>IFERROR(__xludf.DUMMYFUNCTION("""COMPUTED_VALUE"""),36.29)</f>
        <v>36.29</v>
      </c>
      <c r="E3034" s="17"/>
      <c r="M3034" s="17"/>
      <c r="P3034" s="17"/>
    </row>
    <row r="3035">
      <c r="B3035" s="11">
        <f>IFERROR(__xludf.DUMMYFUNCTION("""COMPUTED_VALUE"""),41620.666666666664)</f>
        <v>41620.66667</v>
      </c>
      <c r="C3035" s="9">
        <f>IFERROR(__xludf.DUMMYFUNCTION("""COMPUTED_VALUE"""),36.57)</f>
        <v>36.57</v>
      </c>
      <c r="E3035" s="17"/>
      <c r="M3035" s="17"/>
      <c r="P3035" s="17"/>
    </row>
    <row r="3036">
      <c r="B3036" s="11">
        <f>IFERROR(__xludf.DUMMYFUNCTION("""COMPUTED_VALUE"""),41619.666666666664)</f>
        <v>41619.66667</v>
      </c>
      <c r="C3036" s="9">
        <f>IFERROR(__xludf.DUMMYFUNCTION("""COMPUTED_VALUE"""),36.49)</f>
        <v>36.49</v>
      </c>
      <c r="E3036" s="17"/>
      <c r="M3036" s="17"/>
      <c r="P3036" s="17"/>
    </row>
    <row r="3037">
      <c r="B3037" s="11">
        <f>IFERROR(__xludf.DUMMYFUNCTION("""COMPUTED_VALUE"""),41618.666666666664)</f>
        <v>41618.66667</v>
      </c>
      <c r="C3037" s="9">
        <f>IFERROR(__xludf.DUMMYFUNCTION("""COMPUTED_VALUE"""),37.77)</f>
        <v>37.77</v>
      </c>
      <c r="E3037" s="17"/>
      <c r="M3037" s="17"/>
      <c r="P3037" s="17"/>
    </row>
    <row r="3038">
      <c r="B3038" s="11">
        <f>IFERROR(__xludf.DUMMYFUNCTION("""COMPUTED_VALUE"""),41617.666666666664)</f>
        <v>41617.66667</v>
      </c>
      <c r="C3038" s="9">
        <f>IFERROR(__xludf.DUMMYFUNCTION("""COMPUTED_VALUE"""),37.93)</f>
        <v>37.93</v>
      </c>
      <c r="E3038" s="17"/>
      <c r="M3038" s="17"/>
      <c r="P3038" s="17"/>
    </row>
    <row r="3039">
      <c r="B3039" s="11">
        <f>IFERROR(__xludf.DUMMYFUNCTION("""COMPUTED_VALUE"""),41614.666666666664)</f>
        <v>41614.66667</v>
      </c>
      <c r="C3039" s="9">
        <f>IFERROR(__xludf.DUMMYFUNCTION("""COMPUTED_VALUE"""),37.84)</f>
        <v>37.84</v>
      </c>
      <c r="E3039" s="17"/>
      <c r="M3039" s="17"/>
      <c r="P3039" s="17"/>
    </row>
    <row r="3040">
      <c r="B3040" s="11">
        <f>IFERROR(__xludf.DUMMYFUNCTION("""COMPUTED_VALUE"""),41613.666666666664)</f>
        <v>41613.66667</v>
      </c>
      <c r="C3040" s="9">
        <f>IFERROR(__xludf.DUMMYFUNCTION("""COMPUTED_VALUE"""),37.22)</f>
        <v>37.22</v>
      </c>
      <c r="E3040" s="17"/>
      <c r="M3040" s="17"/>
      <c r="P3040" s="17"/>
    </row>
    <row r="3041">
      <c r="B3041" s="11">
        <f>IFERROR(__xludf.DUMMYFUNCTION("""COMPUTED_VALUE"""),41612.666666666664)</f>
        <v>41612.66667</v>
      </c>
      <c r="C3041" s="9">
        <f>IFERROR(__xludf.DUMMYFUNCTION("""COMPUTED_VALUE"""),37.29)</f>
        <v>37.29</v>
      </c>
      <c r="E3041" s="17"/>
      <c r="M3041" s="17"/>
      <c r="P3041" s="17"/>
    </row>
    <row r="3042">
      <c r="B3042" s="11">
        <f>IFERROR(__xludf.DUMMYFUNCTION("""COMPUTED_VALUE"""),41611.666666666664)</f>
        <v>41611.66667</v>
      </c>
      <c r="C3042" s="9">
        <f>IFERROR(__xludf.DUMMYFUNCTION("""COMPUTED_VALUE"""),37.45)</f>
        <v>37.45</v>
      </c>
      <c r="E3042" s="17"/>
      <c r="M3042" s="17"/>
      <c r="P3042" s="17"/>
    </row>
    <row r="3043">
      <c r="B3043" s="11">
        <f>IFERROR(__xludf.DUMMYFUNCTION("""COMPUTED_VALUE"""),41610.666666666664)</f>
        <v>41610.66667</v>
      </c>
      <c r="C3043" s="9">
        <f>IFERROR(__xludf.DUMMYFUNCTION("""COMPUTED_VALUE"""),37.6)</f>
        <v>37.6</v>
      </c>
      <c r="E3043" s="17"/>
      <c r="M3043" s="17"/>
      <c r="P3043" s="17"/>
    </row>
    <row r="3044">
      <c r="B3044" s="11">
        <f>IFERROR(__xludf.DUMMYFUNCTION("""COMPUTED_VALUE"""),41607.666666666664)</f>
        <v>41607.66667</v>
      </c>
      <c r="C3044" s="9">
        <f>IFERROR(__xludf.DUMMYFUNCTION("""COMPUTED_VALUE"""),37.93)</f>
        <v>37.93</v>
      </c>
      <c r="E3044" s="17"/>
      <c r="M3044" s="17"/>
      <c r="P3044" s="17"/>
    </row>
    <row r="3045">
      <c r="B3045" s="11">
        <f>IFERROR(__xludf.DUMMYFUNCTION("""COMPUTED_VALUE"""),41605.666666666664)</f>
        <v>41605.66667</v>
      </c>
      <c r="C3045" s="9">
        <f>IFERROR(__xludf.DUMMYFUNCTION("""COMPUTED_VALUE"""),38.49)</f>
        <v>38.49</v>
      </c>
      <c r="E3045" s="17"/>
      <c r="M3045" s="17"/>
      <c r="P3045" s="17"/>
    </row>
    <row r="3046">
      <c r="B3046" s="11">
        <f>IFERROR(__xludf.DUMMYFUNCTION("""COMPUTED_VALUE"""),41604.666666666664)</f>
        <v>41604.66667</v>
      </c>
      <c r="C3046" s="9">
        <f>IFERROR(__xludf.DUMMYFUNCTION("""COMPUTED_VALUE"""),38.06)</f>
        <v>38.06</v>
      </c>
      <c r="E3046" s="17"/>
      <c r="M3046" s="17"/>
      <c r="P3046" s="17"/>
    </row>
    <row r="3047">
      <c r="B3047" s="11">
        <f>IFERROR(__xludf.DUMMYFUNCTION("""COMPUTED_VALUE"""),41603.666666666664)</f>
        <v>41603.66667</v>
      </c>
      <c r="C3047" s="9">
        <f>IFERROR(__xludf.DUMMYFUNCTION("""COMPUTED_VALUE"""),38.36)</f>
        <v>38.36</v>
      </c>
      <c r="E3047" s="17"/>
      <c r="M3047" s="17"/>
      <c r="P3047" s="17"/>
    </row>
    <row r="3048">
      <c r="B3048" s="11">
        <f>IFERROR(__xludf.DUMMYFUNCTION("""COMPUTED_VALUE"""),41600.666666666664)</f>
        <v>41600.66667</v>
      </c>
      <c r="C3048" s="9">
        <f>IFERROR(__xludf.DUMMYFUNCTION("""COMPUTED_VALUE"""),38.44)</f>
        <v>38.44</v>
      </c>
      <c r="E3048" s="17"/>
      <c r="M3048" s="17"/>
      <c r="P3048" s="17"/>
    </row>
    <row r="3049">
      <c r="B3049" s="11">
        <f>IFERROR(__xludf.DUMMYFUNCTION("""COMPUTED_VALUE"""),41599.666666666664)</f>
        <v>41599.66667</v>
      </c>
      <c r="C3049" s="9">
        <f>IFERROR(__xludf.DUMMYFUNCTION("""COMPUTED_VALUE"""),38.52)</f>
        <v>38.52</v>
      </c>
      <c r="E3049" s="17"/>
      <c r="M3049" s="17"/>
      <c r="P3049" s="17"/>
    </row>
    <row r="3050">
      <c r="B3050" s="11">
        <f>IFERROR(__xludf.DUMMYFUNCTION("""COMPUTED_VALUE"""),41598.666666666664)</f>
        <v>41598.66667</v>
      </c>
      <c r="C3050" s="9">
        <f>IFERROR(__xludf.DUMMYFUNCTION("""COMPUTED_VALUE"""),38.09)</f>
        <v>38.09</v>
      </c>
      <c r="E3050" s="17"/>
      <c r="M3050" s="17"/>
      <c r="P3050" s="17"/>
    </row>
    <row r="3051">
      <c r="B3051" s="11">
        <f>IFERROR(__xludf.DUMMYFUNCTION("""COMPUTED_VALUE"""),41597.666666666664)</f>
        <v>41597.66667</v>
      </c>
      <c r="C3051" s="9">
        <f>IFERROR(__xludf.DUMMYFUNCTION("""COMPUTED_VALUE"""),38.62)</f>
        <v>38.62</v>
      </c>
      <c r="E3051" s="17"/>
      <c r="M3051" s="17"/>
      <c r="P3051" s="17"/>
    </row>
    <row r="3052">
      <c r="B3052" s="11">
        <f>IFERROR(__xludf.DUMMYFUNCTION("""COMPUTED_VALUE"""),41596.666666666664)</f>
        <v>41596.66667</v>
      </c>
      <c r="C3052" s="9">
        <f>IFERROR(__xludf.DUMMYFUNCTION("""COMPUTED_VALUE"""),38.92)</f>
        <v>38.92</v>
      </c>
      <c r="E3052" s="17"/>
      <c r="M3052" s="17"/>
      <c r="P3052" s="17"/>
    </row>
    <row r="3053">
      <c r="B3053" s="11">
        <f>IFERROR(__xludf.DUMMYFUNCTION("""COMPUTED_VALUE"""),41593.666666666664)</f>
        <v>41593.66667</v>
      </c>
      <c r="C3053" s="9">
        <f>IFERROR(__xludf.DUMMYFUNCTION("""COMPUTED_VALUE"""),39.18)</f>
        <v>39.18</v>
      </c>
      <c r="E3053" s="17"/>
      <c r="M3053" s="17"/>
      <c r="P3053" s="17"/>
    </row>
    <row r="3054">
      <c r="B3054" s="11">
        <f>IFERROR(__xludf.DUMMYFUNCTION("""COMPUTED_VALUE"""),41592.666666666664)</f>
        <v>41592.66667</v>
      </c>
      <c r="C3054" s="9">
        <f>IFERROR(__xludf.DUMMYFUNCTION("""COMPUTED_VALUE"""),38.99)</f>
        <v>38.99</v>
      </c>
      <c r="E3054" s="17"/>
      <c r="M3054" s="17"/>
      <c r="P3054" s="17"/>
    </row>
    <row r="3055">
      <c r="B3055" s="11">
        <f>IFERROR(__xludf.DUMMYFUNCTION("""COMPUTED_VALUE"""),41591.666666666664)</f>
        <v>41591.66667</v>
      </c>
      <c r="C3055" s="9">
        <f>IFERROR(__xludf.DUMMYFUNCTION("""COMPUTED_VALUE"""),38.78)</f>
        <v>38.78</v>
      </c>
      <c r="E3055" s="17"/>
      <c r="M3055" s="17"/>
      <c r="P3055" s="17"/>
    </row>
    <row r="3056">
      <c r="B3056" s="11">
        <f>IFERROR(__xludf.DUMMYFUNCTION("""COMPUTED_VALUE"""),41590.666666666664)</f>
        <v>41590.66667</v>
      </c>
      <c r="C3056" s="9">
        <f>IFERROR(__xludf.DUMMYFUNCTION("""COMPUTED_VALUE"""),38.57)</f>
        <v>38.57</v>
      </c>
      <c r="E3056" s="17"/>
      <c r="M3056" s="17"/>
      <c r="P3056" s="17"/>
    </row>
    <row r="3057">
      <c r="B3057" s="11">
        <f>IFERROR(__xludf.DUMMYFUNCTION("""COMPUTED_VALUE"""),41589.666666666664)</f>
        <v>41589.66667</v>
      </c>
      <c r="C3057" s="9">
        <f>IFERROR(__xludf.DUMMYFUNCTION("""COMPUTED_VALUE"""),39.02)</f>
        <v>39.02</v>
      </c>
      <c r="E3057" s="17"/>
      <c r="M3057" s="17"/>
      <c r="P3057" s="17"/>
    </row>
    <row r="3058">
      <c r="B3058" s="11">
        <f>IFERROR(__xludf.DUMMYFUNCTION("""COMPUTED_VALUE"""),41586.666666666664)</f>
        <v>41586.66667</v>
      </c>
      <c r="C3058" s="9">
        <f>IFERROR(__xludf.DUMMYFUNCTION("""COMPUTED_VALUE"""),38.95)</f>
        <v>38.95</v>
      </c>
      <c r="E3058" s="17"/>
      <c r="M3058" s="17"/>
      <c r="P3058" s="17"/>
    </row>
    <row r="3059">
      <c r="B3059" s="11">
        <f>IFERROR(__xludf.DUMMYFUNCTION("""COMPUTED_VALUE"""),41585.666666666664)</f>
        <v>41585.66667</v>
      </c>
      <c r="C3059" s="9">
        <f>IFERROR(__xludf.DUMMYFUNCTION("""COMPUTED_VALUE"""),39.24)</f>
        <v>39.24</v>
      </c>
      <c r="E3059" s="17"/>
      <c r="M3059" s="17"/>
      <c r="P3059" s="17"/>
    </row>
    <row r="3060">
      <c r="B3060" s="11">
        <f>IFERROR(__xludf.DUMMYFUNCTION("""COMPUTED_VALUE"""),41584.666666666664)</f>
        <v>41584.66667</v>
      </c>
      <c r="C3060" s="9">
        <f>IFERROR(__xludf.DUMMYFUNCTION("""COMPUTED_VALUE"""),39.89)</f>
        <v>39.89</v>
      </c>
      <c r="E3060" s="17"/>
      <c r="M3060" s="17"/>
      <c r="P3060" s="17"/>
    </row>
    <row r="3061">
      <c r="B3061" s="11">
        <f>IFERROR(__xludf.DUMMYFUNCTION("""COMPUTED_VALUE"""),41583.666666666664)</f>
        <v>41583.66667</v>
      </c>
      <c r="C3061" s="9">
        <f>IFERROR(__xludf.DUMMYFUNCTION("""COMPUTED_VALUE"""),39.91)</f>
        <v>39.91</v>
      </c>
      <c r="E3061" s="17"/>
      <c r="M3061" s="17"/>
      <c r="P3061" s="17"/>
    </row>
    <row r="3062">
      <c r="B3062" s="11">
        <f>IFERROR(__xludf.DUMMYFUNCTION("""COMPUTED_VALUE"""),41582.666666666664)</f>
        <v>41582.66667</v>
      </c>
      <c r="C3062" s="9">
        <f>IFERROR(__xludf.DUMMYFUNCTION("""COMPUTED_VALUE"""),40.88)</f>
        <v>40.88</v>
      </c>
      <c r="E3062" s="17"/>
      <c r="M3062" s="17"/>
      <c r="P3062" s="17"/>
    </row>
    <row r="3063">
      <c r="B3063" s="11">
        <f>IFERROR(__xludf.DUMMYFUNCTION("""COMPUTED_VALUE"""),41579.666666666664)</f>
        <v>41579.66667</v>
      </c>
      <c r="C3063" s="9">
        <f>IFERROR(__xludf.DUMMYFUNCTION("""COMPUTED_VALUE"""),40.57)</f>
        <v>40.57</v>
      </c>
      <c r="E3063" s="17"/>
      <c r="M3063" s="17"/>
      <c r="P3063" s="17"/>
    </row>
    <row r="3064">
      <c r="B3064" s="11">
        <f>IFERROR(__xludf.DUMMYFUNCTION("""COMPUTED_VALUE"""),41578.666666666664)</f>
        <v>41578.66667</v>
      </c>
      <c r="C3064" s="9">
        <f>IFERROR(__xludf.DUMMYFUNCTION("""COMPUTED_VALUE"""),39.95)</f>
        <v>39.95</v>
      </c>
      <c r="E3064" s="17"/>
      <c r="M3064" s="17"/>
      <c r="P3064" s="17"/>
    </row>
    <row r="3065">
      <c r="B3065" s="11">
        <f>IFERROR(__xludf.DUMMYFUNCTION("""COMPUTED_VALUE"""),41577.666666666664)</f>
        <v>41577.66667</v>
      </c>
      <c r="C3065" s="9">
        <f>IFERROR(__xludf.DUMMYFUNCTION("""COMPUTED_VALUE"""),40.04)</f>
        <v>40.04</v>
      </c>
      <c r="E3065" s="17"/>
      <c r="M3065" s="17"/>
      <c r="P3065" s="17"/>
    </row>
    <row r="3066">
      <c r="B3066" s="11">
        <f>IFERROR(__xludf.DUMMYFUNCTION("""COMPUTED_VALUE"""),41576.666666666664)</f>
        <v>41576.66667</v>
      </c>
      <c r="C3066" s="9">
        <f>IFERROR(__xludf.DUMMYFUNCTION("""COMPUTED_VALUE"""),40.44)</f>
        <v>40.44</v>
      </c>
      <c r="E3066" s="17"/>
      <c r="M3066" s="17"/>
      <c r="P3066" s="17"/>
    </row>
    <row r="3067">
      <c r="B3067" s="11">
        <f>IFERROR(__xludf.DUMMYFUNCTION("""COMPUTED_VALUE"""),41575.666666666664)</f>
        <v>41575.66667</v>
      </c>
      <c r="C3067" s="9">
        <f>IFERROR(__xludf.DUMMYFUNCTION("""COMPUTED_VALUE"""),40.59)</f>
        <v>40.59</v>
      </c>
      <c r="E3067" s="17"/>
      <c r="M3067" s="17"/>
      <c r="P3067" s="17"/>
    </row>
    <row r="3068">
      <c r="B3068" s="11">
        <f>IFERROR(__xludf.DUMMYFUNCTION("""COMPUTED_VALUE"""),41572.666666666664)</f>
        <v>41572.66667</v>
      </c>
      <c r="C3068" s="9">
        <f>IFERROR(__xludf.DUMMYFUNCTION("""COMPUTED_VALUE"""),40.92)</f>
        <v>40.92</v>
      </c>
      <c r="E3068" s="17"/>
      <c r="M3068" s="17"/>
      <c r="P3068" s="17"/>
    </row>
    <row r="3069">
      <c r="B3069" s="11">
        <f>IFERROR(__xludf.DUMMYFUNCTION("""COMPUTED_VALUE"""),41571.666666666664)</f>
        <v>41571.66667</v>
      </c>
      <c r="C3069" s="9">
        <f>IFERROR(__xludf.DUMMYFUNCTION("""COMPUTED_VALUE"""),40.42)</f>
        <v>40.42</v>
      </c>
      <c r="E3069" s="17"/>
      <c r="M3069" s="17"/>
      <c r="P3069" s="17"/>
    </row>
    <row r="3070">
      <c r="B3070" s="11">
        <f>IFERROR(__xludf.DUMMYFUNCTION("""COMPUTED_VALUE"""),41570.666666666664)</f>
        <v>41570.66667</v>
      </c>
      <c r="C3070" s="9">
        <f>IFERROR(__xludf.DUMMYFUNCTION("""COMPUTED_VALUE"""),40.13)</f>
        <v>40.13</v>
      </c>
      <c r="E3070" s="17"/>
      <c r="M3070" s="17"/>
      <c r="P3070" s="17"/>
    </row>
    <row r="3071">
      <c r="B3071" s="11">
        <f>IFERROR(__xludf.DUMMYFUNCTION("""COMPUTED_VALUE"""),41569.666666666664)</f>
        <v>41569.66667</v>
      </c>
      <c r="C3071" s="9">
        <f>IFERROR(__xludf.DUMMYFUNCTION("""COMPUTED_VALUE"""),40.68)</f>
        <v>40.68</v>
      </c>
      <c r="E3071" s="17"/>
      <c r="M3071" s="17"/>
      <c r="P3071" s="17"/>
    </row>
    <row r="3072">
      <c r="B3072" s="11">
        <f>IFERROR(__xludf.DUMMYFUNCTION("""COMPUTED_VALUE"""),41568.666666666664)</f>
        <v>41568.66667</v>
      </c>
      <c r="C3072" s="9">
        <f>IFERROR(__xludf.DUMMYFUNCTION("""COMPUTED_VALUE"""),39.9)</f>
        <v>39.9</v>
      </c>
      <c r="E3072" s="17"/>
      <c r="M3072" s="17"/>
      <c r="P3072" s="17"/>
    </row>
    <row r="3073">
      <c r="B3073" s="11">
        <f>IFERROR(__xludf.DUMMYFUNCTION("""COMPUTED_VALUE"""),41565.666666666664)</f>
        <v>41565.66667</v>
      </c>
      <c r="C3073" s="9">
        <f>IFERROR(__xludf.DUMMYFUNCTION("""COMPUTED_VALUE"""),39.82)</f>
        <v>39.82</v>
      </c>
      <c r="E3073" s="17"/>
      <c r="M3073" s="17"/>
      <c r="P3073" s="17"/>
    </row>
    <row r="3074">
      <c r="B3074" s="11">
        <f>IFERROR(__xludf.DUMMYFUNCTION("""COMPUTED_VALUE"""),41564.666666666664)</f>
        <v>41564.66667</v>
      </c>
      <c r="C3074" s="9">
        <f>IFERROR(__xludf.DUMMYFUNCTION("""COMPUTED_VALUE"""),40.04)</f>
        <v>40.04</v>
      </c>
      <c r="E3074" s="17"/>
      <c r="M3074" s="17"/>
      <c r="P3074" s="17"/>
    </row>
    <row r="3075">
      <c r="B3075" s="11">
        <f>IFERROR(__xludf.DUMMYFUNCTION("""COMPUTED_VALUE"""),41563.666666666664)</f>
        <v>41563.66667</v>
      </c>
      <c r="C3075" s="9">
        <f>IFERROR(__xludf.DUMMYFUNCTION("""COMPUTED_VALUE"""),39.98)</f>
        <v>39.98</v>
      </c>
      <c r="E3075" s="17"/>
      <c r="M3075" s="17"/>
      <c r="P3075" s="17"/>
    </row>
    <row r="3076">
      <c r="B3076" s="11">
        <f>IFERROR(__xludf.DUMMYFUNCTION("""COMPUTED_VALUE"""),41562.666666666664)</f>
        <v>41562.66667</v>
      </c>
      <c r="C3076" s="9">
        <f>IFERROR(__xludf.DUMMYFUNCTION("""COMPUTED_VALUE"""),39.01)</f>
        <v>39.01</v>
      </c>
      <c r="E3076" s="17"/>
      <c r="M3076" s="17"/>
      <c r="P3076" s="17"/>
    </row>
    <row r="3077">
      <c r="B3077" s="11">
        <f>IFERROR(__xludf.DUMMYFUNCTION("""COMPUTED_VALUE"""),41561.666666666664)</f>
        <v>41561.66667</v>
      </c>
      <c r="C3077" s="9">
        <f>IFERROR(__xludf.DUMMYFUNCTION("""COMPUTED_VALUE"""),38.97)</f>
        <v>38.97</v>
      </c>
      <c r="E3077" s="17"/>
      <c r="M3077" s="17"/>
      <c r="P3077" s="17"/>
    </row>
    <row r="3078">
      <c r="B3078" s="11">
        <f>IFERROR(__xludf.DUMMYFUNCTION("""COMPUTED_VALUE"""),41558.666666666664)</f>
        <v>41558.66667</v>
      </c>
      <c r="C3078" s="9">
        <f>IFERROR(__xludf.DUMMYFUNCTION("""COMPUTED_VALUE"""),39.1)</f>
        <v>39.1</v>
      </c>
      <c r="E3078" s="17"/>
      <c r="M3078" s="17"/>
      <c r="P3078" s="17"/>
    </row>
    <row r="3079">
      <c r="B3079" s="11">
        <f>IFERROR(__xludf.DUMMYFUNCTION("""COMPUTED_VALUE"""),41557.666666666664)</f>
        <v>41557.66667</v>
      </c>
      <c r="C3079" s="9">
        <f>IFERROR(__xludf.DUMMYFUNCTION("""COMPUTED_VALUE"""),38.58)</f>
        <v>38.58</v>
      </c>
      <c r="E3079" s="17"/>
      <c r="M3079" s="17"/>
      <c r="P3079" s="17"/>
    </row>
    <row r="3080">
      <c r="B3080" s="11">
        <f>IFERROR(__xludf.DUMMYFUNCTION("""COMPUTED_VALUE"""),41556.666666666664)</f>
        <v>41556.66667</v>
      </c>
      <c r="C3080" s="9">
        <f>IFERROR(__xludf.DUMMYFUNCTION("""COMPUTED_VALUE"""),37.41)</f>
        <v>37.41</v>
      </c>
      <c r="E3080" s="17"/>
      <c r="M3080" s="17"/>
      <c r="P3080" s="17"/>
    </row>
    <row r="3081">
      <c r="B3081" s="11">
        <f>IFERROR(__xludf.DUMMYFUNCTION("""COMPUTED_VALUE"""),41555.666666666664)</f>
        <v>41555.66667</v>
      </c>
      <c r="C3081" s="9">
        <f>IFERROR(__xludf.DUMMYFUNCTION("""COMPUTED_VALUE"""),37.51)</f>
        <v>37.51</v>
      </c>
      <c r="E3081" s="17"/>
      <c r="M3081" s="17"/>
      <c r="P3081" s="17"/>
    </row>
    <row r="3082">
      <c r="B3082" s="11">
        <f>IFERROR(__xludf.DUMMYFUNCTION("""COMPUTED_VALUE"""),41554.666666666664)</f>
        <v>41554.66667</v>
      </c>
      <c r="C3082" s="9">
        <f>IFERROR(__xludf.DUMMYFUNCTION("""COMPUTED_VALUE"""),37.74)</f>
        <v>37.74</v>
      </c>
      <c r="E3082" s="17"/>
      <c r="M3082" s="17"/>
      <c r="P3082" s="17"/>
    </row>
    <row r="3083">
      <c r="B3083" s="11">
        <f>IFERROR(__xludf.DUMMYFUNCTION("""COMPUTED_VALUE"""),41551.666666666664)</f>
        <v>41551.66667</v>
      </c>
      <c r="C3083" s="9">
        <f>IFERROR(__xludf.DUMMYFUNCTION("""COMPUTED_VALUE"""),38.1)</f>
        <v>38.1</v>
      </c>
      <c r="E3083" s="17"/>
      <c r="M3083" s="17"/>
      <c r="P3083" s="17"/>
    </row>
    <row r="3084">
      <c r="B3084" s="11">
        <f>IFERROR(__xludf.DUMMYFUNCTION("""COMPUTED_VALUE"""),41550.666666666664)</f>
        <v>41550.66667</v>
      </c>
      <c r="C3084" s="9">
        <f>IFERROR(__xludf.DUMMYFUNCTION("""COMPUTED_VALUE"""),38.22)</f>
        <v>38.22</v>
      </c>
      <c r="E3084" s="17"/>
      <c r="M3084" s="17"/>
      <c r="P3084" s="17"/>
    </row>
    <row r="3085">
      <c r="B3085" s="11">
        <f>IFERROR(__xludf.DUMMYFUNCTION("""COMPUTED_VALUE"""),41549.666666666664)</f>
        <v>41549.66667</v>
      </c>
      <c r="C3085" s="9">
        <f>IFERROR(__xludf.DUMMYFUNCTION("""COMPUTED_VALUE"""),38.75)</f>
        <v>38.75</v>
      </c>
      <c r="E3085" s="17"/>
      <c r="M3085" s="17"/>
      <c r="P3085" s="17"/>
    </row>
    <row r="3086">
      <c r="B3086" s="11">
        <f>IFERROR(__xludf.DUMMYFUNCTION("""COMPUTED_VALUE"""),41548.666666666664)</f>
        <v>41548.66667</v>
      </c>
      <c r="C3086" s="9">
        <f>IFERROR(__xludf.DUMMYFUNCTION("""COMPUTED_VALUE"""),38.27)</f>
        <v>38.27</v>
      </c>
      <c r="E3086" s="17"/>
      <c r="M3086" s="17"/>
      <c r="P3086" s="17"/>
    </row>
    <row r="3087">
      <c r="B3087" s="11">
        <f>IFERROR(__xludf.DUMMYFUNCTION("""COMPUTED_VALUE"""),41547.666666666664)</f>
        <v>41547.66667</v>
      </c>
      <c r="C3087" s="9">
        <f>IFERROR(__xludf.DUMMYFUNCTION("""COMPUTED_VALUE"""),37.62)</f>
        <v>37.62</v>
      </c>
      <c r="E3087" s="17"/>
      <c r="M3087" s="17"/>
      <c r="P3087" s="17"/>
    </row>
    <row r="3088">
      <c r="B3088" s="11">
        <f>IFERROR(__xludf.DUMMYFUNCTION("""COMPUTED_VALUE"""),41544.666666666664)</f>
        <v>41544.66667</v>
      </c>
      <c r="C3088" s="9">
        <f>IFERROR(__xludf.DUMMYFUNCTION("""COMPUTED_VALUE"""),38.3)</f>
        <v>38.3</v>
      </c>
      <c r="E3088" s="17"/>
      <c r="M3088" s="17"/>
      <c r="P3088" s="17"/>
    </row>
    <row r="3089">
      <c r="B3089" s="11">
        <f>IFERROR(__xludf.DUMMYFUNCTION("""COMPUTED_VALUE"""),41543.666666666664)</f>
        <v>41543.66667</v>
      </c>
      <c r="C3089" s="9">
        <f>IFERROR(__xludf.DUMMYFUNCTION("""COMPUTED_VALUE"""),38.5)</f>
        <v>38.5</v>
      </c>
      <c r="E3089" s="17"/>
      <c r="M3089" s="17"/>
      <c r="P3089" s="17"/>
    </row>
    <row r="3090">
      <c r="B3090" s="11">
        <f>IFERROR(__xludf.DUMMYFUNCTION("""COMPUTED_VALUE"""),41542.666666666664)</f>
        <v>41542.66667</v>
      </c>
      <c r="C3090" s="9">
        <f>IFERROR(__xludf.DUMMYFUNCTION("""COMPUTED_VALUE"""),37.99)</f>
        <v>37.99</v>
      </c>
      <c r="E3090" s="17"/>
      <c r="M3090" s="17"/>
      <c r="P3090" s="17"/>
    </row>
    <row r="3091">
      <c r="B3091" s="11">
        <f>IFERROR(__xludf.DUMMYFUNCTION("""COMPUTED_VALUE"""),41541.666666666664)</f>
        <v>41541.66667</v>
      </c>
      <c r="C3091" s="9">
        <f>IFERROR(__xludf.DUMMYFUNCTION("""COMPUTED_VALUE"""),37.85)</f>
        <v>37.85</v>
      </c>
      <c r="E3091" s="17"/>
      <c r="M3091" s="17"/>
      <c r="P3091" s="17"/>
    </row>
    <row r="3092">
      <c r="B3092" s="11">
        <f>IFERROR(__xludf.DUMMYFUNCTION("""COMPUTED_VALUE"""),41540.666666666664)</f>
        <v>41540.66667</v>
      </c>
      <c r="C3092" s="9">
        <f>IFERROR(__xludf.DUMMYFUNCTION("""COMPUTED_VALUE"""),38.15)</f>
        <v>38.15</v>
      </c>
      <c r="E3092" s="17"/>
      <c r="M3092" s="17"/>
      <c r="P3092" s="17"/>
    </row>
    <row r="3093">
      <c r="B3093" s="11">
        <f>IFERROR(__xludf.DUMMYFUNCTION("""COMPUTED_VALUE"""),41537.666666666664)</f>
        <v>41537.66667</v>
      </c>
      <c r="C3093" s="9">
        <f>IFERROR(__xludf.DUMMYFUNCTION("""COMPUTED_VALUE"""),38.09)</f>
        <v>38.09</v>
      </c>
      <c r="E3093" s="17"/>
      <c r="M3093" s="17"/>
      <c r="P3093" s="17"/>
    </row>
    <row r="3094">
      <c r="B3094" s="11">
        <f>IFERROR(__xludf.DUMMYFUNCTION("""COMPUTED_VALUE"""),41536.666666666664)</f>
        <v>41536.66667</v>
      </c>
      <c r="C3094" s="9">
        <f>IFERROR(__xludf.DUMMYFUNCTION("""COMPUTED_VALUE"""),38.89)</f>
        <v>38.89</v>
      </c>
      <c r="E3094" s="17"/>
      <c r="M3094" s="17"/>
      <c r="P3094" s="17"/>
    </row>
    <row r="3095">
      <c r="B3095" s="11">
        <f>IFERROR(__xludf.DUMMYFUNCTION("""COMPUTED_VALUE"""),41535.666666666664)</f>
        <v>41535.66667</v>
      </c>
      <c r="C3095" s="9">
        <f>IFERROR(__xludf.DUMMYFUNCTION("""COMPUTED_VALUE"""),39.16)</f>
        <v>39.16</v>
      </c>
      <c r="E3095" s="17"/>
      <c r="M3095" s="17"/>
      <c r="P3095" s="17"/>
    </row>
    <row r="3096">
      <c r="B3096" s="11">
        <f>IFERROR(__xludf.DUMMYFUNCTION("""COMPUTED_VALUE"""),41534.666666666664)</f>
        <v>41534.66667</v>
      </c>
      <c r="C3096" s="9">
        <f>IFERROR(__xludf.DUMMYFUNCTION("""COMPUTED_VALUE"""),37.55)</f>
        <v>37.55</v>
      </c>
      <c r="E3096" s="17"/>
      <c r="M3096" s="17"/>
      <c r="P3096" s="17"/>
    </row>
    <row r="3097">
      <c r="B3097" s="11">
        <f>IFERROR(__xludf.DUMMYFUNCTION("""COMPUTED_VALUE"""),41533.666666666664)</f>
        <v>41533.66667</v>
      </c>
      <c r="C3097" s="9">
        <f>IFERROR(__xludf.DUMMYFUNCTION("""COMPUTED_VALUE"""),37.32)</f>
        <v>37.32</v>
      </c>
      <c r="E3097" s="17"/>
      <c r="M3097" s="17"/>
      <c r="P3097" s="17"/>
    </row>
    <row r="3098">
      <c r="B3098" s="11">
        <f>IFERROR(__xludf.DUMMYFUNCTION("""COMPUTED_VALUE"""),41530.666666666664)</f>
        <v>41530.66667</v>
      </c>
      <c r="C3098" s="9">
        <f>IFERROR(__xludf.DUMMYFUNCTION("""COMPUTED_VALUE"""),36.97)</f>
        <v>36.97</v>
      </c>
      <c r="E3098" s="17"/>
      <c r="M3098" s="17"/>
      <c r="P3098" s="17"/>
    </row>
    <row r="3099">
      <c r="B3099" s="11">
        <f>IFERROR(__xludf.DUMMYFUNCTION("""COMPUTED_VALUE"""),41529.666666666664)</f>
        <v>41529.66667</v>
      </c>
      <c r="C3099" s="9">
        <f>IFERROR(__xludf.DUMMYFUNCTION("""COMPUTED_VALUE"""),37.06)</f>
        <v>37.06</v>
      </c>
      <c r="E3099" s="17"/>
      <c r="M3099" s="17"/>
      <c r="P3099" s="17"/>
    </row>
    <row r="3100">
      <c r="B3100" s="11">
        <f>IFERROR(__xludf.DUMMYFUNCTION("""COMPUTED_VALUE"""),41528.666666666664)</f>
        <v>41528.66667</v>
      </c>
      <c r="C3100" s="9">
        <f>IFERROR(__xludf.DUMMYFUNCTION("""COMPUTED_VALUE"""),37.43)</f>
        <v>37.43</v>
      </c>
      <c r="E3100" s="17"/>
      <c r="M3100" s="17"/>
      <c r="P3100" s="17"/>
    </row>
    <row r="3101">
      <c r="B3101" s="11">
        <f>IFERROR(__xludf.DUMMYFUNCTION("""COMPUTED_VALUE"""),41527.666666666664)</f>
        <v>41527.66667</v>
      </c>
      <c r="C3101" s="9">
        <f>IFERROR(__xludf.DUMMYFUNCTION("""COMPUTED_VALUE"""),37.29)</f>
        <v>37.29</v>
      </c>
      <c r="E3101" s="17"/>
      <c r="M3101" s="17"/>
      <c r="P3101" s="17"/>
    </row>
    <row r="3102">
      <c r="B3102" s="11">
        <f>IFERROR(__xludf.DUMMYFUNCTION("""COMPUTED_VALUE"""),41526.666666666664)</f>
        <v>41526.66667</v>
      </c>
      <c r="C3102" s="9">
        <f>IFERROR(__xludf.DUMMYFUNCTION("""COMPUTED_VALUE"""),37.59)</f>
        <v>37.59</v>
      </c>
      <c r="E3102" s="17"/>
      <c r="M3102" s="17"/>
      <c r="P3102" s="17"/>
    </row>
    <row r="3103">
      <c r="B3103" s="11">
        <f>IFERROR(__xludf.DUMMYFUNCTION("""COMPUTED_VALUE"""),41523.666666666664)</f>
        <v>41523.66667</v>
      </c>
      <c r="C3103" s="9">
        <f>IFERROR(__xludf.DUMMYFUNCTION("""COMPUTED_VALUE"""),36.55)</f>
        <v>36.55</v>
      </c>
      <c r="E3103" s="17"/>
      <c r="M3103" s="17"/>
      <c r="P3103" s="17"/>
    </row>
    <row r="3104">
      <c r="B3104" s="11">
        <f>IFERROR(__xludf.DUMMYFUNCTION("""COMPUTED_VALUE"""),41522.666666666664)</f>
        <v>41522.66667</v>
      </c>
      <c r="C3104" s="9">
        <f>IFERROR(__xludf.DUMMYFUNCTION("""COMPUTED_VALUE"""),35.68)</f>
        <v>35.68</v>
      </c>
      <c r="E3104" s="17"/>
      <c r="M3104" s="17"/>
      <c r="P3104" s="17"/>
    </row>
    <row r="3105">
      <c r="B3105" s="11">
        <f>IFERROR(__xludf.DUMMYFUNCTION("""COMPUTED_VALUE"""),41521.666666666664)</f>
        <v>41521.66667</v>
      </c>
      <c r="C3105" s="9">
        <f>IFERROR(__xludf.DUMMYFUNCTION("""COMPUTED_VALUE"""),35.59)</f>
        <v>35.59</v>
      </c>
      <c r="E3105" s="17"/>
      <c r="M3105" s="17"/>
      <c r="P3105" s="17"/>
    </row>
    <row r="3106">
      <c r="B3106" s="11">
        <f>IFERROR(__xludf.DUMMYFUNCTION("""COMPUTED_VALUE"""),41520.666666666664)</f>
        <v>41520.66667</v>
      </c>
      <c r="C3106" s="9">
        <f>IFERROR(__xludf.DUMMYFUNCTION("""COMPUTED_VALUE"""),35.3)</f>
        <v>35.3</v>
      </c>
      <c r="E3106" s="17"/>
      <c r="M3106" s="17"/>
      <c r="P3106" s="17"/>
    </row>
    <row r="3107">
      <c r="B3107" s="11">
        <f>IFERROR(__xludf.DUMMYFUNCTION("""COMPUTED_VALUE"""),41516.666666666664)</f>
        <v>41516.66667</v>
      </c>
      <c r="C3107" s="9">
        <f>IFERROR(__xludf.DUMMYFUNCTION("""COMPUTED_VALUE"""),35.24)</f>
        <v>35.24</v>
      </c>
      <c r="E3107" s="17"/>
      <c r="M3107" s="17"/>
      <c r="P3107" s="17"/>
    </row>
    <row r="3108">
      <c r="B3108" s="11">
        <f>IFERROR(__xludf.DUMMYFUNCTION("""COMPUTED_VALUE"""),41515.666666666664)</f>
        <v>41515.66667</v>
      </c>
      <c r="C3108" s="9">
        <f>IFERROR(__xludf.DUMMYFUNCTION("""COMPUTED_VALUE"""),35.54)</f>
        <v>35.54</v>
      </c>
      <c r="E3108" s="17"/>
      <c r="M3108" s="17"/>
      <c r="P3108" s="17"/>
    </row>
    <row r="3109">
      <c r="B3109" s="11">
        <f>IFERROR(__xludf.DUMMYFUNCTION("""COMPUTED_VALUE"""),41514.666666666664)</f>
        <v>41514.66667</v>
      </c>
      <c r="C3109" s="9">
        <f>IFERROR(__xludf.DUMMYFUNCTION("""COMPUTED_VALUE"""),35.66)</f>
        <v>35.66</v>
      </c>
      <c r="E3109" s="17"/>
      <c r="M3109" s="17"/>
      <c r="P3109" s="17"/>
    </row>
    <row r="3110">
      <c r="B3110" s="11">
        <f>IFERROR(__xludf.DUMMYFUNCTION("""COMPUTED_VALUE"""),41513.666666666664)</f>
        <v>41513.66667</v>
      </c>
      <c r="C3110" s="9">
        <f>IFERROR(__xludf.DUMMYFUNCTION("""COMPUTED_VALUE"""),35.82)</f>
        <v>35.82</v>
      </c>
      <c r="E3110" s="17"/>
      <c r="M3110" s="17"/>
      <c r="P3110" s="17"/>
    </row>
    <row r="3111">
      <c r="B3111" s="11">
        <f>IFERROR(__xludf.DUMMYFUNCTION("""COMPUTED_VALUE"""),41512.666666666664)</f>
        <v>41512.66667</v>
      </c>
      <c r="C3111" s="9">
        <f>IFERROR(__xludf.DUMMYFUNCTION("""COMPUTED_VALUE"""),35.89)</f>
        <v>35.89</v>
      </c>
      <c r="E3111" s="17"/>
      <c r="M3111" s="17"/>
      <c r="P3111" s="17"/>
    </row>
    <row r="3112">
      <c r="B3112" s="11">
        <f>IFERROR(__xludf.DUMMYFUNCTION("""COMPUTED_VALUE"""),41509.666666666664)</f>
        <v>41509.66667</v>
      </c>
      <c r="C3112" s="9">
        <f>IFERROR(__xludf.DUMMYFUNCTION("""COMPUTED_VALUE"""),36.08)</f>
        <v>36.08</v>
      </c>
      <c r="E3112" s="17"/>
      <c r="M3112" s="17"/>
      <c r="P3112" s="17"/>
    </row>
    <row r="3113">
      <c r="B3113" s="11">
        <f>IFERROR(__xludf.DUMMYFUNCTION("""COMPUTED_VALUE"""),41508.666666666664)</f>
        <v>41508.66667</v>
      </c>
      <c r="C3113" s="9">
        <f>IFERROR(__xludf.DUMMYFUNCTION("""COMPUTED_VALUE"""),35.42)</f>
        <v>35.42</v>
      </c>
      <c r="E3113" s="17"/>
      <c r="M3113" s="17"/>
      <c r="P3113" s="17"/>
    </row>
    <row r="3114">
      <c r="B3114" s="11">
        <f>IFERROR(__xludf.DUMMYFUNCTION("""COMPUTED_VALUE"""),41507.666666666664)</f>
        <v>41507.66667</v>
      </c>
      <c r="C3114" s="9">
        <f>IFERROR(__xludf.DUMMYFUNCTION("""COMPUTED_VALUE"""),35.43)</f>
        <v>35.43</v>
      </c>
      <c r="E3114" s="17"/>
      <c r="M3114" s="17"/>
      <c r="P3114" s="17"/>
    </row>
    <row r="3115">
      <c r="B3115" s="11">
        <f>IFERROR(__xludf.DUMMYFUNCTION("""COMPUTED_VALUE"""),41506.666666666664)</f>
        <v>41506.66667</v>
      </c>
      <c r="C3115" s="9">
        <f>IFERROR(__xludf.DUMMYFUNCTION("""COMPUTED_VALUE"""),35.31)</f>
        <v>35.31</v>
      </c>
      <c r="E3115" s="17"/>
      <c r="M3115" s="17"/>
      <c r="P3115" s="17"/>
    </row>
    <row r="3116">
      <c r="B3116" s="11">
        <f>IFERROR(__xludf.DUMMYFUNCTION("""COMPUTED_VALUE"""),41505.666666666664)</f>
        <v>41505.66667</v>
      </c>
      <c r="C3116" s="9">
        <f>IFERROR(__xludf.DUMMYFUNCTION("""COMPUTED_VALUE"""),34.78)</f>
        <v>34.78</v>
      </c>
      <c r="E3116" s="17"/>
      <c r="M3116" s="17"/>
      <c r="P3116" s="17"/>
    </row>
    <row r="3117">
      <c r="B3117" s="11">
        <f>IFERROR(__xludf.DUMMYFUNCTION("""COMPUTED_VALUE"""),41502.666666666664)</f>
        <v>41502.66667</v>
      </c>
      <c r="C3117" s="9">
        <f>IFERROR(__xludf.DUMMYFUNCTION("""COMPUTED_VALUE"""),35.08)</f>
        <v>35.08</v>
      </c>
      <c r="E3117" s="17"/>
      <c r="M3117" s="17"/>
      <c r="P3117" s="17"/>
    </row>
    <row r="3118">
      <c r="B3118" s="11">
        <f>IFERROR(__xludf.DUMMYFUNCTION("""COMPUTED_VALUE"""),41501.666666666664)</f>
        <v>41501.66667</v>
      </c>
      <c r="C3118" s="9">
        <f>IFERROR(__xludf.DUMMYFUNCTION("""COMPUTED_VALUE"""),36.16)</f>
        <v>36.16</v>
      </c>
      <c r="E3118" s="17"/>
      <c r="M3118" s="17"/>
      <c r="P3118" s="17"/>
    </row>
    <row r="3119">
      <c r="B3119" s="11">
        <f>IFERROR(__xludf.DUMMYFUNCTION("""COMPUTED_VALUE"""),41500.666666666664)</f>
        <v>41500.66667</v>
      </c>
      <c r="C3119" s="9">
        <f>IFERROR(__xludf.DUMMYFUNCTION("""COMPUTED_VALUE"""),36.97)</f>
        <v>36.97</v>
      </c>
      <c r="E3119" s="17"/>
      <c r="M3119" s="17"/>
      <c r="P3119" s="17"/>
    </row>
    <row r="3120">
      <c r="B3120" s="11">
        <f>IFERROR(__xludf.DUMMYFUNCTION("""COMPUTED_VALUE"""),41499.666666666664)</f>
        <v>41499.66667</v>
      </c>
      <c r="C3120" s="9">
        <f>IFERROR(__xludf.DUMMYFUNCTION("""COMPUTED_VALUE"""),37.14)</f>
        <v>37.14</v>
      </c>
      <c r="E3120" s="17"/>
      <c r="M3120" s="17"/>
      <c r="P3120" s="17"/>
    </row>
    <row r="3121">
      <c r="B3121" s="11">
        <f>IFERROR(__xludf.DUMMYFUNCTION("""COMPUTED_VALUE"""),41498.666666666664)</f>
        <v>41498.66667</v>
      </c>
      <c r="C3121" s="9">
        <f>IFERROR(__xludf.DUMMYFUNCTION("""COMPUTED_VALUE"""),37.68)</f>
        <v>37.68</v>
      </c>
      <c r="E3121" s="17"/>
      <c r="M3121" s="17"/>
      <c r="P3121" s="17"/>
    </row>
    <row r="3122">
      <c r="B3122" s="11">
        <f>IFERROR(__xludf.DUMMYFUNCTION("""COMPUTED_VALUE"""),41495.666666666664)</f>
        <v>41495.66667</v>
      </c>
      <c r="C3122" s="9">
        <f>IFERROR(__xludf.DUMMYFUNCTION("""COMPUTED_VALUE"""),38.31)</f>
        <v>38.31</v>
      </c>
      <c r="E3122" s="17"/>
      <c r="M3122" s="17"/>
      <c r="P3122" s="17"/>
    </row>
    <row r="3123">
      <c r="B3123" s="11">
        <f>IFERROR(__xludf.DUMMYFUNCTION("""COMPUTED_VALUE"""),41494.666666666664)</f>
        <v>41494.66667</v>
      </c>
      <c r="C3123" s="9">
        <f>IFERROR(__xludf.DUMMYFUNCTION("""COMPUTED_VALUE"""),37.77)</f>
        <v>37.77</v>
      </c>
      <c r="E3123" s="17"/>
      <c r="M3123" s="17"/>
      <c r="P3123" s="17"/>
    </row>
    <row r="3124">
      <c r="B3124" s="11">
        <f>IFERROR(__xludf.DUMMYFUNCTION("""COMPUTED_VALUE"""),41493.666666666664)</f>
        <v>41493.66667</v>
      </c>
      <c r="C3124" s="9">
        <f>IFERROR(__xludf.DUMMYFUNCTION("""COMPUTED_VALUE"""),38.1)</f>
        <v>38.1</v>
      </c>
      <c r="E3124" s="17"/>
      <c r="M3124" s="17"/>
      <c r="P3124" s="17"/>
    </row>
    <row r="3125">
      <c r="B3125" s="11">
        <f>IFERROR(__xludf.DUMMYFUNCTION("""COMPUTED_VALUE"""),41492.666666666664)</f>
        <v>41492.66667</v>
      </c>
      <c r="C3125" s="9">
        <f>IFERROR(__xludf.DUMMYFUNCTION("""COMPUTED_VALUE"""),38.36)</f>
        <v>38.36</v>
      </c>
      <c r="E3125" s="17"/>
      <c r="M3125" s="17"/>
      <c r="P3125" s="17"/>
    </row>
    <row r="3126">
      <c r="B3126" s="11">
        <f>IFERROR(__xludf.DUMMYFUNCTION("""COMPUTED_VALUE"""),41491.666666666664)</f>
        <v>41491.66667</v>
      </c>
      <c r="C3126" s="9">
        <f>IFERROR(__xludf.DUMMYFUNCTION("""COMPUTED_VALUE"""),38.19)</f>
        <v>38.19</v>
      </c>
      <c r="E3126" s="17"/>
      <c r="M3126" s="17"/>
      <c r="P3126" s="17"/>
    </row>
    <row r="3127">
      <c r="B3127" s="11">
        <f>IFERROR(__xludf.DUMMYFUNCTION("""COMPUTED_VALUE"""),41488.666666666664)</f>
        <v>41488.66667</v>
      </c>
      <c r="C3127" s="9">
        <f>IFERROR(__xludf.DUMMYFUNCTION("""COMPUTED_VALUE"""),38.15)</f>
        <v>38.15</v>
      </c>
      <c r="E3127" s="17"/>
      <c r="M3127" s="17"/>
      <c r="P3127" s="17"/>
    </row>
    <row r="3128">
      <c r="B3128" s="11">
        <f>IFERROR(__xludf.DUMMYFUNCTION("""COMPUTED_VALUE"""),41487.666666666664)</f>
        <v>41487.66667</v>
      </c>
      <c r="C3128" s="9">
        <f>IFERROR(__xludf.DUMMYFUNCTION("""COMPUTED_VALUE"""),38.36)</f>
        <v>38.36</v>
      </c>
      <c r="E3128" s="17"/>
      <c r="M3128" s="17"/>
      <c r="P3128" s="17"/>
    </row>
    <row r="3129">
      <c r="B3129" s="11">
        <f>IFERROR(__xludf.DUMMYFUNCTION("""COMPUTED_VALUE"""),41486.666666666664)</f>
        <v>41486.66667</v>
      </c>
      <c r="C3129" s="9">
        <f>IFERROR(__xludf.DUMMYFUNCTION("""COMPUTED_VALUE"""),38.36)</f>
        <v>38.36</v>
      </c>
      <c r="E3129" s="17"/>
      <c r="M3129" s="17"/>
      <c r="P3129" s="17"/>
    </row>
    <row r="3130">
      <c r="B3130" s="11">
        <f>IFERROR(__xludf.DUMMYFUNCTION("""COMPUTED_VALUE"""),41485.666666666664)</f>
        <v>41485.66667</v>
      </c>
      <c r="C3130" s="9">
        <f>IFERROR(__xludf.DUMMYFUNCTION("""COMPUTED_VALUE"""),38.9)</f>
        <v>38.9</v>
      </c>
      <c r="E3130" s="17"/>
      <c r="M3130" s="17"/>
      <c r="P3130" s="17"/>
    </row>
    <row r="3131">
      <c r="B3131" s="11">
        <f>IFERROR(__xludf.DUMMYFUNCTION("""COMPUTED_VALUE"""),41484.666666666664)</f>
        <v>41484.66667</v>
      </c>
      <c r="C3131" s="9">
        <f>IFERROR(__xludf.DUMMYFUNCTION("""COMPUTED_VALUE"""),39.12)</f>
        <v>39.12</v>
      </c>
      <c r="E3131" s="17"/>
      <c r="M3131" s="17"/>
      <c r="P3131" s="17"/>
    </row>
    <row r="3132">
      <c r="B3132" s="11">
        <f>IFERROR(__xludf.DUMMYFUNCTION("""COMPUTED_VALUE"""),41481.666666666664)</f>
        <v>41481.66667</v>
      </c>
      <c r="C3132" s="9">
        <f>IFERROR(__xludf.DUMMYFUNCTION("""COMPUTED_VALUE"""),39.65)</f>
        <v>39.65</v>
      </c>
      <c r="E3132" s="17"/>
      <c r="M3132" s="17"/>
      <c r="P3132" s="17"/>
    </row>
    <row r="3133">
      <c r="B3133" s="11">
        <f>IFERROR(__xludf.DUMMYFUNCTION("""COMPUTED_VALUE"""),41480.666666666664)</f>
        <v>41480.66667</v>
      </c>
      <c r="C3133" s="9">
        <f>IFERROR(__xludf.DUMMYFUNCTION("""COMPUTED_VALUE"""),39.51)</f>
        <v>39.51</v>
      </c>
      <c r="E3133" s="17"/>
      <c r="M3133" s="17"/>
      <c r="P3133" s="17"/>
    </row>
    <row r="3134">
      <c r="B3134" s="11">
        <f>IFERROR(__xludf.DUMMYFUNCTION("""COMPUTED_VALUE"""),41479.666666666664)</f>
        <v>41479.66667</v>
      </c>
      <c r="C3134" s="9">
        <f>IFERROR(__xludf.DUMMYFUNCTION("""COMPUTED_VALUE"""),39.86)</f>
        <v>39.86</v>
      </c>
      <c r="E3134" s="17"/>
      <c r="M3134" s="17"/>
      <c r="P3134" s="17"/>
    </row>
    <row r="3135">
      <c r="B3135" s="11">
        <f>IFERROR(__xludf.DUMMYFUNCTION("""COMPUTED_VALUE"""),41478.666666666664)</f>
        <v>41478.66667</v>
      </c>
      <c r="C3135" s="9">
        <f>IFERROR(__xludf.DUMMYFUNCTION("""COMPUTED_VALUE"""),40.27)</f>
        <v>40.27</v>
      </c>
      <c r="E3135" s="17"/>
      <c r="M3135" s="17"/>
      <c r="P3135" s="17"/>
    </row>
    <row r="3136">
      <c r="B3136" s="11">
        <f>IFERROR(__xludf.DUMMYFUNCTION("""COMPUTED_VALUE"""),41477.666666666664)</f>
        <v>41477.66667</v>
      </c>
      <c r="C3136" s="9">
        <f>IFERROR(__xludf.DUMMYFUNCTION("""COMPUTED_VALUE"""),40.44)</f>
        <v>40.44</v>
      </c>
      <c r="E3136" s="17"/>
      <c r="M3136" s="17"/>
      <c r="P3136" s="17"/>
    </row>
    <row r="3137">
      <c r="B3137" s="11">
        <f>IFERROR(__xludf.DUMMYFUNCTION("""COMPUTED_VALUE"""),41474.666666666664)</f>
        <v>41474.66667</v>
      </c>
      <c r="C3137" s="9">
        <f>IFERROR(__xludf.DUMMYFUNCTION("""COMPUTED_VALUE"""),40.36)</f>
        <v>40.36</v>
      </c>
      <c r="E3137" s="17"/>
      <c r="M3137" s="17"/>
      <c r="P3137" s="17"/>
    </row>
    <row r="3138">
      <c r="B3138" s="11">
        <f>IFERROR(__xludf.DUMMYFUNCTION("""COMPUTED_VALUE"""),41473.666666666664)</f>
        <v>41473.66667</v>
      </c>
      <c r="C3138" s="9">
        <f>IFERROR(__xludf.DUMMYFUNCTION("""COMPUTED_VALUE"""),40.44)</f>
        <v>40.44</v>
      </c>
      <c r="E3138" s="17"/>
      <c r="M3138" s="17"/>
      <c r="P3138" s="17"/>
    </row>
    <row r="3139">
      <c r="B3139" s="11">
        <f>IFERROR(__xludf.DUMMYFUNCTION("""COMPUTED_VALUE"""),41472.666666666664)</f>
        <v>41472.66667</v>
      </c>
      <c r="C3139" s="9">
        <f>IFERROR(__xludf.DUMMYFUNCTION("""COMPUTED_VALUE"""),39.97)</f>
        <v>39.97</v>
      </c>
      <c r="E3139" s="17"/>
      <c r="M3139" s="17"/>
      <c r="P3139" s="17"/>
    </row>
    <row r="3140">
      <c r="B3140" s="11">
        <f>IFERROR(__xludf.DUMMYFUNCTION("""COMPUTED_VALUE"""),41471.666666666664)</f>
        <v>41471.66667</v>
      </c>
      <c r="C3140" s="9">
        <f>IFERROR(__xludf.DUMMYFUNCTION("""COMPUTED_VALUE"""),39.3)</f>
        <v>39.3</v>
      </c>
      <c r="E3140" s="17"/>
      <c r="M3140" s="17"/>
      <c r="P3140" s="17"/>
    </row>
    <row r="3141">
      <c r="B3141" s="11">
        <f>IFERROR(__xludf.DUMMYFUNCTION("""COMPUTED_VALUE"""),41470.666666666664)</f>
        <v>41470.66667</v>
      </c>
      <c r="C3141" s="9">
        <f>IFERROR(__xludf.DUMMYFUNCTION("""COMPUTED_VALUE"""),39.27)</f>
        <v>39.27</v>
      </c>
      <c r="E3141" s="17"/>
      <c r="M3141" s="17"/>
      <c r="P3141" s="17"/>
    </row>
    <row r="3142">
      <c r="B3142" s="11">
        <f>IFERROR(__xludf.DUMMYFUNCTION("""COMPUTED_VALUE"""),41467.666666666664)</f>
        <v>41467.66667</v>
      </c>
      <c r="C3142" s="9">
        <f>IFERROR(__xludf.DUMMYFUNCTION("""COMPUTED_VALUE"""),38.96)</f>
        <v>38.96</v>
      </c>
      <c r="E3142" s="17"/>
      <c r="M3142" s="17"/>
      <c r="P3142" s="17"/>
    </row>
    <row r="3143">
      <c r="B3143" s="11">
        <f>IFERROR(__xludf.DUMMYFUNCTION("""COMPUTED_VALUE"""),41466.666666666664)</f>
        <v>41466.66667</v>
      </c>
      <c r="C3143" s="9">
        <f>IFERROR(__xludf.DUMMYFUNCTION("""COMPUTED_VALUE"""),39.24)</f>
        <v>39.24</v>
      </c>
      <c r="E3143" s="17"/>
      <c r="M3143" s="17"/>
      <c r="P3143" s="17"/>
    </row>
    <row r="3144">
      <c r="B3144" s="11">
        <f>IFERROR(__xludf.DUMMYFUNCTION("""COMPUTED_VALUE"""),41465.666666666664)</f>
        <v>41465.66667</v>
      </c>
      <c r="C3144" s="9">
        <f>IFERROR(__xludf.DUMMYFUNCTION("""COMPUTED_VALUE"""),38.26)</f>
        <v>38.26</v>
      </c>
      <c r="E3144" s="17"/>
      <c r="M3144" s="17"/>
      <c r="P3144" s="17"/>
    </row>
    <row r="3145">
      <c r="B3145" s="11">
        <f>IFERROR(__xludf.DUMMYFUNCTION("""COMPUTED_VALUE"""),41464.666666666664)</f>
        <v>41464.66667</v>
      </c>
      <c r="C3145" s="9">
        <f>IFERROR(__xludf.DUMMYFUNCTION("""COMPUTED_VALUE"""),38.32)</f>
        <v>38.32</v>
      </c>
      <c r="E3145" s="17"/>
      <c r="M3145" s="17"/>
      <c r="P3145" s="17"/>
    </row>
    <row r="3146">
      <c r="B3146" s="11">
        <f>IFERROR(__xludf.DUMMYFUNCTION("""COMPUTED_VALUE"""),41463.666666666664)</f>
        <v>41463.66667</v>
      </c>
      <c r="C3146" s="9">
        <f>IFERROR(__xludf.DUMMYFUNCTION("""COMPUTED_VALUE"""),37.59)</f>
        <v>37.59</v>
      </c>
      <c r="E3146" s="17"/>
      <c r="M3146" s="17"/>
      <c r="P3146" s="17"/>
    </row>
    <row r="3147">
      <c r="B3147" s="11">
        <f>IFERROR(__xludf.DUMMYFUNCTION("""COMPUTED_VALUE"""),41460.666666666664)</f>
        <v>41460.66667</v>
      </c>
      <c r="C3147" s="9">
        <f>IFERROR(__xludf.DUMMYFUNCTION("""COMPUTED_VALUE"""),37.5)</f>
        <v>37.5</v>
      </c>
      <c r="E3147" s="17"/>
      <c r="M3147" s="17"/>
      <c r="P3147" s="17"/>
    </row>
    <row r="3148">
      <c r="B3148" s="11">
        <f>IFERROR(__xludf.DUMMYFUNCTION("""COMPUTED_VALUE"""),41458.666666666664)</f>
        <v>41458.66667</v>
      </c>
      <c r="C3148" s="9">
        <f>IFERROR(__xludf.DUMMYFUNCTION("""COMPUTED_VALUE"""),37.46)</f>
        <v>37.46</v>
      </c>
      <c r="E3148" s="17"/>
      <c r="M3148" s="17"/>
      <c r="P3148" s="17"/>
    </row>
    <row r="3149">
      <c r="B3149" s="11">
        <f>IFERROR(__xludf.DUMMYFUNCTION("""COMPUTED_VALUE"""),41457.666666666664)</f>
        <v>41457.66667</v>
      </c>
      <c r="C3149" s="9">
        <f>IFERROR(__xludf.DUMMYFUNCTION("""COMPUTED_VALUE"""),37.99)</f>
        <v>37.99</v>
      </c>
      <c r="E3149" s="17"/>
      <c r="M3149" s="17"/>
      <c r="P3149" s="17"/>
    </row>
    <row r="3150">
      <c r="B3150" s="11">
        <f>IFERROR(__xludf.DUMMYFUNCTION("""COMPUTED_VALUE"""),41456.666666666664)</f>
        <v>41456.66667</v>
      </c>
      <c r="C3150" s="9">
        <f>IFERROR(__xludf.DUMMYFUNCTION("""COMPUTED_VALUE"""),37.57)</f>
        <v>37.57</v>
      </c>
      <c r="E3150" s="17"/>
      <c r="M3150" s="17"/>
      <c r="P3150" s="17"/>
    </row>
    <row r="3151">
      <c r="B3151" s="11">
        <f>IFERROR(__xludf.DUMMYFUNCTION("""COMPUTED_VALUE"""),41453.666666666664)</f>
        <v>41453.66667</v>
      </c>
      <c r="C3151" s="9">
        <f>IFERROR(__xludf.DUMMYFUNCTION("""COMPUTED_VALUE"""),37.72)</f>
        <v>37.72</v>
      </c>
      <c r="E3151" s="17"/>
      <c r="M3151" s="17"/>
      <c r="P3151" s="17"/>
    </row>
    <row r="3152">
      <c r="B3152" s="11">
        <f>IFERROR(__xludf.DUMMYFUNCTION("""COMPUTED_VALUE"""),41452.666666666664)</f>
        <v>41452.66667</v>
      </c>
      <c r="C3152" s="9">
        <f>IFERROR(__xludf.DUMMYFUNCTION("""COMPUTED_VALUE"""),38.02)</f>
        <v>38.02</v>
      </c>
      <c r="E3152" s="17"/>
      <c r="M3152" s="17"/>
      <c r="P3152" s="17"/>
    </row>
    <row r="3153">
      <c r="B3153" s="11">
        <f>IFERROR(__xludf.DUMMYFUNCTION("""COMPUTED_VALUE"""),41451.666666666664)</f>
        <v>41451.66667</v>
      </c>
      <c r="C3153" s="9">
        <f>IFERROR(__xludf.DUMMYFUNCTION("""COMPUTED_VALUE"""),37.13)</f>
        <v>37.13</v>
      </c>
      <c r="E3153" s="17"/>
      <c r="M3153" s="17"/>
      <c r="P3153" s="17"/>
    </row>
    <row r="3154">
      <c r="B3154" s="11">
        <f>IFERROR(__xludf.DUMMYFUNCTION("""COMPUTED_VALUE"""),41450.666666666664)</f>
        <v>41450.66667</v>
      </c>
      <c r="C3154" s="9">
        <f>IFERROR(__xludf.DUMMYFUNCTION("""COMPUTED_VALUE"""),36.92)</f>
        <v>36.92</v>
      </c>
      <c r="E3154" s="17"/>
      <c r="M3154" s="17"/>
      <c r="P3154" s="17"/>
    </row>
    <row r="3155">
      <c r="B3155" s="11">
        <f>IFERROR(__xludf.DUMMYFUNCTION("""COMPUTED_VALUE"""),41449.666666666664)</f>
        <v>41449.66667</v>
      </c>
      <c r="C3155" s="9">
        <f>IFERROR(__xludf.DUMMYFUNCTION("""COMPUTED_VALUE"""),35.84)</f>
        <v>35.84</v>
      </c>
      <c r="E3155" s="17"/>
      <c r="M3155" s="17"/>
      <c r="P3155" s="17"/>
    </row>
    <row r="3156">
      <c r="B3156" s="11">
        <f>IFERROR(__xludf.DUMMYFUNCTION("""COMPUTED_VALUE"""),41446.666666666664)</f>
        <v>41446.66667</v>
      </c>
      <c r="C3156" s="9">
        <f>IFERROR(__xludf.DUMMYFUNCTION("""COMPUTED_VALUE"""),36.36)</f>
        <v>36.36</v>
      </c>
      <c r="E3156" s="17"/>
      <c r="M3156" s="17"/>
      <c r="P3156" s="17"/>
    </row>
    <row r="3157">
      <c r="B3157" s="11">
        <f>IFERROR(__xludf.DUMMYFUNCTION("""COMPUTED_VALUE"""),41445.666666666664)</f>
        <v>41445.66667</v>
      </c>
      <c r="C3157" s="9">
        <f>IFERROR(__xludf.DUMMYFUNCTION("""COMPUTED_VALUE"""),35.6)</f>
        <v>35.6</v>
      </c>
      <c r="E3157" s="17"/>
      <c r="M3157" s="17"/>
      <c r="P3157" s="17"/>
    </row>
    <row r="3158">
      <c r="B3158" s="11">
        <f>IFERROR(__xludf.DUMMYFUNCTION("""COMPUTED_VALUE"""),41444.666666666664)</f>
        <v>41444.66667</v>
      </c>
      <c r="C3158" s="9">
        <f>IFERROR(__xludf.DUMMYFUNCTION("""COMPUTED_VALUE"""),36.96)</f>
        <v>36.96</v>
      </c>
      <c r="E3158" s="17"/>
      <c r="M3158" s="17"/>
      <c r="P3158" s="17"/>
    </row>
    <row r="3159">
      <c r="B3159" s="11">
        <f>IFERROR(__xludf.DUMMYFUNCTION("""COMPUTED_VALUE"""),41443.666666666664)</f>
        <v>41443.66667</v>
      </c>
      <c r="C3159" s="9">
        <f>IFERROR(__xludf.DUMMYFUNCTION("""COMPUTED_VALUE"""),38.34)</f>
        <v>38.34</v>
      </c>
      <c r="E3159" s="17"/>
      <c r="M3159" s="17"/>
      <c r="P3159" s="17"/>
    </row>
    <row r="3160">
      <c r="B3160" s="11">
        <f>IFERROR(__xludf.DUMMYFUNCTION("""COMPUTED_VALUE"""),41442.666666666664)</f>
        <v>41442.66667</v>
      </c>
      <c r="C3160" s="9">
        <f>IFERROR(__xludf.DUMMYFUNCTION("""COMPUTED_VALUE"""),38.46)</f>
        <v>38.46</v>
      </c>
      <c r="E3160" s="17"/>
      <c r="M3160" s="17"/>
      <c r="P3160" s="17"/>
    </row>
    <row r="3161">
      <c r="B3161" s="11">
        <f>IFERROR(__xludf.DUMMYFUNCTION("""COMPUTED_VALUE"""),41439.666666666664)</f>
        <v>41439.66667</v>
      </c>
      <c r="C3161" s="9">
        <f>IFERROR(__xludf.DUMMYFUNCTION("""COMPUTED_VALUE"""),38.48)</f>
        <v>38.48</v>
      </c>
      <c r="E3161" s="17"/>
      <c r="M3161" s="17"/>
      <c r="P3161" s="17"/>
    </row>
    <row r="3162">
      <c r="B3162" s="11">
        <f>IFERROR(__xludf.DUMMYFUNCTION("""COMPUTED_VALUE"""),41438.666666666664)</f>
        <v>41438.66667</v>
      </c>
      <c r="C3162" s="9">
        <f>IFERROR(__xludf.DUMMYFUNCTION("""COMPUTED_VALUE"""),38.27)</f>
        <v>38.27</v>
      </c>
      <c r="E3162" s="17"/>
      <c r="M3162" s="17"/>
      <c r="P3162" s="17"/>
    </row>
    <row r="3163">
      <c r="B3163" s="11">
        <f>IFERROR(__xludf.DUMMYFUNCTION("""COMPUTED_VALUE"""),41437.666666666664)</f>
        <v>41437.66667</v>
      </c>
      <c r="C3163" s="9">
        <f>IFERROR(__xludf.DUMMYFUNCTION("""COMPUTED_VALUE"""),37.12)</f>
        <v>37.12</v>
      </c>
      <c r="E3163" s="17"/>
      <c r="M3163" s="17"/>
      <c r="P3163" s="17"/>
    </row>
    <row r="3164">
      <c r="B3164" s="11">
        <f>IFERROR(__xludf.DUMMYFUNCTION("""COMPUTED_VALUE"""),41436.666666666664)</f>
        <v>41436.66667</v>
      </c>
      <c r="C3164" s="9">
        <f>IFERROR(__xludf.DUMMYFUNCTION("""COMPUTED_VALUE"""),37.46)</f>
        <v>37.46</v>
      </c>
      <c r="E3164" s="17"/>
      <c r="M3164" s="17"/>
      <c r="P3164" s="17"/>
    </row>
    <row r="3165">
      <c r="B3165" s="11">
        <f>IFERROR(__xludf.DUMMYFUNCTION("""COMPUTED_VALUE"""),41435.666666666664)</f>
        <v>41435.66667</v>
      </c>
      <c r="C3165" s="9">
        <f>IFERROR(__xludf.DUMMYFUNCTION("""COMPUTED_VALUE"""),38.15)</f>
        <v>38.15</v>
      </c>
      <c r="E3165" s="17"/>
      <c r="M3165" s="17"/>
      <c r="P3165" s="17"/>
    </row>
    <row r="3166">
      <c r="B3166" s="11">
        <f>IFERROR(__xludf.DUMMYFUNCTION("""COMPUTED_VALUE"""),41432.666666666664)</f>
        <v>41432.66667</v>
      </c>
      <c r="C3166" s="9">
        <f>IFERROR(__xludf.DUMMYFUNCTION("""COMPUTED_VALUE"""),39.03)</f>
        <v>39.03</v>
      </c>
      <c r="E3166" s="17"/>
      <c r="M3166" s="17"/>
      <c r="P3166" s="17"/>
    </row>
    <row r="3167">
      <c r="B3167" s="11">
        <f>IFERROR(__xludf.DUMMYFUNCTION("""COMPUTED_VALUE"""),41431.666666666664)</f>
        <v>41431.66667</v>
      </c>
      <c r="C3167" s="9">
        <f>IFERROR(__xludf.DUMMYFUNCTION("""COMPUTED_VALUE"""),39.26)</f>
        <v>39.26</v>
      </c>
      <c r="E3167" s="17"/>
      <c r="M3167" s="17"/>
      <c r="P3167" s="17"/>
    </row>
    <row r="3168">
      <c r="B3168" s="11">
        <f>IFERROR(__xludf.DUMMYFUNCTION("""COMPUTED_VALUE"""),41430.666666666664)</f>
        <v>41430.66667</v>
      </c>
      <c r="C3168" s="9">
        <f>IFERROR(__xludf.DUMMYFUNCTION("""COMPUTED_VALUE"""),38.86)</f>
        <v>38.86</v>
      </c>
      <c r="E3168" s="17"/>
      <c r="M3168" s="17"/>
      <c r="P3168" s="17"/>
    </row>
    <row r="3169">
      <c r="B3169" s="11">
        <f>IFERROR(__xludf.DUMMYFUNCTION("""COMPUTED_VALUE"""),41429.666666666664)</f>
        <v>41429.66667</v>
      </c>
      <c r="C3169" s="9">
        <f>IFERROR(__xludf.DUMMYFUNCTION("""COMPUTED_VALUE"""),39.42)</f>
        <v>39.42</v>
      </c>
      <c r="E3169" s="17"/>
      <c r="M3169" s="17"/>
      <c r="P3169" s="17"/>
    </row>
    <row r="3170">
      <c r="B3170" s="11">
        <f>IFERROR(__xludf.DUMMYFUNCTION("""COMPUTED_VALUE"""),41428.666666666664)</f>
        <v>41428.66667</v>
      </c>
      <c r="C3170" s="9">
        <f>IFERROR(__xludf.DUMMYFUNCTION("""COMPUTED_VALUE"""),40.42)</f>
        <v>40.42</v>
      </c>
      <c r="E3170" s="17"/>
      <c r="M3170" s="17"/>
      <c r="P3170" s="17"/>
    </row>
    <row r="3171">
      <c r="B3171" s="11">
        <f>IFERROR(__xludf.DUMMYFUNCTION("""COMPUTED_VALUE"""),41425.666666666664)</f>
        <v>41425.66667</v>
      </c>
      <c r="C3171" s="9">
        <f>IFERROR(__xludf.DUMMYFUNCTION("""COMPUTED_VALUE"""),40.3)</f>
        <v>40.3</v>
      </c>
      <c r="E3171" s="17"/>
      <c r="M3171" s="17"/>
      <c r="P3171" s="17"/>
    </row>
    <row r="3172">
      <c r="B3172" s="11">
        <f>IFERROR(__xludf.DUMMYFUNCTION("""COMPUTED_VALUE"""),41424.666666666664)</f>
        <v>41424.66667</v>
      </c>
      <c r="C3172" s="9">
        <f>IFERROR(__xludf.DUMMYFUNCTION("""COMPUTED_VALUE"""),41.1)</f>
        <v>41.1</v>
      </c>
      <c r="E3172" s="17"/>
      <c r="M3172" s="17"/>
      <c r="P3172" s="17"/>
    </row>
    <row r="3173">
      <c r="B3173" s="11">
        <f>IFERROR(__xludf.DUMMYFUNCTION("""COMPUTED_VALUE"""),41423.666666666664)</f>
        <v>41423.66667</v>
      </c>
      <c r="C3173" s="9">
        <f>IFERROR(__xludf.DUMMYFUNCTION("""COMPUTED_VALUE"""),41.86)</f>
        <v>41.86</v>
      </c>
      <c r="E3173" s="17"/>
      <c r="M3173" s="17"/>
      <c r="P3173" s="17"/>
    </row>
    <row r="3174">
      <c r="B3174" s="11">
        <f>IFERROR(__xludf.DUMMYFUNCTION("""COMPUTED_VALUE"""),41422.666666666664)</f>
        <v>41422.66667</v>
      </c>
      <c r="C3174" s="9">
        <f>IFERROR(__xludf.DUMMYFUNCTION("""COMPUTED_VALUE"""),42.44)</f>
        <v>42.44</v>
      </c>
      <c r="E3174" s="17"/>
      <c r="M3174" s="17"/>
      <c r="P3174" s="17"/>
    </row>
    <row r="3175">
      <c r="B3175" s="11">
        <f>IFERROR(__xludf.DUMMYFUNCTION("""COMPUTED_VALUE"""),41418.666666666664)</f>
        <v>41418.66667</v>
      </c>
      <c r="C3175" s="9">
        <f>IFERROR(__xludf.DUMMYFUNCTION("""COMPUTED_VALUE"""),42.45)</f>
        <v>42.45</v>
      </c>
      <c r="E3175" s="17"/>
      <c r="M3175" s="17"/>
      <c r="P3175" s="17"/>
    </row>
    <row r="3176">
      <c r="B3176" s="11">
        <f>IFERROR(__xludf.DUMMYFUNCTION("""COMPUTED_VALUE"""),41417.666666666664)</f>
        <v>41417.66667</v>
      </c>
      <c r="C3176" s="9">
        <f>IFERROR(__xludf.DUMMYFUNCTION("""COMPUTED_VALUE"""),42.38)</f>
        <v>42.38</v>
      </c>
      <c r="E3176" s="17"/>
      <c r="M3176" s="17"/>
      <c r="P3176" s="17"/>
    </row>
    <row r="3177">
      <c r="B3177" s="11">
        <f>IFERROR(__xludf.DUMMYFUNCTION("""COMPUTED_VALUE"""),41416.666666666664)</f>
        <v>41416.66667</v>
      </c>
      <c r="C3177" s="9">
        <f>IFERROR(__xludf.DUMMYFUNCTION("""COMPUTED_VALUE"""),43.5)</f>
        <v>43.5</v>
      </c>
      <c r="E3177" s="17"/>
      <c r="M3177" s="17"/>
      <c r="P3177" s="17"/>
    </row>
    <row r="3178">
      <c r="B3178" s="11">
        <f>IFERROR(__xludf.DUMMYFUNCTION("""COMPUTED_VALUE"""),41415.666666666664)</f>
        <v>41415.66667</v>
      </c>
      <c r="C3178" s="9">
        <f>IFERROR(__xludf.DUMMYFUNCTION("""COMPUTED_VALUE"""),44.77)</f>
        <v>44.77</v>
      </c>
      <c r="E3178" s="17"/>
      <c r="M3178" s="17"/>
      <c r="P3178" s="17"/>
    </row>
    <row r="3179">
      <c r="B3179" s="11">
        <f>IFERROR(__xludf.DUMMYFUNCTION("""COMPUTED_VALUE"""),41414.666666666664)</f>
        <v>41414.66667</v>
      </c>
      <c r="C3179" s="9">
        <f>IFERROR(__xludf.DUMMYFUNCTION("""COMPUTED_VALUE"""),44.18)</f>
        <v>44.18</v>
      </c>
      <c r="E3179" s="17"/>
      <c r="M3179" s="17"/>
      <c r="P3179" s="17"/>
    </row>
    <row r="3180">
      <c r="B3180" s="11">
        <f>IFERROR(__xludf.DUMMYFUNCTION("""COMPUTED_VALUE"""),41411.666666666664)</f>
        <v>41411.66667</v>
      </c>
      <c r="C3180" s="9">
        <f>IFERROR(__xludf.DUMMYFUNCTION("""COMPUTED_VALUE"""),43.87)</f>
        <v>43.87</v>
      </c>
      <c r="E3180" s="17"/>
      <c r="M3180" s="17"/>
      <c r="P3180" s="17"/>
    </row>
    <row r="3181">
      <c r="B3181" s="11">
        <f>IFERROR(__xludf.DUMMYFUNCTION("""COMPUTED_VALUE"""),41410.666666666664)</f>
        <v>41410.66667</v>
      </c>
      <c r="C3181" s="9">
        <f>IFERROR(__xludf.DUMMYFUNCTION("""COMPUTED_VALUE"""),43.87)</f>
        <v>43.87</v>
      </c>
      <c r="E3181" s="17"/>
      <c r="M3181" s="17"/>
      <c r="P3181" s="17"/>
    </row>
    <row r="3182">
      <c r="B3182" s="11">
        <f>IFERROR(__xludf.DUMMYFUNCTION("""COMPUTED_VALUE"""),41409.666666666664)</f>
        <v>41409.66667</v>
      </c>
      <c r="C3182" s="9">
        <f>IFERROR(__xludf.DUMMYFUNCTION("""COMPUTED_VALUE"""),43.84)</f>
        <v>43.84</v>
      </c>
      <c r="E3182" s="17"/>
      <c r="M3182" s="17"/>
      <c r="P3182" s="17"/>
    </row>
    <row r="3183">
      <c r="B3183" s="11">
        <f>IFERROR(__xludf.DUMMYFUNCTION("""COMPUTED_VALUE"""),41408.666666666664)</f>
        <v>41408.66667</v>
      </c>
      <c r="C3183" s="9">
        <f>IFERROR(__xludf.DUMMYFUNCTION("""COMPUTED_VALUE"""),43.37)</f>
        <v>43.37</v>
      </c>
      <c r="E3183" s="17"/>
      <c r="M3183" s="17"/>
      <c r="P3183" s="17"/>
    </row>
    <row r="3184">
      <c r="B3184" s="11">
        <f>IFERROR(__xludf.DUMMYFUNCTION("""COMPUTED_VALUE"""),41407.666666666664)</f>
        <v>41407.66667</v>
      </c>
      <c r="C3184" s="9">
        <f>IFERROR(__xludf.DUMMYFUNCTION("""COMPUTED_VALUE"""),43.24)</f>
        <v>43.24</v>
      </c>
      <c r="E3184" s="17"/>
      <c r="M3184" s="17"/>
      <c r="P3184" s="17"/>
    </row>
    <row r="3185">
      <c r="B3185" s="11">
        <f>IFERROR(__xludf.DUMMYFUNCTION("""COMPUTED_VALUE"""),41404.666666666664)</f>
        <v>41404.66667</v>
      </c>
      <c r="C3185" s="9">
        <f>IFERROR(__xludf.DUMMYFUNCTION("""COMPUTED_VALUE"""),43.32)</f>
        <v>43.32</v>
      </c>
      <c r="E3185" s="17"/>
      <c r="M3185" s="17"/>
      <c r="P3185" s="17"/>
    </row>
    <row r="3186">
      <c r="B3186" s="11">
        <f>IFERROR(__xludf.DUMMYFUNCTION("""COMPUTED_VALUE"""),41403.666666666664)</f>
        <v>41403.66667</v>
      </c>
      <c r="C3186" s="9">
        <f>IFERROR(__xludf.DUMMYFUNCTION("""COMPUTED_VALUE"""),42.91)</f>
        <v>42.91</v>
      </c>
      <c r="E3186" s="17"/>
      <c r="M3186" s="17"/>
      <c r="P3186" s="17"/>
    </row>
    <row r="3187">
      <c r="B3187" s="11">
        <f>IFERROR(__xludf.DUMMYFUNCTION("""COMPUTED_VALUE"""),41402.666666666664)</f>
        <v>41402.66667</v>
      </c>
      <c r="C3187" s="9">
        <f>IFERROR(__xludf.DUMMYFUNCTION("""COMPUTED_VALUE"""),43.11)</f>
        <v>43.11</v>
      </c>
      <c r="E3187" s="17"/>
      <c r="M3187" s="17"/>
      <c r="P3187" s="17"/>
    </row>
    <row r="3188">
      <c r="B3188" s="11">
        <f>IFERROR(__xludf.DUMMYFUNCTION("""COMPUTED_VALUE"""),41401.666666666664)</f>
        <v>41401.66667</v>
      </c>
      <c r="C3188" s="9">
        <f>IFERROR(__xludf.DUMMYFUNCTION("""COMPUTED_VALUE"""),42.98)</f>
        <v>42.98</v>
      </c>
      <c r="E3188" s="17"/>
      <c r="M3188" s="17"/>
      <c r="P3188" s="17"/>
    </row>
    <row r="3189">
      <c r="B3189" s="11">
        <f>IFERROR(__xludf.DUMMYFUNCTION("""COMPUTED_VALUE"""),41400.666666666664)</f>
        <v>41400.66667</v>
      </c>
      <c r="C3189" s="9">
        <f>IFERROR(__xludf.DUMMYFUNCTION("""COMPUTED_VALUE"""),42.86)</f>
        <v>42.86</v>
      </c>
      <c r="E3189" s="17"/>
      <c r="M3189" s="17"/>
      <c r="P3189" s="17"/>
    </row>
    <row r="3190">
      <c r="B3190" s="11">
        <f>IFERROR(__xludf.DUMMYFUNCTION("""COMPUTED_VALUE"""),41397.666666666664)</f>
        <v>41397.66667</v>
      </c>
      <c r="C3190" s="9">
        <f>IFERROR(__xludf.DUMMYFUNCTION("""COMPUTED_VALUE"""),42.74)</f>
        <v>42.74</v>
      </c>
      <c r="E3190" s="17"/>
      <c r="M3190" s="17"/>
      <c r="P3190" s="17"/>
    </row>
    <row r="3191">
      <c r="B3191" s="11">
        <f>IFERROR(__xludf.DUMMYFUNCTION("""COMPUTED_VALUE"""),41396.666666666664)</f>
        <v>41396.66667</v>
      </c>
      <c r="C3191" s="9">
        <f>IFERROR(__xludf.DUMMYFUNCTION("""COMPUTED_VALUE"""),42.38)</f>
        <v>42.38</v>
      </c>
      <c r="E3191" s="17"/>
      <c r="M3191" s="17"/>
      <c r="P3191" s="17"/>
    </row>
    <row r="3192">
      <c r="B3192" s="11">
        <f>IFERROR(__xludf.DUMMYFUNCTION("""COMPUTED_VALUE"""),41395.666666666664)</f>
        <v>41395.66667</v>
      </c>
      <c r="C3192" s="9">
        <f>IFERROR(__xludf.DUMMYFUNCTION("""COMPUTED_VALUE"""),41.91)</f>
        <v>41.91</v>
      </c>
      <c r="E3192" s="17"/>
      <c r="M3192" s="17"/>
      <c r="P3192" s="17"/>
    </row>
    <row r="3193">
      <c r="B3193" s="11">
        <f>IFERROR(__xludf.DUMMYFUNCTION("""COMPUTED_VALUE"""),41394.666666666664)</f>
        <v>41394.66667</v>
      </c>
      <c r="C3193" s="9">
        <f>IFERROR(__xludf.DUMMYFUNCTION("""COMPUTED_VALUE"""),41.95)</f>
        <v>41.95</v>
      </c>
      <c r="E3193" s="17"/>
      <c r="M3193" s="17"/>
      <c r="P3193" s="17"/>
    </row>
    <row r="3194">
      <c r="B3194" s="11">
        <f>IFERROR(__xludf.DUMMYFUNCTION("""COMPUTED_VALUE"""),41393.666666666664)</f>
        <v>41393.66667</v>
      </c>
      <c r="C3194" s="9">
        <f>IFERROR(__xludf.DUMMYFUNCTION("""COMPUTED_VALUE"""),41.72)</f>
        <v>41.72</v>
      </c>
      <c r="E3194" s="17"/>
      <c r="M3194" s="17"/>
      <c r="P3194" s="17"/>
    </row>
    <row r="3195">
      <c r="B3195" s="11">
        <f>IFERROR(__xludf.DUMMYFUNCTION("""COMPUTED_VALUE"""),41390.666666666664)</f>
        <v>41390.66667</v>
      </c>
      <c r="C3195" s="9">
        <f>IFERROR(__xludf.DUMMYFUNCTION("""COMPUTED_VALUE"""),41.6)</f>
        <v>41.6</v>
      </c>
      <c r="E3195" s="17"/>
      <c r="M3195" s="17"/>
      <c r="P3195" s="17"/>
    </row>
    <row r="3196">
      <c r="B3196" s="11">
        <f>IFERROR(__xludf.DUMMYFUNCTION("""COMPUTED_VALUE"""),41389.666666666664)</f>
        <v>41389.66667</v>
      </c>
      <c r="C3196" s="9">
        <f>IFERROR(__xludf.DUMMYFUNCTION("""COMPUTED_VALUE"""),41.45)</f>
        <v>41.45</v>
      </c>
      <c r="E3196" s="17"/>
      <c r="M3196" s="17"/>
      <c r="P3196" s="17"/>
    </row>
    <row r="3197">
      <c r="B3197" s="11">
        <f>IFERROR(__xludf.DUMMYFUNCTION("""COMPUTED_VALUE"""),41388.666666666664)</f>
        <v>41388.66667</v>
      </c>
      <c r="C3197" s="9">
        <f>IFERROR(__xludf.DUMMYFUNCTION("""COMPUTED_VALUE"""),42.68)</f>
        <v>42.68</v>
      </c>
      <c r="E3197" s="17"/>
      <c r="M3197" s="17"/>
      <c r="P3197" s="17"/>
    </row>
    <row r="3198">
      <c r="B3198" s="11">
        <f>IFERROR(__xludf.DUMMYFUNCTION("""COMPUTED_VALUE"""),41387.666666666664)</f>
        <v>41387.66667</v>
      </c>
      <c r="C3198" s="9">
        <f>IFERROR(__xludf.DUMMYFUNCTION("""COMPUTED_VALUE"""),41.94)</f>
        <v>41.94</v>
      </c>
      <c r="E3198" s="17"/>
      <c r="M3198" s="17"/>
      <c r="P3198" s="17"/>
    </row>
    <row r="3199">
      <c r="B3199" s="11">
        <f>IFERROR(__xludf.DUMMYFUNCTION("""COMPUTED_VALUE"""),41386.666666666664)</f>
        <v>41386.66667</v>
      </c>
      <c r="C3199" s="9">
        <f>IFERROR(__xludf.DUMMYFUNCTION("""COMPUTED_VALUE"""),41.51)</f>
        <v>41.51</v>
      </c>
      <c r="E3199" s="17"/>
      <c r="M3199" s="17"/>
      <c r="P3199" s="17"/>
    </row>
    <row r="3200">
      <c r="B3200" s="11">
        <f>IFERROR(__xludf.DUMMYFUNCTION("""COMPUTED_VALUE"""),41383.666666666664)</f>
        <v>41383.66667</v>
      </c>
      <c r="C3200" s="9">
        <f>IFERROR(__xludf.DUMMYFUNCTION("""COMPUTED_VALUE"""),41.59)</f>
        <v>41.59</v>
      </c>
      <c r="E3200" s="17"/>
      <c r="M3200" s="17"/>
      <c r="P3200" s="17"/>
    </row>
    <row r="3201">
      <c r="B3201" s="11">
        <f>IFERROR(__xludf.DUMMYFUNCTION("""COMPUTED_VALUE"""),41382.666666666664)</f>
        <v>41382.66667</v>
      </c>
      <c r="C3201" s="9">
        <f>IFERROR(__xludf.DUMMYFUNCTION("""COMPUTED_VALUE"""),40.62)</f>
        <v>40.62</v>
      </c>
      <c r="E3201" s="17"/>
      <c r="M3201" s="17"/>
      <c r="P3201" s="17"/>
    </row>
    <row r="3202">
      <c r="B3202" s="11">
        <f>IFERROR(__xludf.DUMMYFUNCTION("""COMPUTED_VALUE"""),41381.666666666664)</f>
        <v>41381.66667</v>
      </c>
      <c r="C3202" s="9">
        <f>IFERROR(__xludf.DUMMYFUNCTION("""COMPUTED_VALUE"""),41.01)</f>
        <v>41.01</v>
      </c>
      <c r="E3202" s="17"/>
      <c r="M3202" s="17"/>
      <c r="P3202" s="17"/>
    </row>
    <row r="3203">
      <c r="B3203" s="11">
        <f>IFERROR(__xludf.DUMMYFUNCTION("""COMPUTED_VALUE"""),41380.666666666664)</f>
        <v>41380.66667</v>
      </c>
      <c r="C3203" s="9">
        <f>IFERROR(__xludf.DUMMYFUNCTION("""COMPUTED_VALUE"""),41.41)</f>
        <v>41.41</v>
      </c>
      <c r="E3203" s="17"/>
      <c r="M3203" s="17"/>
      <c r="P3203" s="17"/>
    </row>
    <row r="3204">
      <c r="B3204" s="11">
        <f>IFERROR(__xludf.DUMMYFUNCTION("""COMPUTED_VALUE"""),41379.666666666664)</f>
        <v>41379.66667</v>
      </c>
      <c r="C3204" s="9">
        <f>IFERROR(__xludf.DUMMYFUNCTION("""COMPUTED_VALUE"""),40.58)</f>
        <v>40.58</v>
      </c>
      <c r="E3204" s="17"/>
      <c r="M3204" s="17"/>
      <c r="P3204" s="17"/>
    </row>
    <row r="3205">
      <c r="B3205" s="11">
        <f>IFERROR(__xludf.DUMMYFUNCTION("""COMPUTED_VALUE"""),41376.666666666664)</f>
        <v>41376.66667</v>
      </c>
      <c r="C3205" s="9">
        <f>IFERROR(__xludf.DUMMYFUNCTION("""COMPUTED_VALUE"""),41.11)</f>
        <v>41.11</v>
      </c>
      <c r="E3205" s="17"/>
      <c r="M3205" s="17"/>
      <c r="P3205" s="17"/>
    </row>
    <row r="3206">
      <c r="B3206" s="11">
        <f>IFERROR(__xludf.DUMMYFUNCTION("""COMPUTED_VALUE"""),41375.666666666664)</f>
        <v>41375.66667</v>
      </c>
      <c r="C3206" s="9">
        <f>IFERROR(__xludf.DUMMYFUNCTION("""COMPUTED_VALUE"""),41.14)</f>
        <v>41.14</v>
      </c>
      <c r="E3206" s="17"/>
      <c r="M3206" s="17"/>
      <c r="P3206" s="17"/>
    </row>
    <row r="3207">
      <c r="B3207" s="11">
        <f>IFERROR(__xludf.DUMMYFUNCTION("""COMPUTED_VALUE"""),41374.666666666664)</f>
        <v>41374.66667</v>
      </c>
      <c r="C3207" s="9">
        <f>IFERROR(__xludf.DUMMYFUNCTION("""COMPUTED_VALUE"""),40.26)</f>
        <v>40.26</v>
      </c>
      <c r="E3207" s="17"/>
      <c r="M3207" s="17"/>
      <c r="P3207" s="17"/>
    </row>
    <row r="3208">
      <c r="B3208" s="11">
        <f>IFERROR(__xludf.DUMMYFUNCTION("""COMPUTED_VALUE"""),41373.666666666664)</f>
        <v>41373.66667</v>
      </c>
      <c r="C3208" s="9">
        <f>IFERROR(__xludf.DUMMYFUNCTION("""COMPUTED_VALUE"""),39.85)</f>
        <v>39.85</v>
      </c>
      <c r="E3208" s="17"/>
      <c r="M3208" s="17"/>
      <c r="P3208" s="17"/>
    </row>
    <row r="3209">
      <c r="B3209" s="11">
        <f>IFERROR(__xludf.DUMMYFUNCTION("""COMPUTED_VALUE"""),41372.666666666664)</f>
        <v>41372.66667</v>
      </c>
      <c r="C3209" s="9">
        <f>IFERROR(__xludf.DUMMYFUNCTION("""COMPUTED_VALUE"""),40.05)</f>
        <v>40.05</v>
      </c>
      <c r="E3209" s="17"/>
      <c r="M3209" s="17"/>
      <c r="P3209" s="17"/>
    </row>
    <row r="3210">
      <c r="B3210" s="11">
        <f>IFERROR(__xludf.DUMMYFUNCTION("""COMPUTED_VALUE"""),41369.666666666664)</f>
        <v>41369.66667</v>
      </c>
      <c r="C3210" s="9">
        <f>IFERROR(__xludf.DUMMYFUNCTION("""COMPUTED_VALUE"""),39.35)</f>
        <v>39.35</v>
      </c>
      <c r="E3210" s="17"/>
      <c r="M3210" s="17"/>
      <c r="P3210" s="17"/>
    </row>
    <row r="3211">
      <c r="B3211" s="11">
        <f>IFERROR(__xludf.DUMMYFUNCTION("""COMPUTED_VALUE"""),41368.666666666664)</f>
        <v>41368.66667</v>
      </c>
      <c r="C3211" s="9">
        <f>IFERROR(__xludf.DUMMYFUNCTION("""COMPUTED_VALUE"""),39.66)</f>
        <v>39.66</v>
      </c>
      <c r="E3211" s="17"/>
      <c r="M3211" s="17"/>
      <c r="P3211" s="17"/>
    </row>
    <row r="3212">
      <c r="B3212" s="11">
        <f>IFERROR(__xludf.DUMMYFUNCTION("""COMPUTED_VALUE"""),41367.666666666664)</f>
        <v>41367.66667</v>
      </c>
      <c r="C3212" s="9">
        <f>IFERROR(__xludf.DUMMYFUNCTION("""COMPUTED_VALUE"""),39.64)</f>
        <v>39.64</v>
      </c>
      <c r="E3212" s="17"/>
      <c r="M3212" s="17"/>
      <c r="P3212" s="17"/>
    </row>
    <row r="3213">
      <c r="B3213" s="11">
        <f>IFERROR(__xludf.DUMMYFUNCTION("""COMPUTED_VALUE"""),41366.666666666664)</f>
        <v>41366.66667</v>
      </c>
      <c r="C3213" s="9">
        <f>IFERROR(__xludf.DUMMYFUNCTION("""COMPUTED_VALUE"""),40.14)</f>
        <v>40.14</v>
      </c>
      <c r="E3213" s="17"/>
      <c r="M3213" s="17"/>
      <c r="P3213" s="17"/>
    </row>
    <row r="3214">
      <c r="B3214" s="11">
        <f>IFERROR(__xludf.DUMMYFUNCTION("""COMPUTED_VALUE"""),41365.666666666664)</f>
        <v>41365.66667</v>
      </c>
      <c r="C3214" s="9">
        <f>IFERROR(__xludf.DUMMYFUNCTION("""COMPUTED_VALUE"""),39.92)</f>
        <v>39.92</v>
      </c>
      <c r="E3214" s="17"/>
      <c r="M3214" s="17"/>
      <c r="P3214" s="17"/>
    </row>
    <row r="3215">
      <c r="B3215" s="11">
        <f>IFERROR(__xludf.DUMMYFUNCTION("""COMPUTED_VALUE"""),41361.666666666664)</f>
        <v>41361.66667</v>
      </c>
      <c r="C3215" s="9">
        <f>IFERROR(__xludf.DUMMYFUNCTION("""COMPUTED_VALUE"""),39.98)</f>
        <v>39.98</v>
      </c>
      <c r="E3215" s="17"/>
      <c r="M3215" s="17"/>
      <c r="P3215" s="17"/>
    </row>
    <row r="3216">
      <c r="B3216" s="11">
        <f>IFERROR(__xludf.DUMMYFUNCTION("""COMPUTED_VALUE"""),41360.666666666664)</f>
        <v>41360.66667</v>
      </c>
      <c r="C3216" s="9">
        <f>IFERROR(__xludf.DUMMYFUNCTION("""COMPUTED_VALUE"""),39.86)</f>
        <v>39.86</v>
      </c>
      <c r="E3216" s="17"/>
      <c r="M3216" s="17"/>
      <c r="P3216" s="17"/>
    </row>
    <row r="3217">
      <c r="B3217" s="11">
        <f>IFERROR(__xludf.DUMMYFUNCTION("""COMPUTED_VALUE"""),41359.666666666664)</f>
        <v>41359.66667</v>
      </c>
      <c r="C3217" s="9">
        <f>IFERROR(__xludf.DUMMYFUNCTION("""COMPUTED_VALUE"""),40.14)</f>
        <v>40.14</v>
      </c>
      <c r="E3217" s="17"/>
      <c r="M3217" s="17"/>
      <c r="P3217" s="17"/>
    </row>
    <row r="3218">
      <c r="B3218" s="11">
        <f>IFERROR(__xludf.DUMMYFUNCTION("""COMPUTED_VALUE"""),41358.666666666664)</f>
        <v>41358.66667</v>
      </c>
      <c r="C3218" s="9">
        <f>IFERROR(__xludf.DUMMYFUNCTION("""COMPUTED_VALUE"""),39.0)</f>
        <v>39</v>
      </c>
      <c r="E3218" s="17"/>
      <c r="M3218" s="17"/>
      <c r="P3218" s="17"/>
    </row>
    <row r="3219">
      <c r="B3219" s="11">
        <f>IFERROR(__xludf.DUMMYFUNCTION("""COMPUTED_VALUE"""),41355.666666666664)</f>
        <v>41355.66667</v>
      </c>
      <c r="C3219" s="9">
        <f>IFERROR(__xludf.DUMMYFUNCTION("""COMPUTED_VALUE"""),38.89)</f>
        <v>38.89</v>
      </c>
      <c r="E3219" s="17"/>
      <c r="M3219" s="17"/>
      <c r="P3219" s="17"/>
    </row>
    <row r="3220">
      <c r="B3220" s="11">
        <f>IFERROR(__xludf.DUMMYFUNCTION("""COMPUTED_VALUE"""),41354.666666666664)</f>
        <v>41354.66667</v>
      </c>
      <c r="C3220" s="9">
        <f>IFERROR(__xludf.DUMMYFUNCTION("""COMPUTED_VALUE"""),38.52)</f>
        <v>38.52</v>
      </c>
      <c r="E3220" s="17"/>
      <c r="M3220" s="17"/>
      <c r="P3220" s="17"/>
    </row>
    <row r="3221">
      <c r="B3221" s="11">
        <f>IFERROR(__xludf.DUMMYFUNCTION("""COMPUTED_VALUE"""),41353.666666666664)</f>
        <v>41353.66667</v>
      </c>
      <c r="C3221" s="9">
        <f>IFERROR(__xludf.DUMMYFUNCTION("""COMPUTED_VALUE"""),38.73)</f>
        <v>38.73</v>
      </c>
      <c r="E3221" s="17"/>
      <c r="M3221" s="17"/>
      <c r="P3221" s="17"/>
    </row>
    <row r="3222">
      <c r="B3222" s="11">
        <f>IFERROR(__xludf.DUMMYFUNCTION("""COMPUTED_VALUE"""),41352.666666666664)</f>
        <v>41352.66667</v>
      </c>
      <c r="C3222" s="9">
        <f>IFERROR(__xludf.DUMMYFUNCTION("""COMPUTED_VALUE"""),38.32)</f>
        <v>38.32</v>
      </c>
      <c r="E3222" s="17"/>
      <c r="M3222" s="17"/>
      <c r="P3222" s="17"/>
    </row>
    <row r="3223">
      <c r="B3223" s="11">
        <f>IFERROR(__xludf.DUMMYFUNCTION("""COMPUTED_VALUE"""),41351.666666666664)</f>
        <v>41351.66667</v>
      </c>
      <c r="C3223" s="9">
        <f>IFERROR(__xludf.DUMMYFUNCTION("""COMPUTED_VALUE"""),38.55)</f>
        <v>38.55</v>
      </c>
      <c r="E3223" s="17"/>
      <c r="M3223" s="17"/>
      <c r="P3223" s="17"/>
    </row>
    <row r="3224">
      <c r="B3224" s="11">
        <f>IFERROR(__xludf.DUMMYFUNCTION("""COMPUTED_VALUE"""),41348.666666666664)</f>
        <v>41348.66667</v>
      </c>
      <c r="C3224" s="9">
        <f>IFERROR(__xludf.DUMMYFUNCTION("""COMPUTED_VALUE"""),38.79)</f>
        <v>38.79</v>
      </c>
      <c r="E3224" s="17"/>
      <c r="M3224" s="17"/>
      <c r="P3224" s="17"/>
    </row>
    <row r="3225">
      <c r="B3225" s="11">
        <f>IFERROR(__xludf.DUMMYFUNCTION("""COMPUTED_VALUE"""),41347.666666666664)</f>
        <v>41347.66667</v>
      </c>
      <c r="C3225" s="9">
        <f>IFERROR(__xludf.DUMMYFUNCTION("""COMPUTED_VALUE"""),38.92)</f>
        <v>38.92</v>
      </c>
      <c r="E3225" s="17"/>
      <c r="M3225" s="17"/>
      <c r="P3225" s="17"/>
    </row>
    <row r="3226">
      <c r="B3226" s="11">
        <f>IFERROR(__xludf.DUMMYFUNCTION("""COMPUTED_VALUE"""),41346.666666666664)</f>
        <v>41346.66667</v>
      </c>
      <c r="C3226" s="9">
        <f>IFERROR(__xludf.DUMMYFUNCTION("""COMPUTED_VALUE"""),39.02)</f>
        <v>39.02</v>
      </c>
      <c r="E3226" s="17"/>
      <c r="M3226" s="17"/>
      <c r="P3226" s="17"/>
    </row>
    <row r="3227">
      <c r="B3227" s="11">
        <f>IFERROR(__xludf.DUMMYFUNCTION("""COMPUTED_VALUE"""),41345.666666666664)</f>
        <v>41345.66667</v>
      </c>
      <c r="C3227" s="9">
        <f>IFERROR(__xludf.DUMMYFUNCTION("""COMPUTED_VALUE"""),38.81)</f>
        <v>38.81</v>
      </c>
      <c r="E3227" s="17"/>
      <c r="M3227" s="17"/>
      <c r="P3227" s="17"/>
    </row>
    <row r="3228">
      <c r="B3228" s="11">
        <f>IFERROR(__xludf.DUMMYFUNCTION("""COMPUTED_VALUE"""),41344.666666666664)</f>
        <v>41344.66667</v>
      </c>
      <c r="C3228" s="9">
        <f>IFERROR(__xludf.DUMMYFUNCTION("""COMPUTED_VALUE"""),39.12)</f>
        <v>39.12</v>
      </c>
      <c r="E3228" s="17"/>
      <c r="M3228" s="17"/>
      <c r="P3228" s="17"/>
    </row>
    <row r="3229">
      <c r="B3229" s="11">
        <f>IFERROR(__xludf.DUMMYFUNCTION("""COMPUTED_VALUE"""),41341.666666666664)</f>
        <v>41341.66667</v>
      </c>
      <c r="C3229" s="9">
        <f>IFERROR(__xludf.DUMMYFUNCTION("""COMPUTED_VALUE"""),39.21)</f>
        <v>39.21</v>
      </c>
      <c r="E3229" s="17"/>
      <c r="M3229" s="17"/>
      <c r="P3229" s="17"/>
    </row>
    <row r="3230">
      <c r="B3230" s="11">
        <f>IFERROR(__xludf.DUMMYFUNCTION("""COMPUTED_VALUE"""),41340.666666666664)</f>
        <v>41340.66667</v>
      </c>
      <c r="C3230" s="9">
        <f>IFERROR(__xludf.DUMMYFUNCTION("""COMPUTED_VALUE"""),39.45)</f>
        <v>39.45</v>
      </c>
      <c r="E3230" s="17"/>
      <c r="M3230" s="17"/>
      <c r="P3230" s="17"/>
    </row>
    <row r="3231">
      <c r="B3231" s="11">
        <f>IFERROR(__xludf.DUMMYFUNCTION("""COMPUTED_VALUE"""),41339.666666666664)</f>
        <v>41339.66667</v>
      </c>
      <c r="C3231" s="9">
        <f>IFERROR(__xludf.DUMMYFUNCTION("""COMPUTED_VALUE"""),39.85)</f>
        <v>39.85</v>
      </c>
      <c r="E3231" s="17"/>
      <c r="M3231" s="17"/>
      <c r="P3231" s="17"/>
    </row>
    <row r="3232">
      <c r="B3232" s="11">
        <f>IFERROR(__xludf.DUMMYFUNCTION("""COMPUTED_VALUE"""),41338.666666666664)</f>
        <v>41338.66667</v>
      </c>
      <c r="C3232" s="9">
        <f>IFERROR(__xludf.DUMMYFUNCTION("""COMPUTED_VALUE"""),40.03)</f>
        <v>40.03</v>
      </c>
      <c r="E3232" s="17"/>
      <c r="M3232" s="17"/>
      <c r="P3232" s="17"/>
    </row>
    <row r="3233">
      <c r="B3233" s="11">
        <f>IFERROR(__xludf.DUMMYFUNCTION("""COMPUTED_VALUE"""),41337.666666666664)</f>
        <v>41337.66667</v>
      </c>
      <c r="C3233" s="9">
        <f>IFERROR(__xludf.DUMMYFUNCTION("""COMPUTED_VALUE"""),39.81)</f>
        <v>39.81</v>
      </c>
      <c r="E3233" s="17"/>
      <c r="M3233" s="17"/>
      <c r="P3233" s="17"/>
    </row>
    <row r="3234">
      <c r="B3234" s="11">
        <f>IFERROR(__xludf.DUMMYFUNCTION("""COMPUTED_VALUE"""),41334.666666666664)</f>
        <v>41334.66667</v>
      </c>
      <c r="C3234" s="9">
        <f>IFERROR(__xludf.DUMMYFUNCTION("""COMPUTED_VALUE"""),39.29)</f>
        <v>39.29</v>
      </c>
      <c r="E3234" s="17"/>
      <c r="M3234" s="17"/>
      <c r="P3234" s="17"/>
    </row>
    <row r="3235">
      <c r="B3235" s="11">
        <f>IFERROR(__xludf.DUMMYFUNCTION("""COMPUTED_VALUE"""),41333.666666666664)</f>
        <v>41333.66667</v>
      </c>
      <c r="C3235" s="9">
        <f>IFERROR(__xludf.DUMMYFUNCTION("""COMPUTED_VALUE"""),38.94)</f>
        <v>38.94</v>
      </c>
      <c r="E3235" s="17"/>
      <c r="M3235" s="17"/>
      <c r="P3235" s="17"/>
    </row>
    <row r="3236">
      <c r="B3236" s="11">
        <f>IFERROR(__xludf.DUMMYFUNCTION("""COMPUTED_VALUE"""),41332.666666666664)</f>
        <v>41332.66667</v>
      </c>
      <c r="C3236" s="9">
        <f>IFERROR(__xludf.DUMMYFUNCTION("""COMPUTED_VALUE"""),38.65)</f>
        <v>38.65</v>
      </c>
      <c r="E3236" s="17"/>
      <c r="M3236" s="17"/>
      <c r="P3236" s="17"/>
    </row>
    <row r="3237">
      <c r="B3237" s="11">
        <f>IFERROR(__xludf.DUMMYFUNCTION("""COMPUTED_VALUE"""),41331.666666666664)</f>
        <v>41331.66667</v>
      </c>
      <c r="C3237" s="9">
        <f>IFERROR(__xludf.DUMMYFUNCTION("""COMPUTED_VALUE"""),38.37)</f>
        <v>38.37</v>
      </c>
      <c r="E3237" s="17"/>
      <c r="M3237" s="17"/>
      <c r="P3237" s="17"/>
    </row>
    <row r="3238">
      <c r="B3238" s="11">
        <f>IFERROR(__xludf.DUMMYFUNCTION("""COMPUTED_VALUE"""),41330.666666666664)</f>
        <v>41330.66667</v>
      </c>
      <c r="C3238" s="9">
        <f>IFERROR(__xludf.DUMMYFUNCTION("""COMPUTED_VALUE"""),38.32)</f>
        <v>38.32</v>
      </c>
      <c r="E3238" s="17"/>
      <c r="M3238" s="17"/>
      <c r="P3238" s="17"/>
    </row>
    <row r="3239">
      <c r="B3239" s="11">
        <f>IFERROR(__xludf.DUMMYFUNCTION("""COMPUTED_VALUE"""),41327.666666666664)</f>
        <v>41327.66667</v>
      </c>
      <c r="C3239" s="9">
        <f>IFERROR(__xludf.DUMMYFUNCTION("""COMPUTED_VALUE"""),39.42)</f>
        <v>39.42</v>
      </c>
      <c r="E3239" s="17"/>
      <c r="M3239" s="17"/>
      <c r="P3239" s="17"/>
    </row>
    <row r="3240">
      <c r="B3240" s="11">
        <f>IFERROR(__xludf.DUMMYFUNCTION("""COMPUTED_VALUE"""),41326.666666666664)</f>
        <v>41326.66667</v>
      </c>
      <c r="C3240" s="9">
        <f>IFERROR(__xludf.DUMMYFUNCTION("""COMPUTED_VALUE"""),38.78)</f>
        <v>38.78</v>
      </c>
      <c r="E3240" s="17"/>
      <c r="M3240" s="17"/>
      <c r="P3240" s="17"/>
    </row>
    <row r="3241">
      <c r="B3241" s="11">
        <f>IFERROR(__xludf.DUMMYFUNCTION("""COMPUTED_VALUE"""),41325.666666666664)</f>
        <v>41325.66667</v>
      </c>
      <c r="C3241" s="9">
        <f>IFERROR(__xludf.DUMMYFUNCTION("""COMPUTED_VALUE"""),39.18)</f>
        <v>39.18</v>
      </c>
      <c r="E3241" s="17"/>
      <c r="M3241" s="17"/>
      <c r="P3241" s="17"/>
    </row>
    <row r="3242">
      <c r="B3242" s="11">
        <f>IFERROR(__xludf.DUMMYFUNCTION("""COMPUTED_VALUE"""),41324.666666666664)</f>
        <v>41324.66667</v>
      </c>
      <c r="C3242" s="9">
        <f>IFERROR(__xludf.DUMMYFUNCTION("""COMPUTED_VALUE"""),39.66)</f>
        <v>39.66</v>
      </c>
      <c r="E3242" s="17"/>
      <c r="M3242" s="17"/>
      <c r="P3242" s="17"/>
    </row>
    <row r="3243">
      <c r="B3243" s="11">
        <f>IFERROR(__xludf.DUMMYFUNCTION("""COMPUTED_VALUE"""),41320.666666666664)</f>
        <v>41320.66667</v>
      </c>
      <c r="C3243" s="9">
        <f>IFERROR(__xludf.DUMMYFUNCTION("""COMPUTED_VALUE"""),38.84)</f>
        <v>38.84</v>
      </c>
      <c r="E3243" s="17"/>
      <c r="M3243" s="17"/>
      <c r="P3243" s="17"/>
    </row>
    <row r="3244">
      <c r="B3244" s="11">
        <f>IFERROR(__xludf.DUMMYFUNCTION("""COMPUTED_VALUE"""),41319.666666666664)</f>
        <v>41319.66667</v>
      </c>
      <c r="C3244" s="9">
        <f>IFERROR(__xludf.DUMMYFUNCTION("""COMPUTED_VALUE"""),39.21)</f>
        <v>39.21</v>
      </c>
      <c r="E3244" s="17"/>
      <c r="M3244" s="17"/>
      <c r="P3244" s="17"/>
    </row>
    <row r="3245">
      <c r="B3245" s="11">
        <f>IFERROR(__xludf.DUMMYFUNCTION("""COMPUTED_VALUE"""),41318.666666666664)</f>
        <v>41318.66667</v>
      </c>
      <c r="C3245" s="9">
        <f>IFERROR(__xludf.DUMMYFUNCTION("""COMPUTED_VALUE"""),39.47)</f>
        <v>39.47</v>
      </c>
      <c r="E3245" s="17"/>
      <c r="M3245" s="17"/>
      <c r="P3245" s="17"/>
    </row>
    <row r="3246">
      <c r="B3246" s="11">
        <f>IFERROR(__xludf.DUMMYFUNCTION("""COMPUTED_VALUE"""),41317.666666666664)</f>
        <v>41317.66667</v>
      </c>
      <c r="C3246" s="9">
        <f>IFERROR(__xludf.DUMMYFUNCTION("""COMPUTED_VALUE"""),39.6)</f>
        <v>39.6</v>
      </c>
      <c r="E3246" s="17"/>
      <c r="M3246" s="17"/>
      <c r="P3246" s="17"/>
    </row>
    <row r="3247">
      <c r="B3247" s="11">
        <f>IFERROR(__xludf.DUMMYFUNCTION("""COMPUTED_VALUE"""),41316.666666666664)</f>
        <v>41316.66667</v>
      </c>
      <c r="C3247" s="9">
        <f>IFERROR(__xludf.DUMMYFUNCTION("""COMPUTED_VALUE"""),39.33)</f>
        <v>39.33</v>
      </c>
      <c r="E3247" s="17"/>
      <c r="M3247" s="17"/>
      <c r="P3247" s="17"/>
    </row>
    <row r="3248">
      <c r="B3248" s="11">
        <f>IFERROR(__xludf.DUMMYFUNCTION("""COMPUTED_VALUE"""),41313.666666666664)</f>
        <v>41313.66667</v>
      </c>
      <c r="C3248" s="9">
        <f>IFERROR(__xludf.DUMMYFUNCTION("""COMPUTED_VALUE"""),39.47)</f>
        <v>39.47</v>
      </c>
      <c r="E3248" s="17"/>
      <c r="M3248" s="17"/>
      <c r="P3248" s="17"/>
    </row>
    <row r="3249">
      <c r="B3249" s="11">
        <f>IFERROR(__xludf.DUMMYFUNCTION("""COMPUTED_VALUE"""),41312.666666666664)</f>
        <v>41312.66667</v>
      </c>
      <c r="C3249" s="9">
        <f>IFERROR(__xludf.DUMMYFUNCTION("""COMPUTED_VALUE"""),39.42)</f>
        <v>39.42</v>
      </c>
      <c r="E3249" s="17"/>
      <c r="M3249" s="17"/>
      <c r="P3249" s="17"/>
    </row>
    <row r="3250">
      <c r="B3250" s="11">
        <f>IFERROR(__xludf.DUMMYFUNCTION("""COMPUTED_VALUE"""),41311.666666666664)</f>
        <v>41311.66667</v>
      </c>
      <c r="C3250" s="9">
        <f>IFERROR(__xludf.DUMMYFUNCTION("""COMPUTED_VALUE"""),39.91)</f>
        <v>39.91</v>
      </c>
      <c r="E3250" s="17"/>
      <c r="M3250" s="17"/>
      <c r="P3250" s="17"/>
    </row>
    <row r="3251">
      <c r="B3251" s="11">
        <f>IFERROR(__xludf.DUMMYFUNCTION("""COMPUTED_VALUE"""),41310.666666666664)</f>
        <v>41310.66667</v>
      </c>
      <c r="C3251" s="9">
        <f>IFERROR(__xludf.DUMMYFUNCTION("""COMPUTED_VALUE"""),40.28)</f>
        <v>40.28</v>
      </c>
      <c r="E3251" s="17"/>
      <c r="M3251" s="17"/>
      <c r="P3251" s="17"/>
    </row>
    <row r="3252">
      <c r="B3252" s="11">
        <f>IFERROR(__xludf.DUMMYFUNCTION("""COMPUTED_VALUE"""),41309.666666666664)</f>
        <v>41309.66667</v>
      </c>
      <c r="C3252" s="9">
        <f>IFERROR(__xludf.DUMMYFUNCTION("""COMPUTED_VALUE"""),40.26)</f>
        <v>40.26</v>
      </c>
      <c r="E3252" s="17"/>
      <c r="M3252" s="17"/>
      <c r="P3252" s="17"/>
    </row>
    <row r="3253">
      <c r="B3253" s="11">
        <f>IFERROR(__xludf.DUMMYFUNCTION("""COMPUTED_VALUE"""),41306.666666666664)</f>
        <v>41306.66667</v>
      </c>
      <c r="C3253" s="9">
        <f>IFERROR(__xludf.DUMMYFUNCTION("""COMPUTED_VALUE"""),40.48)</f>
        <v>40.48</v>
      </c>
      <c r="E3253" s="17"/>
      <c r="M3253" s="17"/>
      <c r="P3253" s="17"/>
    </row>
    <row r="3254">
      <c r="B3254" s="11">
        <f>IFERROR(__xludf.DUMMYFUNCTION("""COMPUTED_VALUE"""),41305.666666666664)</f>
        <v>41305.66667</v>
      </c>
      <c r="C3254" s="9">
        <f>IFERROR(__xludf.DUMMYFUNCTION("""COMPUTED_VALUE"""),39.9)</f>
        <v>39.9</v>
      </c>
      <c r="E3254" s="17"/>
      <c r="M3254" s="17"/>
      <c r="P3254" s="17"/>
    </row>
    <row r="3255">
      <c r="B3255" s="11">
        <f>IFERROR(__xludf.DUMMYFUNCTION("""COMPUTED_VALUE"""),41304.666666666664)</f>
        <v>41304.66667</v>
      </c>
      <c r="C3255" s="9">
        <f>IFERROR(__xludf.DUMMYFUNCTION("""COMPUTED_VALUE"""),40.05)</f>
        <v>40.05</v>
      </c>
      <c r="E3255" s="17"/>
      <c r="M3255" s="17"/>
      <c r="P3255" s="17"/>
    </row>
    <row r="3256">
      <c r="B3256" s="11">
        <f>IFERROR(__xludf.DUMMYFUNCTION("""COMPUTED_VALUE"""),41303.666666666664)</f>
        <v>41303.66667</v>
      </c>
      <c r="C3256" s="9">
        <f>IFERROR(__xludf.DUMMYFUNCTION("""COMPUTED_VALUE"""),40.74)</f>
        <v>40.74</v>
      </c>
      <c r="E3256" s="17"/>
      <c r="M3256" s="17"/>
      <c r="P3256" s="17"/>
    </row>
    <row r="3257">
      <c r="B3257" s="11">
        <f>IFERROR(__xludf.DUMMYFUNCTION("""COMPUTED_VALUE"""),41302.666666666664)</f>
        <v>41302.66667</v>
      </c>
      <c r="C3257" s="9">
        <f>IFERROR(__xludf.DUMMYFUNCTION("""COMPUTED_VALUE"""),40.93)</f>
        <v>40.93</v>
      </c>
      <c r="E3257" s="17"/>
      <c r="M3257" s="17"/>
      <c r="P3257" s="17"/>
    </row>
    <row r="3258">
      <c r="B3258" s="11">
        <f>IFERROR(__xludf.DUMMYFUNCTION("""COMPUTED_VALUE"""),41299.666666666664)</f>
        <v>41299.66667</v>
      </c>
      <c r="C3258" s="9">
        <f>IFERROR(__xludf.DUMMYFUNCTION("""COMPUTED_VALUE"""),40.64)</f>
        <v>40.64</v>
      </c>
      <c r="E3258" s="17"/>
      <c r="M3258" s="17"/>
      <c r="P3258" s="17"/>
    </row>
    <row r="3259">
      <c r="B3259" s="11">
        <f>IFERROR(__xludf.DUMMYFUNCTION("""COMPUTED_VALUE"""),41298.666666666664)</f>
        <v>41298.66667</v>
      </c>
      <c r="C3259" s="9">
        <f>IFERROR(__xludf.DUMMYFUNCTION("""COMPUTED_VALUE"""),40.18)</f>
        <v>40.18</v>
      </c>
      <c r="E3259" s="17"/>
      <c r="M3259" s="17"/>
      <c r="P3259" s="17"/>
    </row>
    <row r="3260">
      <c r="B3260" s="11">
        <f>IFERROR(__xludf.DUMMYFUNCTION("""COMPUTED_VALUE"""),41297.666666666664)</f>
        <v>41297.66667</v>
      </c>
      <c r="C3260" s="9">
        <f>IFERROR(__xludf.DUMMYFUNCTION("""COMPUTED_VALUE"""),39.64)</f>
        <v>39.64</v>
      </c>
      <c r="E3260" s="17"/>
      <c r="M3260" s="17"/>
      <c r="P3260" s="17"/>
    </row>
    <row r="3261">
      <c r="B3261" s="11">
        <f>IFERROR(__xludf.DUMMYFUNCTION("""COMPUTED_VALUE"""),41296.666666666664)</f>
        <v>41296.66667</v>
      </c>
      <c r="C3261" s="9">
        <f>IFERROR(__xludf.DUMMYFUNCTION("""COMPUTED_VALUE"""),39.32)</f>
        <v>39.32</v>
      </c>
      <c r="E3261" s="17"/>
      <c r="M3261" s="17"/>
      <c r="P3261" s="17"/>
    </row>
    <row r="3262">
      <c r="B3262" s="11">
        <f>IFERROR(__xludf.DUMMYFUNCTION("""COMPUTED_VALUE"""),41292.666666666664)</f>
        <v>41292.66667</v>
      </c>
      <c r="C3262" s="9">
        <f>IFERROR(__xludf.DUMMYFUNCTION("""COMPUTED_VALUE"""),39.5)</f>
        <v>39.5</v>
      </c>
      <c r="E3262" s="17"/>
      <c r="M3262" s="17"/>
      <c r="P3262" s="17"/>
    </row>
    <row r="3263">
      <c r="B3263" s="11">
        <f>IFERROR(__xludf.DUMMYFUNCTION("""COMPUTED_VALUE"""),41291.666666666664)</f>
        <v>41291.66667</v>
      </c>
      <c r="C3263" s="9">
        <f>IFERROR(__xludf.DUMMYFUNCTION("""COMPUTED_VALUE"""),38.72)</f>
        <v>38.72</v>
      </c>
      <c r="E3263" s="17"/>
      <c r="M3263" s="17"/>
      <c r="P3263" s="17"/>
    </row>
    <row r="3264">
      <c r="B3264" s="11">
        <f>IFERROR(__xludf.DUMMYFUNCTION("""COMPUTED_VALUE"""),41290.666666666664)</f>
        <v>41290.66667</v>
      </c>
      <c r="C3264" s="9">
        <f>IFERROR(__xludf.DUMMYFUNCTION("""COMPUTED_VALUE"""),38.45)</f>
        <v>38.45</v>
      </c>
      <c r="E3264" s="17"/>
      <c r="M3264" s="17"/>
      <c r="P3264" s="17"/>
    </row>
    <row r="3265">
      <c r="B3265" s="11">
        <f>IFERROR(__xludf.DUMMYFUNCTION("""COMPUTED_VALUE"""),41289.666666666664)</f>
        <v>41289.66667</v>
      </c>
      <c r="C3265" s="9">
        <f>IFERROR(__xludf.DUMMYFUNCTION("""COMPUTED_VALUE"""),38.47)</f>
        <v>38.47</v>
      </c>
      <c r="E3265" s="17"/>
      <c r="M3265" s="17"/>
      <c r="P3265" s="17"/>
    </row>
    <row r="3266">
      <c r="B3266" s="11">
        <f>IFERROR(__xludf.DUMMYFUNCTION("""COMPUTED_VALUE"""),41288.666666666664)</f>
        <v>41288.66667</v>
      </c>
      <c r="C3266" s="9">
        <f>IFERROR(__xludf.DUMMYFUNCTION("""COMPUTED_VALUE"""),38.3)</f>
        <v>38.3</v>
      </c>
      <c r="E3266" s="17"/>
      <c r="M3266" s="17"/>
      <c r="P3266" s="17"/>
    </row>
    <row r="3267">
      <c r="B3267" s="11">
        <f>IFERROR(__xludf.DUMMYFUNCTION("""COMPUTED_VALUE"""),41285.666666666664)</f>
        <v>41285.66667</v>
      </c>
      <c r="C3267" s="9">
        <f>IFERROR(__xludf.DUMMYFUNCTION("""COMPUTED_VALUE"""),38.28)</f>
        <v>38.28</v>
      </c>
      <c r="E3267" s="17"/>
      <c r="M3267" s="17"/>
      <c r="P3267" s="17"/>
    </row>
    <row r="3268">
      <c r="B3268" s="11">
        <f>IFERROR(__xludf.DUMMYFUNCTION("""COMPUTED_VALUE"""),41284.666666666664)</f>
        <v>41284.66667</v>
      </c>
      <c r="C3268" s="9">
        <f>IFERROR(__xludf.DUMMYFUNCTION("""COMPUTED_VALUE"""),38.04)</f>
        <v>38.04</v>
      </c>
      <c r="E3268" s="17"/>
      <c r="M3268" s="17"/>
      <c r="P3268" s="17"/>
    </row>
    <row r="3269">
      <c r="B3269" s="11">
        <f>IFERROR(__xludf.DUMMYFUNCTION("""COMPUTED_VALUE"""),41283.666666666664)</f>
        <v>41283.66667</v>
      </c>
      <c r="C3269" s="9">
        <f>IFERROR(__xludf.DUMMYFUNCTION("""COMPUTED_VALUE"""),38.22)</f>
        <v>38.22</v>
      </c>
      <c r="E3269" s="17"/>
      <c r="M3269" s="17"/>
      <c r="P3269" s="17"/>
    </row>
    <row r="3270">
      <c r="B3270" s="11">
        <f>IFERROR(__xludf.DUMMYFUNCTION("""COMPUTED_VALUE"""),41282.666666666664)</f>
        <v>41282.66667</v>
      </c>
      <c r="C3270" s="9">
        <f>IFERROR(__xludf.DUMMYFUNCTION("""COMPUTED_VALUE"""),37.84)</f>
        <v>37.84</v>
      </c>
      <c r="E3270" s="17"/>
      <c r="M3270" s="17"/>
      <c r="P3270" s="17"/>
    </row>
    <row r="3271">
      <c r="B3271" s="11">
        <f>IFERROR(__xludf.DUMMYFUNCTION("""COMPUTED_VALUE"""),41281.666666666664)</f>
        <v>41281.66667</v>
      </c>
      <c r="C3271" s="9">
        <f>IFERROR(__xludf.DUMMYFUNCTION("""COMPUTED_VALUE"""),37.96)</f>
        <v>37.96</v>
      </c>
      <c r="E3271" s="17"/>
      <c r="M3271" s="17"/>
      <c r="P3271" s="17"/>
    </row>
    <row r="3272">
      <c r="B3272" s="11">
        <f>IFERROR(__xludf.DUMMYFUNCTION("""COMPUTED_VALUE"""),41278.666666666664)</f>
        <v>41278.66667</v>
      </c>
      <c r="C3272" s="9">
        <f>IFERROR(__xludf.DUMMYFUNCTION("""COMPUTED_VALUE"""),37.71)</f>
        <v>37.71</v>
      </c>
      <c r="E3272" s="17"/>
      <c r="M3272" s="17"/>
      <c r="P3272" s="17"/>
    </row>
    <row r="3273">
      <c r="B3273" s="11">
        <f>IFERROR(__xludf.DUMMYFUNCTION("""COMPUTED_VALUE"""),41277.666666666664)</f>
        <v>41277.66667</v>
      </c>
      <c r="C3273" s="9">
        <f>IFERROR(__xludf.DUMMYFUNCTION("""COMPUTED_VALUE"""),37.4)</f>
        <v>37.4</v>
      </c>
      <c r="E3273" s="17"/>
      <c r="M3273" s="17"/>
      <c r="P3273" s="17"/>
    </row>
    <row r="3274">
      <c r="B3274" s="11">
        <f>IFERROR(__xludf.DUMMYFUNCTION("""COMPUTED_VALUE"""),41276.666666666664)</f>
        <v>41276.66667</v>
      </c>
      <c r="C3274" s="9">
        <f>IFERROR(__xludf.DUMMYFUNCTION("""COMPUTED_VALUE"""),37.35)</f>
        <v>37.35</v>
      </c>
      <c r="E3274" s="17"/>
      <c r="M3274" s="17"/>
      <c r="P3274" s="17"/>
    </row>
    <row r="3275">
      <c r="B3275" s="11">
        <f>IFERROR(__xludf.DUMMYFUNCTION("""COMPUTED_VALUE"""),41274.666666666664)</f>
        <v>41274.66667</v>
      </c>
      <c r="C3275" s="9">
        <f>IFERROR(__xludf.DUMMYFUNCTION("""COMPUTED_VALUE"""),36.49)</f>
        <v>36.49</v>
      </c>
      <c r="E3275" s="17"/>
      <c r="M3275" s="17"/>
      <c r="P3275" s="17"/>
    </row>
    <row r="3276">
      <c r="B3276" s="11">
        <f>IFERROR(__xludf.DUMMYFUNCTION("""COMPUTED_VALUE"""),41271.666666666664)</f>
        <v>41271.66667</v>
      </c>
      <c r="C3276" s="9">
        <f>IFERROR(__xludf.DUMMYFUNCTION("""COMPUTED_VALUE"""),35.77)</f>
        <v>35.77</v>
      </c>
      <c r="E3276" s="17"/>
      <c r="M3276" s="17"/>
      <c r="P3276" s="17"/>
    </row>
    <row r="3277">
      <c r="B3277" s="11">
        <f>IFERROR(__xludf.DUMMYFUNCTION("""COMPUTED_VALUE"""),41270.666666666664)</f>
        <v>41270.66667</v>
      </c>
      <c r="C3277" s="9">
        <f>IFERROR(__xludf.DUMMYFUNCTION("""COMPUTED_VALUE"""),36.28)</f>
        <v>36.28</v>
      </c>
      <c r="E3277" s="17"/>
      <c r="M3277" s="17"/>
      <c r="P3277" s="17"/>
    </row>
    <row r="3278">
      <c r="B3278" s="11">
        <f>IFERROR(__xludf.DUMMYFUNCTION("""COMPUTED_VALUE"""),41269.666666666664)</f>
        <v>41269.66667</v>
      </c>
      <c r="C3278" s="9">
        <f>IFERROR(__xludf.DUMMYFUNCTION("""COMPUTED_VALUE"""),36.07)</f>
        <v>36.07</v>
      </c>
      <c r="E3278" s="17"/>
      <c r="M3278" s="17"/>
      <c r="P3278" s="17"/>
    </row>
    <row r="3279">
      <c r="B3279" s="11">
        <f>IFERROR(__xludf.DUMMYFUNCTION("""COMPUTED_VALUE"""),41267.666666666664)</f>
        <v>41267.66667</v>
      </c>
      <c r="C3279" s="9">
        <f>IFERROR(__xludf.DUMMYFUNCTION("""COMPUTED_VALUE"""),36.52)</f>
        <v>36.52</v>
      </c>
      <c r="E3279" s="17"/>
      <c r="M3279" s="17"/>
      <c r="P3279" s="17"/>
    </row>
    <row r="3280">
      <c r="B3280" s="11">
        <f>IFERROR(__xludf.DUMMYFUNCTION("""COMPUTED_VALUE"""),41264.666666666664)</f>
        <v>41264.66667</v>
      </c>
      <c r="C3280" s="9">
        <f>IFERROR(__xludf.DUMMYFUNCTION("""COMPUTED_VALUE"""),36.46)</f>
        <v>36.46</v>
      </c>
      <c r="E3280" s="17"/>
      <c r="M3280" s="17"/>
      <c r="P3280" s="17"/>
    </row>
    <row r="3281">
      <c r="B3281" s="11">
        <f>IFERROR(__xludf.DUMMYFUNCTION("""COMPUTED_VALUE"""),41263.666666666664)</f>
        <v>41263.66667</v>
      </c>
      <c r="C3281" s="9">
        <f>IFERROR(__xludf.DUMMYFUNCTION("""COMPUTED_VALUE"""),36.58)</f>
        <v>36.58</v>
      </c>
      <c r="E3281" s="17"/>
      <c r="M3281" s="17"/>
      <c r="P3281" s="17"/>
    </row>
    <row r="3282">
      <c r="B3282" s="11">
        <f>IFERROR(__xludf.DUMMYFUNCTION("""COMPUTED_VALUE"""),41262.666666666664)</f>
        <v>41262.66667</v>
      </c>
      <c r="C3282" s="9">
        <f>IFERROR(__xludf.DUMMYFUNCTION("""COMPUTED_VALUE"""),35.64)</f>
        <v>35.64</v>
      </c>
      <c r="E3282" s="17"/>
      <c r="M3282" s="17"/>
      <c r="P3282" s="17"/>
    </row>
    <row r="3283">
      <c r="B3283" s="11">
        <f>IFERROR(__xludf.DUMMYFUNCTION("""COMPUTED_VALUE"""),41261.666666666664)</f>
        <v>41261.66667</v>
      </c>
      <c r="C3283" s="9">
        <f>IFERROR(__xludf.DUMMYFUNCTION("""COMPUTED_VALUE"""),35.83)</f>
        <v>35.83</v>
      </c>
      <c r="E3283" s="17"/>
      <c r="M3283" s="17"/>
      <c r="P3283" s="17"/>
    </row>
    <row r="3284">
      <c r="B3284" s="11">
        <f>IFERROR(__xludf.DUMMYFUNCTION("""COMPUTED_VALUE"""),41260.666666666664)</f>
        <v>41260.66667</v>
      </c>
      <c r="C3284" s="9">
        <f>IFERROR(__xludf.DUMMYFUNCTION("""COMPUTED_VALUE"""),35.24)</f>
        <v>35.24</v>
      </c>
      <c r="E3284" s="17"/>
      <c r="M3284" s="17"/>
      <c r="P3284" s="17"/>
    </row>
    <row r="3285">
      <c r="B3285" s="11">
        <f>IFERROR(__xludf.DUMMYFUNCTION("""COMPUTED_VALUE"""),41257.666666666664)</f>
        <v>41257.66667</v>
      </c>
      <c r="C3285" s="9">
        <f>IFERROR(__xludf.DUMMYFUNCTION("""COMPUTED_VALUE"""),35.1)</f>
        <v>35.1</v>
      </c>
      <c r="E3285" s="17"/>
      <c r="M3285" s="17"/>
      <c r="P3285" s="17"/>
    </row>
    <row r="3286">
      <c r="B3286" s="11">
        <f>IFERROR(__xludf.DUMMYFUNCTION("""COMPUTED_VALUE"""),41256.666666666664)</f>
        <v>41256.66667</v>
      </c>
      <c r="C3286" s="9">
        <f>IFERROR(__xludf.DUMMYFUNCTION("""COMPUTED_VALUE"""),35.02)</f>
        <v>35.02</v>
      </c>
      <c r="E3286" s="17"/>
      <c r="M3286" s="17"/>
      <c r="P3286" s="17"/>
    </row>
    <row r="3287">
      <c r="B3287" s="11">
        <f>IFERROR(__xludf.DUMMYFUNCTION("""COMPUTED_VALUE"""),41255.666666666664)</f>
        <v>41255.66667</v>
      </c>
      <c r="C3287" s="9">
        <f>IFERROR(__xludf.DUMMYFUNCTION("""COMPUTED_VALUE"""),35.27)</f>
        <v>35.27</v>
      </c>
      <c r="E3287" s="17"/>
      <c r="M3287" s="17"/>
      <c r="P3287" s="17"/>
    </row>
    <row r="3288">
      <c r="B3288" s="11">
        <f>IFERROR(__xludf.DUMMYFUNCTION("""COMPUTED_VALUE"""),41254.666666666664)</f>
        <v>41254.66667</v>
      </c>
      <c r="C3288" s="9">
        <f>IFERROR(__xludf.DUMMYFUNCTION("""COMPUTED_VALUE"""),35.23)</f>
        <v>35.23</v>
      </c>
      <c r="E3288" s="17"/>
      <c r="M3288" s="17"/>
      <c r="P3288" s="17"/>
    </row>
    <row r="3289">
      <c r="B3289" s="11">
        <f>IFERROR(__xludf.DUMMYFUNCTION("""COMPUTED_VALUE"""),41253.666666666664)</f>
        <v>41253.66667</v>
      </c>
      <c r="C3289" s="9">
        <f>IFERROR(__xludf.DUMMYFUNCTION("""COMPUTED_VALUE"""),35.18)</f>
        <v>35.18</v>
      </c>
      <c r="E3289" s="17"/>
      <c r="M3289" s="17"/>
      <c r="P3289" s="17"/>
    </row>
    <row r="3290">
      <c r="B3290" s="11">
        <f>IFERROR(__xludf.DUMMYFUNCTION("""COMPUTED_VALUE"""),41250.666666666664)</f>
        <v>41250.66667</v>
      </c>
      <c r="C3290" s="9">
        <f>IFERROR(__xludf.DUMMYFUNCTION("""COMPUTED_VALUE"""),35.24)</f>
        <v>35.24</v>
      </c>
      <c r="E3290" s="17"/>
      <c r="M3290" s="17"/>
      <c r="P3290" s="17"/>
    </row>
    <row r="3291">
      <c r="B3291" s="11">
        <f>IFERROR(__xludf.DUMMYFUNCTION("""COMPUTED_VALUE"""),41249.666666666664)</f>
        <v>41249.66667</v>
      </c>
      <c r="C3291" s="9">
        <f>IFERROR(__xludf.DUMMYFUNCTION("""COMPUTED_VALUE"""),34.91)</f>
        <v>34.91</v>
      </c>
      <c r="E3291" s="17"/>
      <c r="M3291" s="17"/>
      <c r="P3291" s="17"/>
    </row>
    <row r="3292">
      <c r="B3292" s="11">
        <f>IFERROR(__xludf.DUMMYFUNCTION("""COMPUTED_VALUE"""),41248.666666666664)</f>
        <v>41248.66667</v>
      </c>
      <c r="C3292" s="9">
        <f>IFERROR(__xludf.DUMMYFUNCTION("""COMPUTED_VALUE"""),34.3)</f>
        <v>34.3</v>
      </c>
      <c r="E3292" s="17"/>
      <c r="M3292" s="17"/>
      <c r="P3292" s="17"/>
    </row>
    <row r="3293">
      <c r="B3293" s="11">
        <f>IFERROR(__xludf.DUMMYFUNCTION("""COMPUTED_VALUE"""),41247.666666666664)</f>
        <v>41247.66667</v>
      </c>
      <c r="C3293" s="9">
        <f>IFERROR(__xludf.DUMMYFUNCTION("""COMPUTED_VALUE"""),34.26)</f>
        <v>34.26</v>
      </c>
      <c r="E3293" s="17"/>
      <c r="M3293" s="17"/>
      <c r="P3293" s="17"/>
    </row>
    <row r="3294">
      <c r="B3294" s="11">
        <f>IFERROR(__xludf.DUMMYFUNCTION("""COMPUTED_VALUE"""),41246.666666666664)</f>
        <v>41246.66667</v>
      </c>
      <c r="C3294" s="9">
        <f>IFERROR(__xludf.DUMMYFUNCTION("""COMPUTED_VALUE"""),33.96)</f>
        <v>33.96</v>
      </c>
      <c r="E3294" s="17"/>
      <c r="M3294" s="17"/>
      <c r="P3294" s="17"/>
    </row>
    <row r="3295">
      <c r="B3295" s="11">
        <f>IFERROR(__xludf.DUMMYFUNCTION("""COMPUTED_VALUE"""),41243.666666666664)</f>
        <v>41243.66667</v>
      </c>
      <c r="C3295" s="9">
        <f>IFERROR(__xludf.DUMMYFUNCTION("""COMPUTED_VALUE"""),33.94)</f>
        <v>33.94</v>
      </c>
      <c r="E3295" s="17"/>
      <c r="M3295" s="17"/>
      <c r="P3295" s="17"/>
    </row>
    <row r="3296">
      <c r="B3296" s="11">
        <f>IFERROR(__xludf.DUMMYFUNCTION("""COMPUTED_VALUE"""),41242.666666666664)</f>
        <v>41242.66667</v>
      </c>
      <c r="C3296" s="9">
        <f>IFERROR(__xludf.DUMMYFUNCTION("""COMPUTED_VALUE"""),34.02)</f>
        <v>34.02</v>
      </c>
      <c r="E3296" s="17"/>
      <c r="M3296" s="17"/>
      <c r="P3296" s="17"/>
    </row>
    <row r="3297">
      <c r="B3297" s="11">
        <f>IFERROR(__xludf.DUMMYFUNCTION("""COMPUTED_VALUE"""),41241.666666666664)</f>
        <v>41241.66667</v>
      </c>
      <c r="C3297" s="9">
        <f>IFERROR(__xludf.DUMMYFUNCTION("""COMPUTED_VALUE"""),33.86)</f>
        <v>33.86</v>
      </c>
      <c r="E3297" s="17"/>
      <c r="M3297" s="17"/>
      <c r="P3297" s="17"/>
    </row>
    <row r="3298">
      <c r="B3298" s="11">
        <f>IFERROR(__xludf.DUMMYFUNCTION("""COMPUTED_VALUE"""),41240.666666666664)</f>
        <v>41240.66667</v>
      </c>
      <c r="C3298" s="9">
        <f>IFERROR(__xludf.DUMMYFUNCTION("""COMPUTED_VALUE"""),33.95)</f>
        <v>33.95</v>
      </c>
      <c r="E3298" s="17"/>
      <c r="M3298" s="17"/>
      <c r="P3298" s="17"/>
    </row>
    <row r="3299">
      <c r="B3299" s="11">
        <f>IFERROR(__xludf.DUMMYFUNCTION("""COMPUTED_VALUE"""),41239.666666666664)</f>
        <v>41239.66667</v>
      </c>
      <c r="C3299" s="9">
        <f>IFERROR(__xludf.DUMMYFUNCTION("""COMPUTED_VALUE"""),34.3)</f>
        <v>34.3</v>
      </c>
      <c r="E3299" s="17"/>
      <c r="M3299" s="17"/>
      <c r="P3299" s="17"/>
    </row>
    <row r="3300">
      <c r="B3300" s="11">
        <f>IFERROR(__xludf.DUMMYFUNCTION("""COMPUTED_VALUE"""),41236.666666666664)</f>
        <v>41236.66667</v>
      </c>
      <c r="C3300" s="9">
        <f>IFERROR(__xludf.DUMMYFUNCTION("""COMPUTED_VALUE"""),34.09)</f>
        <v>34.09</v>
      </c>
      <c r="E3300" s="17"/>
      <c r="M3300" s="17"/>
      <c r="P3300" s="17"/>
    </row>
    <row r="3301">
      <c r="B3301" s="11">
        <f>IFERROR(__xludf.DUMMYFUNCTION("""COMPUTED_VALUE"""),41234.666666666664)</f>
        <v>41234.66667</v>
      </c>
      <c r="C3301" s="9">
        <f>IFERROR(__xludf.DUMMYFUNCTION("""COMPUTED_VALUE"""),33.9)</f>
        <v>33.9</v>
      </c>
      <c r="E3301" s="17"/>
      <c r="M3301" s="17"/>
      <c r="P3301" s="17"/>
    </row>
    <row r="3302">
      <c r="B3302" s="11">
        <f>IFERROR(__xludf.DUMMYFUNCTION("""COMPUTED_VALUE"""),41233.666666666664)</f>
        <v>41233.66667</v>
      </c>
      <c r="C3302" s="9">
        <f>IFERROR(__xludf.DUMMYFUNCTION("""COMPUTED_VALUE"""),33.4)</f>
        <v>33.4</v>
      </c>
      <c r="E3302" s="17"/>
      <c r="M3302" s="17"/>
      <c r="P3302" s="17"/>
    </row>
    <row r="3303">
      <c r="B3303" s="11">
        <f>IFERROR(__xludf.DUMMYFUNCTION("""COMPUTED_VALUE"""),41232.666666666664)</f>
        <v>41232.66667</v>
      </c>
      <c r="C3303" s="9">
        <f>IFERROR(__xludf.DUMMYFUNCTION("""COMPUTED_VALUE"""),33.34)</f>
        <v>33.34</v>
      </c>
      <c r="E3303" s="17"/>
      <c r="M3303" s="17"/>
      <c r="P3303" s="17"/>
    </row>
    <row r="3304">
      <c r="B3304" s="11">
        <f>IFERROR(__xludf.DUMMYFUNCTION("""COMPUTED_VALUE"""),41229.666666666664)</f>
        <v>41229.66667</v>
      </c>
      <c r="C3304" s="9">
        <f>IFERROR(__xludf.DUMMYFUNCTION("""COMPUTED_VALUE"""),32.68)</f>
        <v>32.68</v>
      </c>
      <c r="E3304" s="17"/>
      <c r="M3304" s="17"/>
      <c r="P3304" s="17"/>
    </row>
    <row r="3305">
      <c r="B3305" s="11">
        <f>IFERROR(__xludf.DUMMYFUNCTION("""COMPUTED_VALUE"""),41228.666666666664)</f>
        <v>41228.66667</v>
      </c>
      <c r="C3305" s="9">
        <f>IFERROR(__xludf.DUMMYFUNCTION("""COMPUTED_VALUE"""),32.6)</f>
        <v>32.6</v>
      </c>
      <c r="E3305" s="17"/>
      <c r="M3305" s="17"/>
      <c r="P3305" s="17"/>
    </row>
    <row r="3306">
      <c r="B3306" s="11">
        <f>IFERROR(__xludf.DUMMYFUNCTION("""COMPUTED_VALUE"""),41227.666666666664)</f>
        <v>41227.66667</v>
      </c>
      <c r="C3306" s="9">
        <f>IFERROR(__xludf.DUMMYFUNCTION("""COMPUTED_VALUE"""),32.85)</f>
        <v>32.85</v>
      </c>
      <c r="E3306" s="17"/>
      <c r="M3306" s="17"/>
      <c r="P3306" s="17"/>
    </row>
    <row r="3307">
      <c r="B3307" s="11">
        <f>IFERROR(__xludf.DUMMYFUNCTION("""COMPUTED_VALUE"""),41226.666666666664)</f>
        <v>41226.66667</v>
      </c>
      <c r="C3307" s="9">
        <f>IFERROR(__xludf.DUMMYFUNCTION("""COMPUTED_VALUE"""),33.37)</f>
        <v>33.37</v>
      </c>
      <c r="E3307" s="17"/>
      <c r="M3307" s="17"/>
      <c r="P3307" s="17"/>
    </row>
    <row r="3308">
      <c r="B3308" s="11">
        <f>IFERROR(__xludf.DUMMYFUNCTION("""COMPUTED_VALUE"""),41225.666666666664)</f>
        <v>41225.66667</v>
      </c>
      <c r="C3308" s="9">
        <f>IFERROR(__xludf.DUMMYFUNCTION("""COMPUTED_VALUE"""),33.34)</f>
        <v>33.34</v>
      </c>
      <c r="E3308" s="17"/>
      <c r="M3308" s="17"/>
      <c r="P3308" s="17"/>
    </row>
    <row r="3309">
      <c r="B3309" s="11">
        <f>IFERROR(__xludf.DUMMYFUNCTION("""COMPUTED_VALUE"""),41222.666666666664)</f>
        <v>41222.66667</v>
      </c>
      <c r="C3309" s="9">
        <f>IFERROR(__xludf.DUMMYFUNCTION("""COMPUTED_VALUE"""),33.39)</f>
        <v>33.39</v>
      </c>
      <c r="E3309" s="17"/>
      <c r="M3309" s="17"/>
      <c r="P3309" s="17"/>
    </row>
    <row r="3310">
      <c r="B3310" s="11">
        <f>IFERROR(__xludf.DUMMYFUNCTION("""COMPUTED_VALUE"""),41221.666666666664)</f>
        <v>41221.66667</v>
      </c>
      <c r="C3310" s="9">
        <f>IFERROR(__xludf.DUMMYFUNCTION("""COMPUTED_VALUE"""),33.59)</f>
        <v>33.59</v>
      </c>
      <c r="E3310" s="17"/>
      <c r="M3310" s="17"/>
      <c r="P3310" s="17"/>
    </row>
    <row r="3311">
      <c r="B3311" s="11">
        <f>IFERROR(__xludf.DUMMYFUNCTION("""COMPUTED_VALUE"""),41220.666666666664)</f>
        <v>41220.66667</v>
      </c>
      <c r="C3311" s="9">
        <f>IFERROR(__xludf.DUMMYFUNCTION("""COMPUTED_VALUE"""),34.15)</f>
        <v>34.15</v>
      </c>
      <c r="E3311" s="17"/>
      <c r="M3311" s="17"/>
      <c r="P3311" s="17"/>
    </row>
    <row r="3312">
      <c r="B3312" s="11">
        <f>IFERROR(__xludf.DUMMYFUNCTION("""COMPUTED_VALUE"""),41219.666666666664)</f>
        <v>41219.66667</v>
      </c>
      <c r="C3312" s="9">
        <f>IFERROR(__xludf.DUMMYFUNCTION("""COMPUTED_VALUE"""),34.4)</f>
        <v>34.4</v>
      </c>
      <c r="E3312" s="17"/>
      <c r="M3312" s="17"/>
      <c r="P3312" s="17"/>
    </row>
    <row r="3313">
      <c r="B3313" s="11">
        <f>IFERROR(__xludf.DUMMYFUNCTION("""COMPUTED_VALUE"""),41218.666666666664)</f>
        <v>41218.66667</v>
      </c>
      <c r="C3313" s="9">
        <f>IFERROR(__xludf.DUMMYFUNCTION("""COMPUTED_VALUE"""),34.18)</f>
        <v>34.18</v>
      </c>
      <c r="E3313" s="17"/>
      <c r="M3313" s="17"/>
      <c r="P3313" s="17"/>
    </row>
    <row r="3314">
      <c r="B3314" s="11">
        <f>IFERROR(__xludf.DUMMYFUNCTION("""COMPUTED_VALUE"""),41215.666666666664)</f>
        <v>41215.66667</v>
      </c>
      <c r="C3314" s="9">
        <f>IFERROR(__xludf.DUMMYFUNCTION("""COMPUTED_VALUE"""),34.37)</f>
        <v>34.37</v>
      </c>
      <c r="E3314" s="17"/>
      <c r="M3314" s="17"/>
      <c r="P3314" s="17"/>
    </row>
    <row r="3315">
      <c r="B3315" s="11">
        <f>IFERROR(__xludf.DUMMYFUNCTION("""COMPUTED_VALUE"""),41214.666666666664)</f>
        <v>41214.66667</v>
      </c>
      <c r="C3315" s="9">
        <f>IFERROR(__xludf.DUMMYFUNCTION("""COMPUTED_VALUE"""),34.26)</f>
        <v>34.26</v>
      </c>
      <c r="E3315" s="17"/>
      <c r="M3315" s="17"/>
      <c r="P3315" s="17"/>
    </row>
    <row r="3316">
      <c r="B3316" s="11">
        <f>IFERROR(__xludf.DUMMYFUNCTION("""COMPUTED_VALUE"""),41213.666666666664)</f>
        <v>41213.66667</v>
      </c>
      <c r="C3316" s="9">
        <f>IFERROR(__xludf.DUMMYFUNCTION("""COMPUTED_VALUE"""),34.29)</f>
        <v>34.29</v>
      </c>
      <c r="E3316" s="17"/>
      <c r="M3316" s="17"/>
      <c r="P3316" s="17"/>
    </row>
    <row r="3317">
      <c r="B3317" s="11">
        <f>IFERROR(__xludf.DUMMYFUNCTION("""COMPUTED_VALUE"""),41208.666666666664)</f>
        <v>41208.66667</v>
      </c>
      <c r="C3317" s="9">
        <f>IFERROR(__xludf.DUMMYFUNCTION("""COMPUTED_VALUE"""),33.91)</f>
        <v>33.91</v>
      </c>
      <c r="E3317" s="17"/>
      <c r="M3317" s="17"/>
      <c r="P3317" s="17"/>
    </row>
    <row r="3318">
      <c r="B3318" s="11">
        <f>IFERROR(__xludf.DUMMYFUNCTION("""COMPUTED_VALUE"""),41207.666666666664)</f>
        <v>41207.66667</v>
      </c>
      <c r="C3318" s="9">
        <f>IFERROR(__xludf.DUMMYFUNCTION("""COMPUTED_VALUE"""),34.28)</f>
        <v>34.28</v>
      </c>
      <c r="E3318" s="17"/>
      <c r="M3318" s="17"/>
      <c r="P3318" s="17"/>
    </row>
    <row r="3319">
      <c r="B3319" s="11">
        <f>IFERROR(__xludf.DUMMYFUNCTION("""COMPUTED_VALUE"""),41206.666666666664)</f>
        <v>41206.66667</v>
      </c>
      <c r="C3319" s="9">
        <f>IFERROR(__xludf.DUMMYFUNCTION("""COMPUTED_VALUE"""),34.55)</f>
        <v>34.55</v>
      </c>
      <c r="E3319" s="17"/>
      <c r="M3319" s="17"/>
      <c r="P3319" s="17"/>
    </row>
    <row r="3320">
      <c r="B3320" s="11">
        <f>IFERROR(__xludf.DUMMYFUNCTION("""COMPUTED_VALUE"""),41205.666666666664)</f>
        <v>41205.66667</v>
      </c>
      <c r="C3320" s="9">
        <f>IFERROR(__xludf.DUMMYFUNCTION("""COMPUTED_VALUE"""),34.77)</f>
        <v>34.77</v>
      </c>
      <c r="E3320" s="17"/>
      <c r="M3320" s="17"/>
      <c r="P3320" s="17"/>
    </row>
    <row r="3321">
      <c r="B3321" s="11">
        <f>IFERROR(__xludf.DUMMYFUNCTION("""COMPUTED_VALUE"""),41204.666666666664)</f>
        <v>41204.66667</v>
      </c>
      <c r="C3321" s="9">
        <f>IFERROR(__xludf.DUMMYFUNCTION("""COMPUTED_VALUE"""),35.16)</f>
        <v>35.16</v>
      </c>
      <c r="E3321" s="17"/>
      <c r="M3321" s="17"/>
      <c r="P3321" s="17"/>
    </row>
    <row r="3322">
      <c r="B3322" s="11">
        <f>IFERROR(__xludf.DUMMYFUNCTION("""COMPUTED_VALUE"""),41201.666666666664)</f>
        <v>41201.66667</v>
      </c>
      <c r="C3322" s="9">
        <f>IFERROR(__xludf.DUMMYFUNCTION("""COMPUTED_VALUE"""),35.57)</f>
        <v>35.57</v>
      </c>
      <c r="E3322" s="17"/>
      <c r="M3322" s="17"/>
      <c r="P3322" s="17"/>
    </row>
    <row r="3323">
      <c r="B3323" s="11">
        <f>IFERROR(__xludf.DUMMYFUNCTION("""COMPUTED_VALUE"""),41200.666666666664)</f>
        <v>41200.66667</v>
      </c>
      <c r="C3323" s="9">
        <f>IFERROR(__xludf.DUMMYFUNCTION("""COMPUTED_VALUE"""),36.38)</f>
        <v>36.38</v>
      </c>
      <c r="E3323" s="17"/>
      <c r="M3323" s="17"/>
      <c r="P3323" s="17"/>
    </row>
    <row r="3324">
      <c r="B3324" s="11">
        <f>IFERROR(__xludf.DUMMYFUNCTION("""COMPUTED_VALUE"""),41199.666666666664)</f>
        <v>41199.66667</v>
      </c>
      <c r="C3324" s="9">
        <f>IFERROR(__xludf.DUMMYFUNCTION("""COMPUTED_VALUE"""),36.14)</f>
        <v>36.14</v>
      </c>
      <c r="E3324" s="17"/>
      <c r="M3324" s="17"/>
      <c r="P3324" s="17"/>
    </row>
    <row r="3325">
      <c r="B3325" s="11">
        <f>IFERROR(__xludf.DUMMYFUNCTION("""COMPUTED_VALUE"""),41198.666666666664)</f>
        <v>41198.66667</v>
      </c>
      <c r="C3325" s="9">
        <f>IFERROR(__xludf.DUMMYFUNCTION("""COMPUTED_VALUE"""),35.97)</f>
        <v>35.97</v>
      </c>
      <c r="E3325" s="17"/>
      <c r="M3325" s="17"/>
      <c r="P3325" s="17"/>
    </row>
    <row r="3326">
      <c r="B3326" s="11">
        <f>IFERROR(__xludf.DUMMYFUNCTION("""COMPUTED_VALUE"""),41197.666666666664)</f>
        <v>41197.66667</v>
      </c>
      <c r="C3326" s="9">
        <f>IFERROR(__xludf.DUMMYFUNCTION("""COMPUTED_VALUE"""),35.44)</f>
        <v>35.44</v>
      </c>
      <c r="E3326" s="17"/>
      <c r="M3326" s="17"/>
      <c r="P3326" s="17"/>
    </row>
    <row r="3327">
      <c r="B3327" s="11">
        <f>IFERROR(__xludf.DUMMYFUNCTION("""COMPUTED_VALUE"""),41194.666666666664)</f>
        <v>41194.66667</v>
      </c>
      <c r="C3327" s="9">
        <f>IFERROR(__xludf.DUMMYFUNCTION("""COMPUTED_VALUE"""),34.84)</f>
        <v>34.84</v>
      </c>
      <c r="E3327" s="17"/>
      <c r="M3327" s="17"/>
      <c r="P3327" s="17"/>
    </row>
    <row r="3328">
      <c r="B3328" s="11">
        <f>IFERROR(__xludf.DUMMYFUNCTION("""COMPUTED_VALUE"""),41193.666666666664)</f>
        <v>41193.66667</v>
      </c>
      <c r="C3328" s="9">
        <f>IFERROR(__xludf.DUMMYFUNCTION("""COMPUTED_VALUE"""),34.83)</f>
        <v>34.83</v>
      </c>
      <c r="E3328" s="17"/>
      <c r="M3328" s="17"/>
      <c r="P3328" s="17"/>
    </row>
    <row r="3329">
      <c r="B3329" s="11">
        <f>IFERROR(__xludf.DUMMYFUNCTION("""COMPUTED_VALUE"""),41192.666666666664)</f>
        <v>41192.66667</v>
      </c>
      <c r="C3329" s="9">
        <f>IFERROR(__xludf.DUMMYFUNCTION("""COMPUTED_VALUE"""),34.83)</f>
        <v>34.83</v>
      </c>
      <c r="E3329" s="17"/>
      <c r="M3329" s="17"/>
      <c r="P3329" s="17"/>
    </row>
    <row r="3330">
      <c r="B3330" s="11">
        <f>IFERROR(__xludf.DUMMYFUNCTION("""COMPUTED_VALUE"""),41191.666666666664)</f>
        <v>41191.66667</v>
      </c>
      <c r="C3330" s="9">
        <f>IFERROR(__xludf.DUMMYFUNCTION("""COMPUTED_VALUE"""),34.6)</f>
        <v>34.6</v>
      </c>
      <c r="E3330" s="17"/>
      <c r="M3330" s="17"/>
      <c r="P3330" s="17"/>
    </row>
    <row r="3331">
      <c r="B3331" s="11">
        <f>IFERROR(__xludf.DUMMYFUNCTION("""COMPUTED_VALUE"""),41190.666666666664)</f>
        <v>41190.66667</v>
      </c>
      <c r="C3331" s="9">
        <f>IFERROR(__xludf.DUMMYFUNCTION("""COMPUTED_VALUE"""),34.84)</f>
        <v>34.84</v>
      </c>
      <c r="E3331" s="17"/>
      <c r="M3331" s="17"/>
      <c r="P3331" s="17"/>
    </row>
    <row r="3332">
      <c r="B3332" s="11">
        <f>IFERROR(__xludf.DUMMYFUNCTION("""COMPUTED_VALUE"""),41187.666666666664)</f>
        <v>41187.66667</v>
      </c>
      <c r="C3332" s="9">
        <f>IFERROR(__xludf.DUMMYFUNCTION("""COMPUTED_VALUE"""),34.9)</f>
        <v>34.9</v>
      </c>
      <c r="E3332" s="17"/>
      <c r="M3332" s="17"/>
      <c r="P3332" s="17"/>
    </row>
    <row r="3333">
      <c r="B3333" s="11">
        <f>IFERROR(__xludf.DUMMYFUNCTION("""COMPUTED_VALUE"""),41186.666666666664)</f>
        <v>41186.66667</v>
      </c>
      <c r="C3333" s="9">
        <f>IFERROR(__xludf.DUMMYFUNCTION("""COMPUTED_VALUE"""),34.96)</f>
        <v>34.96</v>
      </c>
      <c r="E3333" s="17"/>
      <c r="M3333" s="17"/>
      <c r="P3333" s="17"/>
    </row>
    <row r="3334">
      <c r="B3334" s="11">
        <f>IFERROR(__xludf.DUMMYFUNCTION("""COMPUTED_VALUE"""),41185.666666666664)</f>
        <v>41185.66667</v>
      </c>
      <c r="C3334" s="9">
        <f>IFERROR(__xludf.DUMMYFUNCTION("""COMPUTED_VALUE"""),34.82)</f>
        <v>34.82</v>
      </c>
      <c r="E3334" s="17"/>
      <c r="M3334" s="17"/>
      <c r="P3334" s="17"/>
    </row>
    <row r="3335">
      <c r="B3335" s="11">
        <f>IFERROR(__xludf.DUMMYFUNCTION("""COMPUTED_VALUE"""),41184.666666666664)</f>
        <v>41184.66667</v>
      </c>
      <c r="C3335" s="9">
        <f>IFERROR(__xludf.DUMMYFUNCTION("""COMPUTED_VALUE"""),34.84)</f>
        <v>34.84</v>
      </c>
      <c r="E3335" s="17"/>
      <c r="M3335" s="17"/>
      <c r="P3335" s="17"/>
    </row>
    <row r="3336">
      <c r="B3336" s="11">
        <f>IFERROR(__xludf.DUMMYFUNCTION("""COMPUTED_VALUE"""),41183.666666666664)</f>
        <v>41183.66667</v>
      </c>
      <c r="C3336" s="9">
        <f>IFERROR(__xludf.DUMMYFUNCTION("""COMPUTED_VALUE"""),34.58)</f>
        <v>34.58</v>
      </c>
      <c r="E3336" s="17"/>
      <c r="M3336" s="17"/>
      <c r="P3336" s="17"/>
    </row>
    <row r="3337">
      <c r="B3337" s="11">
        <f>IFERROR(__xludf.DUMMYFUNCTION("""COMPUTED_VALUE"""),41180.666666666664)</f>
        <v>41180.66667</v>
      </c>
      <c r="C3337" s="9">
        <f>IFERROR(__xludf.DUMMYFUNCTION("""COMPUTED_VALUE"""),35.03)</f>
        <v>35.03</v>
      </c>
      <c r="E3337" s="17"/>
      <c r="M3337" s="17"/>
      <c r="P3337" s="17"/>
    </row>
    <row r="3338">
      <c r="B3338" s="11">
        <f>IFERROR(__xludf.DUMMYFUNCTION("""COMPUTED_VALUE"""),41179.666666666664)</f>
        <v>41179.66667</v>
      </c>
      <c r="C3338" s="9">
        <f>IFERROR(__xludf.DUMMYFUNCTION("""COMPUTED_VALUE"""),34.76)</f>
        <v>34.76</v>
      </c>
      <c r="E3338" s="17"/>
      <c r="M3338" s="17"/>
      <c r="P3338" s="17"/>
    </row>
    <row r="3339">
      <c r="B3339" s="11">
        <f>IFERROR(__xludf.DUMMYFUNCTION("""COMPUTED_VALUE"""),41178.666666666664)</f>
        <v>41178.66667</v>
      </c>
      <c r="C3339" s="9">
        <f>IFERROR(__xludf.DUMMYFUNCTION("""COMPUTED_VALUE"""),33.95)</f>
        <v>33.95</v>
      </c>
      <c r="E3339" s="17"/>
      <c r="M3339" s="17"/>
      <c r="P3339" s="17"/>
    </row>
    <row r="3340">
      <c r="B3340" s="11">
        <f>IFERROR(__xludf.DUMMYFUNCTION("""COMPUTED_VALUE"""),41177.666666666664)</f>
        <v>41177.66667</v>
      </c>
      <c r="C3340" s="9">
        <f>IFERROR(__xludf.DUMMYFUNCTION("""COMPUTED_VALUE"""),34.27)</f>
        <v>34.27</v>
      </c>
      <c r="E3340" s="17"/>
      <c r="M3340" s="17"/>
      <c r="P3340" s="17"/>
    </row>
    <row r="3341">
      <c r="B3341" s="11">
        <f>IFERROR(__xludf.DUMMYFUNCTION("""COMPUTED_VALUE"""),41176.666666666664)</f>
        <v>41176.66667</v>
      </c>
      <c r="C3341" s="9">
        <f>IFERROR(__xludf.DUMMYFUNCTION("""COMPUTED_VALUE"""),34.85)</f>
        <v>34.85</v>
      </c>
      <c r="E3341" s="17"/>
      <c r="M3341" s="17"/>
      <c r="P3341" s="17"/>
    </row>
    <row r="3342">
      <c r="B3342" s="11">
        <f>IFERROR(__xludf.DUMMYFUNCTION("""COMPUTED_VALUE"""),41173.666666666664)</f>
        <v>41173.66667</v>
      </c>
      <c r="C3342" s="9">
        <f>IFERROR(__xludf.DUMMYFUNCTION("""COMPUTED_VALUE"""),34.99)</f>
        <v>34.99</v>
      </c>
      <c r="E3342" s="17"/>
      <c r="M3342" s="17"/>
      <c r="P3342" s="17"/>
    </row>
    <row r="3343">
      <c r="B3343" s="11">
        <f>IFERROR(__xludf.DUMMYFUNCTION("""COMPUTED_VALUE"""),41172.666666666664)</f>
        <v>41172.66667</v>
      </c>
      <c r="C3343" s="9">
        <f>IFERROR(__xludf.DUMMYFUNCTION("""COMPUTED_VALUE"""),35.31)</f>
        <v>35.31</v>
      </c>
      <c r="E3343" s="17"/>
      <c r="M3343" s="17"/>
      <c r="P3343" s="17"/>
    </row>
    <row r="3344">
      <c r="B3344" s="11">
        <f>IFERROR(__xludf.DUMMYFUNCTION("""COMPUTED_VALUE"""),41171.666666666664)</f>
        <v>41171.66667</v>
      </c>
      <c r="C3344" s="9">
        <f>IFERROR(__xludf.DUMMYFUNCTION("""COMPUTED_VALUE"""),35.75)</f>
        <v>35.75</v>
      </c>
      <c r="E3344" s="17"/>
      <c r="M3344" s="17"/>
      <c r="P3344" s="17"/>
    </row>
    <row r="3345">
      <c r="B3345" s="11">
        <f>IFERROR(__xludf.DUMMYFUNCTION("""COMPUTED_VALUE"""),41170.666666666664)</f>
        <v>41170.66667</v>
      </c>
      <c r="C3345" s="9">
        <f>IFERROR(__xludf.DUMMYFUNCTION("""COMPUTED_VALUE"""),36.22)</f>
        <v>36.22</v>
      </c>
      <c r="E3345" s="17"/>
      <c r="M3345" s="17"/>
      <c r="P3345" s="17"/>
    </row>
    <row r="3346">
      <c r="B3346" s="11">
        <f>IFERROR(__xludf.DUMMYFUNCTION("""COMPUTED_VALUE"""),41169.666666666664)</f>
        <v>41169.66667</v>
      </c>
      <c r="C3346" s="9">
        <f>IFERROR(__xludf.DUMMYFUNCTION("""COMPUTED_VALUE"""),36.67)</f>
        <v>36.67</v>
      </c>
      <c r="E3346" s="17"/>
      <c r="M3346" s="17"/>
      <c r="P3346" s="17"/>
    </row>
    <row r="3347">
      <c r="B3347" s="11">
        <f>IFERROR(__xludf.DUMMYFUNCTION("""COMPUTED_VALUE"""),41166.666666666664)</f>
        <v>41166.66667</v>
      </c>
      <c r="C3347" s="9">
        <f>IFERROR(__xludf.DUMMYFUNCTION("""COMPUTED_VALUE"""),36.89)</f>
        <v>36.89</v>
      </c>
      <c r="E3347" s="17"/>
      <c r="M3347" s="17"/>
      <c r="P3347" s="17"/>
    </row>
    <row r="3348">
      <c r="B3348" s="11">
        <f>IFERROR(__xludf.DUMMYFUNCTION("""COMPUTED_VALUE"""),41165.666666666664)</f>
        <v>41165.66667</v>
      </c>
      <c r="C3348" s="9">
        <f>IFERROR(__xludf.DUMMYFUNCTION("""COMPUTED_VALUE"""),36.91)</f>
        <v>36.91</v>
      </c>
      <c r="E3348" s="17"/>
      <c r="M3348" s="17"/>
      <c r="P3348" s="17"/>
    </row>
    <row r="3349">
      <c r="B3349" s="11">
        <f>IFERROR(__xludf.DUMMYFUNCTION("""COMPUTED_VALUE"""),41164.666666666664)</f>
        <v>41164.66667</v>
      </c>
      <c r="C3349" s="9">
        <f>IFERROR(__xludf.DUMMYFUNCTION("""COMPUTED_VALUE"""),36.07)</f>
        <v>36.07</v>
      </c>
      <c r="E3349" s="17"/>
      <c r="M3349" s="17"/>
      <c r="P3349" s="17"/>
    </row>
    <row r="3350">
      <c r="B3350" s="11">
        <f>IFERROR(__xludf.DUMMYFUNCTION("""COMPUTED_VALUE"""),41163.666666666664)</f>
        <v>41163.66667</v>
      </c>
      <c r="C3350" s="9">
        <f>IFERROR(__xludf.DUMMYFUNCTION("""COMPUTED_VALUE"""),36.18)</f>
        <v>36.18</v>
      </c>
      <c r="E3350" s="17"/>
      <c r="M3350" s="17"/>
      <c r="P3350" s="17"/>
    </row>
    <row r="3351">
      <c r="B3351" s="11">
        <f>IFERROR(__xludf.DUMMYFUNCTION("""COMPUTED_VALUE"""),41162.666666666664)</f>
        <v>41162.66667</v>
      </c>
      <c r="C3351" s="9">
        <f>IFERROR(__xludf.DUMMYFUNCTION("""COMPUTED_VALUE"""),35.73)</f>
        <v>35.73</v>
      </c>
      <c r="E3351" s="17"/>
      <c r="M3351" s="17"/>
      <c r="P3351" s="17"/>
    </row>
    <row r="3352">
      <c r="B3352" s="11">
        <f>IFERROR(__xludf.DUMMYFUNCTION("""COMPUTED_VALUE"""),41159.666666666664)</f>
        <v>41159.66667</v>
      </c>
      <c r="C3352" s="9">
        <f>IFERROR(__xludf.DUMMYFUNCTION("""COMPUTED_VALUE"""),35.73)</f>
        <v>35.73</v>
      </c>
      <c r="E3352" s="17"/>
      <c r="M3352" s="17"/>
      <c r="P3352" s="17"/>
    </row>
    <row r="3353">
      <c r="B3353" s="11">
        <f>IFERROR(__xludf.DUMMYFUNCTION("""COMPUTED_VALUE"""),41158.666666666664)</f>
        <v>41158.66667</v>
      </c>
      <c r="C3353" s="9">
        <f>IFERROR(__xludf.DUMMYFUNCTION("""COMPUTED_VALUE"""),35.36)</f>
        <v>35.36</v>
      </c>
      <c r="E3353" s="17"/>
      <c r="M3353" s="17"/>
      <c r="P3353" s="17"/>
    </row>
    <row r="3354">
      <c r="B3354" s="11">
        <f>IFERROR(__xludf.DUMMYFUNCTION("""COMPUTED_VALUE"""),41157.666666666664)</f>
        <v>41157.66667</v>
      </c>
      <c r="C3354" s="9">
        <f>IFERROR(__xludf.DUMMYFUNCTION("""COMPUTED_VALUE"""),34.58)</f>
        <v>34.58</v>
      </c>
      <c r="E3354" s="17"/>
      <c r="M3354" s="17"/>
      <c r="P3354" s="17"/>
    </row>
    <row r="3355">
      <c r="B3355" s="11">
        <f>IFERROR(__xludf.DUMMYFUNCTION("""COMPUTED_VALUE"""),41156.666666666664)</f>
        <v>41156.66667</v>
      </c>
      <c r="C3355" s="9">
        <f>IFERROR(__xludf.DUMMYFUNCTION("""COMPUTED_VALUE"""),34.46)</f>
        <v>34.46</v>
      </c>
      <c r="E3355" s="17"/>
      <c r="M3355" s="17"/>
      <c r="P3355" s="17"/>
    </row>
    <row r="3356">
      <c r="B3356" s="11">
        <f>IFERROR(__xludf.DUMMYFUNCTION("""COMPUTED_VALUE"""),41152.666666666664)</f>
        <v>41152.66667</v>
      </c>
      <c r="C3356" s="9">
        <f>IFERROR(__xludf.DUMMYFUNCTION("""COMPUTED_VALUE"""),34.17)</f>
        <v>34.17</v>
      </c>
      <c r="E3356" s="17"/>
      <c r="M3356" s="17"/>
      <c r="P3356" s="17"/>
    </row>
    <row r="3357">
      <c r="B3357" s="11">
        <f>IFERROR(__xludf.DUMMYFUNCTION("""COMPUTED_VALUE"""),41151.666666666664)</f>
        <v>41151.66667</v>
      </c>
      <c r="C3357" s="9">
        <f>IFERROR(__xludf.DUMMYFUNCTION("""COMPUTED_VALUE"""),34.07)</f>
        <v>34.07</v>
      </c>
      <c r="E3357" s="17"/>
      <c r="M3357" s="17"/>
      <c r="P3357" s="17"/>
    </row>
    <row r="3358">
      <c r="B3358" s="11">
        <f>IFERROR(__xludf.DUMMYFUNCTION("""COMPUTED_VALUE"""),41150.666666666664)</f>
        <v>41150.66667</v>
      </c>
      <c r="C3358" s="9">
        <f>IFERROR(__xludf.DUMMYFUNCTION("""COMPUTED_VALUE"""),34.25)</f>
        <v>34.25</v>
      </c>
      <c r="E3358" s="17"/>
      <c r="M3358" s="17"/>
      <c r="P3358" s="17"/>
    </row>
    <row r="3359">
      <c r="B3359" s="11">
        <f>IFERROR(__xludf.DUMMYFUNCTION("""COMPUTED_VALUE"""),41149.666666666664)</f>
        <v>41149.66667</v>
      </c>
      <c r="C3359" s="9">
        <f>IFERROR(__xludf.DUMMYFUNCTION("""COMPUTED_VALUE"""),33.91)</f>
        <v>33.91</v>
      </c>
      <c r="E3359" s="17"/>
      <c r="M3359" s="17"/>
      <c r="P3359" s="17"/>
    </row>
    <row r="3360">
      <c r="B3360" s="11">
        <f>IFERROR(__xludf.DUMMYFUNCTION("""COMPUTED_VALUE"""),41148.666666666664)</f>
        <v>41148.66667</v>
      </c>
      <c r="C3360" s="9">
        <f>IFERROR(__xludf.DUMMYFUNCTION("""COMPUTED_VALUE"""),33.74)</f>
        <v>33.74</v>
      </c>
      <c r="E3360" s="17"/>
      <c r="M3360" s="17"/>
      <c r="P3360" s="17"/>
    </row>
    <row r="3361">
      <c r="B3361" s="11">
        <f>IFERROR(__xludf.DUMMYFUNCTION("""COMPUTED_VALUE"""),41145.666666666664)</f>
        <v>41145.66667</v>
      </c>
      <c r="C3361" s="9">
        <f>IFERROR(__xludf.DUMMYFUNCTION("""COMPUTED_VALUE"""),33.43)</f>
        <v>33.43</v>
      </c>
      <c r="E3361" s="17"/>
      <c r="M3361" s="17"/>
      <c r="P3361" s="17"/>
    </row>
    <row r="3362">
      <c r="B3362" s="11">
        <f>IFERROR(__xludf.DUMMYFUNCTION("""COMPUTED_VALUE"""),41144.666666666664)</f>
        <v>41144.66667</v>
      </c>
      <c r="C3362" s="9">
        <f>IFERROR(__xludf.DUMMYFUNCTION("""COMPUTED_VALUE"""),32.91)</f>
        <v>32.91</v>
      </c>
      <c r="E3362" s="17"/>
      <c r="M3362" s="17"/>
      <c r="P3362" s="17"/>
    </row>
    <row r="3363">
      <c r="B3363" s="11">
        <f>IFERROR(__xludf.DUMMYFUNCTION("""COMPUTED_VALUE"""),41143.666666666664)</f>
        <v>41143.66667</v>
      </c>
      <c r="C3363" s="9">
        <f>IFERROR(__xludf.DUMMYFUNCTION("""COMPUTED_VALUE"""),33.23)</f>
        <v>33.23</v>
      </c>
      <c r="E3363" s="17"/>
      <c r="M3363" s="17"/>
      <c r="P3363" s="17"/>
    </row>
    <row r="3364">
      <c r="B3364" s="11">
        <f>IFERROR(__xludf.DUMMYFUNCTION("""COMPUTED_VALUE"""),41142.666666666664)</f>
        <v>41142.66667</v>
      </c>
      <c r="C3364" s="9">
        <f>IFERROR(__xludf.DUMMYFUNCTION("""COMPUTED_VALUE"""),33.67)</f>
        <v>33.67</v>
      </c>
      <c r="E3364" s="17"/>
      <c r="M3364" s="17"/>
      <c r="P3364" s="17"/>
    </row>
    <row r="3365">
      <c r="B3365" s="11">
        <f>IFERROR(__xludf.DUMMYFUNCTION("""COMPUTED_VALUE"""),41141.666666666664)</f>
        <v>41141.66667</v>
      </c>
      <c r="C3365" s="9">
        <f>IFERROR(__xludf.DUMMYFUNCTION("""COMPUTED_VALUE"""),33.74)</f>
        <v>33.74</v>
      </c>
      <c r="E3365" s="17"/>
      <c r="M3365" s="17"/>
      <c r="P3365" s="17"/>
    </row>
    <row r="3366">
      <c r="B3366" s="11">
        <f>IFERROR(__xludf.DUMMYFUNCTION("""COMPUTED_VALUE"""),41138.666666666664)</f>
        <v>41138.66667</v>
      </c>
      <c r="C3366" s="9">
        <f>IFERROR(__xludf.DUMMYFUNCTION("""COMPUTED_VALUE"""),33.8)</f>
        <v>33.8</v>
      </c>
      <c r="E3366" s="17"/>
      <c r="M3366" s="17"/>
      <c r="P3366" s="17"/>
    </row>
    <row r="3367">
      <c r="B3367" s="11">
        <f>IFERROR(__xludf.DUMMYFUNCTION("""COMPUTED_VALUE"""),41137.666666666664)</f>
        <v>41137.66667</v>
      </c>
      <c r="C3367" s="9">
        <f>IFERROR(__xludf.DUMMYFUNCTION("""COMPUTED_VALUE"""),33.74)</f>
        <v>33.74</v>
      </c>
      <c r="E3367" s="17"/>
      <c r="M3367" s="17"/>
      <c r="P3367" s="17"/>
    </row>
    <row r="3368">
      <c r="B3368" s="11">
        <f>IFERROR(__xludf.DUMMYFUNCTION("""COMPUTED_VALUE"""),41136.666666666664)</f>
        <v>41136.66667</v>
      </c>
      <c r="C3368" s="9">
        <f>IFERROR(__xludf.DUMMYFUNCTION("""COMPUTED_VALUE"""),33.31)</f>
        <v>33.31</v>
      </c>
      <c r="E3368" s="17"/>
      <c r="M3368" s="17"/>
      <c r="P3368" s="17"/>
    </row>
    <row r="3369">
      <c r="B3369" s="11">
        <f>IFERROR(__xludf.DUMMYFUNCTION("""COMPUTED_VALUE"""),41135.666666666664)</f>
        <v>41135.66667</v>
      </c>
      <c r="C3369" s="9">
        <f>IFERROR(__xludf.DUMMYFUNCTION("""COMPUTED_VALUE"""),33.19)</f>
        <v>33.19</v>
      </c>
      <c r="E3369" s="17"/>
      <c r="M3369" s="17"/>
      <c r="P3369" s="17"/>
    </row>
    <row r="3370">
      <c r="B3370" s="11">
        <f>IFERROR(__xludf.DUMMYFUNCTION("""COMPUTED_VALUE"""),41134.666666666664)</f>
        <v>41134.66667</v>
      </c>
      <c r="C3370" s="9">
        <f>IFERROR(__xludf.DUMMYFUNCTION("""COMPUTED_VALUE"""),32.96)</f>
        <v>32.96</v>
      </c>
      <c r="E3370" s="17"/>
      <c r="M3370" s="17"/>
      <c r="P3370" s="17"/>
    </row>
    <row r="3371">
      <c r="B3371" s="11">
        <f>IFERROR(__xludf.DUMMYFUNCTION("""COMPUTED_VALUE"""),41131.666666666664)</f>
        <v>41131.66667</v>
      </c>
      <c r="C3371" s="9">
        <f>IFERROR(__xludf.DUMMYFUNCTION("""COMPUTED_VALUE"""),33.2)</f>
        <v>33.2</v>
      </c>
      <c r="E3371" s="17"/>
      <c r="M3371" s="17"/>
      <c r="P3371" s="17"/>
    </row>
    <row r="3372">
      <c r="B3372" s="11">
        <f>IFERROR(__xludf.DUMMYFUNCTION("""COMPUTED_VALUE"""),41130.666666666664)</f>
        <v>41130.66667</v>
      </c>
      <c r="C3372" s="9">
        <f>IFERROR(__xludf.DUMMYFUNCTION("""COMPUTED_VALUE"""),33.25)</f>
        <v>33.25</v>
      </c>
      <c r="E3372" s="17"/>
      <c r="M3372" s="17"/>
      <c r="P3372" s="17"/>
    </row>
    <row r="3373">
      <c r="B3373" s="11">
        <f>IFERROR(__xludf.DUMMYFUNCTION("""COMPUTED_VALUE"""),41129.666666666664)</f>
        <v>41129.66667</v>
      </c>
      <c r="C3373" s="9">
        <f>IFERROR(__xludf.DUMMYFUNCTION("""COMPUTED_VALUE"""),33.44)</f>
        <v>33.44</v>
      </c>
      <c r="E3373" s="17"/>
      <c r="M3373" s="17"/>
      <c r="P3373" s="17"/>
    </row>
    <row r="3374">
      <c r="B3374" s="11">
        <f>IFERROR(__xludf.DUMMYFUNCTION("""COMPUTED_VALUE"""),41128.666666666664)</f>
        <v>41128.66667</v>
      </c>
      <c r="C3374" s="9">
        <f>IFERROR(__xludf.DUMMYFUNCTION("""COMPUTED_VALUE"""),33.76)</f>
        <v>33.76</v>
      </c>
      <c r="E3374" s="17"/>
      <c r="M3374" s="17"/>
      <c r="P3374" s="17"/>
    </row>
    <row r="3375">
      <c r="B3375" s="11">
        <f>IFERROR(__xludf.DUMMYFUNCTION("""COMPUTED_VALUE"""),41127.666666666664)</f>
        <v>41127.66667</v>
      </c>
      <c r="C3375" s="9">
        <f>IFERROR(__xludf.DUMMYFUNCTION("""COMPUTED_VALUE"""),33.93)</f>
        <v>33.93</v>
      </c>
      <c r="E3375" s="17"/>
      <c r="M3375" s="17"/>
      <c r="P3375" s="17"/>
    </row>
    <row r="3376">
      <c r="B3376" s="11">
        <f>IFERROR(__xludf.DUMMYFUNCTION("""COMPUTED_VALUE"""),41124.666666666664)</f>
        <v>41124.66667</v>
      </c>
      <c r="C3376" s="9">
        <f>IFERROR(__xludf.DUMMYFUNCTION("""COMPUTED_VALUE"""),33.66)</f>
        <v>33.66</v>
      </c>
      <c r="E3376" s="17"/>
      <c r="M3376" s="17"/>
      <c r="P3376" s="17"/>
    </row>
    <row r="3377">
      <c r="B3377" s="11">
        <f>IFERROR(__xludf.DUMMYFUNCTION("""COMPUTED_VALUE"""),41123.666666666664)</f>
        <v>41123.66667</v>
      </c>
      <c r="C3377" s="9">
        <f>IFERROR(__xludf.DUMMYFUNCTION("""COMPUTED_VALUE"""),32.35)</f>
        <v>32.35</v>
      </c>
      <c r="E3377" s="17"/>
      <c r="M3377" s="17"/>
      <c r="P3377" s="17"/>
    </row>
    <row r="3378">
      <c r="B3378" s="11">
        <f>IFERROR(__xludf.DUMMYFUNCTION("""COMPUTED_VALUE"""),41122.666666666664)</f>
        <v>41122.66667</v>
      </c>
      <c r="C3378" s="9">
        <f>IFERROR(__xludf.DUMMYFUNCTION("""COMPUTED_VALUE"""),32.39)</f>
        <v>32.39</v>
      </c>
      <c r="E3378" s="17"/>
      <c r="M3378" s="17"/>
      <c r="P3378" s="17"/>
    </row>
    <row r="3379">
      <c r="B3379" s="11">
        <f>IFERROR(__xludf.DUMMYFUNCTION("""COMPUTED_VALUE"""),41121.666666666664)</f>
        <v>41121.66667</v>
      </c>
      <c r="C3379" s="9">
        <f>IFERROR(__xludf.DUMMYFUNCTION("""COMPUTED_VALUE"""),32.33)</f>
        <v>32.33</v>
      </c>
      <c r="E3379" s="17"/>
      <c r="M3379" s="17"/>
      <c r="P3379" s="17"/>
    </row>
    <row r="3380">
      <c r="B3380" s="11">
        <f>IFERROR(__xludf.DUMMYFUNCTION("""COMPUTED_VALUE"""),41120.666666666664)</f>
        <v>41120.66667</v>
      </c>
      <c r="C3380" s="9">
        <f>IFERROR(__xludf.DUMMYFUNCTION("""COMPUTED_VALUE"""),32.26)</f>
        <v>32.26</v>
      </c>
      <c r="E3380" s="17"/>
      <c r="M3380" s="17"/>
      <c r="P3380" s="17"/>
    </row>
    <row r="3381">
      <c r="B3381" s="11">
        <f>IFERROR(__xludf.DUMMYFUNCTION("""COMPUTED_VALUE"""),41117.666666666664)</f>
        <v>41117.66667</v>
      </c>
      <c r="C3381" s="9">
        <f>IFERROR(__xludf.DUMMYFUNCTION("""COMPUTED_VALUE"""),32.52)</f>
        <v>32.52</v>
      </c>
      <c r="E3381" s="17"/>
      <c r="M3381" s="17"/>
      <c r="P3381" s="17"/>
    </row>
    <row r="3382">
      <c r="B3382" s="11">
        <f>IFERROR(__xludf.DUMMYFUNCTION("""COMPUTED_VALUE"""),41116.666666666664)</f>
        <v>41116.66667</v>
      </c>
      <c r="C3382" s="9">
        <f>IFERROR(__xludf.DUMMYFUNCTION("""COMPUTED_VALUE"""),32.25)</f>
        <v>32.25</v>
      </c>
      <c r="E3382" s="17"/>
      <c r="M3382" s="17"/>
      <c r="P3382" s="17"/>
    </row>
    <row r="3383">
      <c r="B3383" s="11">
        <f>IFERROR(__xludf.DUMMYFUNCTION("""COMPUTED_VALUE"""),41115.666666666664)</f>
        <v>41115.66667</v>
      </c>
      <c r="C3383" s="9">
        <f>IFERROR(__xludf.DUMMYFUNCTION("""COMPUTED_VALUE"""),31.68)</f>
        <v>31.68</v>
      </c>
      <c r="E3383" s="17"/>
      <c r="M3383" s="17"/>
      <c r="P3383" s="17"/>
    </row>
    <row r="3384">
      <c r="B3384" s="11">
        <f>IFERROR(__xludf.DUMMYFUNCTION("""COMPUTED_VALUE"""),41114.666666666664)</f>
        <v>41114.66667</v>
      </c>
      <c r="C3384" s="9">
        <f>IFERROR(__xludf.DUMMYFUNCTION("""COMPUTED_VALUE"""),31.35)</f>
        <v>31.35</v>
      </c>
      <c r="E3384" s="17"/>
      <c r="M3384" s="17"/>
      <c r="P3384" s="17"/>
    </row>
    <row r="3385">
      <c r="B3385" s="11">
        <f>IFERROR(__xludf.DUMMYFUNCTION("""COMPUTED_VALUE"""),41113.666666666664)</f>
        <v>41113.66667</v>
      </c>
      <c r="C3385" s="9">
        <f>IFERROR(__xludf.DUMMYFUNCTION("""COMPUTED_VALUE"""),31.43)</f>
        <v>31.43</v>
      </c>
      <c r="E3385" s="17"/>
      <c r="M3385" s="17"/>
      <c r="P3385" s="17"/>
    </row>
    <row r="3386">
      <c r="B3386" s="11">
        <f>IFERROR(__xludf.DUMMYFUNCTION("""COMPUTED_VALUE"""),41110.666666666664)</f>
        <v>41110.66667</v>
      </c>
      <c r="C3386" s="9">
        <f>IFERROR(__xludf.DUMMYFUNCTION("""COMPUTED_VALUE"""),32.11)</f>
        <v>32.11</v>
      </c>
      <c r="E3386" s="17"/>
      <c r="M3386" s="17"/>
      <c r="P3386" s="17"/>
    </row>
    <row r="3387">
      <c r="B3387" s="11">
        <f>IFERROR(__xludf.DUMMYFUNCTION("""COMPUTED_VALUE"""),41109.666666666664)</f>
        <v>41109.66667</v>
      </c>
      <c r="C3387" s="9">
        <f>IFERROR(__xludf.DUMMYFUNCTION("""COMPUTED_VALUE"""),32.68)</f>
        <v>32.68</v>
      </c>
      <c r="E3387" s="17"/>
      <c r="M3387" s="17"/>
      <c r="P3387" s="17"/>
    </row>
    <row r="3388">
      <c r="B3388" s="11">
        <f>IFERROR(__xludf.DUMMYFUNCTION("""COMPUTED_VALUE"""),41108.666666666664)</f>
        <v>41108.66667</v>
      </c>
      <c r="C3388" s="9">
        <f>IFERROR(__xludf.DUMMYFUNCTION("""COMPUTED_VALUE"""),33.05)</f>
        <v>33.05</v>
      </c>
      <c r="E3388" s="17"/>
      <c r="M3388" s="17"/>
      <c r="P3388" s="17"/>
    </row>
    <row r="3389">
      <c r="B3389" s="11">
        <f>IFERROR(__xludf.DUMMYFUNCTION("""COMPUTED_VALUE"""),41107.666666666664)</f>
        <v>41107.66667</v>
      </c>
      <c r="C3389" s="9">
        <f>IFERROR(__xludf.DUMMYFUNCTION("""COMPUTED_VALUE"""),33.05)</f>
        <v>33.05</v>
      </c>
      <c r="E3389" s="17"/>
      <c r="M3389" s="17"/>
      <c r="P3389" s="17"/>
    </row>
    <row r="3390">
      <c r="B3390" s="11">
        <f>IFERROR(__xludf.DUMMYFUNCTION("""COMPUTED_VALUE"""),41106.666666666664)</f>
        <v>41106.66667</v>
      </c>
      <c r="C3390" s="9">
        <f>IFERROR(__xludf.DUMMYFUNCTION("""COMPUTED_VALUE"""),32.69)</f>
        <v>32.69</v>
      </c>
      <c r="E3390" s="17"/>
      <c r="M3390" s="17"/>
      <c r="P3390" s="17"/>
    </row>
    <row r="3391">
      <c r="B3391" s="11">
        <f>IFERROR(__xludf.DUMMYFUNCTION("""COMPUTED_VALUE"""),41103.666666666664)</f>
        <v>41103.66667</v>
      </c>
      <c r="C3391" s="9">
        <f>IFERROR(__xludf.DUMMYFUNCTION("""COMPUTED_VALUE"""),32.79)</f>
        <v>32.79</v>
      </c>
      <c r="E3391" s="17"/>
      <c r="M3391" s="17"/>
      <c r="P3391" s="17"/>
    </row>
    <row r="3392">
      <c r="B3392" s="11">
        <f>IFERROR(__xludf.DUMMYFUNCTION("""COMPUTED_VALUE"""),41102.666666666664)</f>
        <v>41102.66667</v>
      </c>
      <c r="C3392" s="9">
        <f>IFERROR(__xludf.DUMMYFUNCTION("""COMPUTED_VALUE"""),32.48)</f>
        <v>32.48</v>
      </c>
      <c r="E3392" s="17"/>
      <c r="M3392" s="17"/>
      <c r="P3392" s="17"/>
    </row>
    <row r="3393">
      <c r="B3393" s="11">
        <f>IFERROR(__xludf.DUMMYFUNCTION("""COMPUTED_VALUE"""),41101.666666666664)</f>
        <v>41101.66667</v>
      </c>
      <c r="C3393" s="9">
        <f>IFERROR(__xludf.DUMMYFUNCTION("""COMPUTED_VALUE"""),32.62)</f>
        <v>32.62</v>
      </c>
      <c r="E3393" s="17"/>
      <c r="M3393" s="17"/>
      <c r="P3393" s="17"/>
    </row>
    <row r="3394">
      <c r="B3394" s="11">
        <f>IFERROR(__xludf.DUMMYFUNCTION("""COMPUTED_VALUE"""),41100.666666666664)</f>
        <v>41100.66667</v>
      </c>
      <c r="C3394" s="9">
        <f>IFERROR(__xludf.DUMMYFUNCTION("""COMPUTED_VALUE"""),32.35)</f>
        <v>32.35</v>
      </c>
      <c r="E3394" s="17"/>
      <c r="M3394" s="17"/>
      <c r="P3394" s="17"/>
    </row>
    <row r="3395">
      <c r="B3395" s="11">
        <f>IFERROR(__xludf.DUMMYFUNCTION("""COMPUTED_VALUE"""),41099.666666666664)</f>
        <v>41099.66667</v>
      </c>
      <c r="C3395" s="9">
        <f>IFERROR(__xludf.DUMMYFUNCTION("""COMPUTED_VALUE"""),32.7)</f>
        <v>32.7</v>
      </c>
      <c r="E3395" s="17"/>
      <c r="M3395" s="17"/>
      <c r="P3395" s="17"/>
    </row>
    <row r="3396">
      <c r="B3396" s="11">
        <f>IFERROR(__xludf.DUMMYFUNCTION("""COMPUTED_VALUE"""),41096.666666666664)</f>
        <v>41096.66667</v>
      </c>
      <c r="C3396" s="9">
        <f>IFERROR(__xludf.DUMMYFUNCTION("""COMPUTED_VALUE"""),33.08)</f>
        <v>33.08</v>
      </c>
      <c r="E3396" s="17"/>
      <c r="M3396" s="17"/>
      <c r="P3396" s="17"/>
    </row>
    <row r="3397">
      <c r="B3397" s="11">
        <f>IFERROR(__xludf.DUMMYFUNCTION("""COMPUTED_VALUE"""),41095.666666666664)</f>
        <v>41095.66667</v>
      </c>
      <c r="C3397" s="9">
        <f>IFERROR(__xludf.DUMMYFUNCTION("""COMPUTED_VALUE"""),33.1)</f>
        <v>33.1</v>
      </c>
      <c r="E3397" s="17"/>
      <c r="M3397" s="17"/>
      <c r="P3397" s="17"/>
    </row>
    <row r="3398">
      <c r="B3398" s="11">
        <f>IFERROR(__xludf.DUMMYFUNCTION("""COMPUTED_VALUE"""),41093.666666666664)</f>
        <v>41093.66667</v>
      </c>
      <c r="C3398" s="9">
        <f>IFERROR(__xludf.DUMMYFUNCTION("""COMPUTED_VALUE"""),33.51)</f>
        <v>33.51</v>
      </c>
      <c r="E3398" s="17"/>
      <c r="M3398" s="17"/>
      <c r="P3398" s="17"/>
    </row>
    <row r="3399">
      <c r="B3399" s="11">
        <f>IFERROR(__xludf.DUMMYFUNCTION("""COMPUTED_VALUE"""),41092.666666666664)</f>
        <v>41092.66667</v>
      </c>
      <c r="C3399" s="9">
        <f>IFERROR(__xludf.DUMMYFUNCTION("""COMPUTED_VALUE"""),33.35)</f>
        <v>33.35</v>
      </c>
      <c r="E3399" s="17"/>
      <c r="M3399" s="17"/>
      <c r="P3399" s="17"/>
    </row>
    <row r="3400">
      <c r="B3400" s="11">
        <f>IFERROR(__xludf.DUMMYFUNCTION("""COMPUTED_VALUE"""),41089.666666666664)</f>
        <v>41089.66667</v>
      </c>
      <c r="C3400" s="9">
        <f>IFERROR(__xludf.DUMMYFUNCTION("""COMPUTED_VALUE"""),33.23)</f>
        <v>33.23</v>
      </c>
      <c r="E3400" s="17"/>
      <c r="M3400" s="17"/>
      <c r="P3400" s="17"/>
    </row>
    <row r="3401">
      <c r="B3401" s="11">
        <f>IFERROR(__xludf.DUMMYFUNCTION("""COMPUTED_VALUE"""),41088.666666666664)</f>
        <v>41088.66667</v>
      </c>
      <c r="C3401" s="9">
        <f>IFERROR(__xludf.DUMMYFUNCTION("""COMPUTED_VALUE"""),31.56)</f>
        <v>31.56</v>
      </c>
      <c r="E3401" s="17"/>
      <c r="M3401" s="17"/>
      <c r="P3401" s="17"/>
    </row>
    <row r="3402">
      <c r="B3402" s="11">
        <f>IFERROR(__xludf.DUMMYFUNCTION("""COMPUTED_VALUE"""),41087.666666666664)</f>
        <v>41087.66667</v>
      </c>
      <c r="C3402" s="9">
        <f>IFERROR(__xludf.DUMMYFUNCTION("""COMPUTED_VALUE"""),31.16)</f>
        <v>31.16</v>
      </c>
      <c r="E3402" s="17"/>
      <c r="M3402" s="17"/>
      <c r="P3402" s="17"/>
    </row>
    <row r="3403">
      <c r="B3403" s="11">
        <f>IFERROR(__xludf.DUMMYFUNCTION("""COMPUTED_VALUE"""),41086.666666666664)</f>
        <v>41086.66667</v>
      </c>
      <c r="C3403" s="9">
        <f>IFERROR(__xludf.DUMMYFUNCTION("""COMPUTED_VALUE"""),31.17)</f>
        <v>31.17</v>
      </c>
      <c r="E3403" s="17"/>
      <c r="M3403" s="17"/>
      <c r="P3403" s="17"/>
    </row>
    <row r="3404">
      <c r="B3404" s="11">
        <f>IFERROR(__xludf.DUMMYFUNCTION("""COMPUTED_VALUE"""),41085.666666666664)</f>
        <v>41085.66667</v>
      </c>
      <c r="C3404" s="9">
        <f>IFERROR(__xludf.DUMMYFUNCTION("""COMPUTED_VALUE"""),30.9)</f>
        <v>30.9</v>
      </c>
      <c r="E3404" s="17"/>
      <c r="M3404" s="17"/>
      <c r="P3404" s="17"/>
    </row>
    <row r="3405">
      <c r="B3405" s="11">
        <f>IFERROR(__xludf.DUMMYFUNCTION("""COMPUTED_VALUE"""),41082.666666666664)</f>
        <v>41082.66667</v>
      </c>
      <c r="C3405" s="9">
        <f>IFERROR(__xludf.DUMMYFUNCTION("""COMPUTED_VALUE"""),31.54)</f>
        <v>31.54</v>
      </c>
      <c r="E3405" s="17"/>
      <c r="M3405" s="17"/>
      <c r="P3405" s="17"/>
    </row>
    <row r="3406">
      <c r="B3406" s="11">
        <f>IFERROR(__xludf.DUMMYFUNCTION("""COMPUTED_VALUE"""),41081.666666666664)</f>
        <v>41081.66667</v>
      </c>
      <c r="C3406" s="9">
        <f>IFERROR(__xludf.DUMMYFUNCTION("""COMPUTED_VALUE"""),31.61)</f>
        <v>31.61</v>
      </c>
      <c r="E3406" s="17"/>
      <c r="M3406" s="17"/>
      <c r="P3406" s="17"/>
    </row>
    <row r="3407">
      <c r="B3407" s="11">
        <f>IFERROR(__xludf.DUMMYFUNCTION("""COMPUTED_VALUE"""),41080.666666666664)</f>
        <v>41080.66667</v>
      </c>
      <c r="C3407" s="9">
        <f>IFERROR(__xludf.DUMMYFUNCTION("""COMPUTED_VALUE"""),32.46)</f>
        <v>32.46</v>
      </c>
      <c r="E3407" s="17"/>
      <c r="M3407" s="17"/>
      <c r="P3407" s="17"/>
    </row>
    <row r="3408">
      <c r="B3408" s="11">
        <f>IFERROR(__xludf.DUMMYFUNCTION("""COMPUTED_VALUE"""),41079.666666666664)</f>
        <v>41079.66667</v>
      </c>
      <c r="C3408" s="9">
        <f>IFERROR(__xludf.DUMMYFUNCTION("""COMPUTED_VALUE"""),32.28)</f>
        <v>32.28</v>
      </c>
      <c r="E3408" s="17"/>
      <c r="M3408" s="17"/>
      <c r="P3408" s="17"/>
    </row>
    <row r="3409">
      <c r="B3409" s="11">
        <f>IFERROR(__xludf.DUMMYFUNCTION("""COMPUTED_VALUE"""),41078.666666666664)</f>
        <v>41078.66667</v>
      </c>
      <c r="C3409" s="9">
        <f>IFERROR(__xludf.DUMMYFUNCTION("""COMPUTED_VALUE"""),31.85)</f>
        <v>31.85</v>
      </c>
      <c r="E3409" s="17"/>
      <c r="M3409" s="17"/>
      <c r="P3409" s="17"/>
    </row>
    <row r="3410">
      <c r="B3410" s="11">
        <f>IFERROR(__xludf.DUMMYFUNCTION("""COMPUTED_VALUE"""),41075.666666666664)</f>
        <v>41075.66667</v>
      </c>
      <c r="C3410" s="9">
        <f>IFERROR(__xludf.DUMMYFUNCTION("""COMPUTED_VALUE"""),31.75)</f>
        <v>31.75</v>
      </c>
      <c r="E3410" s="17"/>
      <c r="M3410" s="17"/>
      <c r="P3410" s="17"/>
    </row>
    <row r="3411">
      <c r="B3411" s="11">
        <f>IFERROR(__xludf.DUMMYFUNCTION("""COMPUTED_VALUE"""),41074.666666666664)</f>
        <v>41074.66667</v>
      </c>
      <c r="C3411" s="9">
        <f>IFERROR(__xludf.DUMMYFUNCTION("""COMPUTED_VALUE"""),31.76)</f>
        <v>31.76</v>
      </c>
      <c r="E3411" s="17"/>
      <c r="M3411" s="17"/>
      <c r="P3411" s="17"/>
    </row>
    <row r="3412">
      <c r="B3412" s="11">
        <f>IFERROR(__xludf.DUMMYFUNCTION("""COMPUTED_VALUE"""),41073.666666666664)</f>
        <v>41073.66667</v>
      </c>
      <c r="C3412" s="9">
        <f>IFERROR(__xludf.DUMMYFUNCTION("""COMPUTED_VALUE"""),31.75)</f>
        <v>31.75</v>
      </c>
      <c r="E3412" s="17"/>
      <c r="M3412" s="17"/>
      <c r="P3412" s="17"/>
    </row>
    <row r="3413">
      <c r="B3413" s="11">
        <f>IFERROR(__xludf.DUMMYFUNCTION("""COMPUTED_VALUE"""),41072.666666666664)</f>
        <v>41072.66667</v>
      </c>
      <c r="C3413" s="9">
        <f>IFERROR(__xludf.DUMMYFUNCTION("""COMPUTED_VALUE"""),32.02)</f>
        <v>32.02</v>
      </c>
      <c r="E3413" s="17"/>
      <c r="M3413" s="17"/>
      <c r="P3413" s="17"/>
    </row>
    <row r="3414">
      <c r="B3414" s="11">
        <f>IFERROR(__xludf.DUMMYFUNCTION("""COMPUTED_VALUE"""),41071.666666666664)</f>
        <v>41071.66667</v>
      </c>
      <c r="C3414" s="9">
        <f>IFERROR(__xludf.DUMMYFUNCTION("""COMPUTED_VALUE"""),31.24)</f>
        <v>31.24</v>
      </c>
      <c r="E3414" s="17"/>
      <c r="M3414" s="17"/>
      <c r="P3414" s="17"/>
    </row>
    <row r="3415">
      <c r="B3415" s="11">
        <f>IFERROR(__xludf.DUMMYFUNCTION("""COMPUTED_VALUE"""),41068.666666666664)</f>
        <v>41068.66667</v>
      </c>
      <c r="C3415" s="9">
        <f>IFERROR(__xludf.DUMMYFUNCTION("""COMPUTED_VALUE"""),31.87)</f>
        <v>31.87</v>
      </c>
      <c r="E3415" s="17"/>
      <c r="M3415" s="17"/>
      <c r="P3415" s="17"/>
    </row>
    <row r="3416">
      <c r="B3416" s="11">
        <f>IFERROR(__xludf.DUMMYFUNCTION("""COMPUTED_VALUE"""),41067.666666666664)</f>
        <v>41067.66667</v>
      </c>
      <c r="C3416" s="9">
        <f>IFERROR(__xludf.DUMMYFUNCTION("""COMPUTED_VALUE"""),31.72)</f>
        <v>31.72</v>
      </c>
      <c r="E3416" s="17"/>
      <c r="M3416" s="17"/>
      <c r="P3416" s="17"/>
    </row>
    <row r="3417">
      <c r="B3417" s="11">
        <f>IFERROR(__xludf.DUMMYFUNCTION("""COMPUTED_VALUE"""),41066.666666666664)</f>
        <v>41066.66667</v>
      </c>
      <c r="C3417" s="9">
        <f>IFERROR(__xludf.DUMMYFUNCTION("""COMPUTED_VALUE"""),32.0)</f>
        <v>32</v>
      </c>
      <c r="E3417" s="17"/>
      <c r="M3417" s="17"/>
      <c r="P3417" s="17"/>
    </row>
    <row r="3418">
      <c r="B3418" s="11">
        <f>IFERROR(__xludf.DUMMYFUNCTION("""COMPUTED_VALUE"""),41065.666666666664)</f>
        <v>41065.66667</v>
      </c>
      <c r="C3418" s="9">
        <f>IFERROR(__xludf.DUMMYFUNCTION("""COMPUTED_VALUE"""),31.16)</f>
        <v>31.16</v>
      </c>
      <c r="E3418" s="17"/>
      <c r="M3418" s="17"/>
      <c r="P3418" s="17"/>
    </row>
    <row r="3419">
      <c r="B3419" s="11">
        <f>IFERROR(__xludf.DUMMYFUNCTION("""COMPUTED_VALUE"""),41064.666666666664)</f>
        <v>41064.66667</v>
      </c>
      <c r="C3419" s="9">
        <f>IFERROR(__xludf.DUMMYFUNCTION("""COMPUTED_VALUE"""),30.42)</f>
        <v>30.42</v>
      </c>
      <c r="E3419" s="17"/>
      <c r="M3419" s="17"/>
      <c r="P3419" s="17"/>
    </row>
    <row r="3420">
      <c r="B3420" s="11">
        <f>IFERROR(__xludf.DUMMYFUNCTION("""COMPUTED_VALUE"""),41061.666666666664)</f>
        <v>41061.66667</v>
      </c>
      <c r="C3420" s="9">
        <f>IFERROR(__xludf.DUMMYFUNCTION("""COMPUTED_VALUE"""),30.56)</f>
        <v>30.56</v>
      </c>
      <c r="E3420" s="17"/>
      <c r="M3420" s="17"/>
      <c r="P3420" s="17"/>
    </row>
    <row r="3421">
      <c r="B3421" s="11">
        <f>IFERROR(__xludf.DUMMYFUNCTION("""COMPUTED_VALUE"""),41060.666666666664)</f>
        <v>41060.66667</v>
      </c>
      <c r="C3421" s="9">
        <f>IFERROR(__xludf.DUMMYFUNCTION("""COMPUTED_VALUE"""),31.98)</f>
        <v>31.98</v>
      </c>
      <c r="E3421" s="17"/>
      <c r="M3421" s="17"/>
      <c r="P3421" s="17"/>
    </row>
    <row r="3422">
      <c r="B3422" s="11">
        <f>IFERROR(__xludf.DUMMYFUNCTION("""COMPUTED_VALUE"""),41059.666666666664)</f>
        <v>41059.66667</v>
      </c>
      <c r="C3422" s="9">
        <f>IFERROR(__xludf.DUMMYFUNCTION("""COMPUTED_VALUE"""),31.79)</f>
        <v>31.79</v>
      </c>
      <c r="E3422" s="17"/>
      <c r="M3422" s="17"/>
      <c r="P3422" s="17"/>
    </row>
    <row r="3423">
      <c r="B3423" s="11">
        <f>IFERROR(__xludf.DUMMYFUNCTION("""COMPUTED_VALUE"""),41058.666666666664)</f>
        <v>41058.66667</v>
      </c>
      <c r="C3423" s="9">
        <f>IFERROR(__xludf.DUMMYFUNCTION("""COMPUTED_VALUE"""),32.32)</f>
        <v>32.32</v>
      </c>
      <c r="E3423" s="17"/>
      <c r="M3423" s="17"/>
      <c r="P3423" s="17"/>
    </row>
    <row r="3424">
      <c r="B3424" s="11">
        <f>IFERROR(__xludf.DUMMYFUNCTION("""COMPUTED_VALUE"""),41054.666666666664)</f>
        <v>41054.66667</v>
      </c>
      <c r="C3424" s="9">
        <f>IFERROR(__xludf.DUMMYFUNCTION("""COMPUTED_VALUE"""),31.5)</f>
        <v>31.5</v>
      </c>
      <c r="E3424" s="17"/>
      <c r="M3424" s="17"/>
      <c r="P3424" s="17"/>
    </row>
    <row r="3425">
      <c r="B3425" s="11">
        <f>IFERROR(__xludf.DUMMYFUNCTION("""COMPUTED_VALUE"""),41053.666666666664)</f>
        <v>41053.66667</v>
      </c>
      <c r="C3425" s="9">
        <f>IFERROR(__xludf.DUMMYFUNCTION("""COMPUTED_VALUE"""),31.78)</f>
        <v>31.78</v>
      </c>
      <c r="E3425" s="17"/>
      <c r="M3425" s="17"/>
      <c r="P3425" s="17"/>
    </row>
    <row r="3426">
      <c r="B3426" s="11">
        <f>IFERROR(__xludf.DUMMYFUNCTION("""COMPUTED_VALUE"""),41052.666666666664)</f>
        <v>41052.66667</v>
      </c>
      <c r="C3426" s="9">
        <f>IFERROR(__xludf.DUMMYFUNCTION("""COMPUTED_VALUE"""),31.8)</f>
        <v>31.8</v>
      </c>
      <c r="E3426" s="17"/>
      <c r="M3426" s="17"/>
      <c r="P3426" s="17"/>
    </row>
    <row r="3427">
      <c r="B3427" s="11">
        <f>IFERROR(__xludf.DUMMYFUNCTION("""COMPUTED_VALUE"""),41051.666666666664)</f>
        <v>41051.66667</v>
      </c>
      <c r="C3427" s="9">
        <f>IFERROR(__xludf.DUMMYFUNCTION("""COMPUTED_VALUE"""),31.8)</f>
        <v>31.8</v>
      </c>
      <c r="E3427" s="17"/>
      <c r="M3427" s="17"/>
      <c r="P3427" s="17"/>
    </row>
    <row r="3428">
      <c r="B3428" s="11">
        <f>IFERROR(__xludf.DUMMYFUNCTION("""COMPUTED_VALUE"""),41050.666666666664)</f>
        <v>41050.66667</v>
      </c>
      <c r="C3428" s="9">
        <f>IFERROR(__xludf.DUMMYFUNCTION("""COMPUTED_VALUE"""),32.2)</f>
        <v>32.2</v>
      </c>
      <c r="E3428" s="17"/>
      <c r="M3428" s="17"/>
      <c r="P3428" s="17"/>
    </row>
    <row r="3429">
      <c r="B3429" s="11">
        <f>IFERROR(__xludf.DUMMYFUNCTION("""COMPUTED_VALUE"""),41047.666666666664)</f>
        <v>41047.66667</v>
      </c>
      <c r="C3429" s="9">
        <f>IFERROR(__xludf.DUMMYFUNCTION("""COMPUTED_VALUE"""),30.93)</f>
        <v>30.93</v>
      </c>
      <c r="E3429" s="17"/>
      <c r="M3429" s="17"/>
      <c r="P3429" s="17"/>
    </row>
    <row r="3430">
      <c r="B3430" s="11">
        <f>IFERROR(__xludf.DUMMYFUNCTION("""COMPUTED_VALUE"""),41046.666666666664)</f>
        <v>41046.66667</v>
      </c>
      <c r="C3430" s="9">
        <f>IFERROR(__xludf.DUMMYFUNCTION("""COMPUTED_VALUE"""),32.04)</f>
        <v>32.04</v>
      </c>
      <c r="E3430" s="17"/>
      <c r="M3430" s="17"/>
      <c r="P3430" s="17"/>
    </row>
    <row r="3431">
      <c r="B3431" s="11">
        <f>IFERROR(__xludf.DUMMYFUNCTION("""COMPUTED_VALUE"""),41045.666666666664)</f>
        <v>41045.66667</v>
      </c>
      <c r="C3431" s="9">
        <f>IFERROR(__xludf.DUMMYFUNCTION("""COMPUTED_VALUE"""),33.1)</f>
        <v>33.1</v>
      </c>
      <c r="E3431" s="17"/>
      <c r="M3431" s="17"/>
      <c r="P3431" s="17"/>
    </row>
    <row r="3432">
      <c r="B3432" s="11">
        <f>IFERROR(__xludf.DUMMYFUNCTION("""COMPUTED_VALUE"""),41044.666666666664)</f>
        <v>41044.66667</v>
      </c>
      <c r="C3432" s="9">
        <f>IFERROR(__xludf.DUMMYFUNCTION("""COMPUTED_VALUE"""),33.48)</f>
        <v>33.48</v>
      </c>
      <c r="E3432" s="17"/>
      <c r="M3432" s="17"/>
      <c r="P3432" s="17"/>
    </row>
    <row r="3433">
      <c r="B3433" s="11">
        <f>IFERROR(__xludf.DUMMYFUNCTION("""COMPUTED_VALUE"""),41043.666666666664)</f>
        <v>41043.66667</v>
      </c>
      <c r="C3433" s="9">
        <f>IFERROR(__xludf.DUMMYFUNCTION("""COMPUTED_VALUE"""),33.76)</f>
        <v>33.76</v>
      </c>
      <c r="E3433" s="17"/>
      <c r="M3433" s="17"/>
      <c r="P3433" s="17"/>
    </row>
    <row r="3434">
      <c r="B3434" s="11">
        <f>IFERROR(__xludf.DUMMYFUNCTION("""COMPUTED_VALUE"""),41040.666666666664)</f>
        <v>41040.66667</v>
      </c>
      <c r="C3434" s="9">
        <f>IFERROR(__xludf.DUMMYFUNCTION("""COMPUTED_VALUE"""),34.63)</f>
        <v>34.63</v>
      </c>
      <c r="E3434" s="17"/>
      <c r="M3434" s="17"/>
      <c r="P3434" s="17"/>
    </row>
    <row r="3435">
      <c r="B3435" s="11">
        <f>IFERROR(__xludf.DUMMYFUNCTION("""COMPUTED_VALUE"""),41039.666666666664)</f>
        <v>41039.66667</v>
      </c>
      <c r="C3435" s="9">
        <f>IFERROR(__xludf.DUMMYFUNCTION("""COMPUTED_VALUE"""),34.6)</f>
        <v>34.6</v>
      </c>
      <c r="E3435" s="17"/>
      <c r="M3435" s="17"/>
      <c r="P3435" s="17"/>
    </row>
    <row r="3436">
      <c r="B3436" s="11">
        <f>IFERROR(__xludf.DUMMYFUNCTION("""COMPUTED_VALUE"""),41038.666666666664)</f>
        <v>41038.66667</v>
      </c>
      <c r="C3436" s="9">
        <f>IFERROR(__xludf.DUMMYFUNCTION("""COMPUTED_VALUE"""),34.59)</f>
        <v>34.59</v>
      </c>
      <c r="E3436" s="17"/>
      <c r="M3436" s="17"/>
      <c r="P3436" s="17"/>
    </row>
    <row r="3437">
      <c r="B3437" s="11">
        <f>IFERROR(__xludf.DUMMYFUNCTION("""COMPUTED_VALUE"""),41037.666666666664)</f>
        <v>41037.66667</v>
      </c>
      <c r="C3437" s="9">
        <f>IFERROR(__xludf.DUMMYFUNCTION("""COMPUTED_VALUE"""),35.03)</f>
        <v>35.03</v>
      </c>
      <c r="E3437" s="17"/>
      <c r="M3437" s="17"/>
      <c r="P3437" s="17"/>
    </row>
    <row r="3438">
      <c r="B3438" s="11">
        <f>IFERROR(__xludf.DUMMYFUNCTION("""COMPUTED_VALUE"""),41036.666666666664)</f>
        <v>41036.66667</v>
      </c>
      <c r="C3438" s="9">
        <f>IFERROR(__xludf.DUMMYFUNCTION("""COMPUTED_VALUE"""),35.43)</f>
        <v>35.43</v>
      </c>
      <c r="E3438" s="17"/>
      <c r="M3438" s="17"/>
      <c r="P3438" s="17"/>
    </row>
    <row r="3439">
      <c r="B3439" s="11">
        <f>IFERROR(__xludf.DUMMYFUNCTION("""COMPUTED_VALUE"""),41033.666666666664)</f>
        <v>41033.66667</v>
      </c>
      <c r="C3439" s="9">
        <f>IFERROR(__xludf.DUMMYFUNCTION("""COMPUTED_VALUE"""),35.04)</f>
        <v>35.04</v>
      </c>
      <c r="E3439" s="17"/>
      <c r="M3439" s="17"/>
      <c r="P3439" s="17"/>
    </row>
    <row r="3440">
      <c r="B3440" s="11">
        <f>IFERROR(__xludf.DUMMYFUNCTION("""COMPUTED_VALUE"""),41032.666666666664)</f>
        <v>41032.66667</v>
      </c>
      <c r="C3440" s="9">
        <f>IFERROR(__xludf.DUMMYFUNCTION("""COMPUTED_VALUE"""),35.85)</f>
        <v>35.85</v>
      </c>
      <c r="E3440" s="17"/>
      <c r="M3440" s="17"/>
      <c r="P3440" s="17"/>
    </row>
    <row r="3441">
      <c r="B3441" s="11">
        <f>IFERROR(__xludf.DUMMYFUNCTION("""COMPUTED_VALUE"""),41031.666666666664)</f>
        <v>41031.66667</v>
      </c>
      <c r="C3441" s="9">
        <f>IFERROR(__xludf.DUMMYFUNCTION("""COMPUTED_VALUE"""),35.9)</f>
        <v>35.9</v>
      </c>
      <c r="E3441" s="17"/>
      <c r="M3441" s="17"/>
      <c r="P3441" s="17"/>
    </row>
    <row r="3442">
      <c r="B3442" s="11">
        <f>IFERROR(__xludf.DUMMYFUNCTION("""COMPUTED_VALUE"""),41030.666666666664)</f>
        <v>41030.66667</v>
      </c>
      <c r="C3442" s="9">
        <f>IFERROR(__xludf.DUMMYFUNCTION("""COMPUTED_VALUE"""),35.94)</f>
        <v>35.94</v>
      </c>
      <c r="E3442" s="17"/>
      <c r="M3442" s="17"/>
      <c r="P3442" s="17"/>
    </row>
    <row r="3443">
      <c r="B3443" s="11">
        <f>IFERROR(__xludf.DUMMYFUNCTION("""COMPUTED_VALUE"""),41029.666666666664)</f>
        <v>41029.66667</v>
      </c>
      <c r="C3443" s="9">
        <f>IFERROR(__xludf.DUMMYFUNCTION("""COMPUTED_VALUE"""),35.76)</f>
        <v>35.76</v>
      </c>
      <c r="E3443" s="17"/>
      <c r="M3443" s="17"/>
      <c r="P3443" s="17"/>
    </row>
    <row r="3444">
      <c r="B3444" s="11">
        <f>IFERROR(__xludf.DUMMYFUNCTION("""COMPUTED_VALUE"""),41026.666666666664)</f>
        <v>41026.66667</v>
      </c>
      <c r="C3444" s="9">
        <f>IFERROR(__xludf.DUMMYFUNCTION("""COMPUTED_VALUE"""),35.4)</f>
        <v>35.4</v>
      </c>
      <c r="E3444" s="17"/>
      <c r="M3444" s="17"/>
      <c r="P3444" s="17"/>
    </row>
    <row r="3445">
      <c r="B3445" s="11">
        <f>IFERROR(__xludf.DUMMYFUNCTION("""COMPUTED_VALUE"""),41025.666666666664)</f>
        <v>41025.66667</v>
      </c>
      <c r="C3445" s="9">
        <f>IFERROR(__xludf.DUMMYFUNCTION("""COMPUTED_VALUE"""),35.02)</f>
        <v>35.02</v>
      </c>
      <c r="E3445" s="17"/>
      <c r="M3445" s="17"/>
      <c r="P3445" s="17"/>
    </row>
    <row r="3446">
      <c r="B3446" s="11">
        <f>IFERROR(__xludf.DUMMYFUNCTION("""COMPUTED_VALUE"""),41024.666666666664)</f>
        <v>41024.66667</v>
      </c>
      <c r="C3446" s="9">
        <f>IFERROR(__xludf.DUMMYFUNCTION("""COMPUTED_VALUE"""),34.68)</f>
        <v>34.68</v>
      </c>
      <c r="E3446" s="17"/>
      <c r="M3446" s="17"/>
      <c r="P3446" s="17"/>
    </row>
    <row r="3447">
      <c r="B3447" s="11">
        <f>IFERROR(__xludf.DUMMYFUNCTION("""COMPUTED_VALUE"""),41023.666666666664)</f>
        <v>41023.66667</v>
      </c>
      <c r="C3447" s="9">
        <f>IFERROR(__xludf.DUMMYFUNCTION("""COMPUTED_VALUE"""),33.89)</f>
        <v>33.89</v>
      </c>
      <c r="E3447" s="17"/>
      <c r="M3447" s="17"/>
      <c r="P3447" s="17"/>
    </row>
    <row r="3448">
      <c r="B3448" s="11">
        <f>IFERROR(__xludf.DUMMYFUNCTION("""COMPUTED_VALUE"""),41022.666666666664)</f>
        <v>41022.66667</v>
      </c>
      <c r="C3448" s="9">
        <f>IFERROR(__xludf.DUMMYFUNCTION("""COMPUTED_VALUE"""),33.5)</f>
        <v>33.5</v>
      </c>
      <c r="E3448" s="17"/>
      <c r="M3448" s="17"/>
      <c r="P3448" s="17"/>
    </row>
    <row r="3449">
      <c r="B3449" s="11">
        <f>IFERROR(__xludf.DUMMYFUNCTION("""COMPUTED_VALUE"""),41019.666666666664)</f>
        <v>41019.66667</v>
      </c>
      <c r="C3449" s="9">
        <f>IFERROR(__xludf.DUMMYFUNCTION("""COMPUTED_VALUE"""),34.78)</f>
        <v>34.78</v>
      </c>
      <c r="E3449" s="17"/>
      <c r="M3449" s="17"/>
      <c r="P3449" s="17"/>
    </row>
    <row r="3450">
      <c r="B3450" s="11">
        <f>IFERROR(__xludf.DUMMYFUNCTION("""COMPUTED_VALUE"""),41018.666666666664)</f>
        <v>41018.66667</v>
      </c>
      <c r="C3450" s="9">
        <f>IFERROR(__xludf.DUMMYFUNCTION("""COMPUTED_VALUE"""),34.36)</f>
        <v>34.36</v>
      </c>
      <c r="E3450" s="17"/>
      <c r="M3450" s="17"/>
      <c r="P3450" s="17"/>
    </row>
    <row r="3451">
      <c r="B3451" s="11">
        <f>IFERROR(__xludf.DUMMYFUNCTION("""COMPUTED_VALUE"""),41017.666666666664)</f>
        <v>41017.66667</v>
      </c>
      <c r="C3451" s="9">
        <f>IFERROR(__xludf.DUMMYFUNCTION("""COMPUTED_VALUE"""),34.18)</f>
        <v>34.18</v>
      </c>
      <c r="E3451" s="17"/>
      <c r="M3451" s="17"/>
      <c r="P3451" s="17"/>
    </row>
    <row r="3452">
      <c r="B3452" s="11">
        <f>IFERROR(__xludf.DUMMYFUNCTION("""COMPUTED_VALUE"""),41016.666666666664)</f>
        <v>41016.66667</v>
      </c>
      <c r="C3452" s="9">
        <f>IFERROR(__xludf.DUMMYFUNCTION("""COMPUTED_VALUE"""),34.68)</f>
        <v>34.68</v>
      </c>
      <c r="E3452" s="17"/>
      <c r="M3452" s="17"/>
      <c r="P3452" s="17"/>
    </row>
    <row r="3453">
      <c r="B3453" s="11">
        <f>IFERROR(__xludf.DUMMYFUNCTION("""COMPUTED_VALUE"""),41015.666666666664)</f>
        <v>41015.66667</v>
      </c>
      <c r="C3453" s="9">
        <f>IFERROR(__xludf.DUMMYFUNCTION("""COMPUTED_VALUE"""),34.01)</f>
        <v>34.01</v>
      </c>
      <c r="E3453" s="17"/>
      <c r="M3453" s="17"/>
      <c r="P3453" s="17"/>
    </row>
    <row r="3454">
      <c r="B3454" s="11">
        <f>IFERROR(__xludf.DUMMYFUNCTION("""COMPUTED_VALUE"""),41012.666666666664)</f>
        <v>41012.66667</v>
      </c>
      <c r="C3454" s="9">
        <f>IFERROR(__xludf.DUMMYFUNCTION("""COMPUTED_VALUE"""),33.48)</f>
        <v>33.48</v>
      </c>
      <c r="E3454" s="17"/>
      <c r="M3454" s="17"/>
      <c r="P3454" s="17"/>
    </row>
    <row r="3455">
      <c r="B3455" s="11">
        <f>IFERROR(__xludf.DUMMYFUNCTION("""COMPUTED_VALUE"""),41011.666666666664)</f>
        <v>41011.66667</v>
      </c>
      <c r="C3455" s="9">
        <f>IFERROR(__xludf.DUMMYFUNCTION("""COMPUTED_VALUE"""),33.88)</f>
        <v>33.88</v>
      </c>
      <c r="E3455" s="17"/>
      <c r="M3455" s="17"/>
      <c r="P3455" s="17"/>
    </row>
    <row r="3456">
      <c r="B3456" s="11">
        <f>IFERROR(__xludf.DUMMYFUNCTION("""COMPUTED_VALUE"""),41010.666666666664)</f>
        <v>41010.66667</v>
      </c>
      <c r="C3456" s="9">
        <f>IFERROR(__xludf.DUMMYFUNCTION("""COMPUTED_VALUE"""),33.38)</f>
        <v>33.38</v>
      </c>
      <c r="E3456" s="17"/>
      <c r="M3456" s="17"/>
      <c r="P3456" s="17"/>
    </row>
    <row r="3457">
      <c r="B3457" s="11">
        <f>IFERROR(__xludf.DUMMYFUNCTION("""COMPUTED_VALUE"""),41009.666666666664)</f>
        <v>41009.66667</v>
      </c>
      <c r="C3457" s="9">
        <f>IFERROR(__xludf.DUMMYFUNCTION("""COMPUTED_VALUE"""),33.13)</f>
        <v>33.13</v>
      </c>
      <c r="E3457" s="17"/>
      <c r="M3457" s="17"/>
      <c r="P3457" s="17"/>
    </row>
    <row r="3458">
      <c r="B3458" s="11">
        <f>IFERROR(__xludf.DUMMYFUNCTION("""COMPUTED_VALUE"""),41008.666666666664)</f>
        <v>41008.66667</v>
      </c>
      <c r="C3458" s="9">
        <f>IFERROR(__xludf.DUMMYFUNCTION("""COMPUTED_VALUE"""),34.91)</f>
        <v>34.91</v>
      </c>
      <c r="E3458" s="17"/>
      <c r="M3458" s="17"/>
      <c r="P3458" s="17"/>
    </row>
    <row r="3459">
      <c r="B3459" s="11">
        <f>IFERROR(__xludf.DUMMYFUNCTION("""COMPUTED_VALUE"""),41004.666666666664)</f>
        <v>41004.66667</v>
      </c>
      <c r="C3459" s="9">
        <f>IFERROR(__xludf.DUMMYFUNCTION("""COMPUTED_VALUE"""),35.48)</f>
        <v>35.48</v>
      </c>
      <c r="E3459" s="17"/>
      <c r="M3459" s="17"/>
      <c r="P3459" s="17"/>
    </row>
    <row r="3460">
      <c r="B3460" s="11">
        <f>IFERROR(__xludf.DUMMYFUNCTION("""COMPUTED_VALUE"""),41003.666666666664)</f>
        <v>41003.66667</v>
      </c>
      <c r="C3460" s="9">
        <f>IFERROR(__xludf.DUMMYFUNCTION("""COMPUTED_VALUE"""),35.72)</f>
        <v>35.72</v>
      </c>
      <c r="E3460" s="17"/>
      <c r="M3460" s="17"/>
      <c r="P3460" s="17"/>
    </row>
    <row r="3461">
      <c r="B3461" s="11">
        <f>IFERROR(__xludf.DUMMYFUNCTION("""COMPUTED_VALUE"""),41002.666666666664)</f>
        <v>41002.66667</v>
      </c>
      <c r="C3461" s="9">
        <f>IFERROR(__xludf.DUMMYFUNCTION("""COMPUTED_VALUE"""),36.15)</f>
        <v>36.15</v>
      </c>
      <c r="E3461" s="17"/>
      <c r="M3461" s="17"/>
      <c r="P3461" s="17"/>
    </row>
    <row r="3462">
      <c r="B3462" s="11">
        <f>IFERROR(__xludf.DUMMYFUNCTION("""COMPUTED_VALUE"""),41001.666666666664)</f>
        <v>41001.66667</v>
      </c>
      <c r="C3462" s="9">
        <f>IFERROR(__xludf.DUMMYFUNCTION("""COMPUTED_VALUE"""),36.25)</f>
        <v>36.25</v>
      </c>
      <c r="E3462" s="17"/>
      <c r="M3462" s="17"/>
      <c r="P3462" s="17"/>
    </row>
    <row r="3463">
      <c r="B3463" s="11">
        <f>IFERROR(__xludf.DUMMYFUNCTION("""COMPUTED_VALUE"""),40998.666666666664)</f>
        <v>40998.66667</v>
      </c>
      <c r="C3463" s="9">
        <f>IFERROR(__xludf.DUMMYFUNCTION("""COMPUTED_VALUE"""),36.02)</f>
        <v>36.02</v>
      </c>
      <c r="E3463" s="17"/>
      <c r="M3463" s="17"/>
      <c r="P3463" s="17"/>
    </row>
    <row r="3464">
      <c r="B3464" s="11">
        <f>IFERROR(__xludf.DUMMYFUNCTION("""COMPUTED_VALUE"""),40997.666666666664)</f>
        <v>40997.66667</v>
      </c>
      <c r="C3464" s="9">
        <f>IFERROR(__xludf.DUMMYFUNCTION("""COMPUTED_VALUE"""),35.31)</f>
        <v>35.31</v>
      </c>
      <c r="E3464" s="17"/>
      <c r="M3464" s="17"/>
      <c r="P3464" s="17"/>
    </row>
    <row r="3465">
      <c r="B3465" s="11">
        <f>IFERROR(__xludf.DUMMYFUNCTION("""COMPUTED_VALUE"""),40996.666666666664)</f>
        <v>40996.66667</v>
      </c>
      <c r="C3465" s="9">
        <f>IFERROR(__xludf.DUMMYFUNCTION("""COMPUTED_VALUE"""),35.05)</f>
        <v>35.05</v>
      </c>
      <c r="E3465" s="17"/>
      <c r="M3465" s="17"/>
      <c r="P3465" s="17"/>
    </row>
    <row r="3466">
      <c r="B3466" s="11">
        <f>IFERROR(__xludf.DUMMYFUNCTION("""COMPUTED_VALUE"""),40995.666666666664)</f>
        <v>40995.66667</v>
      </c>
      <c r="C3466" s="9">
        <f>IFERROR(__xludf.DUMMYFUNCTION("""COMPUTED_VALUE"""),35.45)</f>
        <v>35.45</v>
      </c>
      <c r="E3466" s="17"/>
      <c r="M3466" s="17"/>
      <c r="P3466" s="17"/>
    </row>
    <row r="3467">
      <c r="B3467" s="11">
        <f>IFERROR(__xludf.DUMMYFUNCTION("""COMPUTED_VALUE"""),40994.666666666664)</f>
        <v>40994.66667</v>
      </c>
      <c r="C3467" s="9">
        <f>IFERROR(__xludf.DUMMYFUNCTION("""COMPUTED_VALUE"""),35.71)</f>
        <v>35.71</v>
      </c>
      <c r="E3467" s="17"/>
      <c r="M3467" s="17"/>
      <c r="P3467" s="17"/>
    </row>
    <row r="3468">
      <c r="B3468" s="11">
        <f>IFERROR(__xludf.DUMMYFUNCTION("""COMPUTED_VALUE"""),40991.666666666664)</f>
        <v>40991.66667</v>
      </c>
      <c r="C3468" s="9">
        <f>IFERROR(__xludf.DUMMYFUNCTION("""COMPUTED_VALUE"""),35.2)</f>
        <v>35.2</v>
      </c>
      <c r="E3468" s="17"/>
      <c r="M3468" s="17"/>
      <c r="P3468" s="17"/>
    </row>
    <row r="3469">
      <c r="B3469" s="11">
        <f>IFERROR(__xludf.DUMMYFUNCTION("""COMPUTED_VALUE"""),40990.666666666664)</f>
        <v>40990.66667</v>
      </c>
      <c r="C3469" s="9">
        <f>IFERROR(__xludf.DUMMYFUNCTION("""COMPUTED_VALUE"""),35.03)</f>
        <v>35.03</v>
      </c>
      <c r="E3469" s="17"/>
      <c r="M3469" s="17"/>
      <c r="P3469" s="17"/>
    </row>
    <row r="3470">
      <c r="B3470" s="11">
        <f>IFERROR(__xludf.DUMMYFUNCTION("""COMPUTED_VALUE"""),40989.666666666664)</f>
        <v>40989.66667</v>
      </c>
      <c r="C3470" s="9">
        <f>IFERROR(__xludf.DUMMYFUNCTION("""COMPUTED_VALUE"""),35.42)</f>
        <v>35.42</v>
      </c>
      <c r="E3470" s="17"/>
      <c r="M3470" s="17"/>
      <c r="P3470" s="17"/>
    </row>
    <row r="3471">
      <c r="B3471" s="11">
        <f>IFERROR(__xludf.DUMMYFUNCTION("""COMPUTED_VALUE"""),40988.666666666664)</f>
        <v>40988.66667</v>
      </c>
      <c r="C3471" s="9">
        <f>IFERROR(__xludf.DUMMYFUNCTION("""COMPUTED_VALUE"""),35.28)</f>
        <v>35.28</v>
      </c>
      <c r="E3471" s="17"/>
      <c r="M3471" s="17"/>
      <c r="P3471" s="17"/>
    </row>
    <row r="3472">
      <c r="B3472" s="11">
        <f>IFERROR(__xludf.DUMMYFUNCTION("""COMPUTED_VALUE"""),40987.666666666664)</f>
        <v>40987.66667</v>
      </c>
      <c r="C3472" s="9">
        <f>IFERROR(__xludf.DUMMYFUNCTION("""COMPUTED_VALUE"""),35.48)</f>
        <v>35.48</v>
      </c>
      <c r="E3472" s="17"/>
      <c r="M3472" s="17"/>
      <c r="P3472" s="17"/>
    </row>
    <row r="3473">
      <c r="B3473" s="11">
        <f>IFERROR(__xludf.DUMMYFUNCTION("""COMPUTED_VALUE"""),40984.666666666664)</f>
        <v>40984.66667</v>
      </c>
      <c r="C3473" s="9">
        <f>IFERROR(__xludf.DUMMYFUNCTION("""COMPUTED_VALUE"""),35.26)</f>
        <v>35.26</v>
      </c>
      <c r="E3473" s="17"/>
      <c r="M3473" s="17"/>
      <c r="P3473" s="17"/>
    </row>
    <row r="3474">
      <c r="B3474" s="11">
        <f>IFERROR(__xludf.DUMMYFUNCTION("""COMPUTED_VALUE"""),40983.666666666664)</f>
        <v>40983.66667</v>
      </c>
      <c r="C3474" s="9">
        <f>IFERROR(__xludf.DUMMYFUNCTION("""COMPUTED_VALUE"""),35.0)</f>
        <v>35</v>
      </c>
      <c r="E3474" s="17"/>
      <c r="M3474" s="17"/>
      <c r="P3474" s="17"/>
    </row>
    <row r="3475">
      <c r="B3475" s="11">
        <f>IFERROR(__xludf.DUMMYFUNCTION("""COMPUTED_VALUE"""),40982.666666666664)</f>
        <v>40982.66667</v>
      </c>
      <c r="C3475" s="9">
        <f>IFERROR(__xludf.DUMMYFUNCTION("""COMPUTED_VALUE"""),34.83)</f>
        <v>34.83</v>
      </c>
      <c r="E3475" s="17"/>
      <c r="M3475" s="17"/>
      <c r="P3475" s="17"/>
    </row>
    <row r="3476">
      <c r="B3476" s="11">
        <f>IFERROR(__xludf.DUMMYFUNCTION("""COMPUTED_VALUE"""),40981.666666666664)</f>
        <v>40981.66667</v>
      </c>
      <c r="C3476" s="9">
        <f>IFERROR(__xludf.DUMMYFUNCTION("""COMPUTED_VALUE"""),34.92)</f>
        <v>34.92</v>
      </c>
      <c r="E3476" s="17"/>
      <c r="M3476" s="17"/>
      <c r="P3476" s="17"/>
    </row>
    <row r="3477">
      <c r="B3477" s="11">
        <f>IFERROR(__xludf.DUMMYFUNCTION("""COMPUTED_VALUE"""),40980.666666666664)</f>
        <v>40980.66667</v>
      </c>
      <c r="C3477" s="9">
        <f>IFERROR(__xludf.DUMMYFUNCTION("""COMPUTED_VALUE"""),33.99)</f>
        <v>33.99</v>
      </c>
      <c r="E3477" s="17"/>
      <c r="M3477" s="17"/>
      <c r="P3477" s="17"/>
    </row>
    <row r="3478">
      <c r="B3478" s="11">
        <f>IFERROR(__xludf.DUMMYFUNCTION("""COMPUTED_VALUE"""),40977.666666666664)</f>
        <v>40977.66667</v>
      </c>
      <c r="C3478" s="9">
        <f>IFERROR(__xludf.DUMMYFUNCTION("""COMPUTED_VALUE"""),34.14)</f>
        <v>34.14</v>
      </c>
      <c r="E3478" s="17"/>
      <c r="M3478" s="17"/>
      <c r="P3478" s="17"/>
    </row>
    <row r="3479">
      <c r="B3479" s="11">
        <f>IFERROR(__xludf.DUMMYFUNCTION("""COMPUTED_VALUE"""),40976.666666666664)</f>
        <v>40976.66667</v>
      </c>
      <c r="C3479" s="9">
        <f>IFERROR(__xludf.DUMMYFUNCTION("""COMPUTED_VALUE"""),33.6)</f>
        <v>33.6</v>
      </c>
      <c r="E3479" s="17"/>
      <c r="M3479" s="17"/>
      <c r="P3479" s="17"/>
    </row>
    <row r="3480">
      <c r="B3480" s="11">
        <f>IFERROR(__xludf.DUMMYFUNCTION("""COMPUTED_VALUE"""),40975.666666666664)</f>
        <v>40975.66667</v>
      </c>
      <c r="C3480" s="9">
        <f>IFERROR(__xludf.DUMMYFUNCTION("""COMPUTED_VALUE"""),34.21)</f>
        <v>34.21</v>
      </c>
      <c r="E3480" s="17"/>
      <c r="M3480" s="17"/>
      <c r="P3480" s="17"/>
    </row>
    <row r="3481">
      <c r="B3481" s="11">
        <f>IFERROR(__xludf.DUMMYFUNCTION("""COMPUTED_VALUE"""),40974.666666666664)</f>
        <v>40974.66667</v>
      </c>
      <c r="C3481" s="9">
        <f>IFERROR(__xludf.DUMMYFUNCTION("""COMPUTED_VALUE"""),33.69)</f>
        <v>33.69</v>
      </c>
      <c r="E3481" s="17"/>
      <c r="M3481" s="17"/>
      <c r="P3481" s="17"/>
    </row>
    <row r="3482">
      <c r="B3482" s="11">
        <f>IFERROR(__xludf.DUMMYFUNCTION("""COMPUTED_VALUE"""),40973.666666666664)</f>
        <v>40973.66667</v>
      </c>
      <c r="C3482" s="9">
        <f>IFERROR(__xludf.DUMMYFUNCTION("""COMPUTED_VALUE"""),34.47)</f>
        <v>34.47</v>
      </c>
      <c r="E3482" s="17"/>
      <c r="M3482" s="17"/>
      <c r="P3482" s="17"/>
    </row>
    <row r="3483">
      <c r="B3483" s="11">
        <f>IFERROR(__xludf.DUMMYFUNCTION("""COMPUTED_VALUE"""),40970.666666666664)</f>
        <v>40970.66667</v>
      </c>
      <c r="C3483" s="9">
        <f>IFERROR(__xludf.DUMMYFUNCTION("""COMPUTED_VALUE"""),33.74)</f>
        <v>33.74</v>
      </c>
      <c r="E3483" s="17"/>
      <c r="M3483" s="17"/>
      <c r="P3483" s="17"/>
    </row>
    <row r="3484">
      <c r="B3484" s="11">
        <f>IFERROR(__xludf.DUMMYFUNCTION("""COMPUTED_VALUE"""),40969.666666666664)</f>
        <v>40969.66667</v>
      </c>
      <c r="C3484" s="9">
        <f>IFERROR(__xludf.DUMMYFUNCTION("""COMPUTED_VALUE"""),33.8)</f>
        <v>33.8</v>
      </c>
      <c r="E3484" s="17"/>
      <c r="M3484" s="17"/>
      <c r="P3484" s="17"/>
    </row>
    <row r="3485">
      <c r="B3485" s="11">
        <f>IFERROR(__xludf.DUMMYFUNCTION("""COMPUTED_VALUE"""),40968.666666666664)</f>
        <v>40968.66667</v>
      </c>
      <c r="C3485" s="9">
        <f>IFERROR(__xludf.DUMMYFUNCTION("""COMPUTED_VALUE"""),33.66)</f>
        <v>33.66</v>
      </c>
      <c r="E3485" s="17"/>
      <c r="M3485" s="17"/>
      <c r="P3485" s="17"/>
    </row>
    <row r="3486">
      <c r="B3486" s="11">
        <f>IFERROR(__xludf.DUMMYFUNCTION("""COMPUTED_VALUE"""),40967.666666666664)</f>
        <v>40967.66667</v>
      </c>
      <c r="C3486" s="9">
        <f>IFERROR(__xludf.DUMMYFUNCTION("""COMPUTED_VALUE"""),33.59)</f>
        <v>33.59</v>
      </c>
      <c r="E3486" s="17"/>
      <c r="M3486" s="17"/>
      <c r="P3486" s="17"/>
    </row>
    <row r="3487">
      <c r="B3487" s="11">
        <f>IFERROR(__xludf.DUMMYFUNCTION("""COMPUTED_VALUE"""),40966.666666666664)</f>
        <v>40966.66667</v>
      </c>
      <c r="C3487" s="9">
        <f>IFERROR(__xludf.DUMMYFUNCTION("""COMPUTED_VALUE"""),33.89)</f>
        <v>33.89</v>
      </c>
      <c r="E3487" s="17"/>
      <c r="M3487" s="17"/>
      <c r="P3487" s="17"/>
    </row>
    <row r="3488">
      <c r="B3488" s="11">
        <f>IFERROR(__xludf.DUMMYFUNCTION("""COMPUTED_VALUE"""),40963.666666666664)</f>
        <v>40963.66667</v>
      </c>
      <c r="C3488" s="9">
        <f>IFERROR(__xludf.DUMMYFUNCTION("""COMPUTED_VALUE"""),33.88)</f>
        <v>33.88</v>
      </c>
      <c r="E3488" s="17"/>
      <c r="M3488" s="17"/>
      <c r="P3488" s="17"/>
    </row>
    <row r="3489">
      <c r="B3489" s="11">
        <f>IFERROR(__xludf.DUMMYFUNCTION("""COMPUTED_VALUE"""),40962.666666666664)</f>
        <v>40962.66667</v>
      </c>
      <c r="C3489" s="9">
        <f>IFERROR(__xludf.DUMMYFUNCTION("""COMPUTED_VALUE"""),33.66)</f>
        <v>33.66</v>
      </c>
      <c r="E3489" s="17"/>
      <c r="M3489" s="17"/>
      <c r="P3489" s="17"/>
    </row>
    <row r="3490">
      <c r="B3490" s="11">
        <f>IFERROR(__xludf.DUMMYFUNCTION("""COMPUTED_VALUE"""),40961.666666666664)</f>
        <v>40961.66667</v>
      </c>
      <c r="C3490" s="9">
        <f>IFERROR(__xludf.DUMMYFUNCTION("""COMPUTED_VALUE"""),32.91)</f>
        <v>32.91</v>
      </c>
      <c r="E3490" s="17"/>
      <c r="M3490" s="17"/>
      <c r="P3490" s="17"/>
    </row>
    <row r="3491">
      <c r="B3491" s="11">
        <f>IFERROR(__xludf.DUMMYFUNCTION("""COMPUTED_VALUE"""),40960.666666666664)</f>
        <v>40960.66667</v>
      </c>
      <c r="C3491" s="9">
        <f>IFERROR(__xludf.DUMMYFUNCTION("""COMPUTED_VALUE"""),33.66)</f>
        <v>33.66</v>
      </c>
      <c r="E3491" s="17"/>
      <c r="M3491" s="17"/>
      <c r="P3491" s="17"/>
    </row>
    <row r="3492">
      <c r="B3492" s="11">
        <f>IFERROR(__xludf.DUMMYFUNCTION("""COMPUTED_VALUE"""),40956.666666666664)</f>
        <v>40956.66667</v>
      </c>
      <c r="C3492" s="9">
        <f>IFERROR(__xludf.DUMMYFUNCTION("""COMPUTED_VALUE"""),34.0)</f>
        <v>34</v>
      </c>
      <c r="E3492" s="17"/>
      <c r="M3492" s="17"/>
      <c r="P3492" s="17"/>
    </row>
    <row r="3493">
      <c r="B3493" s="11">
        <f>IFERROR(__xludf.DUMMYFUNCTION("""COMPUTED_VALUE"""),40955.666666666664)</f>
        <v>40955.66667</v>
      </c>
      <c r="C3493" s="9">
        <f>IFERROR(__xludf.DUMMYFUNCTION("""COMPUTED_VALUE"""),33.86)</f>
        <v>33.86</v>
      </c>
      <c r="E3493" s="17"/>
      <c r="M3493" s="17"/>
      <c r="P3493" s="17"/>
    </row>
    <row r="3494">
      <c r="B3494" s="11">
        <f>IFERROR(__xludf.DUMMYFUNCTION("""COMPUTED_VALUE"""),40954.666666666664)</f>
        <v>40954.66667</v>
      </c>
      <c r="C3494" s="9">
        <f>IFERROR(__xludf.DUMMYFUNCTION("""COMPUTED_VALUE"""),33.26)</f>
        <v>33.26</v>
      </c>
      <c r="E3494" s="17"/>
      <c r="M3494" s="17"/>
      <c r="P3494" s="17"/>
    </row>
    <row r="3495">
      <c r="B3495" s="11">
        <f>IFERROR(__xludf.DUMMYFUNCTION("""COMPUTED_VALUE"""),40953.666666666664)</f>
        <v>40953.66667</v>
      </c>
      <c r="C3495" s="9">
        <f>IFERROR(__xludf.DUMMYFUNCTION("""COMPUTED_VALUE"""),33.39)</f>
        <v>33.39</v>
      </c>
      <c r="E3495" s="17"/>
      <c r="M3495" s="17"/>
      <c r="P3495" s="17"/>
    </row>
    <row r="3496">
      <c r="B3496" s="11">
        <f>IFERROR(__xludf.DUMMYFUNCTION("""COMPUTED_VALUE"""),40952.666666666664)</f>
        <v>40952.66667</v>
      </c>
      <c r="C3496" s="9">
        <f>IFERROR(__xludf.DUMMYFUNCTION("""COMPUTED_VALUE"""),33.75)</f>
        <v>33.75</v>
      </c>
      <c r="E3496" s="17"/>
      <c r="M3496" s="17"/>
      <c r="P3496" s="17"/>
    </row>
    <row r="3497">
      <c r="B3497" s="11">
        <f>IFERROR(__xludf.DUMMYFUNCTION("""COMPUTED_VALUE"""),40949.666666666664)</f>
        <v>40949.66667</v>
      </c>
      <c r="C3497" s="9">
        <f>IFERROR(__xludf.DUMMYFUNCTION("""COMPUTED_VALUE"""),33.07)</f>
        <v>33.07</v>
      </c>
      <c r="E3497" s="17"/>
      <c r="M3497" s="17"/>
      <c r="P3497" s="17"/>
    </row>
    <row r="3498">
      <c r="B3498" s="11">
        <f>IFERROR(__xludf.DUMMYFUNCTION("""COMPUTED_VALUE"""),40948.666666666664)</f>
        <v>40948.66667</v>
      </c>
      <c r="C3498" s="9">
        <f>IFERROR(__xludf.DUMMYFUNCTION("""COMPUTED_VALUE"""),34.12)</f>
        <v>34.12</v>
      </c>
      <c r="E3498" s="17"/>
      <c r="M3498" s="17"/>
      <c r="P3498" s="17"/>
    </row>
    <row r="3499">
      <c r="B3499" s="11">
        <f>IFERROR(__xludf.DUMMYFUNCTION("""COMPUTED_VALUE"""),40947.666666666664)</f>
        <v>40947.66667</v>
      </c>
      <c r="C3499" s="9">
        <f>IFERROR(__xludf.DUMMYFUNCTION("""COMPUTED_VALUE"""),34.18)</f>
        <v>34.18</v>
      </c>
      <c r="E3499" s="17"/>
      <c r="M3499" s="17"/>
      <c r="P3499" s="17"/>
    </row>
    <row r="3500">
      <c r="B3500" s="11">
        <f>IFERROR(__xludf.DUMMYFUNCTION("""COMPUTED_VALUE"""),40946.666666666664)</f>
        <v>40946.66667</v>
      </c>
      <c r="C3500" s="9">
        <f>IFERROR(__xludf.DUMMYFUNCTION("""COMPUTED_VALUE"""),33.29)</f>
        <v>33.29</v>
      </c>
      <c r="E3500" s="17"/>
      <c r="M3500" s="17"/>
      <c r="P3500" s="17"/>
    </row>
    <row r="3501">
      <c r="B3501" s="11">
        <f>IFERROR(__xludf.DUMMYFUNCTION("""COMPUTED_VALUE"""),40945.666666666664)</f>
        <v>40945.66667</v>
      </c>
      <c r="C3501" s="9">
        <f>IFERROR(__xludf.DUMMYFUNCTION("""COMPUTED_VALUE"""),32.98)</f>
        <v>32.98</v>
      </c>
      <c r="E3501" s="17"/>
      <c r="M3501" s="17"/>
      <c r="P3501" s="17"/>
    </row>
    <row r="3502">
      <c r="B3502" s="11">
        <f>IFERROR(__xludf.DUMMYFUNCTION("""COMPUTED_VALUE"""),40942.666666666664)</f>
        <v>40942.66667</v>
      </c>
      <c r="C3502" s="9">
        <f>IFERROR(__xludf.DUMMYFUNCTION("""COMPUTED_VALUE"""),33.16)</f>
        <v>33.16</v>
      </c>
      <c r="E3502" s="17"/>
      <c r="M3502" s="17"/>
      <c r="P3502" s="17"/>
    </row>
    <row r="3503">
      <c r="B3503" s="11">
        <f>IFERROR(__xludf.DUMMYFUNCTION("""COMPUTED_VALUE"""),40941.666666666664)</f>
        <v>40941.66667</v>
      </c>
      <c r="C3503" s="9">
        <f>IFERROR(__xludf.DUMMYFUNCTION("""COMPUTED_VALUE"""),32.81)</f>
        <v>32.81</v>
      </c>
      <c r="E3503" s="17"/>
      <c r="M3503" s="17"/>
      <c r="P3503" s="17"/>
    </row>
    <row r="3504">
      <c r="B3504" s="11">
        <f>IFERROR(__xludf.DUMMYFUNCTION("""COMPUTED_VALUE"""),40940.666666666664)</f>
        <v>40940.66667</v>
      </c>
      <c r="C3504" s="9">
        <f>IFERROR(__xludf.DUMMYFUNCTION("""COMPUTED_VALUE"""),32.54)</f>
        <v>32.54</v>
      </c>
      <c r="E3504" s="17"/>
      <c r="M3504" s="17"/>
      <c r="P3504" s="17"/>
    </row>
    <row r="3505">
      <c r="B3505" s="11">
        <f>IFERROR(__xludf.DUMMYFUNCTION("""COMPUTED_VALUE"""),40939.666666666664)</f>
        <v>40939.66667</v>
      </c>
      <c r="C3505" s="9">
        <f>IFERROR(__xludf.DUMMYFUNCTION("""COMPUTED_VALUE"""),31.71)</f>
        <v>31.71</v>
      </c>
      <c r="E3505" s="17"/>
      <c r="M3505" s="17"/>
      <c r="P3505" s="17"/>
    </row>
    <row r="3506">
      <c r="B3506" s="11">
        <f>IFERROR(__xludf.DUMMYFUNCTION("""COMPUTED_VALUE"""),40938.666666666664)</f>
        <v>40938.66667</v>
      </c>
      <c r="C3506" s="9">
        <f>IFERROR(__xludf.DUMMYFUNCTION("""COMPUTED_VALUE"""),31.6)</f>
        <v>31.6</v>
      </c>
      <c r="E3506" s="17"/>
      <c r="M3506" s="17"/>
      <c r="P3506" s="17"/>
    </row>
    <row r="3507">
      <c r="B3507" s="11">
        <f>IFERROR(__xludf.DUMMYFUNCTION("""COMPUTED_VALUE"""),40935.666666666664)</f>
        <v>40935.66667</v>
      </c>
      <c r="C3507" s="9">
        <f>IFERROR(__xludf.DUMMYFUNCTION("""COMPUTED_VALUE"""),32.52)</f>
        <v>32.52</v>
      </c>
      <c r="E3507" s="17"/>
      <c r="M3507" s="17"/>
      <c r="P3507" s="17"/>
    </row>
    <row r="3508">
      <c r="B3508" s="11">
        <f>IFERROR(__xludf.DUMMYFUNCTION("""COMPUTED_VALUE"""),40934.666666666664)</f>
        <v>40934.66667</v>
      </c>
      <c r="C3508" s="9">
        <f>IFERROR(__xludf.DUMMYFUNCTION("""COMPUTED_VALUE"""),32.55)</f>
        <v>32.55</v>
      </c>
      <c r="E3508" s="17"/>
      <c r="M3508" s="17"/>
      <c r="P3508" s="17"/>
    </row>
    <row r="3509">
      <c r="B3509" s="11">
        <f>IFERROR(__xludf.DUMMYFUNCTION("""COMPUTED_VALUE"""),40933.666666666664)</f>
        <v>40933.66667</v>
      </c>
      <c r="C3509" s="9">
        <f>IFERROR(__xludf.DUMMYFUNCTION("""COMPUTED_VALUE"""),32.37)</f>
        <v>32.37</v>
      </c>
      <c r="E3509" s="17"/>
      <c r="M3509" s="17"/>
      <c r="P3509" s="17"/>
    </row>
    <row r="3510">
      <c r="B3510" s="11">
        <f>IFERROR(__xludf.DUMMYFUNCTION("""COMPUTED_VALUE"""),40932.666666666664)</f>
        <v>40932.66667</v>
      </c>
      <c r="C3510" s="9">
        <f>IFERROR(__xludf.DUMMYFUNCTION("""COMPUTED_VALUE"""),32.18)</f>
        <v>32.18</v>
      </c>
      <c r="E3510" s="17"/>
      <c r="M3510" s="17"/>
      <c r="P3510" s="17"/>
    </row>
    <row r="3511">
      <c r="B3511" s="11">
        <f>IFERROR(__xludf.DUMMYFUNCTION("""COMPUTED_VALUE"""),40931.666666666664)</f>
        <v>40931.66667</v>
      </c>
      <c r="C3511" s="9">
        <f>IFERROR(__xludf.DUMMYFUNCTION("""COMPUTED_VALUE"""),31.81)</f>
        <v>31.81</v>
      </c>
      <c r="E3511" s="17"/>
      <c r="M3511" s="17"/>
      <c r="P3511" s="17"/>
    </row>
    <row r="3512">
      <c r="B3512" s="11">
        <f>IFERROR(__xludf.DUMMYFUNCTION("""COMPUTED_VALUE"""),40928.666666666664)</f>
        <v>40928.66667</v>
      </c>
      <c r="C3512" s="9">
        <f>IFERROR(__xludf.DUMMYFUNCTION("""COMPUTED_VALUE"""),31.78)</f>
        <v>31.78</v>
      </c>
      <c r="E3512" s="17"/>
      <c r="M3512" s="17"/>
      <c r="P3512" s="17"/>
    </row>
    <row r="3513">
      <c r="B3513" s="11">
        <f>IFERROR(__xludf.DUMMYFUNCTION("""COMPUTED_VALUE"""),40927.666666666664)</f>
        <v>40927.66667</v>
      </c>
      <c r="C3513" s="9">
        <f>IFERROR(__xludf.DUMMYFUNCTION("""COMPUTED_VALUE"""),31.3)</f>
        <v>31.3</v>
      </c>
      <c r="E3513" s="17"/>
      <c r="M3513" s="17"/>
      <c r="P3513" s="17"/>
    </row>
    <row r="3514">
      <c r="B3514" s="11">
        <f>IFERROR(__xludf.DUMMYFUNCTION("""COMPUTED_VALUE"""),40926.666666666664)</f>
        <v>40926.66667</v>
      </c>
      <c r="C3514" s="9">
        <f>IFERROR(__xludf.DUMMYFUNCTION("""COMPUTED_VALUE"""),30.73)</f>
        <v>30.73</v>
      </c>
      <c r="E3514" s="17"/>
      <c r="M3514" s="17"/>
      <c r="P3514" s="17"/>
    </row>
    <row r="3515">
      <c r="B3515" s="11">
        <f>IFERROR(__xludf.DUMMYFUNCTION("""COMPUTED_VALUE"""),40925.666666666664)</f>
        <v>40925.66667</v>
      </c>
      <c r="C3515" s="9">
        <f>IFERROR(__xludf.DUMMYFUNCTION("""COMPUTED_VALUE"""),30.54)</f>
        <v>30.54</v>
      </c>
      <c r="E3515" s="17"/>
      <c r="M3515" s="17"/>
      <c r="P3515" s="17"/>
    </row>
    <row r="3516">
      <c r="B3516" s="11">
        <f>IFERROR(__xludf.DUMMYFUNCTION("""COMPUTED_VALUE"""),40921.666666666664)</f>
        <v>40921.66667</v>
      </c>
      <c r="C3516" s="9">
        <f>IFERROR(__xludf.DUMMYFUNCTION("""COMPUTED_VALUE"""),29.57)</f>
        <v>29.57</v>
      </c>
      <c r="E3516" s="17"/>
      <c r="M3516" s="17"/>
      <c r="P3516" s="17"/>
    </row>
    <row r="3517">
      <c r="B3517" s="11">
        <f>IFERROR(__xludf.DUMMYFUNCTION("""COMPUTED_VALUE"""),40920.666666666664)</f>
        <v>40920.66667</v>
      </c>
      <c r="C3517" s="9">
        <f>IFERROR(__xludf.DUMMYFUNCTION("""COMPUTED_VALUE"""),29.72)</f>
        <v>29.72</v>
      </c>
      <c r="E3517" s="17"/>
      <c r="M3517" s="17"/>
      <c r="P3517" s="17"/>
    </row>
    <row r="3518">
      <c r="B3518" s="11">
        <f>IFERROR(__xludf.DUMMYFUNCTION("""COMPUTED_VALUE"""),40919.666666666664)</f>
        <v>40919.66667</v>
      </c>
      <c r="C3518" s="9">
        <f>IFERROR(__xludf.DUMMYFUNCTION("""COMPUTED_VALUE"""),29.62)</f>
        <v>29.62</v>
      </c>
      <c r="E3518" s="17"/>
      <c r="M3518" s="17"/>
      <c r="P3518" s="17"/>
    </row>
    <row r="3519">
      <c r="B3519" s="11">
        <f>IFERROR(__xludf.DUMMYFUNCTION("""COMPUTED_VALUE"""),40918.666666666664)</f>
        <v>40918.66667</v>
      </c>
      <c r="C3519" s="9">
        <f>IFERROR(__xludf.DUMMYFUNCTION("""COMPUTED_VALUE"""),29.31)</f>
        <v>29.31</v>
      </c>
      <c r="E3519" s="17"/>
      <c r="M3519" s="17"/>
      <c r="P3519" s="17"/>
    </row>
    <row r="3520">
      <c r="B3520" s="11">
        <f>IFERROR(__xludf.DUMMYFUNCTION("""COMPUTED_VALUE"""),40917.666666666664)</f>
        <v>40917.66667</v>
      </c>
      <c r="C3520" s="9">
        <f>IFERROR(__xludf.DUMMYFUNCTION("""COMPUTED_VALUE"""),28.53)</f>
        <v>28.53</v>
      </c>
      <c r="E3520" s="17"/>
      <c r="M3520" s="17"/>
      <c r="P3520" s="17"/>
    </row>
    <row r="3521">
      <c r="B3521" s="11">
        <f>IFERROR(__xludf.DUMMYFUNCTION("""COMPUTED_VALUE"""),40914.666666666664)</f>
        <v>40914.66667</v>
      </c>
      <c r="C3521" s="9">
        <f>IFERROR(__xludf.DUMMYFUNCTION("""COMPUTED_VALUE"""),28.79)</f>
        <v>28.79</v>
      </c>
      <c r="E3521" s="17"/>
      <c r="M3521" s="17"/>
      <c r="P3521" s="17"/>
    </row>
    <row r="3522">
      <c r="B3522" s="11">
        <f>IFERROR(__xludf.DUMMYFUNCTION("""COMPUTED_VALUE"""),40913.666666666664)</f>
        <v>40913.66667</v>
      </c>
      <c r="C3522" s="9">
        <f>IFERROR(__xludf.DUMMYFUNCTION("""COMPUTED_VALUE"""),29.24)</f>
        <v>29.24</v>
      </c>
      <c r="E3522" s="17"/>
      <c r="M3522" s="17"/>
      <c r="P3522" s="17"/>
    </row>
    <row r="3523">
      <c r="B3523" s="11">
        <f>IFERROR(__xludf.DUMMYFUNCTION("""COMPUTED_VALUE"""),40912.666666666664)</f>
        <v>40912.66667</v>
      </c>
      <c r="C3523" s="9">
        <f>IFERROR(__xludf.DUMMYFUNCTION("""COMPUTED_VALUE"""),28.5)</f>
        <v>28.5</v>
      </c>
      <c r="E3523" s="17"/>
      <c r="M3523" s="17"/>
      <c r="P3523" s="17"/>
    </row>
    <row r="3524">
      <c r="B3524" s="11">
        <f>IFERROR(__xludf.DUMMYFUNCTION("""COMPUTED_VALUE"""),40911.666666666664)</f>
        <v>40911.66667</v>
      </c>
      <c r="C3524" s="9">
        <f>IFERROR(__xludf.DUMMYFUNCTION("""COMPUTED_VALUE"""),29.24)</f>
        <v>29.24</v>
      </c>
      <c r="E3524" s="17"/>
      <c r="M3524" s="17"/>
      <c r="P3524" s="17"/>
    </row>
    <row r="3525">
      <c r="B3525" s="11">
        <f>IFERROR(__xludf.DUMMYFUNCTION("""COMPUTED_VALUE"""),40907.666666666664)</f>
        <v>40907.66667</v>
      </c>
      <c r="C3525" s="9">
        <f>IFERROR(__xludf.DUMMYFUNCTION("""COMPUTED_VALUE"""),28.59)</f>
        <v>28.59</v>
      </c>
      <c r="E3525" s="17"/>
      <c r="M3525" s="17"/>
      <c r="P3525" s="17"/>
    </row>
    <row r="3526">
      <c r="B3526" s="11">
        <f>IFERROR(__xludf.DUMMYFUNCTION("""COMPUTED_VALUE"""),40906.666666666664)</f>
        <v>40906.66667</v>
      </c>
      <c r="C3526" s="9">
        <f>IFERROR(__xludf.DUMMYFUNCTION("""COMPUTED_VALUE"""),28.57)</f>
        <v>28.57</v>
      </c>
      <c r="E3526" s="17"/>
      <c r="M3526" s="17"/>
      <c r="P3526" s="17"/>
    </row>
    <row r="3527">
      <c r="B3527" s="11">
        <f>IFERROR(__xludf.DUMMYFUNCTION("""COMPUTED_VALUE"""),40905.666666666664)</f>
        <v>40905.66667</v>
      </c>
      <c r="C3527" s="9">
        <f>IFERROR(__xludf.DUMMYFUNCTION("""COMPUTED_VALUE"""),28.48)</f>
        <v>28.48</v>
      </c>
      <c r="E3527" s="17"/>
      <c r="M3527" s="17"/>
      <c r="P3527" s="17"/>
    </row>
    <row r="3528">
      <c r="B3528" s="11">
        <f>IFERROR(__xludf.DUMMYFUNCTION("""COMPUTED_VALUE"""),40904.666666666664)</f>
        <v>40904.66667</v>
      </c>
      <c r="C3528" s="9">
        <f>IFERROR(__xludf.DUMMYFUNCTION("""COMPUTED_VALUE"""),29.0)</f>
        <v>29</v>
      </c>
      <c r="E3528" s="17"/>
      <c r="M3528" s="17"/>
      <c r="P3528" s="17"/>
    </row>
    <row r="3529">
      <c r="B3529" s="11">
        <f>IFERROR(__xludf.DUMMYFUNCTION("""COMPUTED_VALUE"""),40900.666666666664)</f>
        <v>40900.66667</v>
      </c>
      <c r="C3529" s="9">
        <f>IFERROR(__xludf.DUMMYFUNCTION("""COMPUTED_VALUE"""),28.92)</f>
        <v>28.92</v>
      </c>
      <c r="E3529" s="17"/>
      <c r="M3529" s="17"/>
      <c r="P3529" s="17"/>
    </row>
    <row r="3530">
      <c r="B3530" s="11">
        <f>IFERROR(__xludf.DUMMYFUNCTION("""COMPUTED_VALUE"""),40899.666666666664)</f>
        <v>40899.66667</v>
      </c>
      <c r="C3530" s="9">
        <f>IFERROR(__xludf.DUMMYFUNCTION("""COMPUTED_VALUE"""),28.79)</f>
        <v>28.79</v>
      </c>
      <c r="E3530" s="17"/>
      <c r="M3530" s="17"/>
      <c r="P3530" s="17"/>
    </row>
    <row r="3531">
      <c r="B3531" s="11">
        <f>IFERROR(__xludf.DUMMYFUNCTION("""COMPUTED_VALUE"""),40898.666666666664)</f>
        <v>40898.66667</v>
      </c>
      <c r="C3531" s="9">
        <f>IFERROR(__xludf.DUMMYFUNCTION("""COMPUTED_VALUE"""),28.26)</f>
        <v>28.26</v>
      </c>
      <c r="E3531" s="17"/>
      <c r="M3531" s="17"/>
      <c r="P3531" s="17"/>
    </row>
    <row r="3532">
      <c r="B3532" s="11">
        <f>IFERROR(__xludf.DUMMYFUNCTION("""COMPUTED_VALUE"""),40897.666666666664)</f>
        <v>40897.66667</v>
      </c>
      <c r="C3532" s="9">
        <f>IFERROR(__xludf.DUMMYFUNCTION("""COMPUTED_VALUE"""),28.25)</f>
        <v>28.25</v>
      </c>
      <c r="E3532" s="17"/>
      <c r="M3532" s="17"/>
      <c r="P3532" s="17"/>
    </row>
    <row r="3533">
      <c r="B3533" s="11">
        <f>IFERROR(__xludf.DUMMYFUNCTION("""COMPUTED_VALUE"""),40896.666666666664)</f>
        <v>40896.66667</v>
      </c>
      <c r="C3533" s="9">
        <f>IFERROR(__xludf.DUMMYFUNCTION("""COMPUTED_VALUE"""),26.85)</f>
        <v>26.85</v>
      </c>
      <c r="E3533" s="17"/>
      <c r="M3533" s="17"/>
      <c r="P3533" s="17"/>
    </row>
    <row r="3534">
      <c r="B3534" s="11">
        <f>IFERROR(__xludf.DUMMYFUNCTION("""COMPUTED_VALUE"""),40893.666666666664)</f>
        <v>40893.66667</v>
      </c>
      <c r="C3534" s="9">
        <f>IFERROR(__xludf.DUMMYFUNCTION("""COMPUTED_VALUE"""),27.51)</f>
        <v>27.51</v>
      </c>
      <c r="E3534" s="17"/>
      <c r="M3534" s="17"/>
      <c r="P3534" s="17"/>
    </row>
    <row r="3535">
      <c r="B3535" s="11">
        <f>IFERROR(__xludf.DUMMYFUNCTION("""COMPUTED_VALUE"""),40892.666666666664)</f>
        <v>40892.66667</v>
      </c>
      <c r="C3535" s="9">
        <f>IFERROR(__xludf.DUMMYFUNCTION("""COMPUTED_VALUE"""),27.24)</f>
        <v>27.24</v>
      </c>
      <c r="E3535" s="17"/>
      <c r="M3535" s="17"/>
      <c r="P3535" s="17"/>
    </row>
    <row r="3536">
      <c r="B3536" s="11">
        <f>IFERROR(__xludf.DUMMYFUNCTION("""COMPUTED_VALUE"""),40891.666666666664)</f>
        <v>40891.66667</v>
      </c>
      <c r="C3536" s="9">
        <f>IFERROR(__xludf.DUMMYFUNCTION("""COMPUTED_VALUE"""),26.97)</f>
        <v>26.97</v>
      </c>
      <c r="E3536" s="17"/>
      <c r="M3536" s="17"/>
      <c r="P3536" s="17"/>
    </row>
    <row r="3537">
      <c r="B3537" s="11">
        <f>IFERROR(__xludf.DUMMYFUNCTION("""COMPUTED_VALUE"""),40890.666666666664)</f>
        <v>40890.66667</v>
      </c>
      <c r="C3537" s="9">
        <f>IFERROR(__xludf.DUMMYFUNCTION("""COMPUTED_VALUE"""),27.1)</f>
        <v>27.1</v>
      </c>
      <c r="E3537" s="17"/>
      <c r="M3537" s="17"/>
      <c r="P3537" s="17"/>
    </row>
    <row r="3538">
      <c r="B3538" s="11">
        <f>IFERROR(__xludf.DUMMYFUNCTION("""COMPUTED_VALUE"""),40889.666666666664)</f>
        <v>40889.66667</v>
      </c>
      <c r="C3538" s="9">
        <f>IFERROR(__xludf.DUMMYFUNCTION("""COMPUTED_VALUE"""),27.56)</f>
        <v>27.56</v>
      </c>
      <c r="E3538" s="17"/>
      <c r="M3538" s="17"/>
      <c r="P3538" s="17"/>
    </row>
    <row r="3539">
      <c r="B3539" s="11">
        <f>IFERROR(__xludf.DUMMYFUNCTION("""COMPUTED_VALUE"""),40886.666666666664)</f>
        <v>40886.66667</v>
      </c>
      <c r="C3539" s="9">
        <f>IFERROR(__xludf.DUMMYFUNCTION("""COMPUTED_VALUE"""),28.7)</f>
        <v>28.7</v>
      </c>
      <c r="E3539" s="17"/>
      <c r="M3539" s="17"/>
      <c r="P3539" s="17"/>
    </row>
    <row r="3540">
      <c r="B3540" s="11">
        <f>IFERROR(__xludf.DUMMYFUNCTION("""COMPUTED_VALUE"""),40885.666666666664)</f>
        <v>40885.66667</v>
      </c>
      <c r="C3540" s="9">
        <f>IFERROR(__xludf.DUMMYFUNCTION("""COMPUTED_VALUE"""),27.94)</f>
        <v>27.94</v>
      </c>
      <c r="E3540" s="17"/>
      <c r="M3540" s="17"/>
      <c r="P3540" s="17"/>
    </row>
    <row r="3541">
      <c r="B3541" s="11">
        <f>IFERROR(__xludf.DUMMYFUNCTION("""COMPUTED_VALUE"""),40884.666666666664)</f>
        <v>40884.66667</v>
      </c>
      <c r="C3541" s="9">
        <f>IFERROR(__xludf.DUMMYFUNCTION("""COMPUTED_VALUE"""),28.84)</f>
        <v>28.84</v>
      </c>
      <c r="E3541" s="17"/>
      <c r="M3541" s="17"/>
      <c r="P3541" s="17"/>
    </row>
    <row r="3542">
      <c r="B3542" s="11">
        <f>IFERROR(__xludf.DUMMYFUNCTION("""COMPUTED_VALUE"""),40883.666666666664)</f>
        <v>40883.66667</v>
      </c>
      <c r="C3542" s="9">
        <f>IFERROR(__xludf.DUMMYFUNCTION("""COMPUTED_VALUE"""),28.37)</f>
        <v>28.37</v>
      </c>
      <c r="E3542" s="17"/>
      <c r="M3542" s="17"/>
      <c r="P3542" s="17"/>
    </row>
    <row r="3543">
      <c r="B3543" s="11">
        <f>IFERROR(__xludf.DUMMYFUNCTION("""COMPUTED_VALUE"""),40882.666666666664)</f>
        <v>40882.66667</v>
      </c>
      <c r="C3543" s="9">
        <f>IFERROR(__xludf.DUMMYFUNCTION("""COMPUTED_VALUE"""),28.5)</f>
        <v>28.5</v>
      </c>
      <c r="E3543" s="17"/>
      <c r="M3543" s="17"/>
      <c r="P3543" s="17"/>
    </row>
    <row r="3544">
      <c r="B3544" s="11">
        <f>IFERROR(__xludf.DUMMYFUNCTION("""COMPUTED_VALUE"""),40879.666666666664)</f>
        <v>40879.66667</v>
      </c>
      <c r="C3544" s="9">
        <f>IFERROR(__xludf.DUMMYFUNCTION("""COMPUTED_VALUE"""),27.8)</f>
        <v>27.8</v>
      </c>
      <c r="E3544" s="17"/>
      <c r="M3544" s="17"/>
      <c r="P3544" s="17"/>
    </row>
    <row r="3545">
      <c r="B3545" s="11">
        <f>IFERROR(__xludf.DUMMYFUNCTION("""COMPUTED_VALUE"""),40878.666666666664)</f>
        <v>40878.66667</v>
      </c>
      <c r="C3545" s="9">
        <f>IFERROR(__xludf.DUMMYFUNCTION("""COMPUTED_VALUE"""),27.5)</f>
        <v>27.5</v>
      </c>
      <c r="E3545" s="17"/>
      <c r="M3545" s="17"/>
      <c r="P3545" s="17"/>
    </row>
    <row r="3546">
      <c r="B3546" s="11">
        <f>IFERROR(__xludf.DUMMYFUNCTION("""COMPUTED_VALUE"""),40877.666666666664)</f>
        <v>40877.66667</v>
      </c>
      <c r="C3546" s="9">
        <f>IFERROR(__xludf.DUMMYFUNCTION("""COMPUTED_VALUE"""),27.82)</f>
        <v>27.82</v>
      </c>
      <c r="E3546" s="17"/>
      <c r="M3546" s="17"/>
      <c r="P3546" s="17"/>
    </row>
    <row r="3547">
      <c r="B3547" s="11">
        <f>IFERROR(__xludf.DUMMYFUNCTION("""COMPUTED_VALUE"""),40876.666666666664)</f>
        <v>40876.66667</v>
      </c>
      <c r="C3547" s="9">
        <f>IFERROR(__xludf.DUMMYFUNCTION("""COMPUTED_VALUE"""),26.06)</f>
        <v>26.06</v>
      </c>
      <c r="E3547" s="17"/>
      <c r="M3547" s="17"/>
      <c r="P3547" s="17"/>
    </row>
    <row r="3548">
      <c r="B3548" s="11">
        <f>IFERROR(__xludf.DUMMYFUNCTION("""COMPUTED_VALUE"""),40875.666666666664)</f>
        <v>40875.66667</v>
      </c>
      <c r="C3548" s="9">
        <f>IFERROR(__xludf.DUMMYFUNCTION("""COMPUTED_VALUE"""),26.16)</f>
        <v>26.16</v>
      </c>
      <c r="E3548" s="17"/>
      <c r="M3548" s="17"/>
      <c r="P3548" s="17"/>
    </row>
    <row r="3549">
      <c r="B3549" s="11">
        <f>IFERROR(__xludf.DUMMYFUNCTION("""COMPUTED_VALUE"""),40872.666666666664)</f>
        <v>40872.66667</v>
      </c>
      <c r="C3549" s="9">
        <f>IFERROR(__xludf.DUMMYFUNCTION("""COMPUTED_VALUE"""),25.21)</f>
        <v>25.21</v>
      </c>
      <c r="E3549" s="17"/>
      <c r="M3549" s="17"/>
      <c r="P3549" s="17"/>
    </row>
    <row r="3550">
      <c r="B3550" s="11">
        <f>IFERROR(__xludf.DUMMYFUNCTION("""COMPUTED_VALUE"""),40870.666666666664)</f>
        <v>40870.66667</v>
      </c>
      <c r="C3550" s="9">
        <f>IFERROR(__xludf.DUMMYFUNCTION("""COMPUTED_VALUE"""),24.92)</f>
        <v>24.92</v>
      </c>
      <c r="E3550" s="17"/>
      <c r="M3550" s="17"/>
      <c r="P3550" s="17"/>
    </row>
    <row r="3551">
      <c r="B3551" s="11">
        <f>IFERROR(__xludf.DUMMYFUNCTION("""COMPUTED_VALUE"""),40869.666666666664)</f>
        <v>40869.66667</v>
      </c>
      <c r="C3551" s="9">
        <f>IFERROR(__xludf.DUMMYFUNCTION("""COMPUTED_VALUE"""),25.68)</f>
        <v>25.68</v>
      </c>
      <c r="E3551" s="17"/>
      <c r="M3551" s="17"/>
      <c r="P3551" s="17"/>
    </row>
    <row r="3552">
      <c r="B3552" s="11">
        <f>IFERROR(__xludf.DUMMYFUNCTION("""COMPUTED_VALUE"""),40868.666666666664)</f>
        <v>40868.66667</v>
      </c>
      <c r="C3552" s="9">
        <f>IFERROR(__xludf.DUMMYFUNCTION("""COMPUTED_VALUE"""),26.21)</f>
        <v>26.21</v>
      </c>
      <c r="E3552" s="17"/>
      <c r="M3552" s="17"/>
      <c r="P3552" s="17"/>
    </row>
    <row r="3553">
      <c r="B3553" s="11">
        <f>IFERROR(__xludf.DUMMYFUNCTION("""COMPUTED_VALUE"""),40865.666666666664)</f>
        <v>40865.66667</v>
      </c>
      <c r="C3553" s="9">
        <f>IFERROR(__xludf.DUMMYFUNCTION("""COMPUTED_VALUE"""),27.54)</f>
        <v>27.54</v>
      </c>
      <c r="E3553" s="17"/>
      <c r="M3553" s="17"/>
      <c r="P3553" s="17"/>
    </row>
    <row r="3554">
      <c r="B3554" s="11">
        <f>IFERROR(__xludf.DUMMYFUNCTION("""COMPUTED_VALUE"""),40864.666666666664)</f>
        <v>40864.66667</v>
      </c>
      <c r="C3554" s="9">
        <f>IFERROR(__xludf.DUMMYFUNCTION("""COMPUTED_VALUE"""),27.45)</f>
        <v>27.45</v>
      </c>
      <c r="E3554" s="17"/>
      <c r="M3554" s="17"/>
      <c r="P3554" s="17"/>
    </row>
    <row r="3555">
      <c r="B3555" s="11">
        <f>IFERROR(__xludf.DUMMYFUNCTION("""COMPUTED_VALUE"""),40863.666666666664)</f>
        <v>40863.66667</v>
      </c>
      <c r="C3555" s="9">
        <f>IFERROR(__xludf.DUMMYFUNCTION("""COMPUTED_VALUE"""),27.92)</f>
        <v>27.92</v>
      </c>
      <c r="E3555" s="17"/>
      <c r="M3555" s="17"/>
      <c r="P3555" s="17"/>
    </row>
    <row r="3556">
      <c r="B3556" s="11">
        <f>IFERROR(__xludf.DUMMYFUNCTION("""COMPUTED_VALUE"""),40862.666666666664)</f>
        <v>40862.66667</v>
      </c>
      <c r="C3556" s="9">
        <f>IFERROR(__xludf.DUMMYFUNCTION("""COMPUTED_VALUE"""),28.13)</f>
        <v>28.13</v>
      </c>
      <c r="E3556" s="17"/>
      <c r="M3556" s="17"/>
      <c r="P3556" s="17"/>
    </row>
    <row r="3557">
      <c r="B3557" s="11">
        <f>IFERROR(__xludf.DUMMYFUNCTION("""COMPUTED_VALUE"""),40861.666666666664)</f>
        <v>40861.66667</v>
      </c>
      <c r="C3557" s="9">
        <f>IFERROR(__xludf.DUMMYFUNCTION("""COMPUTED_VALUE"""),27.97)</f>
        <v>27.97</v>
      </c>
      <c r="E3557" s="17"/>
      <c r="M3557" s="17"/>
      <c r="P3557" s="17"/>
    </row>
    <row r="3558">
      <c r="B3558" s="11">
        <f>IFERROR(__xludf.DUMMYFUNCTION("""COMPUTED_VALUE"""),40858.666666666664)</f>
        <v>40858.66667</v>
      </c>
      <c r="C3558" s="9">
        <f>IFERROR(__xludf.DUMMYFUNCTION("""COMPUTED_VALUE"""),28.48)</f>
        <v>28.48</v>
      </c>
      <c r="E3558" s="17"/>
      <c r="M3558" s="17"/>
      <c r="P3558" s="17"/>
    </row>
    <row r="3559">
      <c r="B3559" s="11">
        <f>IFERROR(__xludf.DUMMYFUNCTION("""COMPUTED_VALUE"""),40857.666666666664)</f>
        <v>40857.66667</v>
      </c>
      <c r="C3559" s="9">
        <f>IFERROR(__xludf.DUMMYFUNCTION("""COMPUTED_VALUE"""),27.24)</f>
        <v>27.24</v>
      </c>
      <c r="E3559" s="17"/>
      <c r="M3559" s="17"/>
      <c r="P3559" s="17"/>
    </row>
    <row r="3560">
      <c r="B3560" s="11">
        <f>IFERROR(__xludf.DUMMYFUNCTION("""COMPUTED_VALUE"""),40856.666666666664)</f>
        <v>40856.66667</v>
      </c>
      <c r="C3560" s="9">
        <f>IFERROR(__xludf.DUMMYFUNCTION("""COMPUTED_VALUE"""),27.65)</f>
        <v>27.65</v>
      </c>
      <c r="E3560" s="17"/>
      <c r="M3560" s="17"/>
      <c r="P3560" s="17"/>
    </row>
    <row r="3561">
      <c r="B3561" s="11">
        <f>IFERROR(__xludf.DUMMYFUNCTION("""COMPUTED_VALUE"""),40855.666666666664)</f>
        <v>40855.66667</v>
      </c>
      <c r="C3561" s="9">
        <f>IFERROR(__xludf.DUMMYFUNCTION("""COMPUTED_VALUE"""),29.72)</f>
        <v>29.72</v>
      </c>
      <c r="E3561" s="17"/>
      <c r="M3561" s="17"/>
      <c r="P3561" s="17"/>
    </row>
    <row r="3562">
      <c r="B3562" s="11">
        <f>IFERROR(__xludf.DUMMYFUNCTION("""COMPUTED_VALUE"""),40854.666666666664)</f>
        <v>40854.66667</v>
      </c>
      <c r="C3562" s="9">
        <f>IFERROR(__xludf.DUMMYFUNCTION("""COMPUTED_VALUE"""),29.41)</f>
        <v>29.41</v>
      </c>
      <c r="E3562" s="17"/>
      <c r="M3562" s="17"/>
      <c r="P3562" s="17"/>
    </row>
    <row r="3563">
      <c r="B3563" s="11">
        <f>IFERROR(__xludf.DUMMYFUNCTION("""COMPUTED_VALUE"""),40851.666666666664)</f>
        <v>40851.66667</v>
      </c>
      <c r="C3563" s="9">
        <f>IFERROR(__xludf.DUMMYFUNCTION("""COMPUTED_VALUE"""),29.27)</f>
        <v>29.27</v>
      </c>
      <c r="E3563" s="17"/>
      <c r="M3563" s="17"/>
      <c r="P3563" s="17"/>
    </row>
    <row r="3564">
      <c r="B3564" s="11">
        <f>IFERROR(__xludf.DUMMYFUNCTION("""COMPUTED_VALUE"""),40850.666666666664)</f>
        <v>40850.66667</v>
      </c>
      <c r="C3564" s="9">
        <f>IFERROR(__xludf.DUMMYFUNCTION("""COMPUTED_VALUE"""),29.25)</f>
        <v>29.25</v>
      </c>
      <c r="E3564" s="17"/>
      <c r="M3564" s="17"/>
      <c r="P3564" s="17"/>
    </row>
    <row r="3565">
      <c r="B3565" s="11">
        <f>IFERROR(__xludf.DUMMYFUNCTION("""COMPUTED_VALUE"""),40849.666666666664)</f>
        <v>40849.66667</v>
      </c>
      <c r="C3565" s="9">
        <f>IFERROR(__xludf.DUMMYFUNCTION("""COMPUTED_VALUE"""),28.27)</f>
        <v>28.27</v>
      </c>
      <c r="E3565" s="17"/>
      <c r="M3565" s="17"/>
      <c r="P3565" s="17"/>
    </row>
    <row r="3566">
      <c r="B3566" s="11">
        <f>IFERROR(__xludf.DUMMYFUNCTION("""COMPUTED_VALUE"""),40848.666666666664)</f>
        <v>40848.66667</v>
      </c>
      <c r="C3566" s="9">
        <f>IFERROR(__xludf.DUMMYFUNCTION("""COMPUTED_VALUE"""),27.76)</f>
        <v>27.76</v>
      </c>
      <c r="E3566" s="17"/>
      <c r="M3566" s="17"/>
      <c r="P3566" s="17"/>
    </row>
    <row r="3567">
      <c r="B3567" s="11">
        <f>IFERROR(__xludf.DUMMYFUNCTION("""COMPUTED_VALUE"""),40847.666666666664)</f>
        <v>40847.66667</v>
      </c>
      <c r="C3567" s="9">
        <f>IFERROR(__xludf.DUMMYFUNCTION("""COMPUTED_VALUE"""),29.76)</f>
        <v>29.76</v>
      </c>
      <c r="E3567" s="17"/>
      <c r="M3567" s="17"/>
      <c r="P3567" s="17"/>
    </row>
    <row r="3568">
      <c r="B3568" s="11">
        <f>IFERROR(__xludf.DUMMYFUNCTION("""COMPUTED_VALUE"""),40844.666666666664)</f>
        <v>40844.66667</v>
      </c>
      <c r="C3568" s="9">
        <f>IFERROR(__xludf.DUMMYFUNCTION("""COMPUTED_VALUE"""),29.93)</f>
        <v>29.93</v>
      </c>
      <c r="E3568" s="17"/>
      <c r="M3568" s="17"/>
      <c r="P3568" s="17"/>
    </row>
    <row r="3569">
      <c r="B3569" s="11">
        <f>IFERROR(__xludf.DUMMYFUNCTION("""COMPUTED_VALUE"""),40843.666666666664)</f>
        <v>40843.66667</v>
      </c>
      <c r="C3569" s="9">
        <f>IFERROR(__xludf.DUMMYFUNCTION("""COMPUTED_VALUE"""),29.48)</f>
        <v>29.48</v>
      </c>
      <c r="E3569" s="17"/>
      <c r="M3569" s="17"/>
      <c r="P3569" s="17"/>
    </row>
    <row r="3570">
      <c r="B3570" s="11">
        <f>IFERROR(__xludf.DUMMYFUNCTION("""COMPUTED_VALUE"""),40842.666666666664)</f>
        <v>40842.66667</v>
      </c>
      <c r="C3570" s="9">
        <f>IFERROR(__xludf.DUMMYFUNCTION("""COMPUTED_VALUE"""),27.71)</f>
        <v>27.71</v>
      </c>
      <c r="E3570" s="17"/>
      <c r="M3570" s="17"/>
      <c r="P3570" s="17"/>
    </row>
    <row r="3571">
      <c r="B3571" s="11">
        <f>IFERROR(__xludf.DUMMYFUNCTION("""COMPUTED_VALUE"""),40841.666666666664)</f>
        <v>40841.66667</v>
      </c>
      <c r="C3571" s="9">
        <f>IFERROR(__xludf.DUMMYFUNCTION("""COMPUTED_VALUE"""),27.45)</f>
        <v>27.45</v>
      </c>
      <c r="E3571" s="17"/>
      <c r="M3571" s="17"/>
      <c r="P3571" s="17"/>
    </row>
    <row r="3572">
      <c r="B3572" s="11">
        <f>IFERROR(__xludf.DUMMYFUNCTION("""COMPUTED_VALUE"""),40840.666666666664)</f>
        <v>40840.66667</v>
      </c>
      <c r="C3572" s="9">
        <f>IFERROR(__xludf.DUMMYFUNCTION("""COMPUTED_VALUE"""),28.62)</f>
        <v>28.62</v>
      </c>
      <c r="E3572" s="17"/>
      <c r="M3572" s="17"/>
      <c r="P3572" s="17"/>
    </row>
    <row r="3573">
      <c r="B3573" s="11">
        <f>IFERROR(__xludf.DUMMYFUNCTION("""COMPUTED_VALUE"""),40837.666666666664)</f>
        <v>40837.66667</v>
      </c>
      <c r="C3573" s="9">
        <f>IFERROR(__xludf.DUMMYFUNCTION("""COMPUTED_VALUE"""),27.6)</f>
        <v>27.6</v>
      </c>
      <c r="E3573" s="17"/>
      <c r="M3573" s="17"/>
      <c r="P3573" s="17"/>
    </row>
    <row r="3574">
      <c r="B3574" s="11">
        <f>IFERROR(__xludf.DUMMYFUNCTION("""COMPUTED_VALUE"""),40836.666666666664)</f>
        <v>40836.66667</v>
      </c>
      <c r="C3574" s="9">
        <f>IFERROR(__xludf.DUMMYFUNCTION("""COMPUTED_VALUE"""),26.34)</f>
        <v>26.34</v>
      </c>
      <c r="E3574" s="17"/>
      <c r="M3574" s="17"/>
      <c r="P3574" s="17"/>
    </row>
    <row r="3575">
      <c r="B3575" s="11">
        <f>IFERROR(__xludf.DUMMYFUNCTION("""COMPUTED_VALUE"""),40835.666666666664)</f>
        <v>40835.66667</v>
      </c>
      <c r="C3575" s="9">
        <f>IFERROR(__xludf.DUMMYFUNCTION("""COMPUTED_VALUE"""),26.22)</f>
        <v>26.22</v>
      </c>
      <c r="E3575" s="17"/>
      <c r="M3575" s="17"/>
      <c r="P3575" s="17"/>
    </row>
    <row r="3576">
      <c r="B3576" s="11">
        <f>IFERROR(__xludf.DUMMYFUNCTION("""COMPUTED_VALUE"""),40834.666666666664)</f>
        <v>40834.66667</v>
      </c>
      <c r="C3576" s="9">
        <f>IFERROR(__xludf.DUMMYFUNCTION("""COMPUTED_VALUE"""),26.99)</f>
        <v>26.99</v>
      </c>
      <c r="E3576" s="17"/>
      <c r="M3576" s="17"/>
      <c r="P3576" s="17"/>
    </row>
    <row r="3577">
      <c r="B3577" s="11">
        <f>IFERROR(__xludf.DUMMYFUNCTION("""COMPUTED_VALUE"""),40833.666666666664)</f>
        <v>40833.66667</v>
      </c>
      <c r="C3577" s="9">
        <f>IFERROR(__xludf.DUMMYFUNCTION("""COMPUTED_VALUE"""),25.35)</f>
        <v>25.35</v>
      </c>
      <c r="E3577" s="17"/>
      <c r="M3577" s="17"/>
      <c r="P3577" s="17"/>
    </row>
    <row r="3578">
      <c r="B3578" s="11">
        <f>IFERROR(__xludf.DUMMYFUNCTION("""COMPUTED_VALUE"""),40830.666666666664)</f>
        <v>40830.66667</v>
      </c>
      <c r="C3578" s="9">
        <f>IFERROR(__xludf.DUMMYFUNCTION("""COMPUTED_VALUE"""),25.78)</f>
        <v>25.78</v>
      </c>
      <c r="E3578" s="17"/>
      <c r="M3578" s="17"/>
      <c r="P3578" s="17"/>
    </row>
    <row r="3579">
      <c r="B3579" s="11">
        <f>IFERROR(__xludf.DUMMYFUNCTION("""COMPUTED_VALUE"""),40829.666666666664)</f>
        <v>40829.66667</v>
      </c>
      <c r="C3579" s="9">
        <f>IFERROR(__xludf.DUMMYFUNCTION("""COMPUTED_VALUE"""),24.72)</f>
        <v>24.72</v>
      </c>
      <c r="E3579" s="17"/>
      <c r="M3579" s="17"/>
      <c r="P3579" s="17"/>
    </row>
    <row r="3580">
      <c r="B3580" s="11">
        <f>IFERROR(__xludf.DUMMYFUNCTION("""COMPUTED_VALUE"""),40828.666666666664)</f>
        <v>40828.66667</v>
      </c>
      <c r="C3580" s="9">
        <f>IFERROR(__xludf.DUMMYFUNCTION("""COMPUTED_VALUE"""),24.88)</f>
        <v>24.88</v>
      </c>
      <c r="E3580" s="17"/>
      <c r="M3580" s="17"/>
      <c r="P3580" s="17"/>
    </row>
    <row r="3581">
      <c r="B3581" s="11">
        <f>IFERROR(__xludf.DUMMYFUNCTION("""COMPUTED_VALUE"""),40827.666666666664)</f>
        <v>40827.66667</v>
      </c>
      <c r="C3581" s="9">
        <f>IFERROR(__xludf.DUMMYFUNCTION("""COMPUTED_VALUE"""),24.46)</f>
        <v>24.46</v>
      </c>
      <c r="E3581" s="17"/>
      <c r="M3581" s="17"/>
      <c r="P3581" s="17"/>
    </row>
    <row r="3582">
      <c r="B3582" s="11">
        <f>IFERROR(__xludf.DUMMYFUNCTION("""COMPUTED_VALUE"""),40826.666666666664)</f>
        <v>40826.66667</v>
      </c>
      <c r="C3582" s="9">
        <f>IFERROR(__xludf.DUMMYFUNCTION("""COMPUTED_VALUE"""),24.58)</f>
        <v>24.58</v>
      </c>
      <c r="E3582" s="17"/>
      <c r="M3582" s="17"/>
      <c r="P3582" s="17"/>
    </row>
    <row r="3583">
      <c r="B3583" s="11">
        <f>IFERROR(__xludf.DUMMYFUNCTION("""COMPUTED_VALUE"""),40823.666666666664)</f>
        <v>40823.66667</v>
      </c>
      <c r="C3583" s="9">
        <f>IFERROR(__xludf.DUMMYFUNCTION("""COMPUTED_VALUE"""),23.52)</f>
        <v>23.52</v>
      </c>
      <c r="E3583" s="17"/>
      <c r="M3583" s="17"/>
      <c r="P3583" s="17"/>
    </row>
    <row r="3584">
      <c r="B3584" s="11">
        <f>IFERROR(__xludf.DUMMYFUNCTION("""COMPUTED_VALUE"""),40822.666666666664)</f>
        <v>40822.66667</v>
      </c>
      <c r="C3584" s="9">
        <f>IFERROR(__xludf.DUMMYFUNCTION("""COMPUTED_VALUE"""),24.48)</f>
        <v>24.48</v>
      </c>
      <c r="E3584" s="17"/>
      <c r="M3584" s="17"/>
      <c r="P3584" s="17"/>
    </row>
    <row r="3585">
      <c r="B3585" s="11">
        <f>IFERROR(__xludf.DUMMYFUNCTION("""COMPUTED_VALUE"""),40821.666666666664)</f>
        <v>40821.66667</v>
      </c>
      <c r="C3585" s="9">
        <f>IFERROR(__xludf.DUMMYFUNCTION("""COMPUTED_VALUE"""),23.21)</f>
        <v>23.21</v>
      </c>
      <c r="E3585" s="17"/>
      <c r="M3585" s="17"/>
      <c r="P3585" s="17"/>
    </row>
    <row r="3586">
      <c r="B3586" s="11">
        <f>IFERROR(__xludf.DUMMYFUNCTION("""COMPUTED_VALUE"""),40820.666666666664)</f>
        <v>40820.66667</v>
      </c>
      <c r="C3586" s="9">
        <f>IFERROR(__xludf.DUMMYFUNCTION("""COMPUTED_VALUE"""),23.54)</f>
        <v>23.54</v>
      </c>
      <c r="E3586" s="17"/>
      <c r="M3586" s="17"/>
      <c r="P3586" s="17"/>
    </row>
    <row r="3587">
      <c r="B3587" s="11">
        <f>IFERROR(__xludf.DUMMYFUNCTION("""COMPUTED_VALUE"""),40819.666666666664)</f>
        <v>40819.66667</v>
      </c>
      <c r="C3587" s="9">
        <f>IFERROR(__xludf.DUMMYFUNCTION("""COMPUTED_VALUE"""),22.63)</f>
        <v>22.63</v>
      </c>
      <c r="E3587" s="17"/>
      <c r="M3587" s="17"/>
      <c r="P3587" s="17"/>
    </row>
    <row r="3588">
      <c r="B3588" s="11">
        <f>IFERROR(__xludf.DUMMYFUNCTION("""COMPUTED_VALUE"""),40816.666666666664)</f>
        <v>40816.66667</v>
      </c>
      <c r="C3588" s="9">
        <f>IFERROR(__xludf.DUMMYFUNCTION("""COMPUTED_VALUE"""),24.25)</f>
        <v>24.25</v>
      </c>
      <c r="E3588" s="17"/>
      <c r="M3588" s="17"/>
      <c r="P3588" s="17"/>
    </row>
    <row r="3589">
      <c r="B3589" s="11">
        <f>IFERROR(__xludf.DUMMYFUNCTION("""COMPUTED_VALUE"""),40815.666666666664)</f>
        <v>40815.66667</v>
      </c>
      <c r="C3589" s="9">
        <f>IFERROR(__xludf.DUMMYFUNCTION("""COMPUTED_VALUE"""),25.43)</f>
        <v>25.43</v>
      </c>
      <c r="E3589" s="17"/>
      <c r="M3589" s="17"/>
      <c r="P3589" s="17"/>
    </row>
    <row r="3590">
      <c r="B3590" s="11">
        <f>IFERROR(__xludf.DUMMYFUNCTION("""COMPUTED_VALUE"""),40814.666666666664)</f>
        <v>40814.66667</v>
      </c>
      <c r="C3590" s="9">
        <f>IFERROR(__xludf.DUMMYFUNCTION("""COMPUTED_VALUE"""),25.05)</f>
        <v>25.05</v>
      </c>
      <c r="E3590" s="17"/>
      <c r="M3590" s="17"/>
      <c r="P3590" s="17"/>
    </row>
    <row r="3591">
      <c r="B3591" s="11">
        <f>IFERROR(__xludf.DUMMYFUNCTION("""COMPUTED_VALUE"""),40813.666666666664)</f>
        <v>40813.66667</v>
      </c>
      <c r="C3591" s="9">
        <f>IFERROR(__xludf.DUMMYFUNCTION("""COMPUTED_VALUE"""),26.28)</f>
        <v>26.28</v>
      </c>
      <c r="E3591" s="17"/>
      <c r="M3591" s="17"/>
      <c r="P3591" s="17"/>
    </row>
    <row r="3592">
      <c r="B3592" s="11">
        <f>IFERROR(__xludf.DUMMYFUNCTION("""COMPUTED_VALUE"""),40812.666666666664)</f>
        <v>40812.66667</v>
      </c>
      <c r="C3592" s="9">
        <f>IFERROR(__xludf.DUMMYFUNCTION("""COMPUTED_VALUE"""),26.05)</f>
        <v>26.05</v>
      </c>
      <c r="E3592" s="17"/>
      <c r="M3592" s="17"/>
      <c r="P3592" s="17"/>
    </row>
    <row r="3593">
      <c r="B3593" s="11">
        <f>IFERROR(__xludf.DUMMYFUNCTION("""COMPUTED_VALUE"""),40809.666666666664)</f>
        <v>40809.66667</v>
      </c>
      <c r="C3593" s="9">
        <f>IFERROR(__xludf.DUMMYFUNCTION("""COMPUTED_VALUE"""),25.51)</f>
        <v>25.51</v>
      </c>
      <c r="E3593" s="17"/>
      <c r="M3593" s="17"/>
      <c r="P3593" s="17"/>
    </row>
    <row r="3594">
      <c r="B3594" s="11">
        <f>IFERROR(__xludf.DUMMYFUNCTION("""COMPUTED_VALUE"""),40808.666666666664)</f>
        <v>40808.66667</v>
      </c>
      <c r="C3594" s="9">
        <f>IFERROR(__xludf.DUMMYFUNCTION("""COMPUTED_VALUE"""),25.13)</f>
        <v>25.13</v>
      </c>
      <c r="E3594" s="17"/>
      <c r="M3594" s="17"/>
      <c r="P3594" s="17"/>
    </row>
    <row r="3595">
      <c r="B3595" s="11">
        <f>IFERROR(__xludf.DUMMYFUNCTION("""COMPUTED_VALUE"""),40807.666666666664)</f>
        <v>40807.66667</v>
      </c>
      <c r="C3595" s="9">
        <f>IFERROR(__xludf.DUMMYFUNCTION("""COMPUTED_VALUE"""),26.69)</f>
        <v>26.69</v>
      </c>
      <c r="E3595" s="17"/>
      <c r="M3595" s="17"/>
      <c r="P3595" s="17"/>
    </row>
    <row r="3596">
      <c r="B3596" s="11">
        <f>IFERROR(__xludf.DUMMYFUNCTION("""COMPUTED_VALUE"""),40806.666666666664)</f>
        <v>40806.66667</v>
      </c>
      <c r="C3596" s="9">
        <f>IFERROR(__xludf.DUMMYFUNCTION("""COMPUTED_VALUE"""),28.27)</f>
        <v>28.27</v>
      </c>
      <c r="E3596" s="17"/>
      <c r="M3596" s="17"/>
      <c r="P3596" s="17"/>
    </row>
    <row r="3597">
      <c r="B3597" s="11">
        <f>IFERROR(__xludf.DUMMYFUNCTION("""COMPUTED_VALUE"""),40805.666666666664)</f>
        <v>40805.66667</v>
      </c>
      <c r="C3597" s="9">
        <f>IFERROR(__xludf.DUMMYFUNCTION("""COMPUTED_VALUE"""),27.91)</f>
        <v>27.91</v>
      </c>
      <c r="E3597" s="17"/>
      <c r="M3597" s="17"/>
      <c r="P3597" s="17"/>
    </row>
    <row r="3598">
      <c r="B3598" s="11">
        <f>IFERROR(__xludf.DUMMYFUNCTION("""COMPUTED_VALUE"""),40802.666666666664)</f>
        <v>40802.66667</v>
      </c>
      <c r="C3598" s="9">
        <f>IFERROR(__xludf.DUMMYFUNCTION("""COMPUTED_VALUE"""),28.32)</f>
        <v>28.32</v>
      </c>
      <c r="E3598" s="17"/>
      <c r="M3598" s="17"/>
      <c r="P3598" s="17"/>
    </row>
    <row r="3599">
      <c r="B3599" s="11">
        <f>IFERROR(__xludf.DUMMYFUNCTION("""COMPUTED_VALUE"""),40801.666666666664)</f>
        <v>40801.66667</v>
      </c>
      <c r="C3599" s="9">
        <f>IFERROR(__xludf.DUMMYFUNCTION("""COMPUTED_VALUE"""),27.39)</f>
        <v>27.39</v>
      </c>
      <c r="E3599" s="17"/>
      <c r="M3599" s="17"/>
      <c r="P3599" s="17"/>
    </row>
    <row r="3600">
      <c r="B3600" s="11">
        <f>IFERROR(__xludf.DUMMYFUNCTION("""COMPUTED_VALUE"""),40800.666666666664)</f>
        <v>40800.66667</v>
      </c>
      <c r="C3600" s="9">
        <f>IFERROR(__xludf.DUMMYFUNCTION("""COMPUTED_VALUE"""),26.56)</f>
        <v>26.56</v>
      </c>
      <c r="E3600" s="17"/>
      <c r="M3600" s="17"/>
      <c r="P3600" s="17"/>
    </row>
    <row r="3601">
      <c r="B3601" s="11">
        <f>IFERROR(__xludf.DUMMYFUNCTION("""COMPUTED_VALUE"""),40799.666666666664)</f>
        <v>40799.66667</v>
      </c>
      <c r="C3601" s="9">
        <f>IFERROR(__xludf.DUMMYFUNCTION("""COMPUTED_VALUE"""),25.9)</f>
        <v>25.9</v>
      </c>
      <c r="E3601" s="17"/>
      <c r="M3601" s="17"/>
      <c r="P3601" s="17"/>
    </row>
    <row r="3602">
      <c r="B3602" s="11">
        <f>IFERROR(__xludf.DUMMYFUNCTION("""COMPUTED_VALUE"""),40798.666666666664)</f>
        <v>40798.66667</v>
      </c>
      <c r="C3602" s="9">
        <f>IFERROR(__xludf.DUMMYFUNCTION("""COMPUTED_VALUE"""),25.57)</f>
        <v>25.57</v>
      </c>
      <c r="E3602" s="17"/>
      <c r="M3602" s="17"/>
      <c r="P3602" s="17"/>
    </row>
    <row r="3603">
      <c r="B3603" s="11">
        <f>IFERROR(__xludf.DUMMYFUNCTION("""COMPUTED_VALUE"""),40795.666666666664)</f>
        <v>40795.66667</v>
      </c>
      <c r="C3603" s="9">
        <f>IFERROR(__xludf.DUMMYFUNCTION("""COMPUTED_VALUE"""),25.65)</f>
        <v>25.65</v>
      </c>
      <c r="E3603" s="17"/>
      <c r="M3603" s="17"/>
      <c r="P3603" s="17"/>
    </row>
    <row r="3604">
      <c r="B3604" s="11">
        <f>IFERROR(__xludf.DUMMYFUNCTION("""COMPUTED_VALUE"""),40794.666666666664)</f>
        <v>40794.66667</v>
      </c>
      <c r="C3604" s="9">
        <f>IFERROR(__xludf.DUMMYFUNCTION("""COMPUTED_VALUE"""),26.82)</f>
        <v>26.82</v>
      </c>
      <c r="E3604" s="17"/>
      <c r="M3604" s="17"/>
      <c r="P3604" s="17"/>
    </row>
    <row r="3605">
      <c r="B3605" s="11">
        <f>IFERROR(__xludf.DUMMYFUNCTION("""COMPUTED_VALUE"""),40793.666666666664)</f>
        <v>40793.66667</v>
      </c>
      <c r="C3605" s="9">
        <f>IFERROR(__xludf.DUMMYFUNCTION("""COMPUTED_VALUE"""),27.12)</f>
        <v>27.12</v>
      </c>
      <c r="E3605" s="17"/>
      <c r="M3605" s="17"/>
      <c r="P3605" s="17"/>
    </row>
    <row r="3606">
      <c r="B3606" s="11">
        <f>IFERROR(__xludf.DUMMYFUNCTION("""COMPUTED_VALUE"""),40792.666666666664)</f>
        <v>40792.66667</v>
      </c>
      <c r="C3606" s="9">
        <f>IFERROR(__xludf.DUMMYFUNCTION("""COMPUTED_VALUE"""),25.6)</f>
        <v>25.6</v>
      </c>
      <c r="E3606" s="17"/>
      <c r="M3606" s="17"/>
      <c r="P3606" s="17"/>
    </row>
    <row r="3607">
      <c r="B3607" s="11">
        <f>IFERROR(__xludf.DUMMYFUNCTION("""COMPUTED_VALUE"""),40788.666666666664)</f>
        <v>40788.66667</v>
      </c>
      <c r="C3607" s="9">
        <f>IFERROR(__xludf.DUMMYFUNCTION("""COMPUTED_VALUE"""),26.15)</f>
        <v>26.15</v>
      </c>
      <c r="E3607" s="17"/>
      <c r="M3607" s="17"/>
      <c r="P3607" s="17"/>
    </row>
    <row r="3608">
      <c r="B3608" s="11">
        <f>IFERROR(__xludf.DUMMYFUNCTION("""COMPUTED_VALUE"""),40787.666666666664)</f>
        <v>40787.66667</v>
      </c>
      <c r="C3608" s="9">
        <f>IFERROR(__xludf.DUMMYFUNCTION("""COMPUTED_VALUE"""),27.42)</f>
        <v>27.42</v>
      </c>
      <c r="E3608" s="17"/>
      <c r="M3608" s="17"/>
      <c r="P3608" s="17"/>
    </row>
    <row r="3609">
      <c r="B3609" s="11">
        <f>IFERROR(__xludf.DUMMYFUNCTION("""COMPUTED_VALUE"""),40786.666666666664)</f>
        <v>40786.66667</v>
      </c>
      <c r="C3609" s="9">
        <f>IFERROR(__xludf.DUMMYFUNCTION("""COMPUTED_VALUE"""),27.23)</f>
        <v>27.23</v>
      </c>
      <c r="E3609" s="17"/>
      <c r="M3609" s="17"/>
      <c r="P3609" s="17"/>
    </row>
    <row r="3610">
      <c r="B3610" s="11">
        <f>IFERROR(__xludf.DUMMYFUNCTION("""COMPUTED_VALUE"""),40785.666666666664)</f>
        <v>40785.66667</v>
      </c>
      <c r="C3610" s="9">
        <f>IFERROR(__xludf.DUMMYFUNCTION("""COMPUTED_VALUE"""),26.74)</f>
        <v>26.74</v>
      </c>
      <c r="E3610" s="17"/>
      <c r="M3610" s="17"/>
      <c r="P3610" s="17"/>
    </row>
    <row r="3611">
      <c r="B3611" s="11">
        <f>IFERROR(__xludf.DUMMYFUNCTION("""COMPUTED_VALUE"""),40784.666666666664)</f>
        <v>40784.66667</v>
      </c>
      <c r="C3611" s="9">
        <f>IFERROR(__xludf.DUMMYFUNCTION("""COMPUTED_VALUE"""),26.43)</f>
        <v>26.43</v>
      </c>
      <c r="E3611" s="17"/>
      <c r="M3611" s="17"/>
      <c r="P3611" s="17"/>
    </row>
    <row r="3612">
      <c r="B3612" s="11">
        <f>IFERROR(__xludf.DUMMYFUNCTION("""COMPUTED_VALUE"""),40781.666666666664)</f>
        <v>40781.66667</v>
      </c>
      <c r="C3612" s="9">
        <f>IFERROR(__xludf.DUMMYFUNCTION("""COMPUTED_VALUE"""),25.14)</f>
        <v>25.14</v>
      </c>
      <c r="E3612" s="17"/>
      <c r="M3612" s="17"/>
      <c r="P3612" s="17"/>
    </row>
    <row r="3613">
      <c r="B3613" s="11">
        <f>IFERROR(__xludf.DUMMYFUNCTION("""COMPUTED_VALUE"""),40780.666666666664)</f>
        <v>40780.66667</v>
      </c>
      <c r="C3613" s="9">
        <f>IFERROR(__xludf.DUMMYFUNCTION("""COMPUTED_VALUE"""),25.0)</f>
        <v>25</v>
      </c>
      <c r="E3613" s="17"/>
      <c r="M3613" s="17"/>
      <c r="P3613" s="17"/>
    </row>
    <row r="3614">
      <c r="B3614" s="11">
        <f>IFERROR(__xludf.DUMMYFUNCTION("""COMPUTED_VALUE"""),40779.666666666664)</f>
        <v>40779.66667</v>
      </c>
      <c r="C3614" s="9">
        <f>IFERROR(__xludf.DUMMYFUNCTION("""COMPUTED_VALUE"""),25.7)</f>
        <v>25.7</v>
      </c>
      <c r="E3614" s="17"/>
      <c r="M3614" s="17"/>
      <c r="P3614" s="17"/>
    </row>
    <row r="3615">
      <c r="B3615" s="11">
        <f>IFERROR(__xludf.DUMMYFUNCTION("""COMPUTED_VALUE"""),40778.666666666664)</f>
        <v>40778.66667</v>
      </c>
      <c r="C3615" s="9">
        <f>IFERROR(__xludf.DUMMYFUNCTION("""COMPUTED_VALUE"""),26.04)</f>
        <v>26.04</v>
      </c>
      <c r="E3615" s="17"/>
      <c r="M3615" s="17"/>
      <c r="P3615" s="17"/>
    </row>
    <row r="3616">
      <c r="B3616" s="11">
        <f>IFERROR(__xludf.DUMMYFUNCTION("""COMPUTED_VALUE"""),40777.666666666664)</f>
        <v>40777.66667</v>
      </c>
      <c r="C3616" s="9">
        <f>IFERROR(__xludf.DUMMYFUNCTION("""COMPUTED_VALUE"""),26.19)</f>
        <v>26.19</v>
      </c>
      <c r="E3616" s="17"/>
      <c r="M3616" s="17"/>
      <c r="P3616" s="17"/>
    </row>
    <row r="3617">
      <c r="B3617" s="11">
        <f>IFERROR(__xludf.DUMMYFUNCTION("""COMPUTED_VALUE"""),40774.666666666664)</f>
        <v>40774.66667</v>
      </c>
      <c r="C3617" s="9">
        <f>IFERROR(__xludf.DUMMYFUNCTION("""COMPUTED_VALUE"""),26.62)</f>
        <v>26.62</v>
      </c>
      <c r="E3617" s="17"/>
      <c r="M3617" s="17"/>
      <c r="P3617" s="17"/>
    </row>
    <row r="3618">
      <c r="B3618" s="11">
        <f>IFERROR(__xludf.DUMMYFUNCTION("""COMPUTED_VALUE"""),40773.666666666664)</f>
        <v>40773.66667</v>
      </c>
      <c r="C3618" s="9">
        <f>IFERROR(__xludf.DUMMYFUNCTION("""COMPUTED_VALUE"""),27.69)</f>
        <v>27.69</v>
      </c>
      <c r="E3618" s="17"/>
      <c r="M3618" s="17"/>
      <c r="P3618" s="17"/>
    </row>
    <row r="3619">
      <c r="B3619" s="11">
        <f>IFERROR(__xludf.DUMMYFUNCTION("""COMPUTED_VALUE"""),40772.666666666664)</f>
        <v>40772.66667</v>
      </c>
      <c r="C3619" s="9">
        <f>IFERROR(__xludf.DUMMYFUNCTION("""COMPUTED_VALUE"""),29.35)</f>
        <v>29.35</v>
      </c>
      <c r="E3619" s="17"/>
      <c r="M3619" s="17"/>
      <c r="P3619" s="17"/>
    </row>
    <row r="3620">
      <c r="B3620" s="11">
        <f>IFERROR(__xludf.DUMMYFUNCTION("""COMPUTED_VALUE"""),40771.666666666664)</f>
        <v>40771.66667</v>
      </c>
      <c r="C3620" s="9">
        <f>IFERROR(__xludf.DUMMYFUNCTION("""COMPUTED_VALUE"""),29.1)</f>
        <v>29.1</v>
      </c>
      <c r="E3620" s="17"/>
      <c r="M3620" s="17"/>
      <c r="P3620" s="17"/>
    </row>
    <row r="3621">
      <c r="B3621" s="11">
        <f>IFERROR(__xludf.DUMMYFUNCTION("""COMPUTED_VALUE"""),40770.666666666664)</f>
        <v>40770.66667</v>
      </c>
      <c r="C3621" s="9">
        <f>IFERROR(__xludf.DUMMYFUNCTION("""COMPUTED_VALUE"""),29.4)</f>
        <v>29.4</v>
      </c>
      <c r="E3621" s="17"/>
      <c r="M3621" s="17"/>
      <c r="P3621" s="17"/>
    </row>
    <row r="3622">
      <c r="B3622" s="11">
        <f>IFERROR(__xludf.DUMMYFUNCTION("""COMPUTED_VALUE"""),40767.666666666664)</f>
        <v>40767.66667</v>
      </c>
      <c r="C3622" s="9">
        <f>IFERROR(__xludf.DUMMYFUNCTION("""COMPUTED_VALUE"""),27.76)</f>
        <v>27.76</v>
      </c>
      <c r="E3622" s="17"/>
      <c r="M3622" s="17"/>
      <c r="P3622" s="17"/>
    </row>
    <row r="3623">
      <c r="B3623" s="11">
        <f>IFERROR(__xludf.DUMMYFUNCTION("""COMPUTED_VALUE"""),40766.666666666664)</f>
        <v>40766.66667</v>
      </c>
      <c r="C3623" s="9">
        <f>IFERROR(__xludf.DUMMYFUNCTION("""COMPUTED_VALUE"""),27.71)</f>
        <v>27.71</v>
      </c>
      <c r="E3623" s="17"/>
      <c r="M3623" s="17"/>
      <c r="P3623" s="17"/>
    </row>
    <row r="3624">
      <c r="B3624" s="11">
        <f>IFERROR(__xludf.DUMMYFUNCTION("""COMPUTED_VALUE"""),40765.666666666664)</f>
        <v>40765.66667</v>
      </c>
      <c r="C3624" s="9">
        <f>IFERROR(__xludf.DUMMYFUNCTION("""COMPUTED_VALUE"""),26.4)</f>
        <v>26.4</v>
      </c>
      <c r="E3624" s="17"/>
      <c r="M3624" s="17"/>
      <c r="P3624" s="17"/>
    </row>
    <row r="3625">
      <c r="B3625" s="11">
        <f>IFERROR(__xludf.DUMMYFUNCTION("""COMPUTED_VALUE"""),40764.666666666664)</f>
        <v>40764.66667</v>
      </c>
      <c r="C3625" s="9">
        <f>IFERROR(__xludf.DUMMYFUNCTION("""COMPUTED_VALUE"""),27.59)</f>
        <v>27.59</v>
      </c>
      <c r="E3625" s="17"/>
      <c r="M3625" s="17"/>
      <c r="P3625" s="17"/>
    </row>
    <row r="3626">
      <c r="B3626" s="11">
        <f>IFERROR(__xludf.DUMMYFUNCTION("""COMPUTED_VALUE"""),40763.666666666664)</f>
        <v>40763.66667</v>
      </c>
      <c r="C3626" s="9">
        <f>IFERROR(__xludf.DUMMYFUNCTION("""COMPUTED_VALUE"""),25.29)</f>
        <v>25.29</v>
      </c>
      <c r="E3626" s="17"/>
      <c r="M3626" s="17"/>
      <c r="P3626" s="17"/>
    </row>
    <row r="3627">
      <c r="B3627" s="11">
        <f>IFERROR(__xludf.DUMMYFUNCTION("""COMPUTED_VALUE"""),40760.666666666664)</f>
        <v>40760.66667</v>
      </c>
      <c r="C3627" s="9">
        <f>IFERROR(__xludf.DUMMYFUNCTION("""COMPUTED_VALUE"""),28.76)</f>
        <v>28.76</v>
      </c>
      <c r="E3627" s="17"/>
      <c r="M3627" s="17"/>
      <c r="P3627" s="17"/>
    </row>
    <row r="3628">
      <c r="B3628" s="11">
        <f>IFERROR(__xludf.DUMMYFUNCTION("""COMPUTED_VALUE"""),40759.666666666664)</f>
        <v>40759.66667</v>
      </c>
      <c r="C3628" s="9">
        <f>IFERROR(__xludf.DUMMYFUNCTION("""COMPUTED_VALUE"""),29.79)</f>
        <v>29.79</v>
      </c>
      <c r="E3628" s="17"/>
      <c r="M3628" s="17"/>
      <c r="P3628" s="17"/>
    </row>
    <row r="3629">
      <c r="B3629" s="11">
        <f>IFERROR(__xludf.DUMMYFUNCTION("""COMPUTED_VALUE"""),40758.666666666664)</f>
        <v>40758.66667</v>
      </c>
      <c r="C3629" s="9">
        <f>IFERROR(__xludf.DUMMYFUNCTION("""COMPUTED_VALUE"""),32.25)</f>
        <v>32.25</v>
      </c>
      <c r="E3629" s="17"/>
      <c r="M3629" s="17"/>
      <c r="P3629" s="17"/>
    </row>
    <row r="3630">
      <c r="B3630" s="11">
        <f>IFERROR(__xludf.DUMMYFUNCTION("""COMPUTED_VALUE"""),40757.666666666664)</f>
        <v>40757.66667</v>
      </c>
      <c r="C3630" s="9">
        <f>IFERROR(__xludf.DUMMYFUNCTION("""COMPUTED_VALUE"""),32.65)</f>
        <v>32.65</v>
      </c>
      <c r="E3630" s="17"/>
      <c r="M3630" s="17"/>
      <c r="P3630" s="17"/>
    </row>
    <row r="3631">
      <c r="B3631" s="11">
        <f>IFERROR(__xludf.DUMMYFUNCTION("""COMPUTED_VALUE"""),40756.666666666664)</f>
        <v>40756.66667</v>
      </c>
      <c r="C3631" s="9">
        <f>IFERROR(__xludf.DUMMYFUNCTION("""COMPUTED_VALUE"""),34.38)</f>
        <v>34.38</v>
      </c>
      <c r="E3631" s="17"/>
      <c r="M3631" s="17"/>
      <c r="P3631" s="17"/>
    </row>
    <row r="3632">
      <c r="B3632" s="11">
        <f>IFERROR(__xludf.DUMMYFUNCTION("""COMPUTED_VALUE"""),40753.666666666664)</f>
        <v>40753.66667</v>
      </c>
      <c r="C3632" s="9">
        <f>IFERROR(__xludf.DUMMYFUNCTION("""COMPUTED_VALUE"""),35.63)</f>
        <v>35.63</v>
      </c>
      <c r="E3632" s="17"/>
      <c r="M3632" s="17"/>
      <c r="P3632" s="17"/>
    </row>
    <row r="3633">
      <c r="B3633" s="11">
        <f>IFERROR(__xludf.DUMMYFUNCTION("""COMPUTED_VALUE"""),40752.666666666664)</f>
        <v>40752.66667</v>
      </c>
      <c r="C3633" s="9">
        <f>IFERROR(__xludf.DUMMYFUNCTION("""COMPUTED_VALUE"""),35.29)</f>
        <v>35.29</v>
      </c>
      <c r="E3633" s="17"/>
      <c r="M3633" s="17"/>
      <c r="P3633" s="17"/>
    </row>
    <row r="3634">
      <c r="B3634" s="11">
        <f>IFERROR(__xludf.DUMMYFUNCTION("""COMPUTED_VALUE"""),40751.666666666664)</f>
        <v>40751.66667</v>
      </c>
      <c r="C3634" s="9">
        <f>IFERROR(__xludf.DUMMYFUNCTION("""COMPUTED_VALUE"""),34.25)</f>
        <v>34.25</v>
      </c>
      <c r="E3634" s="17"/>
      <c r="M3634" s="17"/>
      <c r="P3634" s="17"/>
    </row>
    <row r="3635">
      <c r="B3635" s="11">
        <f>IFERROR(__xludf.DUMMYFUNCTION("""COMPUTED_VALUE"""),40750.666666666664)</f>
        <v>40750.66667</v>
      </c>
      <c r="C3635" s="9">
        <f>IFERROR(__xludf.DUMMYFUNCTION("""COMPUTED_VALUE"""),35.82)</f>
        <v>35.82</v>
      </c>
      <c r="E3635" s="17"/>
      <c r="M3635" s="17"/>
      <c r="P3635" s="17"/>
    </row>
    <row r="3636">
      <c r="B3636" s="11">
        <f>IFERROR(__xludf.DUMMYFUNCTION("""COMPUTED_VALUE"""),40749.666666666664)</f>
        <v>40749.66667</v>
      </c>
      <c r="C3636" s="9">
        <f>IFERROR(__xludf.DUMMYFUNCTION("""COMPUTED_VALUE"""),35.45)</f>
        <v>35.45</v>
      </c>
      <c r="E3636" s="17"/>
      <c r="M3636" s="17"/>
      <c r="P3636" s="17"/>
    </row>
    <row r="3637">
      <c r="B3637" s="11">
        <f>IFERROR(__xludf.DUMMYFUNCTION("""COMPUTED_VALUE"""),40746.666666666664)</f>
        <v>40746.66667</v>
      </c>
      <c r="C3637" s="9">
        <f>IFERROR(__xludf.DUMMYFUNCTION("""COMPUTED_VALUE"""),35.85)</f>
        <v>35.85</v>
      </c>
      <c r="E3637" s="17"/>
      <c r="M3637" s="17"/>
      <c r="P3637" s="17"/>
    </row>
    <row r="3638">
      <c r="B3638" s="11">
        <f>IFERROR(__xludf.DUMMYFUNCTION("""COMPUTED_VALUE"""),40745.666666666664)</f>
        <v>40745.66667</v>
      </c>
      <c r="C3638" s="9">
        <f>IFERROR(__xludf.DUMMYFUNCTION("""COMPUTED_VALUE"""),35.47)</f>
        <v>35.47</v>
      </c>
      <c r="E3638" s="17"/>
      <c r="M3638" s="17"/>
      <c r="P3638" s="17"/>
    </row>
    <row r="3639">
      <c r="B3639" s="11">
        <f>IFERROR(__xludf.DUMMYFUNCTION("""COMPUTED_VALUE"""),40744.666666666664)</f>
        <v>40744.66667</v>
      </c>
      <c r="C3639" s="9">
        <f>IFERROR(__xludf.DUMMYFUNCTION("""COMPUTED_VALUE"""),35.12)</f>
        <v>35.12</v>
      </c>
      <c r="E3639" s="17"/>
      <c r="M3639" s="17"/>
      <c r="P3639" s="17"/>
    </row>
    <row r="3640">
      <c r="B3640" s="11">
        <f>IFERROR(__xludf.DUMMYFUNCTION("""COMPUTED_VALUE"""),40743.666666666664)</f>
        <v>40743.66667</v>
      </c>
      <c r="C3640" s="9">
        <f>IFERROR(__xludf.DUMMYFUNCTION("""COMPUTED_VALUE"""),35.09)</f>
        <v>35.09</v>
      </c>
      <c r="E3640" s="17"/>
      <c r="M3640" s="17"/>
      <c r="P3640" s="17"/>
    </row>
    <row r="3641">
      <c r="B3641" s="11">
        <f>IFERROR(__xludf.DUMMYFUNCTION("""COMPUTED_VALUE"""),40742.666666666664)</f>
        <v>40742.66667</v>
      </c>
      <c r="C3641" s="9">
        <f>IFERROR(__xludf.DUMMYFUNCTION("""COMPUTED_VALUE"""),34.4)</f>
        <v>34.4</v>
      </c>
      <c r="E3641" s="17"/>
      <c r="M3641" s="17"/>
      <c r="P3641" s="17"/>
    </row>
    <row r="3642">
      <c r="B3642" s="11">
        <f>IFERROR(__xludf.DUMMYFUNCTION("""COMPUTED_VALUE"""),40739.666666666664)</f>
        <v>40739.66667</v>
      </c>
      <c r="C3642" s="9">
        <f>IFERROR(__xludf.DUMMYFUNCTION("""COMPUTED_VALUE"""),34.79)</f>
        <v>34.79</v>
      </c>
      <c r="E3642" s="17"/>
      <c r="M3642" s="17"/>
      <c r="P3642" s="17"/>
    </row>
    <row r="3643">
      <c r="B3643" s="11">
        <f>IFERROR(__xludf.DUMMYFUNCTION("""COMPUTED_VALUE"""),40738.666666666664)</f>
        <v>40738.66667</v>
      </c>
      <c r="C3643" s="9">
        <f>IFERROR(__xludf.DUMMYFUNCTION("""COMPUTED_VALUE"""),34.6)</f>
        <v>34.6</v>
      </c>
      <c r="E3643" s="17"/>
      <c r="M3643" s="17"/>
      <c r="P3643" s="17"/>
    </row>
    <row r="3644">
      <c r="B3644" s="11">
        <f>IFERROR(__xludf.DUMMYFUNCTION("""COMPUTED_VALUE"""),40737.666666666664)</f>
        <v>40737.66667</v>
      </c>
      <c r="C3644" s="9">
        <f>IFERROR(__xludf.DUMMYFUNCTION("""COMPUTED_VALUE"""),34.84)</f>
        <v>34.84</v>
      </c>
      <c r="E3644" s="17"/>
      <c r="M3644" s="17"/>
      <c r="P3644" s="17"/>
    </row>
    <row r="3645">
      <c r="B3645" s="11">
        <f>IFERROR(__xludf.DUMMYFUNCTION("""COMPUTED_VALUE"""),40736.666666666664)</f>
        <v>40736.66667</v>
      </c>
      <c r="C3645" s="9">
        <f>IFERROR(__xludf.DUMMYFUNCTION("""COMPUTED_VALUE"""),35.67)</f>
        <v>35.67</v>
      </c>
      <c r="E3645" s="17"/>
      <c r="M3645" s="17"/>
      <c r="P3645" s="17"/>
    </row>
    <row r="3646">
      <c r="B3646" s="11">
        <f>IFERROR(__xludf.DUMMYFUNCTION("""COMPUTED_VALUE"""),40735.666666666664)</f>
        <v>40735.66667</v>
      </c>
      <c r="C3646" s="9">
        <f>IFERROR(__xludf.DUMMYFUNCTION("""COMPUTED_VALUE"""),35.72)</f>
        <v>35.72</v>
      </c>
      <c r="E3646" s="17"/>
      <c r="M3646" s="17"/>
      <c r="P3646" s="17"/>
    </row>
    <row r="3647">
      <c r="B3647" s="11">
        <f>IFERROR(__xludf.DUMMYFUNCTION("""COMPUTED_VALUE"""),40732.666666666664)</f>
        <v>40732.66667</v>
      </c>
      <c r="C3647" s="9">
        <f>IFERROR(__xludf.DUMMYFUNCTION("""COMPUTED_VALUE"""),36.78)</f>
        <v>36.78</v>
      </c>
      <c r="E3647" s="17"/>
      <c r="M3647" s="17"/>
      <c r="P3647" s="17"/>
    </row>
    <row r="3648">
      <c r="B3648" s="11">
        <f>IFERROR(__xludf.DUMMYFUNCTION("""COMPUTED_VALUE"""),40731.666666666664)</f>
        <v>40731.66667</v>
      </c>
      <c r="C3648" s="9">
        <f>IFERROR(__xludf.DUMMYFUNCTION("""COMPUTED_VALUE"""),37.26)</f>
        <v>37.26</v>
      </c>
      <c r="E3648" s="17"/>
      <c r="M3648" s="17"/>
      <c r="P3648" s="17"/>
    </row>
    <row r="3649">
      <c r="B3649" s="11">
        <f>IFERROR(__xludf.DUMMYFUNCTION("""COMPUTED_VALUE"""),40730.666666666664)</f>
        <v>40730.66667</v>
      </c>
      <c r="C3649" s="9">
        <f>IFERROR(__xludf.DUMMYFUNCTION("""COMPUTED_VALUE"""),36.0)</f>
        <v>36</v>
      </c>
      <c r="E3649" s="17"/>
      <c r="M3649" s="17"/>
      <c r="P3649" s="17"/>
    </row>
    <row r="3650">
      <c r="B3650" s="11">
        <f>IFERROR(__xludf.DUMMYFUNCTION("""COMPUTED_VALUE"""),40729.666666666664)</f>
        <v>40729.66667</v>
      </c>
      <c r="C3650" s="9">
        <f>IFERROR(__xludf.DUMMYFUNCTION("""COMPUTED_VALUE"""),36.2)</f>
        <v>36.2</v>
      </c>
      <c r="E3650" s="17"/>
      <c r="M3650" s="17"/>
      <c r="P3650" s="17"/>
    </row>
    <row r="3651">
      <c r="B3651" s="11">
        <f>IFERROR(__xludf.DUMMYFUNCTION("""COMPUTED_VALUE"""),40725.666666666664)</f>
        <v>40725.66667</v>
      </c>
      <c r="C3651" s="9">
        <f>IFERROR(__xludf.DUMMYFUNCTION("""COMPUTED_VALUE"""),36.2)</f>
        <v>36.2</v>
      </c>
      <c r="E3651" s="17"/>
      <c r="M3651" s="17"/>
      <c r="P3651" s="17"/>
    </row>
    <row r="3652">
      <c r="B3652" s="11">
        <f>IFERROR(__xludf.DUMMYFUNCTION("""COMPUTED_VALUE"""),40724.666666666664)</f>
        <v>40724.66667</v>
      </c>
      <c r="C3652" s="9">
        <f>IFERROR(__xludf.DUMMYFUNCTION("""COMPUTED_VALUE"""),35.84)</f>
        <v>35.84</v>
      </c>
      <c r="E3652" s="17"/>
      <c r="M3652" s="17"/>
      <c r="P3652" s="17"/>
    </row>
    <row r="3653">
      <c r="B3653" s="11">
        <f>IFERROR(__xludf.DUMMYFUNCTION("""COMPUTED_VALUE"""),40723.666666666664)</f>
        <v>40723.66667</v>
      </c>
      <c r="C3653" s="9">
        <f>IFERROR(__xludf.DUMMYFUNCTION("""COMPUTED_VALUE"""),35.4)</f>
        <v>35.4</v>
      </c>
      <c r="E3653" s="17"/>
      <c r="M3653" s="17"/>
      <c r="P3653" s="17"/>
    </row>
    <row r="3654">
      <c r="B3654" s="11">
        <f>IFERROR(__xludf.DUMMYFUNCTION("""COMPUTED_VALUE"""),40722.666666666664)</f>
        <v>40722.66667</v>
      </c>
      <c r="C3654" s="9">
        <f>IFERROR(__xludf.DUMMYFUNCTION("""COMPUTED_VALUE"""),34.43)</f>
        <v>34.43</v>
      </c>
      <c r="E3654" s="17"/>
      <c r="M3654" s="17"/>
      <c r="P3654" s="17"/>
    </row>
    <row r="3655">
      <c r="B3655" s="11">
        <f>IFERROR(__xludf.DUMMYFUNCTION("""COMPUTED_VALUE"""),40721.666666666664)</f>
        <v>40721.66667</v>
      </c>
      <c r="C3655" s="9">
        <f>IFERROR(__xludf.DUMMYFUNCTION("""COMPUTED_VALUE"""),34.37)</f>
        <v>34.37</v>
      </c>
      <c r="E3655" s="17"/>
      <c r="M3655" s="17"/>
      <c r="P3655" s="17"/>
    </row>
    <row r="3656">
      <c r="B3656" s="11">
        <f>IFERROR(__xludf.DUMMYFUNCTION("""COMPUTED_VALUE"""),40718.666666666664)</f>
        <v>40718.66667</v>
      </c>
      <c r="C3656" s="9">
        <f>IFERROR(__xludf.DUMMYFUNCTION("""COMPUTED_VALUE"""),34.16)</f>
        <v>34.16</v>
      </c>
      <c r="E3656" s="17"/>
      <c r="M3656" s="17"/>
      <c r="P3656" s="17"/>
    </row>
    <row r="3657">
      <c r="B3657" s="11">
        <f>IFERROR(__xludf.DUMMYFUNCTION("""COMPUTED_VALUE"""),40717.666666666664)</f>
        <v>40717.66667</v>
      </c>
      <c r="C3657" s="9">
        <f>IFERROR(__xludf.DUMMYFUNCTION("""COMPUTED_VALUE"""),33.83)</f>
        <v>33.83</v>
      </c>
      <c r="E3657" s="17"/>
      <c r="M3657" s="17"/>
      <c r="P3657" s="17"/>
    </row>
    <row r="3658">
      <c r="B3658" s="11">
        <f>IFERROR(__xludf.DUMMYFUNCTION("""COMPUTED_VALUE"""),40716.666666666664)</f>
        <v>40716.66667</v>
      </c>
      <c r="C3658" s="9">
        <f>IFERROR(__xludf.DUMMYFUNCTION("""COMPUTED_VALUE"""),34.27)</f>
        <v>34.27</v>
      </c>
      <c r="E3658" s="17"/>
      <c r="M3658" s="17"/>
      <c r="P3658" s="17"/>
    </row>
    <row r="3659">
      <c r="B3659" s="11">
        <f>IFERROR(__xludf.DUMMYFUNCTION("""COMPUTED_VALUE"""),40715.666666666664)</f>
        <v>40715.66667</v>
      </c>
      <c r="C3659" s="9">
        <f>IFERROR(__xludf.DUMMYFUNCTION("""COMPUTED_VALUE"""),34.26)</f>
        <v>34.26</v>
      </c>
      <c r="E3659" s="17"/>
      <c r="M3659" s="17"/>
      <c r="P3659" s="17"/>
    </row>
    <row r="3660">
      <c r="B3660" s="11">
        <f>IFERROR(__xludf.DUMMYFUNCTION("""COMPUTED_VALUE"""),40714.666666666664)</f>
        <v>40714.66667</v>
      </c>
      <c r="C3660" s="9">
        <f>IFERROR(__xludf.DUMMYFUNCTION("""COMPUTED_VALUE"""),34.07)</f>
        <v>34.07</v>
      </c>
      <c r="E3660" s="17"/>
      <c r="M3660" s="17"/>
      <c r="P3660" s="17"/>
    </row>
    <row r="3661">
      <c r="B3661" s="11">
        <f>IFERROR(__xludf.DUMMYFUNCTION("""COMPUTED_VALUE"""),40711.666666666664)</f>
        <v>40711.66667</v>
      </c>
      <c r="C3661" s="9">
        <f>IFERROR(__xludf.DUMMYFUNCTION("""COMPUTED_VALUE"""),33.7)</f>
        <v>33.7</v>
      </c>
      <c r="E3661" s="17"/>
      <c r="M3661" s="17"/>
      <c r="P3661" s="17"/>
    </row>
    <row r="3662">
      <c r="B3662" s="11">
        <f>IFERROR(__xludf.DUMMYFUNCTION("""COMPUTED_VALUE"""),40710.666666666664)</f>
        <v>40710.66667</v>
      </c>
      <c r="C3662" s="9">
        <f>IFERROR(__xludf.DUMMYFUNCTION("""COMPUTED_VALUE"""),33.17)</f>
        <v>33.17</v>
      </c>
      <c r="E3662" s="17"/>
      <c r="M3662" s="17"/>
      <c r="P3662" s="17"/>
    </row>
    <row r="3663">
      <c r="B3663" s="11">
        <f>IFERROR(__xludf.DUMMYFUNCTION("""COMPUTED_VALUE"""),40709.666666666664)</f>
        <v>40709.66667</v>
      </c>
      <c r="C3663" s="9">
        <f>IFERROR(__xludf.DUMMYFUNCTION("""COMPUTED_VALUE"""),32.93)</f>
        <v>32.93</v>
      </c>
      <c r="E3663" s="17"/>
      <c r="M3663" s="17"/>
      <c r="P3663" s="17"/>
    </row>
    <row r="3664">
      <c r="B3664" s="11">
        <f>IFERROR(__xludf.DUMMYFUNCTION("""COMPUTED_VALUE"""),40708.666666666664)</f>
        <v>40708.66667</v>
      </c>
      <c r="C3664" s="9">
        <f>IFERROR(__xludf.DUMMYFUNCTION("""COMPUTED_VALUE"""),33.44)</f>
        <v>33.44</v>
      </c>
      <c r="E3664" s="17"/>
      <c r="M3664" s="17"/>
      <c r="P3664" s="17"/>
    </row>
    <row r="3665">
      <c r="B3665" s="11">
        <f>IFERROR(__xludf.DUMMYFUNCTION("""COMPUTED_VALUE"""),40707.666666666664)</f>
        <v>40707.66667</v>
      </c>
      <c r="C3665" s="9">
        <f>IFERROR(__xludf.DUMMYFUNCTION("""COMPUTED_VALUE"""),32.83)</f>
        <v>32.83</v>
      </c>
      <c r="E3665" s="17"/>
      <c r="M3665" s="17"/>
      <c r="P3665" s="17"/>
    </row>
    <row r="3666">
      <c r="B3666" s="11">
        <f>IFERROR(__xludf.DUMMYFUNCTION("""COMPUTED_VALUE"""),40704.666666666664)</f>
        <v>40704.66667</v>
      </c>
      <c r="C3666" s="9">
        <f>IFERROR(__xludf.DUMMYFUNCTION("""COMPUTED_VALUE"""),32.09)</f>
        <v>32.09</v>
      </c>
      <c r="E3666" s="17"/>
      <c r="M3666" s="17"/>
      <c r="P3666" s="17"/>
    </row>
    <row r="3667">
      <c r="B3667" s="11">
        <f>IFERROR(__xludf.DUMMYFUNCTION("""COMPUTED_VALUE"""),40703.666666666664)</f>
        <v>40703.66667</v>
      </c>
      <c r="C3667" s="9">
        <f>IFERROR(__xludf.DUMMYFUNCTION("""COMPUTED_VALUE"""),32.67)</f>
        <v>32.67</v>
      </c>
      <c r="E3667" s="17"/>
      <c r="M3667" s="17"/>
      <c r="P3667" s="17"/>
    </row>
    <row r="3668">
      <c r="B3668" s="11">
        <f>IFERROR(__xludf.DUMMYFUNCTION("""COMPUTED_VALUE"""),40702.666666666664)</f>
        <v>40702.66667</v>
      </c>
      <c r="C3668" s="9">
        <f>IFERROR(__xludf.DUMMYFUNCTION("""COMPUTED_VALUE"""),33.7)</f>
        <v>33.7</v>
      </c>
      <c r="E3668" s="17"/>
      <c r="M3668" s="17"/>
      <c r="P3668" s="17"/>
    </row>
    <row r="3669">
      <c r="B3669" s="11">
        <f>IFERROR(__xludf.DUMMYFUNCTION("""COMPUTED_VALUE"""),40701.666666666664)</f>
        <v>40701.66667</v>
      </c>
      <c r="C3669" s="9">
        <f>IFERROR(__xludf.DUMMYFUNCTION("""COMPUTED_VALUE"""),34.11)</f>
        <v>34.11</v>
      </c>
      <c r="E3669" s="17"/>
      <c r="M3669" s="17"/>
      <c r="P3669" s="17"/>
    </row>
    <row r="3670">
      <c r="B3670" s="11">
        <f>IFERROR(__xludf.DUMMYFUNCTION("""COMPUTED_VALUE"""),40700.666666666664)</f>
        <v>40700.66667</v>
      </c>
      <c r="C3670" s="9">
        <f>IFERROR(__xludf.DUMMYFUNCTION("""COMPUTED_VALUE"""),32.91)</f>
        <v>32.91</v>
      </c>
      <c r="E3670" s="17"/>
      <c r="M3670" s="17"/>
      <c r="P3670" s="17"/>
    </row>
    <row r="3671">
      <c r="B3671" s="11">
        <f>IFERROR(__xludf.DUMMYFUNCTION("""COMPUTED_VALUE"""),40697.666666666664)</f>
        <v>40697.66667</v>
      </c>
      <c r="C3671" s="9">
        <f>IFERROR(__xludf.DUMMYFUNCTION("""COMPUTED_VALUE"""),34.0)</f>
        <v>34</v>
      </c>
      <c r="E3671" s="17"/>
      <c r="M3671" s="17"/>
      <c r="P3671" s="17"/>
    </row>
    <row r="3672">
      <c r="B3672" s="11">
        <f>IFERROR(__xludf.DUMMYFUNCTION("""COMPUTED_VALUE"""),40696.666666666664)</f>
        <v>40696.66667</v>
      </c>
      <c r="C3672" s="9">
        <f>IFERROR(__xludf.DUMMYFUNCTION("""COMPUTED_VALUE"""),34.07)</f>
        <v>34.07</v>
      </c>
      <c r="E3672" s="17"/>
      <c r="M3672" s="17"/>
      <c r="P3672" s="17"/>
    </row>
    <row r="3673">
      <c r="B3673" s="11">
        <f>IFERROR(__xludf.DUMMYFUNCTION("""COMPUTED_VALUE"""),40695.666666666664)</f>
        <v>40695.66667</v>
      </c>
      <c r="C3673" s="9">
        <f>IFERROR(__xludf.DUMMYFUNCTION("""COMPUTED_VALUE"""),35.64)</f>
        <v>35.64</v>
      </c>
      <c r="E3673" s="17"/>
      <c r="M3673" s="17"/>
      <c r="P3673" s="17"/>
    </row>
    <row r="3674">
      <c r="B3674" s="11">
        <f>IFERROR(__xludf.DUMMYFUNCTION("""COMPUTED_VALUE"""),40694.666666666664)</f>
        <v>40694.66667</v>
      </c>
      <c r="C3674" s="9">
        <f>IFERROR(__xludf.DUMMYFUNCTION("""COMPUTED_VALUE"""),36.99)</f>
        <v>36.99</v>
      </c>
      <c r="E3674" s="17"/>
      <c r="M3674" s="17"/>
      <c r="P3674" s="17"/>
    </row>
    <row r="3675">
      <c r="B3675" s="11">
        <f>IFERROR(__xludf.DUMMYFUNCTION("""COMPUTED_VALUE"""),40690.666666666664)</f>
        <v>40690.66667</v>
      </c>
      <c r="C3675" s="9">
        <f>IFERROR(__xludf.DUMMYFUNCTION("""COMPUTED_VALUE"""),36.49)</f>
        <v>36.49</v>
      </c>
      <c r="E3675" s="17"/>
      <c r="M3675" s="17"/>
      <c r="P3675" s="17"/>
    </row>
    <row r="3676">
      <c r="B3676" s="11">
        <f>IFERROR(__xludf.DUMMYFUNCTION("""COMPUTED_VALUE"""),40689.666666666664)</f>
        <v>40689.66667</v>
      </c>
      <c r="C3676" s="9">
        <f>IFERROR(__xludf.DUMMYFUNCTION("""COMPUTED_VALUE"""),36.16)</f>
        <v>36.16</v>
      </c>
      <c r="E3676" s="17"/>
      <c r="M3676" s="17"/>
      <c r="P3676" s="17"/>
    </row>
    <row r="3677">
      <c r="B3677" s="11">
        <f>IFERROR(__xludf.DUMMYFUNCTION("""COMPUTED_VALUE"""),40688.666666666664)</f>
        <v>40688.66667</v>
      </c>
      <c r="C3677" s="9">
        <f>IFERROR(__xludf.DUMMYFUNCTION("""COMPUTED_VALUE"""),35.42)</f>
        <v>35.42</v>
      </c>
      <c r="E3677" s="17"/>
      <c r="M3677" s="17"/>
      <c r="P3677" s="17"/>
    </row>
    <row r="3678">
      <c r="B3678" s="11">
        <f>IFERROR(__xludf.DUMMYFUNCTION("""COMPUTED_VALUE"""),40687.666666666664)</f>
        <v>40687.66667</v>
      </c>
      <c r="C3678" s="9">
        <f>IFERROR(__xludf.DUMMYFUNCTION("""COMPUTED_VALUE"""),35.07)</f>
        <v>35.07</v>
      </c>
      <c r="E3678" s="17"/>
      <c r="M3678" s="17"/>
      <c r="P3678" s="17"/>
    </row>
    <row r="3679">
      <c r="B3679" s="11">
        <f>IFERROR(__xludf.DUMMYFUNCTION("""COMPUTED_VALUE"""),40686.666666666664)</f>
        <v>40686.66667</v>
      </c>
      <c r="C3679" s="9">
        <f>IFERROR(__xludf.DUMMYFUNCTION("""COMPUTED_VALUE"""),34.92)</f>
        <v>34.92</v>
      </c>
      <c r="E3679" s="17"/>
      <c r="M3679" s="17"/>
      <c r="P3679" s="17"/>
    </row>
    <row r="3680">
      <c r="B3680" s="11">
        <f>IFERROR(__xludf.DUMMYFUNCTION("""COMPUTED_VALUE"""),40683.666666666664)</f>
        <v>40683.66667</v>
      </c>
      <c r="C3680" s="9">
        <f>IFERROR(__xludf.DUMMYFUNCTION("""COMPUTED_VALUE"""),35.31)</f>
        <v>35.31</v>
      </c>
      <c r="E3680" s="17"/>
      <c r="M3680" s="17"/>
      <c r="P3680" s="17"/>
    </row>
    <row r="3681">
      <c r="B3681" s="11">
        <f>IFERROR(__xludf.DUMMYFUNCTION("""COMPUTED_VALUE"""),40682.666666666664)</f>
        <v>40682.66667</v>
      </c>
      <c r="C3681" s="9">
        <f>IFERROR(__xludf.DUMMYFUNCTION("""COMPUTED_VALUE"""),35.74)</f>
        <v>35.74</v>
      </c>
      <c r="E3681" s="17"/>
      <c r="M3681" s="17"/>
      <c r="P3681" s="17"/>
    </row>
    <row r="3682">
      <c r="B3682" s="11">
        <f>IFERROR(__xludf.DUMMYFUNCTION("""COMPUTED_VALUE"""),40681.666666666664)</f>
        <v>40681.66667</v>
      </c>
      <c r="C3682" s="9">
        <f>IFERROR(__xludf.DUMMYFUNCTION("""COMPUTED_VALUE"""),35.29)</f>
        <v>35.29</v>
      </c>
      <c r="E3682" s="17"/>
      <c r="M3682" s="17"/>
      <c r="P3682" s="17"/>
    </row>
    <row r="3683">
      <c r="B3683" s="11">
        <f>IFERROR(__xludf.DUMMYFUNCTION("""COMPUTED_VALUE"""),40680.666666666664)</f>
        <v>40680.66667</v>
      </c>
      <c r="C3683" s="9">
        <f>IFERROR(__xludf.DUMMYFUNCTION("""COMPUTED_VALUE"""),34.85)</f>
        <v>34.85</v>
      </c>
      <c r="E3683" s="17"/>
      <c r="M3683" s="17"/>
      <c r="P3683" s="17"/>
    </row>
    <row r="3684">
      <c r="B3684" s="11">
        <f>IFERROR(__xludf.DUMMYFUNCTION("""COMPUTED_VALUE"""),40679.666666666664)</f>
        <v>40679.66667</v>
      </c>
      <c r="C3684" s="9">
        <f>IFERROR(__xludf.DUMMYFUNCTION("""COMPUTED_VALUE"""),34.77)</f>
        <v>34.77</v>
      </c>
      <c r="E3684" s="17"/>
      <c r="M3684" s="17"/>
      <c r="P3684" s="17"/>
    </row>
    <row r="3685">
      <c r="B3685" s="11">
        <f>IFERROR(__xludf.DUMMYFUNCTION("""COMPUTED_VALUE"""),40676.666666666664)</f>
        <v>40676.66667</v>
      </c>
      <c r="C3685" s="9">
        <f>IFERROR(__xludf.DUMMYFUNCTION("""COMPUTED_VALUE"""),34.85)</f>
        <v>34.85</v>
      </c>
      <c r="E3685" s="17"/>
      <c r="M3685" s="17"/>
      <c r="P3685" s="17"/>
    </row>
    <row r="3686">
      <c r="B3686" s="11">
        <f>IFERROR(__xludf.DUMMYFUNCTION("""COMPUTED_VALUE"""),40675.666666666664)</f>
        <v>40675.66667</v>
      </c>
      <c r="C3686" s="9">
        <f>IFERROR(__xludf.DUMMYFUNCTION("""COMPUTED_VALUE"""),35.38)</f>
        <v>35.38</v>
      </c>
      <c r="E3686" s="17"/>
      <c r="M3686" s="17"/>
      <c r="P3686" s="17"/>
    </row>
    <row r="3687">
      <c r="B3687" s="11">
        <f>IFERROR(__xludf.DUMMYFUNCTION("""COMPUTED_VALUE"""),40674.666666666664)</f>
        <v>40674.66667</v>
      </c>
      <c r="C3687" s="9">
        <f>IFERROR(__xludf.DUMMYFUNCTION("""COMPUTED_VALUE"""),35.62)</f>
        <v>35.62</v>
      </c>
      <c r="E3687" s="17"/>
      <c r="M3687" s="17"/>
      <c r="P3687" s="17"/>
    </row>
    <row r="3688">
      <c r="B3688" s="11">
        <f>IFERROR(__xludf.DUMMYFUNCTION("""COMPUTED_VALUE"""),40673.666666666664)</f>
        <v>40673.66667</v>
      </c>
      <c r="C3688" s="9">
        <f>IFERROR(__xludf.DUMMYFUNCTION("""COMPUTED_VALUE"""),36.59)</f>
        <v>36.59</v>
      </c>
      <c r="E3688" s="17"/>
      <c r="M3688" s="17"/>
      <c r="P3688" s="17"/>
    </row>
    <row r="3689">
      <c r="B3689" s="11">
        <f>IFERROR(__xludf.DUMMYFUNCTION("""COMPUTED_VALUE"""),40672.666666666664)</f>
        <v>40672.66667</v>
      </c>
      <c r="C3689" s="9">
        <f>IFERROR(__xludf.DUMMYFUNCTION("""COMPUTED_VALUE"""),35.45)</f>
        <v>35.45</v>
      </c>
      <c r="E3689" s="17"/>
      <c r="M3689" s="17"/>
      <c r="P3689" s="17"/>
    </row>
    <row r="3690">
      <c r="B3690" s="11">
        <f>IFERROR(__xludf.DUMMYFUNCTION("""COMPUTED_VALUE"""),40669.666666666664)</f>
        <v>40669.66667</v>
      </c>
      <c r="C3690" s="9">
        <f>IFERROR(__xludf.DUMMYFUNCTION("""COMPUTED_VALUE"""),35.53)</f>
        <v>35.53</v>
      </c>
      <c r="E3690" s="17"/>
      <c r="M3690" s="17"/>
      <c r="P3690" s="17"/>
    </row>
    <row r="3691">
      <c r="B3691" s="11">
        <f>IFERROR(__xludf.DUMMYFUNCTION("""COMPUTED_VALUE"""),40668.666666666664)</f>
        <v>40668.66667</v>
      </c>
      <c r="C3691" s="9">
        <f>IFERROR(__xludf.DUMMYFUNCTION("""COMPUTED_VALUE"""),35.93)</f>
        <v>35.93</v>
      </c>
      <c r="E3691" s="17"/>
      <c r="M3691" s="17"/>
      <c r="P3691" s="17"/>
    </row>
    <row r="3692">
      <c r="B3692" s="11">
        <f>IFERROR(__xludf.DUMMYFUNCTION("""COMPUTED_VALUE"""),40667.666666666664)</f>
        <v>40667.66667</v>
      </c>
      <c r="C3692" s="9">
        <f>IFERROR(__xludf.DUMMYFUNCTION("""COMPUTED_VALUE"""),35.67)</f>
        <v>35.67</v>
      </c>
      <c r="E3692" s="17"/>
      <c r="M3692" s="17"/>
      <c r="P3692" s="17"/>
    </row>
    <row r="3693">
      <c r="B3693" s="11">
        <f>IFERROR(__xludf.DUMMYFUNCTION("""COMPUTED_VALUE"""),40666.666666666664)</f>
        <v>40666.66667</v>
      </c>
      <c r="C3693" s="9">
        <f>IFERROR(__xludf.DUMMYFUNCTION("""COMPUTED_VALUE"""),36.07)</f>
        <v>36.07</v>
      </c>
      <c r="E3693" s="17"/>
      <c r="M3693" s="17"/>
      <c r="P3693" s="17"/>
    </row>
    <row r="3694">
      <c r="B3694" s="11">
        <f>IFERROR(__xludf.DUMMYFUNCTION("""COMPUTED_VALUE"""),40665.666666666664)</f>
        <v>40665.66667</v>
      </c>
      <c r="C3694" s="9">
        <f>IFERROR(__xludf.DUMMYFUNCTION("""COMPUTED_VALUE"""),36.36)</f>
        <v>36.36</v>
      </c>
      <c r="E3694" s="17"/>
      <c r="M3694" s="17"/>
      <c r="P3694" s="17"/>
    </row>
    <row r="3695">
      <c r="B3695" s="11">
        <f>IFERROR(__xludf.DUMMYFUNCTION("""COMPUTED_VALUE"""),40662.666666666664)</f>
        <v>40662.66667</v>
      </c>
      <c r="C3695" s="9">
        <f>IFERROR(__xludf.DUMMYFUNCTION("""COMPUTED_VALUE"""),36.4)</f>
        <v>36.4</v>
      </c>
      <c r="E3695" s="17"/>
      <c r="M3695" s="17"/>
      <c r="P3695" s="17"/>
    </row>
    <row r="3696">
      <c r="B3696" s="11">
        <f>IFERROR(__xludf.DUMMYFUNCTION("""COMPUTED_VALUE"""),40661.666666666664)</f>
        <v>40661.66667</v>
      </c>
      <c r="C3696" s="9">
        <f>IFERROR(__xludf.DUMMYFUNCTION("""COMPUTED_VALUE"""),36.94)</f>
        <v>36.94</v>
      </c>
      <c r="E3696" s="17"/>
      <c r="M3696" s="17"/>
      <c r="P3696" s="17"/>
    </row>
    <row r="3697">
      <c r="B3697" s="11">
        <f>IFERROR(__xludf.DUMMYFUNCTION("""COMPUTED_VALUE"""),40660.666666666664)</f>
        <v>40660.66667</v>
      </c>
      <c r="C3697" s="9">
        <f>IFERROR(__xludf.DUMMYFUNCTION("""COMPUTED_VALUE"""),36.25)</f>
        <v>36.25</v>
      </c>
      <c r="E3697" s="17"/>
      <c r="M3697" s="17"/>
      <c r="P3697" s="17"/>
    </row>
    <row r="3698">
      <c r="B3698" s="11">
        <f>IFERROR(__xludf.DUMMYFUNCTION("""COMPUTED_VALUE"""),40659.666666666664)</f>
        <v>40659.66667</v>
      </c>
      <c r="C3698" s="9">
        <f>IFERROR(__xludf.DUMMYFUNCTION("""COMPUTED_VALUE"""),36.52)</f>
        <v>36.52</v>
      </c>
      <c r="E3698" s="17"/>
      <c r="M3698" s="17"/>
      <c r="P3698" s="17"/>
    </row>
    <row r="3699">
      <c r="B3699" s="11">
        <f>IFERROR(__xludf.DUMMYFUNCTION("""COMPUTED_VALUE"""),40658.666666666664)</f>
        <v>40658.66667</v>
      </c>
      <c r="C3699" s="9">
        <f>IFERROR(__xludf.DUMMYFUNCTION("""COMPUTED_VALUE"""),36.3)</f>
        <v>36.3</v>
      </c>
      <c r="E3699" s="17"/>
      <c r="M3699" s="17"/>
      <c r="P3699" s="17"/>
    </row>
    <row r="3700">
      <c r="B3700" s="11">
        <f>IFERROR(__xludf.DUMMYFUNCTION("""COMPUTED_VALUE"""),40654.666666666664)</f>
        <v>40654.66667</v>
      </c>
      <c r="C3700" s="9">
        <f>IFERROR(__xludf.DUMMYFUNCTION("""COMPUTED_VALUE"""),35.94)</f>
        <v>35.94</v>
      </c>
      <c r="E3700" s="17"/>
      <c r="M3700" s="17"/>
      <c r="P3700" s="17"/>
    </row>
    <row r="3701">
      <c r="B3701" s="11">
        <f>IFERROR(__xludf.DUMMYFUNCTION("""COMPUTED_VALUE"""),40653.666666666664)</f>
        <v>40653.66667</v>
      </c>
      <c r="C3701" s="9">
        <f>IFERROR(__xludf.DUMMYFUNCTION("""COMPUTED_VALUE"""),35.69)</f>
        <v>35.69</v>
      </c>
      <c r="E3701" s="17"/>
      <c r="M3701" s="17"/>
      <c r="P3701" s="17"/>
    </row>
    <row r="3702">
      <c r="B3702" s="11">
        <f>IFERROR(__xludf.DUMMYFUNCTION("""COMPUTED_VALUE"""),40652.666666666664)</f>
        <v>40652.66667</v>
      </c>
      <c r="C3702" s="9">
        <f>IFERROR(__xludf.DUMMYFUNCTION("""COMPUTED_VALUE"""),36.12)</f>
        <v>36.12</v>
      </c>
      <c r="E3702" s="17"/>
      <c r="M3702" s="17"/>
      <c r="P3702" s="17"/>
    </row>
    <row r="3703">
      <c r="B3703" s="11">
        <f>IFERROR(__xludf.DUMMYFUNCTION("""COMPUTED_VALUE"""),40651.666666666664)</f>
        <v>40651.66667</v>
      </c>
      <c r="C3703" s="9">
        <f>IFERROR(__xludf.DUMMYFUNCTION("""COMPUTED_VALUE"""),35.82)</f>
        <v>35.82</v>
      </c>
      <c r="E3703" s="17"/>
      <c r="M3703" s="17"/>
      <c r="P3703" s="17"/>
    </row>
    <row r="3704">
      <c r="B3704" s="11">
        <f>IFERROR(__xludf.DUMMYFUNCTION("""COMPUTED_VALUE"""),40648.666666666664)</f>
        <v>40648.66667</v>
      </c>
      <c r="C3704" s="9">
        <f>IFERROR(__xludf.DUMMYFUNCTION("""COMPUTED_VALUE"""),36.41)</f>
        <v>36.41</v>
      </c>
      <c r="E3704" s="17"/>
      <c r="M3704" s="17"/>
      <c r="P3704" s="17"/>
    </row>
    <row r="3705">
      <c r="B3705" s="11">
        <f>IFERROR(__xludf.DUMMYFUNCTION("""COMPUTED_VALUE"""),40647.666666666664)</f>
        <v>40647.66667</v>
      </c>
      <c r="C3705" s="9">
        <f>IFERROR(__xludf.DUMMYFUNCTION("""COMPUTED_VALUE"""),35.79)</f>
        <v>35.79</v>
      </c>
      <c r="E3705" s="17"/>
      <c r="M3705" s="17"/>
      <c r="P3705" s="17"/>
    </row>
    <row r="3706">
      <c r="B3706" s="11">
        <f>IFERROR(__xludf.DUMMYFUNCTION("""COMPUTED_VALUE"""),40646.666666666664)</f>
        <v>40646.66667</v>
      </c>
      <c r="C3706" s="9">
        <f>IFERROR(__xludf.DUMMYFUNCTION("""COMPUTED_VALUE"""),34.94)</f>
        <v>34.94</v>
      </c>
      <c r="E3706" s="17"/>
      <c r="M3706" s="17"/>
      <c r="P3706" s="17"/>
    </row>
    <row r="3707">
      <c r="B3707" s="11">
        <f>IFERROR(__xludf.DUMMYFUNCTION("""COMPUTED_VALUE"""),40645.666666666664)</f>
        <v>40645.66667</v>
      </c>
      <c r="C3707" s="9">
        <f>IFERROR(__xludf.DUMMYFUNCTION("""COMPUTED_VALUE"""),35.17)</f>
        <v>35.17</v>
      </c>
      <c r="E3707" s="17"/>
      <c r="M3707" s="17"/>
      <c r="P3707" s="17"/>
    </row>
    <row r="3708">
      <c r="B3708" s="11">
        <f>IFERROR(__xludf.DUMMYFUNCTION("""COMPUTED_VALUE"""),40644.666666666664)</f>
        <v>40644.66667</v>
      </c>
      <c r="C3708" s="9">
        <f>IFERROR(__xludf.DUMMYFUNCTION("""COMPUTED_VALUE"""),35.24)</f>
        <v>35.24</v>
      </c>
      <c r="E3708" s="17"/>
      <c r="M3708" s="17"/>
      <c r="P3708" s="17"/>
    </row>
    <row r="3709">
      <c r="B3709" s="11">
        <f>IFERROR(__xludf.DUMMYFUNCTION("""COMPUTED_VALUE"""),40641.666666666664)</f>
        <v>40641.66667</v>
      </c>
      <c r="C3709" s="9">
        <f>IFERROR(__xludf.DUMMYFUNCTION("""COMPUTED_VALUE"""),35.06)</f>
        <v>35.06</v>
      </c>
      <c r="E3709" s="17"/>
      <c r="M3709" s="17"/>
      <c r="P3709" s="17"/>
    </row>
    <row r="3710">
      <c r="B3710" s="11">
        <f>IFERROR(__xludf.DUMMYFUNCTION("""COMPUTED_VALUE"""),40640.666666666664)</f>
        <v>40640.66667</v>
      </c>
      <c r="C3710" s="9">
        <f>IFERROR(__xludf.DUMMYFUNCTION("""COMPUTED_VALUE"""),35.45)</f>
        <v>35.45</v>
      </c>
      <c r="E3710" s="17"/>
      <c r="M3710" s="17"/>
      <c r="P3710" s="17"/>
    </row>
    <row r="3711">
      <c r="B3711" s="11">
        <f>IFERROR(__xludf.DUMMYFUNCTION("""COMPUTED_VALUE"""),40639.666666666664)</f>
        <v>40639.66667</v>
      </c>
      <c r="C3711" s="9">
        <f>IFERROR(__xludf.DUMMYFUNCTION("""COMPUTED_VALUE"""),36.16)</f>
        <v>36.16</v>
      </c>
      <c r="E3711" s="17"/>
      <c r="M3711" s="17"/>
      <c r="P3711" s="17"/>
    </row>
    <row r="3712">
      <c r="B3712" s="11">
        <f>IFERROR(__xludf.DUMMYFUNCTION("""COMPUTED_VALUE"""),40638.666666666664)</f>
        <v>40638.66667</v>
      </c>
      <c r="C3712" s="9">
        <f>IFERROR(__xludf.DUMMYFUNCTION("""COMPUTED_VALUE"""),36.05)</f>
        <v>36.05</v>
      </c>
      <c r="E3712" s="17"/>
      <c r="M3712" s="17"/>
      <c r="P3712" s="17"/>
    </row>
    <row r="3713">
      <c r="B3713" s="11">
        <f>IFERROR(__xludf.DUMMYFUNCTION("""COMPUTED_VALUE"""),40637.666666666664)</f>
        <v>40637.66667</v>
      </c>
      <c r="C3713" s="9">
        <f>IFERROR(__xludf.DUMMYFUNCTION("""COMPUTED_VALUE"""),36.18)</f>
        <v>36.18</v>
      </c>
      <c r="E3713" s="17"/>
      <c r="M3713" s="17"/>
      <c r="P3713" s="17"/>
    </row>
    <row r="3714">
      <c r="B3714" s="11">
        <f>IFERROR(__xludf.DUMMYFUNCTION("""COMPUTED_VALUE"""),40634.666666666664)</f>
        <v>40634.66667</v>
      </c>
      <c r="C3714" s="9">
        <f>IFERROR(__xludf.DUMMYFUNCTION("""COMPUTED_VALUE"""),36.04)</f>
        <v>36.04</v>
      </c>
      <c r="E3714" s="17"/>
      <c r="M3714" s="17"/>
      <c r="P3714" s="17"/>
    </row>
    <row r="3715">
      <c r="B3715" s="11">
        <f>IFERROR(__xludf.DUMMYFUNCTION("""COMPUTED_VALUE"""),40633.666666666664)</f>
        <v>40633.66667</v>
      </c>
      <c r="C3715" s="9">
        <f>IFERROR(__xludf.DUMMYFUNCTION("""COMPUTED_VALUE"""),35.97)</f>
        <v>35.97</v>
      </c>
      <c r="E3715" s="17"/>
      <c r="M3715" s="17"/>
      <c r="P3715" s="17"/>
    </row>
    <row r="3716">
      <c r="B3716" s="11">
        <f>IFERROR(__xludf.DUMMYFUNCTION("""COMPUTED_VALUE"""),40632.666666666664)</f>
        <v>40632.66667</v>
      </c>
      <c r="C3716" s="9">
        <f>IFERROR(__xludf.DUMMYFUNCTION("""COMPUTED_VALUE"""),35.65)</f>
        <v>35.65</v>
      </c>
      <c r="E3716" s="17"/>
      <c r="M3716" s="17"/>
      <c r="P3716" s="17"/>
    </row>
    <row r="3717">
      <c r="B3717" s="11">
        <f>IFERROR(__xludf.DUMMYFUNCTION("""COMPUTED_VALUE"""),40631.666666666664)</f>
        <v>40631.66667</v>
      </c>
      <c r="C3717" s="9">
        <f>IFERROR(__xludf.DUMMYFUNCTION("""COMPUTED_VALUE"""),34.82)</f>
        <v>34.82</v>
      </c>
      <c r="E3717" s="17"/>
      <c r="M3717" s="17"/>
      <c r="P3717" s="17"/>
    </row>
    <row r="3718">
      <c r="B3718" s="11">
        <f>IFERROR(__xludf.DUMMYFUNCTION("""COMPUTED_VALUE"""),40630.666666666664)</f>
        <v>40630.66667</v>
      </c>
      <c r="C3718" s="9">
        <f>IFERROR(__xludf.DUMMYFUNCTION("""COMPUTED_VALUE"""),34.66)</f>
        <v>34.66</v>
      </c>
      <c r="E3718" s="17"/>
      <c r="M3718" s="17"/>
      <c r="P3718" s="17"/>
    </row>
    <row r="3719">
      <c r="B3719" s="11">
        <f>IFERROR(__xludf.DUMMYFUNCTION("""COMPUTED_VALUE"""),40627.666666666664)</f>
        <v>40627.66667</v>
      </c>
      <c r="C3719" s="9">
        <f>IFERROR(__xludf.DUMMYFUNCTION("""COMPUTED_VALUE"""),34.78)</f>
        <v>34.78</v>
      </c>
      <c r="E3719" s="17"/>
      <c r="M3719" s="17"/>
      <c r="P3719" s="17"/>
    </row>
    <row r="3720">
      <c r="B3720" s="11">
        <f>IFERROR(__xludf.DUMMYFUNCTION("""COMPUTED_VALUE"""),40626.666666666664)</f>
        <v>40626.66667</v>
      </c>
      <c r="C3720" s="9">
        <f>IFERROR(__xludf.DUMMYFUNCTION("""COMPUTED_VALUE"""),34.54)</f>
        <v>34.54</v>
      </c>
      <c r="E3720" s="17"/>
      <c r="M3720" s="17"/>
      <c r="P3720" s="17"/>
    </row>
    <row r="3721">
      <c r="B3721" s="11">
        <f>IFERROR(__xludf.DUMMYFUNCTION("""COMPUTED_VALUE"""),40625.666666666664)</f>
        <v>40625.66667</v>
      </c>
      <c r="C3721" s="9">
        <f>IFERROR(__xludf.DUMMYFUNCTION("""COMPUTED_VALUE"""),33.94)</f>
        <v>33.94</v>
      </c>
      <c r="E3721" s="17"/>
      <c r="M3721" s="17"/>
      <c r="P3721" s="17"/>
    </row>
    <row r="3722">
      <c r="B3722" s="11">
        <f>IFERROR(__xludf.DUMMYFUNCTION("""COMPUTED_VALUE"""),40624.666666666664)</f>
        <v>40624.66667</v>
      </c>
      <c r="C3722" s="9">
        <f>IFERROR(__xludf.DUMMYFUNCTION("""COMPUTED_VALUE"""),34.14)</f>
        <v>34.14</v>
      </c>
      <c r="E3722" s="17"/>
      <c r="M3722" s="17"/>
      <c r="P3722" s="17"/>
    </row>
    <row r="3723">
      <c r="B3723" s="11">
        <f>IFERROR(__xludf.DUMMYFUNCTION("""COMPUTED_VALUE"""),40623.666666666664)</f>
        <v>40623.66667</v>
      </c>
      <c r="C3723" s="9">
        <f>IFERROR(__xludf.DUMMYFUNCTION("""COMPUTED_VALUE"""),34.36)</f>
        <v>34.36</v>
      </c>
      <c r="E3723" s="17"/>
      <c r="M3723" s="17"/>
      <c r="P3723" s="17"/>
    </row>
    <row r="3724">
      <c r="B3724" s="11">
        <f>IFERROR(__xludf.DUMMYFUNCTION("""COMPUTED_VALUE"""),40620.666666666664)</f>
        <v>40620.66667</v>
      </c>
      <c r="C3724" s="9">
        <f>IFERROR(__xludf.DUMMYFUNCTION("""COMPUTED_VALUE"""),33.39)</f>
        <v>33.39</v>
      </c>
      <c r="E3724" s="17"/>
      <c r="M3724" s="17"/>
      <c r="P3724" s="17"/>
    </row>
    <row r="3725">
      <c r="B3725" s="11">
        <f>IFERROR(__xludf.DUMMYFUNCTION("""COMPUTED_VALUE"""),40619.666666666664)</f>
        <v>40619.66667</v>
      </c>
      <c r="C3725" s="9">
        <f>IFERROR(__xludf.DUMMYFUNCTION("""COMPUTED_VALUE"""),33.45)</f>
        <v>33.45</v>
      </c>
      <c r="E3725" s="17"/>
      <c r="M3725" s="17"/>
      <c r="P3725" s="17"/>
    </row>
    <row r="3726">
      <c r="B3726" s="11">
        <f>IFERROR(__xludf.DUMMYFUNCTION("""COMPUTED_VALUE"""),40618.666666666664)</f>
        <v>40618.66667</v>
      </c>
      <c r="C3726" s="9">
        <f>IFERROR(__xludf.DUMMYFUNCTION("""COMPUTED_VALUE"""),33.36)</f>
        <v>33.36</v>
      </c>
      <c r="E3726" s="17"/>
      <c r="M3726" s="17"/>
      <c r="P3726" s="17"/>
    </row>
    <row r="3727">
      <c r="B3727" s="11">
        <f>IFERROR(__xludf.DUMMYFUNCTION("""COMPUTED_VALUE"""),40617.666666666664)</f>
        <v>40617.66667</v>
      </c>
      <c r="C3727" s="9">
        <f>IFERROR(__xludf.DUMMYFUNCTION("""COMPUTED_VALUE"""),33.41)</f>
        <v>33.41</v>
      </c>
      <c r="E3727" s="17"/>
      <c r="M3727" s="17"/>
      <c r="P3727" s="17"/>
    </row>
    <row r="3728">
      <c r="B3728" s="11">
        <f>IFERROR(__xludf.DUMMYFUNCTION("""COMPUTED_VALUE"""),40616.666666666664)</f>
        <v>40616.66667</v>
      </c>
      <c r="C3728" s="9">
        <f>IFERROR(__xludf.DUMMYFUNCTION("""COMPUTED_VALUE"""),34.09)</f>
        <v>34.09</v>
      </c>
      <c r="E3728" s="17"/>
      <c r="M3728" s="17"/>
      <c r="P3728" s="17"/>
    </row>
    <row r="3729">
      <c r="B3729" s="11">
        <f>IFERROR(__xludf.DUMMYFUNCTION("""COMPUTED_VALUE"""),40613.666666666664)</f>
        <v>40613.66667</v>
      </c>
      <c r="C3729" s="9">
        <f>IFERROR(__xludf.DUMMYFUNCTION("""COMPUTED_VALUE"""),34.95)</f>
        <v>34.95</v>
      </c>
      <c r="E3729" s="17"/>
      <c r="M3729" s="17"/>
      <c r="P3729" s="17"/>
    </row>
    <row r="3730">
      <c r="B3730" s="11">
        <f>IFERROR(__xludf.DUMMYFUNCTION("""COMPUTED_VALUE"""),40612.666666666664)</f>
        <v>40612.66667</v>
      </c>
      <c r="C3730" s="9">
        <f>IFERROR(__xludf.DUMMYFUNCTION("""COMPUTED_VALUE"""),34.67)</f>
        <v>34.67</v>
      </c>
      <c r="E3730" s="17"/>
      <c r="M3730" s="17"/>
      <c r="P3730" s="17"/>
    </row>
    <row r="3731">
      <c r="B3731" s="11">
        <f>IFERROR(__xludf.DUMMYFUNCTION("""COMPUTED_VALUE"""),40611.666666666664)</f>
        <v>40611.66667</v>
      </c>
      <c r="C3731" s="9">
        <f>IFERROR(__xludf.DUMMYFUNCTION("""COMPUTED_VALUE"""),35.64)</f>
        <v>35.64</v>
      </c>
      <c r="E3731" s="17"/>
      <c r="M3731" s="17"/>
      <c r="P3731" s="17"/>
    </row>
    <row r="3732">
      <c r="B3732" s="11">
        <f>IFERROR(__xludf.DUMMYFUNCTION("""COMPUTED_VALUE"""),40610.666666666664)</f>
        <v>40610.66667</v>
      </c>
      <c r="C3732" s="9">
        <f>IFERROR(__xludf.DUMMYFUNCTION("""COMPUTED_VALUE"""),35.94)</f>
        <v>35.94</v>
      </c>
      <c r="E3732" s="17"/>
      <c r="M3732" s="17"/>
      <c r="P3732" s="17"/>
    </row>
    <row r="3733">
      <c r="B3733" s="11">
        <f>IFERROR(__xludf.DUMMYFUNCTION("""COMPUTED_VALUE"""),40609.666666666664)</f>
        <v>40609.66667</v>
      </c>
      <c r="C3733" s="9">
        <f>IFERROR(__xludf.DUMMYFUNCTION("""COMPUTED_VALUE"""),35.15)</f>
        <v>35.15</v>
      </c>
      <c r="E3733" s="17"/>
      <c r="M3733" s="17"/>
      <c r="P3733" s="17"/>
    </row>
    <row r="3734">
      <c r="B3734" s="11">
        <f>IFERROR(__xludf.DUMMYFUNCTION("""COMPUTED_VALUE"""),40606.666666666664)</f>
        <v>40606.66667</v>
      </c>
      <c r="C3734" s="9">
        <f>IFERROR(__xludf.DUMMYFUNCTION("""COMPUTED_VALUE"""),35.63)</f>
        <v>35.63</v>
      </c>
      <c r="E3734" s="17"/>
      <c r="M3734" s="17"/>
      <c r="P3734" s="17"/>
    </row>
    <row r="3735">
      <c r="B3735" s="11">
        <f>IFERROR(__xludf.DUMMYFUNCTION("""COMPUTED_VALUE"""),40605.666666666664)</f>
        <v>40605.66667</v>
      </c>
      <c r="C3735" s="9">
        <f>IFERROR(__xludf.DUMMYFUNCTION("""COMPUTED_VALUE"""),35.91)</f>
        <v>35.91</v>
      </c>
      <c r="E3735" s="17"/>
      <c r="M3735" s="17"/>
      <c r="P3735" s="17"/>
    </row>
    <row r="3736">
      <c r="B3736" s="11">
        <f>IFERROR(__xludf.DUMMYFUNCTION("""COMPUTED_VALUE"""),40604.666666666664)</f>
        <v>40604.66667</v>
      </c>
      <c r="C3736" s="9">
        <f>IFERROR(__xludf.DUMMYFUNCTION("""COMPUTED_VALUE"""),34.63)</f>
        <v>34.63</v>
      </c>
      <c r="E3736" s="17"/>
      <c r="M3736" s="17"/>
      <c r="P3736" s="17"/>
    </row>
    <row r="3737">
      <c r="B3737" s="11">
        <f>IFERROR(__xludf.DUMMYFUNCTION("""COMPUTED_VALUE"""),40603.666666666664)</f>
        <v>40603.66667</v>
      </c>
      <c r="C3737" s="9">
        <f>IFERROR(__xludf.DUMMYFUNCTION("""COMPUTED_VALUE"""),35.16)</f>
        <v>35.16</v>
      </c>
      <c r="E3737" s="17"/>
      <c r="M3737" s="17"/>
      <c r="P3737" s="17"/>
    </row>
    <row r="3738">
      <c r="B3738" s="11">
        <f>IFERROR(__xludf.DUMMYFUNCTION("""COMPUTED_VALUE"""),40602.666666666664)</f>
        <v>40602.66667</v>
      </c>
      <c r="C3738" s="9">
        <f>IFERROR(__xludf.DUMMYFUNCTION("""COMPUTED_VALUE"""),36.38)</f>
        <v>36.38</v>
      </c>
      <c r="E3738" s="17"/>
      <c r="M3738" s="17"/>
      <c r="P3738" s="17"/>
    </row>
    <row r="3739">
      <c r="B3739" s="11">
        <f>IFERROR(__xludf.DUMMYFUNCTION("""COMPUTED_VALUE"""),40599.666666666664)</f>
        <v>40599.66667</v>
      </c>
      <c r="C3739" s="9">
        <f>IFERROR(__xludf.DUMMYFUNCTION("""COMPUTED_VALUE"""),35.67)</f>
        <v>35.67</v>
      </c>
      <c r="E3739" s="17"/>
      <c r="M3739" s="17"/>
      <c r="P3739" s="17"/>
    </row>
    <row r="3740">
      <c r="B3740" s="11">
        <f>IFERROR(__xludf.DUMMYFUNCTION("""COMPUTED_VALUE"""),40598.666666666664)</f>
        <v>40598.66667</v>
      </c>
      <c r="C3740" s="9">
        <f>IFERROR(__xludf.DUMMYFUNCTION("""COMPUTED_VALUE"""),34.82)</f>
        <v>34.82</v>
      </c>
      <c r="E3740" s="17"/>
      <c r="M3740" s="17"/>
      <c r="P3740" s="17"/>
    </row>
    <row r="3741">
      <c r="B3741" s="11">
        <f>IFERROR(__xludf.DUMMYFUNCTION("""COMPUTED_VALUE"""),40597.666666666664)</f>
        <v>40597.66667</v>
      </c>
      <c r="C3741" s="9">
        <f>IFERROR(__xludf.DUMMYFUNCTION("""COMPUTED_VALUE"""),35.0)</f>
        <v>35</v>
      </c>
      <c r="E3741" s="17"/>
      <c r="M3741" s="17"/>
      <c r="P3741" s="17"/>
    </row>
    <row r="3742">
      <c r="B3742" s="11">
        <f>IFERROR(__xludf.DUMMYFUNCTION("""COMPUTED_VALUE"""),40596.666666666664)</f>
        <v>40596.66667</v>
      </c>
      <c r="C3742" s="9">
        <f>IFERROR(__xludf.DUMMYFUNCTION("""COMPUTED_VALUE"""),35.04)</f>
        <v>35.04</v>
      </c>
      <c r="E3742" s="17"/>
      <c r="M3742" s="17"/>
      <c r="P3742" s="17"/>
    </row>
    <row r="3743">
      <c r="B3743" s="11">
        <f>IFERROR(__xludf.DUMMYFUNCTION("""COMPUTED_VALUE"""),40592.666666666664)</f>
        <v>40592.66667</v>
      </c>
      <c r="C3743" s="9">
        <f>IFERROR(__xludf.DUMMYFUNCTION("""COMPUTED_VALUE"""),35.4)</f>
        <v>35.4</v>
      </c>
      <c r="E3743" s="17"/>
      <c r="M3743" s="17"/>
      <c r="P3743" s="17"/>
    </row>
    <row r="3744">
      <c r="B3744" s="11">
        <f>IFERROR(__xludf.DUMMYFUNCTION("""COMPUTED_VALUE"""),40591.666666666664)</f>
        <v>40591.66667</v>
      </c>
      <c r="C3744" s="9">
        <f>IFERROR(__xludf.DUMMYFUNCTION("""COMPUTED_VALUE"""),35.84)</f>
        <v>35.84</v>
      </c>
      <c r="E3744" s="17"/>
      <c r="M3744" s="17"/>
      <c r="P3744" s="17"/>
    </row>
    <row r="3745">
      <c r="B3745" s="11">
        <f>IFERROR(__xludf.DUMMYFUNCTION("""COMPUTED_VALUE"""),40590.666666666664)</f>
        <v>40590.66667</v>
      </c>
      <c r="C3745" s="9">
        <f>IFERROR(__xludf.DUMMYFUNCTION("""COMPUTED_VALUE"""),35.25)</f>
        <v>35.25</v>
      </c>
      <c r="E3745" s="17"/>
      <c r="M3745" s="17"/>
      <c r="P3745" s="17"/>
    </row>
    <row r="3746">
      <c r="B3746" s="11">
        <f>IFERROR(__xludf.DUMMYFUNCTION("""COMPUTED_VALUE"""),40589.666666666664)</f>
        <v>40589.66667</v>
      </c>
      <c r="C3746" s="9">
        <f>IFERROR(__xludf.DUMMYFUNCTION("""COMPUTED_VALUE"""),34.68)</f>
        <v>34.68</v>
      </c>
      <c r="E3746" s="17"/>
      <c r="M3746" s="17"/>
      <c r="P3746" s="17"/>
    </row>
    <row r="3747">
      <c r="B3747" s="11">
        <f>IFERROR(__xludf.DUMMYFUNCTION("""COMPUTED_VALUE"""),40588.666666666664)</f>
        <v>40588.66667</v>
      </c>
      <c r="C3747" s="9">
        <f>IFERROR(__xludf.DUMMYFUNCTION("""COMPUTED_VALUE"""),34.45)</f>
        <v>34.45</v>
      </c>
      <c r="E3747" s="17"/>
      <c r="M3747" s="17"/>
      <c r="P3747" s="17"/>
    </row>
    <row r="3748">
      <c r="B3748" s="11">
        <f>IFERROR(__xludf.DUMMYFUNCTION("""COMPUTED_VALUE"""),40585.666666666664)</f>
        <v>40585.66667</v>
      </c>
      <c r="C3748" s="9">
        <f>IFERROR(__xludf.DUMMYFUNCTION("""COMPUTED_VALUE"""),34.3)</f>
        <v>34.3</v>
      </c>
      <c r="E3748" s="17"/>
      <c r="M3748" s="17"/>
      <c r="P3748" s="17"/>
    </row>
    <row r="3749">
      <c r="B3749" s="11">
        <f>IFERROR(__xludf.DUMMYFUNCTION("""COMPUTED_VALUE"""),40584.666666666664)</f>
        <v>40584.66667</v>
      </c>
      <c r="C3749" s="9">
        <f>IFERROR(__xludf.DUMMYFUNCTION("""COMPUTED_VALUE"""),33.83)</f>
        <v>33.83</v>
      </c>
      <c r="E3749" s="17"/>
      <c r="M3749" s="17"/>
      <c r="P3749" s="17"/>
    </row>
    <row r="3750">
      <c r="B3750" s="11">
        <f>IFERROR(__xludf.DUMMYFUNCTION("""COMPUTED_VALUE"""),40583.666666666664)</f>
        <v>40583.66667</v>
      </c>
      <c r="C3750" s="9">
        <f>IFERROR(__xludf.DUMMYFUNCTION("""COMPUTED_VALUE"""),33.69)</f>
        <v>33.69</v>
      </c>
      <c r="E3750" s="17"/>
      <c r="M3750" s="17"/>
      <c r="P3750" s="17"/>
    </row>
    <row r="3751">
      <c r="B3751" s="11">
        <f>IFERROR(__xludf.DUMMYFUNCTION("""COMPUTED_VALUE"""),40582.666666666664)</f>
        <v>40582.66667</v>
      </c>
      <c r="C3751" s="9">
        <f>IFERROR(__xludf.DUMMYFUNCTION("""COMPUTED_VALUE"""),33.7)</f>
        <v>33.7</v>
      </c>
      <c r="E3751" s="17"/>
      <c r="M3751" s="17"/>
      <c r="P3751" s="17"/>
    </row>
    <row r="3752">
      <c r="B3752" s="11">
        <f>IFERROR(__xludf.DUMMYFUNCTION("""COMPUTED_VALUE"""),40581.666666666664)</f>
        <v>40581.66667</v>
      </c>
      <c r="C3752" s="9">
        <f>IFERROR(__xludf.DUMMYFUNCTION("""COMPUTED_VALUE"""),33.5)</f>
        <v>33.5</v>
      </c>
      <c r="E3752" s="17"/>
      <c r="M3752" s="17"/>
      <c r="P3752" s="17"/>
    </row>
    <row r="3753">
      <c r="B3753" s="11">
        <f>IFERROR(__xludf.DUMMYFUNCTION("""COMPUTED_VALUE"""),40578.666666666664)</f>
        <v>40578.66667</v>
      </c>
      <c r="C3753" s="9">
        <f>IFERROR(__xludf.DUMMYFUNCTION("""COMPUTED_VALUE"""),33.1)</f>
        <v>33.1</v>
      </c>
      <c r="E3753" s="17"/>
      <c r="M3753" s="17"/>
      <c r="P3753" s="17"/>
    </row>
    <row r="3754">
      <c r="B3754" s="11">
        <f>IFERROR(__xludf.DUMMYFUNCTION("""COMPUTED_VALUE"""),40577.666666666664)</f>
        <v>40577.66667</v>
      </c>
      <c r="C3754" s="9">
        <f>IFERROR(__xludf.DUMMYFUNCTION("""COMPUTED_VALUE"""),33.09)</f>
        <v>33.09</v>
      </c>
      <c r="E3754" s="17"/>
      <c r="M3754" s="17"/>
      <c r="P3754" s="17"/>
    </row>
    <row r="3755">
      <c r="B3755" s="11">
        <f>IFERROR(__xludf.DUMMYFUNCTION("""COMPUTED_VALUE"""),40576.666666666664)</f>
        <v>40576.66667</v>
      </c>
      <c r="C3755" s="9">
        <f>IFERROR(__xludf.DUMMYFUNCTION("""COMPUTED_VALUE"""),32.95)</f>
        <v>32.95</v>
      </c>
      <c r="E3755" s="17"/>
      <c r="M3755" s="17"/>
      <c r="P3755" s="17"/>
    </row>
    <row r="3756">
      <c r="B3756" s="11">
        <f>IFERROR(__xludf.DUMMYFUNCTION("""COMPUTED_VALUE"""),40575.666666666664)</f>
        <v>40575.66667</v>
      </c>
      <c r="C3756" s="9">
        <f>IFERROR(__xludf.DUMMYFUNCTION("""COMPUTED_VALUE"""),33.22)</f>
        <v>33.22</v>
      </c>
      <c r="E3756" s="17"/>
      <c r="M3756" s="17"/>
      <c r="P3756" s="17"/>
    </row>
    <row r="3757">
      <c r="B3757" s="11">
        <f>IFERROR(__xludf.DUMMYFUNCTION("""COMPUTED_VALUE"""),40574.666666666664)</f>
        <v>40574.66667</v>
      </c>
      <c r="C3757" s="9">
        <f>IFERROR(__xludf.DUMMYFUNCTION("""COMPUTED_VALUE"""),33.55)</f>
        <v>33.55</v>
      </c>
      <c r="E3757" s="17"/>
      <c r="M3757" s="17"/>
      <c r="P3757" s="17"/>
    </row>
    <row r="3758">
      <c r="B3758" s="11">
        <f>IFERROR(__xludf.DUMMYFUNCTION("""COMPUTED_VALUE"""),40571.666666666664)</f>
        <v>40571.66667</v>
      </c>
      <c r="C3758" s="9">
        <f>IFERROR(__xludf.DUMMYFUNCTION("""COMPUTED_VALUE"""),32.93)</f>
        <v>32.93</v>
      </c>
      <c r="E3758" s="17"/>
      <c r="M3758" s="17"/>
      <c r="P3758" s="17"/>
    </row>
    <row r="3759">
      <c r="B3759" s="11">
        <f>IFERROR(__xludf.DUMMYFUNCTION("""COMPUTED_VALUE"""),40570.666666666664)</f>
        <v>40570.66667</v>
      </c>
      <c r="C3759" s="9">
        <f>IFERROR(__xludf.DUMMYFUNCTION("""COMPUTED_VALUE"""),34.01)</f>
        <v>34.01</v>
      </c>
      <c r="E3759" s="17"/>
      <c r="M3759" s="17"/>
      <c r="P3759" s="17"/>
    </row>
    <row r="3760">
      <c r="B3760" s="11">
        <f>IFERROR(__xludf.DUMMYFUNCTION("""COMPUTED_VALUE"""),40569.666666666664)</f>
        <v>40569.66667</v>
      </c>
      <c r="C3760" s="9">
        <f>IFERROR(__xludf.DUMMYFUNCTION("""COMPUTED_VALUE"""),32.86)</f>
        <v>32.86</v>
      </c>
      <c r="E3760" s="17"/>
      <c r="M3760" s="17"/>
      <c r="P3760" s="17"/>
    </row>
    <row r="3761">
      <c r="B3761" s="11">
        <f>IFERROR(__xludf.DUMMYFUNCTION("""COMPUTED_VALUE"""),40568.666666666664)</f>
        <v>40568.66667</v>
      </c>
      <c r="C3761" s="9">
        <f>IFERROR(__xludf.DUMMYFUNCTION("""COMPUTED_VALUE"""),33.18)</f>
        <v>33.18</v>
      </c>
      <c r="E3761" s="17"/>
      <c r="M3761" s="17"/>
      <c r="P3761" s="17"/>
    </row>
    <row r="3762">
      <c r="B3762" s="11">
        <f>IFERROR(__xludf.DUMMYFUNCTION("""COMPUTED_VALUE"""),40567.666666666664)</f>
        <v>40567.66667</v>
      </c>
      <c r="C3762" s="9">
        <f>IFERROR(__xludf.DUMMYFUNCTION("""COMPUTED_VALUE"""),33.3)</f>
        <v>33.3</v>
      </c>
      <c r="E3762" s="17"/>
      <c r="M3762" s="17"/>
      <c r="P3762" s="17"/>
    </row>
    <row r="3763">
      <c r="B3763" s="11">
        <f>IFERROR(__xludf.DUMMYFUNCTION("""COMPUTED_VALUE"""),40564.666666666664)</f>
        <v>40564.66667</v>
      </c>
      <c r="C3763" s="9">
        <f>IFERROR(__xludf.DUMMYFUNCTION("""COMPUTED_VALUE"""),33.31)</f>
        <v>33.31</v>
      </c>
      <c r="E3763" s="17"/>
      <c r="M3763" s="17"/>
      <c r="P3763" s="17"/>
    </row>
    <row r="3764">
      <c r="B3764" s="11">
        <f>IFERROR(__xludf.DUMMYFUNCTION("""COMPUTED_VALUE"""),40563.666666666664)</f>
        <v>40563.66667</v>
      </c>
      <c r="C3764" s="9">
        <f>IFERROR(__xludf.DUMMYFUNCTION("""COMPUTED_VALUE"""),33.13)</f>
        <v>33.13</v>
      </c>
      <c r="E3764" s="17"/>
      <c r="M3764" s="17"/>
      <c r="P3764" s="17"/>
    </row>
    <row r="3765">
      <c r="B3765" s="11">
        <f>IFERROR(__xludf.DUMMYFUNCTION("""COMPUTED_VALUE"""),40562.666666666664)</f>
        <v>40562.66667</v>
      </c>
      <c r="C3765" s="9">
        <f>IFERROR(__xludf.DUMMYFUNCTION("""COMPUTED_VALUE"""),32.67)</f>
        <v>32.67</v>
      </c>
      <c r="E3765" s="17"/>
      <c r="M3765" s="17"/>
      <c r="P3765" s="17"/>
    </row>
    <row r="3766">
      <c r="B3766" s="11">
        <f>IFERROR(__xludf.DUMMYFUNCTION("""COMPUTED_VALUE"""),40561.666666666664)</f>
        <v>40561.66667</v>
      </c>
      <c r="C3766" s="9">
        <f>IFERROR(__xludf.DUMMYFUNCTION("""COMPUTED_VALUE"""),33.22)</f>
        <v>33.22</v>
      </c>
      <c r="E3766" s="17"/>
      <c r="M3766" s="17"/>
      <c r="P3766" s="17"/>
    </row>
    <row r="3767">
      <c r="B3767" s="11">
        <f>IFERROR(__xludf.DUMMYFUNCTION("""COMPUTED_VALUE"""),40557.666666666664)</f>
        <v>40557.66667</v>
      </c>
      <c r="C3767" s="9">
        <f>IFERROR(__xludf.DUMMYFUNCTION("""COMPUTED_VALUE"""),32.5)</f>
        <v>32.5</v>
      </c>
      <c r="E3767" s="17"/>
      <c r="M3767" s="17"/>
      <c r="P3767" s="17"/>
    </row>
    <row r="3768">
      <c r="B3768" s="11">
        <f>IFERROR(__xludf.DUMMYFUNCTION("""COMPUTED_VALUE"""),40556.666666666664)</f>
        <v>40556.66667</v>
      </c>
      <c r="C3768" s="9">
        <f>IFERROR(__xludf.DUMMYFUNCTION("""COMPUTED_VALUE"""),32.3)</f>
        <v>32.3</v>
      </c>
      <c r="E3768" s="17"/>
      <c r="M3768" s="17"/>
      <c r="P3768" s="17"/>
    </row>
    <row r="3769">
      <c r="B3769" s="11">
        <f>IFERROR(__xludf.DUMMYFUNCTION("""COMPUTED_VALUE"""),40555.666666666664)</f>
        <v>40555.66667</v>
      </c>
      <c r="C3769" s="9">
        <f>IFERROR(__xludf.DUMMYFUNCTION("""COMPUTED_VALUE"""),32.46)</f>
        <v>32.46</v>
      </c>
      <c r="E3769" s="17"/>
      <c r="M3769" s="17"/>
      <c r="P3769" s="17"/>
    </row>
    <row r="3770">
      <c r="B3770" s="11">
        <f>IFERROR(__xludf.DUMMYFUNCTION("""COMPUTED_VALUE"""),40554.666666666664)</f>
        <v>40554.66667</v>
      </c>
      <c r="C3770" s="9">
        <f>IFERROR(__xludf.DUMMYFUNCTION("""COMPUTED_VALUE"""),32.43)</f>
        <v>32.43</v>
      </c>
      <c r="E3770" s="17"/>
      <c r="M3770" s="17"/>
      <c r="P3770" s="17"/>
    </row>
    <row r="3771">
      <c r="B3771" s="11">
        <f>IFERROR(__xludf.DUMMYFUNCTION("""COMPUTED_VALUE"""),40553.666666666664)</f>
        <v>40553.66667</v>
      </c>
      <c r="C3771" s="9">
        <f>IFERROR(__xludf.DUMMYFUNCTION("""COMPUTED_VALUE"""),32.69)</f>
        <v>32.69</v>
      </c>
      <c r="E3771" s="17"/>
      <c r="M3771" s="17"/>
      <c r="P3771" s="17"/>
    </row>
    <row r="3772">
      <c r="B3772" s="11">
        <f>IFERROR(__xludf.DUMMYFUNCTION("""COMPUTED_VALUE"""),40550.666666666664)</f>
        <v>40550.66667</v>
      </c>
      <c r="C3772" s="9">
        <f>IFERROR(__xludf.DUMMYFUNCTION("""COMPUTED_VALUE"""),32.5)</f>
        <v>32.5</v>
      </c>
      <c r="E3772" s="17"/>
      <c r="M3772" s="17"/>
      <c r="P3772" s="17"/>
    </row>
    <row r="3773">
      <c r="B3773" s="11">
        <f>IFERROR(__xludf.DUMMYFUNCTION("""COMPUTED_VALUE"""),40549.666666666664)</f>
        <v>40549.66667</v>
      </c>
      <c r="C3773" s="9">
        <f>IFERROR(__xludf.DUMMYFUNCTION("""COMPUTED_VALUE"""),32.76)</f>
        <v>32.76</v>
      </c>
      <c r="E3773" s="17"/>
      <c r="M3773" s="17"/>
      <c r="P3773" s="17"/>
    </row>
    <row r="3774">
      <c r="B3774" s="11">
        <f>IFERROR(__xludf.DUMMYFUNCTION("""COMPUTED_VALUE"""),40548.666666666664)</f>
        <v>40548.66667</v>
      </c>
      <c r="C3774" s="9">
        <f>IFERROR(__xludf.DUMMYFUNCTION("""COMPUTED_VALUE"""),32.8)</f>
        <v>32.8</v>
      </c>
      <c r="E3774" s="17"/>
      <c r="M3774" s="17"/>
      <c r="P3774" s="17"/>
    </row>
    <row r="3775">
      <c r="B3775" s="11">
        <f>IFERROR(__xludf.DUMMYFUNCTION("""COMPUTED_VALUE"""),40547.666666666664)</f>
        <v>40547.66667</v>
      </c>
      <c r="C3775" s="9">
        <f>IFERROR(__xludf.DUMMYFUNCTION("""COMPUTED_VALUE"""),32.25)</f>
        <v>32.25</v>
      </c>
      <c r="E3775" s="17"/>
      <c r="M3775" s="17"/>
      <c r="P3775" s="17"/>
    </row>
    <row r="3776">
      <c r="B3776" s="11">
        <f>IFERROR(__xludf.DUMMYFUNCTION("""COMPUTED_VALUE"""),40546.666666666664)</f>
        <v>40546.66667</v>
      </c>
      <c r="C3776" s="9">
        <f>IFERROR(__xludf.DUMMYFUNCTION("""COMPUTED_VALUE"""),32.31)</f>
        <v>32.31</v>
      </c>
      <c r="E3776" s="17"/>
      <c r="M3776" s="17"/>
      <c r="P3776" s="17"/>
    </row>
    <row r="3777">
      <c r="B3777" s="11">
        <f>IFERROR(__xludf.DUMMYFUNCTION("""COMPUTED_VALUE"""),40543.666666666664)</f>
        <v>40543.66667</v>
      </c>
      <c r="C3777" s="9">
        <f>IFERROR(__xludf.DUMMYFUNCTION("""COMPUTED_VALUE"""),31.71)</f>
        <v>31.71</v>
      </c>
      <c r="E3777" s="17"/>
      <c r="M3777" s="17"/>
      <c r="P3777" s="17"/>
    </row>
    <row r="3778">
      <c r="B3778" s="11">
        <f>IFERROR(__xludf.DUMMYFUNCTION("""COMPUTED_VALUE"""),40542.666666666664)</f>
        <v>40542.66667</v>
      </c>
      <c r="C3778" s="9">
        <f>IFERROR(__xludf.DUMMYFUNCTION("""COMPUTED_VALUE"""),31.63)</f>
        <v>31.63</v>
      </c>
      <c r="E3778" s="17"/>
      <c r="M3778" s="17"/>
      <c r="P3778" s="17"/>
    </row>
    <row r="3779">
      <c r="B3779" s="11">
        <f>IFERROR(__xludf.DUMMYFUNCTION("""COMPUTED_VALUE"""),40541.666666666664)</f>
        <v>40541.66667</v>
      </c>
      <c r="C3779" s="9">
        <f>IFERROR(__xludf.DUMMYFUNCTION("""COMPUTED_VALUE"""),31.48)</f>
        <v>31.48</v>
      </c>
      <c r="E3779" s="17"/>
      <c r="M3779" s="17"/>
      <c r="P3779" s="17"/>
    </row>
    <row r="3780">
      <c r="B3780" s="11">
        <f>IFERROR(__xludf.DUMMYFUNCTION("""COMPUTED_VALUE"""),40540.666666666664)</f>
        <v>40540.66667</v>
      </c>
      <c r="C3780" s="9">
        <f>IFERROR(__xludf.DUMMYFUNCTION("""COMPUTED_VALUE"""),31.4)</f>
        <v>31.4</v>
      </c>
      <c r="E3780" s="17"/>
      <c r="M3780" s="17"/>
      <c r="P3780" s="17"/>
    </row>
    <row r="3781">
      <c r="B3781" s="11">
        <f>IFERROR(__xludf.DUMMYFUNCTION("""COMPUTED_VALUE"""),40539.666666666664)</f>
        <v>40539.66667</v>
      </c>
      <c r="C3781" s="9">
        <f>IFERROR(__xludf.DUMMYFUNCTION("""COMPUTED_VALUE"""),31.56)</f>
        <v>31.56</v>
      </c>
      <c r="E3781" s="17"/>
      <c r="M3781" s="17"/>
      <c r="P3781" s="17"/>
    </row>
    <row r="3782">
      <c r="B3782" s="11">
        <f>IFERROR(__xludf.DUMMYFUNCTION("""COMPUTED_VALUE"""),40535.666666666664)</f>
        <v>40535.66667</v>
      </c>
      <c r="C3782" s="9">
        <f>IFERROR(__xludf.DUMMYFUNCTION("""COMPUTED_VALUE"""),31.13)</f>
        <v>31.13</v>
      </c>
      <c r="E3782" s="17"/>
      <c r="M3782" s="17"/>
      <c r="P3782" s="17"/>
    </row>
    <row r="3783">
      <c r="B3783" s="11">
        <f>IFERROR(__xludf.DUMMYFUNCTION("""COMPUTED_VALUE"""),40534.666666666664)</f>
        <v>40534.66667</v>
      </c>
      <c r="C3783" s="9">
        <f>IFERROR(__xludf.DUMMYFUNCTION("""COMPUTED_VALUE"""),31.56)</f>
        <v>31.56</v>
      </c>
      <c r="E3783" s="17"/>
      <c r="M3783" s="17"/>
      <c r="P3783" s="17"/>
    </row>
    <row r="3784">
      <c r="B3784" s="11">
        <f>IFERROR(__xludf.DUMMYFUNCTION("""COMPUTED_VALUE"""),40533.666666666664)</f>
        <v>40533.66667</v>
      </c>
      <c r="C3784" s="9">
        <f>IFERROR(__xludf.DUMMYFUNCTION("""COMPUTED_VALUE"""),31.55)</f>
        <v>31.55</v>
      </c>
      <c r="E3784" s="17"/>
      <c r="M3784" s="17"/>
      <c r="P3784" s="17"/>
    </row>
    <row r="3785">
      <c r="B3785" s="11">
        <f>IFERROR(__xludf.DUMMYFUNCTION("""COMPUTED_VALUE"""),40532.666666666664)</f>
        <v>40532.66667</v>
      </c>
      <c r="C3785" s="9">
        <f>IFERROR(__xludf.DUMMYFUNCTION("""COMPUTED_VALUE"""),31.34)</f>
        <v>31.34</v>
      </c>
      <c r="E3785" s="17"/>
      <c r="M3785" s="17"/>
      <c r="P3785" s="17"/>
    </row>
    <row r="3786">
      <c r="B3786" s="11">
        <f>IFERROR(__xludf.DUMMYFUNCTION("""COMPUTED_VALUE"""),40529.666666666664)</f>
        <v>40529.66667</v>
      </c>
      <c r="C3786" s="9">
        <f>IFERROR(__xludf.DUMMYFUNCTION("""COMPUTED_VALUE"""),30.65)</f>
        <v>30.65</v>
      </c>
      <c r="E3786" s="17"/>
      <c r="M3786" s="17"/>
      <c r="P3786" s="17"/>
    </row>
    <row r="3787">
      <c r="B3787" s="11">
        <f>IFERROR(__xludf.DUMMYFUNCTION("""COMPUTED_VALUE"""),40528.666666666664)</f>
        <v>40528.66667</v>
      </c>
      <c r="C3787" s="9">
        <f>IFERROR(__xludf.DUMMYFUNCTION("""COMPUTED_VALUE"""),30.47)</f>
        <v>30.47</v>
      </c>
      <c r="E3787" s="17"/>
      <c r="M3787" s="17"/>
      <c r="P3787" s="17"/>
    </row>
    <row r="3788">
      <c r="B3788" s="11">
        <f>IFERROR(__xludf.DUMMYFUNCTION("""COMPUTED_VALUE"""),40527.666666666664)</f>
        <v>40527.66667</v>
      </c>
      <c r="C3788" s="9">
        <f>IFERROR(__xludf.DUMMYFUNCTION("""COMPUTED_VALUE"""),30.41)</f>
        <v>30.41</v>
      </c>
      <c r="E3788" s="17"/>
      <c r="M3788" s="17"/>
      <c r="P3788" s="17"/>
    </row>
    <row r="3789">
      <c r="B3789" s="11">
        <f>IFERROR(__xludf.DUMMYFUNCTION("""COMPUTED_VALUE"""),40526.666666666664)</f>
        <v>40526.66667</v>
      </c>
      <c r="C3789" s="9">
        <f>IFERROR(__xludf.DUMMYFUNCTION("""COMPUTED_VALUE"""),30.98)</f>
        <v>30.98</v>
      </c>
      <c r="E3789" s="17"/>
      <c r="M3789" s="17"/>
      <c r="P3789" s="17"/>
    </row>
    <row r="3790">
      <c r="B3790" s="11">
        <f>IFERROR(__xludf.DUMMYFUNCTION("""COMPUTED_VALUE"""),40525.666666666664)</f>
        <v>40525.66667</v>
      </c>
      <c r="C3790" s="9">
        <f>IFERROR(__xludf.DUMMYFUNCTION("""COMPUTED_VALUE"""),31.82)</f>
        <v>31.82</v>
      </c>
      <c r="E3790" s="17"/>
      <c r="M3790" s="17"/>
      <c r="P3790" s="17"/>
    </row>
    <row r="3791">
      <c r="B3791" s="11">
        <f>IFERROR(__xludf.DUMMYFUNCTION("""COMPUTED_VALUE"""),40522.666666666664)</f>
        <v>40522.66667</v>
      </c>
      <c r="C3791" s="9">
        <f>IFERROR(__xludf.DUMMYFUNCTION("""COMPUTED_VALUE"""),31.76)</f>
        <v>31.76</v>
      </c>
      <c r="E3791" s="17"/>
      <c r="M3791" s="17"/>
      <c r="P3791" s="17"/>
    </row>
    <row r="3792">
      <c r="B3792" s="11">
        <f>IFERROR(__xludf.DUMMYFUNCTION("""COMPUTED_VALUE"""),40521.666666666664)</f>
        <v>40521.66667</v>
      </c>
      <c r="C3792" s="9">
        <f>IFERROR(__xludf.DUMMYFUNCTION("""COMPUTED_VALUE"""),31.4)</f>
        <v>31.4</v>
      </c>
      <c r="E3792" s="17"/>
      <c r="M3792" s="17"/>
      <c r="P3792" s="17"/>
    </row>
    <row r="3793">
      <c r="B3793" s="11">
        <f>IFERROR(__xludf.DUMMYFUNCTION("""COMPUTED_VALUE"""),40520.666666666664)</f>
        <v>40520.66667</v>
      </c>
      <c r="C3793" s="9">
        <f>IFERROR(__xludf.DUMMYFUNCTION("""COMPUTED_VALUE"""),31.22)</f>
        <v>31.22</v>
      </c>
      <c r="E3793" s="17"/>
      <c r="M3793" s="17"/>
      <c r="P3793" s="17"/>
    </row>
    <row r="3794">
      <c r="B3794" s="11">
        <f>IFERROR(__xludf.DUMMYFUNCTION("""COMPUTED_VALUE"""),40519.666666666664)</f>
        <v>40519.66667</v>
      </c>
      <c r="C3794" s="9">
        <f>IFERROR(__xludf.DUMMYFUNCTION("""COMPUTED_VALUE"""),31.51)</f>
        <v>31.51</v>
      </c>
      <c r="E3794" s="17"/>
      <c r="M3794" s="17"/>
      <c r="P3794" s="17"/>
    </row>
    <row r="3795">
      <c r="B3795" s="11">
        <f>IFERROR(__xludf.DUMMYFUNCTION("""COMPUTED_VALUE"""),40518.666666666664)</f>
        <v>40518.66667</v>
      </c>
      <c r="C3795" s="9">
        <f>IFERROR(__xludf.DUMMYFUNCTION("""COMPUTED_VALUE"""),31.32)</f>
        <v>31.32</v>
      </c>
      <c r="E3795" s="17"/>
      <c r="M3795" s="17"/>
      <c r="P3795" s="17"/>
    </row>
    <row r="3796">
      <c r="B3796" s="11">
        <f>IFERROR(__xludf.DUMMYFUNCTION("""COMPUTED_VALUE"""),40515.666666666664)</f>
        <v>40515.66667</v>
      </c>
      <c r="C3796" s="9">
        <f>IFERROR(__xludf.DUMMYFUNCTION("""COMPUTED_VALUE"""),30.76)</f>
        <v>30.76</v>
      </c>
      <c r="E3796" s="17"/>
      <c r="M3796" s="17"/>
      <c r="P3796" s="17"/>
    </row>
    <row r="3797">
      <c r="B3797" s="11">
        <f>IFERROR(__xludf.DUMMYFUNCTION("""COMPUTED_VALUE"""),40514.666666666664)</f>
        <v>40514.66667</v>
      </c>
      <c r="C3797" s="9">
        <f>IFERROR(__xludf.DUMMYFUNCTION("""COMPUTED_VALUE"""),30.49)</f>
        <v>30.49</v>
      </c>
      <c r="E3797" s="17"/>
      <c r="M3797" s="17"/>
      <c r="P3797" s="17"/>
    </row>
    <row r="3798">
      <c r="B3798" s="11">
        <f>IFERROR(__xludf.DUMMYFUNCTION("""COMPUTED_VALUE"""),40513.666666666664)</f>
        <v>40513.66667</v>
      </c>
      <c r="C3798" s="9">
        <f>IFERROR(__xludf.DUMMYFUNCTION("""COMPUTED_VALUE"""),29.64)</f>
        <v>29.64</v>
      </c>
      <c r="E3798" s="17"/>
      <c r="M3798" s="17"/>
      <c r="P3798" s="17"/>
    </row>
    <row r="3799">
      <c r="B3799" s="11">
        <f>IFERROR(__xludf.DUMMYFUNCTION("""COMPUTED_VALUE"""),40512.666666666664)</f>
        <v>40512.66667</v>
      </c>
      <c r="C3799" s="9">
        <f>IFERROR(__xludf.DUMMYFUNCTION("""COMPUTED_VALUE"""),29.19)</f>
        <v>29.19</v>
      </c>
      <c r="E3799" s="17"/>
      <c r="M3799" s="17"/>
      <c r="P3799" s="17"/>
    </row>
    <row r="3800">
      <c r="B3800" s="11">
        <f>IFERROR(__xludf.DUMMYFUNCTION("""COMPUTED_VALUE"""),40511.666666666664)</f>
        <v>40511.66667</v>
      </c>
      <c r="C3800" s="9">
        <f>IFERROR(__xludf.DUMMYFUNCTION("""COMPUTED_VALUE"""),29.48)</f>
        <v>29.48</v>
      </c>
      <c r="E3800" s="17"/>
      <c r="M3800" s="17"/>
      <c r="P3800" s="17"/>
    </row>
    <row r="3801">
      <c r="B3801" s="11">
        <f>IFERROR(__xludf.DUMMYFUNCTION("""COMPUTED_VALUE"""),40508.666666666664)</f>
        <v>40508.66667</v>
      </c>
      <c r="C3801" s="9">
        <f>IFERROR(__xludf.DUMMYFUNCTION("""COMPUTED_VALUE"""),29.76)</f>
        <v>29.76</v>
      </c>
      <c r="E3801" s="17"/>
      <c r="M3801" s="17"/>
      <c r="P3801" s="17"/>
    </row>
    <row r="3802">
      <c r="B3802" s="11">
        <f>IFERROR(__xludf.DUMMYFUNCTION("""COMPUTED_VALUE"""),40506.666666666664)</f>
        <v>40506.66667</v>
      </c>
      <c r="C3802" s="9">
        <f>IFERROR(__xludf.DUMMYFUNCTION("""COMPUTED_VALUE"""),29.76)</f>
        <v>29.76</v>
      </c>
      <c r="E3802" s="17"/>
      <c r="M3802" s="17"/>
      <c r="P3802" s="17"/>
    </row>
    <row r="3803">
      <c r="B3803" s="11">
        <f>IFERROR(__xludf.DUMMYFUNCTION("""COMPUTED_VALUE"""),40505.666666666664)</f>
        <v>40505.66667</v>
      </c>
      <c r="C3803" s="9">
        <f>IFERROR(__xludf.DUMMYFUNCTION("""COMPUTED_VALUE"""),28.94)</f>
        <v>28.94</v>
      </c>
      <c r="E3803" s="17"/>
      <c r="M3803" s="17"/>
      <c r="P3803" s="17"/>
    </row>
    <row r="3804">
      <c r="B3804" s="11">
        <f>IFERROR(__xludf.DUMMYFUNCTION("""COMPUTED_VALUE"""),40504.666666666664)</f>
        <v>40504.66667</v>
      </c>
      <c r="C3804" s="9">
        <f>IFERROR(__xludf.DUMMYFUNCTION("""COMPUTED_VALUE"""),29.15)</f>
        <v>29.15</v>
      </c>
      <c r="E3804" s="17"/>
      <c r="M3804" s="17"/>
      <c r="P3804" s="17"/>
    </row>
    <row r="3805">
      <c r="B3805" s="11">
        <f>IFERROR(__xludf.DUMMYFUNCTION("""COMPUTED_VALUE"""),40501.666666666664)</f>
        <v>40501.66667</v>
      </c>
      <c r="C3805" s="9">
        <f>IFERROR(__xludf.DUMMYFUNCTION("""COMPUTED_VALUE"""),29.26)</f>
        <v>29.26</v>
      </c>
      <c r="E3805" s="17"/>
      <c r="M3805" s="17"/>
      <c r="P3805" s="17"/>
    </row>
    <row r="3806">
      <c r="B3806" s="11">
        <f>IFERROR(__xludf.DUMMYFUNCTION("""COMPUTED_VALUE"""),40500.666666666664)</f>
        <v>40500.66667</v>
      </c>
      <c r="C3806" s="9">
        <f>IFERROR(__xludf.DUMMYFUNCTION("""COMPUTED_VALUE"""),28.67)</f>
        <v>28.67</v>
      </c>
      <c r="E3806" s="17"/>
      <c r="M3806" s="17"/>
      <c r="P3806" s="17"/>
    </row>
    <row r="3807">
      <c r="B3807" s="11">
        <f>IFERROR(__xludf.DUMMYFUNCTION("""COMPUTED_VALUE"""),40499.666666666664)</f>
        <v>40499.66667</v>
      </c>
      <c r="C3807" s="9">
        <f>IFERROR(__xludf.DUMMYFUNCTION("""COMPUTED_VALUE"""),28.36)</f>
        <v>28.36</v>
      </c>
      <c r="E3807" s="17"/>
      <c r="M3807" s="17"/>
      <c r="P3807" s="17"/>
    </row>
    <row r="3808">
      <c r="B3808" s="11">
        <f>IFERROR(__xludf.DUMMYFUNCTION("""COMPUTED_VALUE"""),40498.666666666664)</f>
        <v>40498.66667</v>
      </c>
      <c r="C3808" s="9">
        <f>IFERROR(__xludf.DUMMYFUNCTION("""COMPUTED_VALUE"""),27.77)</f>
        <v>27.77</v>
      </c>
      <c r="E3808" s="17"/>
      <c r="M3808" s="17"/>
      <c r="P3808" s="17"/>
    </row>
    <row r="3809">
      <c r="B3809" s="11">
        <f>IFERROR(__xludf.DUMMYFUNCTION("""COMPUTED_VALUE"""),40497.666666666664)</f>
        <v>40497.66667</v>
      </c>
      <c r="C3809" s="9">
        <f>IFERROR(__xludf.DUMMYFUNCTION("""COMPUTED_VALUE"""),28.97)</f>
        <v>28.97</v>
      </c>
      <c r="E3809" s="17"/>
      <c r="M3809" s="17"/>
      <c r="P3809" s="17"/>
    </row>
    <row r="3810">
      <c r="B3810" s="11">
        <f>IFERROR(__xludf.DUMMYFUNCTION("""COMPUTED_VALUE"""),40494.666666666664)</f>
        <v>40494.66667</v>
      </c>
      <c r="C3810" s="9">
        <f>IFERROR(__xludf.DUMMYFUNCTION("""COMPUTED_VALUE"""),29.17)</f>
        <v>29.17</v>
      </c>
      <c r="E3810" s="17"/>
      <c r="M3810" s="17"/>
      <c r="P3810" s="17"/>
    </row>
    <row r="3811">
      <c r="B3811" s="11">
        <f>IFERROR(__xludf.DUMMYFUNCTION("""COMPUTED_VALUE"""),40493.666666666664)</f>
        <v>40493.66667</v>
      </c>
      <c r="C3811" s="9">
        <f>IFERROR(__xludf.DUMMYFUNCTION("""COMPUTED_VALUE"""),29.88)</f>
        <v>29.88</v>
      </c>
      <c r="E3811" s="17"/>
      <c r="M3811" s="17"/>
      <c r="P3811" s="17"/>
    </row>
    <row r="3812">
      <c r="B3812" s="11">
        <f>IFERROR(__xludf.DUMMYFUNCTION("""COMPUTED_VALUE"""),40492.666666666664)</f>
        <v>40492.66667</v>
      </c>
      <c r="C3812" s="9">
        <f>IFERROR(__xludf.DUMMYFUNCTION("""COMPUTED_VALUE"""),29.91)</f>
        <v>29.91</v>
      </c>
      <c r="E3812" s="17"/>
      <c r="M3812" s="17"/>
      <c r="P3812" s="17"/>
    </row>
    <row r="3813">
      <c r="B3813" s="11">
        <f>IFERROR(__xludf.DUMMYFUNCTION("""COMPUTED_VALUE"""),40491.666666666664)</f>
        <v>40491.66667</v>
      </c>
      <c r="C3813" s="9">
        <f>IFERROR(__xludf.DUMMYFUNCTION("""COMPUTED_VALUE"""),29.26)</f>
        <v>29.26</v>
      </c>
      <c r="E3813" s="17"/>
      <c r="M3813" s="17"/>
      <c r="P3813" s="17"/>
    </row>
    <row r="3814">
      <c r="B3814" s="11">
        <f>IFERROR(__xludf.DUMMYFUNCTION("""COMPUTED_VALUE"""),40490.666666666664)</f>
        <v>40490.66667</v>
      </c>
      <c r="C3814" s="9">
        <f>IFERROR(__xludf.DUMMYFUNCTION("""COMPUTED_VALUE"""),30.48)</f>
        <v>30.48</v>
      </c>
      <c r="E3814" s="17"/>
      <c r="M3814" s="17"/>
      <c r="P3814" s="17"/>
    </row>
    <row r="3815">
      <c r="B3815" s="11">
        <f>IFERROR(__xludf.DUMMYFUNCTION("""COMPUTED_VALUE"""),40487.666666666664)</f>
        <v>40487.66667</v>
      </c>
      <c r="C3815" s="9">
        <f>IFERROR(__xludf.DUMMYFUNCTION("""COMPUTED_VALUE"""),30.15)</f>
        <v>30.15</v>
      </c>
      <c r="E3815" s="17"/>
      <c r="M3815" s="17"/>
      <c r="P3815" s="17"/>
    </row>
    <row r="3816">
      <c r="B3816" s="11">
        <f>IFERROR(__xludf.DUMMYFUNCTION("""COMPUTED_VALUE"""),40486.666666666664)</f>
        <v>40486.66667</v>
      </c>
      <c r="C3816" s="9">
        <f>IFERROR(__xludf.DUMMYFUNCTION("""COMPUTED_VALUE"""),29.85)</f>
        <v>29.85</v>
      </c>
      <c r="E3816" s="17"/>
      <c r="M3816" s="17"/>
      <c r="P3816" s="17"/>
    </row>
    <row r="3817">
      <c r="B3817" s="11">
        <f>IFERROR(__xludf.DUMMYFUNCTION("""COMPUTED_VALUE"""),40485.666666666664)</f>
        <v>40485.66667</v>
      </c>
      <c r="C3817" s="9">
        <f>IFERROR(__xludf.DUMMYFUNCTION("""COMPUTED_VALUE"""),28.74)</f>
        <v>28.74</v>
      </c>
      <c r="E3817" s="17"/>
      <c r="M3817" s="17"/>
      <c r="P3817" s="17"/>
    </row>
    <row r="3818">
      <c r="B3818" s="11">
        <f>IFERROR(__xludf.DUMMYFUNCTION("""COMPUTED_VALUE"""),40484.666666666664)</f>
        <v>40484.66667</v>
      </c>
      <c r="C3818" s="9">
        <f>IFERROR(__xludf.DUMMYFUNCTION("""COMPUTED_VALUE"""),28.57)</f>
        <v>28.57</v>
      </c>
      <c r="E3818" s="17"/>
      <c r="M3818" s="17"/>
      <c r="P3818" s="17"/>
    </row>
    <row r="3819">
      <c r="B3819" s="11">
        <f>IFERROR(__xludf.DUMMYFUNCTION("""COMPUTED_VALUE"""),40483.666666666664)</f>
        <v>40483.66667</v>
      </c>
      <c r="C3819" s="9">
        <f>IFERROR(__xludf.DUMMYFUNCTION("""COMPUTED_VALUE"""),28.52)</f>
        <v>28.52</v>
      </c>
      <c r="E3819" s="17"/>
      <c r="M3819" s="17"/>
      <c r="P3819" s="17"/>
    </row>
    <row r="3820">
      <c r="B3820" s="11">
        <f>IFERROR(__xludf.DUMMYFUNCTION("""COMPUTED_VALUE"""),40480.666666666664)</f>
        <v>40480.66667</v>
      </c>
      <c r="C3820" s="9">
        <f>IFERROR(__xludf.DUMMYFUNCTION("""COMPUTED_VALUE"""),28.19)</f>
        <v>28.19</v>
      </c>
      <c r="E3820" s="17"/>
      <c r="M3820" s="17"/>
      <c r="P3820" s="17"/>
    </row>
    <row r="3821">
      <c r="B3821" s="11">
        <f>IFERROR(__xludf.DUMMYFUNCTION("""COMPUTED_VALUE"""),40479.666666666664)</f>
        <v>40479.66667</v>
      </c>
      <c r="C3821" s="9">
        <f>IFERROR(__xludf.DUMMYFUNCTION("""COMPUTED_VALUE"""),27.7)</f>
        <v>27.7</v>
      </c>
      <c r="E3821" s="17"/>
      <c r="M3821" s="17"/>
      <c r="P3821" s="17"/>
    </row>
    <row r="3822">
      <c r="B3822" s="11">
        <f>IFERROR(__xludf.DUMMYFUNCTION("""COMPUTED_VALUE"""),40478.666666666664)</f>
        <v>40478.66667</v>
      </c>
      <c r="C3822" s="9">
        <f>IFERROR(__xludf.DUMMYFUNCTION("""COMPUTED_VALUE"""),27.54)</f>
        <v>27.54</v>
      </c>
      <c r="E3822" s="17"/>
      <c r="M3822" s="17"/>
      <c r="P3822" s="17"/>
    </row>
    <row r="3823">
      <c r="B3823" s="11">
        <f>IFERROR(__xludf.DUMMYFUNCTION("""COMPUTED_VALUE"""),40477.666666666664)</f>
        <v>40477.66667</v>
      </c>
      <c r="C3823" s="9">
        <f>IFERROR(__xludf.DUMMYFUNCTION("""COMPUTED_VALUE"""),27.47)</f>
        <v>27.47</v>
      </c>
      <c r="E3823" s="17"/>
      <c r="M3823" s="17"/>
      <c r="P3823" s="17"/>
    </row>
    <row r="3824">
      <c r="B3824" s="11">
        <f>IFERROR(__xludf.DUMMYFUNCTION("""COMPUTED_VALUE"""),40476.666666666664)</f>
        <v>40476.66667</v>
      </c>
      <c r="C3824" s="9">
        <f>IFERROR(__xludf.DUMMYFUNCTION("""COMPUTED_VALUE"""),27.93)</f>
        <v>27.93</v>
      </c>
      <c r="E3824" s="17"/>
      <c r="M3824" s="17"/>
      <c r="P3824" s="17"/>
    </row>
    <row r="3825">
      <c r="B3825" s="11">
        <f>IFERROR(__xludf.DUMMYFUNCTION("""COMPUTED_VALUE"""),40473.666666666664)</f>
        <v>40473.66667</v>
      </c>
      <c r="C3825" s="9">
        <f>IFERROR(__xludf.DUMMYFUNCTION("""COMPUTED_VALUE"""),27.87)</f>
        <v>27.87</v>
      </c>
      <c r="E3825" s="17"/>
      <c r="M3825" s="17"/>
      <c r="P3825" s="17"/>
    </row>
    <row r="3826">
      <c r="B3826" s="11">
        <f>IFERROR(__xludf.DUMMYFUNCTION("""COMPUTED_VALUE"""),40472.666666666664)</f>
        <v>40472.66667</v>
      </c>
      <c r="C3826" s="9">
        <f>IFERROR(__xludf.DUMMYFUNCTION("""COMPUTED_VALUE"""),27.81)</f>
        <v>27.81</v>
      </c>
      <c r="E3826" s="17"/>
      <c r="M3826" s="17"/>
      <c r="P3826" s="17"/>
    </row>
    <row r="3827">
      <c r="B3827" s="11">
        <f>IFERROR(__xludf.DUMMYFUNCTION("""COMPUTED_VALUE"""),40471.666666666664)</f>
        <v>40471.66667</v>
      </c>
      <c r="C3827" s="9">
        <f>IFERROR(__xludf.DUMMYFUNCTION("""COMPUTED_VALUE"""),27.82)</f>
        <v>27.82</v>
      </c>
      <c r="E3827" s="17"/>
      <c r="M3827" s="17"/>
      <c r="P3827" s="17"/>
    </row>
    <row r="3828">
      <c r="B3828" s="11">
        <f>IFERROR(__xludf.DUMMYFUNCTION("""COMPUTED_VALUE"""),40470.666666666664)</f>
        <v>40470.66667</v>
      </c>
      <c r="C3828" s="9">
        <f>IFERROR(__xludf.DUMMYFUNCTION("""COMPUTED_VALUE"""),26.48)</f>
        <v>26.48</v>
      </c>
      <c r="E3828" s="17"/>
      <c r="M3828" s="17"/>
      <c r="P3828" s="17"/>
    </row>
    <row r="3829">
      <c r="B3829" s="11">
        <f>IFERROR(__xludf.DUMMYFUNCTION("""COMPUTED_VALUE"""),40469.666666666664)</f>
        <v>40469.66667</v>
      </c>
      <c r="C3829" s="9">
        <f>IFERROR(__xludf.DUMMYFUNCTION("""COMPUTED_VALUE"""),27.01)</f>
        <v>27.01</v>
      </c>
      <c r="E3829" s="17"/>
      <c r="M3829" s="17"/>
      <c r="P3829" s="17"/>
    </row>
    <row r="3830">
      <c r="B3830" s="11">
        <f>IFERROR(__xludf.DUMMYFUNCTION("""COMPUTED_VALUE"""),40466.666666666664)</f>
        <v>40466.66667</v>
      </c>
      <c r="C3830" s="9">
        <f>IFERROR(__xludf.DUMMYFUNCTION("""COMPUTED_VALUE"""),26.93)</f>
        <v>26.93</v>
      </c>
      <c r="E3830" s="17"/>
      <c r="M3830" s="17"/>
      <c r="P3830" s="17"/>
    </row>
    <row r="3831">
      <c r="B3831" s="11">
        <f>IFERROR(__xludf.DUMMYFUNCTION("""COMPUTED_VALUE"""),40465.666666666664)</f>
        <v>40465.66667</v>
      </c>
      <c r="C3831" s="9">
        <f>IFERROR(__xludf.DUMMYFUNCTION("""COMPUTED_VALUE"""),26.9)</f>
        <v>26.9</v>
      </c>
      <c r="E3831" s="17"/>
      <c r="M3831" s="17"/>
      <c r="P3831" s="17"/>
    </row>
    <row r="3832">
      <c r="B3832" s="11">
        <f>IFERROR(__xludf.DUMMYFUNCTION("""COMPUTED_VALUE"""),40464.666666666664)</f>
        <v>40464.66667</v>
      </c>
      <c r="C3832" s="9">
        <f>IFERROR(__xludf.DUMMYFUNCTION("""COMPUTED_VALUE"""),27.2)</f>
        <v>27.2</v>
      </c>
      <c r="E3832" s="17"/>
      <c r="M3832" s="17"/>
      <c r="P3832" s="17"/>
    </row>
    <row r="3833">
      <c r="B3833" s="11">
        <f>IFERROR(__xludf.DUMMYFUNCTION("""COMPUTED_VALUE"""),40463.666666666664)</f>
        <v>40463.66667</v>
      </c>
      <c r="C3833" s="9">
        <f>IFERROR(__xludf.DUMMYFUNCTION("""COMPUTED_VALUE"""),26.75)</f>
        <v>26.75</v>
      </c>
      <c r="E3833" s="17"/>
      <c r="M3833" s="17"/>
      <c r="P3833" s="17"/>
    </row>
    <row r="3834">
      <c r="B3834" s="11">
        <f>IFERROR(__xludf.DUMMYFUNCTION("""COMPUTED_VALUE"""),40462.666666666664)</f>
        <v>40462.66667</v>
      </c>
      <c r="C3834" s="9">
        <f>IFERROR(__xludf.DUMMYFUNCTION("""COMPUTED_VALUE"""),26.95)</f>
        <v>26.95</v>
      </c>
      <c r="E3834" s="17"/>
      <c r="M3834" s="17"/>
      <c r="P3834" s="17"/>
    </row>
    <row r="3835">
      <c r="B3835" s="11">
        <f>IFERROR(__xludf.DUMMYFUNCTION("""COMPUTED_VALUE"""),40459.666666666664)</f>
        <v>40459.66667</v>
      </c>
      <c r="C3835" s="9">
        <f>IFERROR(__xludf.DUMMYFUNCTION("""COMPUTED_VALUE"""),26.67)</f>
        <v>26.67</v>
      </c>
      <c r="E3835" s="17"/>
      <c r="M3835" s="17"/>
      <c r="P3835" s="17"/>
    </row>
    <row r="3836">
      <c r="B3836" s="11">
        <f>IFERROR(__xludf.DUMMYFUNCTION("""COMPUTED_VALUE"""),40458.666666666664)</f>
        <v>40458.66667</v>
      </c>
      <c r="C3836" s="9">
        <f>IFERROR(__xludf.DUMMYFUNCTION("""COMPUTED_VALUE"""),26.82)</f>
        <v>26.82</v>
      </c>
      <c r="E3836" s="17"/>
      <c r="M3836" s="17"/>
      <c r="P3836" s="17"/>
    </row>
    <row r="3837">
      <c r="B3837" s="11">
        <f>IFERROR(__xludf.DUMMYFUNCTION("""COMPUTED_VALUE"""),40457.666666666664)</f>
        <v>40457.66667</v>
      </c>
      <c r="C3837" s="9">
        <f>IFERROR(__xludf.DUMMYFUNCTION("""COMPUTED_VALUE"""),26.58)</f>
        <v>26.58</v>
      </c>
      <c r="E3837" s="17"/>
      <c r="M3837" s="17"/>
      <c r="P3837" s="17"/>
    </row>
    <row r="3838">
      <c r="B3838" s="11">
        <f>IFERROR(__xludf.DUMMYFUNCTION("""COMPUTED_VALUE"""),40456.666666666664)</f>
        <v>40456.66667</v>
      </c>
      <c r="C3838" s="9">
        <f>IFERROR(__xludf.DUMMYFUNCTION("""COMPUTED_VALUE"""),27.1)</f>
        <v>27.1</v>
      </c>
      <c r="E3838" s="17"/>
      <c r="M3838" s="17"/>
      <c r="P3838" s="17"/>
    </row>
    <row r="3839">
      <c r="B3839" s="11">
        <f>IFERROR(__xludf.DUMMYFUNCTION("""COMPUTED_VALUE"""),40455.666666666664)</f>
        <v>40455.66667</v>
      </c>
      <c r="C3839" s="9">
        <f>IFERROR(__xludf.DUMMYFUNCTION("""COMPUTED_VALUE"""),27.01)</f>
        <v>27.01</v>
      </c>
      <c r="E3839" s="17"/>
      <c r="M3839" s="17"/>
      <c r="P3839" s="17"/>
    </row>
    <row r="3840">
      <c r="B3840" s="11">
        <f>IFERROR(__xludf.DUMMYFUNCTION("""COMPUTED_VALUE"""),40452.666666666664)</f>
        <v>40452.66667</v>
      </c>
      <c r="C3840" s="9">
        <f>IFERROR(__xludf.DUMMYFUNCTION("""COMPUTED_VALUE"""),26.6)</f>
        <v>26.6</v>
      </c>
      <c r="E3840" s="17"/>
      <c r="M3840" s="17"/>
      <c r="P3840" s="17"/>
    </row>
    <row r="3841">
      <c r="B3841" s="11">
        <f>IFERROR(__xludf.DUMMYFUNCTION("""COMPUTED_VALUE"""),40451.666666666664)</f>
        <v>40451.66667</v>
      </c>
      <c r="C3841" s="9">
        <f>IFERROR(__xludf.DUMMYFUNCTION("""COMPUTED_VALUE"""),26.47)</f>
        <v>26.47</v>
      </c>
      <c r="E3841" s="17"/>
      <c r="M3841" s="17"/>
      <c r="P3841" s="17"/>
    </row>
    <row r="3842">
      <c r="B3842" s="11">
        <f>IFERROR(__xludf.DUMMYFUNCTION("""COMPUTED_VALUE"""),40450.666666666664)</f>
        <v>40450.66667</v>
      </c>
      <c r="C3842" s="9">
        <f>IFERROR(__xludf.DUMMYFUNCTION("""COMPUTED_VALUE"""),26.24)</f>
        <v>26.24</v>
      </c>
      <c r="E3842" s="17"/>
      <c r="M3842" s="17"/>
      <c r="P3842" s="17"/>
    </row>
    <row r="3843">
      <c r="B3843" s="11">
        <f>IFERROR(__xludf.DUMMYFUNCTION("""COMPUTED_VALUE"""),40449.666666666664)</f>
        <v>40449.66667</v>
      </c>
      <c r="C3843" s="9">
        <f>IFERROR(__xludf.DUMMYFUNCTION("""COMPUTED_VALUE"""),26.08)</f>
        <v>26.08</v>
      </c>
      <c r="E3843" s="17"/>
      <c r="M3843" s="17"/>
      <c r="P3843" s="17"/>
    </row>
    <row r="3844">
      <c r="B3844" s="11">
        <f>IFERROR(__xludf.DUMMYFUNCTION("""COMPUTED_VALUE"""),40448.666666666664)</f>
        <v>40448.66667</v>
      </c>
      <c r="C3844" s="9">
        <f>IFERROR(__xludf.DUMMYFUNCTION("""COMPUTED_VALUE"""),25.46)</f>
        <v>25.46</v>
      </c>
      <c r="E3844" s="17"/>
      <c r="M3844" s="17"/>
      <c r="P3844" s="17"/>
    </row>
    <row r="3845">
      <c r="B3845" s="11">
        <f>IFERROR(__xludf.DUMMYFUNCTION("""COMPUTED_VALUE"""),40445.666666666664)</f>
        <v>40445.66667</v>
      </c>
      <c r="C3845" s="9">
        <f>IFERROR(__xludf.DUMMYFUNCTION("""COMPUTED_VALUE"""),25.86)</f>
        <v>25.86</v>
      </c>
      <c r="E3845" s="17"/>
      <c r="M3845" s="17"/>
      <c r="P3845" s="17"/>
    </row>
    <row r="3846">
      <c r="B3846" s="11">
        <f>IFERROR(__xludf.DUMMYFUNCTION("""COMPUTED_VALUE"""),40444.666666666664)</f>
        <v>40444.66667</v>
      </c>
      <c r="C3846" s="9">
        <f>IFERROR(__xludf.DUMMYFUNCTION("""COMPUTED_VALUE"""),25.0)</f>
        <v>25</v>
      </c>
      <c r="E3846" s="17"/>
      <c r="M3846" s="17"/>
      <c r="P3846" s="17"/>
    </row>
    <row r="3847">
      <c r="B3847" s="11">
        <f>IFERROR(__xludf.DUMMYFUNCTION("""COMPUTED_VALUE"""),40443.666666666664)</f>
        <v>40443.66667</v>
      </c>
      <c r="C3847" s="9">
        <f>IFERROR(__xludf.DUMMYFUNCTION("""COMPUTED_VALUE"""),25.46)</f>
        <v>25.46</v>
      </c>
      <c r="E3847" s="17"/>
      <c r="M3847" s="17"/>
      <c r="P3847" s="17"/>
    </row>
    <row r="3848">
      <c r="B3848" s="11">
        <f>IFERROR(__xludf.DUMMYFUNCTION("""COMPUTED_VALUE"""),40442.666666666664)</f>
        <v>40442.66667</v>
      </c>
      <c r="C3848" s="9">
        <f>IFERROR(__xludf.DUMMYFUNCTION("""COMPUTED_VALUE"""),25.77)</f>
        <v>25.77</v>
      </c>
      <c r="E3848" s="17"/>
      <c r="M3848" s="17"/>
      <c r="P3848" s="17"/>
    </row>
    <row r="3849">
      <c r="B3849" s="11">
        <f>IFERROR(__xludf.DUMMYFUNCTION("""COMPUTED_VALUE"""),40441.666666666664)</f>
        <v>40441.66667</v>
      </c>
      <c r="C3849" s="9">
        <f>IFERROR(__xludf.DUMMYFUNCTION("""COMPUTED_VALUE"""),26.52)</f>
        <v>26.52</v>
      </c>
      <c r="E3849" s="17"/>
      <c r="M3849" s="17"/>
      <c r="P3849" s="17"/>
    </row>
    <row r="3850">
      <c r="B3850" s="11">
        <f>IFERROR(__xludf.DUMMYFUNCTION("""COMPUTED_VALUE"""),40438.666666666664)</f>
        <v>40438.66667</v>
      </c>
      <c r="C3850" s="9">
        <f>IFERROR(__xludf.DUMMYFUNCTION("""COMPUTED_VALUE"""),25.7)</f>
        <v>25.7</v>
      </c>
      <c r="E3850" s="17"/>
      <c r="M3850" s="17"/>
      <c r="P3850" s="17"/>
    </row>
    <row r="3851">
      <c r="B3851" s="11">
        <f>IFERROR(__xludf.DUMMYFUNCTION("""COMPUTED_VALUE"""),40437.666666666664)</f>
        <v>40437.66667</v>
      </c>
      <c r="C3851" s="9">
        <f>IFERROR(__xludf.DUMMYFUNCTION("""COMPUTED_VALUE"""),26.11)</f>
        <v>26.11</v>
      </c>
      <c r="E3851" s="17"/>
      <c r="M3851" s="17"/>
      <c r="P3851" s="17"/>
    </row>
    <row r="3852">
      <c r="B3852" s="11">
        <f>IFERROR(__xludf.DUMMYFUNCTION("""COMPUTED_VALUE"""),40436.666666666664)</f>
        <v>40436.66667</v>
      </c>
      <c r="C3852" s="9">
        <f>IFERROR(__xludf.DUMMYFUNCTION("""COMPUTED_VALUE"""),26.32)</f>
        <v>26.32</v>
      </c>
      <c r="E3852" s="17"/>
      <c r="M3852" s="17"/>
      <c r="P3852" s="17"/>
    </row>
    <row r="3853">
      <c r="B3853" s="11">
        <f>IFERROR(__xludf.DUMMYFUNCTION("""COMPUTED_VALUE"""),40435.666666666664)</f>
        <v>40435.66667</v>
      </c>
      <c r="C3853" s="9">
        <f>IFERROR(__xludf.DUMMYFUNCTION("""COMPUTED_VALUE"""),26.02)</f>
        <v>26.02</v>
      </c>
      <c r="E3853" s="17"/>
      <c r="M3853" s="17"/>
      <c r="P3853" s="17"/>
    </row>
    <row r="3854">
      <c r="B3854" s="11">
        <f>IFERROR(__xludf.DUMMYFUNCTION("""COMPUTED_VALUE"""),40434.666666666664)</f>
        <v>40434.66667</v>
      </c>
      <c r="C3854" s="9">
        <f>IFERROR(__xludf.DUMMYFUNCTION("""COMPUTED_VALUE"""),25.96)</f>
        <v>25.96</v>
      </c>
      <c r="E3854" s="17"/>
      <c r="M3854" s="17"/>
      <c r="P3854" s="17"/>
    </row>
    <row r="3855">
      <c r="B3855" s="11">
        <f>IFERROR(__xludf.DUMMYFUNCTION("""COMPUTED_VALUE"""),40431.666666666664)</f>
        <v>40431.66667</v>
      </c>
      <c r="C3855" s="9">
        <f>IFERROR(__xludf.DUMMYFUNCTION("""COMPUTED_VALUE"""),25.4)</f>
        <v>25.4</v>
      </c>
      <c r="E3855" s="17"/>
      <c r="M3855" s="17"/>
      <c r="P3855" s="17"/>
    </row>
    <row r="3856">
      <c r="B3856" s="11">
        <f>IFERROR(__xludf.DUMMYFUNCTION("""COMPUTED_VALUE"""),40430.666666666664)</f>
        <v>40430.66667</v>
      </c>
      <c r="C3856" s="9">
        <f>IFERROR(__xludf.DUMMYFUNCTION("""COMPUTED_VALUE"""),25.05)</f>
        <v>25.05</v>
      </c>
      <c r="E3856" s="17"/>
      <c r="M3856" s="17"/>
      <c r="P3856" s="17"/>
    </row>
    <row r="3857">
      <c r="B3857" s="11">
        <f>IFERROR(__xludf.DUMMYFUNCTION("""COMPUTED_VALUE"""),40429.666666666664)</f>
        <v>40429.66667</v>
      </c>
      <c r="C3857" s="9">
        <f>IFERROR(__xludf.DUMMYFUNCTION("""COMPUTED_VALUE"""),25.26)</f>
        <v>25.26</v>
      </c>
      <c r="E3857" s="17"/>
      <c r="M3857" s="17"/>
      <c r="P3857" s="17"/>
    </row>
    <row r="3858">
      <c r="B3858" s="11">
        <f>IFERROR(__xludf.DUMMYFUNCTION("""COMPUTED_VALUE"""),40428.666666666664)</f>
        <v>40428.66667</v>
      </c>
      <c r="C3858" s="9">
        <f>IFERROR(__xludf.DUMMYFUNCTION("""COMPUTED_VALUE"""),25.06)</f>
        <v>25.06</v>
      </c>
      <c r="E3858" s="17"/>
      <c r="M3858" s="17"/>
      <c r="P3858" s="17"/>
    </row>
    <row r="3859">
      <c r="B3859" s="11">
        <f>IFERROR(__xludf.DUMMYFUNCTION("""COMPUTED_VALUE"""),40424.666666666664)</f>
        <v>40424.66667</v>
      </c>
      <c r="C3859" s="9">
        <f>IFERROR(__xludf.DUMMYFUNCTION("""COMPUTED_VALUE"""),25.76)</f>
        <v>25.76</v>
      </c>
      <c r="E3859" s="17"/>
      <c r="M3859" s="17"/>
      <c r="P3859" s="17"/>
    </row>
    <row r="3860">
      <c r="B3860" s="11">
        <f>IFERROR(__xludf.DUMMYFUNCTION("""COMPUTED_VALUE"""),40423.666666666664)</f>
        <v>40423.66667</v>
      </c>
      <c r="C3860" s="9">
        <f>IFERROR(__xludf.DUMMYFUNCTION("""COMPUTED_VALUE"""),25.15)</f>
        <v>25.15</v>
      </c>
      <c r="E3860" s="17"/>
      <c r="M3860" s="17"/>
      <c r="P3860" s="17"/>
    </row>
    <row r="3861">
      <c r="B3861" s="11">
        <f>IFERROR(__xludf.DUMMYFUNCTION("""COMPUTED_VALUE"""),40422.666666666664)</f>
        <v>40422.66667</v>
      </c>
      <c r="C3861" s="9">
        <f>IFERROR(__xludf.DUMMYFUNCTION("""COMPUTED_VALUE"""),24.5)</f>
        <v>24.5</v>
      </c>
      <c r="E3861" s="17"/>
      <c r="M3861" s="17"/>
      <c r="P3861" s="17"/>
    </row>
    <row r="3862">
      <c r="B3862" s="11">
        <f>IFERROR(__xludf.DUMMYFUNCTION("""COMPUTED_VALUE"""),40421.666666666664)</f>
        <v>40421.66667</v>
      </c>
      <c r="C3862" s="9">
        <f>IFERROR(__xludf.DUMMYFUNCTION("""COMPUTED_VALUE"""),23.79)</f>
        <v>23.79</v>
      </c>
      <c r="E3862" s="17"/>
      <c r="M3862" s="17"/>
      <c r="P3862" s="17"/>
    </row>
    <row r="3863">
      <c r="B3863" s="11">
        <f>IFERROR(__xludf.DUMMYFUNCTION("""COMPUTED_VALUE"""),40420.666666666664)</f>
        <v>40420.66667</v>
      </c>
      <c r="C3863" s="9">
        <f>IFERROR(__xludf.DUMMYFUNCTION("""COMPUTED_VALUE"""),23.63)</f>
        <v>23.63</v>
      </c>
      <c r="E3863" s="17"/>
      <c r="M3863" s="17"/>
      <c r="P3863" s="17"/>
    </row>
    <row r="3864">
      <c r="B3864" s="11">
        <f>IFERROR(__xludf.DUMMYFUNCTION("""COMPUTED_VALUE"""),40417.666666666664)</f>
        <v>40417.66667</v>
      </c>
      <c r="C3864" s="9">
        <f>IFERROR(__xludf.DUMMYFUNCTION("""COMPUTED_VALUE"""),23.88)</f>
        <v>23.88</v>
      </c>
      <c r="E3864" s="17"/>
      <c r="M3864" s="17"/>
      <c r="P3864" s="17"/>
    </row>
    <row r="3865">
      <c r="B3865" s="11">
        <f>IFERROR(__xludf.DUMMYFUNCTION("""COMPUTED_VALUE"""),40416.666666666664)</f>
        <v>40416.66667</v>
      </c>
      <c r="C3865" s="9">
        <f>IFERROR(__xludf.DUMMYFUNCTION("""COMPUTED_VALUE"""),23.51)</f>
        <v>23.51</v>
      </c>
      <c r="E3865" s="17"/>
      <c r="M3865" s="17"/>
      <c r="P3865" s="17"/>
    </row>
    <row r="3866">
      <c r="B3866" s="11">
        <f>IFERROR(__xludf.DUMMYFUNCTION("""COMPUTED_VALUE"""),40415.666666666664)</f>
        <v>40415.66667</v>
      </c>
      <c r="C3866" s="9">
        <f>IFERROR(__xludf.DUMMYFUNCTION("""COMPUTED_VALUE"""),24.02)</f>
        <v>24.02</v>
      </c>
      <c r="E3866" s="17"/>
      <c r="M3866" s="17"/>
      <c r="P3866" s="17"/>
    </row>
    <row r="3867">
      <c r="B3867" s="11">
        <f>IFERROR(__xludf.DUMMYFUNCTION("""COMPUTED_VALUE"""),40414.666666666664)</f>
        <v>40414.66667</v>
      </c>
      <c r="C3867" s="9">
        <f>IFERROR(__xludf.DUMMYFUNCTION("""COMPUTED_VALUE"""),23.37)</f>
        <v>23.37</v>
      </c>
      <c r="E3867" s="17"/>
      <c r="M3867" s="17"/>
      <c r="P3867" s="17"/>
    </row>
    <row r="3868">
      <c r="B3868" s="11">
        <f>IFERROR(__xludf.DUMMYFUNCTION("""COMPUTED_VALUE"""),40413.666666666664)</f>
        <v>40413.66667</v>
      </c>
      <c r="C3868" s="9">
        <f>IFERROR(__xludf.DUMMYFUNCTION("""COMPUTED_VALUE"""),23.53)</f>
        <v>23.53</v>
      </c>
      <c r="E3868" s="17"/>
      <c r="M3868" s="17"/>
      <c r="P3868" s="17"/>
    </row>
    <row r="3869">
      <c r="B3869" s="11">
        <f>IFERROR(__xludf.DUMMYFUNCTION("""COMPUTED_VALUE"""),40410.666666666664)</f>
        <v>40410.66667</v>
      </c>
      <c r="C3869" s="9">
        <f>IFERROR(__xludf.DUMMYFUNCTION("""COMPUTED_VALUE"""),23.92)</f>
        <v>23.92</v>
      </c>
      <c r="E3869" s="17"/>
      <c r="M3869" s="17"/>
      <c r="P3869" s="17"/>
    </row>
    <row r="3870">
      <c r="B3870" s="11">
        <f>IFERROR(__xludf.DUMMYFUNCTION("""COMPUTED_VALUE"""),40409.666666666664)</f>
        <v>40409.66667</v>
      </c>
      <c r="C3870" s="9">
        <f>IFERROR(__xludf.DUMMYFUNCTION("""COMPUTED_VALUE"""),23.84)</f>
        <v>23.84</v>
      </c>
      <c r="E3870" s="17"/>
      <c r="M3870" s="17"/>
      <c r="P3870" s="17"/>
    </row>
    <row r="3871">
      <c r="B3871" s="11">
        <f>IFERROR(__xludf.DUMMYFUNCTION("""COMPUTED_VALUE"""),40408.666666666664)</f>
        <v>40408.66667</v>
      </c>
      <c r="C3871" s="9">
        <f>IFERROR(__xludf.DUMMYFUNCTION("""COMPUTED_VALUE"""),24.77)</f>
        <v>24.77</v>
      </c>
      <c r="E3871" s="17"/>
      <c r="M3871" s="17"/>
      <c r="P3871" s="17"/>
    </row>
    <row r="3872">
      <c r="B3872" s="11">
        <f>IFERROR(__xludf.DUMMYFUNCTION("""COMPUTED_VALUE"""),40407.666666666664)</f>
        <v>40407.66667</v>
      </c>
      <c r="C3872" s="9">
        <f>IFERROR(__xludf.DUMMYFUNCTION("""COMPUTED_VALUE"""),24.69)</f>
        <v>24.69</v>
      </c>
      <c r="E3872" s="17"/>
      <c r="M3872" s="17"/>
      <c r="P3872" s="17"/>
    </row>
    <row r="3873">
      <c r="B3873" s="11">
        <f>IFERROR(__xludf.DUMMYFUNCTION("""COMPUTED_VALUE"""),40406.666666666664)</f>
        <v>40406.66667</v>
      </c>
      <c r="C3873" s="9">
        <f>IFERROR(__xludf.DUMMYFUNCTION("""COMPUTED_VALUE"""),24.22)</f>
        <v>24.22</v>
      </c>
      <c r="E3873" s="17"/>
      <c r="M3873" s="17"/>
      <c r="P3873" s="17"/>
    </row>
    <row r="3874">
      <c r="B3874" s="11">
        <f>IFERROR(__xludf.DUMMYFUNCTION("""COMPUTED_VALUE"""),40403.666666666664)</f>
        <v>40403.66667</v>
      </c>
      <c r="C3874" s="9">
        <f>IFERROR(__xludf.DUMMYFUNCTION("""COMPUTED_VALUE"""),24.19)</f>
        <v>24.19</v>
      </c>
      <c r="E3874" s="17"/>
      <c r="M3874" s="17"/>
      <c r="P3874" s="17"/>
    </row>
    <row r="3875">
      <c r="B3875" s="11">
        <f>IFERROR(__xludf.DUMMYFUNCTION("""COMPUTED_VALUE"""),40402.666666666664)</f>
        <v>40402.66667</v>
      </c>
      <c r="C3875" s="9">
        <f>IFERROR(__xludf.DUMMYFUNCTION("""COMPUTED_VALUE"""),23.95)</f>
        <v>23.95</v>
      </c>
      <c r="E3875" s="17"/>
      <c r="M3875" s="17"/>
      <c r="P3875" s="17"/>
    </row>
    <row r="3876">
      <c r="B3876" s="11">
        <f>IFERROR(__xludf.DUMMYFUNCTION("""COMPUTED_VALUE"""),40401.666666666664)</f>
        <v>40401.66667</v>
      </c>
      <c r="C3876" s="9">
        <f>IFERROR(__xludf.DUMMYFUNCTION("""COMPUTED_VALUE"""),24.47)</f>
        <v>24.47</v>
      </c>
      <c r="E3876" s="17"/>
      <c r="M3876" s="17"/>
      <c r="P3876" s="17"/>
    </row>
    <row r="3877">
      <c r="B3877" s="11">
        <f>IFERROR(__xludf.DUMMYFUNCTION("""COMPUTED_VALUE"""),40400.666666666664)</f>
        <v>40400.66667</v>
      </c>
      <c r="C3877" s="9">
        <f>IFERROR(__xludf.DUMMYFUNCTION("""COMPUTED_VALUE"""),25.6)</f>
        <v>25.6</v>
      </c>
      <c r="E3877" s="17"/>
      <c r="M3877" s="17"/>
      <c r="P3877" s="17"/>
    </row>
    <row r="3878">
      <c r="B3878" s="11">
        <f>IFERROR(__xludf.DUMMYFUNCTION("""COMPUTED_VALUE"""),40399.666666666664)</f>
        <v>40399.66667</v>
      </c>
      <c r="C3878" s="9">
        <f>IFERROR(__xludf.DUMMYFUNCTION("""COMPUTED_VALUE"""),26.12)</f>
        <v>26.12</v>
      </c>
      <c r="E3878" s="17"/>
      <c r="M3878" s="17"/>
      <c r="P3878" s="17"/>
    </row>
    <row r="3879">
      <c r="B3879" s="11">
        <f>IFERROR(__xludf.DUMMYFUNCTION("""COMPUTED_VALUE"""),40396.666666666664)</f>
        <v>40396.66667</v>
      </c>
      <c r="C3879" s="9">
        <f>IFERROR(__xludf.DUMMYFUNCTION("""COMPUTED_VALUE"""),25.63)</f>
        <v>25.63</v>
      </c>
      <c r="E3879" s="17"/>
      <c r="M3879" s="17"/>
      <c r="P3879" s="17"/>
    </row>
    <row r="3880">
      <c r="B3880" s="11">
        <f>IFERROR(__xludf.DUMMYFUNCTION("""COMPUTED_VALUE"""),40395.666666666664)</f>
        <v>40395.66667</v>
      </c>
      <c r="C3880" s="9">
        <f>IFERROR(__xludf.DUMMYFUNCTION("""COMPUTED_VALUE"""),25.82)</f>
        <v>25.82</v>
      </c>
      <c r="E3880" s="17"/>
      <c r="M3880" s="17"/>
      <c r="P3880" s="17"/>
    </row>
    <row r="3881">
      <c r="B3881" s="11">
        <f>IFERROR(__xludf.DUMMYFUNCTION("""COMPUTED_VALUE"""),40394.666666666664)</f>
        <v>40394.66667</v>
      </c>
      <c r="C3881" s="9">
        <f>IFERROR(__xludf.DUMMYFUNCTION("""COMPUTED_VALUE"""),25.96)</f>
        <v>25.96</v>
      </c>
      <c r="E3881" s="17"/>
      <c r="M3881" s="17"/>
      <c r="P3881" s="17"/>
    </row>
    <row r="3882">
      <c r="B3882" s="11">
        <f>IFERROR(__xludf.DUMMYFUNCTION("""COMPUTED_VALUE"""),40393.666666666664)</f>
        <v>40393.66667</v>
      </c>
      <c r="C3882" s="9">
        <f>IFERROR(__xludf.DUMMYFUNCTION("""COMPUTED_VALUE"""),25.72)</f>
        <v>25.72</v>
      </c>
      <c r="E3882" s="17"/>
      <c r="M3882" s="17"/>
      <c r="P3882" s="17"/>
    </row>
    <row r="3883">
      <c r="B3883" s="11">
        <f>IFERROR(__xludf.DUMMYFUNCTION("""COMPUTED_VALUE"""),40392.666666666664)</f>
        <v>40392.66667</v>
      </c>
      <c r="C3883" s="9">
        <f>IFERROR(__xludf.DUMMYFUNCTION("""COMPUTED_VALUE"""),26.06)</f>
        <v>26.06</v>
      </c>
      <c r="E3883" s="17"/>
      <c r="M3883" s="17"/>
      <c r="P3883" s="17"/>
    </row>
    <row r="3884">
      <c r="B3884" s="11">
        <f>IFERROR(__xludf.DUMMYFUNCTION("""COMPUTED_VALUE"""),40389.666666666664)</f>
        <v>40389.66667</v>
      </c>
      <c r="C3884" s="9">
        <f>IFERROR(__xludf.DUMMYFUNCTION("""COMPUTED_VALUE"""),24.96)</f>
        <v>24.96</v>
      </c>
      <c r="E3884" s="17"/>
      <c r="M3884" s="17"/>
      <c r="P3884" s="17"/>
    </row>
    <row r="3885">
      <c r="B3885" s="11">
        <f>IFERROR(__xludf.DUMMYFUNCTION("""COMPUTED_VALUE"""),40388.666666666664)</f>
        <v>40388.66667</v>
      </c>
      <c r="C3885" s="9">
        <f>IFERROR(__xludf.DUMMYFUNCTION("""COMPUTED_VALUE"""),24.22)</f>
        <v>24.22</v>
      </c>
      <c r="E3885" s="17"/>
      <c r="M3885" s="17"/>
      <c r="P3885" s="17"/>
    </row>
    <row r="3886">
      <c r="B3886" s="11">
        <f>IFERROR(__xludf.DUMMYFUNCTION("""COMPUTED_VALUE"""),40387.666666666664)</f>
        <v>40387.66667</v>
      </c>
      <c r="C3886" s="9">
        <f>IFERROR(__xludf.DUMMYFUNCTION("""COMPUTED_VALUE"""),24.58)</f>
        <v>24.58</v>
      </c>
      <c r="E3886" s="17"/>
      <c r="M3886" s="17"/>
      <c r="P3886" s="17"/>
    </row>
    <row r="3887">
      <c r="B3887" s="11">
        <f>IFERROR(__xludf.DUMMYFUNCTION("""COMPUTED_VALUE"""),40386.666666666664)</f>
        <v>40386.66667</v>
      </c>
      <c r="C3887" s="9">
        <f>IFERROR(__xludf.DUMMYFUNCTION("""COMPUTED_VALUE"""),24.69)</f>
        <v>24.69</v>
      </c>
      <c r="E3887" s="17"/>
      <c r="M3887" s="17"/>
      <c r="P3887" s="17"/>
    </row>
    <row r="3888">
      <c r="B3888" s="11">
        <f>IFERROR(__xludf.DUMMYFUNCTION("""COMPUTED_VALUE"""),40385.666666666664)</f>
        <v>40385.66667</v>
      </c>
      <c r="C3888" s="9">
        <f>IFERROR(__xludf.DUMMYFUNCTION("""COMPUTED_VALUE"""),24.52)</f>
        <v>24.52</v>
      </c>
      <c r="E3888" s="17"/>
      <c r="M3888" s="17"/>
      <c r="P3888" s="17"/>
    </row>
    <row r="3889">
      <c r="B3889" s="11">
        <f>IFERROR(__xludf.DUMMYFUNCTION("""COMPUTED_VALUE"""),40382.666666666664)</f>
        <v>40382.66667</v>
      </c>
      <c r="C3889" s="9">
        <f>IFERROR(__xludf.DUMMYFUNCTION("""COMPUTED_VALUE"""),23.4)</f>
        <v>23.4</v>
      </c>
      <c r="E3889" s="17"/>
      <c r="M3889" s="17"/>
      <c r="P3889" s="17"/>
    </row>
    <row r="3890">
      <c r="B3890" s="11">
        <f>IFERROR(__xludf.DUMMYFUNCTION("""COMPUTED_VALUE"""),40381.666666666664)</f>
        <v>40381.66667</v>
      </c>
      <c r="C3890" s="9">
        <f>IFERROR(__xludf.DUMMYFUNCTION("""COMPUTED_VALUE"""),22.95)</f>
        <v>22.95</v>
      </c>
      <c r="E3890" s="17"/>
      <c r="M3890" s="17"/>
      <c r="P3890" s="17"/>
    </row>
    <row r="3891">
      <c r="B3891" s="11">
        <f>IFERROR(__xludf.DUMMYFUNCTION("""COMPUTED_VALUE"""),40380.666666666664)</f>
        <v>40380.66667</v>
      </c>
      <c r="C3891" s="9">
        <f>IFERROR(__xludf.DUMMYFUNCTION("""COMPUTED_VALUE"""),22.5)</f>
        <v>22.5</v>
      </c>
      <c r="E3891" s="17"/>
      <c r="M3891" s="17"/>
      <c r="P3891" s="17"/>
    </row>
    <row r="3892">
      <c r="B3892" s="11">
        <f>IFERROR(__xludf.DUMMYFUNCTION("""COMPUTED_VALUE"""),40379.666666666664)</f>
        <v>40379.66667</v>
      </c>
      <c r="C3892" s="9">
        <f>IFERROR(__xludf.DUMMYFUNCTION("""COMPUTED_VALUE"""),24.04)</f>
        <v>24.04</v>
      </c>
      <c r="E3892" s="17"/>
      <c r="M3892" s="17"/>
      <c r="P3892" s="17"/>
    </row>
    <row r="3893">
      <c r="B3893" s="11">
        <f>IFERROR(__xludf.DUMMYFUNCTION("""COMPUTED_VALUE"""),40378.666666666664)</f>
        <v>40378.66667</v>
      </c>
      <c r="C3893" s="9">
        <f>IFERROR(__xludf.DUMMYFUNCTION("""COMPUTED_VALUE"""),23.8)</f>
        <v>23.8</v>
      </c>
      <c r="E3893" s="17"/>
      <c r="M3893" s="17"/>
      <c r="P3893" s="17"/>
    </row>
    <row r="3894">
      <c r="B3894" s="11">
        <f>IFERROR(__xludf.DUMMYFUNCTION("""COMPUTED_VALUE"""),40375.666666666664)</f>
        <v>40375.66667</v>
      </c>
      <c r="C3894" s="9">
        <f>IFERROR(__xludf.DUMMYFUNCTION("""COMPUTED_VALUE"""),23.0)</f>
        <v>23</v>
      </c>
      <c r="E3894" s="17"/>
      <c r="M3894" s="17"/>
      <c r="P3894" s="17"/>
    </row>
    <row r="3895">
      <c r="B3895" s="11">
        <f>IFERROR(__xludf.DUMMYFUNCTION("""COMPUTED_VALUE"""),40374.666666666664)</f>
        <v>40374.66667</v>
      </c>
      <c r="C3895" s="9">
        <f>IFERROR(__xludf.DUMMYFUNCTION("""COMPUTED_VALUE"""),24.36)</f>
        <v>24.36</v>
      </c>
      <c r="E3895" s="17"/>
      <c r="M3895" s="17"/>
      <c r="P3895" s="17"/>
    </row>
    <row r="3896">
      <c r="B3896" s="11">
        <f>IFERROR(__xludf.DUMMYFUNCTION("""COMPUTED_VALUE"""),40373.666666666664)</f>
        <v>40373.66667</v>
      </c>
      <c r="C3896" s="9">
        <f>IFERROR(__xludf.DUMMYFUNCTION("""COMPUTED_VALUE"""),24.87)</f>
        <v>24.87</v>
      </c>
      <c r="E3896" s="17"/>
      <c r="M3896" s="17"/>
      <c r="P3896" s="17"/>
    </row>
    <row r="3897">
      <c r="B3897" s="11">
        <f>IFERROR(__xludf.DUMMYFUNCTION("""COMPUTED_VALUE"""),40372.666666666664)</f>
        <v>40372.66667</v>
      </c>
      <c r="C3897" s="9">
        <f>IFERROR(__xludf.DUMMYFUNCTION("""COMPUTED_VALUE"""),25.3)</f>
        <v>25.3</v>
      </c>
      <c r="E3897" s="17"/>
      <c r="M3897" s="17"/>
      <c r="P3897" s="17"/>
    </row>
    <row r="3898">
      <c r="B3898" s="11">
        <f>IFERROR(__xludf.DUMMYFUNCTION("""COMPUTED_VALUE"""),40371.666666666664)</f>
        <v>40371.66667</v>
      </c>
      <c r="C3898" s="9">
        <f>IFERROR(__xludf.DUMMYFUNCTION("""COMPUTED_VALUE"""),24.69)</f>
        <v>24.69</v>
      </c>
      <c r="E3898" s="17"/>
      <c r="M3898" s="17"/>
      <c r="P3898" s="17"/>
    </row>
    <row r="3899">
      <c r="B3899" s="11">
        <f>IFERROR(__xludf.DUMMYFUNCTION("""COMPUTED_VALUE"""),40368.666666666664)</f>
        <v>40368.66667</v>
      </c>
      <c r="C3899" s="9">
        <f>IFERROR(__xludf.DUMMYFUNCTION("""COMPUTED_VALUE"""),24.56)</f>
        <v>24.56</v>
      </c>
      <c r="E3899" s="17"/>
      <c r="M3899" s="17"/>
      <c r="P3899" s="17"/>
    </row>
    <row r="3900">
      <c r="B3900" s="11">
        <f>IFERROR(__xludf.DUMMYFUNCTION("""COMPUTED_VALUE"""),40367.666666666664)</f>
        <v>40367.66667</v>
      </c>
      <c r="C3900" s="9">
        <f>IFERROR(__xludf.DUMMYFUNCTION("""COMPUTED_VALUE"""),24.37)</f>
        <v>24.37</v>
      </c>
      <c r="E3900" s="17"/>
      <c r="M3900" s="17"/>
      <c r="P3900" s="17"/>
    </row>
    <row r="3901">
      <c r="B3901" s="11">
        <f>IFERROR(__xludf.DUMMYFUNCTION("""COMPUTED_VALUE"""),40366.666666666664)</f>
        <v>40366.66667</v>
      </c>
      <c r="C3901" s="9">
        <f>IFERROR(__xludf.DUMMYFUNCTION("""COMPUTED_VALUE"""),23.72)</f>
        <v>23.72</v>
      </c>
      <c r="E3901" s="17"/>
      <c r="M3901" s="17"/>
      <c r="P3901" s="17"/>
    </row>
    <row r="3902">
      <c r="B3902" s="11">
        <f>IFERROR(__xludf.DUMMYFUNCTION("""COMPUTED_VALUE"""),40365.666666666664)</f>
        <v>40365.66667</v>
      </c>
      <c r="C3902" s="9">
        <f>IFERROR(__xludf.DUMMYFUNCTION("""COMPUTED_VALUE"""),22.24)</f>
        <v>22.24</v>
      </c>
      <c r="E3902" s="17"/>
      <c r="M3902" s="17"/>
      <c r="P3902" s="17"/>
    </row>
    <row r="3903">
      <c r="B3903" s="11">
        <f>IFERROR(__xludf.DUMMYFUNCTION("""COMPUTED_VALUE"""),40361.666666666664)</f>
        <v>40361.66667</v>
      </c>
      <c r="C3903" s="9">
        <f>IFERROR(__xludf.DUMMYFUNCTION("""COMPUTED_VALUE"""),22.75)</f>
        <v>22.75</v>
      </c>
      <c r="E3903" s="17"/>
      <c r="M3903" s="17"/>
      <c r="P3903" s="17"/>
    </row>
    <row r="3904">
      <c r="B3904" s="11">
        <f>IFERROR(__xludf.DUMMYFUNCTION("""COMPUTED_VALUE"""),40360.666666666664)</f>
        <v>40360.66667</v>
      </c>
      <c r="C3904" s="9">
        <f>IFERROR(__xludf.DUMMYFUNCTION("""COMPUTED_VALUE"""),23.41)</f>
        <v>23.41</v>
      </c>
      <c r="E3904" s="17"/>
      <c r="M3904" s="17"/>
      <c r="P3904" s="17"/>
    </row>
    <row r="3905">
      <c r="B3905" s="11">
        <f>IFERROR(__xludf.DUMMYFUNCTION("""COMPUTED_VALUE"""),40359.666666666664)</f>
        <v>40359.66667</v>
      </c>
      <c r="C3905" s="9">
        <f>IFERROR(__xludf.DUMMYFUNCTION("""COMPUTED_VALUE"""),23.71)</f>
        <v>23.71</v>
      </c>
      <c r="E3905" s="17"/>
      <c r="M3905" s="17"/>
      <c r="P3905" s="17"/>
    </row>
    <row r="3906">
      <c r="B3906" s="11">
        <f>IFERROR(__xludf.DUMMYFUNCTION("""COMPUTED_VALUE"""),40358.666666666664)</f>
        <v>40358.66667</v>
      </c>
      <c r="C3906" s="9">
        <f>IFERROR(__xludf.DUMMYFUNCTION("""COMPUTED_VALUE"""),24.2)</f>
        <v>24.2</v>
      </c>
      <c r="E3906" s="17"/>
      <c r="M3906" s="17"/>
      <c r="P3906" s="17"/>
    </row>
    <row r="3907">
      <c r="B3907" s="11">
        <f>IFERROR(__xludf.DUMMYFUNCTION("""COMPUTED_VALUE"""),40357.666666666664)</f>
        <v>40357.66667</v>
      </c>
      <c r="C3907" s="9">
        <f>IFERROR(__xludf.DUMMYFUNCTION("""COMPUTED_VALUE"""),25.08)</f>
        <v>25.08</v>
      </c>
      <c r="E3907" s="17"/>
      <c r="M3907" s="17"/>
      <c r="P3907" s="17"/>
    </row>
    <row r="3908">
      <c r="B3908" s="11">
        <f>IFERROR(__xludf.DUMMYFUNCTION("""COMPUTED_VALUE"""),40354.666666666664)</f>
        <v>40354.66667</v>
      </c>
      <c r="C3908" s="9">
        <f>IFERROR(__xludf.DUMMYFUNCTION("""COMPUTED_VALUE"""),25.43)</f>
        <v>25.43</v>
      </c>
      <c r="E3908" s="17"/>
      <c r="M3908" s="17"/>
      <c r="P3908" s="17"/>
    </row>
    <row r="3909">
      <c r="B3909" s="11">
        <f>IFERROR(__xludf.DUMMYFUNCTION("""COMPUTED_VALUE"""),40353.666666666664)</f>
        <v>40353.66667</v>
      </c>
      <c r="C3909" s="9">
        <f>IFERROR(__xludf.DUMMYFUNCTION("""COMPUTED_VALUE"""),24.74)</f>
        <v>24.74</v>
      </c>
      <c r="E3909" s="17"/>
      <c r="M3909" s="17"/>
      <c r="P3909" s="17"/>
    </row>
    <row r="3910">
      <c r="B3910" s="11">
        <f>IFERROR(__xludf.DUMMYFUNCTION("""COMPUTED_VALUE"""),40352.666666666664)</f>
        <v>40352.66667</v>
      </c>
      <c r="C3910" s="9">
        <f>IFERROR(__xludf.DUMMYFUNCTION("""COMPUTED_VALUE"""),25.4)</f>
        <v>25.4</v>
      </c>
      <c r="E3910" s="17"/>
      <c r="M3910" s="17"/>
      <c r="P3910" s="17"/>
    </row>
    <row r="3911">
      <c r="B3911" s="11">
        <f>IFERROR(__xludf.DUMMYFUNCTION("""COMPUTED_VALUE"""),40351.666666666664)</f>
        <v>40351.66667</v>
      </c>
      <c r="C3911" s="9">
        <f>IFERROR(__xludf.DUMMYFUNCTION("""COMPUTED_VALUE"""),25.3)</f>
        <v>25.3</v>
      </c>
      <c r="E3911" s="17"/>
      <c r="M3911" s="17"/>
      <c r="P3911" s="17"/>
    </row>
    <row r="3912">
      <c r="B3912" s="11">
        <f>IFERROR(__xludf.DUMMYFUNCTION("""COMPUTED_VALUE"""),40350.666666666664)</f>
        <v>40350.66667</v>
      </c>
      <c r="C3912" s="9">
        <f>IFERROR(__xludf.DUMMYFUNCTION("""COMPUTED_VALUE"""),26.53)</f>
        <v>26.53</v>
      </c>
      <c r="E3912" s="17"/>
      <c r="M3912" s="17"/>
      <c r="P3912" s="17"/>
    </row>
    <row r="3913">
      <c r="B3913" s="11">
        <f>IFERROR(__xludf.DUMMYFUNCTION("""COMPUTED_VALUE"""),40347.666666666664)</f>
        <v>40347.66667</v>
      </c>
      <c r="C3913" s="9">
        <f>IFERROR(__xludf.DUMMYFUNCTION("""COMPUTED_VALUE"""),26.7)</f>
        <v>26.7</v>
      </c>
      <c r="E3913" s="17"/>
      <c r="M3913" s="17"/>
      <c r="P3913" s="17"/>
    </row>
    <row r="3914">
      <c r="B3914" s="11">
        <f>IFERROR(__xludf.DUMMYFUNCTION("""COMPUTED_VALUE"""),40346.666666666664)</f>
        <v>40346.66667</v>
      </c>
      <c r="C3914" s="9">
        <f>IFERROR(__xludf.DUMMYFUNCTION("""COMPUTED_VALUE"""),26.94)</f>
        <v>26.94</v>
      </c>
      <c r="E3914" s="17"/>
      <c r="M3914" s="17"/>
      <c r="P3914" s="17"/>
    </row>
    <row r="3915">
      <c r="B3915" s="11">
        <f>IFERROR(__xludf.DUMMYFUNCTION("""COMPUTED_VALUE"""),40345.666666666664)</f>
        <v>40345.66667</v>
      </c>
      <c r="C3915" s="9">
        <f>IFERROR(__xludf.DUMMYFUNCTION("""COMPUTED_VALUE"""),27.11)</f>
        <v>27.11</v>
      </c>
      <c r="E3915" s="17"/>
      <c r="M3915" s="17"/>
      <c r="P3915" s="17"/>
    </row>
    <row r="3916">
      <c r="B3916" s="11">
        <f>IFERROR(__xludf.DUMMYFUNCTION("""COMPUTED_VALUE"""),40344.666666666664)</f>
        <v>40344.66667</v>
      </c>
      <c r="C3916" s="9">
        <f>IFERROR(__xludf.DUMMYFUNCTION("""COMPUTED_VALUE"""),27.69)</f>
        <v>27.69</v>
      </c>
      <c r="E3916" s="17"/>
      <c r="M3916" s="17"/>
      <c r="P3916" s="17"/>
    </row>
    <row r="3917">
      <c r="B3917" s="11">
        <f>IFERROR(__xludf.DUMMYFUNCTION("""COMPUTED_VALUE"""),40343.666666666664)</f>
        <v>40343.66667</v>
      </c>
      <c r="C3917" s="9">
        <f>IFERROR(__xludf.DUMMYFUNCTION("""COMPUTED_VALUE"""),27.11)</f>
        <v>27.11</v>
      </c>
      <c r="E3917" s="17"/>
      <c r="M3917" s="17"/>
      <c r="P3917" s="17"/>
    </row>
    <row r="3918">
      <c r="B3918" s="11">
        <f>IFERROR(__xludf.DUMMYFUNCTION("""COMPUTED_VALUE"""),40340.666666666664)</f>
        <v>40340.66667</v>
      </c>
      <c r="C3918" s="9">
        <f>IFERROR(__xludf.DUMMYFUNCTION("""COMPUTED_VALUE"""),26.82)</f>
        <v>26.82</v>
      </c>
      <c r="E3918" s="17"/>
      <c r="M3918" s="17"/>
      <c r="P3918" s="17"/>
    </row>
    <row r="3919">
      <c r="B3919" s="11">
        <f>IFERROR(__xludf.DUMMYFUNCTION("""COMPUTED_VALUE"""),40339.666666666664)</f>
        <v>40339.66667</v>
      </c>
      <c r="C3919" s="9">
        <f>IFERROR(__xludf.DUMMYFUNCTION("""COMPUTED_VALUE"""),26.45)</f>
        <v>26.45</v>
      </c>
      <c r="E3919" s="17"/>
      <c r="M3919" s="17"/>
      <c r="P3919" s="17"/>
    </row>
    <row r="3920">
      <c r="B3920" s="11">
        <f>IFERROR(__xludf.DUMMYFUNCTION("""COMPUTED_VALUE"""),40338.666666666664)</f>
        <v>40338.66667</v>
      </c>
      <c r="C3920" s="9">
        <f>IFERROR(__xludf.DUMMYFUNCTION("""COMPUTED_VALUE"""),25.17)</f>
        <v>25.17</v>
      </c>
      <c r="E3920" s="17"/>
      <c r="M3920" s="17"/>
      <c r="P3920" s="17"/>
    </row>
    <row r="3921">
      <c r="B3921" s="11">
        <f>IFERROR(__xludf.DUMMYFUNCTION("""COMPUTED_VALUE"""),40337.666666666664)</f>
        <v>40337.66667</v>
      </c>
      <c r="C3921" s="9">
        <f>IFERROR(__xludf.DUMMYFUNCTION("""COMPUTED_VALUE"""),24.72)</f>
        <v>24.72</v>
      </c>
      <c r="E3921" s="17"/>
      <c r="M3921" s="17"/>
      <c r="P3921" s="17"/>
    </row>
    <row r="3922">
      <c r="B3922" s="11">
        <f>IFERROR(__xludf.DUMMYFUNCTION("""COMPUTED_VALUE"""),40336.666666666664)</f>
        <v>40336.66667</v>
      </c>
      <c r="C3922" s="9">
        <f>IFERROR(__xludf.DUMMYFUNCTION("""COMPUTED_VALUE"""),24.06)</f>
        <v>24.06</v>
      </c>
      <c r="E3922" s="17"/>
      <c r="M3922" s="17"/>
      <c r="P3922" s="17"/>
    </row>
    <row r="3923">
      <c r="B3923" s="11">
        <f>IFERROR(__xludf.DUMMYFUNCTION("""COMPUTED_VALUE"""),40333.666666666664)</f>
        <v>40333.66667</v>
      </c>
      <c r="C3923" s="9">
        <f>IFERROR(__xludf.DUMMYFUNCTION("""COMPUTED_VALUE"""),24.15)</f>
        <v>24.15</v>
      </c>
      <c r="E3923" s="17"/>
      <c r="M3923" s="17"/>
      <c r="P3923" s="17"/>
    </row>
    <row r="3924">
      <c r="B3924" s="11">
        <f>IFERROR(__xludf.DUMMYFUNCTION("""COMPUTED_VALUE"""),40332.666666666664)</f>
        <v>40332.66667</v>
      </c>
      <c r="C3924" s="9">
        <f>IFERROR(__xludf.DUMMYFUNCTION("""COMPUTED_VALUE"""),25.58)</f>
        <v>25.58</v>
      </c>
      <c r="E3924" s="17"/>
      <c r="M3924" s="17"/>
      <c r="P3924" s="17"/>
    </row>
    <row r="3925">
      <c r="B3925" s="11">
        <f>IFERROR(__xludf.DUMMYFUNCTION("""COMPUTED_VALUE"""),40331.666666666664)</f>
        <v>40331.66667</v>
      </c>
      <c r="C3925" s="9">
        <f>IFERROR(__xludf.DUMMYFUNCTION("""COMPUTED_VALUE"""),25.65)</f>
        <v>25.65</v>
      </c>
      <c r="E3925" s="17"/>
      <c r="M3925" s="17"/>
      <c r="P3925" s="17"/>
    </row>
    <row r="3926">
      <c r="B3926" s="11">
        <f>IFERROR(__xludf.DUMMYFUNCTION("""COMPUTED_VALUE"""),40330.666666666664)</f>
        <v>40330.66667</v>
      </c>
      <c r="C3926" s="9">
        <f>IFERROR(__xludf.DUMMYFUNCTION("""COMPUTED_VALUE"""),25.11)</f>
        <v>25.11</v>
      </c>
      <c r="E3926" s="17"/>
      <c r="M3926" s="17"/>
      <c r="P3926" s="17"/>
    </row>
    <row r="3927">
      <c r="B3927" s="11">
        <f>IFERROR(__xludf.DUMMYFUNCTION("""COMPUTED_VALUE"""),40326.666666666664)</f>
        <v>40326.66667</v>
      </c>
      <c r="C3927" s="9">
        <f>IFERROR(__xludf.DUMMYFUNCTION("""COMPUTED_VALUE"""),25.93)</f>
        <v>25.93</v>
      </c>
      <c r="E3927" s="17"/>
      <c r="M3927" s="17"/>
      <c r="P3927" s="17"/>
    </row>
    <row r="3928">
      <c r="B3928" s="11">
        <f>IFERROR(__xludf.DUMMYFUNCTION("""COMPUTED_VALUE"""),40325.666666666664)</f>
        <v>40325.66667</v>
      </c>
      <c r="C3928" s="9">
        <f>IFERROR(__xludf.DUMMYFUNCTION("""COMPUTED_VALUE"""),26.14)</f>
        <v>26.14</v>
      </c>
      <c r="E3928" s="17"/>
      <c r="M3928" s="17"/>
      <c r="P3928" s="17"/>
    </row>
    <row r="3929">
      <c r="B3929" s="11">
        <f>IFERROR(__xludf.DUMMYFUNCTION("""COMPUTED_VALUE"""),40324.666666666664)</f>
        <v>40324.66667</v>
      </c>
      <c r="C3929" s="9">
        <f>IFERROR(__xludf.DUMMYFUNCTION("""COMPUTED_VALUE"""),24.66)</f>
        <v>24.66</v>
      </c>
      <c r="E3929" s="17"/>
      <c r="M3929" s="17"/>
      <c r="P3929" s="17"/>
    </row>
    <row r="3930">
      <c r="B3930" s="11">
        <f>IFERROR(__xludf.DUMMYFUNCTION("""COMPUTED_VALUE"""),40323.666666666664)</f>
        <v>40323.66667</v>
      </c>
      <c r="C3930" s="9">
        <f>IFERROR(__xludf.DUMMYFUNCTION("""COMPUTED_VALUE"""),24.49)</f>
        <v>24.49</v>
      </c>
      <c r="E3930" s="17"/>
      <c r="M3930" s="17"/>
      <c r="P3930" s="17"/>
    </row>
    <row r="3931">
      <c r="B3931" s="11">
        <f>IFERROR(__xludf.DUMMYFUNCTION("""COMPUTED_VALUE"""),40322.666666666664)</f>
        <v>40322.66667</v>
      </c>
      <c r="C3931" s="9">
        <f>IFERROR(__xludf.DUMMYFUNCTION("""COMPUTED_VALUE"""),24.53)</f>
        <v>24.53</v>
      </c>
      <c r="E3931" s="17"/>
      <c r="M3931" s="17"/>
      <c r="P3931" s="17"/>
    </row>
    <row r="3932">
      <c r="B3932" s="11">
        <f>IFERROR(__xludf.DUMMYFUNCTION("""COMPUTED_VALUE"""),40319.666666666664)</f>
        <v>40319.66667</v>
      </c>
      <c r="C3932" s="9">
        <f>IFERROR(__xludf.DUMMYFUNCTION("""COMPUTED_VALUE"""),25.57)</f>
        <v>25.57</v>
      </c>
      <c r="E3932" s="17"/>
      <c r="M3932" s="17"/>
      <c r="P3932" s="17"/>
    </row>
    <row r="3933">
      <c r="B3933" s="11">
        <f>IFERROR(__xludf.DUMMYFUNCTION("""COMPUTED_VALUE"""),40318.666666666664)</f>
        <v>40318.66667</v>
      </c>
      <c r="C3933" s="9">
        <f>IFERROR(__xludf.DUMMYFUNCTION("""COMPUTED_VALUE"""),24.86)</f>
        <v>24.86</v>
      </c>
      <c r="E3933" s="17"/>
      <c r="M3933" s="17"/>
      <c r="P3933" s="17"/>
    </row>
    <row r="3934">
      <c r="B3934" s="11">
        <f>IFERROR(__xludf.DUMMYFUNCTION("""COMPUTED_VALUE"""),40317.666666666664)</f>
        <v>40317.66667</v>
      </c>
      <c r="C3934" s="9">
        <f>IFERROR(__xludf.DUMMYFUNCTION("""COMPUTED_VALUE"""),26.22)</f>
        <v>26.22</v>
      </c>
      <c r="E3934" s="17"/>
      <c r="M3934" s="17"/>
      <c r="P3934" s="17"/>
    </row>
    <row r="3935">
      <c r="B3935" s="11">
        <f>IFERROR(__xludf.DUMMYFUNCTION("""COMPUTED_VALUE"""),40316.666666666664)</f>
        <v>40316.66667</v>
      </c>
      <c r="C3935" s="9">
        <f>IFERROR(__xludf.DUMMYFUNCTION("""COMPUTED_VALUE"""),26.2)</f>
        <v>26.2</v>
      </c>
      <c r="E3935" s="17"/>
      <c r="M3935" s="17"/>
      <c r="P3935" s="17"/>
    </row>
    <row r="3936">
      <c r="B3936" s="11">
        <f>IFERROR(__xludf.DUMMYFUNCTION("""COMPUTED_VALUE"""),40315.666666666664)</f>
        <v>40315.66667</v>
      </c>
      <c r="C3936" s="9">
        <f>IFERROR(__xludf.DUMMYFUNCTION("""COMPUTED_VALUE"""),26.54)</f>
        <v>26.54</v>
      </c>
      <c r="E3936" s="17"/>
      <c r="M3936" s="17"/>
      <c r="P3936" s="17"/>
    </row>
    <row r="3937">
      <c r="B3937" s="11">
        <f>IFERROR(__xludf.DUMMYFUNCTION("""COMPUTED_VALUE"""),40312.666666666664)</f>
        <v>40312.66667</v>
      </c>
      <c r="C3937" s="9">
        <f>IFERROR(__xludf.DUMMYFUNCTION("""COMPUTED_VALUE"""),26.61)</f>
        <v>26.61</v>
      </c>
      <c r="E3937" s="17"/>
      <c r="M3937" s="17"/>
      <c r="P3937" s="17"/>
    </row>
    <row r="3938">
      <c r="B3938" s="11">
        <f>IFERROR(__xludf.DUMMYFUNCTION("""COMPUTED_VALUE"""),40311.666666666664)</f>
        <v>40311.66667</v>
      </c>
      <c r="C3938" s="9">
        <f>IFERROR(__xludf.DUMMYFUNCTION("""COMPUTED_VALUE"""),28.31)</f>
        <v>28.31</v>
      </c>
      <c r="E3938" s="17"/>
      <c r="M3938" s="17"/>
      <c r="P3938" s="17"/>
    </row>
    <row r="3939">
      <c r="B3939" s="11">
        <f>IFERROR(__xludf.DUMMYFUNCTION("""COMPUTED_VALUE"""),40310.666666666664)</f>
        <v>40310.66667</v>
      </c>
      <c r="C3939" s="9">
        <f>IFERROR(__xludf.DUMMYFUNCTION("""COMPUTED_VALUE"""),28.88)</f>
        <v>28.88</v>
      </c>
      <c r="E3939" s="17"/>
      <c r="M3939" s="17"/>
      <c r="P3939" s="17"/>
    </row>
    <row r="3940">
      <c r="B3940" s="11">
        <f>IFERROR(__xludf.DUMMYFUNCTION("""COMPUTED_VALUE"""),40309.666666666664)</f>
        <v>40309.66667</v>
      </c>
      <c r="C3940" s="9">
        <f>IFERROR(__xludf.DUMMYFUNCTION("""COMPUTED_VALUE"""),27.63)</f>
        <v>27.63</v>
      </c>
      <c r="E3940" s="17"/>
      <c r="M3940" s="17"/>
      <c r="P3940" s="17"/>
    </row>
    <row r="3941">
      <c r="B3941" s="11">
        <f>IFERROR(__xludf.DUMMYFUNCTION("""COMPUTED_VALUE"""),40308.666666666664)</f>
        <v>40308.66667</v>
      </c>
      <c r="C3941" s="9">
        <f>IFERROR(__xludf.DUMMYFUNCTION("""COMPUTED_VALUE"""),27.57)</f>
        <v>27.57</v>
      </c>
      <c r="E3941" s="17"/>
      <c r="M3941" s="17"/>
      <c r="P3941" s="17"/>
    </row>
    <row r="3942">
      <c r="B3942" s="11">
        <f>IFERROR(__xludf.DUMMYFUNCTION("""COMPUTED_VALUE"""),40305.666666666664)</f>
        <v>40305.66667</v>
      </c>
      <c r="C3942" s="9">
        <f>IFERROR(__xludf.DUMMYFUNCTION("""COMPUTED_VALUE"""),25.47)</f>
        <v>25.47</v>
      </c>
      <c r="E3942" s="17"/>
      <c r="M3942" s="17"/>
      <c r="P3942" s="17"/>
    </row>
    <row r="3943">
      <c r="B3943" s="11">
        <f>IFERROR(__xludf.DUMMYFUNCTION("""COMPUTED_VALUE"""),40304.666666666664)</f>
        <v>40304.66667</v>
      </c>
      <c r="C3943" s="9">
        <f>IFERROR(__xludf.DUMMYFUNCTION("""COMPUTED_VALUE"""),26.58)</f>
        <v>26.58</v>
      </c>
      <c r="E3943" s="17"/>
      <c r="M3943" s="17"/>
      <c r="P3943" s="17"/>
    </row>
    <row r="3944">
      <c r="B3944" s="11">
        <f>IFERROR(__xludf.DUMMYFUNCTION("""COMPUTED_VALUE"""),40303.666666666664)</f>
        <v>40303.66667</v>
      </c>
      <c r="C3944" s="9">
        <f>IFERROR(__xludf.DUMMYFUNCTION("""COMPUTED_VALUE"""),27.94)</f>
        <v>27.94</v>
      </c>
      <c r="E3944" s="17"/>
      <c r="M3944" s="17"/>
      <c r="P3944" s="17"/>
    </row>
    <row r="3945">
      <c r="B3945" s="11">
        <f>IFERROR(__xludf.DUMMYFUNCTION("""COMPUTED_VALUE"""),40302.666666666664)</f>
        <v>40302.66667</v>
      </c>
      <c r="C3945" s="9">
        <f>IFERROR(__xludf.DUMMYFUNCTION("""COMPUTED_VALUE"""),28.03)</f>
        <v>28.03</v>
      </c>
      <c r="E3945" s="17"/>
      <c r="M3945" s="17"/>
      <c r="P3945" s="17"/>
    </row>
    <row r="3946">
      <c r="B3946" s="11">
        <f>IFERROR(__xludf.DUMMYFUNCTION("""COMPUTED_VALUE"""),40301.666666666664)</f>
        <v>40301.66667</v>
      </c>
      <c r="C3946" s="9">
        <f>IFERROR(__xludf.DUMMYFUNCTION("""COMPUTED_VALUE"""),28.88)</f>
        <v>28.88</v>
      </c>
      <c r="E3946" s="17"/>
      <c r="M3946" s="17"/>
      <c r="P3946" s="17"/>
    </row>
    <row r="3947">
      <c r="B3947" s="11">
        <f>IFERROR(__xludf.DUMMYFUNCTION("""COMPUTED_VALUE"""),40298.666666666664)</f>
        <v>40298.66667</v>
      </c>
      <c r="C3947" s="9">
        <f>IFERROR(__xludf.DUMMYFUNCTION("""COMPUTED_VALUE"""),27.86)</f>
        <v>27.86</v>
      </c>
      <c r="E3947" s="17"/>
      <c r="M3947" s="17"/>
      <c r="P3947" s="17"/>
    </row>
    <row r="3948">
      <c r="B3948" s="11">
        <f>IFERROR(__xludf.DUMMYFUNCTION("""COMPUTED_VALUE"""),40297.666666666664)</f>
        <v>40297.66667</v>
      </c>
      <c r="C3948" s="9">
        <f>IFERROR(__xludf.DUMMYFUNCTION("""COMPUTED_VALUE"""),28.89)</f>
        <v>28.89</v>
      </c>
      <c r="E3948" s="17"/>
      <c r="M3948" s="17"/>
      <c r="P3948" s="17"/>
    </row>
    <row r="3949">
      <c r="B3949" s="11">
        <f>IFERROR(__xludf.DUMMYFUNCTION("""COMPUTED_VALUE"""),40296.666666666664)</f>
        <v>40296.66667</v>
      </c>
      <c r="C3949" s="9">
        <f>IFERROR(__xludf.DUMMYFUNCTION("""COMPUTED_VALUE"""),27.85)</f>
        <v>27.85</v>
      </c>
      <c r="E3949" s="17"/>
      <c r="M3949" s="17"/>
      <c r="P3949" s="17"/>
    </row>
    <row r="3950">
      <c r="B3950" s="11">
        <f>IFERROR(__xludf.DUMMYFUNCTION("""COMPUTED_VALUE"""),40295.666666666664)</f>
        <v>40295.66667</v>
      </c>
      <c r="C3950" s="9">
        <f>IFERROR(__xludf.DUMMYFUNCTION("""COMPUTED_VALUE"""),27.54)</f>
        <v>27.54</v>
      </c>
      <c r="E3950" s="17"/>
      <c r="M3950" s="17"/>
      <c r="P3950" s="17"/>
    </row>
    <row r="3951">
      <c r="B3951" s="11">
        <f>IFERROR(__xludf.DUMMYFUNCTION("""COMPUTED_VALUE"""),40294.666666666664)</f>
        <v>40294.66667</v>
      </c>
      <c r="C3951" s="9">
        <f>IFERROR(__xludf.DUMMYFUNCTION("""COMPUTED_VALUE"""),28.36)</f>
        <v>28.36</v>
      </c>
      <c r="E3951" s="17"/>
      <c r="M3951" s="17"/>
      <c r="P3951" s="17"/>
    </row>
    <row r="3952">
      <c r="B3952" s="11">
        <f>IFERROR(__xludf.DUMMYFUNCTION("""COMPUTED_VALUE"""),40291.666666666664)</f>
        <v>40291.66667</v>
      </c>
      <c r="C3952" s="9">
        <f>IFERROR(__xludf.DUMMYFUNCTION("""COMPUTED_VALUE"""),28.31)</f>
        <v>28.31</v>
      </c>
      <c r="E3952" s="17"/>
      <c r="M3952" s="17"/>
      <c r="P3952" s="17"/>
    </row>
    <row r="3953">
      <c r="B3953" s="11">
        <f>IFERROR(__xludf.DUMMYFUNCTION("""COMPUTED_VALUE"""),40290.666666666664)</f>
        <v>40290.66667</v>
      </c>
      <c r="C3953" s="9">
        <f>IFERROR(__xludf.DUMMYFUNCTION("""COMPUTED_VALUE"""),27.88)</f>
        <v>27.88</v>
      </c>
      <c r="E3953" s="17"/>
      <c r="M3953" s="17"/>
      <c r="P3953" s="17"/>
    </row>
    <row r="3954">
      <c r="B3954" s="11">
        <f>IFERROR(__xludf.DUMMYFUNCTION("""COMPUTED_VALUE"""),40289.666666666664)</f>
        <v>40289.66667</v>
      </c>
      <c r="C3954" s="9">
        <f>IFERROR(__xludf.DUMMYFUNCTION("""COMPUTED_VALUE"""),27.7)</f>
        <v>27.7</v>
      </c>
      <c r="E3954" s="17"/>
      <c r="M3954" s="17"/>
      <c r="P3954" s="17"/>
    </row>
    <row r="3955">
      <c r="B3955" s="11">
        <f>IFERROR(__xludf.DUMMYFUNCTION("""COMPUTED_VALUE"""),40288.666666666664)</f>
        <v>40288.66667</v>
      </c>
      <c r="C3955" s="9">
        <f>IFERROR(__xludf.DUMMYFUNCTION("""COMPUTED_VALUE"""),27.73)</f>
        <v>27.73</v>
      </c>
      <c r="E3955" s="17"/>
      <c r="M3955" s="17"/>
      <c r="P3955" s="17"/>
    </row>
    <row r="3956">
      <c r="B3956" s="11">
        <f>IFERROR(__xludf.DUMMYFUNCTION("""COMPUTED_VALUE"""),40287.666666666664)</f>
        <v>40287.66667</v>
      </c>
      <c r="C3956" s="9">
        <f>IFERROR(__xludf.DUMMYFUNCTION("""COMPUTED_VALUE"""),27.17)</f>
        <v>27.17</v>
      </c>
      <c r="E3956" s="17"/>
      <c r="M3956" s="17"/>
      <c r="P3956" s="17"/>
    </row>
    <row r="3957">
      <c r="B3957" s="11">
        <f>IFERROR(__xludf.DUMMYFUNCTION("""COMPUTED_VALUE"""),40284.666666666664)</f>
        <v>40284.66667</v>
      </c>
      <c r="C3957" s="9">
        <f>IFERROR(__xludf.DUMMYFUNCTION("""COMPUTED_VALUE"""),26.86)</f>
        <v>26.86</v>
      </c>
      <c r="E3957" s="17"/>
      <c r="M3957" s="17"/>
      <c r="P3957" s="17"/>
    </row>
    <row r="3958">
      <c r="B3958" s="11">
        <f>IFERROR(__xludf.DUMMYFUNCTION("""COMPUTED_VALUE"""),40283.666666666664)</f>
        <v>40283.66667</v>
      </c>
      <c r="C3958" s="9">
        <f>IFERROR(__xludf.DUMMYFUNCTION("""COMPUTED_VALUE"""),27.42)</f>
        <v>27.42</v>
      </c>
      <c r="E3958" s="17"/>
      <c r="M3958" s="17"/>
      <c r="P3958" s="17"/>
    </row>
    <row r="3959">
      <c r="B3959" s="11">
        <f>IFERROR(__xludf.DUMMYFUNCTION("""COMPUTED_VALUE"""),40282.666666666664)</f>
        <v>40282.66667</v>
      </c>
      <c r="C3959" s="9">
        <f>IFERROR(__xludf.DUMMYFUNCTION("""COMPUTED_VALUE"""),28.36)</f>
        <v>28.36</v>
      </c>
      <c r="E3959" s="17"/>
      <c r="M3959" s="17"/>
      <c r="P3959" s="17"/>
    </row>
    <row r="3960">
      <c r="B3960" s="11">
        <f>IFERROR(__xludf.DUMMYFUNCTION("""COMPUTED_VALUE"""),40281.666666666664)</f>
        <v>40281.66667</v>
      </c>
      <c r="C3960" s="9">
        <f>IFERROR(__xludf.DUMMYFUNCTION("""COMPUTED_VALUE"""),28.28)</f>
        <v>28.28</v>
      </c>
      <c r="E3960" s="17"/>
      <c r="M3960" s="17"/>
      <c r="P3960" s="17"/>
    </row>
    <row r="3961">
      <c r="B3961" s="11">
        <f>IFERROR(__xludf.DUMMYFUNCTION("""COMPUTED_VALUE"""),40280.666666666664)</f>
        <v>40280.66667</v>
      </c>
      <c r="C3961" s="9">
        <f>IFERROR(__xludf.DUMMYFUNCTION("""COMPUTED_VALUE"""),27.78)</f>
        <v>27.78</v>
      </c>
      <c r="E3961" s="17"/>
      <c r="M3961" s="17"/>
      <c r="P3961" s="17"/>
    </row>
    <row r="3962">
      <c r="B3962" s="11">
        <f>IFERROR(__xludf.DUMMYFUNCTION("""COMPUTED_VALUE"""),40277.666666666664)</f>
        <v>40277.66667</v>
      </c>
      <c r="C3962" s="9">
        <f>IFERROR(__xludf.DUMMYFUNCTION("""COMPUTED_VALUE"""),27.9)</f>
        <v>27.9</v>
      </c>
      <c r="E3962" s="17"/>
      <c r="M3962" s="17"/>
      <c r="P3962" s="17"/>
    </row>
    <row r="3963">
      <c r="B3963" s="11">
        <f>IFERROR(__xludf.DUMMYFUNCTION("""COMPUTED_VALUE"""),40276.666666666664)</f>
        <v>40276.66667</v>
      </c>
      <c r="C3963" s="9">
        <f>IFERROR(__xludf.DUMMYFUNCTION("""COMPUTED_VALUE"""),27.53)</f>
        <v>27.53</v>
      </c>
      <c r="E3963" s="17"/>
      <c r="M3963" s="17"/>
      <c r="P3963" s="17"/>
    </row>
    <row r="3964">
      <c r="B3964" s="11">
        <f>IFERROR(__xludf.DUMMYFUNCTION("""COMPUTED_VALUE"""),40275.666666666664)</f>
        <v>40275.66667</v>
      </c>
      <c r="C3964" s="9">
        <f>IFERROR(__xludf.DUMMYFUNCTION("""COMPUTED_VALUE"""),27.53)</f>
        <v>27.53</v>
      </c>
      <c r="E3964" s="17"/>
      <c r="M3964" s="17"/>
      <c r="P3964" s="17"/>
    </row>
    <row r="3965">
      <c r="B3965" s="11">
        <f>IFERROR(__xludf.DUMMYFUNCTION("""COMPUTED_VALUE"""),40274.666666666664)</f>
        <v>40274.66667</v>
      </c>
      <c r="C3965" s="9">
        <f>IFERROR(__xludf.DUMMYFUNCTION("""COMPUTED_VALUE"""),28.64)</f>
        <v>28.64</v>
      </c>
      <c r="E3965" s="17"/>
      <c r="M3965" s="17"/>
      <c r="P3965" s="17"/>
    </row>
    <row r="3966">
      <c r="B3966" s="11">
        <f>IFERROR(__xludf.DUMMYFUNCTION("""COMPUTED_VALUE"""),40273.666666666664)</f>
        <v>40273.66667</v>
      </c>
      <c r="C3966" s="9">
        <f>IFERROR(__xludf.DUMMYFUNCTION("""COMPUTED_VALUE"""),27.75)</f>
        <v>27.75</v>
      </c>
      <c r="E3966" s="17"/>
      <c r="M3966" s="17"/>
      <c r="P3966" s="17"/>
    </row>
    <row r="3967">
      <c r="B3967" s="11">
        <f>IFERROR(__xludf.DUMMYFUNCTION("""COMPUTED_VALUE"""),40269.666666666664)</f>
        <v>40269.66667</v>
      </c>
      <c r="C3967" s="9">
        <f>IFERROR(__xludf.DUMMYFUNCTION("""COMPUTED_VALUE"""),27.24)</f>
        <v>27.24</v>
      </c>
      <c r="E3967" s="17"/>
      <c r="M3967" s="17"/>
      <c r="P3967" s="17"/>
    </row>
    <row r="3968">
      <c r="B3968" s="11">
        <f>IFERROR(__xludf.DUMMYFUNCTION("""COMPUTED_VALUE"""),40268.666666666664)</f>
        <v>40268.66667</v>
      </c>
      <c r="C3968" s="9">
        <f>IFERROR(__xludf.DUMMYFUNCTION("""COMPUTED_VALUE"""),27.24)</f>
        <v>27.24</v>
      </c>
      <c r="E3968" s="17"/>
      <c r="M3968" s="17"/>
      <c r="P3968" s="17"/>
    </row>
    <row r="3969">
      <c r="B3969" s="11">
        <f>IFERROR(__xludf.DUMMYFUNCTION("""COMPUTED_VALUE"""),40267.666666666664)</f>
        <v>40267.66667</v>
      </c>
      <c r="C3969" s="9">
        <f>IFERROR(__xludf.DUMMYFUNCTION("""COMPUTED_VALUE"""),27.77)</f>
        <v>27.77</v>
      </c>
      <c r="E3969" s="17"/>
      <c r="M3969" s="17"/>
      <c r="P3969" s="17"/>
    </row>
    <row r="3970">
      <c r="B3970" s="11">
        <f>IFERROR(__xludf.DUMMYFUNCTION("""COMPUTED_VALUE"""),40266.666666666664)</f>
        <v>40266.66667</v>
      </c>
      <c r="C3970" s="9">
        <f>IFERROR(__xludf.DUMMYFUNCTION("""COMPUTED_VALUE"""),28.5)</f>
        <v>28.5</v>
      </c>
      <c r="E3970" s="17"/>
      <c r="M3970" s="17"/>
      <c r="P3970" s="17"/>
    </row>
    <row r="3971">
      <c r="B3971" s="11">
        <f>IFERROR(__xludf.DUMMYFUNCTION("""COMPUTED_VALUE"""),40263.666666666664)</f>
        <v>40263.66667</v>
      </c>
      <c r="C3971" s="9">
        <f>IFERROR(__xludf.DUMMYFUNCTION("""COMPUTED_VALUE"""),28.86)</f>
        <v>28.86</v>
      </c>
      <c r="E3971" s="17"/>
      <c r="M3971" s="17"/>
      <c r="P3971" s="17"/>
    </row>
    <row r="3972">
      <c r="B3972" s="11">
        <f>IFERROR(__xludf.DUMMYFUNCTION("""COMPUTED_VALUE"""),40262.666666666664)</f>
        <v>40262.66667</v>
      </c>
      <c r="C3972" s="9">
        <f>IFERROR(__xludf.DUMMYFUNCTION("""COMPUTED_VALUE"""),28.89)</f>
        <v>28.89</v>
      </c>
      <c r="E3972" s="17"/>
      <c r="M3972" s="17"/>
      <c r="P3972" s="17"/>
    </row>
    <row r="3973">
      <c r="B3973" s="11">
        <f>IFERROR(__xludf.DUMMYFUNCTION("""COMPUTED_VALUE"""),40261.666666666664)</f>
        <v>40261.66667</v>
      </c>
      <c r="C3973" s="9">
        <f>IFERROR(__xludf.DUMMYFUNCTION("""COMPUTED_VALUE"""),28.78)</f>
        <v>28.78</v>
      </c>
      <c r="E3973" s="17"/>
      <c r="M3973" s="17"/>
      <c r="P3973" s="17"/>
    </row>
    <row r="3974">
      <c r="B3974" s="11">
        <f>IFERROR(__xludf.DUMMYFUNCTION("""COMPUTED_VALUE"""),40260.666666666664)</f>
        <v>40260.66667</v>
      </c>
      <c r="C3974" s="9">
        <f>IFERROR(__xludf.DUMMYFUNCTION("""COMPUTED_VALUE"""),28.47)</f>
        <v>28.47</v>
      </c>
      <c r="E3974" s="17"/>
      <c r="M3974" s="17"/>
      <c r="P3974" s="17"/>
    </row>
    <row r="3975">
      <c r="B3975" s="11">
        <f>IFERROR(__xludf.DUMMYFUNCTION("""COMPUTED_VALUE"""),40259.666666666664)</f>
        <v>40259.66667</v>
      </c>
      <c r="C3975" s="9">
        <f>IFERROR(__xludf.DUMMYFUNCTION("""COMPUTED_VALUE"""),28.09)</f>
        <v>28.09</v>
      </c>
      <c r="E3975" s="17"/>
      <c r="M3975" s="17"/>
      <c r="P3975" s="17"/>
    </row>
    <row r="3976">
      <c r="B3976" s="11">
        <f>IFERROR(__xludf.DUMMYFUNCTION("""COMPUTED_VALUE"""),40256.666666666664)</f>
        <v>40256.66667</v>
      </c>
      <c r="C3976" s="9">
        <f>IFERROR(__xludf.DUMMYFUNCTION("""COMPUTED_VALUE"""),28.06)</f>
        <v>28.06</v>
      </c>
      <c r="E3976" s="17"/>
      <c r="M3976" s="17"/>
      <c r="P3976" s="17"/>
    </row>
    <row r="3977">
      <c r="B3977" s="11">
        <f>IFERROR(__xludf.DUMMYFUNCTION("""COMPUTED_VALUE"""),40255.666666666664)</f>
        <v>40255.66667</v>
      </c>
      <c r="C3977" s="9">
        <f>IFERROR(__xludf.DUMMYFUNCTION("""COMPUTED_VALUE"""),28.6)</f>
        <v>28.6</v>
      </c>
      <c r="E3977" s="17"/>
      <c r="M3977" s="17"/>
      <c r="P3977" s="17"/>
    </row>
    <row r="3978">
      <c r="B3978" s="11">
        <f>IFERROR(__xludf.DUMMYFUNCTION("""COMPUTED_VALUE"""),40254.666666666664)</f>
        <v>40254.66667</v>
      </c>
      <c r="C3978" s="9">
        <f>IFERROR(__xludf.DUMMYFUNCTION("""COMPUTED_VALUE"""),28.58)</f>
        <v>28.58</v>
      </c>
      <c r="E3978" s="17"/>
      <c r="M3978" s="17"/>
      <c r="P3978" s="17"/>
    </row>
    <row r="3979">
      <c r="B3979" s="11">
        <f>IFERROR(__xludf.DUMMYFUNCTION("""COMPUTED_VALUE"""),40253.666666666664)</f>
        <v>40253.66667</v>
      </c>
      <c r="C3979" s="9">
        <f>IFERROR(__xludf.DUMMYFUNCTION("""COMPUTED_VALUE"""),27.98)</f>
        <v>27.98</v>
      </c>
      <c r="E3979" s="17"/>
      <c r="M3979" s="17"/>
      <c r="P3979" s="17"/>
    </row>
    <row r="3980">
      <c r="B3980" s="11">
        <f>IFERROR(__xludf.DUMMYFUNCTION("""COMPUTED_VALUE"""),40252.666666666664)</f>
        <v>40252.66667</v>
      </c>
      <c r="C3980" s="9">
        <f>IFERROR(__xludf.DUMMYFUNCTION("""COMPUTED_VALUE"""),27.37)</f>
        <v>27.37</v>
      </c>
      <c r="E3980" s="17"/>
      <c r="M3980" s="17"/>
      <c r="P3980" s="17"/>
    </row>
    <row r="3981">
      <c r="B3981" s="11">
        <f>IFERROR(__xludf.DUMMYFUNCTION("""COMPUTED_VALUE"""),40249.666666666664)</f>
        <v>40249.66667</v>
      </c>
      <c r="C3981" s="9">
        <f>IFERROR(__xludf.DUMMYFUNCTION("""COMPUTED_VALUE"""),27.27)</f>
        <v>27.27</v>
      </c>
      <c r="E3981" s="17"/>
      <c r="M3981" s="17"/>
      <c r="P3981" s="17"/>
    </row>
    <row r="3982">
      <c r="B3982" s="11">
        <f>IFERROR(__xludf.DUMMYFUNCTION("""COMPUTED_VALUE"""),40248.666666666664)</f>
        <v>40248.66667</v>
      </c>
      <c r="C3982" s="9">
        <f>IFERROR(__xludf.DUMMYFUNCTION("""COMPUTED_VALUE"""),26.92)</f>
        <v>26.92</v>
      </c>
      <c r="E3982" s="17"/>
      <c r="M3982" s="17"/>
      <c r="P3982" s="17"/>
    </row>
    <row r="3983">
      <c r="B3983" s="11">
        <f>IFERROR(__xludf.DUMMYFUNCTION("""COMPUTED_VALUE"""),40247.666666666664)</f>
        <v>40247.66667</v>
      </c>
      <c r="C3983" s="9">
        <f>IFERROR(__xludf.DUMMYFUNCTION("""COMPUTED_VALUE"""),26.6)</f>
        <v>26.6</v>
      </c>
      <c r="E3983" s="17"/>
      <c r="M3983" s="17"/>
      <c r="P3983" s="17"/>
    </row>
    <row r="3984">
      <c r="B3984" s="11">
        <f>IFERROR(__xludf.DUMMYFUNCTION("""COMPUTED_VALUE"""),40246.666666666664)</f>
        <v>40246.66667</v>
      </c>
      <c r="C3984" s="9">
        <f>IFERROR(__xludf.DUMMYFUNCTION("""COMPUTED_VALUE"""),26.01)</f>
        <v>26.01</v>
      </c>
      <c r="E3984" s="17"/>
      <c r="M3984" s="17"/>
      <c r="P3984" s="17"/>
    </row>
    <row r="3985">
      <c r="B3985" s="11">
        <f>IFERROR(__xludf.DUMMYFUNCTION("""COMPUTED_VALUE"""),40245.666666666664)</f>
        <v>40245.66667</v>
      </c>
      <c r="C3985" s="9">
        <f>IFERROR(__xludf.DUMMYFUNCTION("""COMPUTED_VALUE"""),25.81)</f>
        <v>25.81</v>
      </c>
      <c r="E3985" s="17"/>
      <c r="M3985" s="17"/>
      <c r="P3985" s="17"/>
    </row>
    <row r="3986">
      <c r="B3986" s="11">
        <f>IFERROR(__xludf.DUMMYFUNCTION("""COMPUTED_VALUE"""),40242.666666666664)</f>
        <v>40242.66667</v>
      </c>
      <c r="C3986" s="9">
        <f>IFERROR(__xludf.DUMMYFUNCTION("""COMPUTED_VALUE"""),25.41)</f>
        <v>25.41</v>
      </c>
      <c r="E3986" s="17"/>
      <c r="M3986" s="17"/>
      <c r="P3986" s="17"/>
    </row>
    <row r="3987">
      <c r="B3987" s="11">
        <f>IFERROR(__xludf.DUMMYFUNCTION("""COMPUTED_VALUE"""),40241.666666666664)</f>
        <v>40241.66667</v>
      </c>
      <c r="C3987" s="9">
        <f>IFERROR(__xludf.DUMMYFUNCTION("""COMPUTED_VALUE"""),24.55)</f>
        <v>24.55</v>
      </c>
      <c r="E3987" s="17"/>
      <c r="M3987" s="17"/>
      <c r="P3987" s="17"/>
    </row>
    <row r="3988">
      <c r="B3988" s="11">
        <f>IFERROR(__xludf.DUMMYFUNCTION("""COMPUTED_VALUE"""),40240.666666666664)</f>
        <v>40240.66667</v>
      </c>
      <c r="C3988" s="9">
        <f>IFERROR(__xludf.DUMMYFUNCTION("""COMPUTED_VALUE"""),24.45)</f>
        <v>24.45</v>
      </c>
      <c r="E3988" s="17"/>
      <c r="M3988" s="17"/>
      <c r="P3988" s="17"/>
    </row>
    <row r="3989">
      <c r="B3989" s="11">
        <f>IFERROR(__xludf.DUMMYFUNCTION("""COMPUTED_VALUE"""),40239.666666666664)</f>
        <v>40239.66667</v>
      </c>
      <c r="C3989" s="9">
        <f>IFERROR(__xludf.DUMMYFUNCTION("""COMPUTED_VALUE"""),24.64)</f>
        <v>24.64</v>
      </c>
      <c r="E3989" s="17"/>
      <c r="M3989" s="17"/>
      <c r="P3989" s="17"/>
    </row>
    <row r="3990">
      <c r="B3990" s="11">
        <f>IFERROR(__xludf.DUMMYFUNCTION("""COMPUTED_VALUE"""),40238.666666666664)</f>
        <v>40238.66667</v>
      </c>
      <c r="C3990" s="9">
        <f>IFERROR(__xludf.DUMMYFUNCTION("""COMPUTED_VALUE"""),24.46)</f>
        <v>24.46</v>
      </c>
      <c r="E3990" s="17"/>
      <c r="M3990" s="17"/>
      <c r="P3990" s="17"/>
    </row>
    <row r="3991">
      <c r="B3991" s="11">
        <f>IFERROR(__xludf.DUMMYFUNCTION("""COMPUTED_VALUE"""),40235.666666666664)</f>
        <v>40235.66667</v>
      </c>
      <c r="C3991" s="9">
        <f>IFERROR(__xludf.DUMMYFUNCTION("""COMPUTED_VALUE"""),24.34)</f>
        <v>24.34</v>
      </c>
      <c r="E3991" s="17"/>
      <c r="M3991" s="17"/>
      <c r="P3991" s="17"/>
    </row>
    <row r="3992">
      <c r="B3992" s="11">
        <f>IFERROR(__xludf.DUMMYFUNCTION("""COMPUTED_VALUE"""),40234.666666666664)</f>
        <v>40234.66667</v>
      </c>
      <c r="C3992" s="9">
        <f>IFERROR(__xludf.DUMMYFUNCTION("""COMPUTED_VALUE"""),24.28)</f>
        <v>24.28</v>
      </c>
      <c r="E3992" s="17"/>
      <c r="M3992" s="17"/>
      <c r="P3992" s="17"/>
    </row>
    <row r="3993">
      <c r="B3993" s="11">
        <f>IFERROR(__xludf.DUMMYFUNCTION("""COMPUTED_VALUE"""),40233.666666666664)</f>
        <v>40233.66667</v>
      </c>
      <c r="C3993" s="9">
        <f>IFERROR(__xludf.DUMMYFUNCTION("""COMPUTED_VALUE"""),23.92)</f>
        <v>23.92</v>
      </c>
      <c r="E3993" s="17"/>
      <c r="M3993" s="17"/>
      <c r="P3993" s="17"/>
    </row>
    <row r="3994">
      <c r="B3994" s="11">
        <f>IFERROR(__xludf.DUMMYFUNCTION("""COMPUTED_VALUE"""),40232.666666666664)</f>
        <v>40232.66667</v>
      </c>
      <c r="C3994" s="9">
        <f>IFERROR(__xludf.DUMMYFUNCTION("""COMPUTED_VALUE"""),23.68)</f>
        <v>23.68</v>
      </c>
      <c r="E3994" s="17"/>
      <c r="M3994" s="17"/>
      <c r="P3994" s="17"/>
    </row>
    <row r="3995">
      <c r="B3995" s="11">
        <f>IFERROR(__xludf.DUMMYFUNCTION("""COMPUTED_VALUE"""),40231.666666666664)</f>
        <v>40231.66667</v>
      </c>
      <c r="C3995" s="9">
        <f>IFERROR(__xludf.DUMMYFUNCTION("""COMPUTED_VALUE"""),23.97)</f>
        <v>23.97</v>
      </c>
      <c r="E3995" s="17"/>
      <c r="M3995" s="17"/>
      <c r="P3995" s="17"/>
    </row>
    <row r="3996">
      <c r="B3996" s="11">
        <f>IFERROR(__xludf.DUMMYFUNCTION("""COMPUTED_VALUE"""),40228.666666666664)</f>
        <v>40228.66667</v>
      </c>
      <c r="C3996" s="9">
        <f>IFERROR(__xludf.DUMMYFUNCTION("""COMPUTED_VALUE"""),23.76)</f>
        <v>23.76</v>
      </c>
      <c r="E3996" s="17"/>
      <c r="M3996" s="17"/>
      <c r="P3996" s="17"/>
    </row>
    <row r="3997">
      <c r="B3997" s="11">
        <f>IFERROR(__xludf.DUMMYFUNCTION("""COMPUTED_VALUE"""),40227.666666666664)</f>
        <v>40227.66667</v>
      </c>
      <c r="C3997" s="9">
        <f>IFERROR(__xludf.DUMMYFUNCTION("""COMPUTED_VALUE"""),23.91)</f>
        <v>23.91</v>
      </c>
      <c r="E3997" s="17"/>
      <c r="M3997" s="17"/>
      <c r="P3997" s="17"/>
    </row>
    <row r="3998">
      <c r="B3998" s="11">
        <f>IFERROR(__xludf.DUMMYFUNCTION("""COMPUTED_VALUE"""),40226.666666666664)</f>
        <v>40226.66667</v>
      </c>
      <c r="C3998" s="9">
        <f>IFERROR(__xludf.DUMMYFUNCTION("""COMPUTED_VALUE"""),23.46)</f>
        <v>23.46</v>
      </c>
      <c r="E3998" s="17"/>
      <c r="M3998" s="17"/>
      <c r="P3998" s="17"/>
    </row>
    <row r="3999">
      <c r="B3999" s="11">
        <f>IFERROR(__xludf.DUMMYFUNCTION("""COMPUTED_VALUE"""),40225.666666666664)</f>
        <v>40225.66667</v>
      </c>
      <c r="C3999" s="9">
        <f>IFERROR(__xludf.DUMMYFUNCTION("""COMPUTED_VALUE"""),23.3)</f>
        <v>23.3</v>
      </c>
      <c r="E3999" s="17"/>
      <c r="M3999" s="17"/>
      <c r="P3999" s="17"/>
    </row>
    <row r="4000">
      <c r="B4000" s="11">
        <f>IFERROR(__xludf.DUMMYFUNCTION("""COMPUTED_VALUE"""),40221.666666666664)</f>
        <v>40221.66667</v>
      </c>
      <c r="C4000" s="9">
        <f>IFERROR(__xludf.DUMMYFUNCTION("""COMPUTED_VALUE"""),22.63)</f>
        <v>22.63</v>
      </c>
      <c r="E4000" s="17"/>
      <c r="M4000" s="17"/>
      <c r="P4000" s="17"/>
    </row>
    <row r="4001">
      <c r="B4001" s="11">
        <f>IFERROR(__xludf.DUMMYFUNCTION("""COMPUTED_VALUE"""),40220.666666666664)</f>
        <v>40220.66667</v>
      </c>
      <c r="C4001" s="9">
        <f>IFERROR(__xludf.DUMMYFUNCTION("""COMPUTED_VALUE"""),22.14)</f>
        <v>22.14</v>
      </c>
      <c r="E4001" s="17"/>
      <c r="M4001" s="17"/>
      <c r="P4001" s="17"/>
    </row>
    <row r="4002">
      <c r="B4002" s="11">
        <f>IFERROR(__xludf.DUMMYFUNCTION("""COMPUTED_VALUE"""),40219.666666666664)</f>
        <v>40219.66667</v>
      </c>
      <c r="C4002" s="9">
        <f>IFERROR(__xludf.DUMMYFUNCTION("""COMPUTED_VALUE"""),22.42)</f>
        <v>22.42</v>
      </c>
      <c r="E4002" s="17"/>
      <c r="M4002" s="17"/>
      <c r="P4002" s="17"/>
    </row>
    <row r="4003">
      <c r="B4003" s="11">
        <f>IFERROR(__xludf.DUMMYFUNCTION("""COMPUTED_VALUE"""),40218.666666666664)</f>
        <v>40218.66667</v>
      </c>
      <c r="C4003" s="9">
        <f>IFERROR(__xludf.DUMMYFUNCTION("""COMPUTED_VALUE"""),22.49)</f>
        <v>22.49</v>
      </c>
      <c r="E4003" s="17"/>
      <c r="M4003" s="17"/>
      <c r="P4003" s="17"/>
    </row>
    <row r="4004">
      <c r="B4004" s="11">
        <f>IFERROR(__xludf.DUMMYFUNCTION("""COMPUTED_VALUE"""),40217.666666666664)</f>
        <v>40217.66667</v>
      </c>
      <c r="C4004" s="9">
        <f>IFERROR(__xludf.DUMMYFUNCTION("""COMPUTED_VALUE"""),22.52)</f>
        <v>22.52</v>
      </c>
      <c r="E4004" s="17"/>
      <c r="M4004" s="17"/>
      <c r="P4004" s="17"/>
    </row>
    <row r="4005">
      <c r="B4005" s="11">
        <f>IFERROR(__xludf.DUMMYFUNCTION("""COMPUTED_VALUE"""),40214.666666666664)</f>
        <v>40214.66667</v>
      </c>
      <c r="C4005" s="9">
        <f>IFERROR(__xludf.DUMMYFUNCTION("""COMPUTED_VALUE"""),23.15)</f>
        <v>23.15</v>
      </c>
      <c r="E4005" s="17"/>
      <c r="M4005" s="17"/>
      <c r="P4005" s="17"/>
    </row>
    <row r="4006">
      <c r="B4006" s="11">
        <f>IFERROR(__xludf.DUMMYFUNCTION("""COMPUTED_VALUE"""),40213.666666666664)</f>
        <v>40213.66667</v>
      </c>
      <c r="C4006" s="9">
        <f>IFERROR(__xludf.DUMMYFUNCTION("""COMPUTED_VALUE"""),22.8)</f>
        <v>22.8</v>
      </c>
      <c r="E4006" s="17"/>
      <c r="M4006" s="17"/>
      <c r="P4006" s="17"/>
    </row>
    <row r="4007">
      <c r="B4007" s="11">
        <f>IFERROR(__xludf.DUMMYFUNCTION("""COMPUTED_VALUE"""),40212.666666666664)</f>
        <v>40212.66667</v>
      </c>
      <c r="C4007" s="9">
        <f>IFERROR(__xludf.DUMMYFUNCTION("""COMPUTED_VALUE"""),23.86)</f>
        <v>23.86</v>
      </c>
      <c r="E4007" s="17"/>
      <c r="M4007" s="17"/>
      <c r="P4007" s="17"/>
    </row>
    <row r="4008">
      <c r="B4008" s="11">
        <f>IFERROR(__xludf.DUMMYFUNCTION("""COMPUTED_VALUE"""),40211.666666666664)</f>
        <v>40211.66667</v>
      </c>
      <c r="C4008" s="9">
        <f>IFERROR(__xludf.DUMMYFUNCTION("""COMPUTED_VALUE"""),24.69)</f>
        <v>24.69</v>
      </c>
      <c r="E4008" s="17"/>
      <c r="M4008" s="17"/>
      <c r="P4008" s="17"/>
    </row>
    <row r="4009">
      <c r="B4009" s="11">
        <f>IFERROR(__xludf.DUMMYFUNCTION("""COMPUTED_VALUE"""),40210.666666666664)</f>
        <v>40210.66667</v>
      </c>
      <c r="C4009" s="9">
        <f>IFERROR(__xludf.DUMMYFUNCTION("""COMPUTED_VALUE"""),24.59)</f>
        <v>24.59</v>
      </c>
      <c r="E4009" s="17"/>
      <c r="M4009" s="17"/>
      <c r="P4009" s="17"/>
    </row>
    <row r="4010">
      <c r="B4010" s="11">
        <f>IFERROR(__xludf.DUMMYFUNCTION("""COMPUTED_VALUE"""),40207.666666666664)</f>
        <v>40207.66667</v>
      </c>
      <c r="C4010" s="9">
        <f>IFERROR(__xludf.DUMMYFUNCTION("""COMPUTED_VALUE"""),24.0)</f>
        <v>24</v>
      </c>
      <c r="E4010" s="17"/>
      <c r="M4010" s="17"/>
      <c r="P4010" s="17"/>
    </row>
    <row r="4011">
      <c r="B4011" s="11">
        <f>IFERROR(__xludf.DUMMYFUNCTION("""COMPUTED_VALUE"""),40206.666666666664)</f>
        <v>40206.66667</v>
      </c>
      <c r="C4011" s="9">
        <f>IFERROR(__xludf.DUMMYFUNCTION("""COMPUTED_VALUE"""),24.02)</f>
        <v>24.02</v>
      </c>
      <c r="E4011" s="17"/>
      <c r="M4011" s="17"/>
      <c r="P4011" s="17"/>
    </row>
    <row r="4012">
      <c r="B4012" s="11">
        <f>IFERROR(__xludf.DUMMYFUNCTION("""COMPUTED_VALUE"""),40205.666666666664)</f>
        <v>40205.66667</v>
      </c>
      <c r="C4012" s="9">
        <f>IFERROR(__xludf.DUMMYFUNCTION("""COMPUTED_VALUE"""),24.65)</f>
        <v>24.65</v>
      </c>
      <c r="E4012" s="17"/>
      <c r="M4012" s="17"/>
      <c r="P4012" s="17"/>
    </row>
    <row r="4013">
      <c r="B4013" s="11">
        <f>IFERROR(__xludf.DUMMYFUNCTION("""COMPUTED_VALUE"""),40204.666666666664)</f>
        <v>40204.66667</v>
      </c>
      <c r="C4013" s="9">
        <f>IFERROR(__xludf.DUMMYFUNCTION("""COMPUTED_VALUE"""),24.25)</f>
        <v>24.25</v>
      </c>
      <c r="E4013" s="17"/>
      <c r="M4013" s="17"/>
      <c r="P4013" s="17"/>
    </row>
    <row r="4014">
      <c r="B4014" s="11">
        <f>IFERROR(__xludf.DUMMYFUNCTION("""COMPUTED_VALUE"""),40203.666666666664)</f>
        <v>40203.66667</v>
      </c>
      <c r="C4014" s="9">
        <f>IFERROR(__xludf.DUMMYFUNCTION("""COMPUTED_VALUE"""),23.7)</f>
        <v>23.7</v>
      </c>
      <c r="E4014" s="17"/>
      <c r="M4014" s="17"/>
      <c r="P4014" s="17"/>
    </row>
    <row r="4015">
      <c r="B4015" s="11">
        <f>IFERROR(__xludf.DUMMYFUNCTION("""COMPUTED_VALUE"""),40200.666666666664)</f>
        <v>40200.66667</v>
      </c>
      <c r="C4015" s="9">
        <f>IFERROR(__xludf.DUMMYFUNCTION("""COMPUTED_VALUE"""),23.68)</f>
        <v>23.68</v>
      </c>
      <c r="E4015" s="17"/>
      <c r="M4015" s="17"/>
      <c r="P4015" s="17"/>
    </row>
    <row r="4016">
      <c r="B4016" s="11">
        <f>IFERROR(__xludf.DUMMYFUNCTION("""COMPUTED_VALUE"""),40199.666666666664)</f>
        <v>40199.66667</v>
      </c>
      <c r="C4016" s="9">
        <f>IFERROR(__xludf.DUMMYFUNCTION("""COMPUTED_VALUE"""),24.25)</f>
        <v>24.25</v>
      </c>
      <c r="E4016" s="17"/>
      <c r="M4016" s="17"/>
      <c r="P4016" s="17"/>
    </row>
    <row r="4017">
      <c r="B4017" s="11">
        <f>IFERROR(__xludf.DUMMYFUNCTION("""COMPUTED_VALUE"""),40198.666666666664)</f>
        <v>40198.66667</v>
      </c>
      <c r="C4017" s="9">
        <f>IFERROR(__xludf.DUMMYFUNCTION("""COMPUTED_VALUE"""),25.46)</f>
        <v>25.46</v>
      </c>
      <c r="E4017" s="17"/>
      <c r="M4017" s="17"/>
      <c r="P4017" s="17"/>
    </row>
    <row r="4018">
      <c r="B4018" s="11">
        <f>IFERROR(__xludf.DUMMYFUNCTION("""COMPUTED_VALUE"""),40197.666666666664)</f>
        <v>40197.66667</v>
      </c>
      <c r="C4018" s="9">
        <f>IFERROR(__xludf.DUMMYFUNCTION("""COMPUTED_VALUE"""),26.07)</f>
        <v>26.07</v>
      </c>
      <c r="E4018" s="17"/>
      <c r="M4018" s="17"/>
      <c r="P4018" s="17"/>
    </row>
    <row r="4019">
      <c r="B4019" s="11">
        <f>IFERROR(__xludf.DUMMYFUNCTION("""COMPUTED_VALUE"""),40193.666666666664)</f>
        <v>40193.66667</v>
      </c>
      <c r="C4019" s="9">
        <f>IFERROR(__xludf.DUMMYFUNCTION("""COMPUTED_VALUE"""),25.57)</f>
        <v>25.57</v>
      </c>
      <c r="E4019" s="17"/>
      <c r="M4019" s="17"/>
      <c r="P4019" s="17"/>
    </row>
    <row r="4020">
      <c r="B4020" s="11">
        <f>IFERROR(__xludf.DUMMYFUNCTION("""COMPUTED_VALUE"""),40192.666666666664)</f>
        <v>40192.66667</v>
      </c>
      <c r="C4020" s="9">
        <f>IFERROR(__xludf.DUMMYFUNCTION("""COMPUTED_VALUE"""),25.69)</f>
        <v>25.69</v>
      </c>
      <c r="E4020" s="17"/>
      <c r="M4020" s="17"/>
      <c r="P4020" s="17"/>
    </row>
    <row r="4021">
      <c r="B4021" s="11">
        <f>IFERROR(__xludf.DUMMYFUNCTION("""COMPUTED_VALUE"""),40191.666666666664)</f>
        <v>40191.66667</v>
      </c>
      <c r="C4021" s="9">
        <f>IFERROR(__xludf.DUMMYFUNCTION("""COMPUTED_VALUE"""),25.79)</f>
        <v>25.79</v>
      </c>
      <c r="E4021" s="17"/>
      <c r="M4021" s="17"/>
      <c r="P4021" s="17"/>
    </row>
    <row r="4022">
      <c r="B4022" s="11">
        <f>IFERROR(__xludf.DUMMYFUNCTION("""COMPUTED_VALUE"""),40190.666666666664)</f>
        <v>40190.66667</v>
      </c>
      <c r="C4022" s="9">
        <f>IFERROR(__xludf.DUMMYFUNCTION("""COMPUTED_VALUE"""),25.11)</f>
        <v>25.11</v>
      </c>
      <c r="E4022" s="17"/>
      <c r="M4022" s="17"/>
      <c r="P4022" s="17"/>
    </row>
    <row r="4023">
      <c r="B4023" s="11">
        <f>IFERROR(__xludf.DUMMYFUNCTION("""COMPUTED_VALUE"""),40189.666666666664)</f>
        <v>40189.66667</v>
      </c>
      <c r="C4023" s="9">
        <f>IFERROR(__xludf.DUMMYFUNCTION("""COMPUTED_VALUE"""),25.68)</f>
        <v>25.68</v>
      </c>
      <c r="E4023" s="17"/>
      <c r="M4023" s="17"/>
      <c r="P4023" s="17"/>
    </row>
    <row r="4024">
      <c r="B4024" s="11">
        <f>IFERROR(__xludf.DUMMYFUNCTION("""COMPUTED_VALUE"""),40186.666666666664)</f>
        <v>40186.66667</v>
      </c>
      <c r="C4024" s="9">
        <f>IFERROR(__xludf.DUMMYFUNCTION("""COMPUTED_VALUE"""),25.65)</f>
        <v>25.65</v>
      </c>
      <c r="E4024" s="17"/>
      <c r="M4024" s="17"/>
      <c r="P4024" s="17"/>
    </row>
    <row r="4025">
      <c r="B4025" s="11">
        <f>IFERROR(__xludf.DUMMYFUNCTION("""COMPUTED_VALUE"""),40185.666666666664)</f>
        <v>40185.66667</v>
      </c>
      <c r="C4025" s="9">
        <f>IFERROR(__xludf.DUMMYFUNCTION("""COMPUTED_VALUE"""),25.72)</f>
        <v>25.72</v>
      </c>
      <c r="E4025" s="17"/>
      <c r="M4025" s="17"/>
      <c r="P4025" s="17"/>
    </row>
    <row r="4026">
      <c r="B4026" s="11">
        <f>IFERROR(__xludf.DUMMYFUNCTION("""COMPUTED_VALUE"""),40184.666666666664)</f>
        <v>40184.66667</v>
      </c>
      <c r="C4026" s="9">
        <f>IFERROR(__xludf.DUMMYFUNCTION("""COMPUTED_VALUE"""),25.51)</f>
        <v>25.51</v>
      </c>
      <c r="E4026" s="17"/>
      <c r="M4026" s="17"/>
      <c r="P4026" s="17"/>
    </row>
    <row r="4027">
      <c r="B4027" s="11">
        <f>IFERROR(__xludf.DUMMYFUNCTION("""COMPUTED_VALUE"""),40183.666666666664)</f>
        <v>40183.66667</v>
      </c>
      <c r="C4027" s="9">
        <f>IFERROR(__xludf.DUMMYFUNCTION("""COMPUTED_VALUE"""),25.74)</f>
        <v>25.74</v>
      </c>
      <c r="E4027" s="17"/>
      <c r="M4027" s="17"/>
      <c r="P4027" s="17"/>
    </row>
    <row r="4028">
      <c r="B4028" s="11">
        <f>IFERROR(__xludf.DUMMYFUNCTION("""COMPUTED_VALUE"""),40182.666666666664)</f>
        <v>40182.66667</v>
      </c>
      <c r="C4028" s="9">
        <f>IFERROR(__xludf.DUMMYFUNCTION("""COMPUTED_VALUE"""),25.37)</f>
        <v>25.37</v>
      </c>
      <c r="E4028" s="17"/>
      <c r="M4028" s="17"/>
      <c r="P4028" s="17"/>
    </row>
    <row r="4029">
      <c r="B4029" s="11">
        <f>IFERROR(__xludf.DUMMYFUNCTION("""COMPUTED_VALUE"""),40178.666666666664)</f>
        <v>40178.66667</v>
      </c>
      <c r="C4029" s="9">
        <f>IFERROR(__xludf.DUMMYFUNCTION("""COMPUTED_VALUE"""),25.55)</f>
        <v>25.55</v>
      </c>
      <c r="E4029" s="17"/>
      <c r="M4029" s="17"/>
      <c r="P4029" s="17"/>
    </row>
    <row r="4030">
      <c r="B4030" s="11">
        <f>IFERROR(__xludf.DUMMYFUNCTION("""COMPUTED_VALUE"""),40177.666666666664)</f>
        <v>40177.66667</v>
      </c>
      <c r="C4030" s="9">
        <f>IFERROR(__xludf.DUMMYFUNCTION("""COMPUTED_VALUE"""),26.03)</f>
        <v>26.03</v>
      </c>
      <c r="E4030" s="17"/>
      <c r="M4030" s="17"/>
      <c r="P4030" s="17"/>
    </row>
    <row r="4031">
      <c r="B4031" s="11">
        <f>IFERROR(__xludf.DUMMYFUNCTION("""COMPUTED_VALUE"""),40176.666666666664)</f>
        <v>40176.66667</v>
      </c>
      <c r="C4031" s="9">
        <f>IFERROR(__xludf.DUMMYFUNCTION("""COMPUTED_VALUE"""),26.23)</f>
        <v>26.23</v>
      </c>
      <c r="E4031" s="17"/>
      <c r="M4031" s="17"/>
      <c r="P4031" s="17"/>
    </row>
    <row r="4032">
      <c r="B4032" s="11">
        <f>IFERROR(__xludf.DUMMYFUNCTION("""COMPUTED_VALUE"""),40175.666666666664)</f>
        <v>40175.66667</v>
      </c>
      <c r="C4032" s="9">
        <f>IFERROR(__xludf.DUMMYFUNCTION("""COMPUTED_VALUE"""),26.91)</f>
        <v>26.91</v>
      </c>
      <c r="E4032" s="17"/>
      <c r="M4032" s="17"/>
      <c r="P4032" s="17"/>
    </row>
    <row r="4033">
      <c r="B4033" s="11">
        <f>IFERROR(__xludf.DUMMYFUNCTION("""COMPUTED_VALUE"""),40171.666666666664)</f>
        <v>40171.66667</v>
      </c>
      <c r="C4033" s="9">
        <f>IFERROR(__xludf.DUMMYFUNCTION("""COMPUTED_VALUE"""),26.78)</f>
        <v>26.78</v>
      </c>
      <c r="E4033" s="17"/>
      <c r="M4033" s="17"/>
      <c r="P4033" s="17"/>
    </row>
    <row r="4034">
      <c r="B4034" s="11">
        <f>IFERROR(__xludf.DUMMYFUNCTION("""COMPUTED_VALUE"""),40170.666666666664)</f>
        <v>40170.66667</v>
      </c>
      <c r="C4034" s="9">
        <f>IFERROR(__xludf.DUMMYFUNCTION("""COMPUTED_VALUE"""),26.0)</f>
        <v>26</v>
      </c>
      <c r="E4034" s="17"/>
      <c r="M4034" s="17"/>
      <c r="P4034" s="17"/>
    </row>
    <row r="4035">
      <c r="B4035" s="11">
        <f>IFERROR(__xludf.DUMMYFUNCTION("""COMPUTED_VALUE"""),40169.666666666664)</f>
        <v>40169.66667</v>
      </c>
      <c r="C4035" s="9">
        <f>IFERROR(__xludf.DUMMYFUNCTION("""COMPUTED_VALUE"""),25.7)</f>
        <v>25.7</v>
      </c>
      <c r="E4035" s="17"/>
      <c r="M4035" s="17"/>
      <c r="P4035" s="17"/>
    </row>
    <row r="4036">
      <c r="B4036" s="11">
        <f>IFERROR(__xludf.DUMMYFUNCTION("""COMPUTED_VALUE"""),40168.666666666664)</f>
        <v>40168.66667</v>
      </c>
      <c r="C4036" s="9">
        <f>IFERROR(__xludf.DUMMYFUNCTION("""COMPUTED_VALUE"""),25.38)</f>
        <v>25.38</v>
      </c>
      <c r="E4036" s="17"/>
      <c r="M4036" s="17"/>
      <c r="P4036" s="17"/>
    </row>
    <row r="4037">
      <c r="B4037" s="11">
        <f>IFERROR(__xludf.DUMMYFUNCTION("""COMPUTED_VALUE"""),40165.666666666664)</f>
        <v>40165.66667</v>
      </c>
      <c r="C4037" s="9">
        <f>IFERROR(__xludf.DUMMYFUNCTION("""COMPUTED_VALUE"""),25.38)</f>
        <v>25.38</v>
      </c>
      <c r="E4037" s="17"/>
      <c r="M4037" s="17"/>
      <c r="P4037" s="17"/>
    </row>
    <row r="4038">
      <c r="B4038" s="11">
        <f>IFERROR(__xludf.DUMMYFUNCTION("""COMPUTED_VALUE"""),40164.666666666664)</f>
        <v>40164.66667</v>
      </c>
      <c r="C4038" s="9">
        <f>IFERROR(__xludf.DUMMYFUNCTION("""COMPUTED_VALUE"""),25.39)</f>
        <v>25.39</v>
      </c>
      <c r="E4038" s="17"/>
      <c r="M4038" s="17"/>
      <c r="P4038" s="17"/>
    </row>
    <row r="4039">
      <c r="B4039" s="11">
        <f>IFERROR(__xludf.DUMMYFUNCTION("""COMPUTED_VALUE"""),40163.666666666664)</f>
        <v>40163.66667</v>
      </c>
      <c r="C4039" s="9">
        <f>IFERROR(__xludf.DUMMYFUNCTION("""COMPUTED_VALUE"""),25.88)</f>
        <v>25.88</v>
      </c>
      <c r="E4039" s="17"/>
      <c r="M4039" s="17"/>
      <c r="P4039" s="17"/>
    </row>
    <row r="4040">
      <c r="B4040" s="11">
        <f>IFERROR(__xludf.DUMMYFUNCTION("""COMPUTED_VALUE"""),40162.666666666664)</f>
        <v>40162.66667</v>
      </c>
      <c r="C4040" s="9">
        <f>IFERROR(__xludf.DUMMYFUNCTION("""COMPUTED_VALUE"""),25.35)</f>
        <v>25.35</v>
      </c>
      <c r="E4040" s="17"/>
      <c r="M4040" s="17"/>
      <c r="P4040" s="17"/>
    </row>
    <row r="4041">
      <c r="B4041" s="11">
        <f>IFERROR(__xludf.DUMMYFUNCTION("""COMPUTED_VALUE"""),40161.666666666664)</f>
        <v>40161.66667</v>
      </c>
      <c r="C4041" s="9">
        <f>IFERROR(__xludf.DUMMYFUNCTION("""COMPUTED_VALUE"""),25.45)</f>
        <v>25.45</v>
      </c>
      <c r="E4041" s="17"/>
      <c r="M4041" s="17"/>
      <c r="P4041" s="17"/>
    </row>
    <row r="4042">
      <c r="B4042" s="11">
        <f>IFERROR(__xludf.DUMMYFUNCTION("""COMPUTED_VALUE"""),40158.666666666664)</f>
        <v>40158.66667</v>
      </c>
      <c r="C4042" s="9">
        <f>IFERROR(__xludf.DUMMYFUNCTION("""COMPUTED_VALUE"""),24.82)</f>
        <v>24.82</v>
      </c>
      <c r="E4042" s="17"/>
      <c r="M4042" s="17"/>
      <c r="P4042" s="17"/>
    </row>
    <row r="4043">
      <c r="B4043" s="11">
        <f>IFERROR(__xludf.DUMMYFUNCTION("""COMPUTED_VALUE"""),40157.666666666664)</f>
        <v>40157.66667</v>
      </c>
      <c r="C4043" s="9">
        <f>IFERROR(__xludf.DUMMYFUNCTION("""COMPUTED_VALUE"""),24.05)</f>
        <v>24.05</v>
      </c>
      <c r="E4043" s="17"/>
      <c r="M4043" s="17"/>
      <c r="P4043" s="17"/>
    </row>
    <row r="4044">
      <c r="B4044" s="11">
        <f>IFERROR(__xludf.DUMMYFUNCTION("""COMPUTED_VALUE"""),40156.666666666664)</f>
        <v>40156.66667</v>
      </c>
      <c r="C4044" s="9">
        <f>IFERROR(__xludf.DUMMYFUNCTION("""COMPUTED_VALUE"""),24.19)</f>
        <v>24.19</v>
      </c>
      <c r="E4044" s="17"/>
      <c r="M4044" s="17"/>
      <c r="P4044" s="17"/>
    </row>
    <row r="4045">
      <c r="B4045" s="11">
        <f>IFERROR(__xludf.DUMMYFUNCTION("""COMPUTED_VALUE"""),40155.666666666664)</f>
        <v>40155.66667</v>
      </c>
      <c r="C4045" s="9">
        <f>IFERROR(__xludf.DUMMYFUNCTION("""COMPUTED_VALUE"""),24.45)</f>
        <v>24.45</v>
      </c>
      <c r="E4045" s="17"/>
      <c r="M4045" s="17"/>
      <c r="P4045" s="17"/>
    </row>
    <row r="4046">
      <c r="B4046" s="11">
        <f>IFERROR(__xludf.DUMMYFUNCTION("""COMPUTED_VALUE"""),40154.666666666664)</f>
        <v>40154.66667</v>
      </c>
      <c r="C4046" s="9">
        <f>IFERROR(__xludf.DUMMYFUNCTION("""COMPUTED_VALUE"""),24.7)</f>
        <v>24.7</v>
      </c>
      <c r="E4046" s="17"/>
      <c r="M4046" s="17"/>
      <c r="P4046" s="17"/>
    </row>
    <row r="4047">
      <c r="B4047" s="11">
        <f>IFERROR(__xludf.DUMMYFUNCTION("""COMPUTED_VALUE"""),40151.666666666664)</f>
        <v>40151.66667</v>
      </c>
      <c r="C4047" s="9">
        <f>IFERROR(__xludf.DUMMYFUNCTION("""COMPUTED_VALUE"""),25.04)</f>
        <v>25.04</v>
      </c>
      <c r="E4047" s="17"/>
      <c r="M4047" s="17"/>
      <c r="P4047" s="17"/>
    </row>
    <row r="4048">
      <c r="B4048" s="11">
        <f>IFERROR(__xludf.DUMMYFUNCTION("""COMPUTED_VALUE"""),40150.666666666664)</f>
        <v>40150.66667</v>
      </c>
      <c r="C4048" s="9">
        <f>IFERROR(__xludf.DUMMYFUNCTION("""COMPUTED_VALUE"""),24.32)</f>
        <v>24.32</v>
      </c>
      <c r="E4048" s="17"/>
      <c r="M4048" s="17"/>
      <c r="P4048" s="17"/>
    </row>
    <row r="4049">
      <c r="B4049" s="11">
        <f>IFERROR(__xludf.DUMMYFUNCTION("""COMPUTED_VALUE"""),40149.666666666664)</f>
        <v>40149.66667</v>
      </c>
      <c r="C4049" s="9">
        <f>IFERROR(__xludf.DUMMYFUNCTION("""COMPUTED_VALUE"""),24.23)</f>
        <v>24.23</v>
      </c>
      <c r="E4049" s="17"/>
      <c r="M4049" s="17"/>
      <c r="P4049" s="17"/>
    </row>
    <row r="4050">
      <c r="B4050" s="11">
        <f>IFERROR(__xludf.DUMMYFUNCTION("""COMPUTED_VALUE"""),40148.666666666664)</f>
        <v>40148.66667</v>
      </c>
      <c r="C4050" s="9">
        <f>IFERROR(__xludf.DUMMYFUNCTION("""COMPUTED_VALUE"""),23.65)</f>
        <v>23.65</v>
      </c>
      <c r="E4050" s="17"/>
      <c r="M4050" s="17"/>
      <c r="P4050" s="17"/>
    </row>
    <row r="4051">
      <c r="B4051" s="11">
        <f>IFERROR(__xludf.DUMMYFUNCTION("""COMPUTED_VALUE"""),40147.666666666664)</f>
        <v>40147.66667</v>
      </c>
      <c r="C4051" s="9">
        <f>IFERROR(__xludf.DUMMYFUNCTION("""COMPUTED_VALUE"""),23.55)</f>
        <v>23.55</v>
      </c>
      <c r="E4051" s="17"/>
      <c r="M4051" s="17"/>
      <c r="P4051" s="17"/>
    </row>
    <row r="4052">
      <c r="B4052" s="11">
        <f>IFERROR(__xludf.DUMMYFUNCTION("""COMPUTED_VALUE"""),40144.666666666664)</f>
        <v>40144.66667</v>
      </c>
      <c r="C4052" s="9">
        <f>IFERROR(__xludf.DUMMYFUNCTION("""COMPUTED_VALUE"""),22.71)</f>
        <v>22.71</v>
      </c>
      <c r="E4052" s="17"/>
      <c r="M4052" s="17"/>
      <c r="P4052" s="17"/>
    </row>
    <row r="4053">
      <c r="B4053" s="11">
        <f>IFERROR(__xludf.DUMMYFUNCTION("""COMPUTED_VALUE"""),40142.666666666664)</f>
        <v>40142.66667</v>
      </c>
      <c r="C4053" s="9">
        <f>IFERROR(__xludf.DUMMYFUNCTION("""COMPUTED_VALUE"""),23.5)</f>
        <v>23.5</v>
      </c>
      <c r="E4053" s="17"/>
      <c r="M4053" s="17"/>
      <c r="P4053" s="17"/>
    </row>
    <row r="4054">
      <c r="B4054" s="11">
        <f>IFERROR(__xludf.DUMMYFUNCTION("""COMPUTED_VALUE"""),40141.666666666664)</f>
        <v>40141.66667</v>
      </c>
      <c r="C4054" s="9">
        <f>IFERROR(__xludf.DUMMYFUNCTION("""COMPUTED_VALUE"""),23.54)</f>
        <v>23.54</v>
      </c>
      <c r="E4054" s="17"/>
      <c r="M4054" s="17"/>
      <c r="P4054" s="17"/>
    </row>
    <row r="4055">
      <c r="B4055" s="11">
        <f>IFERROR(__xludf.DUMMYFUNCTION("""COMPUTED_VALUE"""),40140.666666666664)</f>
        <v>40140.66667</v>
      </c>
      <c r="C4055" s="9">
        <f>IFERROR(__xludf.DUMMYFUNCTION("""COMPUTED_VALUE"""),24.13)</f>
        <v>24.13</v>
      </c>
      <c r="E4055" s="17"/>
      <c r="M4055" s="17"/>
      <c r="P4055" s="17"/>
    </row>
    <row r="4056">
      <c r="B4056" s="11">
        <f>IFERROR(__xludf.DUMMYFUNCTION("""COMPUTED_VALUE"""),40137.666666666664)</f>
        <v>40137.66667</v>
      </c>
      <c r="C4056" s="9">
        <f>IFERROR(__xludf.DUMMYFUNCTION("""COMPUTED_VALUE"""),24.04)</f>
        <v>24.04</v>
      </c>
      <c r="E4056" s="17"/>
      <c r="M4056" s="17"/>
      <c r="P4056" s="17"/>
    </row>
    <row r="4057">
      <c r="B4057" s="11">
        <f>IFERROR(__xludf.DUMMYFUNCTION("""COMPUTED_VALUE"""),40136.666666666664)</f>
        <v>40136.66667</v>
      </c>
      <c r="C4057" s="9">
        <f>IFERROR(__xludf.DUMMYFUNCTION("""COMPUTED_VALUE"""),24.13)</f>
        <v>24.13</v>
      </c>
      <c r="E4057" s="17"/>
      <c r="M4057" s="17"/>
      <c r="P4057" s="17"/>
    </row>
    <row r="4058">
      <c r="B4058" s="11">
        <f>IFERROR(__xludf.DUMMYFUNCTION("""COMPUTED_VALUE"""),40135.666666666664)</f>
        <v>40135.66667</v>
      </c>
      <c r="C4058" s="9">
        <f>IFERROR(__xludf.DUMMYFUNCTION("""COMPUTED_VALUE"""),25.31)</f>
        <v>25.31</v>
      </c>
      <c r="E4058" s="17"/>
      <c r="M4058" s="17"/>
      <c r="P4058" s="17"/>
    </row>
    <row r="4059">
      <c r="B4059" s="11">
        <f>IFERROR(__xludf.DUMMYFUNCTION("""COMPUTED_VALUE"""),40134.666666666664)</f>
        <v>40134.66667</v>
      </c>
      <c r="C4059" s="9">
        <f>IFERROR(__xludf.DUMMYFUNCTION("""COMPUTED_VALUE"""),24.9)</f>
        <v>24.9</v>
      </c>
      <c r="E4059" s="17"/>
      <c r="M4059" s="17"/>
      <c r="P4059" s="17"/>
    </row>
    <row r="4060">
      <c r="B4060" s="11">
        <f>IFERROR(__xludf.DUMMYFUNCTION("""COMPUTED_VALUE"""),40133.666666666664)</f>
        <v>40133.66667</v>
      </c>
      <c r="C4060" s="9">
        <f>IFERROR(__xludf.DUMMYFUNCTION("""COMPUTED_VALUE"""),25.21)</f>
        <v>25.21</v>
      </c>
      <c r="E4060" s="17"/>
      <c r="M4060" s="17"/>
      <c r="P4060" s="17"/>
    </row>
    <row r="4061">
      <c r="B4061" s="11">
        <f>IFERROR(__xludf.DUMMYFUNCTION("""COMPUTED_VALUE"""),40130.666666666664)</f>
        <v>40130.66667</v>
      </c>
      <c r="C4061" s="9">
        <f>IFERROR(__xludf.DUMMYFUNCTION("""COMPUTED_VALUE"""),24.53)</f>
        <v>24.53</v>
      </c>
      <c r="E4061" s="17"/>
      <c r="M4061" s="17"/>
      <c r="P4061" s="17"/>
    </row>
    <row r="4062">
      <c r="B4062" s="11">
        <f>IFERROR(__xludf.DUMMYFUNCTION("""COMPUTED_VALUE"""),40129.666666666664)</f>
        <v>40129.66667</v>
      </c>
      <c r="C4062" s="9">
        <f>IFERROR(__xludf.DUMMYFUNCTION("""COMPUTED_VALUE"""),24.06)</f>
        <v>24.06</v>
      </c>
      <c r="E4062" s="17"/>
      <c r="M4062" s="17"/>
      <c r="P4062" s="17"/>
    </row>
    <row r="4063">
      <c r="B4063" s="11">
        <f>IFERROR(__xludf.DUMMYFUNCTION("""COMPUTED_VALUE"""),40128.666666666664)</f>
        <v>40128.66667</v>
      </c>
      <c r="C4063" s="9">
        <f>IFERROR(__xludf.DUMMYFUNCTION("""COMPUTED_VALUE"""),24.61)</f>
        <v>24.61</v>
      </c>
      <c r="E4063" s="17"/>
      <c r="M4063" s="17"/>
      <c r="P4063" s="17"/>
    </row>
    <row r="4064">
      <c r="B4064" s="11">
        <f>IFERROR(__xludf.DUMMYFUNCTION("""COMPUTED_VALUE"""),40127.666666666664)</f>
        <v>40127.66667</v>
      </c>
      <c r="C4064" s="9">
        <f>IFERROR(__xludf.DUMMYFUNCTION("""COMPUTED_VALUE"""),23.69)</f>
        <v>23.69</v>
      </c>
      <c r="E4064" s="17"/>
      <c r="M4064" s="17"/>
      <c r="P4064" s="17"/>
    </row>
    <row r="4065">
      <c r="B4065" s="11">
        <f>IFERROR(__xludf.DUMMYFUNCTION("""COMPUTED_VALUE"""),40126.666666666664)</f>
        <v>40126.66667</v>
      </c>
      <c r="C4065" s="9">
        <f>IFERROR(__xludf.DUMMYFUNCTION("""COMPUTED_VALUE"""),23.54)</f>
        <v>23.54</v>
      </c>
      <c r="E4065" s="17"/>
      <c r="M4065" s="17"/>
      <c r="P4065" s="17"/>
    </row>
    <row r="4066">
      <c r="B4066" s="11">
        <f>IFERROR(__xludf.DUMMYFUNCTION("""COMPUTED_VALUE"""),40123.666666666664)</f>
        <v>40123.66667</v>
      </c>
      <c r="C4066" s="9">
        <f>IFERROR(__xludf.DUMMYFUNCTION("""COMPUTED_VALUE"""),21.89)</f>
        <v>21.89</v>
      </c>
      <c r="E4066" s="17"/>
      <c r="M4066" s="17"/>
      <c r="P4066" s="17"/>
    </row>
    <row r="4067">
      <c r="B4067" s="11">
        <f>IFERROR(__xludf.DUMMYFUNCTION("""COMPUTED_VALUE"""),40122.666666666664)</f>
        <v>40122.66667</v>
      </c>
      <c r="C4067" s="9">
        <f>IFERROR(__xludf.DUMMYFUNCTION("""COMPUTED_VALUE"""),22.25)</f>
        <v>22.25</v>
      </c>
      <c r="E4067" s="17"/>
      <c r="M4067" s="17"/>
      <c r="P4067" s="17"/>
    </row>
    <row r="4068">
      <c r="B4068" s="11">
        <f>IFERROR(__xludf.DUMMYFUNCTION("""COMPUTED_VALUE"""),40121.666666666664)</f>
        <v>40121.66667</v>
      </c>
      <c r="C4068" s="9">
        <f>IFERROR(__xludf.DUMMYFUNCTION("""COMPUTED_VALUE"""),21.64)</f>
        <v>21.64</v>
      </c>
      <c r="E4068" s="17"/>
      <c r="M4068" s="17"/>
      <c r="P4068" s="17"/>
    </row>
    <row r="4069">
      <c r="B4069" s="11">
        <f>IFERROR(__xludf.DUMMYFUNCTION("""COMPUTED_VALUE"""),40120.666666666664)</f>
        <v>40120.66667</v>
      </c>
      <c r="C4069" s="9">
        <f>IFERROR(__xludf.DUMMYFUNCTION("""COMPUTED_VALUE"""),22.42)</f>
        <v>22.42</v>
      </c>
      <c r="E4069" s="17"/>
      <c r="M4069" s="17"/>
      <c r="P4069" s="17"/>
    </row>
    <row r="4070">
      <c r="B4070" s="11">
        <f>IFERROR(__xludf.DUMMYFUNCTION("""COMPUTED_VALUE"""),40119.666666666664)</f>
        <v>40119.66667</v>
      </c>
      <c r="C4070" s="9">
        <f>IFERROR(__xludf.DUMMYFUNCTION("""COMPUTED_VALUE"""),21.87)</f>
        <v>21.87</v>
      </c>
      <c r="E4070" s="17"/>
      <c r="M4070" s="17"/>
      <c r="P4070" s="17"/>
    </row>
    <row r="4071">
      <c r="B4071" s="11">
        <f>IFERROR(__xludf.DUMMYFUNCTION("""COMPUTED_VALUE"""),40116.666666666664)</f>
        <v>40116.66667</v>
      </c>
      <c r="C4071" s="9">
        <f>IFERROR(__xludf.DUMMYFUNCTION("""COMPUTED_VALUE"""),21.98)</f>
        <v>21.98</v>
      </c>
      <c r="E4071" s="17"/>
      <c r="M4071" s="17"/>
      <c r="P4071" s="17"/>
    </row>
    <row r="4072">
      <c r="B4072" s="11">
        <f>IFERROR(__xludf.DUMMYFUNCTION("""COMPUTED_VALUE"""),40115.666666666664)</f>
        <v>40115.66667</v>
      </c>
      <c r="C4072" s="9">
        <f>IFERROR(__xludf.DUMMYFUNCTION("""COMPUTED_VALUE"""),22.4)</f>
        <v>22.4</v>
      </c>
      <c r="E4072" s="17"/>
      <c r="M4072" s="17"/>
      <c r="P4072" s="17"/>
    </row>
    <row r="4073">
      <c r="B4073" s="11">
        <f>IFERROR(__xludf.DUMMYFUNCTION("""COMPUTED_VALUE"""),40114.666666666664)</f>
        <v>40114.66667</v>
      </c>
      <c r="C4073" s="9">
        <f>IFERROR(__xludf.DUMMYFUNCTION("""COMPUTED_VALUE"""),21.46)</f>
        <v>21.46</v>
      </c>
      <c r="E4073" s="17"/>
      <c r="M4073" s="17"/>
      <c r="P4073" s="17"/>
    </row>
    <row r="4074">
      <c r="B4074" s="11">
        <f>IFERROR(__xludf.DUMMYFUNCTION("""COMPUTED_VALUE"""),40113.666666666664)</f>
        <v>40113.66667</v>
      </c>
      <c r="C4074" s="9">
        <f>IFERROR(__xludf.DUMMYFUNCTION("""COMPUTED_VALUE"""),23.05)</f>
        <v>23.05</v>
      </c>
      <c r="E4074" s="17"/>
      <c r="M4074" s="17"/>
      <c r="P4074" s="17"/>
    </row>
    <row r="4075">
      <c r="B4075" s="11">
        <f>IFERROR(__xludf.DUMMYFUNCTION("""COMPUTED_VALUE"""),40112.666666666664)</f>
        <v>40112.66667</v>
      </c>
      <c r="C4075" s="9">
        <f>IFERROR(__xludf.DUMMYFUNCTION("""COMPUTED_VALUE"""),23.39)</f>
        <v>23.39</v>
      </c>
      <c r="E4075" s="17"/>
      <c r="M4075" s="17"/>
      <c r="P4075" s="17"/>
    </row>
    <row r="4076">
      <c r="B4076" s="11">
        <f>IFERROR(__xludf.DUMMYFUNCTION("""COMPUTED_VALUE"""),40109.666666666664)</f>
        <v>40109.66667</v>
      </c>
      <c r="C4076" s="9">
        <f>IFERROR(__xludf.DUMMYFUNCTION("""COMPUTED_VALUE"""),23.2)</f>
        <v>23.2</v>
      </c>
      <c r="E4076" s="17"/>
      <c r="M4076" s="17"/>
      <c r="P4076" s="17"/>
    </row>
    <row r="4077">
      <c r="B4077" s="11">
        <f>IFERROR(__xludf.DUMMYFUNCTION("""COMPUTED_VALUE"""),40108.666666666664)</f>
        <v>40108.66667</v>
      </c>
      <c r="C4077" s="9">
        <f>IFERROR(__xludf.DUMMYFUNCTION("""COMPUTED_VALUE"""),23.75)</f>
        <v>23.75</v>
      </c>
      <c r="E4077" s="17"/>
      <c r="M4077" s="17"/>
      <c r="P4077" s="17"/>
    </row>
    <row r="4078">
      <c r="B4078" s="11">
        <f>IFERROR(__xludf.DUMMYFUNCTION("""COMPUTED_VALUE"""),40107.666666666664)</f>
        <v>40107.66667</v>
      </c>
      <c r="C4078" s="9">
        <f>IFERROR(__xludf.DUMMYFUNCTION("""COMPUTED_VALUE"""),22.14)</f>
        <v>22.14</v>
      </c>
      <c r="E4078" s="17"/>
      <c r="M4078" s="17"/>
      <c r="P4078" s="17"/>
    </row>
    <row r="4079">
      <c r="B4079" s="11">
        <f>IFERROR(__xludf.DUMMYFUNCTION("""COMPUTED_VALUE"""),40106.666666666664)</f>
        <v>40106.66667</v>
      </c>
      <c r="C4079" s="9">
        <f>IFERROR(__xludf.DUMMYFUNCTION("""COMPUTED_VALUE"""),22.41)</f>
        <v>22.41</v>
      </c>
      <c r="E4079" s="17"/>
      <c r="M4079" s="17"/>
      <c r="P4079" s="17"/>
    </row>
    <row r="4080">
      <c r="B4080" s="11">
        <f>IFERROR(__xludf.DUMMYFUNCTION("""COMPUTED_VALUE"""),40105.666666666664)</f>
        <v>40105.66667</v>
      </c>
      <c r="C4080" s="9">
        <f>IFERROR(__xludf.DUMMYFUNCTION("""COMPUTED_VALUE"""),23.06)</f>
        <v>23.06</v>
      </c>
      <c r="E4080" s="17"/>
      <c r="M4080" s="17"/>
      <c r="P4080" s="17"/>
    </row>
    <row r="4081">
      <c r="B4081" s="11">
        <f>IFERROR(__xludf.DUMMYFUNCTION("""COMPUTED_VALUE"""),40102.666666666664)</f>
        <v>40102.66667</v>
      </c>
      <c r="C4081" s="9">
        <f>IFERROR(__xludf.DUMMYFUNCTION("""COMPUTED_VALUE"""),22.6)</f>
        <v>22.6</v>
      </c>
      <c r="E4081" s="17"/>
      <c r="M4081" s="17"/>
      <c r="P4081" s="17"/>
    </row>
    <row r="4082">
      <c r="B4082" s="11">
        <f>IFERROR(__xludf.DUMMYFUNCTION("""COMPUTED_VALUE"""),40101.666666666664)</f>
        <v>40101.66667</v>
      </c>
      <c r="C4082" s="9">
        <f>IFERROR(__xludf.DUMMYFUNCTION("""COMPUTED_VALUE"""),22.87)</f>
        <v>22.87</v>
      </c>
      <c r="E4082" s="17"/>
      <c r="M4082" s="17"/>
      <c r="P4082" s="17"/>
    </row>
    <row r="4083">
      <c r="B4083" s="11">
        <f>IFERROR(__xludf.DUMMYFUNCTION("""COMPUTED_VALUE"""),40100.666666666664)</f>
        <v>40100.66667</v>
      </c>
      <c r="C4083" s="9">
        <f>IFERROR(__xludf.DUMMYFUNCTION("""COMPUTED_VALUE"""),23.29)</f>
        <v>23.29</v>
      </c>
      <c r="E4083" s="17"/>
      <c r="M4083" s="17"/>
      <c r="P4083" s="17"/>
    </row>
    <row r="4084">
      <c r="B4084" s="11">
        <f>IFERROR(__xludf.DUMMYFUNCTION("""COMPUTED_VALUE"""),40099.666666666664)</f>
        <v>40099.66667</v>
      </c>
      <c r="C4084" s="9">
        <f>IFERROR(__xludf.DUMMYFUNCTION("""COMPUTED_VALUE"""),22.46)</f>
        <v>22.46</v>
      </c>
      <c r="E4084" s="17"/>
      <c r="M4084" s="17"/>
      <c r="P4084" s="17"/>
    </row>
    <row r="4085">
      <c r="B4085" s="11">
        <f>IFERROR(__xludf.DUMMYFUNCTION("""COMPUTED_VALUE"""),40098.666666666664)</f>
        <v>40098.66667</v>
      </c>
      <c r="C4085" s="9">
        <f>IFERROR(__xludf.DUMMYFUNCTION("""COMPUTED_VALUE"""),22.73)</f>
        <v>22.73</v>
      </c>
      <c r="E4085" s="17"/>
      <c r="M4085" s="17"/>
      <c r="P4085" s="17"/>
    </row>
    <row r="4086">
      <c r="B4086" s="11">
        <f>IFERROR(__xludf.DUMMYFUNCTION("""COMPUTED_VALUE"""),40095.666666666664)</f>
        <v>40095.66667</v>
      </c>
      <c r="C4086" s="9">
        <f>IFERROR(__xludf.DUMMYFUNCTION("""COMPUTED_VALUE"""),22.19)</f>
        <v>22.19</v>
      </c>
      <c r="E4086" s="17"/>
      <c r="M4086" s="17"/>
      <c r="P4086" s="17"/>
    </row>
    <row r="4087">
      <c r="B4087" s="11">
        <f>IFERROR(__xludf.DUMMYFUNCTION("""COMPUTED_VALUE"""),40094.666666666664)</f>
        <v>40094.66667</v>
      </c>
      <c r="C4087" s="9">
        <f>IFERROR(__xludf.DUMMYFUNCTION("""COMPUTED_VALUE"""),22.09)</f>
        <v>22.09</v>
      </c>
      <c r="E4087" s="17"/>
      <c r="M4087" s="17"/>
      <c r="P4087" s="17"/>
    </row>
    <row r="4088">
      <c r="B4088" s="11">
        <f>IFERROR(__xludf.DUMMYFUNCTION("""COMPUTED_VALUE"""),40093.666666666664)</f>
        <v>40093.66667</v>
      </c>
      <c r="C4088" s="9">
        <f>IFERROR(__xludf.DUMMYFUNCTION("""COMPUTED_VALUE"""),21.56)</f>
        <v>21.56</v>
      </c>
      <c r="E4088" s="17"/>
      <c r="M4088" s="17"/>
      <c r="P4088" s="17"/>
    </row>
    <row r="4089">
      <c r="B4089" s="11">
        <f>IFERROR(__xludf.DUMMYFUNCTION("""COMPUTED_VALUE"""),40092.666666666664)</f>
        <v>40092.66667</v>
      </c>
      <c r="C4089" s="9">
        <f>IFERROR(__xludf.DUMMYFUNCTION("""COMPUTED_VALUE"""),21.51)</f>
        <v>21.51</v>
      </c>
      <c r="E4089" s="17"/>
      <c r="M4089" s="17"/>
      <c r="P4089" s="17"/>
    </row>
    <row r="4090">
      <c r="B4090" s="11">
        <f>IFERROR(__xludf.DUMMYFUNCTION("""COMPUTED_VALUE"""),40091.666666666664)</f>
        <v>40091.66667</v>
      </c>
      <c r="C4090" s="9">
        <f>IFERROR(__xludf.DUMMYFUNCTION("""COMPUTED_VALUE"""),21.67)</f>
        <v>21.67</v>
      </c>
      <c r="E4090" s="17"/>
      <c r="M4090" s="17"/>
      <c r="P4090" s="17"/>
    </row>
    <row r="4091">
      <c r="B4091" s="11">
        <f>IFERROR(__xludf.DUMMYFUNCTION("""COMPUTED_VALUE"""),40088.666666666664)</f>
        <v>40088.66667</v>
      </c>
      <c r="C4091" s="9">
        <f>IFERROR(__xludf.DUMMYFUNCTION("""COMPUTED_VALUE"""),21.21)</f>
        <v>21.21</v>
      </c>
      <c r="E4091" s="17"/>
      <c r="M4091" s="17"/>
      <c r="P4091" s="17"/>
    </row>
    <row r="4092">
      <c r="B4092" s="11">
        <f>IFERROR(__xludf.DUMMYFUNCTION("""COMPUTED_VALUE"""),40087.666666666664)</f>
        <v>40087.66667</v>
      </c>
      <c r="C4092" s="9">
        <f>IFERROR(__xludf.DUMMYFUNCTION("""COMPUTED_VALUE"""),21.22)</f>
        <v>21.22</v>
      </c>
      <c r="E4092" s="17"/>
      <c r="M4092" s="17"/>
      <c r="P4092" s="17"/>
    </row>
    <row r="4093">
      <c r="B4093" s="11">
        <f>IFERROR(__xludf.DUMMYFUNCTION("""COMPUTED_VALUE"""),40086.666666666664)</f>
        <v>40086.66667</v>
      </c>
      <c r="C4093" s="9">
        <f>IFERROR(__xludf.DUMMYFUNCTION("""COMPUTED_VALUE"""),22.95)</f>
        <v>22.95</v>
      </c>
      <c r="E4093" s="17"/>
      <c r="M4093" s="17"/>
      <c r="P4093" s="17"/>
    </row>
    <row r="4094">
      <c r="B4094" s="11">
        <f>IFERROR(__xludf.DUMMYFUNCTION("""COMPUTED_VALUE"""),40085.666666666664)</f>
        <v>40085.66667</v>
      </c>
      <c r="C4094" s="9">
        <f>IFERROR(__xludf.DUMMYFUNCTION("""COMPUTED_VALUE"""),23.15)</f>
        <v>23.15</v>
      </c>
      <c r="E4094" s="17"/>
      <c r="M4094" s="17"/>
      <c r="P4094" s="17"/>
    </row>
    <row r="4095">
      <c r="B4095" s="11">
        <f>IFERROR(__xludf.DUMMYFUNCTION("""COMPUTED_VALUE"""),40084.666666666664)</f>
        <v>40084.66667</v>
      </c>
      <c r="C4095" s="9">
        <f>IFERROR(__xludf.DUMMYFUNCTION("""COMPUTED_VALUE"""),23.6)</f>
        <v>23.6</v>
      </c>
      <c r="E4095" s="17"/>
      <c r="M4095" s="17"/>
      <c r="P4095" s="17"/>
    </row>
    <row r="4096">
      <c r="B4096" s="11">
        <f>IFERROR(__xludf.DUMMYFUNCTION("""COMPUTED_VALUE"""),40081.666666666664)</f>
        <v>40081.66667</v>
      </c>
      <c r="C4096" s="9">
        <f>IFERROR(__xludf.DUMMYFUNCTION("""COMPUTED_VALUE"""),22.56)</f>
        <v>22.56</v>
      </c>
      <c r="E4096" s="17"/>
      <c r="M4096" s="17"/>
      <c r="P4096" s="17"/>
    </row>
    <row r="4097">
      <c r="B4097" s="11">
        <f>IFERROR(__xludf.DUMMYFUNCTION("""COMPUTED_VALUE"""),40080.666666666664)</f>
        <v>40080.66667</v>
      </c>
      <c r="C4097" s="9">
        <f>IFERROR(__xludf.DUMMYFUNCTION("""COMPUTED_VALUE"""),22.65)</f>
        <v>22.65</v>
      </c>
      <c r="E4097" s="17"/>
      <c r="M4097" s="17"/>
      <c r="P4097" s="17"/>
    </row>
    <row r="4098">
      <c r="B4098" s="11">
        <f>IFERROR(__xludf.DUMMYFUNCTION("""COMPUTED_VALUE"""),40079.666666666664)</f>
        <v>40079.66667</v>
      </c>
      <c r="C4098" s="9">
        <f>IFERROR(__xludf.DUMMYFUNCTION("""COMPUTED_VALUE"""),24.06)</f>
        <v>24.06</v>
      </c>
      <c r="E4098" s="17"/>
      <c r="M4098" s="17"/>
      <c r="P4098" s="17"/>
    </row>
    <row r="4099">
      <c r="B4099" s="11">
        <f>IFERROR(__xludf.DUMMYFUNCTION("""COMPUTED_VALUE"""),40078.666666666664)</f>
        <v>40078.66667</v>
      </c>
      <c r="C4099" s="9">
        <f>IFERROR(__xludf.DUMMYFUNCTION("""COMPUTED_VALUE"""),25.1)</f>
        <v>25.1</v>
      </c>
      <c r="E4099" s="17"/>
      <c r="M4099" s="17"/>
      <c r="P4099" s="17"/>
    </row>
    <row r="4100">
      <c r="B4100" s="11">
        <f>IFERROR(__xludf.DUMMYFUNCTION("""COMPUTED_VALUE"""),40077.666666666664)</f>
        <v>40077.66667</v>
      </c>
      <c r="C4100" s="9">
        <f>IFERROR(__xludf.DUMMYFUNCTION("""COMPUTED_VALUE"""),24.31)</f>
        <v>24.31</v>
      </c>
      <c r="E4100" s="17"/>
      <c r="M4100" s="17"/>
      <c r="P4100" s="17"/>
    </row>
    <row r="4101">
      <c r="B4101" s="11">
        <f>IFERROR(__xludf.DUMMYFUNCTION("""COMPUTED_VALUE"""),40074.666666666664)</f>
        <v>40074.66667</v>
      </c>
      <c r="C4101" s="9">
        <f>IFERROR(__xludf.DUMMYFUNCTION("""COMPUTED_VALUE"""),24.85)</f>
        <v>24.85</v>
      </c>
      <c r="E4101" s="17"/>
      <c r="M4101" s="17"/>
      <c r="P4101" s="17"/>
    </row>
    <row r="4102">
      <c r="B4102" s="11">
        <f>IFERROR(__xludf.DUMMYFUNCTION("""COMPUTED_VALUE"""),40073.666666666664)</f>
        <v>40073.66667</v>
      </c>
      <c r="C4102" s="9">
        <f>IFERROR(__xludf.DUMMYFUNCTION("""COMPUTED_VALUE"""),24.5)</f>
        <v>24.5</v>
      </c>
      <c r="E4102" s="17"/>
      <c r="M4102" s="17"/>
      <c r="P4102" s="17"/>
    </row>
    <row r="4103">
      <c r="B4103" s="11">
        <f>IFERROR(__xludf.DUMMYFUNCTION("""COMPUTED_VALUE"""),40072.666666666664)</f>
        <v>40072.66667</v>
      </c>
      <c r="C4103" s="9">
        <f>IFERROR(__xludf.DUMMYFUNCTION("""COMPUTED_VALUE"""),25.02)</f>
        <v>25.02</v>
      </c>
      <c r="E4103" s="17"/>
      <c r="M4103" s="17"/>
      <c r="P4103" s="17"/>
    </row>
    <row r="4104">
      <c r="B4104" s="11">
        <f>IFERROR(__xludf.DUMMYFUNCTION("""COMPUTED_VALUE"""),40071.666666666664)</f>
        <v>40071.66667</v>
      </c>
      <c r="C4104" s="9">
        <f>IFERROR(__xludf.DUMMYFUNCTION("""COMPUTED_VALUE"""),23.6)</f>
        <v>23.6</v>
      </c>
      <c r="E4104" s="17"/>
      <c r="M4104" s="17"/>
      <c r="P4104" s="17"/>
    </row>
    <row r="4105">
      <c r="B4105" s="11">
        <f>IFERROR(__xludf.DUMMYFUNCTION("""COMPUTED_VALUE"""),40070.666666666664)</f>
        <v>40070.66667</v>
      </c>
      <c r="C4105" s="9">
        <f>IFERROR(__xludf.DUMMYFUNCTION("""COMPUTED_VALUE"""),23.08)</f>
        <v>23.08</v>
      </c>
      <c r="E4105" s="17"/>
      <c r="M4105" s="17"/>
      <c r="P4105" s="17"/>
    </row>
    <row r="4106">
      <c r="B4106" s="11">
        <f>IFERROR(__xludf.DUMMYFUNCTION("""COMPUTED_VALUE"""),40067.666666666664)</f>
        <v>40067.66667</v>
      </c>
      <c r="C4106" s="9">
        <f>IFERROR(__xludf.DUMMYFUNCTION("""COMPUTED_VALUE"""),22.27)</f>
        <v>22.27</v>
      </c>
      <c r="E4106" s="17"/>
      <c r="M4106" s="17"/>
      <c r="P4106" s="17"/>
    </row>
    <row r="4107">
      <c r="B4107" s="11">
        <f>IFERROR(__xludf.DUMMYFUNCTION("""COMPUTED_VALUE"""),40066.666666666664)</f>
        <v>40066.66667</v>
      </c>
      <c r="C4107" s="9">
        <f>IFERROR(__xludf.DUMMYFUNCTION("""COMPUTED_VALUE"""),22.79)</f>
        <v>22.79</v>
      </c>
      <c r="E4107" s="17"/>
      <c r="M4107" s="17"/>
      <c r="P4107" s="17"/>
    </row>
    <row r="4108">
      <c r="B4108" s="11">
        <f>IFERROR(__xludf.DUMMYFUNCTION("""COMPUTED_VALUE"""),40065.666666666664)</f>
        <v>40065.66667</v>
      </c>
      <c r="C4108" s="9">
        <f>IFERROR(__xludf.DUMMYFUNCTION("""COMPUTED_VALUE"""),22.38)</f>
        <v>22.38</v>
      </c>
      <c r="E4108" s="17"/>
      <c r="M4108" s="17"/>
      <c r="P4108" s="17"/>
    </row>
    <row r="4109">
      <c r="B4109" s="11">
        <f>IFERROR(__xludf.DUMMYFUNCTION("""COMPUTED_VALUE"""),40064.666666666664)</f>
        <v>40064.66667</v>
      </c>
      <c r="C4109" s="9">
        <f>IFERROR(__xludf.DUMMYFUNCTION("""COMPUTED_VALUE"""),21.61)</f>
        <v>21.61</v>
      </c>
      <c r="E4109" s="17"/>
      <c r="M4109" s="17"/>
      <c r="P4109" s="17"/>
    </row>
    <row r="4110">
      <c r="B4110" s="11">
        <f>IFERROR(__xludf.DUMMYFUNCTION("""COMPUTED_VALUE"""),40060.666666666664)</f>
        <v>40060.66667</v>
      </c>
      <c r="C4110" s="9">
        <f>IFERROR(__xludf.DUMMYFUNCTION("""COMPUTED_VALUE"""),20.84)</f>
        <v>20.84</v>
      </c>
      <c r="E4110" s="17"/>
      <c r="M4110" s="17"/>
      <c r="P4110" s="17"/>
    </row>
    <row r="4111">
      <c r="B4111" s="11">
        <f>IFERROR(__xludf.DUMMYFUNCTION("""COMPUTED_VALUE"""),40059.666666666664)</f>
        <v>40059.66667</v>
      </c>
      <c r="C4111" s="9">
        <f>IFERROR(__xludf.DUMMYFUNCTION("""COMPUTED_VALUE"""),20.69)</f>
        <v>20.69</v>
      </c>
      <c r="E4111" s="17"/>
      <c r="M4111" s="17"/>
      <c r="P4111" s="17"/>
    </row>
    <row r="4112">
      <c r="B4112" s="11">
        <f>IFERROR(__xludf.DUMMYFUNCTION("""COMPUTED_VALUE"""),40058.666666666664)</f>
        <v>40058.66667</v>
      </c>
      <c r="C4112" s="9">
        <f>IFERROR(__xludf.DUMMYFUNCTION("""COMPUTED_VALUE"""),20.63)</f>
        <v>20.63</v>
      </c>
      <c r="E4112" s="17"/>
      <c r="M4112" s="17"/>
      <c r="P4112" s="17"/>
    </row>
    <row r="4113">
      <c r="B4113" s="11">
        <f>IFERROR(__xludf.DUMMYFUNCTION("""COMPUTED_VALUE"""),40057.666666666664)</f>
        <v>40057.66667</v>
      </c>
      <c r="C4113" s="9">
        <f>IFERROR(__xludf.DUMMYFUNCTION("""COMPUTED_VALUE"""),21.24)</f>
        <v>21.24</v>
      </c>
      <c r="E4113" s="17"/>
      <c r="M4113" s="17"/>
      <c r="P4113" s="17"/>
    </row>
    <row r="4114">
      <c r="B4114" s="11">
        <f>IFERROR(__xludf.DUMMYFUNCTION("""COMPUTED_VALUE"""),40056.666666666664)</f>
        <v>40056.66667</v>
      </c>
      <c r="C4114" s="9">
        <f>IFERROR(__xludf.DUMMYFUNCTION("""COMPUTED_VALUE"""),22.83)</f>
        <v>22.83</v>
      </c>
      <c r="E4114" s="17"/>
      <c r="M4114" s="17"/>
      <c r="P4114" s="17"/>
    </row>
    <row r="4115">
      <c r="B4115" s="11">
        <f>IFERROR(__xludf.DUMMYFUNCTION("""COMPUTED_VALUE"""),40053.666666666664)</f>
        <v>40053.66667</v>
      </c>
      <c r="C4115" s="9">
        <f>IFERROR(__xludf.DUMMYFUNCTION("""COMPUTED_VALUE"""),23.42)</f>
        <v>23.42</v>
      </c>
      <c r="E4115" s="17"/>
      <c r="M4115" s="17"/>
      <c r="P4115" s="17"/>
    </row>
    <row r="4116">
      <c r="B4116" s="11">
        <f>IFERROR(__xludf.DUMMYFUNCTION("""COMPUTED_VALUE"""),40052.666666666664)</f>
        <v>40052.66667</v>
      </c>
      <c r="C4116" s="9">
        <f>IFERROR(__xludf.DUMMYFUNCTION("""COMPUTED_VALUE"""),23.28)</f>
        <v>23.28</v>
      </c>
      <c r="E4116" s="17"/>
      <c r="M4116" s="17"/>
      <c r="P4116" s="17"/>
    </row>
    <row r="4117">
      <c r="B4117" s="11">
        <f>IFERROR(__xludf.DUMMYFUNCTION("""COMPUTED_VALUE"""),40051.666666666664)</f>
        <v>40051.66667</v>
      </c>
      <c r="C4117" s="9">
        <f>IFERROR(__xludf.DUMMYFUNCTION("""COMPUTED_VALUE"""),22.99)</f>
        <v>22.99</v>
      </c>
      <c r="E4117" s="17"/>
      <c r="M4117" s="17"/>
      <c r="P4117" s="17"/>
    </row>
    <row r="4118">
      <c r="B4118" s="11">
        <f>IFERROR(__xludf.DUMMYFUNCTION("""COMPUTED_VALUE"""),40050.666666666664)</f>
        <v>40050.66667</v>
      </c>
      <c r="C4118" s="9">
        <f>IFERROR(__xludf.DUMMYFUNCTION("""COMPUTED_VALUE"""),22.89)</f>
        <v>22.89</v>
      </c>
      <c r="E4118" s="17"/>
      <c r="M4118" s="17"/>
      <c r="P4118" s="17"/>
    </row>
    <row r="4119">
      <c r="B4119" s="11">
        <f>IFERROR(__xludf.DUMMYFUNCTION("""COMPUTED_VALUE"""),40049.666666666664)</f>
        <v>40049.66667</v>
      </c>
      <c r="C4119" s="9">
        <f>IFERROR(__xludf.DUMMYFUNCTION("""COMPUTED_VALUE"""),22.64)</f>
        <v>22.64</v>
      </c>
      <c r="E4119" s="17"/>
      <c r="M4119" s="17"/>
      <c r="P4119" s="17"/>
    </row>
    <row r="4120">
      <c r="B4120" s="11">
        <f>IFERROR(__xludf.DUMMYFUNCTION("""COMPUTED_VALUE"""),40046.666666666664)</f>
        <v>40046.66667</v>
      </c>
      <c r="C4120" s="9">
        <f>IFERROR(__xludf.DUMMYFUNCTION("""COMPUTED_VALUE"""),22.73)</f>
        <v>22.73</v>
      </c>
      <c r="E4120" s="17"/>
      <c r="M4120" s="17"/>
      <c r="P4120" s="17"/>
    </row>
    <row r="4121">
      <c r="B4121" s="11">
        <f>IFERROR(__xludf.DUMMYFUNCTION("""COMPUTED_VALUE"""),40045.666666666664)</f>
        <v>40045.66667</v>
      </c>
      <c r="C4121" s="9">
        <f>IFERROR(__xludf.DUMMYFUNCTION("""COMPUTED_VALUE"""),21.93)</f>
        <v>21.93</v>
      </c>
      <c r="E4121" s="17"/>
      <c r="M4121" s="17"/>
      <c r="P4121" s="17"/>
    </row>
    <row r="4122">
      <c r="B4122" s="11">
        <f>IFERROR(__xludf.DUMMYFUNCTION("""COMPUTED_VALUE"""),40044.666666666664)</f>
        <v>40044.66667</v>
      </c>
      <c r="C4122" s="9">
        <f>IFERROR(__xludf.DUMMYFUNCTION("""COMPUTED_VALUE"""),21.09)</f>
        <v>21.09</v>
      </c>
      <c r="E4122" s="17"/>
      <c r="M4122" s="17"/>
      <c r="P4122" s="17"/>
    </row>
    <row r="4123">
      <c r="B4123" s="11">
        <f>IFERROR(__xludf.DUMMYFUNCTION("""COMPUTED_VALUE"""),40043.666666666664)</f>
        <v>40043.66667</v>
      </c>
      <c r="C4123" s="9">
        <f>IFERROR(__xludf.DUMMYFUNCTION("""COMPUTED_VALUE"""),21.45)</f>
        <v>21.45</v>
      </c>
      <c r="E4123" s="17"/>
      <c r="M4123" s="17"/>
      <c r="P4123" s="17"/>
    </row>
    <row r="4124">
      <c r="B4124" s="11">
        <f>IFERROR(__xludf.DUMMYFUNCTION("""COMPUTED_VALUE"""),40042.666666666664)</f>
        <v>40042.66667</v>
      </c>
      <c r="C4124" s="9">
        <f>IFERROR(__xludf.DUMMYFUNCTION("""COMPUTED_VALUE"""),20.74)</f>
        <v>20.74</v>
      </c>
      <c r="E4124" s="17"/>
      <c r="M4124" s="17"/>
      <c r="P4124" s="17"/>
    </row>
    <row r="4125">
      <c r="B4125" s="11">
        <f>IFERROR(__xludf.DUMMYFUNCTION("""COMPUTED_VALUE"""),40039.666666666664)</f>
        <v>40039.66667</v>
      </c>
      <c r="C4125" s="9">
        <f>IFERROR(__xludf.DUMMYFUNCTION("""COMPUTED_VALUE"""),22.21)</f>
        <v>22.21</v>
      </c>
      <c r="E4125" s="17"/>
      <c r="M4125" s="17"/>
      <c r="P4125" s="17"/>
    </row>
    <row r="4126">
      <c r="B4126" s="11">
        <f>IFERROR(__xludf.DUMMYFUNCTION("""COMPUTED_VALUE"""),40038.666666666664)</f>
        <v>40038.66667</v>
      </c>
      <c r="C4126" s="9">
        <f>IFERROR(__xludf.DUMMYFUNCTION("""COMPUTED_VALUE"""),22.11)</f>
        <v>22.11</v>
      </c>
      <c r="E4126" s="17"/>
      <c r="M4126" s="17"/>
      <c r="P4126" s="17"/>
    </row>
    <row r="4127">
      <c r="B4127" s="11">
        <f>IFERROR(__xludf.DUMMYFUNCTION("""COMPUTED_VALUE"""),40037.666666666664)</f>
        <v>40037.66667</v>
      </c>
      <c r="C4127" s="9">
        <f>IFERROR(__xludf.DUMMYFUNCTION("""COMPUTED_VALUE"""),21.76)</f>
        <v>21.76</v>
      </c>
      <c r="E4127" s="17"/>
      <c r="M4127" s="17"/>
      <c r="P4127" s="17"/>
    </row>
    <row r="4128">
      <c r="B4128" s="11">
        <f>IFERROR(__xludf.DUMMYFUNCTION("""COMPUTED_VALUE"""),40036.666666666664)</f>
        <v>40036.66667</v>
      </c>
      <c r="C4128" s="9">
        <f>IFERROR(__xludf.DUMMYFUNCTION("""COMPUTED_VALUE"""),21.46)</f>
        <v>21.46</v>
      </c>
      <c r="E4128" s="17"/>
      <c r="M4128" s="17"/>
      <c r="P4128" s="17"/>
    </row>
    <row r="4129">
      <c r="B4129" s="11">
        <f>IFERROR(__xludf.DUMMYFUNCTION("""COMPUTED_VALUE"""),40035.666666666664)</f>
        <v>40035.66667</v>
      </c>
      <c r="C4129" s="9">
        <f>IFERROR(__xludf.DUMMYFUNCTION("""COMPUTED_VALUE"""),23.04)</f>
        <v>23.04</v>
      </c>
      <c r="E4129" s="17"/>
      <c r="M4129" s="17"/>
      <c r="P4129" s="17"/>
    </row>
    <row r="4130">
      <c r="B4130" s="11">
        <f>IFERROR(__xludf.DUMMYFUNCTION("""COMPUTED_VALUE"""),40032.666666666664)</f>
        <v>40032.66667</v>
      </c>
      <c r="C4130" s="9">
        <f>IFERROR(__xludf.DUMMYFUNCTION("""COMPUTED_VALUE"""),23.78)</f>
        <v>23.78</v>
      </c>
      <c r="E4130" s="17"/>
      <c r="M4130" s="17"/>
      <c r="P4130" s="17"/>
    </row>
    <row r="4131">
      <c r="B4131" s="11">
        <f>IFERROR(__xludf.DUMMYFUNCTION("""COMPUTED_VALUE"""),40031.666666666664)</f>
        <v>40031.66667</v>
      </c>
      <c r="C4131" s="9">
        <f>IFERROR(__xludf.DUMMYFUNCTION("""COMPUTED_VALUE"""),22.93)</f>
        <v>22.93</v>
      </c>
      <c r="E4131" s="17"/>
      <c r="M4131" s="17"/>
      <c r="P4131" s="17"/>
    </row>
    <row r="4132">
      <c r="B4132" s="11">
        <f>IFERROR(__xludf.DUMMYFUNCTION("""COMPUTED_VALUE"""),40030.666666666664)</f>
        <v>40030.66667</v>
      </c>
      <c r="C4132" s="9">
        <f>IFERROR(__xludf.DUMMYFUNCTION("""COMPUTED_VALUE"""),22.66)</f>
        <v>22.66</v>
      </c>
      <c r="E4132" s="17"/>
      <c r="M4132" s="17"/>
      <c r="P4132" s="17"/>
    </row>
    <row r="4133">
      <c r="B4133" s="11">
        <f>IFERROR(__xludf.DUMMYFUNCTION("""COMPUTED_VALUE"""),40029.666666666664)</f>
        <v>40029.66667</v>
      </c>
      <c r="C4133" s="9">
        <f>IFERROR(__xludf.DUMMYFUNCTION("""COMPUTED_VALUE"""),21.55)</f>
        <v>21.55</v>
      </c>
      <c r="E4133" s="17"/>
      <c r="M4133" s="17"/>
      <c r="P4133" s="17"/>
    </row>
    <row r="4134">
      <c r="B4134" s="11">
        <f>IFERROR(__xludf.DUMMYFUNCTION("""COMPUTED_VALUE"""),40028.666666666664)</f>
        <v>40028.66667</v>
      </c>
      <c r="C4134" s="9">
        <f>IFERROR(__xludf.DUMMYFUNCTION("""COMPUTED_VALUE"""),20.45)</f>
        <v>20.45</v>
      </c>
      <c r="E4134" s="17"/>
      <c r="M4134" s="17"/>
      <c r="P4134" s="17"/>
    </row>
    <row r="4135">
      <c r="B4135" s="11">
        <f>IFERROR(__xludf.DUMMYFUNCTION("""COMPUTED_VALUE"""),40025.666666666664)</f>
        <v>40025.66667</v>
      </c>
      <c r="C4135" s="9">
        <f>IFERROR(__xludf.DUMMYFUNCTION("""COMPUTED_VALUE"""),19.81)</f>
        <v>19.81</v>
      </c>
      <c r="E4135" s="17"/>
      <c r="M4135" s="17"/>
      <c r="P4135" s="17"/>
    </row>
    <row r="4136">
      <c r="B4136" s="11">
        <f>IFERROR(__xludf.DUMMYFUNCTION("""COMPUTED_VALUE"""),40024.666666666664)</f>
        <v>40024.66667</v>
      </c>
      <c r="C4136" s="9">
        <f>IFERROR(__xludf.DUMMYFUNCTION("""COMPUTED_VALUE"""),19.41)</f>
        <v>19.41</v>
      </c>
      <c r="E4136" s="17"/>
      <c r="M4136" s="17"/>
      <c r="P4136" s="17"/>
    </row>
    <row r="4137">
      <c r="B4137" s="11">
        <f>IFERROR(__xludf.DUMMYFUNCTION("""COMPUTED_VALUE"""),40023.666666666664)</f>
        <v>40023.66667</v>
      </c>
      <c r="C4137" s="9">
        <f>IFERROR(__xludf.DUMMYFUNCTION("""COMPUTED_VALUE"""),18.56)</f>
        <v>18.56</v>
      </c>
      <c r="E4137" s="17"/>
      <c r="M4137" s="17"/>
      <c r="P4137" s="17"/>
    </row>
    <row r="4138">
      <c r="B4138" s="11">
        <f>IFERROR(__xludf.DUMMYFUNCTION("""COMPUTED_VALUE"""),40022.666666666664)</f>
        <v>40022.66667</v>
      </c>
      <c r="C4138" s="9">
        <f>IFERROR(__xludf.DUMMYFUNCTION("""COMPUTED_VALUE"""),18.87)</f>
        <v>18.87</v>
      </c>
      <c r="E4138" s="17"/>
      <c r="M4138" s="17"/>
      <c r="P4138" s="17"/>
    </row>
    <row r="4139">
      <c r="B4139" s="11">
        <f>IFERROR(__xludf.DUMMYFUNCTION("""COMPUTED_VALUE"""),40021.666666666664)</f>
        <v>40021.66667</v>
      </c>
      <c r="C4139" s="9">
        <f>IFERROR(__xludf.DUMMYFUNCTION("""COMPUTED_VALUE"""),19.52)</f>
        <v>19.52</v>
      </c>
      <c r="E4139" s="17"/>
      <c r="M4139" s="17"/>
      <c r="P4139" s="17"/>
    </row>
    <row r="4140">
      <c r="B4140" s="11">
        <f>IFERROR(__xludf.DUMMYFUNCTION("""COMPUTED_VALUE"""),40018.666666666664)</f>
        <v>40018.66667</v>
      </c>
      <c r="C4140" s="9">
        <f>IFERROR(__xludf.DUMMYFUNCTION("""COMPUTED_VALUE"""),19.06)</f>
        <v>19.06</v>
      </c>
      <c r="E4140" s="17"/>
      <c r="M4140" s="17"/>
      <c r="P4140" s="17"/>
    </row>
    <row r="4141">
      <c r="B4141" s="11">
        <f>IFERROR(__xludf.DUMMYFUNCTION("""COMPUTED_VALUE"""),40017.666666666664)</f>
        <v>40017.66667</v>
      </c>
      <c r="C4141" s="9">
        <f>IFERROR(__xludf.DUMMYFUNCTION("""COMPUTED_VALUE"""),18.59)</f>
        <v>18.59</v>
      </c>
      <c r="E4141" s="17"/>
      <c r="M4141" s="17"/>
      <c r="P4141" s="17"/>
    </row>
    <row r="4142">
      <c r="B4142" s="11">
        <f>IFERROR(__xludf.DUMMYFUNCTION("""COMPUTED_VALUE"""),40016.666666666664)</f>
        <v>40016.66667</v>
      </c>
      <c r="C4142" s="9">
        <f>IFERROR(__xludf.DUMMYFUNCTION("""COMPUTED_VALUE"""),17.82)</f>
        <v>17.82</v>
      </c>
      <c r="E4142" s="17"/>
      <c r="M4142" s="17"/>
      <c r="P4142" s="17"/>
    </row>
    <row r="4143">
      <c r="B4143" s="11">
        <f>IFERROR(__xludf.DUMMYFUNCTION("""COMPUTED_VALUE"""),40015.666666666664)</f>
        <v>40015.66667</v>
      </c>
      <c r="C4143" s="9">
        <f>IFERROR(__xludf.DUMMYFUNCTION("""COMPUTED_VALUE"""),17.73)</f>
        <v>17.73</v>
      </c>
      <c r="E4143" s="17"/>
      <c r="M4143" s="17"/>
      <c r="P4143" s="17"/>
    </row>
    <row r="4144">
      <c r="B4144" s="11">
        <f>IFERROR(__xludf.DUMMYFUNCTION("""COMPUTED_VALUE"""),40014.666666666664)</f>
        <v>40014.66667</v>
      </c>
      <c r="C4144" s="9">
        <f>IFERROR(__xludf.DUMMYFUNCTION("""COMPUTED_VALUE"""),18.18)</f>
        <v>18.18</v>
      </c>
      <c r="E4144" s="17"/>
      <c r="M4144" s="17"/>
      <c r="P4144" s="17"/>
    </row>
    <row r="4145">
      <c r="B4145" s="11">
        <f>IFERROR(__xludf.DUMMYFUNCTION("""COMPUTED_VALUE"""),40011.666666666664)</f>
        <v>40011.66667</v>
      </c>
      <c r="C4145" s="9">
        <f>IFERROR(__xludf.DUMMYFUNCTION("""COMPUTED_VALUE"""),17.39)</f>
        <v>17.39</v>
      </c>
      <c r="E4145" s="17"/>
      <c r="M4145" s="17"/>
      <c r="P4145" s="17"/>
    </row>
    <row r="4146">
      <c r="B4146" s="11">
        <f>IFERROR(__xludf.DUMMYFUNCTION("""COMPUTED_VALUE"""),40010.666666666664)</f>
        <v>40010.66667</v>
      </c>
      <c r="C4146" s="9">
        <f>IFERROR(__xludf.DUMMYFUNCTION("""COMPUTED_VALUE"""),18.04)</f>
        <v>18.04</v>
      </c>
      <c r="E4146" s="17"/>
      <c r="M4146" s="17"/>
      <c r="P4146" s="17"/>
    </row>
    <row r="4147">
      <c r="B4147" s="11">
        <f>IFERROR(__xludf.DUMMYFUNCTION("""COMPUTED_VALUE"""),40009.666666666664)</f>
        <v>40009.66667</v>
      </c>
      <c r="C4147" s="9">
        <f>IFERROR(__xludf.DUMMYFUNCTION("""COMPUTED_VALUE"""),17.73)</f>
        <v>17.73</v>
      </c>
      <c r="E4147" s="17"/>
      <c r="M4147" s="17"/>
      <c r="P4147" s="17"/>
    </row>
    <row r="4148">
      <c r="B4148" s="11">
        <f>IFERROR(__xludf.DUMMYFUNCTION("""COMPUTED_VALUE"""),40008.666666666664)</f>
        <v>40008.66667</v>
      </c>
      <c r="C4148" s="9">
        <f>IFERROR(__xludf.DUMMYFUNCTION("""COMPUTED_VALUE"""),17.53)</f>
        <v>17.53</v>
      </c>
      <c r="E4148" s="17"/>
      <c r="M4148" s="17"/>
      <c r="P4148" s="17"/>
    </row>
    <row r="4149">
      <c r="B4149" s="11">
        <f>IFERROR(__xludf.DUMMYFUNCTION("""COMPUTED_VALUE"""),40007.666666666664)</f>
        <v>40007.66667</v>
      </c>
      <c r="C4149" s="9">
        <f>IFERROR(__xludf.DUMMYFUNCTION("""COMPUTED_VALUE"""),17.58)</f>
        <v>17.58</v>
      </c>
      <c r="E4149" s="17"/>
      <c r="M4149" s="17"/>
      <c r="P4149" s="17"/>
    </row>
    <row r="4150">
      <c r="B4150" s="11">
        <f>IFERROR(__xludf.DUMMYFUNCTION("""COMPUTED_VALUE"""),40004.666666666664)</f>
        <v>40004.66667</v>
      </c>
      <c r="C4150" s="9">
        <f>IFERROR(__xludf.DUMMYFUNCTION("""COMPUTED_VALUE"""),16.61)</f>
        <v>16.61</v>
      </c>
      <c r="E4150" s="17"/>
      <c r="M4150" s="17"/>
      <c r="P4150" s="17"/>
    </row>
    <row r="4151">
      <c r="B4151" s="11">
        <f>IFERROR(__xludf.DUMMYFUNCTION("""COMPUTED_VALUE"""),40003.666666666664)</f>
        <v>40003.66667</v>
      </c>
      <c r="C4151" s="9">
        <f>IFERROR(__xludf.DUMMYFUNCTION("""COMPUTED_VALUE"""),16.78)</f>
        <v>16.78</v>
      </c>
      <c r="E4151" s="17"/>
      <c r="M4151" s="17"/>
      <c r="P4151" s="17"/>
    </row>
    <row r="4152">
      <c r="B4152" s="11">
        <f>IFERROR(__xludf.DUMMYFUNCTION("""COMPUTED_VALUE"""),40002.666666666664)</f>
        <v>40002.66667</v>
      </c>
      <c r="C4152" s="9">
        <f>IFERROR(__xludf.DUMMYFUNCTION("""COMPUTED_VALUE"""),17.05)</f>
        <v>17.05</v>
      </c>
      <c r="E4152" s="17"/>
      <c r="M4152" s="17"/>
      <c r="P4152" s="17"/>
    </row>
    <row r="4153">
      <c r="B4153" s="11">
        <f>IFERROR(__xludf.DUMMYFUNCTION("""COMPUTED_VALUE"""),40001.666666666664)</f>
        <v>40001.66667</v>
      </c>
      <c r="C4153" s="9">
        <f>IFERROR(__xludf.DUMMYFUNCTION("""COMPUTED_VALUE"""),17.3)</f>
        <v>17.3</v>
      </c>
      <c r="E4153" s="17"/>
      <c r="M4153" s="17"/>
      <c r="P4153" s="17"/>
    </row>
    <row r="4154">
      <c r="B4154" s="11">
        <f>IFERROR(__xludf.DUMMYFUNCTION("""COMPUTED_VALUE"""),40000.666666666664)</f>
        <v>40000.66667</v>
      </c>
      <c r="C4154" s="9">
        <f>IFERROR(__xludf.DUMMYFUNCTION("""COMPUTED_VALUE"""),18.16)</f>
        <v>18.16</v>
      </c>
      <c r="E4154" s="17"/>
      <c r="M4154" s="17"/>
      <c r="P4154" s="17"/>
    </row>
    <row r="4155">
      <c r="B4155" s="11">
        <f>IFERROR(__xludf.DUMMYFUNCTION("""COMPUTED_VALUE"""),39997.666666666664)</f>
        <v>39997.66667</v>
      </c>
      <c r="C4155" s="9">
        <f>IFERROR(__xludf.DUMMYFUNCTION("""COMPUTED_VALUE"""),17.54)</f>
        <v>17.54</v>
      </c>
      <c r="E4155" s="17"/>
      <c r="M4155" s="17"/>
      <c r="P4155" s="17"/>
    </row>
    <row r="4156">
      <c r="B4156" s="11">
        <f>IFERROR(__xludf.DUMMYFUNCTION("""COMPUTED_VALUE"""),39996.666666666664)</f>
        <v>39996.66667</v>
      </c>
      <c r="C4156" s="9">
        <f>IFERROR(__xludf.DUMMYFUNCTION("""COMPUTED_VALUE"""),17.54)</f>
        <v>17.54</v>
      </c>
      <c r="E4156" s="17"/>
      <c r="M4156" s="17"/>
      <c r="P4156" s="17"/>
    </row>
    <row r="4157">
      <c r="B4157" s="11">
        <f>IFERROR(__xludf.DUMMYFUNCTION("""COMPUTED_VALUE"""),39995.666666666664)</f>
        <v>39995.66667</v>
      </c>
      <c r="C4157" s="9">
        <f>IFERROR(__xludf.DUMMYFUNCTION("""COMPUTED_VALUE"""),18.71)</f>
        <v>18.71</v>
      </c>
      <c r="E4157" s="17"/>
      <c r="M4157" s="17"/>
      <c r="P4157" s="17"/>
    </row>
    <row r="4158">
      <c r="B4158" s="11">
        <f>IFERROR(__xludf.DUMMYFUNCTION("""COMPUTED_VALUE"""),39994.666666666664)</f>
        <v>39994.66667</v>
      </c>
      <c r="C4158" s="9">
        <f>IFERROR(__xludf.DUMMYFUNCTION("""COMPUTED_VALUE"""),18.81)</f>
        <v>18.81</v>
      </c>
      <c r="E4158" s="17"/>
      <c r="M4158" s="17"/>
      <c r="P4158" s="17"/>
    </row>
    <row r="4159">
      <c r="B4159" s="11">
        <f>IFERROR(__xludf.DUMMYFUNCTION("""COMPUTED_VALUE"""),39993.666666666664)</f>
        <v>39993.66667</v>
      </c>
      <c r="C4159" s="9">
        <f>IFERROR(__xludf.DUMMYFUNCTION("""COMPUTED_VALUE"""),18.65)</f>
        <v>18.65</v>
      </c>
      <c r="E4159" s="17"/>
      <c r="M4159" s="17"/>
      <c r="P4159" s="17"/>
    </row>
    <row r="4160">
      <c r="B4160" s="11">
        <f>IFERROR(__xludf.DUMMYFUNCTION("""COMPUTED_VALUE"""),39990.666666666664)</f>
        <v>39990.66667</v>
      </c>
      <c r="C4160" s="9">
        <f>IFERROR(__xludf.DUMMYFUNCTION("""COMPUTED_VALUE"""),18.41)</f>
        <v>18.41</v>
      </c>
      <c r="E4160" s="17"/>
      <c r="M4160" s="17"/>
      <c r="P4160" s="17"/>
    </row>
    <row r="4161">
      <c r="B4161" s="11">
        <f>IFERROR(__xludf.DUMMYFUNCTION("""COMPUTED_VALUE"""),39989.666666666664)</f>
        <v>39989.66667</v>
      </c>
      <c r="C4161" s="9">
        <f>IFERROR(__xludf.DUMMYFUNCTION("""COMPUTED_VALUE"""),17.85)</f>
        <v>17.85</v>
      </c>
      <c r="E4161" s="17"/>
      <c r="M4161" s="17"/>
      <c r="P4161" s="17"/>
    </row>
    <row r="4162">
      <c r="B4162" s="11">
        <f>IFERROR(__xludf.DUMMYFUNCTION("""COMPUTED_VALUE"""),39988.666666666664)</f>
        <v>39988.66667</v>
      </c>
      <c r="C4162" s="9">
        <f>IFERROR(__xludf.DUMMYFUNCTION("""COMPUTED_VALUE"""),17.46)</f>
        <v>17.46</v>
      </c>
      <c r="E4162" s="17"/>
      <c r="M4162" s="17"/>
      <c r="P4162" s="17"/>
    </row>
    <row r="4163">
      <c r="B4163" s="11">
        <f>IFERROR(__xludf.DUMMYFUNCTION("""COMPUTED_VALUE"""),39987.666666666664)</f>
        <v>39987.66667</v>
      </c>
      <c r="C4163" s="9">
        <f>IFERROR(__xludf.DUMMYFUNCTION("""COMPUTED_VALUE"""),17.11)</f>
        <v>17.11</v>
      </c>
      <c r="E4163" s="17"/>
      <c r="M4163" s="17"/>
      <c r="P4163" s="17"/>
    </row>
    <row r="4164">
      <c r="B4164" s="11">
        <f>IFERROR(__xludf.DUMMYFUNCTION("""COMPUTED_VALUE"""),39986.666666666664)</f>
        <v>39986.66667</v>
      </c>
      <c r="C4164" s="9">
        <f>IFERROR(__xludf.DUMMYFUNCTION("""COMPUTED_VALUE"""),17.02)</f>
        <v>17.02</v>
      </c>
      <c r="E4164" s="17"/>
      <c r="M4164" s="17"/>
      <c r="P4164" s="17"/>
    </row>
    <row r="4165">
      <c r="B4165" s="11">
        <f>IFERROR(__xludf.DUMMYFUNCTION("""COMPUTED_VALUE"""),39983.666666666664)</f>
        <v>39983.66667</v>
      </c>
      <c r="C4165" s="9">
        <f>IFERROR(__xludf.DUMMYFUNCTION("""COMPUTED_VALUE"""),18.66)</f>
        <v>18.66</v>
      </c>
      <c r="E4165" s="17"/>
      <c r="M4165" s="17"/>
      <c r="P4165" s="17"/>
    </row>
    <row r="4166">
      <c r="B4166" s="11">
        <f>IFERROR(__xludf.DUMMYFUNCTION("""COMPUTED_VALUE"""),39982.666666666664)</f>
        <v>39982.66667</v>
      </c>
      <c r="C4166" s="9">
        <f>IFERROR(__xludf.DUMMYFUNCTION("""COMPUTED_VALUE"""),18.29)</f>
        <v>18.29</v>
      </c>
      <c r="E4166" s="17"/>
      <c r="M4166" s="17"/>
      <c r="P4166" s="17"/>
    </row>
    <row r="4167">
      <c r="B4167" s="11">
        <f>IFERROR(__xludf.DUMMYFUNCTION("""COMPUTED_VALUE"""),39981.666666666664)</f>
        <v>39981.66667</v>
      </c>
      <c r="C4167" s="9">
        <f>IFERROR(__xludf.DUMMYFUNCTION("""COMPUTED_VALUE"""),17.76)</f>
        <v>17.76</v>
      </c>
      <c r="E4167" s="17"/>
      <c r="M4167" s="17"/>
      <c r="P4167" s="17"/>
    </row>
    <row r="4168">
      <c r="B4168" s="11">
        <f>IFERROR(__xludf.DUMMYFUNCTION("""COMPUTED_VALUE"""),39980.666666666664)</f>
        <v>39980.66667</v>
      </c>
      <c r="C4168" s="9">
        <f>IFERROR(__xludf.DUMMYFUNCTION("""COMPUTED_VALUE"""),17.97)</f>
        <v>17.97</v>
      </c>
      <c r="E4168" s="17"/>
      <c r="M4168" s="17"/>
      <c r="P4168" s="17"/>
    </row>
    <row r="4169">
      <c r="B4169" s="11">
        <f>IFERROR(__xludf.DUMMYFUNCTION("""COMPUTED_VALUE"""),39979.666666666664)</f>
        <v>39979.66667</v>
      </c>
      <c r="C4169" s="9">
        <f>IFERROR(__xludf.DUMMYFUNCTION("""COMPUTED_VALUE"""),18.24)</f>
        <v>18.24</v>
      </c>
      <c r="E4169" s="17"/>
      <c r="M4169" s="17"/>
      <c r="P4169" s="17"/>
    </row>
    <row r="4170">
      <c r="B4170" s="11">
        <f>IFERROR(__xludf.DUMMYFUNCTION("""COMPUTED_VALUE"""),39976.666666666664)</f>
        <v>39976.66667</v>
      </c>
      <c r="C4170" s="9">
        <f>IFERROR(__xludf.DUMMYFUNCTION("""COMPUTED_VALUE"""),19.6)</f>
        <v>19.6</v>
      </c>
      <c r="E4170" s="17"/>
      <c r="M4170" s="17"/>
      <c r="P4170" s="17"/>
    </row>
    <row r="4171">
      <c r="B4171" s="11">
        <f>IFERROR(__xludf.DUMMYFUNCTION("""COMPUTED_VALUE"""),39975.666666666664)</f>
        <v>39975.66667</v>
      </c>
      <c r="C4171" s="9">
        <f>IFERROR(__xludf.DUMMYFUNCTION("""COMPUTED_VALUE"""),18.86)</f>
        <v>18.86</v>
      </c>
      <c r="E4171" s="17"/>
      <c r="M4171" s="17"/>
      <c r="P4171" s="17"/>
    </row>
    <row r="4172">
      <c r="B4172" s="11">
        <f>IFERROR(__xludf.DUMMYFUNCTION("""COMPUTED_VALUE"""),39974.666666666664)</f>
        <v>39974.66667</v>
      </c>
      <c r="C4172" s="9">
        <f>IFERROR(__xludf.DUMMYFUNCTION("""COMPUTED_VALUE"""),19.12)</f>
        <v>19.12</v>
      </c>
      <c r="E4172" s="17"/>
      <c r="M4172" s="17"/>
      <c r="P4172" s="17"/>
    </row>
    <row r="4173">
      <c r="B4173" s="11">
        <f>IFERROR(__xludf.DUMMYFUNCTION("""COMPUTED_VALUE"""),39973.666666666664)</f>
        <v>39973.66667</v>
      </c>
      <c r="C4173" s="9">
        <f>IFERROR(__xludf.DUMMYFUNCTION("""COMPUTED_VALUE"""),20.03)</f>
        <v>20.03</v>
      </c>
      <c r="E4173" s="17"/>
      <c r="M4173" s="17"/>
      <c r="P4173" s="17"/>
    </row>
    <row r="4174">
      <c r="B4174" s="11">
        <f>IFERROR(__xludf.DUMMYFUNCTION("""COMPUTED_VALUE"""),39972.666666666664)</f>
        <v>39972.66667</v>
      </c>
      <c r="C4174" s="9">
        <f>IFERROR(__xludf.DUMMYFUNCTION("""COMPUTED_VALUE"""),20.35)</f>
        <v>20.35</v>
      </c>
      <c r="E4174" s="17"/>
      <c r="M4174" s="17"/>
      <c r="P4174" s="17"/>
    </row>
    <row r="4175">
      <c r="B4175" s="11">
        <f>IFERROR(__xludf.DUMMYFUNCTION("""COMPUTED_VALUE"""),39969.666666666664)</f>
        <v>39969.66667</v>
      </c>
      <c r="C4175" s="9">
        <f>IFERROR(__xludf.DUMMYFUNCTION("""COMPUTED_VALUE"""),20.21)</f>
        <v>20.21</v>
      </c>
      <c r="E4175" s="17"/>
      <c r="M4175" s="17"/>
      <c r="P4175" s="17"/>
    </row>
    <row r="4176">
      <c r="B4176" s="11">
        <f>IFERROR(__xludf.DUMMYFUNCTION("""COMPUTED_VALUE"""),39968.666666666664)</f>
        <v>39968.66667</v>
      </c>
      <c r="C4176" s="9">
        <f>IFERROR(__xludf.DUMMYFUNCTION("""COMPUTED_VALUE"""),20.16)</f>
        <v>20.16</v>
      </c>
      <c r="E4176" s="17"/>
      <c r="M4176" s="17"/>
      <c r="P4176" s="17"/>
    </row>
    <row r="4177">
      <c r="B4177" s="11">
        <f>IFERROR(__xludf.DUMMYFUNCTION("""COMPUTED_VALUE"""),39967.666666666664)</f>
        <v>39967.66667</v>
      </c>
      <c r="C4177" s="9">
        <f>IFERROR(__xludf.DUMMYFUNCTION("""COMPUTED_VALUE"""),19.15)</f>
        <v>19.15</v>
      </c>
      <c r="E4177" s="17"/>
      <c r="M4177" s="17"/>
      <c r="P4177" s="17"/>
    </row>
    <row r="4178">
      <c r="B4178" s="11">
        <f>IFERROR(__xludf.DUMMYFUNCTION("""COMPUTED_VALUE"""),39966.666666666664)</f>
        <v>39966.66667</v>
      </c>
      <c r="C4178" s="9">
        <f>IFERROR(__xludf.DUMMYFUNCTION("""COMPUTED_VALUE"""),19.32)</f>
        <v>19.32</v>
      </c>
      <c r="E4178" s="17"/>
      <c r="M4178" s="17"/>
      <c r="P4178" s="17"/>
    </row>
    <row r="4179">
      <c r="B4179" s="11">
        <f>IFERROR(__xludf.DUMMYFUNCTION("""COMPUTED_VALUE"""),39965.666666666664)</f>
        <v>39965.66667</v>
      </c>
      <c r="C4179" s="9">
        <f>IFERROR(__xludf.DUMMYFUNCTION("""COMPUTED_VALUE"""),19.18)</f>
        <v>19.18</v>
      </c>
      <c r="E4179" s="17"/>
      <c r="M4179" s="17"/>
      <c r="P4179" s="17"/>
    </row>
    <row r="4180">
      <c r="B4180" s="11">
        <f>IFERROR(__xludf.DUMMYFUNCTION("""COMPUTED_VALUE"""),39962.666666666664)</f>
        <v>39962.66667</v>
      </c>
      <c r="C4180" s="9">
        <f>IFERROR(__xludf.DUMMYFUNCTION("""COMPUTED_VALUE"""),17.85)</f>
        <v>17.85</v>
      </c>
      <c r="E4180" s="17"/>
      <c r="M4180" s="17"/>
      <c r="P4180" s="17"/>
    </row>
    <row r="4181">
      <c r="B4181" s="11">
        <f>IFERROR(__xludf.DUMMYFUNCTION("""COMPUTED_VALUE"""),39961.666666666664)</f>
        <v>39961.66667</v>
      </c>
      <c r="C4181" s="9">
        <f>IFERROR(__xludf.DUMMYFUNCTION("""COMPUTED_VALUE"""),17.57)</f>
        <v>17.57</v>
      </c>
      <c r="E4181" s="17"/>
      <c r="M4181" s="17"/>
      <c r="P4181" s="17"/>
    </row>
    <row r="4182">
      <c r="B4182" s="11">
        <f>IFERROR(__xludf.DUMMYFUNCTION("""COMPUTED_VALUE"""),39960.666666666664)</f>
        <v>39960.66667</v>
      </c>
      <c r="C4182" s="9">
        <f>IFERROR(__xludf.DUMMYFUNCTION("""COMPUTED_VALUE"""),16.84)</f>
        <v>16.84</v>
      </c>
      <c r="E4182" s="17"/>
      <c r="M4182" s="17"/>
      <c r="P4182" s="17"/>
    </row>
    <row r="4183">
      <c r="B4183" s="11">
        <f>IFERROR(__xludf.DUMMYFUNCTION("""COMPUTED_VALUE"""),39959.666666666664)</f>
        <v>39959.66667</v>
      </c>
      <c r="C4183" s="9">
        <f>IFERROR(__xludf.DUMMYFUNCTION("""COMPUTED_VALUE"""),17.54)</f>
        <v>17.54</v>
      </c>
      <c r="E4183" s="17"/>
      <c r="M4183" s="17"/>
      <c r="P4183" s="17"/>
    </row>
    <row r="4184">
      <c r="B4184" s="11">
        <f>IFERROR(__xludf.DUMMYFUNCTION("""COMPUTED_VALUE"""),39955.666666666664)</f>
        <v>39955.66667</v>
      </c>
      <c r="C4184" s="9">
        <f>IFERROR(__xludf.DUMMYFUNCTION("""COMPUTED_VALUE"""),16.91)</f>
        <v>16.91</v>
      </c>
      <c r="E4184" s="17"/>
      <c r="M4184" s="17"/>
      <c r="P4184" s="17"/>
    </row>
    <row r="4185">
      <c r="B4185" s="11">
        <f>IFERROR(__xludf.DUMMYFUNCTION("""COMPUTED_VALUE"""),39954.666666666664)</f>
        <v>39954.66667</v>
      </c>
      <c r="C4185" s="9">
        <f>IFERROR(__xludf.DUMMYFUNCTION("""COMPUTED_VALUE"""),17.67)</f>
        <v>17.67</v>
      </c>
      <c r="E4185" s="17"/>
      <c r="M4185" s="17"/>
      <c r="P4185" s="17"/>
    </row>
    <row r="4186">
      <c r="B4186" s="11">
        <f>IFERROR(__xludf.DUMMYFUNCTION("""COMPUTED_VALUE"""),39953.666666666664)</f>
        <v>39953.66667</v>
      </c>
      <c r="C4186" s="9">
        <f>IFERROR(__xludf.DUMMYFUNCTION("""COMPUTED_VALUE"""),17.72)</f>
        <v>17.72</v>
      </c>
      <c r="E4186" s="17"/>
      <c r="M4186" s="17"/>
      <c r="P4186" s="17"/>
    </row>
    <row r="4187">
      <c r="B4187" s="11">
        <f>IFERROR(__xludf.DUMMYFUNCTION("""COMPUTED_VALUE"""),39952.666666666664)</f>
        <v>39952.66667</v>
      </c>
      <c r="C4187" s="9">
        <f>IFERROR(__xludf.DUMMYFUNCTION("""COMPUTED_VALUE"""),17.96)</f>
        <v>17.96</v>
      </c>
      <c r="E4187" s="17"/>
      <c r="M4187" s="17"/>
      <c r="P4187" s="17"/>
    </row>
    <row r="4188">
      <c r="B4188" s="11">
        <f>IFERROR(__xludf.DUMMYFUNCTION("""COMPUTED_VALUE"""),39951.666666666664)</f>
        <v>39951.66667</v>
      </c>
      <c r="C4188" s="9">
        <f>IFERROR(__xludf.DUMMYFUNCTION("""COMPUTED_VALUE"""),18.29)</f>
        <v>18.29</v>
      </c>
      <c r="E4188" s="17"/>
      <c r="M4188" s="17"/>
      <c r="P4188" s="17"/>
    </row>
    <row r="4189">
      <c r="B4189" s="11">
        <f>IFERROR(__xludf.DUMMYFUNCTION("""COMPUTED_VALUE"""),39948.666666666664)</f>
        <v>39948.66667</v>
      </c>
      <c r="C4189" s="9">
        <f>IFERROR(__xludf.DUMMYFUNCTION("""COMPUTED_VALUE"""),16.32)</f>
        <v>16.32</v>
      </c>
      <c r="E4189" s="17"/>
      <c r="M4189" s="17"/>
      <c r="P4189" s="17"/>
    </row>
    <row r="4190">
      <c r="B4190" s="11">
        <f>IFERROR(__xludf.DUMMYFUNCTION("""COMPUTED_VALUE"""),39947.666666666664)</f>
        <v>39947.66667</v>
      </c>
      <c r="C4190" s="9">
        <f>IFERROR(__xludf.DUMMYFUNCTION("""COMPUTED_VALUE"""),17.5)</f>
        <v>17.5</v>
      </c>
      <c r="E4190" s="17"/>
      <c r="M4190" s="17"/>
      <c r="P4190" s="17"/>
    </row>
    <row r="4191">
      <c r="B4191" s="11">
        <f>IFERROR(__xludf.DUMMYFUNCTION("""COMPUTED_VALUE"""),39946.666666666664)</f>
        <v>39946.66667</v>
      </c>
      <c r="C4191" s="9">
        <f>IFERROR(__xludf.DUMMYFUNCTION("""COMPUTED_VALUE"""),16.5)</f>
        <v>16.5</v>
      </c>
      <c r="E4191" s="17"/>
      <c r="M4191" s="17"/>
      <c r="P4191" s="17"/>
    </row>
    <row r="4192">
      <c r="B4192" s="11">
        <f>IFERROR(__xludf.DUMMYFUNCTION("""COMPUTED_VALUE"""),39945.666666666664)</f>
        <v>39945.66667</v>
      </c>
      <c r="C4192" s="9">
        <f>IFERROR(__xludf.DUMMYFUNCTION("""COMPUTED_VALUE"""),18.35)</f>
        <v>18.35</v>
      </c>
      <c r="E4192" s="17"/>
      <c r="M4192" s="17"/>
      <c r="P4192" s="17"/>
    </row>
    <row r="4193">
      <c r="B4193" s="11">
        <f>IFERROR(__xludf.DUMMYFUNCTION("""COMPUTED_VALUE"""),39944.666666666664)</f>
        <v>39944.66667</v>
      </c>
      <c r="C4193" s="9">
        <f>IFERROR(__xludf.DUMMYFUNCTION("""COMPUTED_VALUE"""),18.56)</f>
        <v>18.56</v>
      </c>
      <c r="E4193" s="17"/>
      <c r="M4193" s="17"/>
      <c r="P4193" s="17"/>
    </row>
    <row r="4194">
      <c r="B4194" s="11">
        <f>IFERROR(__xludf.DUMMYFUNCTION("""COMPUTED_VALUE"""),39941.666666666664)</f>
        <v>39941.66667</v>
      </c>
      <c r="C4194" s="9">
        <f>IFERROR(__xludf.DUMMYFUNCTION("""COMPUTED_VALUE"""),19.57)</f>
        <v>19.57</v>
      </c>
      <c r="E4194" s="17"/>
      <c r="M4194" s="17"/>
      <c r="P4194" s="17"/>
    </row>
    <row r="4195">
      <c r="B4195" s="11">
        <f>IFERROR(__xludf.DUMMYFUNCTION("""COMPUTED_VALUE"""),39940.666666666664)</f>
        <v>39940.66667</v>
      </c>
      <c r="C4195" s="9">
        <f>IFERROR(__xludf.DUMMYFUNCTION("""COMPUTED_VALUE"""),17.71)</f>
        <v>17.71</v>
      </c>
      <c r="E4195" s="17"/>
      <c r="M4195" s="17"/>
      <c r="P4195" s="17"/>
    </row>
    <row r="4196">
      <c r="B4196" s="11">
        <f>IFERROR(__xludf.DUMMYFUNCTION("""COMPUTED_VALUE"""),39939.666666666664)</f>
        <v>39939.66667</v>
      </c>
      <c r="C4196" s="9">
        <f>IFERROR(__xludf.DUMMYFUNCTION("""COMPUTED_VALUE"""),19.73)</f>
        <v>19.73</v>
      </c>
      <c r="E4196" s="17"/>
      <c r="M4196" s="17"/>
      <c r="P4196" s="17"/>
    </row>
    <row r="4197">
      <c r="B4197" s="11">
        <f>IFERROR(__xludf.DUMMYFUNCTION("""COMPUTED_VALUE"""),39938.666666666664)</f>
        <v>39938.66667</v>
      </c>
      <c r="C4197" s="9">
        <f>IFERROR(__xludf.DUMMYFUNCTION("""COMPUTED_VALUE"""),18.9)</f>
        <v>18.9</v>
      </c>
      <c r="E4197" s="17"/>
      <c r="M4197" s="17"/>
      <c r="P4197" s="17"/>
    </row>
    <row r="4198">
      <c r="B4198" s="11">
        <f>IFERROR(__xludf.DUMMYFUNCTION("""COMPUTED_VALUE"""),39937.666666666664)</f>
        <v>39937.66667</v>
      </c>
      <c r="C4198" s="9">
        <f>IFERROR(__xludf.DUMMYFUNCTION("""COMPUTED_VALUE"""),19.72)</f>
        <v>19.72</v>
      </c>
      <c r="E4198" s="17"/>
      <c r="M4198" s="17"/>
      <c r="P4198" s="17"/>
    </row>
    <row r="4199">
      <c r="B4199" s="11">
        <f>IFERROR(__xludf.DUMMYFUNCTION("""COMPUTED_VALUE"""),39934.666666666664)</f>
        <v>39934.66667</v>
      </c>
      <c r="C4199" s="9">
        <f>IFERROR(__xludf.DUMMYFUNCTION("""COMPUTED_VALUE"""),17.92)</f>
        <v>17.92</v>
      </c>
      <c r="E4199" s="17"/>
      <c r="M4199" s="17"/>
      <c r="P4199" s="17"/>
    </row>
    <row r="4200">
      <c r="B4200" s="11">
        <f>IFERROR(__xludf.DUMMYFUNCTION("""COMPUTED_VALUE"""),39933.666666666664)</f>
        <v>39933.66667</v>
      </c>
      <c r="C4200" s="9">
        <f>IFERROR(__xludf.DUMMYFUNCTION("""COMPUTED_VALUE"""),19.09)</f>
        <v>19.09</v>
      </c>
      <c r="E4200" s="17"/>
      <c r="M4200" s="17"/>
      <c r="P4200" s="17"/>
    </row>
    <row r="4201">
      <c r="B4201" s="11">
        <f>IFERROR(__xludf.DUMMYFUNCTION("""COMPUTED_VALUE"""),39932.666666666664)</f>
        <v>39932.66667</v>
      </c>
      <c r="C4201" s="9">
        <f>IFERROR(__xludf.DUMMYFUNCTION("""COMPUTED_VALUE"""),18.69)</f>
        <v>18.69</v>
      </c>
      <c r="E4201" s="17"/>
      <c r="M4201" s="17"/>
      <c r="P4201" s="17"/>
    </row>
    <row r="4202">
      <c r="B4202" s="11">
        <f>IFERROR(__xludf.DUMMYFUNCTION("""COMPUTED_VALUE"""),39931.666666666664)</f>
        <v>39931.66667</v>
      </c>
      <c r="C4202" s="9">
        <f>IFERROR(__xludf.DUMMYFUNCTION("""COMPUTED_VALUE"""),18.01)</f>
        <v>18.01</v>
      </c>
      <c r="E4202" s="17"/>
      <c r="M4202" s="17"/>
      <c r="P4202" s="17"/>
    </row>
    <row r="4203">
      <c r="B4203" s="11">
        <f>IFERROR(__xludf.DUMMYFUNCTION("""COMPUTED_VALUE"""),39930.666666666664)</f>
        <v>39930.66667</v>
      </c>
      <c r="C4203" s="9">
        <f>IFERROR(__xludf.DUMMYFUNCTION("""COMPUTED_VALUE"""),17.56)</f>
        <v>17.56</v>
      </c>
      <c r="E4203" s="17"/>
      <c r="M4203" s="17"/>
      <c r="P4203" s="17"/>
    </row>
    <row r="4204">
      <c r="B4204" s="11">
        <f>IFERROR(__xludf.DUMMYFUNCTION("""COMPUTED_VALUE"""),39927.666666666664)</f>
        <v>39927.66667</v>
      </c>
      <c r="C4204" s="9">
        <f>IFERROR(__xludf.DUMMYFUNCTION("""COMPUTED_VALUE"""),18.6)</f>
        <v>18.6</v>
      </c>
      <c r="E4204" s="17"/>
      <c r="M4204" s="17"/>
      <c r="P4204" s="17"/>
    </row>
    <row r="4205">
      <c r="B4205" s="11">
        <f>IFERROR(__xludf.DUMMYFUNCTION("""COMPUTED_VALUE"""),39926.666666666664)</f>
        <v>39926.66667</v>
      </c>
      <c r="C4205" s="9">
        <f>IFERROR(__xludf.DUMMYFUNCTION("""COMPUTED_VALUE"""),17.48)</f>
        <v>17.48</v>
      </c>
      <c r="E4205" s="17"/>
      <c r="M4205" s="17"/>
      <c r="P4205" s="17"/>
    </row>
    <row r="4206">
      <c r="B4206" s="11">
        <f>IFERROR(__xludf.DUMMYFUNCTION("""COMPUTED_VALUE"""),39925.666666666664)</f>
        <v>39925.66667</v>
      </c>
      <c r="C4206" s="9">
        <f>IFERROR(__xludf.DUMMYFUNCTION("""COMPUTED_VALUE"""),17.23)</f>
        <v>17.23</v>
      </c>
      <c r="E4206" s="17"/>
      <c r="M4206" s="17"/>
      <c r="P4206" s="17"/>
    </row>
    <row r="4207">
      <c r="B4207" s="11">
        <f>IFERROR(__xludf.DUMMYFUNCTION("""COMPUTED_VALUE"""),39924.666666666664)</f>
        <v>39924.66667</v>
      </c>
      <c r="C4207" s="9">
        <f>IFERROR(__xludf.DUMMYFUNCTION("""COMPUTED_VALUE"""),17.8)</f>
        <v>17.8</v>
      </c>
      <c r="E4207" s="17"/>
      <c r="M4207" s="17"/>
      <c r="P4207" s="17"/>
    </row>
    <row r="4208">
      <c r="B4208" s="11">
        <f>IFERROR(__xludf.DUMMYFUNCTION("""COMPUTED_VALUE"""),39923.666666666664)</f>
        <v>39923.66667</v>
      </c>
      <c r="C4208" s="9">
        <f>IFERROR(__xludf.DUMMYFUNCTION("""COMPUTED_VALUE"""),16.03)</f>
        <v>16.03</v>
      </c>
      <c r="E4208" s="17"/>
      <c r="M4208" s="17"/>
      <c r="P4208" s="17"/>
    </row>
    <row r="4209">
      <c r="B4209" s="11">
        <f>IFERROR(__xludf.DUMMYFUNCTION("""COMPUTED_VALUE"""),39920.666666666664)</f>
        <v>39920.66667</v>
      </c>
      <c r="C4209" s="9">
        <f>IFERROR(__xludf.DUMMYFUNCTION("""COMPUTED_VALUE"""),18.56)</f>
        <v>18.56</v>
      </c>
      <c r="E4209" s="17"/>
      <c r="M4209" s="17"/>
      <c r="P4209" s="17"/>
    </row>
    <row r="4210">
      <c r="B4210" s="11">
        <f>IFERROR(__xludf.DUMMYFUNCTION("""COMPUTED_VALUE"""),39919.666666666664)</f>
        <v>39919.66667</v>
      </c>
      <c r="C4210" s="9">
        <f>IFERROR(__xludf.DUMMYFUNCTION("""COMPUTED_VALUE"""),18.92)</f>
        <v>18.92</v>
      </c>
      <c r="E4210" s="17"/>
      <c r="M4210" s="17"/>
      <c r="P4210" s="17"/>
    </row>
    <row r="4211">
      <c r="B4211" s="11">
        <f>IFERROR(__xludf.DUMMYFUNCTION("""COMPUTED_VALUE"""),39918.666666666664)</f>
        <v>39918.66667</v>
      </c>
      <c r="C4211" s="9">
        <f>IFERROR(__xludf.DUMMYFUNCTION("""COMPUTED_VALUE"""),18.73)</f>
        <v>18.73</v>
      </c>
      <c r="E4211" s="17"/>
      <c r="M4211" s="17"/>
      <c r="P4211" s="17"/>
    </row>
    <row r="4212">
      <c r="B4212" s="11">
        <f>IFERROR(__xludf.DUMMYFUNCTION("""COMPUTED_VALUE"""),39917.666666666664)</f>
        <v>39917.66667</v>
      </c>
      <c r="C4212" s="9">
        <f>IFERROR(__xludf.DUMMYFUNCTION("""COMPUTED_VALUE"""),16.66)</f>
        <v>16.66</v>
      </c>
      <c r="E4212" s="17"/>
      <c r="M4212" s="17"/>
      <c r="P4212" s="17"/>
    </row>
    <row r="4213">
      <c r="B4213" s="11">
        <f>IFERROR(__xludf.DUMMYFUNCTION("""COMPUTED_VALUE"""),39916.666666666664)</f>
        <v>39916.66667</v>
      </c>
      <c r="C4213" s="9">
        <f>IFERROR(__xludf.DUMMYFUNCTION("""COMPUTED_VALUE"""),18.68)</f>
        <v>18.68</v>
      </c>
      <c r="E4213" s="17"/>
      <c r="M4213" s="17"/>
      <c r="P4213" s="17"/>
    </row>
    <row r="4214">
      <c r="B4214" s="11">
        <f>IFERROR(__xludf.DUMMYFUNCTION("""COMPUTED_VALUE"""),39912.666666666664)</f>
        <v>39912.66667</v>
      </c>
      <c r="C4214" s="9">
        <f>IFERROR(__xludf.DUMMYFUNCTION("""COMPUTED_VALUE"""),18.55)</f>
        <v>18.55</v>
      </c>
      <c r="E4214" s="17"/>
      <c r="M4214" s="17"/>
      <c r="P4214" s="17"/>
    </row>
    <row r="4215">
      <c r="B4215" s="11">
        <f>IFERROR(__xludf.DUMMYFUNCTION("""COMPUTED_VALUE"""),39911.666666666664)</f>
        <v>39911.66667</v>
      </c>
      <c r="C4215" s="9">
        <f>IFERROR(__xludf.DUMMYFUNCTION("""COMPUTED_VALUE"""),15.8)</f>
        <v>15.8</v>
      </c>
      <c r="E4215" s="17"/>
      <c r="M4215" s="17"/>
      <c r="P4215" s="17"/>
    </row>
    <row r="4216">
      <c r="B4216" s="11">
        <f>IFERROR(__xludf.DUMMYFUNCTION("""COMPUTED_VALUE"""),39910.666666666664)</f>
        <v>39910.66667</v>
      </c>
      <c r="C4216" s="9">
        <f>IFERROR(__xludf.DUMMYFUNCTION("""COMPUTED_VALUE"""),15.66)</f>
        <v>15.66</v>
      </c>
      <c r="E4216" s="17"/>
      <c r="M4216" s="17"/>
      <c r="P4216" s="17"/>
    </row>
    <row r="4217">
      <c r="B4217" s="11">
        <f>IFERROR(__xludf.DUMMYFUNCTION("""COMPUTED_VALUE"""),39909.666666666664)</f>
        <v>39909.66667</v>
      </c>
      <c r="C4217" s="9">
        <f>IFERROR(__xludf.DUMMYFUNCTION("""COMPUTED_VALUE"""),17.48)</f>
        <v>17.48</v>
      </c>
      <c r="E4217" s="17"/>
      <c r="M4217" s="17"/>
      <c r="P4217" s="17"/>
    </row>
    <row r="4218">
      <c r="B4218" s="11">
        <f>IFERROR(__xludf.DUMMYFUNCTION("""COMPUTED_VALUE"""),39906.666666666664)</f>
        <v>39906.66667</v>
      </c>
      <c r="C4218" s="9">
        <f>IFERROR(__xludf.DUMMYFUNCTION("""COMPUTED_VALUE"""),17.86)</f>
        <v>17.86</v>
      </c>
      <c r="E4218" s="17"/>
      <c r="M4218" s="17"/>
      <c r="P4218" s="17"/>
    </row>
    <row r="4219">
      <c r="B4219" s="11">
        <f>IFERROR(__xludf.DUMMYFUNCTION("""COMPUTED_VALUE"""),39905.666666666664)</f>
        <v>39905.66667</v>
      </c>
      <c r="C4219" s="9">
        <f>IFERROR(__xludf.DUMMYFUNCTION("""COMPUTED_VALUE"""),15.77)</f>
        <v>15.77</v>
      </c>
      <c r="E4219" s="17"/>
      <c r="M4219" s="17"/>
      <c r="P4219" s="17"/>
    </row>
    <row r="4220">
      <c r="B4220" s="11">
        <f>IFERROR(__xludf.DUMMYFUNCTION("""COMPUTED_VALUE"""),39904.666666666664)</f>
        <v>39904.66667</v>
      </c>
      <c r="C4220" s="9">
        <f>IFERROR(__xludf.DUMMYFUNCTION("""COMPUTED_VALUE"""),14.65)</f>
        <v>14.65</v>
      </c>
      <c r="E4220" s="17"/>
      <c r="M4220" s="17"/>
      <c r="P4220" s="17"/>
    </row>
    <row r="4221">
      <c r="B4221" s="11">
        <f>IFERROR(__xludf.DUMMYFUNCTION("""COMPUTED_VALUE"""),39903.666666666664)</f>
        <v>39903.66667</v>
      </c>
      <c r="C4221" s="9">
        <f>IFERROR(__xludf.DUMMYFUNCTION("""COMPUTED_VALUE"""),14.4)</f>
        <v>14.4</v>
      </c>
      <c r="E4221" s="17"/>
      <c r="M4221" s="17"/>
      <c r="P4221" s="17"/>
    </row>
    <row r="4222">
      <c r="B4222" s="11">
        <f>IFERROR(__xludf.DUMMYFUNCTION("""COMPUTED_VALUE"""),39902.666666666664)</f>
        <v>39902.66667</v>
      </c>
      <c r="C4222" s="9">
        <f>IFERROR(__xludf.DUMMYFUNCTION("""COMPUTED_VALUE"""),13.23)</f>
        <v>13.23</v>
      </c>
      <c r="E4222" s="17"/>
      <c r="M4222" s="17"/>
      <c r="P4222" s="17"/>
    </row>
    <row r="4223">
      <c r="B4223" s="11">
        <f>IFERROR(__xludf.DUMMYFUNCTION("""COMPUTED_VALUE"""),39899.666666666664)</f>
        <v>39899.66667</v>
      </c>
      <c r="C4223" s="9">
        <f>IFERROR(__xludf.DUMMYFUNCTION("""COMPUTED_VALUE"""),14.32)</f>
        <v>14.32</v>
      </c>
      <c r="E4223" s="17"/>
      <c r="M4223" s="17"/>
      <c r="P4223" s="17"/>
    </row>
    <row r="4224">
      <c r="B4224" s="11">
        <f>IFERROR(__xludf.DUMMYFUNCTION("""COMPUTED_VALUE"""),39898.666666666664)</f>
        <v>39898.66667</v>
      </c>
      <c r="C4224" s="9">
        <f>IFERROR(__xludf.DUMMYFUNCTION("""COMPUTED_VALUE"""),14.78)</f>
        <v>14.78</v>
      </c>
      <c r="E4224" s="17"/>
      <c r="M4224" s="17"/>
      <c r="P4224" s="17"/>
    </row>
    <row r="4225">
      <c r="B4225" s="11">
        <f>IFERROR(__xludf.DUMMYFUNCTION("""COMPUTED_VALUE"""),39897.666666666664)</f>
        <v>39897.66667</v>
      </c>
      <c r="C4225" s="9">
        <f>IFERROR(__xludf.DUMMYFUNCTION("""COMPUTED_VALUE"""),14.15)</f>
        <v>14.15</v>
      </c>
      <c r="E4225" s="17"/>
      <c r="M4225" s="17"/>
      <c r="P4225" s="17"/>
    </row>
    <row r="4226">
      <c r="B4226" s="11">
        <f>IFERROR(__xludf.DUMMYFUNCTION("""COMPUTED_VALUE"""),39896.666666666664)</f>
        <v>39896.66667</v>
      </c>
      <c r="C4226" s="9">
        <f>IFERROR(__xludf.DUMMYFUNCTION("""COMPUTED_VALUE"""),12.31)</f>
        <v>12.31</v>
      </c>
      <c r="E4226" s="17"/>
      <c r="M4226" s="17"/>
      <c r="P4226" s="17"/>
    </row>
    <row r="4227">
      <c r="B4227" s="11">
        <f>IFERROR(__xludf.DUMMYFUNCTION("""COMPUTED_VALUE"""),39895.666666666664)</f>
        <v>39895.66667</v>
      </c>
      <c r="C4227" s="9">
        <f>IFERROR(__xludf.DUMMYFUNCTION("""COMPUTED_VALUE"""),14.72)</f>
        <v>14.72</v>
      </c>
      <c r="E4227" s="17"/>
      <c r="M4227" s="17"/>
      <c r="P4227" s="17"/>
    </row>
    <row r="4228">
      <c r="B4228" s="11">
        <f>IFERROR(__xludf.DUMMYFUNCTION("""COMPUTED_VALUE"""),39892.666666666664)</f>
        <v>39892.66667</v>
      </c>
      <c r="C4228" s="9">
        <f>IFERROR(__xludf.DUMMYFUNCTION("""COMPUTED_VALUE"""),12.05)</f>
        <v>12.05</v>
      </c>
      <c r="E4228" s="17"/>
      <c r="M4228" s="17"/>
      <c r="P4228" s="17"/>
    </row>
    <row r="4229">
      <c r="B4229" s="11">
        <f>IFERROR(__xludf.DUMMYFUNCTION("""COMPUTED_VALUE"""),39891.666666666664)</f>
        <v>39891.66667</v>
      </c>
      <c r="C4229" s="9">
        <f>IFERROR(__xludf.DUMMYFUNCTION("""COMPUTED_VALUE"""),13.97)</f>
        <v>13.97</v>
      </c>
      <c r="E4229" s="17"/>
      <c r="M4229" s="17"/>
      <c r="P4229" s="17"/>
    </row>
    <row r="4230">
      <c r="B4230" s="11">
        <f>IFERROR(__xludf.DUMMYFUNCTION("""COMPUTED_VALUE"""),39890.666666666664)</f>
        <v>39890.66667</v>
      </c>
      <c r="C4230" s="9">
        <f>IFERROR(__xludf.DUMMYFUNCTION("""COMPUTED_VALUE"""),14.5)</f>
        <v>14.5</v>
      </c>
      <c r="E4230" s="17"/>
      <c r="M4230" s="17"/>
      <c r="P4230" s="17"/>
    </row>
    <row r="4231">
      <c r="B4231" s="11">
        <f>IFERROR(__xludf.DUMMYFUNCTION("""COMPUTED_VALUE"""),39889.666666666664)</f>
        <v>39889.66667</v>
      </c>
      <c r="C4231" s="9">
        <f>IFERROR(__xludf.DUMMYFUNCTION("""COMPUTED_VALUE"""),13.51)</f>
        <v>13.51</v>
      </c>
      <c r="E4231" s="17"/>
      <c r="M4231" s="17"/>
      <c r="P4231" s="17"/>
    </row>
    <row r="4232">
      <c r="B4232" s="11">
        <f>IFERROR(__xludf.DUMMYFUNCTION("""COMPUTED_VALUE"""),39888.666666666664)</f>
        <v>39888.66667</v>
      </c>
      <c r="C4232" s="9">
        <f>IFERROR(__xludf.DUMMYFUNCTION("""COMPUTED_VALUE"""),12.23)</f>
        <v>12.23</v>
      </c>
      <c r="E4232" s="17"/>
      <c r="M4232" s="17"/>
      <c r="P4232" s="17"/>
    </row>
    <row r="4233">
      <c r="B4233" s="11">
        <f>IFERROR(__xludf.DUMMYFUNCTION("""COMPUTED_VALUE"""),39885.666666666664)</f>
        <v>39885.66667</v>
      </c>
      <c r="C4233" s="9">
        <f>IFERROR(__xludf.DUMMYFUNCTION("""COMPUTED_VALUE"""),13.37)</f>
        <v>13.37</v>
      </c>
      <c r="E4233" s="17"/>
      <c r="M4233" s="17"/>
      <c r="P4233" s="17"/>
    </row>
    <row r="4234">
      <c r="B4234" s="11">
        <f>IFERROR(__xludf.DUMMYFUNCTION("""COMPUTED_VALUE"""),39884.666666666664)</f>
        <v>39884.66667</v>
      </c>
      <c r="C4234" s="9">
        <f>IFERROR(__xludf.DUMMYFUNCTION("""COMPUTED_VALUE"""),14.1)</f>
        <v>14.1</v>
      </c>
      <c r="E4234" s="17"/>
      <c r="M4234" s="17"/>
      <c r="P4234" s="17"/>
    </row>
    <row r="4235">
      <c r="B4235" s="11">
        <f>IFERROR(__xludf.DUMMYFUNCTION("""COMPUTED_VALUE"""),39883.666666666664)</f>
        <v>39883.66667</v>
      </c>
      <c r="C4235" s="9">
        <f>IFERROR(__xludf.DUMMYFUNCTION("""COMPUTED_VALUE"""),12.53)</f>
        <v>12.53</v>
      </c>
      <c r="E4235" s="17"/>
      <c r="M4235" s="17"/>
      <c r="P4235" s="17"/>
    </row>
    <row r="4236">
      <c r="B4236" s="11">
        <f>IFERROR(__xludf.DUMMYFUNCTION("""COMPUTED_VALUE"""),39882.666666666664)</f>
        <v>39882.66667</v>
      </c>
      <c r="C4236" s="9">
        <f>IFERROR(__xludf.DUMMYFUNCTION("""COMPUTED_VALUE"""),12.34)</f>
        <v>12.34</v>
      </c>
      <c r="E4236" s="17"/>
      <c r="M4236" s="17"/>
      <c r="P4236" s="17"/>
    </row>
    <row r="4237">
      <c r="B4237" s="11">
        <f>IFERROR(__xludf.DUMMYFUNCTION("""COMPUTED_VALUE"""),39881.666666666664)</f>
        <v>39881.66667</v>
      </c>
      <c r="C4237" s="9">
        <f>IFERROR(__xludf.DUMMYFUNCTION("""COMPUTED_VALUE"""),10.29)</f>
        <v>10.29</v>
      </c>
      <c r="E4237" s="17"/>
      <c r="M4237" s="17"/>
      <c r="P4237" s="17"/>
    </row>
    <row r="4238">
      <c r="B4238" s="11">
        <f>IFERROR(__xludf.DUMMYFUNCTION("""COMPUTED_VALUE"""),39878.666666666664)</f>
        <v>39878.66667</v>
      </c>
      <c r="C4238" s="9">
        <f>IFERROR(__xludf.DUMMYFUNCTION("""COMPUTED_VALUE"""),9.72)</f>
        <v>9.72</v>
      </c>
      <c r="E4238" s="17"/>
      <c r="M4238" s="17"/>
      <c r="P4238" s="17"/>
    </row>
    <row r="4239">
      <c r="B4239" s="11">
        <f>IFERROR(__xludf.DUMMYFUNCTION("""COMPUTED_VALUE"""),39877.666666666664)</f>
        <v>39877.66667</v>
      </c>
      <c r="C4239" s="9">
        <f>IFERROR(__xludf.DUMMYFUNCTION("""COMPUTED_VALUE"""),10.35)</f>
        <v>10.35</v>
      </c>
      <c r="E4239" s="17"/>
      <c r="M4239" s="17"/>
      <c r="P4239" s="17"/>
    </row>
    <row r="4240">
      <c r="B4240" s="11">
        <f>IFERROR(__xludf.DUMMYFUNCTION("""COMPUTED_VALUE"""),39876.666666666664)</f>
        <v>39876.66667</v>
      </c>
      <c r="C4240" s="9">
        <f>IFERROR(__xludf.DUMMYFUNCTION("""COMPUTED_VALUE"""),10.88)</f>
        <v>10.88</v>
      </c>
      <c r="E4240" s="17"/>
      <c r="M4240" s="17"/>
      <c r="P4240" s="17"/>
    </row>
    <row r="4241">
      <c r="B4241" s="11">
        <f>IFERROR(__xludf.DUMMYFUNCTION("""COMPUTED_VALUE"""),39875.666666666664)</f>
        <v>39875.66667</v>
      </c>
      <c r="C4241" s="9">
        <f>IFERROR(__xludf.DUMMYFUNCTION("""COMPUTED_VALUE"""),10.4)</f>
        <v>10.4</v>
      </c>
      <c r="E4241" s="17"/>
      <c r="M4241" s="17"/>
      <c r="P4241" s="17"/>
    </row>
    <row r="4242">
      <c r="B4242" s="11">
        <f>IFERROR(__xludf.DUMMYFUNCTION("""COMPUTED_VALUE"""),39874.666666666664)</f>
        <v>39874.66667</v>
      </c>
      <c r="C4242" s="9">
        <f>IFERROR(__xludf.DUMMYFUNCTION("""COMPUTED_VALUE"""),10.62)</f>
        <v>10.62</v>
      </c>
      <c r="E4242" s="17"/>
      <c r="M4242" s="17"/>
      <c r="P4242" s="17"/>
    </row>
    <row r="4243">
      <c r="B4243" s="11">
        <f>IFERROR(__xludf.DUMMYFUNCTION("""COMPUTED_VALUE"""),39871.666666666664)</f>
        <v>39871.66667</v>
      </c>
      <c r="C4243" s="9">
        <f>IFERROR(__xludf.DUMMYFUNCTION("""COMPUTED_VALUE"""),11.91)</f>
        <v>11.91</v>
      </c>
      <c r="E4243" s="17"/>
      <c r="M4243" s="17"/>
      <c r="P4243" s="17"/>
    </row>
    <row r="4244">
      <c r="B4244" s="11">
        <f>IFERROR(__xludf.DUMMYFUNCTION("""COMPUTED_VALUE"""),39870.666666666664)</f>
        <v>39870.66667</v>
      </c>
      <c r="C4244" s="9">
        <f>IFERROR(__xludf.DUMMYFUNCTION("""COMPUTED_VALUE"""),12.45)</f>
        <v>12.45</v>
      </c>
      <c r="E4244" s="17"/>
      <c r="M4244" s="17"/>
      <c r="P4244" s="17"/>
    </row>
    <row r="4245">
      <c r="B4245" s="11">
        <f>IFERROR(__xludf.DUMMYFUNCTION("""COMPUTED_VALUE"""),39869.666666666664)</f>
        <v>39869.66667</v>
      </c>
      <c r="C4245" s="9">
        <f>IFERROR(__xludf.DUMMYFUNCTION("""COMPUTED_VALUE"""),13.02)</f>
        <v>13.02</v>
      </c>
      <c r="E4245" s="17"/>
      <c r="M4245" s="17"/>
      <c r="P4245" s="17"/>
    </row>
    <row r="4246">
      <c r="B4246" s="11">
        <f>IFERROR(__xludf.DUMMYFUNCTION("""COMPUTED_VALUE"""),39868.666666666664)</f>
        <v>39868.66667</v>
      </c>
      <c r="C4246" s="9">
        <f>IFERROR(__xludf.DUMMYFUNCTION("""COMPUTED_VALUE"""),13.5)</f>
        <v>13.5</v>
      </c>
      <c r="E4246" s="17"/>
      <c r="M4246" s="17"/>
      <c r="P4246" s="17"/>
    </row>
    <row r="4247">
      <c r="B4247" s="11">
        <f>IFERROR(__xludf.DUMMYFUNCTION("""COMPUTED_VALUE"""),39867.666666666664)</f>
        <v>39867.66667</v>
      </c>
      <c r="C4247" s="9">
        <f>IFERROR(__xludf.DUMMYFUNCTION("""COMPUTED_VALUE"""),12.32)</f>
        <v>12.32</v>
      </c>
      <c r="E4247" s="17"/>
      <c r="M4247" s="17"/>
      <c r="P4247" s="17"/>
    </row>
    <row r="4248">
      <c r="B4248" s="11">
        <f>IFERROR(__xludf.DUMMYFUNCTION("""COMPUTED_VALUE"""),39864.666666666664)</f>
        <v>39864.66667</v>
      </c>
      <c r="C4248" s="9">
        <f>IFERROR(__xludf.DUMMYFUNCTION("""COMPUTED_VALUE"""),13.51)</f>
        <v>13.51</v>
      </c>
      <c r="E4248" s="17"/>
      <c r="M4248" s="17"/>
      <c r="P4248" s="17"/>
    </row>
    <row r="4249">
      <c r="B4249" s="11">
        <f>IFERROR(__xludf.DUMMYFUNCTION("""COMPUTED_VALUE"""),39863.666666666664)</f>
        <v>39863.66667</v>
      </c>
      <c r="C4249" s="9">
        <f>IFERROR(__xludf.DUMMYFUNCTION("""COMPUTED_VALUE"""),12.78)</f>
        <v>12.78</v>
      </c>
      <c r="E4249" s="17"/>
      <c r="M4249" s="17"/>
      <c r="P4249" s="17"/>
    </row>
    <row r="4250">
      <c r="B4250" s="11">
        <f>IFERROR(__xludf.DUMMYFUNCTION("""COMPUTED_VALUE"""),39862.666666666664)</f>
        <v>39862.66667</v>
      </c>
      <c r="C4250" s="9">
        <f>IFERROR(__xludf.DUMMYFUNCTION("""COMPUTED_VALUE"""),13.65)</f>
        <v>13.65</v>
      </c>
      <c r="E4250" s="17"/>
      <c r="M4250" s="17"/>
      <c r="P4250" s="17"/>
    </row>
    <row r="4251">
      <c r="B4251" s="11">
        <f>IFERROR(__xludf.DUMMYFUNCTION("""COMPUTED_VALUE"""),39861.666666666664)</f>
        <v>39861.66667</v>
      </c>
      <c r="C4251" s="9">
        <f>IFERROR(__xludf.DUMMYFUNCTION("""COMPUTED_VALUE"""),13.1)</f>
        <v>13.1</v>
      </c>
      <c r="E4251" s="17"/>
      <c r="M4251" s="17"/>
      <c r="P4251" s="17"/>
    </row>
    <row r="4252">
      <c r="B4252" s="11">
        <f>IFERROR(__xludf.DUMMYFUNCTION("""COMPUTED_VALUE"""),39857.666666666664)</f>
        <v>39857.66667</v>
      </c>
      <c r="C4252" s="9">
        <f>IFERROR(__xludf.DUMMYFUNCTION("""COMPUTED_VALUE"""),14.61)</f>
        <v>14.61</v>
      </c>
      <c r="E4252" s="17"/>
      <c r="M4252" s="17"/>
      <c r="P4252" s="17"/>
    </row>
    <row r="4253">
      <c r="B4253" s="11">
        <f>IFERROR(__xludf.DUMMYFUNCTION("""COMPUTED_VALUE"""),39856.666666666664)</f>
        <v>39856.66667</v>
      </c>
      <c r="C4253" s="9">
        <f>IFERROR(__xludf.DUMMYFUNCTION("""COMPUTED_VALUE"""),15.94)</f>
        <v>15.94</v>
      </c>
      <c r="E4253" s="17"/>
      <c r="M4253" s="17"/>
      <c r="P4253" s="17"/>
    </row>
    <row r="4254">
      <c r="B4254" s="11">
        <f>IFERROR(__xludf.DUMMYFUNCTION("""COMPUTED_VALUE"""),39855.666666666664)</f>
        <v>39855.66667</v>
      </c>
      <c r="C4254" s="9">
        <f>IFERROR(__xludf.DUMMYFUNCTION("""COMPUTED_VALUE"""),15.83)</f>
        <v>15.83</v>
      </c>
      <c r="E4254" s="17"/>
      <c r="M4254" s="17"/>
      <c r="P4254" s="17"/>
    </row>
    <row r="4255">
      <c r="B4255" s="11">
        <f>IFERROR(__xludf.DUMMYFUNCTION("""COMPUTED_VALUE"""),39854.666666666664)</f>
        <v>39854.66667</v>
      </c>
      <c r="C4255" s="9">
        <f>IFERROR(__xludf.DUMMYFUNCTION("""COMPUTED_VALUE"""),15.92)</f>
        <v>15.92</v>
      </c>
      <c r="E4255" s="17"/>
      <c r="M4255" s="17"/>
      <c r="P4255" s="17"/>
    </row>
    <row r="4256">
      <c r="B4256" s="11">
        <f>IFERROR(__xludf.DUMMYFUNCTION("""COMPUTED_VALUE"""),39853.666666666664)</f>
        <v>39853.66667</v>
      </c>
      <c r="C4256" s="9">
        <f>IFERROR(__xludf.DUMMYFUNCTION("""COMPUTED_VALUE"""),17.81)</f>
        <v>17.81</v>
      </c>
      <c r="E4256" s="17"/>
      <c r="M4256" s="17"/>
      <c r="P4256" s="17"/>
    </row>
    <row r="4257">
      <c r="B4257" s="11">
        <f>IFERROR(__xludf.DUMMYFUNCTION("""COMPUTED_VALUE"""),39850.666666666664)</f>
        <v>39850.66667</v>
      </c>
      <c r="C4257" s="9">
        <f>IFERROR(__xludf.DUMMYFUNCTION("""COMPUTED_VALUE"""),17.47)</f>
        <v>17.47</v>
      </c>
      <c r="E4257" s="17"/>
      <c r="M4257" s="17"/>
      <c r="P4257" s="17"/>
    </row>
    <row r="4258">
      <c r="B4258" s="11">
        <f>IFERROR(__xludf.DUMMYFUNCTION("""COMPUTED_VALUE"""),39849.666666666664)</f>
        <v>39849.66667</v>
      </c>
      <c r="C4258" s="9">
        <f>IFERROR(__xludf.DUMMYFUNCTION("""COMPUTED_VALUE"""),15.57)</f>
        <v>15.57</v>
      </c>
      <c r="E4258" s="17"/>
      <c r="M4258" s="17"/>
      <c r="P4258" s="17"/>
    </row>
    <row r="4259">
      <c r="B4259" s="11">
        <f>IFERROR(__xludf.DUMMYFUNCTION("""COMPUTED_VALUE"""),39848.666666666664)</f>
        <v>39848.66667</v>
      </c>
      <c r="C4259" s="9">
        <f>IFERROR(__xludf.DUMMYFUNCTION("""COMPUTED_VALUE"""),15.36)</f>
        <v>15.36</v>
      </c>
      <c r="E4259" s="17"/>
      <c r="M4259" s="17"/>
      <c r="P4259" s="17"/>
    </row>
    <row r="4260">
      <c r="B4260" s="11">
        <f>IFERROR(__xludf.DUMMYFUNCTION("""COMPUTED_VALUE"""),39847.666666666664)</f>
        <v>39847.66667</v>
      </c>
      <c r="C4260" s="9">
        <f>IFERROR(__xludf.DUMMYFUNCTION("""COMPUTED_VALUE"""),15.58)</f>
        <v>15.58</v>
      </c>
      <c r="E4260" s="17"/>
      <c r="M4260" s="17"/>
      <c r="P4260" s="17"/>
    </row>
    <row r="4261">
      <c r="B4261" s="11">
        <f>IFERROR(__xludf.DUMMYFUNCTION("""COMPUTED_VALUE"""),39846.666666666664)</f>
        <v>39846.66667</v>
      </c>
      <c r="C4261" s="9">
        <f>IFERROR(__xludf.DUMMYFUNCTION("""COMPUTED_VALUE"""),15.77)</f>
        <v>15.77</v>
      </c>
      <c r="E4261" s="17"/>
      <c r="M4261" s="17"/>
      <c r="P4261" s="17"/>
    </row>
    <row r="4262">
      <c r="B4262" s="11">
        <f>IFERROR(__xludf.DUMMYFUNCTION("""COMPUTED_VALUE"""),39843.666666666664)</f>
        <v>39843.66667</v>
      </c>
      <c r="C4262" s="9">
        <f>IFERROR(__xludf.DUMMYFUNCTION("""COMPUTED_VALUE"""),16.12)</f>
        <v>16.12</v>
      </c>
      <c r="E4262" s="17"/>
      <c r="M4262" s="17"/>
      <c r="P4262" s="17"/>
    </row>
    <row r="4263">
      <c r="B4263" s="11">
        <f>IFERROR(__xludf.DUMMYFUNCTION("""COMPUTED_VALUE"""),39842.666666666664)</f>
        <v>39842.66667</v>
      </c>
      <c r="C4263" s="9">
        <f>IFERROR(__xludf.DUMMYFUNCTION("""COMPUTED_VALUE"""),17.46)</f>
        <v>17.46</v>
      </c>
      <c r="E4263" s="17"/>
      <c r="M4263" s="17"/>
      <c r="P4263" s="17"/>
    </row>
    <row r="4264">
      <c r="B4264" s="11">
        <f>IFERROR(__xludf.DUMMYFUNCTION("""COMPUTED_VALUE"""),39841.666666666664)</f>
        <v>39841.66667</v>
      </c>
      <c r="C4264" s="9">
        <f>IFERROR(__xludf.DUMMYFUNCTION("""COMPUTED_VALUE"""),20.91)</f>
        <v>20.91</v>
      </c>
      <c r="E4264" s="17"/>
      <c r="M4264" s="17"/>
      <c r="P4264" s="17"/>
    </row>
    <row r="4265">
      <c r="B4265" s="11">
        <f>IFERROR(__xludf.DUMMYFUNCTION("""COMPUTED_VALUE"""),39840.666666666664)</f>
        <v>39840.66667</v>
      </c>
      <c r="C4265" s="9">
        <f>IFERROR(__xludf.DUMMYFUNCTION("""COMPUTED_VALUE"""),18.41)</f>
        <v>18.41</v>
      </c>
      <c r="E4265" s="17"/>
      <c r="M4265" s="17"/>
      <c r="P4265" s="17"/>
    </row>
    <row r="4266">
      <c r="B4266" s="11">
        <f>IFERROR(__xludf.DUMMYFUNCTION("""COMPUTED_VALUE"""),39839.666666666664)</f>
        <v>39839.66667</v>
      </c>
      <c r="C4266" s="9">
        <f>IFERROR(__xludf.DUMMYFUNCTION("""COMPUTED_VALUE"""),18.05)</f>
        <v>18.05</v>
      </c>
      <c r="E4266" s="17"/>
      <c r="M4266" s="17"/>
      <c r="P4266" s="17"/>
    </row>
    <row r="4267">
      <c r="B4267" s="11">
        <f>IFERROR(__xludf.DUMMYFUNCTION("""COMPUTED_VALUE"""),39836.666666666664)</f>
        <v>39836.66667</v>
      </c>
      <c r="C4267" s="9">
        <f>IFERROR(__xludf.DUMMYFUNCTION("""COMPUTED_VALUE"""),19.0)</f>
        <v>19</v>
      </c>
      <c r="E4267" s="17"/>
      <c r="M4267" s="17"/>
      <c r="P4267" s="17"/>
    </row>
    <row r="4268">
      <c r="B4268" s="11">
        <f>IFERROR(__xludf.DUMMYFUNCTION("""COMPUTED_VALUE"""),39835.666666666664)</f>
        <v>39835.66667</v>
      </c>
      <c r="C4268" s="9">
        <f>IFERROR(__xludf.DUMMYFUNCTION("""COMPUTED_VALUE"""),17.95)</f>
        <v>17.95</v>
      </c>
      <c r="E4268" s="17"/>
      <c r="M4268" s="17"/>
      <c r="P4268" s="17"/>
    </row>
    <row r="4269">
      <c r="B4269" s="11">
        <f>IFERROR(__xludf.DUMMYFUNCTION("""COMPUTED_VALUE"""),39834.666666666664)</f>
        <v>39834.66667</v>
      </c>
      <c r="C4269" s="9">
        <f>IFERROR(__xludf.DUMMYFUNCTION("""COMPUTED_VALUE"""),18.32)</f>
        <v>18.32</v>
      </c>
      <c r="E4269" s="17"/>
      <c r="M4269" s="17"/>
      <c r="P4269" s="17"/>
    </row>
    <row r="4270">
      <c r="B4270" s="11">
        <f>IFERROR(__xludf.DUMMYFUNCTION("""COMPUTED_VALUE"""),39833.666666666664)</f>
        <v>39833.66667</v>
      </c>
      <c r="C4270" s="9">
        <f>IFERROR(__xludf.DUMMYFUNCTION("""COMPUTED_VALUE"""),15.82)</f>
        <v>15.82</v>
      </c>
      <c r="E4270" s="17"/>
      <c r="M4270" s="17"/>
      <c r="P4270" s="17"/>
    </row>
    <row r="4271">
      <c r="B4271" s="11">
        <f>IFERROR(__xludf.DUMMYFUNCTION("""COMPUTED_VALUE"""),39829.666666666664)</f>
        <v>39829.66667</v>
      </c>
      <c r="C4271" s="9">
        <f>IFERROR(__xludf.DUMMYFUNCTION("""COMPUTED_VALUE"""),19.58)</f>
        <v>19.58</v>
      </c>
      <c r="E4271" s="17"/>
      <c r="M4271" s="17"/>
      <c r="P4271" s="17"/>
    </row>
    <row r="4272">
      <c r="B4272" s="11">
        <f>IFERROR(__xludf.DUMMYFUNCTION("""COMPUTED_VALUE"""),39828.666666666664)</f>
        <v>39828.66667</v>
      </c>
      <c r="C4272" s="9">
        <f>IFERROR(__xludf.DUMMYFUNCTION("""COMPUTED_VALUE"""),18.51)</f>
        <v>18.51</v>
      </c>
      <c r="E4272" s="17"/>
      <c r="M4272" s="17"/>
      <c r="P4272" s="17"/>
    </row>
    <row r="4273">
      <c r="B4273" s="11">
        <f>IFERROR(__xludf.DUMMYFUNCTION("""COMPUTED_VALUE"""),39827.666666666664)</f>
        <v>39827.66667</v>
      </c>
      <c r="C4273" s="9">
        <f>IFERROR(__xludf.DUMMYFUNCTION("""COMPUTED_VALUE"""),18.67)</f>
        <v>18.67</v>
      </c>
      <c r="E4273" s="17"/>
      <c r="M4273" s="17"/>
      <c r="P4273" s="17"/>
    </row>
    <row r="4274">
      <c r="B4274" s="11">
        <f>IFERROR(__xludf.DUMMYFUNCTION("""COMPUTED_VALUE"""),39826.666666666664)</f>
        <v>39826.66667</v>
      </c>
      <c r="C4274" s="9">
        <f>IFERROR(__xludf.DUMMYFUNCTION("""COMPUTED_VALUE"""),20.96)</f>
        <v>20.96</v>
      </c>
      <c r="E4274" s="17"/>
      <c r="M4274" s="17"/>
      <c r="P4274" s="17"/>
    </row>
    <row r="4275">
      <c r="B4275" s="11">
        <f>IFERROR(__xludf.DUMMYFUNCTION("""COMPUTED_VALUE"""),39825.666666666664)</f>
        <v>39825.66667</v>
      </c>
      <c r="C4275" s="9">
        <f>IFERROR(__xludf.DUMMYFUNCTION("""COMPUTED_VALUE"""),20.57)</f>
        <v>20.57</v>
      </c>
      <c r="E4275" s="17"/>
      <c r="M4275" s="17"/>
      <c r="P4275" s="17"/>
    </row>
    <row r="4276">
      <c r="B4276" s="11">
        <f>IFERROR(__xludf.DUMMYFUNCTION("""COMPUTED_VALUE"""),39822.666666666664)</f>
        <v>39822.66667</v>
      </c>
      <c r="C4276" s="9">
        <f>IFERROR(__xludf.DUMMYFUNCTION("""COMPUTED_VALUE"""),22.81)</f>
        <v>22.81</v>
      </c>
      <c r="E4276" s="17"/>
      <c r="M4276" s="17"/>
      <c r="P4276" s="17"/>
    </row>
    <row r="4277">
      <c r="B4277" s="11">
        <f>IFERROR(__xludf.DUMMYFUNCTION("""COMPUTED_VALUE"""),39821.666666666664)</f>
        <v>39821.66667</v>
      </c>
      <c r="C4277" s="9">
        <f>IFERROR(__xludf.DUMMYFUNCTION("""COMPUTED_VALUE"""),23.68)</f>
        <v>23.68</v>
      </c>
      <c r="E4277" s="17"/>
      <c r="M4277" s="17"/>
      <c r="P4277" s="17"/>
    </row>
    <row r="4278">
      <c r="B4278" s="11">
        <f>IFERROR(__xludf.DUMMYFUNCTION("""COMPUTED_VALUE"""),39820.666666666664)</f>
        <v>39820.66667</v>
      </c>
      <c r="C4278" s="9">
        <f>IFERROR(__xludf.DUMMYFUNCTION("""COMPUTED_VALUE"""),24.33)</f>
        <v>24.33</v>
      </c>
      <c r="E4278" s="17"/>
      <c r="M4278" s="17"/>
      <c r="P4278" s="17"/>
    </row>
    <row r="4279">
      <c r="B4279" s="11">
        <f>IFERROR(__xludf.DUMMYFUNCTION("""COMPUTED_VALUE"""),39819.666666666664)</f>
        <v>39819.66667</v>
      </c>
      <c r="C4279" s="9">
        <f>IFERROR(__xludf.DUMMYFUNCTION("""COMPUTED_VALUE"""),25.89)</f>
        <v>25.89</v>
      </c>
      <c r="E4279" s="17"/>
      <c r="M4279" s="17"/>
      <c r="P4279" s="17"/>
    </row>
    <row r="4280">
      <c r="B4280" s="11">
        <f>IFERROR(__xludf.DUMMYFUNCTION("""COMPUTED_VALUE"""),39818.666666666664)</f>
        <v>39818.66667</v>
      </c>
      <c r="C4280" s="9">
        <f>IFERROR(__xludf.DUMMYFUNCTION("""COMPUTED_VALUE"""),22.77)</f>
        <v>22.77</v>
      </c>
      <c r="E4280" s="17"/>
      <c r="M4280" s="17"/>
      <c r="P4280" s="17"/>
    </row>
    <row r="4281">
      <c r="B4281" s="11">
        <f>IFERROR(__xludf.DUMMYFUNCTION("""COMPUTED_VALUE"""),39815.666666666664)</f>
        <v>39815.66667</v>
      </c>
      <c r="C4281" s="9">
        <f>IFERROR(__xludf.DUMMYFUNCTION("""COMPUTED_VALUE"""),23.07)</f>
        <v>23.07</v>
      </c>
      <c r="E4281" s="17"/>
      <c r="M4281" s="17"/>
      <c r="P4281" s="17"/>
    </row>
    <row r="4282">
      <c r="B4282" s="11">
        <f>IFERROR(__xludf.DUMMYFUNCTION("""COMPUTED_VALUE"""),39813.666666666664)</f>
        <v>39813.66667</v>
      </c>
      <c r="C4282" s="9">
        <f>IFERROR(__xludf.DUMMYFUNCTION("""COMPUTED_VALUE"""),23.42)</f>
        <v>23.42</v>
      </c>
      <c r="E4282" s="17"/>
      <c r="M4282" s="17"/>
      <c r="P4282" s="17"/>
    </row>
    <row r="4283">
      <c r="B4283" s="11">
        <f>IFERROR(__xludf.DUMMYFUNCTION("""COMPUTED_VALUE"""),39812.666666666664)</f>
        <v>39812.66667</v>
      </c>
      <c r="C4283" s="9">
        <f>IFERROR(__xludf.DUMMYFUNCTION("""COMPUTED_VALUE"""),22.4)</f>
        <v>22.4</v>
      </c>
      <c r="E4283" s="17"/>
      <c r="M4283" s="17"/>
      <c r="P4283" s="17"/>
    </row>
    <row r="4284">
      <c r="B4284" s="11">
        <f>IFERROR(__xludf.DUMMYFUNCTION("""COMPUTED_VALUE"""),39811.666666666664)</f>
        <v>39811.66667</v>
      </c>
      <c r="C4284" s="9">
        <f>IFERROR(__xludf.DUMMYFUNCTION("""COMPUTED_VALUE"""),21.04)</f>
        <v>21.04</v>
      </c>
      <c r="E4284" s="17"/>
      <c r="M4284" s="17"/>
      <c r="P4284" s="17"/>
    </row>
    <row r="4285">
      <c r="B4285" s="11">
        <f>IFERROR(__xludf.DUMMYFUNCTION("""COMPUTED_VALUE"""),39808.666666666664)</f>
        <v>39808.66667</v>
      </c>
      <c r="C4285" s="9">
        <f>IFERROR(__xludf.DUMMYFUNCTION("""COMPUTED_VALUE"""),22.53)</f>
        <v>22.53</v>
      </c>
      <c r="E4285" s="17"/>
      <c r="M4285" s="17"/>
      <c r="P4285" s="17"/>
    </row>
    <row r="4286">
      <c r="B4286" s="11">
        <f>IFERROR(__xludf.DUMMYFUNCTION("""COMPUTED_VALUE"""),39806.666666666664)</f>
        <v>39806.66667</v>
      </c>
      <c r="C4286" s="9">
        <f>IFERROR(__xludf.DUMMYFUNCTION("""COMPUTED_VALUE"""),21.93)</f>
        <v>21.93</v>
      </c>
      <c r="E4286" s="17"/>
      <c r="M4286" s="17"/>
      <c r="P4286" s="17"/>
    </row>
    <row r="4287">
      <c r="B4287" s="11">
        <f>IFERROR(__xludf.DUMMYFUNCTION("""COMPUTED_VALUE"""),39805.666666666664)</f>
        <v>39805.66667</v>
      </c>
      <c r="C4287" s="9">
        <f>IFERROR(__xludf.DUMMYFUNCTION("""COMPUTED_VALUE"""),22.14)</f>
        <v>22.14</v>
      </c>
      <c r="E4287" s="17"/>
      <c r="M4287" s="17"/>
      <c r="P4287" s="17"/>
    </row>
    <row r="4288">
      <c r="B4288" s="11">
        <f>IFERROR(__xludf.DUMMYFUNCTION("""COMPUTED_VALUE"""),39804.666666666664)</f>
        <v>39804.66667</v>
      </c>
      <c r="C4288" s="9">
        <f>IFERROR(__xludf.DUMMYFUNCTION("""COMPUTED_VALUE"""),21.97)</f>
        <v>21.97</v>
      </c>
      <c r="E4288" s="17"/>
      <c r="M4288" s="17"/>
      <c r="P4288" s="17"/>
    </row>
    <row r="4289">
      <c r="B4289" s="11">
        <f>IFERROR(__xludf.DUMMYFUNCTION("""COMPUTED_VALUE"""),39801.666666666664)</f>
        <v>39801.66667</v>
      </c>
      <c r="C4289" s="9">
        <f>IFERROR(__xludf.DUMMYFUNCTION("""COMPUTED_VALUE"""),22.2)</f>
        <v>22.2</v>
      </c>
      <c r="E4289" s="17"/>
      <c r="M4289" s="17"/>
      <c r="P4289" s="17"/>
    </row>
    <row r="4290">
      <c r="B4290" s="11">
        <f>IFERROR(__xludf.DUMMYFUNCTION("""COMPUTED_VALUE"""),39800.666666666664)</f>
        <v>39800.66667</v>
      </c>
      <c r="C4290" s="9">
        <f>IFERROR(__xludf.DUMMYFUNCTION("""COMPUTED_VALUE"""),20.12)</f>
        <v>20.12</v>
      </c>
      <c r="E4290" s="17"/>
      <c r="M4290" s="17"/>
      <c r="P4290" s="17"/>
    </row>
    <row r="4291">
      <c r="B4291" s="11">
        <f>IFERROR(__xludf.DUMMYFUNCTION("""COMPUTED_VALUE"""),39799.666666666664)</f>
        <v>39799.66667</v>
      </c>
      <c r="C4291" s="9">
        <f>IFERROR(__xludf.DUMMYFUNCTION("""COMPUTED_VALUE"""),22.57)</f>
        <v>22.57</v>
      </c>
      <c r="E4291" s="17"/>
      <c r="M4291" s="17"/>
      <c r="P4291" s="17"/>
    </row>
    <row r="4292">
      <c r="B4292" s="11">
        <f>IFERROR(__xludf.DUMMYFUNCTION("""COMPUTED_VALUE"""),39798.666666666664)</f>
        <v>39798.66667</v>
      </c>
      <c r="C4292" s="9">
        <f>IFERROR(__xludf.DUMMYFUNCTION("""COMPUTED_VALUE"""),22.48)</f>
        <v>22.48</v>
      </c>
      <c r="E4292" s="17"/>
      <c r="M4292" s="17"/>
      <c r="P4292" s="17"/>
    </row>
    <row r="4293">
      <c r="B4293" s="11">
        <f>IFERROR(__xludf.DUMMYFUNCTION("""COMPUTED_VALUE"""),39797.666666666664)</f>
        <v>39797.66667</v>
      </c>
      <c r="C4293" s="9">
        <f>IFERROR(__xludf.DUMMYFUNCTION("""COMPUTED_VALUE"""),17.98)</f>
        <v>17.98</v>
      </c>
      <c r="E4293" s="17"/>
      <c r="M4293" s="17"/>
      <c r="P4293" s="17"/>
    </row>
    <row r="4294">
      <c r="B4294" s="11">
        <f>IFERROR(__xludf.DUMMYFUNCTION("""COMPUTED_VALUE"""),39794.666666666664)</f>
        <v>39794.66667</v>
      </c>
      <c r="C4294" s="9">
        <f>IFERROR(__xludf.DUMMYFUNCTION("""COMPUTED_VALUE"""),18.54)</f>
        <v>18.54</v>
      </c>
      <c r="E4294" s="17"/>
      <c r="M4294" s="17"/>
      <c r="P4294" s="17"/>
    </row>
    <row r="4295">
      <c r="B4295" s="11">
        <f>IFERROR(__xludf.DUMMYFUNCTION("""COMPUTED_VALUE"""),39793.666666666664)</f>
        <v>39793.66667</v>
      </c>
      <c r="C4295" s="9">
        <f>IFERROR(__xludf.DUMMYFUNCTION("""COMPUTED_VALUE"""),16.24)</f>
        <v>16.24</v>
      </c>
      <c r="E4295" s="17"/>
      <c r="M4295" s="17"/>
      <c r="P4295" s="17"/>
    </row>
    <row r="4296">
      <c r="B4296" s="11">
        <f>IFERROR(__xludf.DUMMYFUNCTION("""COMPUTED_VALUE"""),39792.666666666664)</f>
        <v>39792.66667</v>
      </c>
      <c r="C4296" s="9">
        <f>IFERROR(__xludf.DUMMYFUNCTION("""COMPUTED_VALUE"""),21.31)</f>
        <v>21.31</v>
      </c>
      <c r="E4296" s="17"/>
      <c r="M4296" s="17"/>
      <c r="P4296" s="17"/>
    </row>
    <row r="4297">
      <c r="B4297" s="11">
        <f>IFERROR(__xludf.DUMMYFUNCTION("""COMPUTED_VALUE"""),39791.666666666664)</f>
        <v>39791.66667</v>
      </c>
      <c r="C4297" s="9">
        <f>IFERROR(__xludf.DUMMYFUNCTION("""COMPUTED_VALUE"""),19.27)</f>
        <v>19.27</v>
      </c>
      <c r="E4297" s="17"/>
      <c r="M4297" s="17"/>
      <c r="P4297" s="17"/>
    </row>
    <row r="4298">
      <c r="B4298" s="11">
        <f>IFERROR(__xludf.DUMMYFUNCTION("""COMPUTED_VALUE"""),39790.666666666664)</f>
        <v>39790.66667</v>
      </c>
      <c r="C4298" s="9">
        <f>IFERROR(__xludf.DUMMYFUNCTION("""COMPUTED_VALUE"""),22.45)</f>
        <v>22.45</v>
      </c>
      <c r="E4298" s="17"/>
      <c r="M4298" s="17"/>
      <c r="P4298" s="17"/>
    </row>
    <row r="4299">
      <c r="B4299" s="11">
        <f>IFERROR(__xludf.DUMMYFUNCTION("""COMPUTED_VALUE"""),39787.666666666664)</f>
        <v>39787.66667</v>
      </c>
      <c r="C4299" s="9">
        <f>IFERROR(__xludf.DUMMYFUNCTION("""COMPUTED_VALUE"""),19.08)</f>
        <v>19.08</v>
      </c>
      <c r="E4299" s="17"/>
      <c r="M4299" s="17"/>
      <c r="P4299" s="17"/>
    </row>
    <row r="4300">
      <c r="B4300" s="11">
        <f>IFERROR(__xludf.DUMMYFUNCTION("""COMPUTED_VALUE"""),39786.666666666664)</f>
        <v>39786.66667</v>
      </c>
      <c r="C4300" s="9">
        <f>IFERROR(__xludf.DUMMYFUNCTION("""COMPUTED_VALUE"""),17.27)</f>
        <v>17.27</v>
      </c>
      <c r="E4300" s="17"/>
      <c r="M4300" s="17"/>
      <c r="P4300" s="17"/>
    </row>
    <row r="4301">
      <c r="B4301" s="11">
        <f>IFERROR(__xludf.DUMMYFUNCTION("""COMPUTED_VALUE"""),39785.666666666664)</f>
        <v>39785.66667</v>
      </c>
      <c r="C4301" s="9">
        <f>IFERROR(__xludf.DUMMYFUNCTION("""COMPUTED_VALUE"""),18.53)</f>
        <v>18.53</v>
      </c>
      <c r="E4301" s="17"/>
      <c r="M4301" s="17"/>
      <c r="P4301" s="17"/>
    </row>
    <row r="4302">
      <c r="B4302" s="11">
        <f>IFERROR(__xludf.DUMMYFUNCTION("""COMPUTED_VALUE"""),39784.666666666664)</f>
        <v>39784.66667</v>
      </c>
      <c r="C4302" s="9">
        <f>IFERROR(__xludf.DUMMYFUNCTION("""COMPUTED_VALUE"""),15.73)</f>
        <v>15.73</v>
      </c>
      <c r="E4302" s="17"/>
      <c r="M4302" s="17"/>
      <c r="P4302" s="17"/>
    </row>
    <row r="4303">
      <c r="B4303" s="11">
        <f>IFERROR(__xludf.DUMMYFUNCTION("""COMPUTED_VALUE"""),39783.666666666664)</f>
        <v>39783.66667</v>
      </c>
      <c r="C4303" s="9">
        <f>IFERROR(__xludf.DUMMYFUNCTION("""COMPUTED_VALUE"""),13.15)</f>
        <v>13.15</v>
      </c>
      <c r="E4303" s="17"/>
      <c r="M4303" s="17"/>
      <c r="P4303" s="17"/>
    </row>
    <row r="4304">
      <c r="B4304" s="11">
        <f>IFERROR(__xludf.DUMMYFUNCTION("""COMPUTED_VALUE"""),39780.666666666664)</f>
        <v>39780.66667</v>
      </c>
      <c r="C4304" s="9">
        <f>IFERROR(__xludf.DUMMYFUNCTION("""COMPUTED_VALUE"""),17.22)</f>
        <v>17.22</v>
      </c>
      <c r="E4304" s="17"/>
      <c r="M4304" s="17"/>
      <c r="P4304" s="17"/>
    </row>
    <row r="4305">
      <c r="B4305" s="11">
        <f>IFERROR(__xludf.DUMMYFUNCTION("""COMPUTED_VALUE"""),39778.666666666664)</f>
        <v>39778.66667</v>
      </c>
      <c r="C4305" s="9">
        <f>IFERROR(__xludf.DUMMYFUNCTION("""COMPUTED_VALUE"""),17.79)</f>
        <v>17.79</v>
      </c>
      <c r="E4305" s="17"/>
      <c r="M4305" s="17"/>
      <c r="P4305" s="17"/>
    </row>
    <row r="4306">
      <c r="B4306" s="11">
        <f>IFERROR(__xludf.DUMMYFUNCTION("""COMPUTED_VALUE"""),39777.666666666664)</f>
        <v>39777.66667</v>
      </c>
      <c r="C4306" s="9">
        <f>IFERROR(__xludf.DUMMYFUNCTION("""COMPUTED_VALUE"""),15.44)</f>
        <v>15.44</v>
      </c>
      <c r="E4306" s="17"/>
      <c r="M4306" s="17"/>
      <c r="P4306" s="17"/>
    </row>
    <row r="4307">
      <c r="B4307" s="11">
        <f>IFERROR(__xludf.DUMMYFUNCTION("""COMPUTED_VALUE"""),39776.666666666664)</f>
        <v>39776.66667</v>
      </c>
      <c r="C4307" s="9">
        <f>IFERROR(__xludf.DUMMYFUNCTION("""COMPUTED_VALUE"""),14.01)</f>
        <v>14.01</v>
      </c>
      <c r="E4307" s="17"/>
      <c r="M4307" s="17"/>
      <c r="P4307" s="17"/>
    </row>
    <row r="4308">
      <c r="B4308" s="11">
        <f>IFERROR(__xludf.DUMMYFUNCTION("""COMPUTED_VALUE"""),39773.666666666664)</f>
        <v>39773.66667</v>
      </c>
      <c r="C4308" s="9">
        <f>IFERROR(__xludf.DUMMYFUNCTION("""COMPUTED_VALUE"""),11.23)</f>
        <v>11.23</v>
      </c>
      <c r="E4308" s="17"/>
      <c r="M4308" s="17"/>
      <c r="P4308" s="17"/>
    </row>
    <row r="4309">
      <c r="B4309" s="11">
        <f>IFERROR(__xludf.DUMMYFUNCTION("""COMPUTED_VALUE"""),39772.666666666664)</f>
        <v>39772.66667</v>
      </c>
      <c r="C4309" s="9">
        <f>IFERROR(__xludf.DUMMYFUNCTION("""COMPUTED_VALUE"""),10.16)</f>
        <v>10.16</v>
      </c>
      <c r="E4309" s="17"/>
      <c r="M4309" s="17"/>
      <c r="P4309" s="17"/>
    </row>
    <row r="4310">
      <c r="B4310" s="11">
        <f>IFERROR(__xludf.DUMMYFUNCTION("""COMPUTED_VALUE"""),39771.666666666664)</f>
        <v>39771.66667</v>
      </c>
      <c r="C4310" s="9">
        <f>IFERROR(__xludf.DUMMYFUNCTION("""COMPUTED_VALUE"""),11.26)</f>
        <v>11.26</v>
      </c>
      <c r="E4310" s="17"/>
      <c r="M4310" s="17"/>
      <c r="P4310" s="17"/>
    </row>
    <row r="4311">
      <c r="B4311" s="11">
        <f>IFERROR(__xludf.DUMMYFUNCTION("""COMPUTED_VALUE"""),39770.666666666664)</f>
        <v>39770.66667</v>
      </c>
      <c r="C4311" s="9">
        <f>IFERROR(__xludf.DUMMYFUNCTION("""COMPUTED_VALUE"""),14.26)</f>
        <v>14.26</v>
      </c>
      <c r="E4311" s="17"/>
      <c r="M4311" s="17"/>
      <c r="P4311" s="17"/>
    </row>
    <row r="4312">
      <c r="B4312" s="11">
        <f>IFERROR(__xludf.DUMMYFUNCTION("""COMPUTED_VALUE"""),39769.666666666664)</f>
        <v>39769.66667</v>
      </c>
      <c r="C4312" s="9">
        <f>IFERROR(__xludf.DUMMYFUNCTION("""COMPUTED_VALUE"""),14.97)</f>
        <v>14.97</v>
      </c>
      <c r="E4312" s="17"/>
      <c r="M4312" s="17"/>
      <c r="P4312" s="17"/>
    </row>
    <row r="4313">
      <c r="B4313" s="11">
        <f>IFERROR(__xludf.DUMMYFUNCTION("""COMPUTED_VALUE"""),39766.666666666664)</f>
        <v>39766.66667</v>
      </c>
      <c r="C4313" s="9">
        <f>IFERROR(__xludf.DUMMYFUNCTION("""COMPUTED_VALUE"""),14.75)</f>
        <v>14.75</v>
      </c>
      <c r="E4313" s="17"/>
      <c r="M4313" s="17"/>
      <c r="P4313" s="17"/>
    </row>
    <row r="4314">
      <c r="B4314" s="11">
        <f>IFERROR(__xludf.DUMMYFUNCTION("""COMPUTED_VALUE"""),39765.666666666664)</f>
        <v>39765.66667</v>
      </c>
      <c r="C4314" s="9">
        <f>IFERROR(__xludf.DUMMYFUNCTION("""COMPUTED_VALUE"""),16.74)</f>
        <v>16.74</v>
      </c>
      <c r="E4314" s="17"/>
      <c r="M4314" s="17"/>
      <c r="P4314" s="17"/>
    </row>
    <row r="4315">
      <c r="B4315" s="11">
        <f>IFERROR(__xludf.DUMMYFUNCTION("""COMPUTED_VALUE"""),39764.666666666664)</f>
        <v>39764.66667</v>
      </c>
      <c r="C4315" s="9">
        <f>IFERROR(__xludf.DUMMYFUNCTION("""COMPUTED_VALUE"""),13.25)</f>
        <v>13.25</v>
      </c>
      <c r="E4315" s="17"/>
      <c r="M4315" s="17"/>
      <c r="P4315" s="17"/>
    </row>
    <row r="4316">
      <c r="B4316" s="11">
        <f>IFERROR(__xludf.DUMMYFUNCTION("""COMPUTED_VALUE"""),39763.666666666664)</f>
        <v>39763.66667</v>
      </c>
      <c r="C4316" s="9">
        <f>IFERROR(__xludf.DUMMYFUNCTION("""COMPUTED_VALUE"""),18.95)</f>
        <v>18.95</v>
      </c>
      <c r="E4316" s="17"/>
      <c r="M4316" s="17"/>
      <c r="P4316" s="17"/>
    </row>
    <row r="4317">
      <c r="B4317" s="11">
        <f>IFERROR(__xludf.DUMMYFUNCTION("""COMPUTED_VALUE"""),39762.666666666664)</f>
        <v>39762.66667</v>
      </c>
      <c r="C4317" s="9">
        <f>IFERROR(__xludf.DUMMYFUNCTION("""COMPUTED_VALUE"""),18.37)</f>
        <v>18.37</v>
      </c>
      <c r="E4317" s="17"/>
      <c r="M4317" s="17"/>
      <c r="P4317" s="17"/>
    </row>
    <row r="4318">
      <c r="B4318" s="11">
        <f>IFERROR(__xludf.DUMMYFUNCTION("""COMPUTED_VALUE"""),39759.666666666664)</f>
        <v>39759.66667</v>
      </c>
      <c r="C4318" s="9">
        <f>IFERROR(__xludf.DUMMYFUNCTION("""COMPUTED_VALUE"""),22.53)</f>
        <v>22.53</v>
      </c>
      <c r="E4318" s="17"/>
      <c r="M4318" s="17"/>
      <c r="P4318" s="17"/>
    </row>
    <row r="4319">
      <c r="B4319" s="11">
        <f>IFERROR(__xludf.DUMMYFUNCTION("""COMPUTED_VALUE"""),39758.666666666664)</f>
        <v>39758.66667</v>
      </c>
      <c r="C4319" s="9">
        <f>IFERROR(__xludf.DUMMYFUNCTION("""COMPUTED_VALUE"""),20.75)</f>
        <v>20.75</v>
      </c>
      <c r="E4319" s="17"/>
      <c r="M4319" s="17"/>
      <c r="P4319" s="17"/>
    </row>
    <row r="4320">
      <c r="B4320" s="11">
        <f>IFERROR(__xludf.DUMMYFUNCTION("""COMPUTED_VALUE"""),39757.666666666664)</f>
        <v>39757.66667</v>
      </c>
      <c r="C4320" s="9">
        <f>IFERROR(__xludf.DUMMYFUNCTION("""COMPUTED_VALUE"""),23.45)</f>
        <v>23.45</v>
      </c>
      <c r="E4320" s="17"/>
      <c r="M4320" s="17"/>
      <c r="P4320" s="17"/>
    </row>
    <row r="4321">
      <c r="B4321" s="11">
        <f>IFERROR(__xludf.DUMMYFUNCTION("""COMPUTED_VALUE"""),39756.666666666664)</f>
        <v>39756.66667</v>
      </c>
      <c r="C4321" s="9">
        <f>IFERROR(__xludf.DUMMYFUNCTION("""COMPUTED_VALUE"""),25.8)</f>
        <v>25.8</v>
      </c>
      <c r="E4321" s="17"/>
      <c r="M4321" s="17"/>
      <c r="P4321" s="17"/>
    </row>
    <row r="4322">
      <c r="B4322" s="11">
        <f>IFERROR(__xludf.DUMMYFUNCTION("""COMPUTED_VALUE"""),39755.666666666664)</f>
        <v>39755.66667</v>
      </c>
      <c r="C4322" s="9">
        <f>IFERROR(__xludf.DUMMYFUNCTION("""COMPUTED_VALUE"""),24.14)</f>
        <v>24.14</v>
      </c>
      <c r="E4322" s="17"/>
      <c r="M4322" s="17"/>
      <c r="P4322" s="17"/>
    </row>
    <row r="4323">
      <c r="B4323" s="11">
        <f>IFERROR(__xludf.DUMMYFUNCTION("""COMPUTED_VALUE"""),39752.666666666664)</f>
        <v>39752.66667</v>
      </c>
      <c r="C4323" s="9">
        <f>IFERROR(__xludf.DUMMYFUNCTION("""COMPUTED_VALUE"""),24.03)</f>
        <v>24.03</v>
      </c>
      <c r="E4323" s="17"/>
      <c r="M4323" s="17"/>
      <c r="P4323" s="17"/>
    </row>
    <row r="4324">
      <c r="B4324" s="11">
        <f>IFERROR(__xludf.DUMMYFUNCTION("""COMPUTED_VALUE"""),39751.666666666664)</f>
        <v>39751.66667</v>
      </c>
      <c r="C4324" s="9">
        <f>IFERROR(__xludf.DUMMYFUNCTION("""COMPUTED_VALUE"""),20.8)</f>
        <v>20.8</v>
      </c>
      <c r="E4324" s="17"/>
      <c r="M4324" s="17"/>
      <c r="P4324" s="17"/>
    </row>
    <row r="4325">
      <c r="B4325" s="11">
        <f>IFERROR(__xludf.DUMMYFUNCTION("""COMPUTED_VALUE"""),39750.666666666664)</f>
        <v>39750.66667</v>
      </c>
      <c r="C4325" s="9">
        <f>IFERROR(__xludf.DUMMYFUNCTION("""COMPUTED_VALUE"""),19.34)</f>
        <v>19.34</v>
      </c>
      <c r="E4325" s="17"/>
      <c r="M4325" s="17"/>
      <c r="P4325" s="17"/>
    </row>
    <row r="4326">
      <c r="B4326" s="11">
        <f>IFERROR(__xludf.DUMMYFUNCTION("""COMPUTED_VALUE"""),39749.666666666664)</f>
        <v>39749.66667</v>
      </c>
      <c r="C4326" s="9">
        <f>IFERROR(__xludf.DUMMYFUNCTION("""COMPUTED_VALUE"""),18.45)</f>
        <v>18.45</v>
      </c>
      <c r="E4326" s="17"/>
      <c r="M4326" s="17"/>
      <c r="P4326" s="17"/>
    </row>
    <row r="4327">
      <c r="B4327" s="11">
        <f>IFERROR(__xludf.DUMMYFUNCTION("""COMPUTED_VALUE"""),39748.666666666664)</f>
        <v>39748.66667</v>
      </c>
      <c r="C4327" s="9">
        <f>IFERROR(__xludf.DUMMYFUNCTION("""COMPUTED_VALUE"""),15.32)</f>
        <v>15.32</v>
      </c>
      <c r="E4327" s="17"/>
      <c r="M4327" s="17"/>
      <c r="P4327" s="17"/>
    </row>
    <row r="4328">
      <c r="B4328" s="11">
        <f>IFERROR(__xludf.DUMMYFUNCTION("""COMPUTED_VALUE"""),39745.666666666664)</f>
        <v>39745.66667</v>
      </c>
      <c r="C4328" s="9">
        <f>IFERROR(__xludf.DUMMYFUNCTION("""COMPUTED_VALUE"""),17.91)</f>
        <v>17.91</v>
      </c>
      <c r="E4328" s="17"/>
      <c r="M4328" s="17"/>
      <c r="P4328" s="17"/>
    </row>
    <row r="4329">
      <c r="B4329" s="11">
        <f>IFERROR(__xludf.DUMMYFUNCTION("""COMPUTED_VALUE"""),39744.666666666664)</f>
        <v>39744.66667</v>
      </c>
      <c r="C4329" s="9">
        <f>IFERROR(__xludf.DUMMYFUNCTION("""COMPUTED_VALUE"""),20.11)</f>
        <v>20.11</v>
      </c>
      <c r="E4329" s="17"/>
      <c r="M4329" s="17"/>
      <c r="P4329" s="17"/>
    </row>
    <row r="4330">
      <c r="B4330" s="11">
        <f>IFERROR(__xludf.DUMMYFUNCTION("""COMPUTED_VALUE"""),39743.666666666664)</f>
        <v>39743.66667</v>
      </c>
      <c r="C4330" s="9">
        <f>IFERROR(__xludf.DUMMYFUNCTION("""COMPUTED_VALUE"""),20.11)</f>
        <v>20.11</v>
      </c>
      <c r="E4330" s="17"/>
      <c r="M4330" s="17"/>
      <c r="P4330" s="17"/>
    </row>
    <row r="4331">
      <c r="B4331" s="11">
        <f>IFERROR(__xludf.DUMMYFUNCTION("""COMPUTED_VALUE"""),39742.666666666664)</f>
        <v>39742.66667</v>
      </c>
      <c r="C4331" s="9">
        <f>IFERROR(__xludf.DUMMYFUNCTION("""COMPUTED_VALUE"""),23.34)</f>
        <v>23.34</v>
      </c>
      <c r="E4331" s="17"/>
      <c r="M4331" s="17"/>
      <c r="P4331" s="17"/>
    </row>
    <row r="4332">
      <c r="B4332" s="11">
        <f>IFERROR(__xludf.DUMMYFUNCTION("""COMPUTED_VALUE"""),39741.666666666664)</f>
        <v>39741.66667</v>
      </c>
      <c r="C4332" s="9">
        <f>IFERROR(__xludf.DUMMYFUNCTION("""COMPUTED_VALUE"""),25.81)</f>
        <v>25.81</v>
      </c>
      <c r="E4332" s="17"/>
      <c r="M4332" s="17"/>
      <c r="P4332" s="17"/>
    </row>
    <row r="4333">
      <c r="B4333" s="11">
        <f>IFERROR(__xludf.DUMMYFUNCTION("""COMPUTED_VALUE"""),39738.666666666664)</f>
        <v>39738.66667</v>
      </c>
      <c r="C4333" s="9">
        <f>IFERROR(__xludf.DUMMYFUNCTION("""COMPUTED_VALUE"""),25.98)</f>
        <v>25.98</v>
      </c>
      <c r="E4333" s="17"/>
      <c r="M4333" s="17"/>
      <c r="P4333" s="17"/>
    </row>
    <row r="4334">
      <c r="B4334" s="11">
        <f>IFERROR(__xludf.DUMMYFUNCTION("""COMPUTED_VALUE"""),39737.666666666664)</f>
        <v>39737.66667</v>
      </c>
      <c r="C4334" s="9">
        <f>IFERROR(__xludf.DUMMYFUNCTION("""COMPUTED_VALUE"""),27.63)</f>
        <v>27.63</v>
      </c>
      <c r="E4334" s="17"/>
      <c r="M4334" s="17"/>
      <c r="P4334" s="17"/>
    </row>
    <row r="4335">
      <c r="B4335" s="11">
        <f>IFERROR(__xludf.DUMMYFUNCTION("""COMPUTED_VALUE"""),39736.666666666664)</f>
        <v>39736.66667</v>
      </c>
      <c r="C4335" s="9">
        <f>IFERROR(__xludf.DUMMYFUNCTION("""COMPUTED_VALUE"""),27.92)</f>
        <v>27.92</v>
      </c>
      <c r="E4335" s="17"/>
      <c r="M4335" s="17"/>
      <c r="P4335" s="17"/>
    </row>
    <row r="4336">
      <c r="B4336" s="11">
        <f>IFERROR(__xludf.DUMMYFUNCTION("""COMPUTED_VALUE"""),39735.666666666664)</f>
        <v>39735.66667</v>
      </c>
      <c r="C4336" s="9">
        <f>IFERROR(__xludf.DUMMYFUNCTION("""COMPUTED_VALUE"""),32.68)</f>
        <v>32.68</v>
      </c>
      <c r="E4336" s="17"/>
      <c r="M4336" s="17"/>
      <c r="P4336" s="17"/>
    </row>
    <row r="4337">
      <c r="B4337" s="11">
        <f>IFERROR(__xludf.DUMMYFUNCTION("""COMPUTED_VALUE"""),39734.666666666664)</f>
        <v>39734.66667</v>
      </c>
      <c r="C4337" s="9">
        <f>IFERROR(__xludf.DUMMYFUNCTION("""COMPUTED_VALUE"""),37.42)</f>
        <v>37.42</v>
      </c>
      <c r="E4337" s="17"/>
      <c r="M4337" s="17"/>
      <c r="P4337" s="17"/>
    </row>
    <row r="4338">
      <c r="B4338" s="11">
        <f>IFERROR(__xludf.DUMMYFUNCTION("""COMPUTED_VALUE"""),39731.666666666664)</f>
        <v>39731.66667</v>
      </c>
      <c r="C4338" s="9">
        <f>IFERROR(__xludf.DUMMYFUNCTION("""COMPUTED_VALUE"""),34.25)</f>
        <v>34.25</v>
      </c>
      <c r="E4338" s="17"/>
      <c r="M4338" s="17"/>
      <c r="P4338" s="17"/>
    </row>
    <row r="4339">
      <c r="B4339" s="11">
        <f>IFERROR(__xludf.DUMMYFUNCTION("""COMPUTED_VALUE"""),39730.666666666664)</f>
        <v>39730.66667</v>
      </c>
      <c r="C4339" s="9">
        <f>IFERROR(__xludf.DUMMYFUNCTION("""COMPUTED_VALUE"""),29.2)</f>
        <v>29.2</v>
      </c>
      <c r="E4339" s="17"/>
      <c r="M4339" s="17"/>
      <c r="P4339" s="17"/>
    </row>
    <row r="4340">
      <c r="B4340" s="11">
        <f>IFERROR(__xludf.DUMMYFUNCTION("""COMPUTED_VALUE"""),39729.666666666664)</f>
        <v>39729.66667</v>
      </c>
      <c r="C4340" s="9">
        <f>IFERROR(__xludf.DUMMYFUNCTION("""COMPUTED_VALUE"""),31.35)</f>
        <v>31.35</v>
      </c>
      <c r="E4340" s="17"/>
      <c r="M4340" s="17"/>
      <c r="P4340" s="17"/>
    </row>
    <row r="4341">
      <c r="B4341" s="11">
        <f>IFERROR(__xludf.DUMMYFUNCTION("""COMPUTED_VALUE"""),39728.666666666664)</f>
        <v>39728.66667</v>
      </c>
      <c r="C4341" s="9">
        <f>IFERROR(__xludf.DUMMYFUNCTION("""COMPUTED_VALUE"""),31.55)</f>
        <v>31.55</v>
      </c>
      <c r="E4341" s="17"/>
      <c r="M4341" s="17"/>
      <c r="P4341" s="17"/>
    </row>
    <row r="4342">
      <c r="B4342" s="11">
        <f>IFERROR(__xludf.DUMMYFUNCTION("""COMPUTED_VALUE"""),39727.666666666664)</f>
        <v>39727.66667</v>
      </c>
      <c r="C4342" s="9">
        <f>IFERROR(__xludf.DUMMYFUNCTION("""COMPUTED_VALUE"""),35.7)</f>
        <v>35.7</v>
      </c>
      <c r="E4342" s="17"/>
      <c r="M4342" s="17"/>
      <c r="P4342" s="17"/>
    </row>
    <row r="4343">
      <c r="B4343" s="11">
        <f>IFERROR(__xludf.DUMMYFUNCTION("""COMPUTED_VALUE"""),39724.666666666664)</f>
        <v>39724.66667</v>
      </c>
      <c r="C4343" s="9">
        <f>IFERROR(__xludf.DUMMYFUNCTION("""COMPUTED_VALUE"""),37.56)</f>
        <v>37.56</v>
      </c>
      <c r="E4343" s="17"/>
      <c r="M4343" s="17"/>
      <c r="P4343" s="17"/>
    </row>
    <row r="4344">
      <c r="B4344" s="11">
        <f>IFERROR(__xludf.DUMMYFUNCTION("""COMPUTED_VALUE"""),39723.666666666664)</f>
        <v>39723.66667</v>
      </c>
      <c r="C4344" s="9">
        <f>IFERROR(__xludf.DUMMYFUNCTION("""COMPUTED_VALUE"""),39.44)</f>
        <v>39.44</v>
      </c>
      <c r="E4344" s="17"/>
      <c r="M4344" s="17"/>
      <c r="P4344" s="17"/>
    </row>
    <row r="4345">
      <c r="B4345" s="11">
        <f>IFERROR(__xludf.DUMMYFUNCTION("""COMPUTED_VALUE"""),39722.666666666664)</f>
        <v>39722.66667</v>
      </c>
      <c r="C4345" s="9">
        <f>IFERROR(__xludf.DUMMYFUNCTION("""COMPUTED_VALUE"""),43.42)</f>
        <v>43.42</v>
      </c>
      <c r="E4345" s="17"/>
      <c r="M4345" s="17"/>
      <c r="P4345" s="17"/>
    </row>
    <row r="4346">
      <c r="B4346" s="11">
        <f>IFERROR(__xludf.DUMMYFUNCTION("""COMPUTED_VALUE"""),39721.666666666664)</f>
        <v>39721.66667</v>
      </c>
      <c r="C4346" s="9">
        <f>IFERROR(__xludf.DUMMYFUNCTION("""COMPUTED_VALUE"""),45.3)</f>
        <v>45.3</v>
      </c>
      <c r="E4346" s="17"/>
      <c r="M4346" s="17"/>
      <c r="P4346" s="17"/>
    </row>
    <row r="4347">
      <c r="B4347" s="11">
        <f>IFERROR(__xludf.DUMMYFUNCTION("""COMPUTED_VALUE"""),39720.666666666664)</f>
        <v>39720.66667</v>
      </c>
      <c r="C4347" s="9">
        <f>IFERROR(__xludf.DUMMYFUNCTION("""COMPUTED_VALUE"""),42.25)</f>
        <v>42.25</v>
      </c>
      <c r="E4347" s="17"/>
      <c r="M4347" s="17"/>
      <c r="P4347" s="17"/>
    </row>
    <row r="4348">
      <c r="B4348" s="11">
        <f>IFERROR(__xludf.DUMMYFUNCTION("""COMPUTED_VALUE"""),39717.666666666664)</f>
        <v>39717.66667</v>
      </c>
      <c r="C4348" s="9">
        <f>IFERROR(__xludf.DUMMYFUNCTION("""COMPUTED_VALUE"""),44.2)</f>
        <v>44.2</v>
      </c>
      <c r="E4348" s="17"/>
      <c r="M4348" s="17"/>
      <c r="P4348" s="17"/>
    </row>
    <row r="4349">
      <c r="B4349" s="11">
        <f>IFERROR(__xludf.DUMMYFUNCTION("""COMPUTED_VALUE"""),39716.666666666664)</f>
        <v>39716.66667</v>
      </c>
      <c r="C4349" s="9">
        <f>IFERROR(__xludf.DUMMYFUNCTION("""COMPUTED_VALUE"""),41.4)</f>
        <v>41.4</v>
      </c>
      <c r="E4349" s="17"/>
      <c r="M4349" s="17"/>
      <c r="P4349" s="17"/>
    </row>
    <row r="4350">
      <c r="B4350" s="11">
        <f>IFERROR(__xludf.DUMMYFUNCTION("""COMPUTED_VALUE"""),39715.666666666664)</f>
        <v>39715.66667</v>
      </c>
      <c r="C4350" s="9">
        <f>IFERROR(__xludf.DUMMYFUNCTION("""COMPUTED_VALUE"""),40.68)</f>
        <v>40.68</v>
      </c>
      <c r="E4350" s="17"/>
      <c r="M4350" s="17"/>
      <c r="P4350" s="17"/>
    </row>
    <row r="4351">
      <c r="B4351" s="11">
        <f>IFERROR(__xludf.DUMMYFUNCTION("""COMPUTED_VALUE"""),39714.666666666664)</f>
        <v>39714.66667</v>
      </c>
      <c r="C4351" s="9">
        <f>IFERROR(__xludf.DUMMYFUNCTION("""COMPUTED_VALUE"""),43.75)</f>
        <v>43.75</v>
      </c>
      <c r="E4351" s="17"/>
      <c r="M4351" s="17"/>
      <c r="P4351" s="17"/>
    </row>
    <row r="4352">
      <c r="B4352" s="11">
        <f>IFERROR(__xludf.DUMMYFUNCTION("""COMPUTED_VALUE"""),39713.666666666664)</f>
        <v>39713.66667</v>
      </c>
      <c r="C4352" s="9">
        <f>IFERROR(__xludf.DUMMYFUNCTION("""COMPUTED_VALUE"""),42.29)</f>
        <v>42.29</v>
      </c>
      <c r="E4352" s="17"/>
      <c r="M4352" s="17"/>
      <c r="P4352" s="17"/>
    </row>
    <row r="4353">
      <c r="B4353" s="11">
        <f>IFERROR(__xludf.DUMMYFUNCTION("""COMPUTED_VALUE"""),39710.666666666664)</f>
        <v>39710.66667</v>
      </c>
      <c r="C4353" s="9">
        <f>IFERROR(__xludf.DUMMYFUNCTION("""COMPUTED_VALUE"""),47.01)</f>
        <v>47.01</v>
      </c>
      <c r="E4353" s="17"/>
      <c r="M4353" s="17"/>
      <c r="P4353" s="17"/>
    </row>
    <row r="4354">
      <c r="B4354" s="11">
        <f>IFERROR(__xludf.DUMMYFUNCTION("""COMPUTED_VALUE"""),39709.666666666664)</f>
        <v>39709.66667</v>
      </c>
      <c r="C4354" s="9">
        <f>IFERROR(__xludf.DUMMYFUNCTION("""COMPUTED_VALUE"""),50.45)</f>
        <v>50.45</v>
      </c>
      <c r="E4354" s="17"/>
      <c r="M4354" s="17"/>
      <c r="P4354" s="17"/>
    </row>
    <row r="4355">
      <c r="B4355" s="11">
        <f>IFERROR(__xludf.DUMMYFUNCTION("""COMPUTED_VALUE"""),39708.666666666664)</f>
        <v>39708.66667</v>
      </c>
      <c r="C4355" s="9">
        <f>IFERROR(__xludf.DUMMYFUNCTION("""COMPUTED_VALUE"""),47.62)</f>
        <v>47.62</v>
      </c>
      <c r="E4355" s="17"/>
      <c r="M4355" s="17"/>
      <c r="P4355" s="17"/>
    </row>
    <row r="4356">
      <c r="B4356" s="11">
        <f>IFERROR(__xludf.DUMMYFUNCTION("""COMPUTED_VALUE"""),39707.666666666664)</f>
        <v>39707.66667</v>
      </c>
      <c r="C4356" s="9">
        <f>IFERROR(__xludf.DUMMYFUNCTION("""COMPUTED_VALUE"""),47.91)</f>
        <v>47.91</v>
      </c>
      <c r="E4356" s="17"/>
      <c r="M4356" s="17"/>
      <c r="P4356" s="17"/>
    </row>
    <row r="4357">
      <c r="B4357" s="11">
        <f>IFERROR(__xludf.DUMMYFUNCTION("""COMPUTED_VALUE"""),39706.666666666664)</f>
        <v>39706.66667</v>
      </c>
      <c r="C4357" s="9">
        <f>IFERROR(__xludf.DUMMYFUNCTION("""COMPUTED_VALUE"""),44.24)</f>
        <v>44.24</v>
      </c>
      <c r="E4357" s="17"/>
      <c r="M4357" s="17"/>
      <c r="P4357" s="17"/>
    </row>
    <row r="4358">
      <c r="B4358" s="11">
        <f>IFERROR(__xludf.DUMMYFUNCTION("""COMPUTED_VALUE"""),39703.666666666664)</f>
        <v>39703.66667</v>
      </c>
      <c r="C4358" s="9">
        <f>IFERROR(__xludf.DUMMYFUNCTION("""COMPUTED_VALUE"""),47.44)</f>
        <v>47.44</v>
      </c>
      <c r="E4358" s="17"/>
      <c r="M4358" s="17"/>
      <c r="P4358" s="17"/>
    </row>
    <row r="4359">
      <c r="B4359" s="11">
        <f>IFERROR(__xludf.DUMMYFUNCTION("""COMPUTED_VALUE"""),39702.666666666664)</f>
        <v>39702.66667</v>
      </c>
      <c r="C4359" s="9">
        <f>IFERROR(__xludf.DUMMYFUNCTION("""COMPUTED_VALUE"""),47.62)</f>
        <v>47.62</v>
      </c>
      <c r="E4359" s="17"/>
      <c r="M4359" s="17"/>
      <c r="P4359" s="17"/>
    </row>
    <row r="4360">
      <c r="B4360" s="11">
        <f>IFERROR(__xludf.DUMMYFUNCTION("""COMPUTED_VALUE"""),39701.666666666664)</f>
        <v>39701.66667</v>
      </c>
      <c r="C4360" s="9">
        <f>IFERROR(__xludf.DUMMYFUNCTION("""COMPUTED_VALUE"""),47.26)</f>
        <v>47.26</v>
      </c>
      <c r="E4360" s="17"/>
      <c r="M4360" s="17"/>
      <c r="P4360" s="17"/>
    </row>
    <row r="4361">
      <c r="B4361" s="11">
        <f>IFERROR(__xludf.DUMMYFUNCTION("""COMPUTED_VALUE"""),39700.666666666664)</f>
        <v>39700.66667</v>
      </c>
      <c r="C4361" s="9">
        <f>IFERROR(__xludf.DUMMYFUNCTION("""COMPUTED_VALUE"""),46.91)</f>
        <v>46.91</v>
      </c>
      <c r="E4361" s="17"/>
      <c r="M4361" s="17"/>
      <c r="P4361" s="17"/>
    </row>
    <row r="4362">
      <c r="B4362" s="11">
        <f>IFERROR(__xludf.DUMMYFUNCTION("""COMPUTED_VALUE"""),39699.666666666664)</f>
        <v>39699.66667</v>
      </c>
      <c r="C4362" s="9">
        <f>IFERROR(__xludf.DUMMYFUNCTION("""COMPUTED_VALUE"""),49.99)</f>
        <v>49.99</v>
      </c>
      <c r="E4362" s="17"/>
      <c r="M4362" s="17"/>
      <c r="P4362" s="17"/>
    </row>
    <row r="4363">
      <c r="B4363" s="11">
        <f>IFERROR(__xludf.DUMMYFUNCTION("""COMPUTED_VALUE"""),39696.666666666664)</f>
        <v>39696.66667</v>
      </c>
      <c r="C4363" s="9">
        <f>IFERROR(__xludf.DUMMYFUNCTION("""COMPUTED_VALUE"""),47.14)</f>
        <v>47.14</v>
      </c>
      <c r="E4363" s="17"/>
      <c r="M4363" s="17"/>
      <c r="P4363" s="17"/>
    </row>
    <row r="4364">
      <c r="B4364" s="11">
        <f>IFERROR(__xludf.DUMMYFUNCTION("""COMPUTED_VALUE"""),39695.666666666664)</f>
        <v>39695.66667</v>
      </c>
      <c r="C4364" s="9">
        <f>IFERROR(__xludf.DUMMYFUNCTION("""COMPUTED_VALUE"""),47.26)</f>
        <v>47.26</v>
      </c>
      <c r="E4364" s="17"/>
      <c r="M4364" s="17"/>
      <c r="P4364" s="17"/>
    </row>
    <row r="4365">
      <c r="B4365" s="11">
        <f>IFERROR(__xludf.DUMMYFUNCTION("""COMPUTED_VALUE"""),39694.666666666664)</f>
        <v>39694.66667</v>
      </c>
      <c r="C4365" s="9">
        <f>IFERROR(__xludf.DUMMYFUNCTION("""COMPUTED_VALUE"""),48.31)</f>
        <v>48.31</v>
      </c>
      <c r="E4365" s="17"/>
      <c r="M4365" s="17"/>
      <c r="P4365" s="17"/>
    </row>
    <row r="4366">
      <c r="B4366" s="11">
        <f>IFERROR(__xludf.DUMMYFUNCTION("""COMPUTED_VALUE"""),39693.666666666664)</f>
        <v>39693.66667</v>
      </c>
      <c r="C4366" s="9">
        <f>IFERROR(__xludf.DUMMYFUNCTION("""COMPUTED_VALUE"""),46.46)</f>
        <v>46.46</v>
      </c>
      <c r="E4366" s="17"/>
      <c r="M4366" s="17"/>
      <c r="P4366" s="17"/>
    </row>
    <row r="4367">
      <c r="B4367" s="11">
        <f>IFERROR(__xludf.DUMMYFUNCTION("""COMPUTED_VALUE"""),39689.666666666664)</f>
        <v>39689.66667</v>
      </c>
      <c r="C4367" s="9">
        <f>IFERROR(__xludf.DUMMYFUNCTION("""COMPUTED_VALUE"""),45.39)</f>
        <v>45.39</v>
      </c>
      <c r="E4367" s="17"/>
      <c r="M4367" s="17"/>
      <c r="P4367" s="17"/>
    </row>
    <row r="4368">
      <c r="B4368" s="11">
        <f>IFERROR(__xludf.DUMMYFUNCTION("""COMPUTED_VALUE"""),39688.666666666664)</f>
        <v>39688.66667</v>
      </c>
      <c r="C4368" s="9">
        <f>IFERROR(__xludf.DUMMYFUNCTION("""COMPUTED_VALUE"""),46.15)</f>
        <v>46.15</v>
      </c>
      <c r="E4368" s="17"/>
      <c r="M4368" s="17"/>
      <c r="P4368" s="17"/>
    </row>
    <row r="4369">
      <c r="B4369" s="11">
        <f>IFERROR(__xludf.DUMMYFUNCTION("""COMPUTED_VALUE"""),39687.666666666664)</f>
        <v>39687.66667</v>
      </c>
      <c r="C4369" s="9">
        <f>IFERROR(__xludf.DUMMYFUNCTION("""COMPUTED_VALUE"""),44.22)</f>
        <v>44.22</v>
      </c>
      <c r="E4369" s="17"/>
      <c r="M4369" s="17"/>
      <c r="P4369" s="17"/>
    </row>
    <row r="4370">
      <c r="B4370" s="11">
        <f>IFERROR(__xludf.DUMMYFUNCTION("""COMPUTED_VALUE"""),39686.666666666664)</f>
        <v>39686.66667</v>
      </c>
      <c r="C4370" s="9">
        <f>IFERROR(__xludf.DUMMYFUNCTION("""COMPUTED_VALUE"""),44.15)</f>
        <v>44.15</v>
      </c>
      <c r="E4370" s="17"/>
      <c r="M4370" s="17"/>
      <c r="P4370" s="17"/>
    </row>
    <row r="4371">
      <c r="B4371" s="11">
        <f>IFERROR(__xludf.DUMMYFUNCTION("""COMPUTED_VALUE"""),39685.666666666664)</f>
        <v>39685.66667</v>
      </c>
      <c r="C4371" s="9">
        <f>IFERROR(__xludf.DUMMYFUNCTION("""COMPUTED_VALUE"""),43.05)</f>
        <v>43.05</v>
      </c>
      <c r="E4371" s="17"/>
      <c r="M4371" s="17"/>
      <c r="P4371" s="17"/>
    </row>
    <row r="4372">
      <c r="B4372" s="11">
        <f>IFERROR(__xludf.DUMMYFUNCTION("""COMPUTED_VALUE"""),39682.666666666664)</f>
        <v>39682.66667</v>
      </c>
      <c r="C4372" s="9">
        <f>IFERROR(__xludf.DUMMYFUNCTION("""COMPUTED_VALUE"""),44.83)</f>
        <v>44.83</v>
      </c>
      <c r="E4372" s="17"/>
      <c r="M4372" s="17"/>
      <c r="P4372" s="17"/>
    </row>
    <row r="4373">
      <c r="B4373" s="11">
        <f>IFERROR(__xludf.DUMMYFUNCTION("""COMPUTED_VALUE"""),39681.666666666664)</f>
        <v>39681.66667</v>
      </c>
      <c r="C4373" s="9">
        <f>IFERROR(__xludf.DUMMYFUNCTION("""COMPUTED_VALUE"""),43.93)</f>
        <v>43.93</v>
      </c>
      <c r="E4373" s="17"/>
      <c r="M4373" s="17"/>
      <c r="P4373" s="17"/>
    </row>
    <row r="4374">
      <c r="B4374" s="11">
        <f>IFERROR(__xludf.DUMMYFUNCTION("""COMPUTED_VALUE"""),39680.666666666664)</f>
        <v>39680.66667</v>
      </c>
      <c r="C4374" s="9">
        <f>IFERROR(__xludf.DUMMYFUNCTION("""COMPUTED_VALUE"""),45.48)</f>
        <v>45.48</v>
      </c>
      <c r="E4374" s="17"/>
      <c r="M4374" s="17"/>
      <c r="P4374" s="17"/>
    </row>
    <row r="4375">
      <c r="B4375" s="11">
        <f>IFERROR(__xludf.DUMMYFUNCTION("""COMPUTED_VALUE"""),39679.666666666664)</f>
        <v>39679.66667</v>
      </c>
      <c r="C4375" s="9">
        <f>IFERROR(__xludf.DUMMYFUNCTION("""COMPUTED_VALUE"""),45.93)</f>
        <v>45.93</v>
      </c>
      <c r="E4375" s="17"/>
      <c r="M4375" s="17"/>
      <c r="P4375" s="17"/>
    </row>
    <row r="4376">
      <c r="B4376" s="11">
        <f>IFERROR(__xludf.DUMMYFUNCTION("""COMPUTED_VALUE"""),39678.666666666664)</f>
        <v>39678.66667</v>
      </c>
      <c r="C4376" s="9">
        <f>IFERROR(__xludf.DUMMYFUNCTION("""COMPUTED_VALUE"""),46.84)</f>
        <v>46.84</v>
      </c>
      <c r="E4376" s="17"/>
      <c r="M4376" s="17"/>
      <c r="P4376" s="17"/>
    </row>
    <row r="4377">
      <c r="B4377" s="11">
        <f>IFERROR(__xludf.DUMMYFUNCTION("""COMPUTED_VALUE"""),39675.666666666664)</f>
        <v>39675.66667</v>
      </c>
      <c r="C4377" s="9">
        <f>IFERROR(__xludf.DUMMYFUNCTION("""COMPUTED_VALUE"""),48.48)</f>
        <v>48.48</v>
      </c>
      <c r="E4377" s="17"/>
      <c r="M4377" s="17"/>
      <c r="P4377" s="17"/>
    </row>
    <row r="4378">
      <c r="B4378" s="11">
        <f>IFERROR(__xludf.DUMMYFUNCTION("""COMPUTED_VALUE"""),39674.666666666664)</f>
        <v>39674.66667</v>
      </c>
      <c r="C4378" s="9">
        <f>IFERROR(__xludf.DUMMYFUNCTION("""COMPUTED_VALUE"""),48.57)</f>
        <v>48.57</v>
      </c>
      <c r="E4378" s="17"/>
      <c r="M4378" s="17"/>
      <c r="P4378" s="17"/>
    </row>
    <row r="4379">
      <c r="B4379" s="11">
        <f>IFERROR(__xludf.DUMMYFUNCTION("""COMPUTED_VALUE"""),39673.666666666664)</f>
        <v>39673.66667</v>
      </c>
      <c r="C4379" s="9">
        <f>IFERROR(__xludf.DUMMYFUNCTION("""COMPUTED_VALUE"""),48.5)</f>
        <v>48.5</v>
      </c>
      <c r="E4379" s="17"/>
      <c r="M4379" s="17"/>
      <c r="P4379" s="17"/>
    </row>
    <row r="4380">
      <c r="B4380" s="11">
        <f>IFERROR(__xludf.DUMMYFUNCTION("""COMPUTED_VALUE"""),39672.666666666664)</f>
        <v>39672.66667</v>
      </c>
      <c r="C4380" s="9">
        <f>IFERROR(__xludf.DUMMYFUNCTION("""COMPUTED_VALUE"""),50.2)</f>
        <v>50.2</v>
      </c>
      <c r="E4380" s="17"/>
      <c r="M4380" s="17"/>
      <c r="P4380" s="17"/>
    </row>
    <row r="4381">
      <c r="B4381" s="11">
        <f>IFERROR(__xludf.DUMMYFUNCTION("""COMPUTED_VALUE"""),39671.666666666664)</f>
        <v>39671.66667</v>
      </c>
      <c r="C4381" s="9">
        <f>IFERROR(__xludf.DUMMYFUNCTION("""COMPUTED_VALUE"""),51.45)</f>
        <v>51.45</v>
      </c>
      <c r="E4381" s="17"/>
      <c r="M4381" s="17"/>
      <c r="P4381" s="17"/>
    </row>
    <row r="4382">
      <c r="B4382" s="11">
        <f>IFERROR(__xludf.DUMMYFUNCTION("""COMPUTED_VALUE"""),39668.666666666664)</f>
        <v>39668.66667</v>
      </c>
      <c r="C4382" s="9">
        <f>IFERROR(__xludf.DUMMYFUNCTION("""COMPUTED_VALUE"""),49.28)</f>
        <v>49.28</v>
      </c>
      <c r="E4382" s="17"/>
      <c r="M4382" s="17"/>
      <c r="P4382" s="17"/>
    </row>
    <row r="4383">
      <c r="B4383" s="11">
        <f>IFERROR(__xludf.DUMMYFUNCTION("""COMPUTED_VALUE"""),39667.666666666664)</f>
        <v>39667.66667</v>
      </c>
      <c r="C4383" s="9">
        <f>IFERROR(__xludf.DUMMYFUNCTION("""COMPUTED_VALUE"""),46.81)</f>
        <v>46.81</v>
      </c>
      <c r="E4383" s="17"/>
      <c r="M4383" s="17"/>
      <c r="P4383" s="17"/>
    </row>
    <row r="4384">
      <c r="B4384" s="11">
        <f>IFERROR(__xludf.DUMMYFUNCTION("""COMPUTED_VALUE"""),39666.666666666664)</f>
        <v>39666.66667</v>
      </c>
      <c r="C4384" s="9">
        <f>IFERROR(__xludf.DUMMYFUNCTION("""COMPUTED_VALUE"""),48.89)</f>
        <v>48.89</v>
      </c>
      <c r="E4384" s="17"/>
      <c r="M4384" s="17"/>
      <c r="P4384" s="17"/>
    </row>
    <row r="4385">
      <c r="B4385" s="11">
        <f>IFERROR(__xludf.DUMMYFUNCTION("""COMPUTED_VALUE"""),39665.666666666664)</f>
        <v>39665.66667</v>
      </c>
      <c r="C4385" s="9">
        <f>IFERROR(__xludf.DUMMYFUNCTION("""COMPUTED_VALUE"""),49.42)</f>
        <v>49.42</v>
      </c>
      <c r="E4385" s="17"/>
      <c r="M4385" s="17"/>
      <c r="P4385" s="17"/>
    </row>
    <row r="4386">
      <c r="B4386" s="11">
        <f>IFERROR(__xludf.DUMMYFUNCTION("""COMPUTED_VALUE"""),39664.666666666664)</f>
        <v>39664.66667</v>
      </c>
      <c r="C4386" s="9">
        <f>IFERROR(__xludf.DUMMYFUNCTION("""COMPUTED_VALUE"""),48.13)</f>
        <v>48.13</v>
      </c>
      <c r="E4386" s="17"/>
      <c r="M4386" s="17"/>
      <c r="P4386" s="17"/>
    </row>
    <row r="4387">
      <c r="B4387" s="11">
        <f>IFERROR(__xludf.DUMMYFUNCTION("""COMPUTED_VALUE"""),39661.666666666664)</f>
        <v>39661.66667</v>
      </c>
      <c r="C4387" s="9">
        <f>IFERROR(__xludf.DUMMYFUNCTION("""COMPUTED_VALUE"""),49.37)</f>
        <v>49.37</v>
      </c>
      <c r="E4387" s="17"/>
      <c r="M4387" s="17"/>
      <c r="P4387" s="17"/>
    </row>
    <row r="4388">
      <c r="B4388" s="11">
        <f>IFERROR(__xludf.DUMMYFUNCTION("""COMPUTED_VALUE"""),39660.666666666664)</f>
        <v>39660.66667</v>
      </c>
      <c r="C4388" s="9">
        <f>IFERROR(__xludf.DUMMYFUNCTION("""COMPUTED_VALUE"""),48.96)</f>
        <v>48.96</v>
      </c>
      <c r="E4388" s="17"/>
      <c r="M4388" s="17"/>
      <c r="P4388" s="17"/>
    </row>
    <row r="4389">
      <c r="B4389" s="11">
        <f>IFERROR(__xludf.DUMMYFUNCTION("""COMPUTED_VALUE"""),39659.666666666664)</f>
        <v>39659.66667</v>
      </c>
      <c r="C4389" s="9">
        <f>IFERROR(__xludf.DUMMYFUNCTION("""COMPUTED_VALUE"""),50.56)</f>
        <v>50.56</v>
      </c>
      <c r="E4389" s="17"/>
      <c r="M4389" s="17"/>
      <c r="P4389" s="17"/>
    </row>
    <row r="4390">
      <c r="B4390" s="11">
        <f>IFERROR(__xludf.DUMMYFUNCTION("""COMPUTED_VALUE"""),39658.666666666664)</f>
        <v>39658.66667</v>
      </c>
      <c r="C4390" s="9">
        <f>IFERROR(__xludf.DUMMYFUNCTION("""COMPUTED_VALUE"""),50.23)</f>
        <v>50.23</v>
      </c>
      <c r="E4390" s="17"/>
      <c r="M4390" s="17"/>
      <c r="P4390" s="17"/>
    </row>
    <row r="4391">
      <c r="B4391" s="11">
        <f>IFERROR(__xludf.DUMMYFUNCTION("""COMPUTED_VALUE"""),39657.666666666664)</f>
        <v>39657.66667</v>
      </c>
      <c r="C4391" s="9">
        <f>IFERROR(__xludf.DUMMYFUNCTION("""COMPUTED_VALUE"""),47.11)</f>
        <v>47.11</v>
      </c>
      <c r="E4391" s="17"/>
      <c r="M4391" s="17"/>
      <c r="P4391" s="17"/>
    </row>
    <row r="4392">
      <c r="B4392" s="11">
        <f>IFERROR(__xludf.DUMMYFUNCTION("""COMPUTED_VALUE"""),39654.666666666664)</f>
        <v>39654.66667</v>
      </c>
      <c r="C4392" s="9">
        <f>IFERROR(__xludf.DUMMYFUNCTION("""COMPUTED_VALUE"""),49.38)</f>
        <v>49.38</v>
      </c>
      <c r="E4392" s="17"/>
      <c r="M4392" s="17"/>
      <c r="P4392" s="17"/>
    </row>
    <row r="4393">
      <c r="B4393" s="11">
        <f>IFERROR(__xludf.DUMMYFUNCTION("""COMPUTED_VALUE"""),39653.666666666664)</f>
        <v>39653.66667</v>
      </c>
      <c r="C4393" s="9">
        <f>IFERROR(__xludf.DUMMYFUNCTION("""COMPUTED_VALUE"""),47.82)</f>
        <v>47.82</v>
      </c>
      <c r="E4393" s="17"/>
      <c r="M4393" s="17"/>
      <c r="P4393" s="17"/>
    </row>
    <row r="4394">
      <c r="B4394" s="11">
        <f>IFERROR(__xludf.DUMMYFUNCTION("""COMPUTED_VALUE"""),39652.666666666664)</f>
        <v>39652.66667</v>
      </c>
      <c r="C4394" s="9">
        <f>IFERROR(__xludf.DUMMYFUNCTION("""COMPUTED_VALUE"""),53.12)</f>
        <v>53.12</v>
      </c>
      <c r="E4394" s="17"/>
      <c r="M4394" s="17"/>
      <c r="P4394" s="17"/>
    </row>
    <row r="4395">
      <c r="B4395" s="11">
        <f>IFERROR(__xludf.DUMMYFUNCTION("""COMPUTED_VALUE"""),39651.666666666664)</f>
        <v>39651.66667</v>
      </c>
      <c r="C4395" s="9">
        <f>IFERROR(__xludf.DUMMYFUNCTION("""COMPUTED_VALUE"""),51.29)</f>
        <v>51.29</v>
      </c>
      <c r="E4395" s="17"/>
      <c r="M4395" s="17"/>
      <c r="P4395" s="17"/>
    </row>
    <row r="4396">
      <c r="B4396" s="11">
        <f>IFERROR(__xludf.DUMMYFUNCTION("""COMPUTED_VALUE"""),39650.666666666664)</f>
        <v>39650.66667</v>
      </c>
      <c r="C4396" s="9">
        <f>IFERROR(__xludf.DUMMYFUNCTION("""COMPUTED_VALUE"""),50.59)</f>
        <v>50.59</v>
      </c>
      <c r="E4396" s="17"/>
      <c r="M4396" s="17"/>
      <c r="P4396" s="17"/>
    </row>
    <row r="4397">
      <c r="B4397" s="11">
        <f>IFERROR(__xludf.DUMMYFUNCTION("""COMPUTED_VALUE"""),39647.666666666664)</f>
        <v>39647.66667</v>
      </c>
      <c r="C4397" s="9">
        <f>IFERROR(__xludf.DUMMYFUNCTION("""COMPUTED_VALUE"""),49.77)</f>
        <v>49.77</v>
      </c>
      <c r="E4397" s="17"/>
      <c r="M4397" s="17"/>
      <c r="P4397" s="17"/>
    </row>
    <row r="4398">
      <c r="B4398" s="11">
        <f>IFERROR(__xludf.DUMMYFUNCTION("""COMPUTED_VALUE"""),39646.666666666664)</f>
        <v>39646.66667</v>
      </c>
      <c r="C4398" s="9">
        <f>IFERROR(__xludf.DUMMYFUNCTION("""COMPUTED_VALUE"""),50.6)</f>
        <v>50.6</v>
      </c>
      <c r="E4398" s="17"/>
      <c r="M4398" s="17"/>
      <c r="P4398" s="17"/>
    </row>
    <row r="4399">
      <c r="B4399" s="11">
        <f>IFERROR(__xludf.DUMMYFUNCTION("""COMPUTED_VALUE"""),39645.666666666664)</f>
        <v>39645.66667</v>
      </c>
      <c r="C4399" s="9">
        <f>IFERROR(__xludf.DUMMYFUNCTION("""COMPUTED_VALUE"""),49.35)</f>
        <v>49.35</v>
      </c>
      <c r="E4399" s="17"/>
      <c r="M4399" s="17"/>
      <c r="P4399" s="17"/>
    </row>
    <row r="4400">
      <c r="B4400" s="11">
        <f>IFERROR(__xludf.DUMMYFUNCTION("""COMPUTED_VALUE"""),39644.666666666664)</f>
        <v>39644.66667</v>
      </c>
      <c r="C4400" s="9">
        <f>IFERROR(__xludf.DUMMYFUNCTION("""COMPUTED_VALUE"""),46.48)</f>
        <v>46.48</v>
      </c>
      <c r="E4400" s="17"/>
      <c r="M4400" s="17"/>
      <c r="P4400" s="17"/>
    </row>
    <row r="4401">
      <c r="B4401" s="11">
        <f>IFERROR(__xludf.DUMMYFUNCTION("""COMPUTED_VALUE"""),39643.666666666664)</f>
        <v>39643.66667</v>
      </c>
      <c r="C4401" s="9">
        <f>IFERROR(__xludf.DUMMYFUNCTION("""COMPUTED_VALUE"""),46.91)</f>
        <v>46.91</v>
      </c>
      <c r="E4401" s="17"/>
      <c r="M4401" s="17"/>
      <c r="P4401" s="17"/>
    </row>
    <row r="4402">
      <c r="B4402" s="11">
        <f>IFERROR(__xludf.DUMMYFUNCTION("""COMPUTED_VALUE"""),39640.666666666664)</f>
        <v>39640.66667</v>
      </c>
      <c r="C4402" s="9">
        <f>IFERROR(__xludf.DUMMYFUNCTION("""COMPUTED_VALUE"""),48.7)</f>
        <v>48.7</v>
      </c>
      <c r="E4402" s="17"/>
      <c r="M4402" s="17"/>
      <c r="P4402" s="17"/>
    </row>
    <row r="4403">
      <c r="B4403" s="11">
        <f>IFERROR(__xludf.DUMMYFUNCTION("""COMPUTED_VALUE"""),39639.666666666664)</f>
        <v>39639.66667</v>
      </c>
      <c r="C4403" s="9">
        <f>IFERROR(__xludf.DUMMYFUNCTION("""COMPUTED_VALUE"""),48.6)</f>
        <v>48.6</v>
      </c>
      <c r="E4403" s="17"/>
      <c r="M4403" s="17"/>
      <c r="P4403" s="17"/>
    </row>
    <row r="4404">
      <c r="B4404" s="11">
        <f>IFERROR(__xludf.DUMMYFUNCTION("""COMPUTED_VALUE"""),39638.666666666664)</f>
        <v>39638.66667</v>
      </c>
      <c r="C4404" s="9">
        <f>IFERROR(__xludf.DUMMYFUNCTION("""COMPUTED_VALUE"""),47.63)</f>
        <v>47.63</v>
      </c>
      <c r="E4404" s="17"/>
      <c r="M4404" s="17"/>
      <c r="P4404" s="17"/>
    </row>
    <row r="4405">
      <c r="B4405" s="11">
        <f>IFERROR(__xludf.DUMMYFUNCTION("""COMPUTED_VALUE"""),39637.666666666664)</f>
        <v>39637.66667</v>
      </c>
      <c r="C4405" s="9">
        <f>IFERROR(__xludf.DUMMYFUNCTION("""COMPUTED_VALUE"""),52.25)</f>
        <v>52.25</v>
      </c>
      <c r="E4405" s="17"/>
      <c r="M4405" s="17"/>
      <c r="P4405" s="17"/>
    </row>
    <row r="4406">
      <c r="B4406" s="11">
        <f>IFERROR(__xludf.DUMMYFUNCTION("""COMPUTED_VALUE"""),39636.666666666664)</f>
        <v>39636.66667</v>
      </c>
      <c r="C4406" s="9">
        <f>IFERROR(__xludf.DUMMYFUNCTION("""COMPUTED_VALUE"""),48.84)</f>
        <v>48.84</v>
      </c>
      <c r="E4406" s="17"/>
      <c r="M4406" s="17"/>
      <c r="P4406" s="17"/>
    </row>
    <row r="4407">
      <c r="B4407" s="11">
        <f>IFERROR(__xludf.DUMMYFUNCTION("""COMPUTED_VALUE"""),39632.666666666664)</f>
        <v>39632.66667</v>
      </c>
      <c r="C4407" s="9">
        <f>IFERROR(__xludf.DUMMYFUNCTION("""COMPUTED_VALUE"""),49.23)</f>
        <v>49.23</v>
      </c>
      <c r="E4407" s="17"/>
      <c r="M4407" s="17"/>
      <c r="P4407" s="17"/>
    </row>
    <row r="4408">
      <c r="B4408" s="11">
        <f>IFERROR(__xludf.DUMMYFUNCTION("""COMPUTED_VALUE"""),39631.666666666664)</f>
        <v>39631.66667</v>
      </c>
      <c r="C4408" s="9">
        <f>IFERROR(__xludf.DUMMYFUNCTION("""COMPUTED_VALUE"""),49.44)</f>
        <v>49.44</v>
      </c>
      <c r="E4408" s="17"/>
      <c r="M4408" s="17"/>
      <c r="P4408" s="17"/>
    </row>
    <row r="4409">
      <c r="B4409" s="11">
        <f>IFERROR(__xludf.DUMMYFUNCTION("""COMPUTED_VALUE"""),39630.666666666664)</f>
        <v>39630.66667</v>
      </c>
      <c r="C4409" s="9">
        <f>IFERROR(__xludf.DUMMYFUNCTION("""COMPUTED_VALUE"""),50.78)</f>
        <v>50.78</v>
      </c>
      <c r="E4409" s="17"/>
      <c r="M4409" s="17"/>
      <c r="P4409" s="17"/>
    </row>
    <row r="4410">
      <c r="B4410" s="11">
        <f>IFERROR(__xludf.DUMMYFUNCTION("""COMPUTED_VALUE"""),39629.666666666664)</f>
        <v>39629.66667</v>
      </c>
      <c r="C4410" s="9">
        <f>IFERROR(__xludf.DUMMYFUNCTION("""COMPUTED_VALUE"""),50.38)</f>
        <v>50.38</v>
      </c>
      <c r="E4410" s="17"/>
      <c r="M4410" s="17"/>
      <c r="P4410" s="17"/>
    </row>
    <row r="4411">
      <c r="B4411" s="11">
        <f>IFERROR(__xludf.DUMMYFUNCTION("""COMPUTED_VALUE"""),39626.666666666664)</f>
        <v>39626.66667</v>
      </c>
      <c r="C4411" s="9">
        <f>IFERROR(__xludf.DUMMYFUNCTION("""COMPUTED_VALUE"""),50.28)</f>
        <v>50.28</v>
      </c>
      <c r="E4411" s="17"/>
      <c r="M4411" s="17"/>
      <c r="P4411" s="17"/>
    </row>
    <row r="4412">
      <c r="B4412" s="11">
        <f>IFERROR(__xludf.DUMMYFUNCTION("""COMPUTED_VALUE"""),39625.666666666664)</f>
        <v>39625.66667</v>
      </c>
      <c r="C4412" s="9">
        <f>IFERROR(__xludf.DUMMYFUNCTION("""COMPUTED_VALUE"""),51.09)</f>
        <v>51.09</v>
      </c>
      <c r="E4412" s="17"/>
      <c r="M4412" s="17"/>
      <c r="P4412" s="17"/>
    </row>
    <row r="4413">
      <c r="B4413" s="11">
        <f>IFERROR(__xludf.DUMMYFUNCTION("""COMPUTED_VALUE"""),39624.666666666664)</f>
        <v>39624.66667</v>
      </c>
      <c r="C4413" s="9">
        <f>IFERROR(__xludf.DUMMYFUNCTION("""COMPUTED_VALUE"""),52.37)</f>
        <v>52.37</v>
      </c>
      <c r="E4413" s="17"/>
      <c r="M4413" s="17"/>
      <c r="P4413" s="17"/>
    </row>
    <row r="4414">
      <c r="B4414" s="11">
        <f>IFERROR(__xludf.DUMMYFUNCTION("""COMPUTED_VALUE"""),39623.666666666664)</f>
        <v>39623.66667</v>
      </c>
      <c r="C4414" s="9">
        <f>IFERROR(__xludf.DUMMYFUNCTION("""COMPUTED_VALUE"""),51.73)</f>
        <v>51.73</v>
      </c>
      <c r="E4414" s="17"/>
      <c r="M4414" s="17"/>
      <c r="P4414" s="17"/>
    </row>
    <row r="4415">
      <c r="B4415" s="11">
        <f>IFERROR(__xludf.DUMMYFUNCTION("""COMPUTED_VALUE"""),39622.666666666664)</f>
        <v>39622.66667</v>
      </c>
      <c r="C4415" s="9">
        <f>IFERROR(__xludf.DUMMYFUNCTION("""COMPUTED_VALUE"""),51.64)</f>
        <v>51.64</v>
      </c>
      <c r="E4415" s="17"/>
      <c r="M4415" s="17"/>
      <c r="P4415" s="17"/>
    </row>
    <row r="4416">
      <c r="B4416" s="11">
        <f>IFERROR(__xludf.DUMMYFUNCTION("""COMPUTED_VALUE"""),39619.666666666664)</f>
        <v>39619.66667</v>
      </c>
      <c r="C4416" s="9">
        <f>IFERROR(__xludf.DUMMYFUNCTION("""COMPUTED_VALUE"""),53.2)</f>
        <v>53.2</v>
      </c>
      <c r="E4416" s="17"/>
      <c r="M4416" s="17"/>
      <c r="P4416" s="17"/>
    </row>
    <row r="4417">
      <c r="B4417" s="11">
        <f>IFERROR(__xludf.DUMMYFUNCTION("""COMPUTED_VALUE"""),39618.666666666664)</f>
        <v>39618.66667</v>
      </c>
      <c r="C4417" s="9">
        <f>IFERROR(__xludf.DUMMYFUNCTION("""COMPUTED_VALUE"""),55.15)</f>
        <v>55.15</v>
      </c>
      <c r="E4417" s="17"/>
      <c r="M4417" s="17"/>
      <c r="P4417" s="17"/>
    </row>
    <row r="4418">
      <c r="B4418" s="11">
        <f>IFERROR(__xludf.DUMMYFUNCTION("""COMPUTED_VALUE"""),39617.666666666664)</f>
        <v>39617.66667</v>
      </c>
      <c r="C4418" s="9">
        <f>IFERROR(__xludf.DUMMYFUNCTION("""COMPUTED_VALUE"""),53.39)</f>
        <v>53.39</v>
      </c>
      <c r="E4418" s="17"/>
      <c r="M4418" s="17"/>
      <c r="P4418" s="17"/>
    </row>
    <row r="4419">
      <c r="B4419" s="11">
        <f>IFERROR(__xludf.DUMMYFUNCTION("""COMPUTED_VALUE"""),39616.666666666664)</f>
        <v>39616.66667</v>
      </c>
      <c r="C4419" s="9">
        <f>IFERROR(__xludf.DUMMYFUNCTION("""COMPUTED_VALUE"""),54.1)</f>
        <v>54.1</v>
      </c>
      <c r="E4419" s="17"/>
      <c r="M4419" s="17"/>
      <c r="P4419" s="17"/>
    </row>
    <row r="4420">
      <c r="B4420" s="11">
        <f>IFERROR(__xludf.DUMMYFUNCTION("""COMPUTED_VALUE"""),39615.666666666664)</f>
        <v>39615.66667</v>
      </c>
      <c r="C4420" s="9">
        <f>IFERROR(__xludf.DUMMYFUNCTION("""COMPUTED_VALUE"""),56.9)</f>
        <v>56.9</v>
      </c>
      <c r="E4420" s="17"/>
      <c r="M4420" s="17"/>
      <c r="P4420" s="17"/>
    </row>
    <row r="4421">
      <c r="B4421" s="11">
        <f>IFERROR(__xludf.DUMMYFUNCTION("""COMPUTED_VALUE"""),39612.666666666664)</f>
        <v>39612.66667</v>
      </c>
      <c r="C4421" s="9">
        <f>IFERROR(__xludf.DUMMYFUNCTION("""COMPUTED_VALUE"""),55.21)</f>
        <v>55.21</v>
      </c>
      <c r="E4421" s="17"/>
      <c r="M4421" s="17"/>
      <c r="P4421" s="17"/>
    </row>
    <row r="4422">
      <c r="B4422" s="11">
        <f>IFERROR(__xludf.DUMMYFUNCTION("""COMPUTED_VALUE"""),39611.666666666664)</f>
        <v>39611.66667</v>
      </c>
      <c r="C4422" s="9">
        <f>IFERROR(__xludf.DUMMYFUNCTION("""COMPUTED_VALUE"""),54.54)</f>
        <v>54.54</v>
      </c>
      <c r="E4422" s="17"/>
      <c r="M4422" s="17"/>
      <c r="P4422" s="17"/>
    </row>
    <row r="4423">
      <c r="B4423" s="11">
        <f>IFERROR(__xludf.DUMMYFUNCTION("""COMPUTED_VALUE"""),39610.666666666664)</f>
        <v>39610.66667</v>
      </c>
      <c r="C4423" s="9">
        <f>IFERROR(__xludf.DUMMYFUNCTION("""COMPUTED_VALUE"""),54.19)</f>
        <v>54.19</v>
      </c>
      <c r="E4423" s="17"/>
      <c r="M4423" s="17"/>
      <c r="P4423" s="17"/>
    </row>
    <row r="4424">
      <c r="B4424" s="11">
        <f>IFERROR(__xludf.DUMMYFUNCTION("""COMPUTED_VALUE"""),39609.666666666664)</f>
        <v>39609.66667</v>
      </c>
      <c r="C4424" s="9">
        <f>IFERROR(__xludf.DUMMYFUNCTION("""COMPUTED_VALUE"""),55.13)</f>
        <v>55.13</v>
      </c>
      <c r="E4424" s="17"/>
      <c r="M4424" s="17"/>
      <c r="P4424" s="17"/>
    </row>
    <row r="4425">
      <c r="B4425" s="11">
        <f>IFERROR(__xludf.DUMMYFUNCTION("""COMPUTED_VALUE"""),39608.666666666664)</f>
        <v>39608.66667</v>
      </c>
      <c r="C4425" s="9">
        <f>IFERROR(__xludf.DUMMYFUNCTION("""COMPUTED_VALUE"""),54.83)</f>
        <v>54.83</v>
      </c>
      <c r="E4425" s="17"/>
      <c r="M4425" s="17"/>
      <c r="P4425" s="17"/>
    </row>
    <row r="4426">
      <c r="B4426" s="11">
        <f>IFERROR(__xludf.DUMMYFUNCTION("""COMPUTED_VALUE"""),39605.666666666664)</f>
        <v>39605.66667</v>
      </c>
      <c r="C4426" s="9">
        <f>IFERROR(__xludf.DUMMYFUNCTION("""COMPUTED_VALUE"""),56.25)</f>
        <v>56.25</v>
      </c>
      <c r="E4426" s="17"/>
      <c r="M4426" s="17"/>
      <c r="P4426" s="17"/>
    </row>
    <row r="4427">
      <c r="B4427" s="11">
        <f>IFERROR(__xludf.DUMMYFUNCTION("""COMPUTED_VALUE"""),39604.666666666664)</f>
        <v>39604.66667</v>
      </c>
      <c r="C4427" s="9">
        <f>IFERROR(__xludf.DUMMYFUNCTION("""COMPUTED_VALUE"""),58.65)</f>
        <v>58.65</v>
      </c>
      <c r="E4427" s="17"/>
      <c r="M4427" s="17"/>
      <c r="P4427" s="17"/>
    </row>
    <row r="4428">
      <c r="B4428" s="11">
        <f>IFERROR(__xludf.DUMMYFUNCTION("""COMPUTED_VALUE"""),39603.666666666664)</f>
        <v>39603.66667</v>
      </c>
      <c r="C4428" s="9">
        <f>IFERROR(__xludf.DUMMYFUNCTION("""COMPUTED_VALUE"""),58.09)</f>
        <v>58.09</v>
      </c>
      <c r="E4428" s="17"/>
      <c r="M4428" s="17"/>
      <c r="P4428" s="17"/>
    </row>
    <row r="4429">
      <c r="B4429" s="11">
        <f>IFERROR(__xludf.DUMMYFUNCTION("""COMPUTED_VALUE"""),39602.666666666664)</f>
        <v>39602.66667</v>
      </c>
      <c r="C4429" s="9">
        <f>IFERROR(__xludf.DUMMYFUNCTION("""COMPUTED_VALUE"""),58.99)</f>
        <v>58.99</v>
      </c>
      <c r="E4429" s="17"/>
      <c r="M4429" s="17"/>
      <c r="P4429" s="17"/>
    </row>
    <row r="4430">
      <c r="B4430" s="11">
        <f>IFERROR(__xludf.DUMMYFUNCTION("""COMPUTED_VALUE"""),39601.666666666664)</f>
        <v>39601.66667</v>
      </c>
      <c r="C4430" s="9">
        <f>IFERROR(__xludf.DUMMYFUNCTION("""COMPUTED_VALUE"""),58.47)</f>
        <v>58.47</v>
      </c>
      <c r="E4430" s="17"/>
      <c r="M4430" s="17"/>
      <c r="P4430" s="17"/>
    </row>
    <row r="4431">
      <c r="B4431" s="11">
        <f>IFERROR(__xludf.DUMMYFUNCTION("""COMPUTED_VALUE"""),39598.666666666664)</f>
        <v>39598.66667</v>
      </c>
      <c r="C4431" s="9">
        <f>IFERROR(__xludf.DUMMYFUNCTION("""COMPUTED_VALUE"""),58.94)</f>
        <v>58.94</v>
      </c>
      <c r="E4431" s="17"/>
      <c r="M4431" s="17"/>
      <c r="P4431" s="17"/>
    </row>
    <row r="4432">
      <c r="B4432" s="11">
        <f>IFERROR(__xludf.DUMMYFUNCTION("""COMPUTED_VALUE"""),39597.666666666664)</f>
        <v>39597.66667</v>
      </c>
      <c r="C4432" s="9">
        <f>IFERROR(__xludf.DUMMYFUNCTION("""COMPUTED_VALUE"""),59.2)</f>
        <v>59.2</v>
      </c>
      <c r="E4432" s="17"/>
      <c r="M4432" s="17"/>
      <c r="P4432" s="17"/>
    </row>
    <row r="4433">
      <c r="B4433" s="11">
        <f>IFERROR(__xludf.DUMMYFUNCTION("""COMPUTED_VALUE"""),39596.666666666664)</f>
        <v>39596.66667</v>
      </c>
      <c r="C4433" s="9">
        <f>IFERROR(__xludf.DUMMYFUNCTION("""COMPUTED_VALUE"""),58.37)</f>
        <v>58.37</v>
      </c>
      <c r="E4433" s="17"/>
      <c r="M4433" s="17"/>
      <c r="P4433" s="17"/>
    </row>
    <row r="4434">
      <c r="B4434" s="11">
        <f>IFERROR(__xludf.DUMMYFUNCTION("""COMPUTED_VALUE"""),39595.666666666664)</f>
        <v>39595.66667</v>
      </c>
      <c r="C4434" s="9">
        <f>IFERROR(__xludf.DUMMYFUNCTION("""COMPUTED_VALUE"""),58.02)</f>
        <v>58.02</v>
      </c>
      <c r="E4434" s="17"/>
      <c r="M4434" s="17"/>
      <c r="P4434" s="17"/>
    </row>
    <row r="4435">
      <c r="B4435" s="11">
        <f>IFERROR(__xludf.DUMMYFUNCTION("""COMPUTED_VALUE"""),39591.666666666664)</f>
        <v>39591.66667</v>
      </c>
      <c r="C4435" s="9">
        <f>IFERROR(__xludf.DUMMYFUNCTION("""COMPUTED_VALUE"""),56.44)</f>
        <v>56.44</v>
      </c>
      <c r="E4435" s="17"/>
      <c r="M4435" s="17"/>
      <c r="P4435" s="17"/>
    </row>
    <row r="4436">
      <c r="B4436" s="11">
        <f>IFERROR(__xludf.DUMMYFUNCTION("""COMPUTED_VALUE"""),39590.666666666664)</f>
        <v>39590.66667</v>
      </c>
      <c r="C4436" s="9">
        <f>IFERROR(__xludf.DUMMYFUNCTION("""COMPUTED_VALUE"""),57.01)</f>
        <v>57.01</v>
      </c>
      <c r="E4436" s="17"/>
      <c r="M4436" s="17"/>
      <c r="P4436" s="17"/>
    </row>
    <row r="4437">
      <c r="B4437" s="11">
        <f>IFERROR(__xludf.DUMMYFUNCTION("""COMPUTED_VALUE"""),39589.666666666664)</f>
        <v>39589.66667</v>
      </c>
      <c r="C4437" s="9">
        <f>IFERROR(__xludf.DUMMYFUNCTION("""COMPUTED_VALUE"""),56.93)</f>
        <v>56.93</v>
      </c>
      <c r="E4437" s="17"/>
      <c r="M4437" s="17"/>
      <c r="P4437" s="17"/>
    </row>
    <row r="4438">
      <c r="B4438" s="11">
        <f>IFERROR(__xludf.DUMMYFUNCTION("""COMPUTED_VALUE"""),39588.666666666664)</f>
        <v>39588.66667</v>
      </c>
      <c r="C4438" s="9">
        <f>IFERROR(__xludf.DUMMYFUNCTION("""COMPUTED_VALUE"""),58.52)</f>
        <v>58.52</v>
      </c>
      <c r="E4438" s="17"/>
      <c r="M4438" s="17"/>
      <c r="P4438" s="17"/>
    </row>
    <row r="4439">
      <c r="B4439" s="11">
        <f>IFERROR(__xludf.DUMMYFUNCTION("""COMPUTED_VALUE"""),39587.666666666664)</f>
        <v>39587.66667</v>
      </c>
      <c r="C4439" s="9">
        <f>IFERROR(__xludf.DUMMYFUNCTION("""COMPUTED_VALUE"""),59.69)</f>
        <v>59.69</v>
      </c>
      <c r="E4439" s="17"/>
      <c r="M4439" s="17"/>
      <c r="P4439" s="17"/>
    </row>
    <row r="4440">
      <c r="B4440" s="11">
        <f>IFERROR(__xludf.DUMMYFUNCTION("""COMPUTED_VALUE"""),39584.666666666664)</f>
        <v>39584.66667</v>
      </c>
      <c r="C4440" s="9">
        <f>IFERROR(__xludf.DUMMYFUNCTION("""COMPUTED_VALUE"""),59.32)</f>
        <v>59.32</v>
      </c>
      <c r="E4440" s="17"/>
      <c r="M4440" s="17"/>
      <c r="P4440" s="17"/>
    </row>
    <row r="4441">
      <c r="B4441" s="11">
        <f>IFERROR(__xludf.DUMMYFUNCTION("""COMPUTED_VALUE"""),39583.666666666664)</f>
        <v>39583.66667</v>
      </c>
      <c r="C4441" s="9">
        <f>IFERROR(__xludf.DUMMYFUNCTION("""COMPUTED_VALUE"""),59.75)</f>
        <v>59.75</v>
      </c>
      <c r="E4441" s="17"/>
      <c r="M4441" s="17"/>
      <c r="P4441" s="17"/>
    </row>
    <row r="4442">
      <c r="B4442" s="11">
        <f>IFERROR(__xludf.DUMMYFUNCTION("""COMPUTED_VALUE"""),39582.666666666664)</f>
        <v>39582.66667</v>
      </c>
      <c r="C4442" s="9">
        <f>IFERROR(__xludf.DUMMYFUNCTION("""COMPUTED_VALUE"""),59.62)</f>
        <v>59.62</v>
      </c>
      <c r="E4442" s="17"/>
      <c r="M4442" s="17"/>
      <c r="P4442" s="17"/>
    </row>
    <row r="4443">
      <c r="B4443" s="11">
        <f>IFERROR(__xludf.DUMMYFUNCTION("""COMPUTED_VALUE"""),39581.666666666664)</f>
        <v>39581.66667</v>
      </c>
      <c r="C4443" s="9">
        <f>IFERROR(__xludf.DUMMYFUNCTION("""COMPUTED_VALUE"""),58.47)</f>
        <v>58.47</v>
      </c>
      <c r="E4443" s="17"/>
      <c r="M4443" s="17"/>
      <c r="P4443" s="17"/>
    </row>
    <row r="4444">
      <c r="B4444" s="11">
        <f>IFERROR(__xludf.DUMMYFUNCTION("""COMPUTED_VALUE"""),39580.666666666664)</f>
        <v>39580.66667</v>
      </c>
      <c r="C4444" s="9">
        <f>IFERROR(__xludf.DUMMYFUNCTION("""COMPUTED_VALUE"""),58.21)</f>
        <v>58.21</v>
      </c>
      <c r="E4444" s="17"/>
      <c r="M4444" s="17"/>
      <c r="P4444" s="17"/>
    </row>
    <row r="4445">
      <c r="B4445" s="11">
        <f>IFERROR(__xludf.DUMMYFUNCTION("""COMPUTED_VALUE"""),39577.666666666664)</f>
        <v>39577.66667</v>
      </c>
      <c r="C4445" s="9">
        <f>IFERROR(__xludf.DUMMYFUNCTION("""COMPUTED_VALUE"""),56.98)</f>
        <v>56.98</v>
      </c>
      <c r="E4445" s="17"/>
      <c r="M4445" s="17"/>
      <c r="P4445" s="17"/>
    </row>
    <row r="4446">
      <c r="B4446" s="11">
        <f>IFERROR(__xludf.DUMMYFUNCTION("""COMPUTED_VALUE"""),39576.666666666664)</f>
        <v>39576.66667</v>
      </c>
      <c r="C4446" s="9">
        <f>IFERROR(__xludf.DUMMYFUNCTION("""COMPUTED_VALUE"""),57.94)</f>
        <v>57.94</v>
      </c>
      <c r="E4446" s="17"/>
      <c r="M4446" s="17"/>
      <c r="P4446" s="17"/>
    </row>
    <row r="4447">
      <c r="B4447" s="11">
        <f>IFERROR(__xludf.DUMMYFUNCTION("""COMPUTED_VALUE"""),39575.666666666664)</f>
        <v>39575.66667</v>
      </c>
      <c r="C4447" s="9">
        <f>IFERROR(__xludf.DUMMYFUNCTION("""COMPUTED_VALUE"""),58.14)</f>
        <v>58.14</v>
      </c>
      <c r="E4447" s="17"/>
      <c r="M4447" s="17"/>
      <c r="P4447" s="17"/>
    </row>
    <row r="4448">
      <c r="B4448" s="11">
        <f>IFERROR(__xludf.DUMMYFUNCTION("""COMPUTED_VALUE"""),39574.666666666664)</f>
        <v>39574.66667</v>
      </c>
      <c r="C4448" s="9">
        <f>IFERROR(__xludf.DUMMYFUNCTION("""COMPUTED_VALUE"""),59.44)</f>
        <v>59.44</v>
      </c>
      <c r="E4448" s="17"/>
      <c r="M4448" s="17"/>
      <c r="P4448" s="17"/>
    </row>
    <row r="4449">
      <c r="B4449" s="11">
        <f>IFERROR(__xludf.DUMMYFUNCTION("""COMPUTED_VALUE"""),39573.666666666664)</f>
        <v>39573.66667</v>
      </c>
      <c r="C4449" s="9">
        <f>IFERROR(__xludf.DUMMYFUNCTION("""COMPUTED_VALUE"""),59.0)</f>
        <v>59</v>
      </c>
      <c r="E4449" s="17"/>
      <c r="M4449" s="17"/>
      <c r="P4449" s="17"/>
    </row>
    <row r="4450">
      <c r="B4450" s="11">
        <f>IFERROR(__xludf.DUMMYFUNCTION("""COMPUTED_VALUE"""),39570.666666666664)</f>
        <v>39570.66667</v>
      </c>
      <c r="C4450" s="9">
        <f>IFERROR(__xludf.DUMMYFUNCTION("""COMPUTED_VALUE"""),58.45)</f>
        <v>58.45</v>
      </c>
      <c r="E4450" s="17"/>
      <c r="M4450" s="17"/>
      <c r="P4450" s="17"/>
    </row>
    <row r="4451">
      <c r="B4451" s="11">
        <f>IFERROR(__xludf.DUMMYFUNCTION("""COMPUTED_VALUE"""),39569.666666666664)</f>
        <v>39569.66667</v>
      </c>
      <c r="C4451" s="9">
        <f>IFERROR(__xludf.DUMMYFUNCTION("""COMPUTED_VALUE"""),58.2)</f>
        <v>58.2</v>
      </c>
      <c r="E4451" s="17"/>
      <c r="M4451" s="17"/>
      <c r="P4451" s="17"/>
    </row>
    <row r="4452">
      <c r="B4452" s="11">
        <f>IFERROR(__xludf.DUMMYFUNCTION("""COMPUTED_VALUE"""),39568.666666666664)</f>
        <v>39568.66667</v>
      </c>
      <c r="C4452" s="9">
        <f>IFERROR(__xludf.DUMMYFUNCTION("""COMPUTED_VALUE"""),57.75)</f>
        <v>57.75</v>
      </c>
      <c r="E4452" s="17"/>
      <c r="M4452" s="17"/>
      <c r="P4452" s="17"/>
    </row>
    <row r="4453">
      <c r="B4453" s="11">
        <f>IFERROR(__xludf.DUMMYFUNCTION("""COMPUTED_VALUE"""),39567.666666666664)</f>
        <v>39567.66667</v>
      </c>
      <c r="C4453" s="9">
        <f>IFERROR(__xludf.DUMMYFUNCTION("""COMPUTED_VALUE"""),58.57)</f>
        <v>58.57</v>
      </c>
      <c r="E4453" s="17"/>
      <c r="M4453" s="17"/>
      <c r="P4453" s="17"/>
    </row>
    <row r="4454">
      <c r="B4454" s="11">
        <f>IFERROR(__xludf.DUMMYFUNCTION("""COMPUTED_VALUE"""),39566.666666666664)</f>
        <v>39566.66667</v>
      </c>
      <c r="C4454" s="9">
        <f>IFERROR(__xludf.DUMMYFUNCTION("""COMPUTED_VALUE"""),58.99)</f>
        <v>58.99</v>
      </c>
      <c r="E4454" s="17"/>
      <c r="M4454" s="17"/>
      <c r="P4454" s="17"/>
    </row>
    <row r="4455">
      <c r="B4455" s="11">
        <f>IFERROR(__xludf.DUMMYFUNCTION("""COMPUTED_VALUE"""),39563.666666666664)</f>
        <v>39563.66667</v>
      </c>
      <c r="C4455" s="9">
        <f>IFERROR(__xludf.DUMMYFUNCTION("""COMPUTED_VALUE"""),59.5)</f>
        <v>59.5</v>
      </c>
      <c r="E4455" s="17"/>
      <c r="M4455" s="17"/>
      <c r="P4455" s="17"/>
    </row>
    <row r="4456">
      <c r="B4456" s="11">
        <f>IFERROR(__xludf.DUMMYFUNCTION("""COMPUTED_VALUE"""),39562.666666666664)</f>
        <v>39562.66667</v>
      </c>
      <c r="C4456" s="9">
        <f>IFERROR(__xludf.DUMMYFUNCTION("""COMPUTED_VALUE"""),59.56)</f>
        <v>59.56</v>
      </c>
      <c r="E4456" s="17"/>
      <c r="M4456" s="17"/>
      <c r="P4456" s="17"/>
    </row>
    <row r="4457">
      <c r="B4457" s="11">
        <f>IFERROR(__xludf.DUMMYFUNCTION("""COMPUTED_VALUE"""),39561.666666666664)</f>
        <v>39561.66667</v>
      </c>
      <c r="C4457" s="9">
        <f>IFERROR(__xludf.DUMMYFUNCTION("""COMPUTED_VALUE"""),58.74)</f>
        <v>58.74</v>
      </c>
      <c r="E4457" s="17"/>
      <c r="M4457" s="17"/>
      <c r="P4457" s="17"/>
    </row>
    <row r="4458">
      <c r="B4458" s="11">
        <f>IFERROR(__xludf.DUMMYFUNCTION("""COMPUTED_VALUE"""),39560.666666666664)</f>
        <v>39560.66667</v>
      </c>
      <c r="C4458" s="9">
        <f>IFERROR(__xludf.DUMMYFUNCTION("""COMPUTED_VALUE"""),57.39)</f>
        <v>57.39</v>
      </c>
      <c r="E4458" s="17"/>
      <c r="M4458" s="17"/>
      <c r="P4458" s="17"/>
    </row>
    <row r="4459">
      <c r="B4459" s="11">
        <f>IFERROR(__xludf.DUMMYFUNCTION("""COMPUTED_VALUE"""),39559.666666666664)</f>
        <v>39559.66667</v>
      </c>
      <c r="C4459" s="9">
        <f>IFERROR(__xludf.DUMMYFUNCTION("""COMPUTED_VALUE"""),57.42)</f>
        <v>57.42</v>
      </c>
      <c r="E4459" s="17"/>
      <c r="M4459" s="17"/>
      <c r="P4459" s="17"/>
    </row>
    <row r="4460">
      <c r="B4460" s="11">
        <f>IFERROR(__xludf.DUMMYFUNCTION("""COMPUTED_VALUE"""),39556.666666666664)</f>
        <v>39556.66667</v>
      </c>
      <c r="C4460" s="9">
        <f>IFERROR(__xludf.DUMMYFUNCTION("""COMPUTED_VALUE"""),57.19)</f>
        <v>57.19</v>
      </c>
      <c r="E4460" s="17"/>
      <c r="M4460" s="17"/>
      <c r="P4460" s="17"/>
    </row>
    <row r="4461">
      <c r="B4461" s="11">
        <f>IFERROR(__xludf.DUMMYFUNCTION("""COMPUTED_VALUE"""),39555.666666666664)</f>
        <v>39555.66667</v>
      </c>
      <c r="C4461" s="9">
        <f>IFERROR(__xludf.DUMMYFUNCTION("""COMPUTED_VALUE"""),57.49)</f>
        <v>57.49</v>
      </c>
      <c r="E4461" s="17"/>
      <c r="M4461" s="17"/>
      <c r="P4461" s="17"/>
    </row>
    <row r="4462">
      <c r="B4462" s="11">
        <f>IFERROR(__xludf.DUMMYFUNCTION("""COMPUTED_VALUE"""),39554.666666666664)</f>
        <v>39554.66667</v>
      </c>
      <c r="C4462" s="9">
        <f>IFERROR(__xludf.DUMMYFUNCTION("""COMPUTED_VALUE"""),57.39)</f>
        <v>57.39</v>
      </c>
      <c r="E4462" s="17"/>
      <c r="M4462" s="17"/>
      <c r="P4462" s="17"/>
    </row>
    <row r="4463">
      <c r="B4463" s="11">
        <f>IFERROR(__xludf.DUMMYFUNCTION("""COMPUTED_VALUE"""),39553.666666666664)</f>
        <v>39553.66667</v>
      </c>
      <c r="C4463" s="9">
        <f>IFERROR(__xludf.DUMMYFUNCTION("""COMPUTED_VALUE"""),53.5)</f>
        <v>53.5</v>
      </c>
      <c r="E4463" s="17"/>
      <c r="M4463" s="17"/>
      <c r="P4463" s="17"/>
    </row>
    <row r="4464">
      <c r="B4464" s="11">
        <f>IFERROR(__xludf.DUMMYFUNCTION("""COMPUTED_VALUE"""),39552.666666666664)</f>
        <v>39552.66667</v>
      </c>
      <c r="C4464" s="9">
        <f>IFERROR(__xludf.DUMMYFUNCTION("""COMPUTED_VALUE"""),52.93)</f>
        <v>52.93</v>
      </c>
      <c r="E4464" s="17"/>
      <c r="M4464" s="17"/>
      <c r="P4464" s="17"/>
    </row>
    <row r="4465">
      <c r="B4465" s="11">
        <f>IFERROR(__xludf.DUMMYFUNCTION("""COMPUTED_VALUE"""),39549.666666666664)</f>
        <v>39549.66667</v>
      </c>
      <c r="C4465" s="9">
        <f>IFERROR(__xludf.DUMMYFUNCTION("""COMPUTED_VALUE"""),53.65)</f>
        <v>53.65</v>
      </c>
      <c r="E4465" s="17"/>
      <c r="M4465" s="17"/>
      <c r="P4465" s="17"/>
    </row>
    <row r="4466">
      <c r="B4466" s="11">
        <f>IFERROR(__xludf.DUMMYFUNCTION("""COMPUTED_VALUE"""),39548.666666666664)</f>
        <v>39548.66667</v>
      </c>
      <c r="C4466" s="9">
        <f>IFERROR(__xludf.DUMMYFUNCTION("""COMPUTED_VALUE"""),54.45)</f>
        <v>54.45</v>
      </c>
      <c r="E4466" s="17"/>
      <c r="M4466" s="17"/>
      <c r="P4466" s="17"/>
    </row>
    <row r="4467">
      <c r="B4467" s="11">
        <f>IFERROR(__xludf.DUMMYFUNCTION("""COMPUTED_VALUE"""),39547.666666666664)</f>
        <v>39547.66667</v>
      </c>
      <c r="C4467" s="9">
        <f>IFERROR(__xludf.DUMMYFUNCTION("""COMPUTED_VALUE"""),53.6)</f>
        <v>53.6</v>
      </c>
      <c r="E4467" s="17"/>
      <c r="M4467" s="17"/>
      <c r="P4467" s="17"/>
    </row>
    <row r="4468">
      <c r="B4468" s="11">
        <f>IFERROR(__xludf.DUMMYFUNCTION("""COMPUTED_VALUE"""),39546.666666666664)</f>
        <v>39546.66667</v>
      </c>
      <c r="C4468" s="9">
        <f>IFERROR(__xludf.DUMMYFUNCTION("""COMPUTED_VALUE"""),54.13)</f>
        <v>54.13</v>
      </c>
      <c r="E4468" s="17"/>
      <c r="M4468" s="17"/>
      <c r="P4468" s="17"/>
    </row>
    <row r="4469">
      <c r="B4469" s="11">
        <f>IFERROR(__xludf.DUMMYFUNCTION("""COMPUTED_VALUE"""),39545.666666666664)</f>
        <v>39545.66667</v>
      </c>
      <c r="C4469" s="9">
        <f>IFERROR(__xludf.DUMMYFUNCTION("""COMPUTED_VALUE"""),55.16)</f>
        <v>55.16</v>
      </c>
      <c r="E4469" s="17"/>
      <c r="M4469" s="17"/>
      <c r="P4469" s="17"/>
    </row>
    <row r="4470">
      <c r="B4470" s="11">
        <f>IFERROR(__xludf.DUMMYFUNCTION("""COMPUTED_VALUE"""),39542.666666666664)</f>
        <v>39542.66667</v>
      </c>
      <c r="C4470" s="9">
        <f>IFERROR(__xludf.DUMMYFUNCTION("""COMPUTED_VALUE"""),55.61)</f>
        <v>55.61</v>
      </c>
      <c r="E4470" s="17"/>
      <c r="M4470" s="17"/>
      <c r="P4470" s="17"/>
    </row>
    <row r="4471">
      <c r="B4471" s="11">
        <f>IFERROR(__xludf.DUMMYFUNCTION("""COMPUTED_VALUE"""),39541.666666666664)</f>
        <v>39541.66667</v>
      </c>
      <c r="C4471" s="9">
        <f>IFERROR(__xludf.DUMMYFUNCTION("""COMPUTED_VALUE"""),56.53)</f>
        <v>56.53</v>
      </c>
      <c r="E4471" s="17"/>
      <c r="M4471" s="17"/>
      <c r="P4471" s="17"/>
    </row>
    <row r="4472">
      <c r="B4472" s="11">
        <f>IFERROR(__xludf.DUMMYFUNCTION("""COMPUTED_VALUE"""),39540.666666666664)</f>
        <v>39540.66667</v>
      </c>
      <c r="C4472" s="9">
        <f>IFERROR(__xludf.DUMMYFUNCTION("""COMPUTED_VALUE"""),55.19)</f>
        <v>55.19</v>
      </c>
      <c r="E4472" s="17"/>
      <c r="M4472" s="17"/>
      <c r="P4472" s="17"/>
    </row>
    <row r="4473">
      <c r="B4473" s="11">
        <f>IFERROR(__xludf.DUMMYFUNCTION("""COMPUTED_VALUE"""),39539.666666666664)</f>
        <v>39539.66667</v>
      </c>
      <c r="C4473" s="9">
        <f>IFERROR(__xludf.DUMMYFUNCTION("""COMPUTED_VALUE"""),57.22)</f>
        <v>57.22</v>
      </c>
      <c r="E4473" s="17"/>
      <c r="M4473" s="17"/>
      <c r="P4473" s="17"/>
    </row>
    <row r="4474">
      <c r="B4474" s="11">
        <f>IFERROR(__xludf.DUMMYFUNCTION("""COMPUTED_VALUE"""),39538.666666666664)</f>
        <v>39538.66667</v>
      </c>
      <c r="C4474" s="9">
        <f>IFERROR(__xludf.DUMMYFUNCTION("""COMPUTED_VALUE"""),54.42)</f>
        <v>54.42</v>
      </c>
      <c r="E4474" s="17"/>
      <c r="M4474" s="17"/>
      <c r="P4474" s="17"/>
    </row>
    <row r="4475">
      <c r="B4475" s="11">
        <f>IFERROR(__xludf.DUMMYFUNCTION("""COMPUTED_VALUE"""),39535.666666666664)</f>
        <v>39535.66667</v>
      </c>
      <c r="C4475" s="9">
        <f>IFERROR(__xludf.DUMMYFUNCTION("""COMPUTED_VALUE"""),54.32)</f>
        <v>54.32</v>
      </c>
      <c r="E4475" s="17"/>
      <c r="M4475" s="17"/>
      <c r="P4475" s="17"/>
    </row>
    <row r="4476">
      <c r="B4476" s="11">
        <f>IFERROR(__xludf.DUMMYFUNCTION("""COMPUTED_VALUE"""),39534.666666666664)</f>
        <v>39534.66667</v>
      </c>
      <c r="C4476" s="9">
        <f>IFERROR(__xludf.DUMMYFUNCTION("""COMPUTED_VALUE"""),54.32)</f>
        <v>54.32</v>
      </c>
      <c r="E4476" s="17"/>
      <c r="M4476" s="17"/>
      <c r="P4476" s="17"/>
    </row>
    <row r="4477">
      <c r="B4477" s="11">
        <f>IFERROR(__xludf.DUMMYFUNCTION("""COMPUTED_VALUE"""),39533.666666666664)</f>
        <v>39533.66667</v>
      </c>
      <c r="C4477" s="9">
        <f>IFERROR(__xludf.DUMMYFUNCTION("""COMPUTED_VALUE"""),54.5)</f>
        <v>54.5</v>
      </c>
      <c r="E4477" s="17"/>
      <c r="M4477" s="17"/>
      <c r="P4477" s="17"/>
    </row>
    <row r="4478">
      <c r="B4478" s="11">
        <f>IFERROR(__xludf.DUMMYFUNCTION("""COMPUTED_VALUE"""),39532.666666666664)</f>
        <v>39532.66667</v>
      </c>
      <c r="C4478" s="9">
        <f>IFERROR(__xludf.DUMMYFUNCTION("""COMPUTED_VALUE"""),55.64)</f>
        <v>55.64</v>
      </c>
      <c r="E4478" s="17"/>
      <c r="M4478" s="17"/>
      <c r="P4478" s="17"/>
    </row>
    <row r="4479">
      <c r="B4479" s="11">
        <f>IFERROR(__xludf.DUMMYFUNCTION("""COMPUTED_VALUE"""),39531.666666666664)</f>
        <v>39531.66667</v>
      </c>
      <c r="C4479" s="9">
        <f>IFERROR(__xludf.DUMMYFUNCTION("""COMPUTED_VALUE"""),56.44)</f>
        <v>56.44</v>
      </c>
      <c r="E4479" s="17"/>
      <c r="M4479" s="17"/>
      <c r="P4479" s="17"/>
    </row>
    <row r="4480">
      <c r="B4480" s="11">
        <f>IFERROR(__xludf.DUMMYFUNCTION("""COMPUTED_VALUE"""),39527.666666666664)</f>
        <v>39527.66667</v>
      </c>
      <c r="C4480" s="9">
        <f>IFERROR(__xludf.DUMMYFUNCTION("""COMPUTED_VALUE"""),55.6)</f>
        <v>55.6</v>
      </c>
      <c r="E4480" s="17"/>
      <c r="M4480" s="17"/>
      <c r="P4480" s="17"/>
    </row>
    <row r="4481">
      <c r="B4481" s="11">
        <f>IFERROR(__xludf.DUMMYFUNCTION("""COMPUTED_VALUE"""),39526.666666666664)</f>
        <v>39526.66667</v>
      </c>
      <c r="C4481" s="9">
        <f>IFERROR(__xludf.DUMMYFUNCTION("""COMPUTED_VALUE"""),52.5)</f>
        <v>52.5</v>
      </c>
      <c r="E4481" s="17"/>
      <c r="M4481" s="17"/>
      <c r="P4481" s="17"/>
    </row>
    <row r="4482">
      <c r="B4482" s="11">
        <f>IFERROR(__xludf.DUMMYFUNCTION("""COMPUTED_VALUE"""),39525.666666666664)</f>
        <v>39525.66667</v>
      </c>
      <c r="C4482" s="9">
        <f>IFERROR(__xludf.DUMMYFUNCTION("""COMPUTED_VALUE"""),51.88)</f>
        <v>51.88</v>
      </c>
      <c r="E4482" s="17"/>
      <c r="M4482" s="17"/>
      <c r="P4482" s="17"/>
    </row>
    <row r="4483">
      <c r="B4483" s="11">
        <f>IFERROR(__xludf.DUMMYFUNCTION("""COMPUTED_VALUE"""),39524.666666666664)</f>
        <v>39524.66667</v>
      </c>
      <c r="C4483" s="9">
        <f>IFERROR(__xludf.DUMMYFUNCTION("""COMPUTED_VALUE"""),49.82)</f>
        <v>49.82</v>
      </c>
      <c r="E4483" s="17"/>
      <c r="M4483" s="17"/>
      <c r="P4483" s="17"/>
    </row>
    <row r="4484">
      <c r="B4484" s="11">
        <f>IFERROR(__xludf.DUMMYFUNCTION("""COMPUTED_VALUE"""),39521.666666666664)</f>
        <v>39521.66667</v>
      </c>
      <c r="C4484" s="9">
        <f>IFERROR(__xludf.DUMMYFUNCTION("""COMPUTED_VALUE"""),49.53)</f>
        <v>49.53</v>
      </c>
      <c r="E4484" s="17"/>
      <c r="M4484" s="17"/>
      <c r="P4484" s="17"/>
    </row>
    <row r="4485">
      <c r="B4485" s="11">
        <f>IFERROR(__xludf.DUMMYFUNCTION("""COMPUTED_VALUE"""),39520.666666666664)</f>
        <v>39520.66667</v>
      </c>
      <c r="C4485" s="9">
        <f>IFERROR(__xludf.DUMMYFUNCTION("""COMPUTED_VALUE"""),49.94)</f>
        <v>49.94</v>
      </c>
      <c r="E4485" s="17"/>
      <c r="M4485" s="17"/>
      <c r="P4485" s="17"/>
    </row>
    <row r="4486">
      <c r="B4486" s="11">
        <f>IFERROR(__xludf.DUMMYFUNCTION("""COMPUTED_VALUE"""),39519.666666666664)</f>
        <v>39519.66667</v>
      </c>
      <c r="C4486" s="9">
        <f>IFERROR(__xludf.DUMMYFUNCTION("""COMPUTED_VALUE"""),50.18)</f>
        <v>50.18</v>
      </c>
      <c r="E4486" s="17"/>
      <c r="M4486" s="17"/>
      <c r="P4486" s="17"/>
    </row>
    <row r="4487">
      <c r="B4487" s="11">
        <f>IFERROR(__xludf.DUMMYFUNCTION("""COMPUTED_VALUE"""),39518.666666666664)</f>
        <v>39518.66667</v>
      </c>
      <c r="C4487" s="9">
        <f>IFERROR(__xludf.DUMMYFUNCTION("""COMPUTED_VALUE"""),50.02)</f>
        <v>50.02</v>
      </c>
      <c r="E4487" s="17"/>
      <c r="M4487" s="17"/>
      <c r="P4487" s="17"/>
    </row>
    <row r="4488">
      <c r="B4488" s="11">
        <f>IFERROR(__xludf.DUMMYFUNCTION("""COMPUTED_VALUE"""),39517.666666666664)</f>
        <v>39517.66667</v>
      </c>
      <c r="C4488" s="9">
        <f>IFERROR(__xludf.DUMMYFUNCTION("""COMPUTED_VALUE"""),47.64)</f>
        <v>47.64</v>
      </c>
      <c r="E4488" s="17"/>
      <c r="M4488" s="17"/>
      <c r="P4488" s="17"/>
    </row>
    <row r="4489">
      <c r="B4489" s="11">
        <f>IFERROR(__xludf.DUMMYFUNCTION("""COMPUTED_VALUE"""),39514.666666666664)</f>
        <v>39514.66667</v>
      </c>
      <c r="C4489" s="9">
        <f>IFERROR(__xludf.DUMMYFUNCTION("""COMPUTED_VALUE"""),47.67)</f>
        <v>47.67</v>
      </c>
      <c r="E4489" s="17"/>
      <c r="M4489" s="17"/>
      <c r="P4489" s="17"/>
    </row>
    <row r="4490">
      <c r="B4490" s="11">
        <f>IFERROR(__xludf.DUMMYFUNCTION("""COMPUTED_VALUE"""),39513.666666666664)</f>
        <v>39513.66667</v>
      </c>
      <c r="C4490" s="9">
        <f>IFERROR(__xludf.DUMMYFUNCTION("""COMPUTED_VALUE"""),46.76)</f>
        <v>46.76</v>
      </c>
      <c r="E4490" s="17"/>
      <c r="M4490" s="17"/>
      <c r="P4490" s="17"/>
    </row>
    <row r="4491">
      <c r="B4491" s="11">
        <f>IFERROR(__xludf.DUMMYFUNCTION("""COMPUTED_VALUE"""),39512.666666666664)</f>
        <v>39512.66667</v>
      </c>
      <c r="C4491" s="9">
        <f>IFERROR(__xludf.DUMMYFUNCTION("""COMPUTED_VALUE"""),49.27)</f>
        <v>49.27</v>
      </c>
      <c r="E4491" s="17"/>
      <c r="M4491" s="17"/>
      <c r="P4491" s="17"/>
    </row>
    <row r="4492">
      <c r="B4492" s="11">
        <f>IFERROR(__xludf.DUMMYFUNCTION("""COMPUTED_VALUE"""),39511.666666666664)</f>
        <v>39511.66667</v>
      </c>
      <c r="C4492" s="9">
        <f>IFERROR(__xludf.DUMMYFUNCTION("""COMPUTED_VALUE"""),49.1)</f>
        <v>49.1</v>
      </c>
      <c r="E4492" s="17"/>
      <c r="M4492" s="17"/>
      <c r="P4492" s="17"/>
    </row>
    <row r="4493">
      <c r="B4493" s="11">
        <f>IFERROR(__xludf.DUMMYFUNCTION("""COMPUTED_VALUE"""),39510.666666666664)</f>
        <v>39510.66667</v>
      </c>
      <c r="C4493" s="9">
        <f>IFERROR(__xludf.DUMMYFUNCTION("""COMPUTED_VALUE"""),50.29)</f>
        <v>50.29</v>
      </c>
      <c r="E4493" s="17"/>
      <c r="M4493" s="17"/>
      <c r="P4493" s="17"/>
    </row>
    <row r="4494">
      <c r="B4494" s="11">
        <f>IFERROR(__xludf.DUMMYFUNCTION("""COMPUTED_VALUE"""),39507.666666666664)</f>
        <v>39507.66667</v>
      </c>
      <c r="C4494" s="9">
        <f>IFERROR(__xludf.DUMMYFUNCTION("""COMPUTED_VALUE"""),50.18)</f>
        <v>50.18</v>
      </c>
      <c r="E4494" s="17"/>
      <c r="M4494" s="17"/>
      <c r="P4494" s="17"/>
    </row>
    <row r="4495">
      <c r="B4495" s="11">
        <f>IFERROR(__xludf.DUMMYFUNCTION("""COMPUTED_VALUE"""),39506.666666666664)</f>
        <v>39506.66667</v>
      </c>
      <c r="C4495" s="9">
        <f>IFERROR(__xludf.DUMMYFUNCTION("""COMPUTED_VALUE"""),51.21)</f>
        <v>51.21</v>
      </c>
      <c r="E4495" s="17"/>
      <c r="M4495" s="17"/>
      <c r="P4495" s="17"/>
    </row>
    <row r="4496">
      <c r="B4496" s="11">
        <f>IFERROR(__xludf.DUMMYFUNCTION("""COMPUTED_VALUE"""),39505.666666666664)</f>
        <v>39505.66667</v>
      </c>
      <c r="C4496" s="9">
        <f>IFERROR(__xludf.DUMMYFUNCTION("""COMPUTED_VALUE"""),51.97)</f>
        <v>51.97</v>
      </c>
      <c r="E4496" s="17"/>
      <c r="M4496" s="17"/>
      <c r="P4496" s="17"/>
    </row>
    <row r="4497">
      <c r="B4497" s="11">
        <f>IFERROR(__xludf.DUMMYFUNCTION("""COMPUTED_VALUE"""),39504.666666666664)</f>
        <v>39504.66667</v>
      </c>
      <c r="C4497" s="9">
        <f>IFERROR(__xludf.DUMMYFUNCTION("""COMPUTED_VALUE"""),52.2)</f>
        <v>52.2</v>
      </c>
      <c r="E4497" s="17"/>
      <c r="M4497" s="17"/>
      <c r="P4497" s="17"/>
    </row>
    <row r="4498">
      <c r="B4498" s="11">
        <f>IFERROR(__xludf.DUMMYFUNCTION("""COMPUTED_VALUE"""),39503.666666666664)</f>
        <v>39503.66667</v>
      </c>
      <c r="C4498" s="9">
        <f>IFERROR(__xludf.DUMMYFUNCTION("""COMPUTED_VALUE"""),51.04)</f>
        <v>51.04</v>
      </c>
      <c r="E4498" s="17"/>
      <c r="M4498" s="17"/>
      <c r="P4498" s="17"/>
    </row>
    <row r="4499">
      <c r="B4499" s="11">
        <f>IFERROR(__xludf.DUMMYFUNCTION("""COMPUTED_VALUE"""),39500.666666666664)</f>
        <v>39500.66667</v>
      </c>
      <c r="C4499" s="9">
        <f>IFERROR(__xludf.DUMMYFUNCTION("""COMPUTED_VALUE"""),49.31)</f>
        <v>49.31</v>
      </c>
      <c r="E4499" s="17"/>
      <c r="M4499" s="17"/>
      <c r="P4499" s="17"/>
    </row>
    <row r="4500">
      <c r="B4500" s="11">
        <f>IFERROR(__xludf.DUMMYFUNCTION("""COMPUTED_VALUE"""),39499.666666666664)</f>
        <v>39499.66667</v>
      </c>
      <c r="C4500" s="9">
        <f>IFERROR(__xludf.DUMMYFUNCTION("""COMPUTED_VALUE"""),48.76)</f>
        <v>48.76</v>
      </c>
      <c r="E4500" s="17"/>
      <c r="M4500" s="17"/>
      <c r="P4500" s="17"/>
    </row>
    <row r="4501">
      <c r="B4501" s="11">
        <f>IFERROR(__xludf.DUMMYFUNCTION("""COMPUTED_VALUE"""),39498.666666666664)</f>
        <v>39498.66667</v>
      </c>
      <c r="C4501" s="9">
        <f>IFERROR(__xludf.DUMMYFUNCTION("""COMPUTED_VALUE"""),49.37)</f>
        <v>49.37</v>
      </c>
      <c r="E4501" s="17"/>
      <c r="M4501" s="17"/>
      <c r="P4501" s="17"/>
    </row>
    <row r="4502">
      <c r="B4502" s="11">
        <f>IFERROR(__xludf.DUMMYFUNCTION("""COMPUTED_VALUE"""),39497.666666666664)</f>
        <v>39497.66667</v>
      </c>
      <c r="C4502" s="9">
        <f>IFERROR(__xludf.DUMMYFUNCTION("""COMPUTED_VALUE"""),49.59)</f>
        <v>49.59</v>
      </c>
      <c r="E4502" s="17"/>
      <c r="M4502" s="17"/>
      <c r="P4502" s="17"/>
    </row>
    <row r="4503">
      <c r="B4503" s="11">
        <f>IFERROR(__xludf.DUMMYFUNCTION("""COMPUTED_VALUE"""),39493.666666666664)</f>
        <v>39493.66667</v>
      </c>
      <c r="C4503" s="9">
        <f>IFERROR(__xludf.DUMMYFUNCTION("""COMPUTED_VALUE"""),50.57)</f>
        <v>50.57</v>
      </c>
      <c r="E4503" s="17"/>
      <c r="M4503" s="17"/>
      <c r="P4503" s="17"/>
    </row>
    <row r="4504">
      <c r="B4504" s="11">
        <f>IFERROR(__xludf.DUMMYFUNCTION("""COMPUTED_VALUE"""),39492.666666666664)</f>
        <v>39492.66667</v>
      </c>
      <c r="C4504" s="9">
        <f>IFERROR(__xludf.DUMMYFUNCTION("""COMPUTED_VALUE"""),49.91)</f>
        <v>49.91</v>
      </c>
      <c r="E4504" s="17"/>
      <c r="M4504" s="17"/>
      <c r="P4504" s="17"/>
    </row>
    <row r="4505">
      <c r="B4505" s="11">
        <f>IFERROR(__xludf.DUMMYFUNCTION("""COMPUTED_VALUE"""),39491.666666666664)</f>
        <v>39491.66667</v>
      </c>
      <c r="C4505" s="9">
        <f>IFERROR(__xludf.DUMMYFUNCTION("""COMPUTED_VALUE"""),51.0)</f>
        <v>51</v>
      </c>
      <c r="E4505" s="17"/>
      <c r="M4505" s="17"/>
      <c r="P4505" s="17"/>
    </row>
    <row r="4506">
      <c r="B4506" s="11">
        <f>IFERROR(__xludf.DUMMYFUNCTION("""COMPUTED_VALUE"""),39490.666666666664)</f>
        <v>39490.66667</v>
      </c>
      <c r="C4506" s="9">
        <f>IFERROR(__xludf.DUMMYFUNCTION("""COMPUTED_VALUE"""),51.07)</f>
        <v>51.07</v>
      </c>
      <c r="E4506" s="17"/>
      <c r="M4506" s="17"/>
      <c r="P4506" s="17"/>
    </row>
    <row r="4507">
      <c r="B4507" s="11">
        <f>IFERROR(__xludf.DUMMYFUNCTION("""COMPUTED_VALUE"""),39489.666666666664)</f>
        <v>39489.66667</v>
      </c>
      <c r="C4507" s="9">
        <f>IFERROR(__xludf.DUMMYFUNCTION("""COMPUTED_VALUE"""),49.14)</f>
        <v>49.14</v>
      </c>
      <c r="E4507" s="17"/>
      <c r="M4507" s="17"/>
      <c r="P4507" s="17"/>
    </row>
    <row r="4508">
      <c r="B4508" s="11">
        <f>IFERROR(__xludf.DUMMYFUNCTION("""COMPUTED_VALUE"""),39486.666666666664)</f>
        <v>39486.66667</v>
      </c>
      <c r="C4508" s="9">
        <f>IFERROR(__xludf.DUMMYFUNCTION("""COMPUTED_VALUE"""),50.07)</f>
        <v>50.07</v>
      </c>
      <c r="E4508" s="17"/>
      <c r="M4508" s="17"/>
      <c r="P4508" s="17"/>
    </row>
    <row r="4509">
      <c r="B4509" s="11">
        <f>IFERROR(__xludf.DUMMYFUNCTION("""COMPUTED_VALUE"""),39485.666666666664)</f>
        <v>39485.66667</v>
      </c>
      <c r="C4509" s="9">
        <f>IFERROR(__xludf.DUMMYFUNCTION("""COMPUTED_VALUE"""),51.14)</f>
        <v>51.14</v>
      </c>
      <c r="E4509" s="17"/>
      <c r="M4509" s="17"/>
      <c r="P4509" s="17"/>
    </row>
    <row r="4510">
      <c r="B4510" s="11">
        <f>IFERROR(__xludf.DUMMYFUNCTION("""COMPUTED_VALUE"""),39484.666666666664)</f>
        <v>39484.66667</v>
      </c>
      <c r="C4510" s="9">
        <f>IFERROR(__xludf.DUMMYFUNCTION("""COMPUTED_VALUE"""),49.62)</f>
        <v>49.62</v>
      </c>
      <c r="E4510" s="17"/>
      <c r="M4510" s="17"/>
      <c r="P4510" s="17"/>
    </row>
    <row r="4511">
      <c r="B4511" s="11">
        <f>IFERROR(__xludf.DUMMYFUNCTION("""COMPUTED_VALUE"""),39483.666666666664)</f>
        <v>39483.66667</v>
      </c>
      <c r="C4511" s="9">
        <f>IFERROR(__xludf.DUMMYFUNCTION("""COMPUTED_VALUE"""),49.31)</f>
        <v>49.31</v>
      </c>
      <c r="E4511" s="17"/>
      <c r="M4511" s="17"/>
      <c r="P4511" s="17"/>
    </row>
    <row r="4512">
      <c r="B4512" s="11">
        <f>IFERROR(__xludf.DUMMYFUNCTION("""COMPUTED_VALUE"""),39482.666666666664)</f>
        <v>39482.66667</v>
      </c>
      <c r="C4512" s="9">
        <f>IFERROR(__xludf.DUMMYFUNCTION("""COMPUTED_VALUE"""),52.0)</f>
        <v>52</v>
      </c>
      <c r="E4512" s="17"/>
      <c r="M4512" s="17"/>
      <c r="P4512" s="17"/>
    </row>
    <row r="4513">
      <c r="B4513" s="11">
        <f>IFERROR(__xludf.DUMMYFUNCTION("""COMPUTED_VALUE"""),39479.666666666664)</f>
        <v>39479.66667</v>
      </c>
      <c r="C4513" s="9">
        <f>IFERROR(__xludf.DUMMYFUNCTION("""COMPUTED_VALUE"""),52.4)</f>
        <v>52.4</v>
      </c>
      <c r="E4513" s="17"/>
      <c r="M4513" s="17"/>
      <c r="P4513" s="17"/>
    </row>
    <row r="4514">
      <c r="B4514" s="11">
        <f>IFERROR(__xludf.DUMMYFUNCTION("""COMPUTED_VALUE"""),39478.666666666664)</f>
        <v>39478.66667</v>
      </c>
      <c r="C4514" s="9">
        <f>IFERROR(__xludf.DUMMYFUNCTION("""COMPUTED_VALUE"""),50.57)</f>
        <v>50.57</v>
      </c>
      <c r="E4514" s="17"/>
      <c r="M4514" s="17"/>
      <c r="P4514" s="17"/>
    </row>
    <row r="4515">
      <c r="B4515" s="11">
        <f>IFERROR(__xludf.DUMMYFUNCTION("""COMPUTED_VALUE"""),39477.666666666664)</f>
        <v>39477.66667</v>
      </c>
      <c r="C4515" s="9">
        <f>IFERROR(__xludf.DUMMYFUNCTION("""COMPUTED_VALUE"""),49.33)</f>
        <v>49.33</v>
      </c>
      <c r="E4515" s="17"/>
      <c r="M4515" s="17"/>
      <c r="P4515" s="17"/>
    </row>
    <row r="4516">
      <c r="B4516" s="11">
        <f>IFERROR(__xludf.DUMMYFUNCTION("""COMPUTED_VALUE"""),39476.666666666664)</f>
        <v>39476.66667</v>
      </c>
      <c r="C4516" s="9">
        <f>IFERROR(__xludf.DUMMYFUNCTION("""COMPUTED_VALUE"""),53.17)</f>
        <v>53.17</v>
      </c>
      <c r="E4516" s="17"/>
      <c r="M4516" s="17"/>
      <c r="P4516" s="17"/>
    </row>
    <row r="4517">
      <c r="B4517" s="11">
        <f>IFERROR(__xludf.DUMMYFUNCTION("""COMPUTED_VALUE"""),39475.666666666664)</f>
        <v>39475.66667</v>
      </c>
      <c r="C4517" s="9">
        <f>IFERROR(__xludf.DUMMYFUNCTION("""COMPUTED_VALUE"""),55.23)</f>
        <v>55.23</v>
      </c>
      <c r="E4517" s="17"/>
      <c r="M4517" s="17"/>
      <c r="P4517" s="17"/>
    </row>
    <row r="4518">
      <c r="B4518" s="11">
        <f>IFERROR(__xludf.DUMMYFUNCTION("""COMPUTED_VALUE"""),39472.666666666664)</f>
        <v>39472.66667</v>
      </c>
      <c r="C4518" s="9">
        <f>IFERROR(__xludf.DUMMYFUNCTION("""COMPUTED_VALUE"""),52.51)</f>
        <v>52.51</v>
      </c>
      <c r="E4518" s="17"/>
      <c r="M4518" s="17"/>
      <c r="P4518" s="17"/>
    </row>
    <row r="4519">
      <c r="B4519" s="11">
        <f>IFERROR(__xludf.DUMMYFUNCTION("""COMPUTED_VALUE"""),39471.666666666664)</f>
        <v>39471.66667</v>
      </c>
      <c r="C4519" s="9">
        <f>IFERROR(__xludf.DUMMYFUNCTION("""COMPUTED_VALUE"""),52.99)</f>
        <v>52.99</v>
      </c>
      <c r="E4519" s="17"/>
      <c r="M4519" s="17"/>
      <c r="P4519" s="17"/>
    </row>
    <row r="4520">
      <c r="B4520" s="11">
        <f>IFERROR(__xludf.DUMMYFUNCTION("""COMPUTED_VALUE"""),39470.666666666664)</f>
        <v>39470.66667</v>
      </c>
      <c r="C4520" s="9">
        <f>IFERROR(__xludf.DUMMYFUNCTION("""COMPUTED_VALUE"""),54.15)</f>
        <v>54.15</v>
      </c>
      <c r="E4520" s="17"/>
      <c r="M4520" s="17"/>
      <c r="P4520" s="17"/>
    </row>
    <row r="4521">
      <c r="B4521" s="11">
        <f>IFERROR(__xludf.DUMMYFUNCTION("""COMPUTED_VALUE"""),39469.666666666664)</f>
        <v>39469.66667</v>
      </c>
      <c r="C4521" s="9">
        <f>IFERROR(__xludf.DUMMYFUNCTION("""COMPUTED_VALUE"""),49.42)</f>
        <v>49.42</v>
      </c>
      <c r="E4521" s="17"/>
      <c r="M4521" s="17"/>
      <c r="P4521" s="17"/>
    </row>
    <row r="4522">
      <c r="B4522" s="11">
        <f>IFERROR(__xludf.DUMMYFUNCTION("""COMPUTED_VALUE"""),39465.666666666664)</f>
        <v>39465.66667</v>
      </c>
      <c r="C4522" s="9">
        <f>IFERROR(__xludf.DUMMYFUNCTION("""COMPUTED_VALUE"""),49.33)</f>
        <v>49.33</v>
      </c>
      <c r="E4522" s="17"/>
      <c r="M4522" s="17"/>
      <c r="P4522" s="17"/>
    </row>
    <row r="4523">
      <c r="B4523" s="11">
        <f>IFERROR(__xludf.DUMMYFUNCTION("""COMPUTED_VALUE"""),39464.666666666664)</f>
        <v>39464.66667</v>
      </c>
      <c r="C4523" s="9">
        <f>IFERROR(__xludf.DUMMYFUNCTION("""COMPUTED_VALUE"""),50.16)</f>
        <v>50.16</v>
      </c>
      <c r="E4523" s="17"/>
      <c r="M4523" s="17"/>
      <c r="P4523" s="17"/>
    </row>
    <row r="4524">
      <c r="B4524" s="11">
        <f>IFERROR(__xludf.DUMMYFUNCTION("""COMPUTED_VALUE"""),39463.666666666664)</f>
        <v>39463.66667</v>
      </c>
      <c r="C4524" s="9">
        <f>IFERROR(__xludf.DUMMYFUNCTION("""COMPUTED_VALUE"""),52.22)</f>
        <v>52.22</v>
      </c>
      <c r="E4524" s="17"/>
      <c r="M4524" s="17"/>
      <c r="P4524" s="17"/>
    </row>
    <row r="4525">
      <c r="B4525" s="11">
        <f>IFERROR(__xludf.DUMMYFUNCTION("""COMPUTED_VALUE"""),39462.666666666664)</f>
        <v>39462.66667</v>
      </c>
      <c r="C4525" s="9">
        <f>IFERROR(__xludf.DUMMYFUNCTION("""COMPUTED_VALUE"""),50.86)</f>
        <v>50.86</v>
      </c>
      <c r="E4525" s="17"/>
      <c r="M4525" s="17"/>
      <c r="P4525" s="17"/>
    </row>
    <row r="4526">
      <c r="B4526" s="11">
        <f>IFERROR(__xludf.DUMMYFUNCTION("""COMPUTED_VALUE"""),39461.666666666664)</f>
        <v>39461.66667</v>
      </c>
      <c r="C4526" s="9">
        <f>IFERROR(__xludf.DUMMYFUNCTION("""COMPUTED_VALUE"""),51.95)</f>
        <v>51.95</v>
      </c>
      <c r="E4526" s="17"/>
      <c r="M4526" s="17"/>
      <c r="P4526" s="17"/>
    </row>
    <row r="4527">
      <c r="B4527" s="11">
        <f>IFERROR(__xludf.DUMMYFUNCTION("""COMPUTED_VALUE"""),39458.666666666664)</f>
        <v>39458.66667</v>
      </c>
      <c r="C4527" s="9">
        <f>IFERROR(__xludf.DUMMYFUNCTION("""COMPUTED_VALUE"""),51.48)</f>
        <v>51.48</v>
      </c>
      <c r="E4527" s="17"/>
      <c r="M4527" s="17"/>
      <c r="P4527" s="17"/>
    </row>
    <row r="4528">
      <c r="B4528" s="11">
        <f>IFERROR(__xludf.DUMMYFUNCTION("""COMPUTED_VALUE"""),39457.666666666664)</f>
        <v>39457.66667</v>
      </c>
      <c r="C4528" s="9">
        <f>IFERROR(__xludf.DUMMYFUNCTION("""COMPUTED_VALUE"""),51.36)</f>
        <v>51.36</v>
      </c>
      <c r="E4528" s="17"/>
      <c r="M4528" s="17"/>
      <c r="P4528" s="17"/>
    </row>
    <row r="4529">
      <c r="B4529" s="11">
        <f>IFERROR(__xludf.DUMMYFUNCTION("""COMPUTED_VALUE"""),39456.666666666664)</f>
        <v>39456.66667</v>
      </c>
      <c r="C4529" s="9">
        <f>IFERROR(__xludf.DUMMYFUNCTION("""COMPUTED_VALUE"""),50.08)</f>
        <v>50.08</v>
      </c>
      <c r="E4529" s="17"/>
      <c r="M4529" s="17"/>
      <c r="P4529" s="17"/>
    </row>
    <row r="4530">
      <c r="B4530" s="11">
        <f>IFERROR(__xludf.DUMMYFUNCTION("""COMPUTED_VALUE"""),39455.666666666664)</f>
        <v>39455.66667</v>
      </c>
      <c r="C4530" s="9">
        <f>IFERROR(__xludf.DUMMYFUNCTION("""COMPUTED_VALUE"""),50.58)</f>
        <v>50.58</v>
      </c>
      <c r="E4530" s="17"/>
      <c r="M4530" s="17"/>
      <c r="P4530" s="17"/>
    </row>
    <row r="4531">
      <c r="B4531" s="11">
        <f>IFERROR(__xludf.DUMMYFUNCTION("""COMPUTED_VALUE"""),39454.666666666664)</f>
        <v>39454.66667</v>
      </c>
      <c r="C4531" s="9">
        <f>IFERROR(__xludf.DUMMYFUNCTION("""COMPUTED_VALUE"""),51.31)</f>
        <v>51.31</v>
      </c>
      <c r="E4531" s="17"/>
      <c r="M4531" s="17"/>
      <c r="P4531" s="17"/>
    </row>
    <row r="4532">
      <c r="B4532" s="11">
        <f>IFERROR(__xludf.DUMMYFUNCTION("""COMPUTED_VALUE"""),39451.666666666664)</f>
        <v>39451.66667</v>
      </c>
      <c r="C4532" s="9">
        <f>IFERROR(__xludf.DUMMYFUNCTION("""COMPUTED_VALUE"""),51.03)</f>
        <v>51.03</v>
      </c>
      <c r="E4532" s="17"/>
      <c r="M4532" s="17"/>
      <c r="P4532" s="17"/>
    </row>
    <row r="4533">
      <c r="B4533" s="11">
        <f>IFERROR(__xludf.DUMMYFUNCTION("""COMPUTED_VALUE"""),39450.666666666664)</f>
        <v>39450.66667</v>
      </c>
      <c r="C4533" s="9">
        <f>IFERROR(__xludf.DUMMYFUNCTION("""COMPUTED_VALUE"""),52.92)</f>
        <v>52.92</v>
      </c>
      <c r="E4533" s="17"/>
      <c r="M4533" s="17"/>
      <c r="P4533" s="17"/>
    </row>
    <row r="4534">
      <c r="B4534" s="11">
        <f>IFERROR(__xludf.DUMMYFUNCTION("""COMPUTED_VALUE"""),39449.666666666664)</f>
        <v>39449.66667</v>
      </c>
      <c r="C4534" s="9">
        <f>IFERROR(__xludf.DUMMYFUNCTION("""COMPUTED_VALUE"""),56.43)</f>
        <v>56.43</v>
      </c>
      <c r="E4534" s="17"/>
      <c r="M4534" s="17"/>
      <c r="P4534" s="17"/>
    </row>
    <row r="4535">
      <c r="B4535" s="11">
        <f>IFERROR(__xludf.DUMMYFUNCTION("""COMPUTED_VALUE"""),39447.666666666664)</f>
        <v>39447.66667</v>
      </c>
      <c r="C4535" s="9">
        <f>IFERROR(__xludf.DUMMYFUNCTION("""COMPUTED_VALUE"""),57.56)</f>
        <v>57.56</v>
      </c>
      <c r="E4535" s="17"/>
      <c r="M4535" s="17"/>
      <c r="P4535" s="17"/>
    </row>
    <row r="4536">
      <c r="B4536" s="11">
        <f>IFERROR(__xludf.DUMMYFUNCTION("""COMPUTED_VALUE"""),39444.666666666664)</f>
        <v>39444.66667</v>
      </c>
      <c r="C4536" s="9">
        <f>IFERROR(__xludf.DUMMYFUNCTION("""COMPUTED_VALUE"""),55.95)</f>
        <v>55.95</v>
      </c>
      <c r="E4536" s="17"/>
      <c r="M4536" s="17"/>
      <c r="P4536" s="17"/>
    </row>
    <row r="4537">
      <c r="B4537" s="11">
        <f>IFERROR(__xludf.DUMMYFUNCTION("""COMPUTED_VALUE"""),39443.666666666664)</f>
        <v>39443.66667</v>
      </c>
      <c r="C4537" s="9">
        <f>IFERROR(__xludf.DUMMYFUNCTION("""COMPUTED_VALUE"""),56.48)</f>
        <v>56.48</v>
      </c>
      <c r="E4537" s="17"/>
      <c r="M4537" s="17"/>
      <c r="P4537" s="17"/>
    </row>
    <row r="4538">
      <c r="B4538" s="11">
        <f>IFERROR(__xludf.DUMMYFUNCTION("""COMPUTED_VALUE"""),39442.666666666664)</f>
        <v>39442.66667</v>
      </c>
      <c r="C4538" s="9">
        <f>IFERROR(__xludf.DUMMYFUNCTION("""COMPUTED_VALUE"""),57.04)</f>
        <v>57.04</v>
      </c>
      <c r="E4538" s="17"/>
      <c r="M4538" s="17"/>
      <c r="P4538" s="17"/>
    </row>
    <row r="4539">
      <c r="B4539" s="11">
        <f>IFERROR(__xludf.DUMMYFUNCTION("""COMPUTED_VALUE"""),39440.666666666664)</f>
        <v>39440.66667</v>
      </c>
      <c r="C4539" s="9">
        <f>IFERROR(__xludf.DUMMYFUNCTION("""COMPUTED_VALUE"""),58.65)</f>
        <v>58.65</v>
      </c>
      <c r="E4539" s="17"/>
      <c r="M4539" s="17"/>
      <c r="P4539" s="17"/>
    </row>
    <row r="4540">
      <c r="B4540" s="11">
        <f>IFERROR(__xludf.DUMMYFUNCTION("""COMPUTED_VALUE"""),39437.666666666664)</f>
        <v>39437.66667</v>
      </c>
      <c r="C4540" s="9">
        <f>IFERROR(__xludf.DUMMYFUNCTION("""COMPUTED_VALUE"""),56.58)</f>
        <v>56.58</v>
      </c>
      <c r="E4540" s="17"/>
      <c r="M4540" s="17"/>
      <c r="P4540" s="17"/>
    </row>
    <row r="4541">
      <c r="B4541" s="11">
        <f>IFERROR(__xludf.DUMMYFUNCTION("""COMPUTED_VALUE"""),39436.666666666664)</f>
        <v>39436.66667</v>
      </c>
      <c r="C4541" s="9">
        <f>IFERROR(__xludf.DUMMYFUNCTION("""COMPUTED_VALUE"""),55.2)</f>
        <v>55.2</v>
      </c>
      <c r="E4541" s="17"/>
      <c r="M4541" s="17"/>
      <c r="P4541" s="17"/>
    </row>
    <row r="4542">
      <c r="B4542" s="11">
        <f>IFERROR(__xludf.DUMMYFUNCTION("""COMPUTED_VALUE"""),39435.666666666664)</f>
        <v>39435.66667</v>
      </c>
      <c r="C4542" s="9">
        <f>IFERROR(__xludf.DUMMYFUNCTION("""COMPUTED_VALUE"""),54.99)</f>
        <v>54.99</v>
      </c>
      <c r="E4542" s="17"/>
      <c r="M4542" s="17"/>
      <c r="P4542" s="17"/>
    </row>
    <row r="4543">
      <c r="B4543" s="11">
        <f>IFERROR(__xludf.DUMMYFUNCTION("""COMPUTED_VALUE"""),39434.666666666664)</f>
        <v>39434.66667</v>
      </c>
      <c r="C4543" s="9">
        <f>IFERROR(__xludf.DUMMYFUNCTION("""COMPUTED_VALUE"""),55.49)</f>
        <v>55.49</v>
      </c>
      <c r="E4543" s="17"/>
      <c r="M4543" s="17"/>
      <c r="P4543" s="17"/>
    </row>
    <row r="4544">
      <c r="B4544" s="11">
        <f>IFERROR(__xludf.DUMMYFUNCTION("""COMPUTED_VALUE"""),39433.666666666664)</f>
        <v>39433.66667</v>
      </c>
      <c r="C4544" s="9">
        <f>IFERROR(__xludf.DUMMYFUNCTION("""COMPUTED_VALUE"""),56.22)</f>
        <v>56.22</v>
      </c>
      <c r="E4544" s="17"/>
      <c r="M4544" s="17"/>
      <c r="P4544" s="17"/>
    </row>
    <row r="4545">
      <c r="B4545" s="11">
        <f>IFERROR(__xludf.DUMMYFUNCTION("""COMPUTED_VALUE"""),39430.666666666664)</f>
        <v>39430.66667</v>
      </c>
      <c r="C4545" s="9">
        <f>IFERROR(__xludf.DUMMYFUNCTION("""COMPUTED_VALUE"""),57.43)</f>
        <v>57.43</v>
      </c>
      <c r="E4545" s="17"/>
      <c r="M4545" s="17"/>
      <c r="P4545" s="17"/>
    </row>
    <row r="4546">
      <c r="B4546" s="11">
        <f>IFERROR(__xludf.DUMMYFUNCTION("""COMPUTED_VALUE"""),39429.666666666664)</f>
        <v>39429.66667</v>
      </c>
      <c r="C4546" s="9">
        <f>IFERROR(__xludf.DUMMYFUNCTION("""COMPUTED_VALUE"""),60.44)</f>
        <v>60.44</v>
      </c>
      <c r="E4546" s="17"/>
      <c r="M4546" s="17"/>
      <c r="P4546" s="17"/>
    </row>
    <row r="4547">
      <c r="B4547" s="11">
        <f>IFERROR(__xludf.DUMMYFUNCTION("""COMPUTED_VALUE"""),39428.666666666664)</f>
        <v>39428.66667</v>
      </c>
      <c r="C4547" s="9">
        <f>IFERROR(__xludf.DUMMYFUNCTION("""COMPUTED_VALUE"""),60.95)</f>
        <v>60.95</v>
      </c>
      <c r="E4547" s="17"/>
      <c r="M4547" s="17"/>
      <c r="P4547" s="17"/>
    </row>
    <row r="4548">
      <c r="B4548" s="11">
        <f>IFERROR(__xludf.DUMMYFUNCTION("""COMPUTED_VALUE"""),39427.666666666664)</f>
        <v>39427.66667</v>
      </c>
      <c r="C4548" s="9">
        <f>IFERROR(__xludf.DUMMYFUNCTION("""COMPUTED_VALUE"""),60.71)</f>
        <v>60.71</v>
      </c>
      <c r="E4548" s="17"/>
      <c r="M4548" s="17"/>
      <c r="P4548" s="17"/>
    </row>
    <row r="4549">
      <c r="B4549" s="11">
        <f>IFERROR(__xludf.DUMMYFUNCTION("""COMPUTED_VALUE"""),39426.666666666664)</f>
        <v>39426.66667</v>
      </c>
      <c r="C4549" s="9">
        <f>IFERROR(__xludf.DUMMYFUNCTION("""COMPUTED_VALUE"""),64.08)</f>
        <v>64.08</v>
      </c>
      <c r="E4549" s="17"/>
      <c r="M4549" s="17"/>
      <c r="P4549" s="17"/>
    </row>
    <row r="4550">
      <c r="B4550" s="11">
        <f>IFERROR(__xludf.DUMMYFUNCTION("""COMPUTED_VALUE"""),39423.666666666664)</f>
        <v>39423.66667</v>
      </c>
      <c r="C4550" s="9">
        <f>IFERROR(__xludf.DUMMYFUNCTION("""COMPUTED_VALUE"""),62.84)</f>
        <v>62.84</v>
      </c>
      <c r="E4550" s="17"/>
      <c r="M4550" s="17"/>
      <c r="P4550" s="17"/>
    </row>
    <row r="4551">
      <c r="B4551" s="11">
        <f>IFERROR(__xludf.DUMMYFUNCTION("""COMPUTED_VALUE"""),39422.666666666664)</f>
        <v>39422.66667</v>
      </c>
      <c r="C4551" s="9">
        <f>IFERROR(__xludf.DUMMYFUNCTION("""COMPUTED_VALUE"""),62.03)</f>
        <v>62.03</v>
      </c>
      <c r="E4551" s="17"/>
      <c r="M4551" s="17"/>
      <c r="P4551" s="17"/>
    </row>
    <row r="4552">
      <c r="B4552" s="11">
        <f>IFERROR(__xludf.DUMMYFUNCTION("""COMPUTED_VALUE"""),39421.666666666664)</f>
        <v>39421.66667</v>
      </c>
      <c r="C4552" s="9">
        <f>IFERROR(__xludf.DUMMYFUNCTION("""COMPUTED_VALUE"""),60.45)</f>
        <v>60.45</v>
      </c>
      <c r="E4552" s="17"/>
      <c r="M4552" s="17"/>
      <c r="P4552" s="17"/>
    </row>
    <row r="4553">
      <c r="B4553" s="11">
        <f>IFERROR(__xludf.DUMMYFUNCTION("""COMPUTED_VALUE"""),39420.666666666664)</f>
        <v>39420.66667</v>
      </c>
      <c r="C4553" s="9">
        <f>IFERROR(__xludf.DUMMYFUNCTION("""COMPUTED_VALUE"""),58.5)</f>
        <v>58.5</v>
      </c>
      <c r="E4553" s="17"/>
      <c r="M4553" s="17"/>
      <c r="P4553" s="17"/>
    </row>
    <row r="4554">
      <c r="B4554" s="11">
        <f>IFERROR(__xludf.DUMMYFUNCTION("""COMPUTED_VALUE"""),39419.666666666664)</f>
        <v>39419.66667</v>
      </c>
      <c r="C4554" s="9">
        <f>IFERROR(__xludf.DUMMYFUNCTION("""COMPUTED_VALUE"""),60.7)</f>
        <v>60.7</v>
      </c>
      <c r="E4554" s="17"/>
      <c r="M4554" s="17"/>
      <c r="P4554" s="17"/>
    </row>
    <row r="4555">
      <c r="B4555" s="11">
        <f>IFERROR(__xludf.DUMMYFUNCTION("""COMPUTED_VALUE"""),39416.666666666664)</f>
        <v>39416.66667</v>
      </c>
      <c r="C4555" s="9">
        <f>IFERROR(__xludf.DUMMYFUNCTION("""COMPUTED_VALUE"""),61.16)</f>
        <v>61.16</v>
      </c>
      <c r="E4555" s="17"/>
      <c r="M4555" s="17"/>
      <c r="P4555" s="17"/>
    </row>
    <row r="4556">
      <c r="B4556" s="11">
        <f>IFERROR(__xludf.DUMMYFUNCTION("""COMPUTED_VALUE"""),39415.666666666664)</f>
        <v>39415.66667</v>
      </c>
      <c r="C4556" s="9">
        <f>IFERROR(__xludf.DUMMYFUNCTION("""COMPUTED_VALUE"""),59.37)</f>
        <v>59.37</v>
      </c>
      <c r="E4556" s="17"/>
      <c r="M4556" s="17"/>
      <c r="P4556" s="17"/>
    </row>
    <row r="4557">
      <c r="B4557" s="11">
        <f>IFERROR(__xludf.DUMMYFUNCTION("""COMPUTED_VALUE"""),39414.666666666664)</f>
        <v>39414.66667</v>
      </c>
      <c r="C4557" s="9">
        <f>IFERROR(__xludf.DUMMYFUNCTION("""COMPUTED_VALUE"""),58.25)</f>
        <v>58.25</v>
      </c>
      <c r="E4557" s="17"/>
      <c r="M4557" s="17"/>
      <c r="P4557" s="17"/>
    </row>
    <row r="4558">
      <c r="B4558" s="11">
        <f>IFERROR(__xludf.DUMMYFUNCTION("""COMPUTED_VALUE"""),39413.666666666664)</f>
        <v>39413.66667</v>
      </c>
      <c r="C4558" s="9">
        <f>IFERROR(__xludf.DUMMYFUNCTION("""COMPUTED_VALUE"""),56.93)</f>
        <v>56.93</v>
      </c>
      <c r="E4558" s="17"/>
      <c r="M4558" s="17"/>
      <c r="P4558" s="17"/>
    </row>
    <row r="4559">
      <c r="B4559" s="11">
        <f>IFERROR(__xludf.DUMMYFUNCTION("""COMPUTED_VALUE"""),39412.666666666664)</f>
        <v>39412.66667</v>
      </c>
      <c r="C4559" s="9">
        <f>IFERROR(__xludf.DUMMYFUNCTION("""COMPUTED_VALUE"""),56.21)</f>
        <v>56.21</v>
      </c>
      <c r="E4559" s="17"/>
      <c r="M4559" s="17"/>
      <c r="P4559" s="17"/>
    </row>
    <row r="4560">
      <c r="B4560" s="11">
        <f>IFERROR(__xludf.DUMMYFUNCTION("""COMPUTED_VALUE"""),39409.666666666664)</f>
        <v>39409.66667</v>
      </c>
      <c r="C4560" s="9">
        <f>IFERROR(__xludf.DUMMYFUNCTION("""COMPUTED_VALUE"""),59.26)</f>
        <v>59.26</v>
      </c>
      <c r="E4560" s="17"/>
      <c r="M4560" s="17"/>
      <c r="P4560" s="17"/>
    </row>
    <row r="4561">
      <c r="B4561" s="11">
        <f>IFERROR(__xludf.DUMMYFUNCTION("""COMPUTED_VALUE"""),39407.666666666664)</f>
        <v>39407.66667</v>
      </c>
      <c r="C4561" s="9">
        <f>IFERROR(__xludf.DUMMYFUNCTION("""COMPUTED_VALUE"""),58.22)</f>
        <v>58.22</v>
      </c>
      <c r="E4561" s="17"/>
      <c r="M4561" s="17"/>
      <c r="P4561" s="17"/>
    </row>
    <row r="4562">
      <c r="B4562" s="11">
        <f>IFERROR(__xludf.DUMMYFUNCTION("""COMPUTED_VALUE"""),39406.666666666664)</f>
        <v>39406.66667</v>
      </c>
      <c r="C4562" s="9">
        <f>IFERROR(__xludf.DUMMYFUNCTION("""COMPUTED_VALUE"""),59.19)</f>
        <v>59.19</v>
      </c>
      <c r="E4562" s="17"/>
      <c r="M4562" s="17"/>
      <c r="P4562" s="17"/>
    </row>
    <row r="4563">
      <c r="B4563" s="11">
        <f>IFERROR(__xludf.DUMMYFUNCTION("""COMPUTED_VALUE"""),39405.666666666664)</f>
        <v>39405.66667</v>
      </c>
      <c r="C4563" s="9">
        <f>IFERROR(__xludf.DUMMYFUNCTION("""COMPUTED_VALUE"""),60.96)</f>
        <v>60.96</v>
      </c>
      <c r="E4563" s="17"/>
      <c r="M4563" s="17"/>
      <c r="P4563" s="17"/>
    </row>
    <row r="4564">
      <c r="B4564" s="11">
        <f>IFERROR(__xludf.DUMMYFUNCTION("""COMPUTED_VALUE"""),39402.666666666664)</f>
        <v>39402.66667</v>
      </c>
      <c r="C4564" s="9">
        <f>IFERROR(__xludf.DUMMYFUNCTION("""COMPUTED_VALUE"""),61.82)</f>
        <v>61.82</v>
      </c>
      <c r="E4564" s="17"/>
      <c r="M4564" s="17"/>
      <c r="P4564" s="17"/>
    </row>
    <row r="4565">
      <c r="B4565" s="11">
        <f>IFERROR(__xludf.DUMMYFUNCTION("""COMPUTED_VALUE"""),39401.666666666664)</f>
        <v>39401.66667</v>
      </c>
      <c r="C4565" s="9">
        <f>IFERROR(__xludf.DUMMYFUNCTION("""COMPUTED_VALUE"""),62.84)</f>
        <v>62.84</v>
      </c>
      <c r="E4565" s="17"/>
      <c r="M4565" s="17"/>
      <c r="P4565" s="17"/>
    </row>
    <row r="4566">
      <c r="B4566" s="11">
        <f>IFERROR(__xludf.DUMMYFUNCTION("""COMPUTED_VALUE"""),39400.666666666664)</f>
        <v>39400.66667</v>
      </c>
      <c r="C4566" s="9">
        <f>IFERROR(__xludf.DUMMYFUNCTION("""COMPUTED_VALUE"""),63.22)</f>
        <v>63.22</v>
      </c>
      <c r="E4566" s="17"/>
      <c r="M4566" s="17"/>
      <c r="P4566" s="17"/>
    </row>
    <row r="4567">
      <c r="B4567" s="11">
        <f>IFERROR(__xludf.DUMMYFUNCTION("""COMPUTED_VALUE"""),39399.666666666664)</f>
        <v>39399.66667</v>
      </c>
      <c r="C4567" s="9">
        <f>IFERROR(__xludf.DUMMYFUNCTION("""COMPUTED_VALUE"""),63.55)</f>
        <v>63.55</v>
      </c>
      <c r="E4567" s="17"/>
      <c r="M4567" s="17"/>
      <c r="P4567" s="17"/>
    </row>
    <row r="4568">
      <c r="B4568" s="11">
        <f>IFERROR(__xludf.DUMMYFUNCTION("""COMPUTED_VALUE"""),39398.666666666664)</f>
        <v>39398.66667</v>
      </c>
      <c r="C4568" s="9">
        <f>IFERROR(__xludf.DUMMYFUNCTION("""COMPUTED_VALUE"""),61.5)</f>
        <v>61.5</v>
      </c>
      <c r="E4568" s="17"/>
      <c r="M4568" s="17"/>
      <c r="P4568" s="17"/>
    </row>
    <row r="4569">
      <c r="B4569" s="11">
        <f>IFERROR(__xludf.DUMMYFUNCTION("""COMPUTED_VALUE"""),39395.666666666664)</f>
        <v>39395.66667</v>
      </c>
      <c r="C4569" s="9">
        <f>IFERROR(__xludf.DUMMYFUNCTION("""COMPUTED_VALUE"""),60.75)</f>
        <v>60.75</v>
      </c>
      <c r="E4569" s="17"/>
      <c r="M4569" s="17"/>
      <c r="P4569" s="17"/>
    </row>
    <row r="4570">
      <c r="B4570" s="11">
        <f>IFERROR(__xludf.DUMMYFUNCTION("""COMPUTED_VALUE"""),39394.666666666664)</f>
        <v>39394.66667</v>
      </c>
      <c r="C4570" s="9">
        <f>IFERROR(__xludf.DUMMYFUNCTION("""COMPUTED_VALUE"""),61.13)</f>
        <v>61.13</v>
      </c>
      <c r="E4570" s="17"/>
      <c r="M4570" s="17"/>
      <c r="P4570" s="17"/>
    </row>
    <row r="4571">
      <c r="B4571" s="11">
        <f>IFERROR(__xludf.DUMMYFUNCTION("""COMPUTED_VALUE"""),39393.666666666664)</f>
        <v>39393.66667</v>
      </c>
      <c r="C4571" s="9">
        <f>IFERROR(__xludf.DUMMYFUNCTION("""COMPUTED_VALUE"""),60.41)</f>
        <v>60.41</v>
      </c>
      <c r="E4571" s="17"/>
      <c r="M4571" s="17"/>
      <c r="P4571" s="17"/>
    </row>
    <row r="4572">
      <c r="B4572" s="11">
        <f>IFERROR(__xludf.DUMMYFUNCTION("""COMPUTED_VALUE"""),39392.666666666664)</f>
        <v>39392.66667</v>
      </c>
      <c r="C4572" s="9">
        <f>IFERROR(__xludf.DUMMYFUNCTION("""COMPUTED_VALUE"""),61.23)</f>
        <v>61.23</v>
      </c>
      <c r="E4572" s="17"/>
      <c r="M4572" s="17"/>
      <c r="P4572" s="17"/>
    </row>
    <row r="4573">
      <c r="B4573" s="11">
        <f>IFERROR(__xludf.DUMMYFUNCTION("""COMPUTED_VALUE"""),39391.666666666664)</f>
        <v>39391.66667</v>
      </c>
      <c r="C4573" s="9">
        <f>IFERROR(__xludf.DUMMYFUNCTION("""COMPUTED_VALUE"""),60.53)</f>
        <v>60.53</v>
      </c>
      <c r="E4573" s="17"/>
      <c r="M4573" s="17"/>
      <c r="P4573" s="17"/>
    </row>
    <row r="4574">
      <c r="B4574" s="11">
        <f>IFERROR(__xludf.DUMMYFUNCTION("""COMPUTED_VALUE"""),39388.666666666664)</f>
        <v>39388.66667</v>
      </c>
      <c r="C4574" s="9">
        <f>IFERROR(__xludf.DUMMYFUNCTION("""COMPUTED_VALUE"""),60.94)</f>
        <v>60.94</v>
      </c>
      <c r="E4574" s="17"/>
      <c r="M4574" s="17"/>
      <c r="P4574" s="17"/>
    </row>
    <row r="4575">
      <c r="B4575" s="11">
        <f>IFERROR(__xludf.DUMMYFUNCTION("""COMPUTED_VALUE"""),39387.666666666664)</f>
        <v>39387.66667</v>
      </c>
      <c r="C4575" s="9">
        <f>IFERROR(__xludf.DUMMYFUNCTION("""COMPUTED_VALUE"""),62.17)</f>
        <v>62.17</v>
      </c>
      <c r="E4575" s="17"/>
      <c r="M4575" s="17"/>
      <c r="P4575" s="17"/>
    </row>
    <row r="4576">
      <c r="B4576" s="11">
        <f>IFERROR(__xludf.DUMMYFUNCTION("""COMPUTED_VALUE"""),39386.666666666664)</f>
        <v>39386.66667</v>
      </c>
      <c r="C4576" s="9">
        <f>IFERROR(__xludf.DUMMYFUNCTION("""COMPUTED_VALUE"""),65.35)</f>
        <v>65.35</v>
      </c>
      <c r="E4576" s="17"/>
      <c r="M4576" s="17"/>
      <c r="P4576" s="17"/>
    </row>
    <row r="4577">
      <c r="B4577" s="11">
        <f>IFERROR(__xludf.DUMMYFUNCTION("""COMPUTED_VALUE"""),39385.666666666664)</f>
        <v>39385.66667</v>
      </c>
      <c r="C4577" s="9">
        <f>IFERROR(__xludf.DUMMYFUNCTION("""COMPUTED_VALUE"""),64.31)</f>
        <v>64.31</v>
      </c>
      <c r="E4577" s="17"/>
      <c r="M4577" s="17"/>
      <c r="P4577" s="17"/>
    </row>
    <row r="4578">
      <c r="B4578" s="11">
        <f>IFERROR(__xludf.DUMMYFUNCTION("""COMPUTED_VALUE"""),39384.666666666664)</f>
        <v>39384.66667</v>
      </c>
      <c r="C4578" s="9">
        <f>IFERROR(__xludf.DUMMYFUNCTION("""COMPUTED_VALUE"""),63.95)</f>
        <v>63.95</v>
      </c>
      <c r="E4578" s="17"/>
      <c r="M4578" s="17"/>
      <c r="P4578" s="17"/>
    </row>
    <row r="4579">
      <c r="B4579" s="11">
        <f>IFERROR(__xludf.DUMMYFUNCTION("""COMPUTED_VALUE"""),39381.666666666664)</f>
        <v>39381.66667</v>
      </c>
      <c r="C4579" s="9">
        <f>IFERROR(__xludf.DUMMYFUNCTION("""COMPUTED_VALUE"""),64.8)</f>
        <v>64.8</v>
      </c>
      <c r="E4579" s="17"/>
      <c r="M4579" s="17"/>
      <c r="P4579" s="17"/>
    </row>
    <row r="4580">
      <c r="B4580" s="11">
        <f>IFERROR(__xludf.DUMMYFUNCTION("""COMPUTED_VALUE"""),39380.666666666664)</f>
        <v>39380.66667</v>
      </c>
      <c r="C4580" s="9">
        <f>IFERROR(__xludf.DUMMYFUNCTION("""COMPUTED_VALUE"""),64.01)</f>
        <v>64.01</v>
      </c>
      <c r="E4580" s="17"/>
      <c r="M4580" s="17"/>
      <c r="P4580" s="17"/>
    </row>
    <row r="4581">
      <c r="B4581" s="11">
        <f>IFERROR(__xludf.DUMMYFUNCTION("""COMPUTED_VALUE"""),39379.666666666664)</f>
        <v>39379.66667</v>
      </c>
      <c r="C4581" s="9">
        <f>IFERROR(__xludf.DUMMYFUNCTION("""COMPUTED_VALUE"""),63.43)</f>
        <v>63.43</v>
      </c>
      <c r="E4581" s="17"/>
      <c r="M4581" s="17"/>
      <c r="P4581" s="17"/>
    </row>
    <row r="4582">
      <c r="B4582" s="11">
        <f>IFERROR(__xludf.DUMMYFUNCTION("""COMPUTED_VALUE"""),39378.666666666664)</f>
        <v>39378.66667</v>
      </c>
      <c r="C4582" s="9">
        <f>IFERROR(__xludf.DUMMYFUNCTION("""COMPUTED_VALUE"""),63.88)</f>
        <v>63.88</v>
      </c>
      <c r="E4582" s="17"/>
      <c r="M4582" s="17"/>
      <c r="P4582" s="17"/>
    </row>
    <row r="4583">
      <c r="B4583" s="11">
        <f>IFERROR(__xludf.DUMMYFUNCTION("""COMPUTED_VALUE"""),39377.666666666664)</f>
        <v>39377.66667</v>
      </c>
      <c r="C4583" s="9">
        <f>IFERROR(__xludf.DUMMYFUNCTION("""COMPUTED_VALUE"""),62.75)</f>
        <v>62.75</v>
      </c>
      <c r="E4583" s="17"/>
      <c r="M4583" s="17"/>
      <c r="P4583" s="17"/>
    </row>
    <row r="4584">
      <c r="B4584" s="11">
        <f>IFERROR(__xludf.DUMMYFUNCTION("""COMPUTED_VALUE"""),39374.666666666664)</f>
        <v>39374.66667</v>
      </c>
      <c r="C4584" s="9">
        <f>IFERROR(__xludf.DUMMYFUNCTION("""COMPUTED_VALUE"""),62.01)</f>
        <v>62.01</v>
      </c>
      <c r="E4584" s="17"/>
      <c r="M4584" s="17"/>
      <c r="P4584" s="17"/>
    </row>
    <row r="4585">
      <c r="B4585" s="11">
        <f>IFERROR(__xludf.DUMMYFUNCTION("""COMPUTED_VALUE"""),39373.666666666664)</f>
        <v>39373.66667</v>
      </c>
      <c r="C4585" s="9">
        <f>IFERROR(__xludf.DUMMYFUNCTION("""COMPUTED_VALUE"""),63.94)</f>
        <v>63.94</v>
      </c>
      <c r="E4585" s="17"/>
      <c r="M4585" s="17"/>
      <c r="P4585" s="17"/>
    </row>
    <row r="4586">
      <c r="B4586" s="11">
        <f>IFERROR(__xludf.DUMMYFUNCTION("""COMPUTED_VALUE"""),39372.666666666664)</f>
        <v>39372.66667</v>
      </c>
      <c r="C4586" s="9">
        <f>IFERROR(__xludf.DUMMYFUNCTION("""COMPUTED_VALUE"""),63.2)</f>
        <v>63.2</v>
      </c>
      <c r="E4586" s="17"/>
      <c r="M4586" s="17"/>
      <c r="P4586" s="17"/>
    </row>
    <row r="4587">
      <c r="B4587" s="11">
        <f>IFERROR(__xludf.DUMMYFUNCTION("""COMPUTED_VALUE"""),39371.666666666664)</f>
        <v>39371.66667</v>
      </c>
      <c r="C4587" s="9">
        <f>IFERROR(__xludf.DUMMYFUNCTION("""COMPUTED_VALUE"""),63.26)</f>
        <v>63.26</v>
      </c>
      <c r="E4587" s="17"/>
      <c r="M4587" s="17"/>
      <c r="P4587" s="17"/>
    </row>
    <row r="4588">
      <c r="B4588" s="11">
        <f>IFERROR(__xludf.DUMMYFUNCTION("""COMPUTED_VALUE"""),39370.666666666664)</f>
        <v>39370.66667</v>
      </c>
      <c r="C4588" s="9">
        <f>IFERROR(__xludf.DUMMYFUNCTION("""COMPUTED_VALUE"""),64.77)</f>
        <v>64.77</v>
      </c>
      <c r="E4588" s="17"/>
      <c r="M4588" s="17"/>
      <c r="P4588" s="17"/>
    </row>
    <row r="4589">
      <c r="B4589" s="11">
        <f>IFERROR(__xludf.DUMMYFUNCTION("""COMPUTED_VALUE"""),39367.666666666664)</f>
        <v>39367.66667</v>
      </c>
      <c r="C4589" s="9">
        <f>IFERROR(__xludf.DUMMYFUNCTION("""COMPUTED_VALUE"""),65.53)</f>
        <v>65.53</v>
      </c>
      <c r="E4589" s="17"/>
      <c r="M4589" s="17"/>
      <c r="P4589" s="17"/>
    </row>
    <row r="4590">
      <c r="B4590" s="11">
        <f>IFERROR(__xludf.DUMMYFUNCTION("""COMPUTED_VALUE"""),39366.666666666664)</f>
        <v>39366.66667</v>
      </c>
      <c r="C4590" s="9">
        <f>IFERROR(__xludf.DUMMYFUNCTION("""COMPUTED_VALUE"""),66.15)</f>
        <v>66.15</v>
      </c>
      <c r="E4590" s="17"/>
      <c r="M4590" s="17"/>
      <c r="P4590" s="17"/>
    </row>
    <row r="4591">
      <c r="B4591" s="11">
        <f>IFERROR(__xludf.DUMMYFUNCTION("""COMPUTED_VALUE"""),39365.666666666664)</f>
        <v>39365.66667</v>
      </c>
      <c r="C4591" s="9">
        <f>IFERROR(__xludf.DUMMYFUNCTION("""COMPUTED_VALUE"""),65.83)</f>
        <v>65.83</v>
      </c>
      <c r="E4591" s="17"/>
      <c r="M4591" s="17"/>
      <c r="P4591" s="17"/>
    </row>
    <row r="4592">
      <c r="B4592" s="11">
        <f>IFERROR(__xludf.DUMMYFUNCTION("""COMPUTED_VALUE"""),39364.666666666664)</f>
        <v>39364.66667</v>
      </c>
      <c r="C4592" s="9">
        <f>IFERROR(__xludf.DUMMYFUNCTION("""COMPUTED_VALUE"""),65.21)</f>
        <v>65.21</v>
      </c>
      <c r="E4592" s="17"/>
      <c r="M4592" s="17"/>
      <c r="P4592" s="17"/>
    </row>
    <row r="4593">
      <c r="B4593" s="11">
        <f>IFERROR(__xludf.DUMMYFUNCTION("""COMPUTED_VALUE"""),39363.666666666664)</f>
        <v>39363.66667</v>
      </c>
      <c r="C4593" s="9">
        <f>IFERROR(__xludf.DUMMYFUNCTION("""COMPUTED_VALUE"""),64.0)</f>
        <v>64</v>
      </c>
      <c r="E4593" s="17"/>
      <c r="M4593" s="17"/>
      <c r="P4593" s="17"/>
    </row>
    <row r="4594">
      <c r="B4594" s="11">
        <f>IFERROR(__xludf.DUMMYFUNCTION("""COMPUTED_VALUE"""),39360.666666666664)</f>
        <v>39360.66667</v>
      </c>
      <c r="C4594" s="9">
        <f>IFERROR(__xludf.DUMMYFUNCTION("""COMPUTED_VALUE"""),65.06)</f>
        <v>65.06</v>
      </c>
      <c r="E4594" s="17"/>
      <c r="M4594" s="17"/>
      <c r="P4594" s="17"/>
    </row>
    <row r="4595">
      <c r="B4595" s="11">
        <f>IFERROR(__xludf.DUMMYFUNCTION("""COMPUTED_VALUE"""),39359.666666666664)</f>
        <v>39359.66667</v>
      </c>
      <c r="C4595" s="9">
        <f>IFERROR(__xludf.DUMMYFUNCTION("""COMPUTED_VALUE"""),63.62)</f>
        <v>63.62</v>
      </c>
      <c r="E4595" s="17"/>
      <c r="M4595" s="17"/>
      <c r="P4595" s="17"/>
    </row>
    <row r="4596">
      <c r="B4596" s="11">
        <f>IFERROR(__xludf.DUMMYFUNCTION("""COMPUTED_VALUE"""),39358.666666666664)</f>
        <v>39358.66667</v>
      </c>
      <c r="C4596" s="9">
        <f>IFERROR(__xludf.DUMMYFUNCTION("""COMPUTED_VALUE"""),62.81)</f>
        <v>62.81</v>
      </c>
      <c r="E4596" s="17"/>
      <c r="M4596" s="17"/>
      <c r="P4596" s="17"/>
    </row>
    <row r="4597">
      <c r="B4597" s="11">
        <f>IFERROR(__xludf.DUMMYFUNCTION("""COMPUTED_VALUE"""),39357.666666666664)</f>
        <v>39357.66667</v>
      </c>
      <c r="C4597" s="9">
        <f>IFERROR(__xludf.DUMMYFUNCTION("""COMPUTED_VALUE"""),62.77)</f>
        <v>62.77</v>
      </c>
      <c r="E4597" s="17"/>
      <c r="M4597" s="17"/>
      <c r="P4597" s="17"/>
    </row>
    <row r="4598">
      <c r="B4598" s="11">
        <f>IFERROR(__xludf.DUMMYFUNCTION("""COMPUTED_VALUE"""),39356.666666666664)</f>
        <v>39356.66667</v>
      </c>
      <c r="C4598" s="9">
        <f>IFERROR(__xludf.DUMMYFUNCTION("""COMPUTED_VALUE"""),61.44)</f>
        <v>61.44</v>
      </c>
      <c r="E4598" s="17"/>
      <c r="M4598" s="17"/>
      <c r="P4598" s="17"/>
    </row>
    <row r="4599">
      <c r="B4599" s="11">
        <f>IFERROR(__xludf.DUMMYFUNCTION("""COMPUTED_VALUE"""),39353.666666666664)</f>
        <v>39353.66667</v>
      </c>
      <c r="C4599" s="9">
        <f>IFERROR(__xludf.DUMMYFUNCTION("""COMPUTED_VALUE"""),59.81)</f>
        <v>59.81</v>
      </c>
      <c r="E4599" s="17"/>
      <c r="M4599" s="17"/>
      <c r="P4599" s="17"/>
    </row>
    <row r="4600">
      <c r="B4600" s="11">
        <f>IFERROR(__xludf.DUMMYFUNCTION("""COMPUTED_VALUE"""),39352.666666666664)</f>
        <v>39352.66667</v>
      </c>
      <c r="C4600" s="9">
        <f>IFERROR(__xludf.DUMMYFUNCTION("""COMPUTED_VALUE"""),59.2)</f>
        <v>59.2</v>
      </c>
      <c r="E4600" s="17"/>
      <c r="M4600" s="17"/>
      <c r="P4600" s="17"/>
    </row>
    <row r="4601">
      <c r="B4601" s="11">
        <f>IFERROR(__xludf.DUMMYFUNCTION("""COMPUTED_VALUE"""),39351.666666666664)</f>
        <v>39351.66667</v>
      </c>
      <c r="C4601" s="9">
        <f>IFERROR(__xludf.DUMMYFUNCTION("""COMPUTED_VALUE"""),58.59)</f>
        <v>58.59</v>
      </c>
      <c r="E4601" s="17"/>
      <c r="M4601" s="17"/>
      <c r="P4601" s="17"/>
    </row>
    <row r="4602">
      <c r="B4602" s="11">
        <f>IFERROR(__xludf.DUMMYFUNCTION("""COMPUTED_VALUE"""),39350.666666666664)</f>
        <v>39350.66667</v>
      </c>
      <c r="C4602" s="9">
        <f>IFERROR(__xludf.DUMMYFUNCTION("""COMPUTED_VALUE"""),58.51)</f>
        <v>58.51</v>
      </c>
      <c r="E4602" s="17"/>
      <c r="M4602" s="17"/>
      <c r="P4602" s="17"/>
    </row>
    <row r="4603">
      <c r="B4603" s="11">
        <f>IFERROR(__xludf.DUMMYFUNCTION("""COMPUTED_VALUE"""),39349.666666666664)</f>
        <v>39349.66667</v>
      </c>
      <c r="C4603" s="9">
        <f>IFERROR(__xludf.DUMMYFUNCTION("""COMPUTED_VALUE"""),59.4)</f>
        <v>59.4</v>
      </c>
      <c r="E4603" s="17"/>
      <c r="M4603" s="17"/>
      <c r="P4603" s="17"/>
    </row>
    <row r="4604">
      <c r="B4604" s="11">
        <f>IFERROR(__xludf.DUMMYFUNCTION("""COMPUTED_VALUE"""),39346.666666666664)</f>
        <v>39346.66667</v>
      </c>
      <c r="C4604" s="9">
        <f>IFERROR(__xludf.DUMMYFUNCTION("""COMPUTED_VALUE"""),57.91)</f>
        <v>57.91</v>
      </c>
      <c r="E4604" s="17"/>
      <c r="M4604" s="17"/>
      <c r="P4604" s="17"/>
    </row>
    <row r="4605">
      <c r="B4605" s="11">
        <f>IFERROR(__xludf.DUMMYFUNCTION("""COMPUTED_VALUE"""),39345.666666666664)</f>
        <v>39345.66667</v>
      </c>
      <c r="C4605" s="9">
        <f>IFERROR(__xludf.DUMMYFUNCTION("""COMPUTED_VALUE"""),57.79)</f>
        <v>57.79</v>
      </c>
      <c r="E4605" s="17"/>
      <c r="M4605" s="17"/>
      <c r="P4605" s="17"/>
    </row>
    <row r="4606">
      <c r="B4606" s="11">
        <f>IFERROR(__xludf.DUMMYFUNCTION("""COMPUTED_VALUE"""),39344.666666666664)</f>
        <v>39344.66667</v>
      </c>
      <c r="C4606" s="9">
        <f>IFERROR(__xludf.DUMMYFUNCTION("""COMPUTED_VALUE"""),59.05)</f>
        <v>59.05</v>
      </c>
      <c r="E4606" s="17"/>
      <c r="M4606" s="17"/>
      <c r="P4606" s="17"/>
    </row>
    <row r="4607">
      <c r="B4607" s="11">
        <f>IFERROR(__xludf.DUMMYFUNCTION("""COMPUTED_VALUE"""),39343.666666666664)</f>
        <v>39343.66667</v>
      </c>
      <c r="C4607" s="9">
        <f>IFERROR(__xludf.DUMMYFUNCTION("""COMPUTED_VALUE"""),57.06)</f>
        <v>57.06</v>
      </c>
      <c r="E4607" s="17"/>
      <c r="M4607" s="17"/>
      <c r="P4607" s="17"/>
    </row>
    <row r="4608">
      <c r="B4608" s="11">
        <f>IFERROR(__xludf.DUMMYFUNCTION("""COMPUTED_VALUE"""),39342.666666666664)</f>
        <v>39342.66667</v>
      </c>
      <c r="C4608" s="9">
        <f>IFERROR(__xludf.DUMMYFUNCTION("""COMPUTED_VALUE"""),55.83)</f>
        <v>55.83</v>
      </c>
      <c r="E4608" s="17"/>
      <c r="M4608" s="17"/>
      <c r="P4608" s="17"/>
    </row>
    <row r="4609">
      <c r="B4609" s="11">
        <f>IFERROR(__xludf.DUMMYFUNCTION("""COMPUTED_VALUE"""),39339.666666666664)</f>
        <v>39339.66667</v>
      </c>
      <c r="C4609" s="9">
        <f>IFERROR(__xludf.DUMMYFUNCTION("""COMPUTED_VALUE"""),55.79)</f>
        <v>55.79</v>
      </c>
      <c r="E4609" s="17"/>
      <c r="M4609" s="17"/>
      <c r="P4609" s="17"/>
    </row>
    <row r="4610">
      <c r="B4610" s="11">
        <f>IFERROR(__xludf.DUMMYFUNCTION("""COMPUTED_VALUE"""),39338.666666666664)</f>
        <v>39338.66667</v>
      </c>
      <c r="C4610" s="9">
        <f>IFERROR(__xludf.DUMMYFUNCTION("""COMPUTED_VALUE"""),55.54)</f>
        <v>55.54</v>
      </c>
      <c r="E4610" s="17"/>
      <c r="M4610" s="17"/>
      <c r="P4610" s="17"/>
    </row>
    <row r="4611">
      <c r="B4611" s="11">
        <f>IFERROR(__xludf.DUMMYFUNCTION("""COMPUTED_VALUE"""),39337.666666666664)</f>
        <v>39337.66667</v>
      </c>
      <c r="C4611" s="9">
        <f>IFERROR(__xludf.DUMMYFUNCTION("""COMPUTED_VALUE"""),54.05)</f>
        <v>54.05</v>
      </c>
      <c r="E4611" s="17"/>
      <c r="M4611" s="17"/>
      <c r="P4611" s="17"/>
    </row>
    <row r="4612">
      <c r="B4612" s="11">
        <f>IFERROR(__xludf.DUMMYFUNCTION("""COMPUTED_VALUE"""),39336.666666666664)</f>
        <v>39336.66667</v>
      </c>
      <c r="C4612" s="9">
        <f>IFERROR(__xludf.DUMMYFUNCTION("""COMPUTED_VALUE"""),53.82)</f>
        <v>53.82</v>
      </c>
      <c r="E4612" s="17"/>
      <c r="M4612" s="17"/>
      <c r="P4612" s="17"/>
    </row>
    <row r="4613">
      <c r="B4613" s="11">
        <f>IFERROR(__xludf.DUMMYFUNCTION("""COMPUTED_VALUE"""),39335.666666666664)</f>
        <v>39335.66667</v>
      </c>
      <c r="C4613" s="9">
        <f>IFERROR(__xludf.DUMMYFUNCTION("""COMPUTED_VALUE"""),53.59)</f>
        <v>53.59</v>
      </c>
      <c r="E4613" s="17"/>
      <c r="M4613" s="17"/>
      <c r="P4613" s="17"/>
    </row>
    <row r="4614">
      <c r="B4614" s="11">
        <f>IFERROR(__xludf.DUMMYFUNCTION("""COMPUTED_VALUE"""),39332.666666666664)</f>
        <v>39332.66667</v>
      </c>
      <c r="C4614" s="9">
        <f>IFERROR(__xludf.DUMMYFUNCTION("""COMPUTED_VALUE"""),53.89)</f>
        <v>53.89</v>
      </c>
      <c r="E4614" s="17"/>
      <c r="M4614" s="17"/>
      <c r="P4614" s="17"/>
    </row>
    <row r="4615">
      <c r="B4615" s="11">
        <f>IFERROR(__xludf.DUMMYFUNCTION("""COMPUTED_VALUE"""),39331.666666666664)</f>
        <v>39331.66667</v>
      </c>
      <c r="C4615" s="9">
        <f>IFERROR(__xludf.DUMMYFUNCTION("""COMPUTED_VALUE"""),54.73)</f>
        <v>54.73</v>
      </c>
      <c r="E4615" s="17"/>
      <c r="M4615" s="17"/>
      <c r="P4615" s="17"/>
    </row>
    <row r="4616">
      <c r="B4616" s="11">
        <f>IFERROR(__xludf.DUMMYFUNCTION("""COMPUTED_VALUE"""),39330.666666666664)</f>
        <v>39330.66667</v>
      </c>
      <c r="C4616" s="9">
        <f>IFERROR(__xludf.DUMMYFUNCTION("""COMPUTED_VALUE"""),54.48)</f>
        <v>54.48</v>
      </c>
      <c r="E4616" s="17"/>
      <c r="M4616" s="17"/>
      <c r="P4616" s="17"/>
    </row>
    <row r="4617">
      <c r="B4617" s="11">
        <f>IFERROR(__xludf.DUMMYFUNCTION("""COMPUTED_VALUE"""),39329.666666666664)</f>
        <v>39329.66667</v>
      </c>
      <c r="C4617" s="9">
        <f>IFERROR(__xludf.DUMMYFUNCTION("""COMPUTED_VALUE"""),56.25)</f>
        <v>56.25</v>
      </c>
      <c r="E4617" s="17"/>
      <c r="M4617" s="17"/>
      <c r="P4617" s="17"/>
    </row>
    <row r="4618">
      <c r="B4618" s="11">
        <f>IFERROR(__xludf.DUMMYFUNCTION("""COMPUTED_VALUE"""),39325.666666666664)</f>
        <v>39325.66667</v>
      </c>
      <c r="C4618" s="9">
        <f>IFERROR(__xludf.DUMMYFUNCTION("""COMPUTED_VALUE"""),54.98)</f>
        <v>54.98</v>
      </c>
      <c r="E4618" s="17"/>
      <c r="M4618" s="17"/>
      <c r="P4618" s="17"/>
    </row>
    <row r="4619">
      <c r="B4619" s="11">
        <f>IFERROR(__xludf.DUMMYFUNCTION("""COMPUTED_VALUE"""),39324.666666666664)</f>
        <v>39324.66667</v>
      </c>
      <c r="C4619" s="9">
        <f>IFERROR(__xludf.DUMMYFUNCTION("""COMPUTED_VALUE"""),54.0)</f>
        <v>54</v>
      </c>
      <c r="E4619" s="17"/>
      <c r="M4619" s="17"/>
      <c r="P4619" s="17"/>
    </row>
    <row r="4620">
      <c r="B4620" s="11">
        <f>IFERROR(__xludf.DUMMYFUNCTION("""COMPUTED_VALUE"""),39323.666666666664)</f>
        <v>39323.66667</v>
      </c>
      <c r="C4620" s="9">
        <f>IFERROR(__xludf.DUMMYFUNCTION("""COMPUTED_VALUE"""),53.55)</f>
        <v>53.55</v>
      </c>
      <c r="E4620" s="17"/>
      <c r="M4620" s="17"/>
      <c r="P4620" s="17"/>
    </row>
    <row r="4621">
      <c r="B4621" s="11">
        <f>IFERROR(__xludf.DUMMYFUNCTION("""COMPUTED_VALUE"""),39322.666666666664)</f>
        <v>39322.66667</v>
      </c>
      <c r="C4621" s="9">
        <f>IFERROR(__xludf.DUMMYFUNCTION("""COMPUTED_VALUE"""),52.14)</f>
        <v>52.14</v>
      </c>
      <c r="E4621" s="17"/>
      <c r="M4621" s="17"/>
      <c r="P4621" s="17"/>
    </row>
    <row r="4622">
      <c r="B4622" s="11">
        <f>IFERROR(__xludf.DUMMYFUNCTION("""COMPUTED_VALUE"""),39321.666666666664)</f>
        <v>39321.66667</v>
      </c>
      <c r="C4622" s="9">
        <f>IFERROR(__xludf.DUMMYFUNCTION("""COMPUTED_VALUE"""),53.15)</f>
        <v>53.15</v>
      </c>
      <c r="E4622" s="17"/>
      <c r="M4622" s="17"/>
      <c r="P4622" s="17"/>
    </row>
    <row r="4623">
      <c r="B4623" s="11">
        <f>IFERROR(__xludf.DUMMYFUNCTION("""COMPUTED_VALUE"""),39318.666666666664)</f>
        <v>39318.66667</v>
      </c>
      <c r="C4623" s="9">
        <f>IFERROR(__xludf.DUMMYFUNCTION("""COMPUTED_VALUE"""),53.62)</f>
        <v>53.62</v>
      </c>
      <c r="E4623" s="17"/>
      <c r="M4623" s="17"/>
      <c r="P4623" s="17"/>
    </row>
    <row r="4624">
      <c r="B4624" s="11">
        <f>IFERROR(__xludf.DUMMYFUNCTION("""COMPUTED_VALUE"""),39317.666666666664)</f>
        <v>39317.66667</v>
      </c>
      <c r="C4624" s="9">
        <f>IFERROR(__xludf.DUMMYFUNCTION("""COMPUTED_VALUE"""),53.68)</f>
        <v>53.68</v>
      </c>
      <c r="E4624" s="17"/>
      <c r="M4624" s="17"/>
      <c r="P4624" s="17"/>
    </row>
    <row r="4625">
      <c r="B4625" s="11">
        <f>IFERROR(__xludf.DUMMYFUNCTION("""COMPUTED_VALUE"""),39316.666666666664)</f>
        <v>39316.66667</v>
      </c>
      <c r="C4625" s="9">
        <f>IFERROR(__xludf.DUMMYFUNCTION("""COMPUTED_VALUE"""),54.3)</f>
        <v>54.3</v>
      </c>
      <c r="E4625" s="17"/>
      <c r="M4625" s="17"/>
      <c r="P4625" s="17"/>
    </row>
    <row r="4626">
      <c r="B4626" s="11">
        <f>IFERROR(__xludf.DUMMYFUNCTION("""COMPUTED_VALUE"""),39315.666666666664)</f>
        <v>39315.66667</v>
      </c>
      <c r="C4626" s="9">
        <f>IFERROR(__xludf.DUMMYFUNCTION("""COMPUTED_VALUE"""),53.88)</f>
        <v>53.88</v>
      </c>
      <c r="E4626" s="17"/>
      <c r="M4626" s="17"/>
      <c r="P4626" s="17"/>
    </row>
    <row r="4627">
      <c r="B4627" s="11">
        <f>IFERROR(__xludf.DUMMYFUNCTION("""COMPUTED_VALUE"""),39314.666666666664)</f>
        <v>39314.66667</v>
      </c>
      <c r="C4627" s="9">
        <f>IFERROR(__xludf.DUMMYFUNCTION("""COMPUTED_VALUE"""),52.82)</f>
        <v>52.82</v>
      </c>
      <c r="E4627" s="17"/>
      <c r="M4627" s="17"/>
      <c r="P4627" s="17"/>
    </row>
    <row r="4628">
      <c r="B4628" s="11">
        <f>IFERROR(__xludf.DUMMYFUNCTION("""COMPUTED_VALUE"""),39311.666666666664)</f>
        <v>39311.66667</v>
      </c>
      <c r="C4628" s="9">
        <f>IFERROR(__xludf.DUMMYFUNCTION("""COMPUTED_VALUE"""),51.49)</f>
        <v>51.49</v>
      </c>
      <c r="E4628" s="17"/>
      <c r="M4628" s="17"/>
      <c r="P4628" s="17"/>
    </row>
    <row r="4629">
      <c r="B4629" s="11">
        <f>IFERROR(__xludf.DUMMYFUNCTION("""COMPUTED_VALUE"""),39310.666666666664)</f>
        <v>39310.66667</v>
      </c>
      <c r="C4629" s="9">
        <f>IFERROR(__xludf.DUMMYFUNCTION("""COMPUTED_VALUE"""),50.25)</f>
        <v>50.25</v>
      </c>
      <c r="E4629" s="17"/>
      <c r="M4629" s="17"/>
      <c r="P4629" s="17"/>
    </row>
    <row r="4630">
      <c r="B4630" s="11">
        <f>IFERROR(__xludf.DUMMYFUNCTION("""COMPUTED_VALUE"""),39309.666666666664)</f>
        <v>39309.66667</v>
      </c>
      <c r="C4630" s="9">
        <f>IFERROR(__xludf.DUMMYFUNCTION("""COMPUTED_VALUE"""),49.05)</f>
        <v>49.05</v>
      </c>
      <c r="E4630" s="17"/>
      <c r="M4630" s="17"/>
      <c r="P4630" s="17"/>
    </row>
    <row r="4631">
      <c r="B4631" s="11">
        <f>IFERROR(__xludf.DUMMYFUNCTION("""COMPUTED_VALUE"""),39308.666666666664)</f>
        <v>39308.66667</v>
      </c>
      <c r="C4631" s="9">
        <f>IFERROR(__xludf.DUMMYFUNCTION("""COMPUTED_VALUE"""),49.79)</f>
        <v>49.79</v>
      </c>
      <c r="E4631" s="17"/>
      <c r="M4631" s="17"/>
      <c r="P4631" s="17"/>
    </row>
    <row r="4632">
      <c r="B4632" s="11">
        <f>IFERROR(__xludf.DUMMYFUNCTION("""COMPUTED_VALUE"""),39307.666666666664)</f>
        <v>39307.66667</v>
      </c>
      <c r="C4632" s="9">
        <f>IFERROR(__xludf.DUMMYFUNCTION("""COMPUTED_VALUE"""),50.44)</f>
        <v>50.44</v>
      </c>
      <c r="E4632" s="17"/>
      <c r="M4632" s="17"/>
      <c r="P4632" s="17"/>
    </row>
    <row r="4633">
      <c r="B4633" s="11">
        <f>IFERROR(__xludf.DUMMYFUNCTION("""COMPUTED_VALUE"""),39304.666666666664)</f>
        <v>39304.66667</v>
      </c>
      <c r="C4633" s="9">
        <f>IFERROR(__xludf.DUMMYFUNCTION("""COMPUTED_VALUE"""),51.54)</f>
        <v>51.54</v>
      </c>
      <c r="E4633" s="17"/>
      <c r="M4633" s="17"/>
      <c r="P4633" s="17"/>
    </row>
    <row r="4634">
      <c r="B4634" s="11">
        <f>IFERROR(__xludf.DUMMYFUNCTION("""COMPUTED_VALUE"""),39303.666666666664)</f>
        <v>39303.66667</v>
      </c>
      <c r="C4634" s="9">
        <f>IFERROR(__xludf.DUMMYFUNCTION("""COMPUTED_VALUE"""),53.02)</f>
        <v>53.02</v>
      </c>
      <c r="E4634" s="17"/>
      <c r="M4634" s="17"/>
      <c r="P4634" s="17"/>
    </row>
    <row r="4635">
      <c r="B4635" s="11">
        <f>IFERROR(__xludf.DUMMYFUNCTION("""COMPUTED_VALUE"""),39302.666666666664)</f>
        <v>39302.66667</v>
      </c>
      <c r="C4635" s="9">
        <f>IFERROR(__xludf.DUMMYFUNCTION("""COMPUTED_VALUE"""),53.87)</f>
        <v>53.87</v>
      </c>
      <c r="E4635" s="17"/>
      <c r="M4635" s="17"/>
      <c r="P4635" s="17"/>
    </row>
    <row r="4636">
      <c r="B4636" s="11">
        <f>IFERROR(__xludf.DUMMYFUNCTION("""COMPUTED_VALUE"""),39301.666666666664)</f>
        <v>39301.66667</v>
      </c>
      <c r="C4636" s="9">
        <f>IFERROR(__xludf.DUMMYFUNCTION("""COMPUTED_VALUE"""),52.63)</f>
        <v>52.63</v>
      </c>
      <c r="E4636" s="17"/>
      <c r="M4636" s="17"/>
      <c r="P4636" s="17"/>
    </row>
    <row r="4637">
      <c r="B4637" s="11">
        <f>IFERROR(__xludf.DUMMYFUNCTION("""COMPUTED_VALUE"""),39300.666666666664)</f>
        <v>39300.66667</v>
      </c>
      <c r="C4637" s="9">
        <f>IFERROR(__xludf.DUMMYFUNCTION("""COMPUTED_VALUE"""),52.03)</f>
        <v>52.03</v>
      </c>
      <c r="E4637" s="17"/>
      <c r="M4637" s="17"/>
      <c r="P4637" s="17"/>
    </row>
    <row r="4638">
      <c r="B4638" s="11">
        <f>IFERROR(__xludf.DUMMYFUNCTION("""COMPUTED_VALUE"""),39297.666666666664)</f>
        <v>39297.66667</v>
      </c>
      <c r="C4638" s="9">
        <f>IFERROR(__xludf.DUMMYFUNCTION("""COMPUTED_VALUE"""),50.78)</f>
        <v>50.78</v>
      </c>
      <c r="E4638" s="17"/>
      <c r="M4638" s="17"/>
      <c r="P4638" s="17"/>
    </row>
    <row r="4639">
      <c r="B4639" s="11">
        <f>IFERROR(__xludf.DUMMYFUNCTION("""COMPUTED_VALUE"""),39296.666666666664)</f>
        <v>39296.66667</v>
      </c>
      <c r="C4639" s="9">
        <f>IFERROR(__xludf.DUMMYFUNCTION("""COMPUTED_VALUE"""),52.66)</f>
        <v>52.66</v>
      </c>
      <c r="E4639" s="17"/>
      <c r="M4639" s="17"/>
      <c r="P4639" s="17"/>
    </row>
    <row r="4640">
      <c r="B4640" s="11">
        <f>IFERROR(__xludf.DUMMYFUNCTION("""COMPUTED_VALUE"""),39295.666666666664)</f>
        <v>39295.66667</v>
      </c>
      <c r="C4640" s="9">
        <f>IFERROR(__xludf.DUMMYFUNCTION("""COMPUTED_VALUE"""),53.07)</f>
        <v>53.07</v>
      </c>
      <c r="E4640" s="17"/>
      <c r="M4640" s="17"/>
      <c r="P4640" s="17"/>
    </row>
    <row r="4641">
      <c r="B4641" s="11">
        <f>IFERROR(__xludf.DUMMYFUNCTION("""COMPUTED_VALUE"""),39294.666666666664)</f>
        <v>39294.66667</v>
      </c>
      <c r="C4641" s="9">
        <f>IFERROR(__xludf.DUMMYFUNCTION("""COMPUTED_VALUE"""),53.28)</f>
        <v>53.28</v>
      </c>
      <c r="E4641" s="17"/>
      <c r="M4641" s="17"/>
      <c r="P4641" s="17"/>
    </row>
    <row r="4642">
      <c r="B4642" s="11">
        <f>IFERROR(__xludf.DUMMYFUNCTION("""COMPUTED_VALUE"""),39293.666666666664)</f>
        <v>39293.66667</v>
      </c>
      <c r="C4642" s="9">
        <f>IFERROR(__xludf.DUMMYFUNCTION("""COMPUTED_VALUE"""),53.18)</f>
        <v>53.18</v>
      </c>
      <c r="E4642" s="17"/>
      <c r="M4642" s="17"/>
      <c r="P4642" s="17"/>
    </row>
    <row r="4643">
      <c r="B4643" s="11">
        <f>IFERROR(__xludf.DUMMYFUNCTION("""COMPUTED_VALUE"""),39290.666666666664)</f>
        <v>39290.66667</v>
      </c>
      <c r="C4643" s="9">
        <f>IFERROR(__xludf.DUMMYFUNCTION("""COMPUTED_VALUE"""),52.7)</f>
        <v>52.7</v>
      </c>
      <c r="E4643" s="17"/>
      <c r="M4643" s="17"/>
      <c r="P4643" s="17"/>
    </row>
    <row r="4644">
      <c r="B4644" s="11">
        <f>IFERROR(__xludf.DUMMYFUNCTION("""COMPUTED_VALUE"""),39289.666666666664)</f>
        <v>39289.66667</v>
      </c>
      <c r="C4644" s="9">
        <f>IFERROR(__xludf.DUMMYFUNCTION("""COMPUTED_VALUE"""),54.77)</f>
        <v>54.77</v>
      </c>
      <c r="E4644" s="17"/>
      <c r="M4644" s="17"/>
      <c r="P4644" s="17"/>
    </row>
    <row r="4645">
      <c r="B4645" s="11">
        <f>IFERROR(__xludf.DUMMYFUNCTION("""COMPUTED_VALUE"""),39288.666666666664)</f>
        <v>39288.66667</v>
      </c>
      <c r="C4645" s="9">
        <f>IFERROR(__xludf.DUMMYFUNCTION("""COMPUTED_VALUE"""),55.12)</f>
        <v>55.12</v>
      </c>
      <c r="E4645" s="17"/>
      <c r="M4645" s="17"/>
      <c r="P4645" s="17"/>
    </row>
    <row r="4646">
      <c r="B4646" s="11">
        <f>IFERROR(__xludf.DUMMYFUNCTION("""COMPUTED_VALUE"""),39287.666666666664)</f>
        <v>39287.66667</v>
      </c>
      <c r="C4646" s="9">
        <f>IFERROR(__xludf.DUMMYFUNCTION("""COMPUTED_VALUE"""),55.12)</f>
        <v>55.12</v>
      </c>
      <c r="E4646" s="17"/>
      <c r="M4646" s="17"/>
      <c r="P4646" s="17"/>
    </row>
    <row r="4647">
      <c r="B4647" s="11">
        <f>IFERROR(__xludf.DUMMYFUNCTION("""COMPUTED_VALUE"""),39286.666666666664)</f>
        <v>39286.66667</v>
      </c>
      <c r="C4647" s="9">
        <f>IFERROR(__xludf.DUMMYFUNCTION("""COMPUTED_VALUE"""),55.75)</f>
        <v>55.75</v>
      </c>
      <c r="E4647" s="17"/>
      <c r="M4647" s="17"/>
      <c r="P4647" s="17"/>
    </row>
    <row r="4648">
      <c r="B4648" s="11">
        <f>IFERROR(__xludf.DUMMYFUNCTION("""COMPUTED_VALUE"""),39283.666666666664)</f>
        <v>39283.66667</v>
      </c>
      <c r="C4648" s="9">
        <f>IFERROR(__xludf.DUMMYFUNCTION("""COMPUTED_VALUE"""),55.71)</f>
        <v>55.71</v>
      </c>
      <c r="E4648" s="17"/>
      <c r="M4648" s="17"/>
      <c r="P4648" s="17"/>
    </row>
    <row r="4649">
      <c r="B4649" s="11">
        <f>IFERROR(__xludf.DUMMYFUNCTION("""COMPUTED_VALUE"""),39282.666666666664)</f>
        <v>39282.66667</v>
      </c>
      <c r="C4649" s="9">
        <f>IFERROR(__xludf.DUMMYFUNCTION("""COMPUTED_VALUE"""),56.34)</f>
        <v>56.34</v>
      </c>
      <c r="E4649" s="17"/>
      <c r="M4649" s="17"/>
      <c r="P4649" s="17"/>
    </row>
    <row r="4650">
      <c r="B4650" s="11">
        <f>IFERROR(__xludf.DUMMYFUNCTION("""COMPUTED_VALUE"""),39281.666666666664)</f>
        <v>39281.66667</v>
      </c>
      <c r="C4650" s="9">
        <f>IFERROR(__xludf.DUMMYFUNCTION("""COMPUTED_VALUE"""),55.96)</f>
        <v>55.96</v>
      </c>
      <c r="E4650" s="17"/>
      <c r="M4650" s="17"/>
      <c r="P4650" s="17"/>
    </row>
    <row r="4651">
      <c r="B4651" s="11">
        <f>IFERROR(__xludf.DUMMYFUNCTION("""COMPUTED_VALUE"""),39280.666666666664)</f>
        <v>39280.66667</v>
      </c>
      <c r="C4651" s="9">
        <f>IFERROR(__xludf.DUMMYFUNCTION("""COMPUTED_VALUE"""),55.33)</f>
        <v>55.33</v>
      </c>
      <c r="E4651" s="17"/>
      <c r="M4651" s="17"/>
      <c r="P4651" s="17"/>
    </row>
    <row r="4652">
      <c r="B4652" s="11">
        <f>IFERROR(__xludf.DUMMYFUNCTION("""COMPUTED_VALUE"""),39279.666666666664)</f>
        <v>39279.66667</v>
      </c>
      <c r="C4652" s="9">
        <f>IFERROR(__xludf.DUMMYFUNCTION("""COMPUTED_VALUE"""),56.45)</f>
        <v>56.45</v>
      </c>
      <c r="E4652" s="17"/>
      <c r="M4652" s="17"/>
      <c r="P4652" s="17"/>
    </row>
    <row r="4653">
      <c r="B4653" s="11">
        <f>IFERROR(__xludf.DUMMYFUNCTION("""COMPUTED_VALUE"""),39276.666666666664)</f>
        <v>39276.66667</v>
      </c>
      <c r="C4653" s="9">
        <f>IFERROR(__xludf.DUMMYFUNCTION("""COMPUTED_VALUE"""),56.51)</f>
        <v>56.51</v>
      </c>
      <c r="E4653" s="17"/>
      <c r="M4653" s="17"/>
      <c r="P4653" s="17"/>
    </row>
    <row r="4654">
      <c r="B4654" s="11">
        <f>IFERROR(__xludf.DUMMYFUNCTION("""COMPUTED_VALUE"""),39275.666666666664)</f>
        <v>39275.66667</v>
      </c>
      <c r="C4654" s="9">
        <f>IFERROR(__xludf.DUMMYFUNCTION("""COMPUTED_VALUE"""),55.49)</f>
        <v>55.49</v>
      </c>
      <c r="E4654" s="17"/>
      <c r="M4654" s="17"/>
      <c r="P4654" s="17"/>
    </row>
    <row r="4655">
      <c r="B4655" s="11">
        <f>IFERROR(__xludf.DUMMYFUNCTION("""COMPUTED_VALUE"""),39274.666666666664)</f>
        <v>39274.66667</v>
      </c>
      <c r="C4655" s="9">
        <f>IFERROR(__xludf.DUMMYFUNCTION("""COMPUTED_VALUE"""),54.14)</f>
        <v>54.14</v>
      </c>
      <c r="E4655" s="17"/>
      <c r="M4655" s="17"/>
      <c r="P4655" s="17"/>
    </row>
    <row r="4656">
      <c r="B4656" s="11">
        <f>IFERROR(__xludf.DUMMYFUNCTION("""COMPUTED_VALUE"""),39273.666666666664)</f>
        <v>39273.66667</v>
      </c>
      <c r="C4656" s="9">
        <f>IFERROR(__xludf.DUMMYFUNCTION("""COMPUTED_VALUE"""),54.48)</f>
        <v>54.48</v>
      </c>
      <c r="E4656" s="17"/>
      <c r="M4656" s="17"/>
      <c r="P4656" s="17"/>
    </row>
    <row r="4657">
      <c r="B4657" s="11">
        <f>IFERROR(__xludf.DUMMYFUNCTION("""COMPUTED_VALUE"""),39272.666666666664)</f>
        <v>39272.66667</v>
      </c>
      <c r="C4657" s="9">
        <f>IFERROR(__xludf.DUMMYFUNCTION("""COMPUTED_VALUE"""),56.41)</f>
        <v>56.41</v>
      </c>
      <c r="E4657" s="17"/>
      <c r="M4657" s="17"/>
      <c r="P4657" s="17"/>
    </row>
    <row r="4658">
      <c r="B4658" s="11">
        <f>IFERROR(__xludf.DUMMYFUNCTION("""COMPUTED_VALUE"""),39269.666666666664)</f>
        <v>39269.66667</v>
      </c>
      <c r="C4658" s="9">
        <f>IFERROR(__xludf.DUMMYFUNCTION("""COMPUTED_VALUE"""),56.12)</f>
        <v>56.12</v>
      </c>
      <c r="E4658" s="17"/>
      <c r="M4658" s="17"/>
      <c r="P4658" s="17"/>
    </row>
    <row r="4659">
      <c r="B4659" s="11">
        <f>IFERROR(__xludf.DUMMYFUNCTION("""COMPUTED_VALUE"""),39268.666666666664)</f>
        <v>39268.66667</v>
      </c>
      <c r="C4659" s="9">
        <f>IFERROR(__xludf.DUMMYFUNCTION("""COMPUTED_VALUE"""),55.73)</f>
        <v>55.73</v>
      </c>
      <c r="E4659" s="17"/>
      <c r="M4659" s="17"/>
      <c r="P4659" s="17"/>
    </row>
    <row r="4660">
      <c r="B4660" s="11">
        <f>IFERROR(__xludf.DUMMYFUNCTION("""COMPUTED_VALUE"""),39266.666666666664)</f>
        <v>39266.66667</v>
      </c>
      <c r="C4660" s="9">
        <f>IFERROR(__xludf.DUMMYFUNCTION("""COMPUTED_VALUE"""),54.87)</f>
        <v>54.87</v>
      </c>
      <c r="E4660" s="17"/>
      <c r="M4660" s="17"/>
      <c r="P4660" s="17"/>
    </row>
    <row r="4661">
      <c r="B4661" s="11">
        <f>IFERROR(__xludf.DUMMYFUNCTION("""COMPUTED_VALUE"""),39265.666666666664)</f>
        <v>39265.66667</v>
      </c>
      <c r="C4661" s="9">
        <f>IFERROR(__xludf.DUMMYFUNCTION("""COMPUTED_VALUE"""),55.8)</f>
        <v>55.8</v>
      </c>
      <c r="E4661" s="17"/>
      <c r="M4661" s="17"/>
      <c r="P4661" s="17"/>
    </row>
    <row r="4662">
      <c r="B4662" s="11">
        <f>IFERROR(__xludf.DUMMYFUNCTION("""COMPUTED_VALUE"""),39262.666666666664)</f>
        <v>39262.66667</v>
      </c>
      <c r="C4662" s="9">
        <f>IFERROR(__xludf.DUMMYFUNCTION("""COMPUTED_VALUE"""),53.22)</f>
        <v>53.22</v>
      </c>
      <c r="E4662" s="17"/>
      <c r="M4662" s="17"/>
      <c r="P4662" s="17"/>
    </row>
    <row r="4663">
      <c r="B4663" s="11">
        <f>IFERROR(__xludf.DUMMYFUNCTION("""COMPUTED_VALUE"""),39261.666666666664)</f>
        <v>39261.66667</v>
      </c>
      <c r="C4663" s="9">
        <f>IFERROR(__xludf.DUMMYFUNCTION("""COMPUTED_VALUE"""),53.38)</f>
        <v>53.38</v>
      </c>
      <c r="E4663" s="17"/>
      <c r="M4663" s="17"/>
      <c r="P4663" s="17"/>
    </row>
    <row r="4664">
      <c r="B4664" s="11">
        <f>IFERROR(__xludf.DUMMYFUNCTION("""COMPUTED_VALUE"""),39260.666666666664)</f>
        <v>39260.66667</v>
      </c>
      <c r="C4664" s="9">
        <f>IFERROR(__xludf.DUMMYFUNCTION("""COMPUTED_VALUE"""),53.55)</f>
        <v>53.55</v>
      </c>
      <c r="E4664" s="17"/>
      <c r="M4664" s="17"/>
      <c r="P4664" s="17"/>
    </row>
    <row r="4665">
      <c r="B4665" s="11">
        <f>IFERROR(__xludf.DUMMYFUNCTION("""COMPUTED_VALUE"""),39259.666666666664)</f>
        <v>39259.66667</v>
      </c>
      <c r="C4665" s="9">
        <f>IFERROR(__xludf.DUMMYFUNCTION("""COMPUTED_VALUE"""),52.16)</f>
        <v>52.16</v>
      </c>
      <c r="E4665" s="17"/>
      <c r="M4665" s="17"/>
      <c r="P4665" s="17"/>
    </row>
    <row r="4666">
      <c r="B4666" s="11">
        <f>IFERROR(__xludf.DUMMYFUNCTION("""COMPUTED_VALUE"""),39258.666666666664)</f>
        <v>39258.66667</v>
      </c>
      <c r="C4666" s="9">
        <f>IFERROR(__xludf.DUMMYFUNCTION("""COMPUTED_VALUE"""),52.55)</f>
        <v>52.55</v>
      </c>
      <c r="E4666" s="17"/>
      <c r="M4666" s="17"/>
      <c r="P4666" s="17"/>
    </row>
    <row r="4667">
      <c r="B4667" s="11">
        <f>IFERROR(__xludf.DUMMYFUNCTION("""COMPUTED_VALUE"""),39255.666666666664)</f>
        <v>39255.66667</v>
      </c>
      <c r="C4667" s="9">
        <f>IFERROR(__xludf.DUMMYFUNCTION("""COMPUTED_VALUE"""),53.65)</f>
        <v>53.65</v>
      </c>
      <c r="E4667" s="17"/>
      <c r="M4667" s="17"/>
      <c r="P4667" s="17"/>
    </row>
    <row r="4668">
      <c r="B4668" s="11">
        <f>IFERROR(__xludf.DUMMYFUNCTION("""COMPUTED_VALUE"""),39254.666666666664)</f>
        <v>39254.66667</v>
      </c>
      <c r="C4668" s="9">
        <f>IFERROR(__xludf.DUMMYFUNCTION("""COMPUTED_VALUE"""),54.11)</f>
        <v>54.11</v>
      </c>
      <c r="E4668" s="17"/>
      <c r="M4668" s="17"/>
      <c r="P4668" s="17"/>
    </row>
    <row r="4669">
      <c r="B4669" s="11">
        <f>IFERROR(__xludf.DUMMYFUNCTION("""COMPUTED_VALUE"""),39253.666666666664)</f>
        <v>39253.66667</v>
      </c>
      <c r="C4669" s="9">
        <f>IFERROR(__xludf.DUMMYFUNCTION("""COMPUTED_VALUE"""),53.96)</f>
        <v>53.96</v>
      </c>
      <c r="E4669" s="17"/>
      <c r="M4669" s="17"/>
      <c r="P4669" s="17"/>
    </row>
    <row r="4670">
      <c r="B4670" s="11">
        <f>IFERROR(__xludf.DUMMYFUNCTION("""COMPUTED_VALUE"""),39252.666666666664)</f>
        <v>39252.66667</v>
      </c>
      <c r="C4670" s="9">
        <f>IFERROR(__xludf.DUMMYFUNCTION("""COMPUTED_VALUE"""),55.22)</f>
        <v>55.22</v>
      </c>
      <c r="E4670" s="17"/>
      <c r="M4670" s="17"/>
      <c r="P4670" s="17"/>
    </row>
    <row r="4671">
      <c r="B4671" s="11">
        <f>IFERROR(__xludf.DUMMYFUNCTION("""COMPUTED_VALUE"""),39251.666666666664)</f>
        <v>39251.66667</v>
      </c>
      <c r="C4671" s="9">
        <f>IFERROR(__xludf.DUMMYFUNCTION("""COMPUTED_VALUE"""),54.91)</f>
        <v>54.91</v>
      </c>
      <c r="E4671" s="17"/>
      <c r="M4671" s="17"/>
      <c r="P4671" s="17"/>
    </row>
    <row r="4672">
      <c r="B4672" s="11">
        <f>IFERROR(__xludf.DUMMYFUNCTION("""COMPUTED_VALUE"""),39248.666666666664)</f>
        <v>39248.66667</v>
      </c>
      <c r="C4672" s="9">
        <f>IFERROR(__xludf.DUMMYFUNCTION("""COMPUTED_VALUE"""),56.33)</f>
        <v>56.33</v>
      </c>
      <c r="E4672" s="17"/>
      <c r="M4672" s="17"/>
      <c r="P4672" s="17"/>
    </row>
    <row r="4673">
      <c r="B4673" s="11">
        <f>IFERROR(__xludf.DUMMYFUNCTION("""COMPUTED_VALUE"""),39247.666666666664)</f>
        <v>39247.66667</v>
      </c>
      <c r="C4673" s="9">
        <f>IFERROR(__xludf.DUMMYFUNCTION("""COMPUTED_VALUE"""),55.92)</f>
        <v>55.92</v>
      </c>
      <c r="E4673" s="17"/>
      <c r="M4673" s="17"/>
      <c r="P4673" s="17"/>
    </row>
    <row r="4674">
      <c r="B4674" s="11">
        <f>IFERROR(__xludf.DUMMYFUNCTION("""COMPUTED_VALUE"""),39246.666666666664)</f>
        <v>39246.66667</v>
      </c>
      <c r="C4674" s="9">
        <f>IFERROR(__xludf.DUMMYFUNCTION("""COMPUTED_VALUE"""),56.23)</f>
        <v>56.23</v>
      </c>
      <c r="E4674" s="17"/>
      <c r="M4674" s="17"/>
      <c r="P4674" s="17"/>
    </row>
    <row r="4675">
      <c r="B4675" s="11">
        <f>IFERROR(__xludf.DUMMYFUNCTION("""COMPUTED_VALUE"""),39245.666666666664)</f>
        <v>39245.66667</v>
      </c>
      <c r="C4675" s="9">
        <f>IFERROR(__xludf.DUMMYFUNCTION("""COMPUTED_VALUE"""),54.97)</f>
        <v>54.97</v>
      </c>
      <c r="E4675" s="17"/>
      <c r="M4675" s="17"/>
      <c r="P4675" s="17"/>
    </row>
    <row r="4676">
      <c r="B4676" s="11">
        <f>IFERROR(__xludf.DUMMYFUNCTION("""COMPUTED_VALUE"""),39244.666666666664)</f>
        <v>39244.66667</v>
      </c>
      <c r="C4676" s="9">
        <f>IFERROR(__xludf.DUMMYFUNCTION("""COMPUTED_VALUE"""),56.21)</f>
        <v>56.21</v>
      </c>
      <c r="E4676" s="17"/>
      <c r="M4676" s="17"/>
      <c r="P4676" s="17"/>
    </row>
    <row r="4677">
      <c r="B4677" s="11">
        <f>IFERROR(__xludf.DUMMYFUNCTION("""COMPUTED_VALUE"""),39241.666666666664)</f>
        <v>39241.66667</v>
      </c>
      <c r="C4677" s="9">
        <f>IFERROR(__xludf.DUMMYFUNCTION("""COMPUTED_VALUE"""),57.81)</f>
        <v>57.81</v>
      </c>
      <c r="E4677" s="17"/>
      <c r="M4677" s="17"/>
      <c r="P4677" s="17"/>
    </row>
    <row r="4678">
      <c r="B4678" s="11">
        <f>IFERROR(__xludf.DUMMYFUNCTION("""COMPUTED_VALUE"""),39240.666666666664)</f>
        <v>39240.66667</v>
      </c>
      <c r="C4678" s="9">
        <f>IFERROR(__xludf.DUMMYFUNCTION("""COMPUTED_VALUE"""),57.25)</f>
        <v>57.25</v>
      </c>
      <c r="E4678" s="17"/>
      <c r="M4678" s="17"/>
      <c r="P4678" s="17"/>
    </row>
    <row r="4679">
      <c r="B4679" s="11">
        <f>IFERROR(__xludf.DUMMYFUNCTION("""COMPUTED_VALUE"""),39239.666666666664)</f>
        <v>39239.66667</v>
      </c>
      <c r="C4679" s="9">
        <f>IFERROR(__xludf.DUMMYFUNCTION("""COMPUTED_VALUE"""),58.74)</f>
        <v>58.74</v>
      </c>
      <c r="E4679" s="17"/>
      <c r="M4679" s="17"/>
      <c r="P4679" s="17"/>
    </row>
    <row r="4680">
      <c r="B4680" s="11">
        <f>IFERROR(__xludf.DUMMYFUNCTION("""COMPUTED_VALUE"""),39238.666666666664)</f>
        <v>39238.66667</v>
      </c>
      <c r="C4680" s="9">
        <f>IFERROR(__xludf.DUMMYFUNCTION("""COMPUTED_VALUE"""),58.4)</f>
        <v>58.4</v>
      </c>
      <c r="E4680" s="17"/>
      <c r="M4680" s="17"/>
      <c r="P4680" s="17"/>
    </row>
    <row r="4681">
      <c r="B4681" s="11">
        <f>IFERROR(__xludf.DUMMYFUNCTION("""COMPUTED_VALUE"""),39237.666666666664)</f>
        <v>39237.66667</v>
      </c>
      <c r="C4681" s="9">
        <f>IFERROR(__xludf.DUMMYFUNCTION("""COMPUTED_VALUE"""),59.39)</f>
        <v>59.39</v>
      </c>
      <c r="E4681" s="17"/>
      <c r="M4681" s="17"/>
      <c r="P4681" s="17"/>
    </row>
    <row r="4682">
      <c r="B4682" s="11">
        <f>IFERROR(__xludf.DUMMYFUNCTION("""COMPUTED_VALUE"""),39234.666666666664)</f>
        <v>39234.66667</v>
      </c>
      <c r="C4682" s="9">
        <f>IFERROR(__xludf.DUMMYFUNCTION("""COMPUTED_VALUE"""),58.69)</f>
        <v>58.69</v>
      </c>
      <c r="E4682" s="17"/>
      <c r="M4682" s="17"/>
      <c r="P4682" s="17"/>
    </row>
    <row r="4683">
      <c r="B4683" s="11">
        <f>IFERROR(__xludf.DUMMYFUNCTION("""COMPUTED_VALUE"""),39233.666666666664)</f>
        <v>39233.66667</v>
      </c>
      <c r="C4683" s="9">
        <f>IFERROR(__xludf.DUMMYFUNCTION("""COMPUTED_VALUE"""),57.85)</f>
        <v>57.85</v>
      </c>
      <c r="E4683" s="17"/>
      <c r="M4683" s="17"/>
      <c r="P4683" s="17"/>
    </row>
    <row r="4684">
      <c r="B4684" s="11">
        <f>IFERROR(__xludf.DUMMYFUNCTION("""COMPUTED_VALUE"""),39232.666666666664)</f>
        <v>39232.66667</v>
      </c>
      <c r="C4684" s="9">
        <f>IFERROR(__xludf.DUMMYFUNCTION("""COMPUTED_VALUE"""),58.1)</f>
        <v>58.1</v>
      </c>
      <c r="E4684" s="17"/>
      <c r="M4684" s="17"/>
      <c r="P4684" s="17"/>
    </row>
    <row r="4685">
      <c r="B4685" s="11">
        <f>IFERROR(__xludf.DUMMYFUNCTION("""COMPUTED_VALUE"""),39231.666666666664)</f>
        <v>39231.66667</v>
      </c>
      <c r="C4685" s="9">
        <f>IFERROR(__xludf.DUMMYFUNCTION("""COMPUTED_VALUE"""),56.36)</f>
        <v>56.36</v>
      </c>
      <c r="E4685" s="17"/>
      <c r="M4685" s="17"/>
      <c r="P4685" s="17"/>
    </row>
    <row r="4686">
      <c r="B4686" s="11">
        <f>IFERROR(__xludf.DUMMYFUNCTION("""COMPUTED_VALUE"""),39227.666666666664)</f>
        <v>39227.66667</v>
      </c>
      <c r="C4686" s="9">
        <f>IFERROR(__xludf.DUMMYFUNCTION("""COMPUTED_VALUE"""),54.72)</f>
        <v>54.72</v>
      </c>
      <c r="E4686" s="17"/>
      <c r="M4686" s="17"/>
      <c r="P4686" s="17"/>
    </row>
    <row r="4687">
      <c r="B4687" s="11">
        <f>IFERROR(__xludf.DUMMYFUNCTION("""COMPUTED_VALUE"""),39226.666666666664)</f>
        <v>39226.66667</v>
      </c>
      <c r="C4687" s="9">
        <f>IFERROR(__xludf.DUMMYFUNCTION("""COMPUTED_VALUE"""),55.16)</f>
        <v>55.16</v>
      </c>
      <c r="E4687" s="17"/>
      <c r="M4687" s="17"/>
      <c r="P4687" s="17"/>
    </row>
    <row r="4688">
      <c r="B4688" s="11">
        <f>IFERROR(__xludf.DUMMYFUNCTION("""COMPUTED_VALUE"""),39225.666666666664)</f>
        <v>39225.66667</v>
      </c>
      <c r="C4688" s="9">
        <f>IFERROR(__xludf.DUMMYFUNCTION("""COMPUTED_VALUE"""),56.01)</f>
        <v>56.01</v>
      </c>
      <c r="E4688" s="17"/>
      <c r="M4688" s="17"/>
      <c r="P4688" s="17"/>
    </row>
    <row r="4689">
      <c r="B4689" s="11">
        <f>IFERROR(__xludf.DUMMYFUNCTION("""COMPUTED_VALUE"""),39224.666666666664)</f>
        <v>39224.66667</v>
      </c>
      <c r="C4689" s="9">
        <f>IFERROR(__xludf.DUMMYFUNCTION("""COMPUTED_VALUE"""),56.6)</f>
        <v>56.6</v>
      </c>
      <c r="E4689" s="17"/>
      <c r="M4689" s="17"/>
      <c r="P4689" s="17"/>
    </row>
    <row r="4690">
      <c r="B4690" s="11">
        <f>IFERROR(__xludf.DUMMYFUNCTION("""COMPUTED_VALUE"""),39223.666666666664)</f>
        <v>39223.66667</v>
      </c>
      <c r="C4690" s="9">
        <f>IFERROR(__xludf.DUMMYFUNCTION("""COMPUTED_VALUE"""),56.07)</f>
        <v>56.07</v>
      </c>
      <c r="E4690" s="17"/>
      <c r="M4690" s="17"/>
      <c r="P4690" s="17"/>
    </row>
    <row r="4691">
      <c r="B4691" s="11">
        <f>IFERROR(__xludf.DUMMYFUNCTION("""COMPUTED_VALUE"""),39220.666666666664)</f>
        <v>39220.66667</v>
      </c>
      <c r="C4691" s="9">
        <f>IFERROR(__xludf.DUMMYFUNCTION("""COMPUTED_VALUE"""),55.77)</f>
        <v>55.77</v>
      </c>
      <c r="E4691" s="17"/>
      <c r="M4691" s="17"/>
      <c r="P4691" s="17"/>
    </row>
    <row r="4692">
      <c r="B4692" s="11">
        <f>IFERROR(__xludf.DUMMYFUNCTION("""COMPUTED_VALUE"""),39219.666666666664)</f>
        <v>39219.66667</v>
      </c>
      <c r="C4692" s="9">
        <f>IFERROR(__xludf.DUMMYFUNCTION("""COMPUTED_VALUE"""),56.74)</f>
        <v>56.74</v>
      </c>
      <c r="E4692" s="17"/>
      <c r="M4692" s="17"/>
      <c r="P4692" s="17"/>
    </row>
    <row r="4693">
      <c r="B4693" s="11">
        <f>IFERROR(__xludf.DUMMYFUNCTION("""COMPUTED_VALUE"""),39218.666666666664)</f>
        <v>39218.66667</v>
      </c>
      <c r="C4693" s="9">
        <f>IFERROR(__xludf.DUMMYFUNCTION("""COMPUTED_VALUE"""),57.73)</f>
        <v>57.73</v>
      </c>
      <c r="E4693" s="17"/>
      <c r="M4693" s="17"/>
      <c r="P4693" s="17"/>
    </row>
    <row r="4694">
      <c r="B4694" s="11">
        <f>IFERROR(__xludf.DUMMYFUNCTION("""COMPUTED_VALUE"""),39217.666666666664)</f>
        <v>39217.66667</v>
      </c>
      <c r="C4694" s="9">
        <f>IFERROR(__xludf.DUMMYFUNCTION("""COMPUTED_VALUE"""),58.61)</f>
        <v>58.61</v>
      </c>
      <c r="E4694" s="17"/>
      <c r="M4694" s="17"/>
      <c r="P4694" s="17"/>
    </row>
    <row r="4695">
      <c r="B4695" s="11">
        <f>IFERROR(__xludf.DUMMYFUNCTION("""COMPUTED_VALUE"""),39216.666666666664)</f>
        <v>39216.66667</v>
      </c>
      <c r="C4695" s="9">
        <f>IFERROR(__xludf.DUMMYFUNCTION("""COMPUTED_VALUE"""),59.61)</f>
        <v>59.61</v>
      </c>
      <c r="E4695" s="17"/>
      <c r="M4695" s="17"/>
      <c r="P4695" s="17"/>
    </row>
    <row r="4696">
      <c r="B4696" s="11">
        <f>IFERROR(__xludf.DUMMYFUNCTION("""COMPUTED_VALUE"""),39213.666666666664)</f>
        <v>39213.66667</v>
      </c>
      <c r="C4696" s="9">
        <f>IFERROR(__xludf.DUMMYFUNCTION("""COMPUTED_VALUE"""),60.4)</f>
        <v>60.4</v>
      </c>
      <c r="E4696" s="17"/>
      <c r="M4696" s="17"/>
      <c r="P4696" s="17"/>
    </row>
    <row r="4697">
      <c r="B4697" s="11">
        <f>IFERROR(__xludf.DUMMYFUNCTION("""COMPUTED_VALUE"""),39212.666666666664)</f>
        <v>39212.66667</v>
      </c>
      <c r="C4697" s="9">
        <f>IFERROR(__xludf.DUMMYFUNCTION("""COMPUTED_VALUE"""),59.59)</f>
        <v>59.59</v>
      </c>
      <c r="E4697" s="17"/>
      <c r="M4697" s="17"/>
      <c r="P4697" s="17"/>
    </row>
    <row r="4698">
      <c r="B4698" s="11">
        <f>IFERROR(__xludf.DUMMYFUNCTION("""COMPUTED_VALUE"""),39211.666666666664)</f>
        <v>39211.66667</v>
      </c>
      <c r="C4698" s="9">
        <f>IFERROR(__xludf.DUMMYFUNCTION("""COMPUTED_VALUE"""),60.7)</f>
        <v>60.7</v>
      </c>
      <c r="E4698" s="17"/>
      <c r="M4698" s="17"/>
      <c r="P4698" s="17"/>
    </row>
    <row r="4699">
      <c r="B4699" s="11">
        <f>IFERROR(__xludf.DUMMYFUNCTION("""COMPUTED_VALUE"""),39210.666666666664)</f>
        <v>39210.66667</v>
      </c>
      <c r="C4699" s="9">
        <f>IFERROR(__xludf.DUMMYFUNCTION("""COMPUTED_VALUE"""),59.99)</f>
        <v>59.99</v>
      </c>
      <c r="E4699" s="17"/>
      <c r="M4699" s="17"/>
      <c r="P4699" s="17"/>
    </row>
    <row r="4700">
      <c r="B4700" s="11">
        <f>IFERROR(__xludf.DUMMYFUNCTION("""COMPUTED_VALUE"""),39209.666666666664)</f>
        <v>39209.66667</v>
      </c>
      <c r="C4700" s="9">
        <f>IFERROR(__xludf.DUMMYFUNCTION("""COMPUTED_VALUE"""),60.5)</f>
        <v>60.5</v>
      </c>
      <c r="E4700" s="17"/>
      <c r="M4700" s="17"/>
      <c r="P4700" s="17"/>
    </row>
    <row r="4701">
      <c r="B4701" s="11">
        <f>IFERROR(__xludf.DUMMYFUNCTION("""COMPUTED_VALUE"""),39206.666666666664)</f>
        <v>39206.66667</v>
      </c>
      <c r="C4701" s="9">
        <f>IFERROR(__xludf.DUMMYFUNCTION("""COMPUTED_VALUE"""),60.15)</f>
        <v>60.15</v>
      </c>
      <c r="E4701" s="17"/>
      <c r="M4701" s="17"/>
      <c r="P4701" s="17"/>
    </row>
    <row r="4702">
      <c r="B4702" s="11">
        <f>IFERROR(__xludf.DUMMYFUNCTION("""COMPUTED_VALUE"""),39205.666666666664)</f>
        <v>39205.66667</v>
      </c>
      <c r="C4702" s="9">
        <f>IFERROR(__xludf.DUMMYFUNCTION("""COMPUTED_VALUE"""),60.94)</f>
        <v>60.94</v>
      </c>
      <c r="E4702" s="17"/>
      <c r="M4702" s="17"/>
      <c r="P4702" s="17"/>
    </row>
    <row r="4703">
      <c r="B4703" s="11">
        <f>IFERROR(__xludf.DUMMYFUNCTION("""COMPUTED_VALUE"""),39204.666666666664)</f>
        <v>39204.66667</v>
      </c>
      <c r="C4703" s="9">
        <f>IFERROR(__xludf.DUMMYFUNCTION("""COMPUTED_VALUE"""),61.1)</f>
        <v>61.1</v>
      </c>
      <c r="E4703" s="17"/>
      <c r="M4703" s="17"/>
      <c r="P4703" s="17"/>
    </row>
    <row r="4704">
      <c r="B4704" s="11">
        <f>IFERROR(__xludf.DUMMYFUNCTION("""COMPUTED_VALUE"""),39203.666666666664)</f>
        <v>39203.66667</v>
      </c>
      <c r="C4704" s="9">
        <f>IFERROR(__xludf.DUMMYFUNCTION("""COMPUTED_VALUE"""),60.64)</f>
        <v>60.64</v>
      </c>
      <c r="E4704" s="17"/>
      <c r="M4704" s="17"/>
      <c r="P4704" s="17"/>
    </row>
    <row r="4705">
      <c r="B4705" s="11">
        <f>IFERROR(__xludf.DUMMYFUNCTION("""COMPUTED_VALUE"""),39202.666666666664)</f>
        <v>39202.66667</v>
      </c>
      <c r="C4705" s="9">
        <f>IFERROR(__xludf.DUMMYFUNCTION("""COMPUTED_VALUE"""),60.91)</f>
        <v>60.91</v>
      </c>
      <c r="E4705" s="17"/>
      <c r="M4705" s="17"/>
      <c r="P4705" s="17"/>
    </row>
    <row r="4706">
      <c r="B4706" s="11">
        <f>IFERROR(__xludf.DUMMYFUNCTION("""COMPUTED_VALUE"""),39199.666666666664)</f>
        <v>39199.66667</v>
      </c>
      <c r="C4706" s="9">
        <f>IFERROR(__xludf.DUMMYFUNCTION("""COMPUTED_VALUE"""),62.07)</f>
        <v>62.07</v>
      </c>
      <c r="E4706" s="17"/>
      <c r="M4706" s="17"/>
      <c r="P4706" s="17"/>
    </row>
    <row r="4707">
      <c r="B4707" s="11">
        <f>IFERROR(__xludf.DUMMYFUNCTION("""COMPUTED_VALUE"""),39198.666666666664)</f>
        <v>39198.66667</v>
      </c>
      <c r="C4707" s="9">
        <f>IFERROR(__xludf.DUMMYFUNCTION("""COMPUTED_VALUE"""),61.95)</f>
        <v>61.95</v>
      </c>
      <c r="E4707" s="17"/>
      <c r="M4707" s="17"/>
      <c r="P4707" s="17"/>
    </row>
    <row r="4708">
      <c r="B4708" s="11">
        <f>IFERROR(__xludf.DUMMYFUNCTION("""COMPUTED_VALUE"""),39197.666666666664)</f>
        <v>39197.66667</v>
      </c>
      <c r="C4708" s="9">
        <f>IFERROR(__xludf.DUMMYFUNCTION("""COMPUTED_VALUE"""),62.05)</f>
        <v>62.05</v>
      </c>
      <c r="E4708" s="17"/>
      <c r="M4708" s="17"/>
      <c r="P4708" s="17"/>
    </row>
    <row r="4709">
      <c r="B4709" s="11">
        <f>IFERROR(__xludf.DUMMYFUNCTION("""COMPUTED_VALUE"""),39196.666666666664)</f>
        <v>39196.66667</v>
      </c>
      <c r="C4709" s="9">
        <f>IFERROR(__xludf.DUMMYFUNCTION("""COMPUTED_VALUE"""),62.12)</f>
        <v>62.12</v>
      </c>
      <c r="E4709" s="17"/>
      <c r="M4709" s="17"/>
      <c r="P4709" s="17"/>
    </row>
    <row r="4710">
      <c r="B4710" s="11">
        <f>IFERROR(__xludf.DUMMYFUNCTION("""COMPUTED_VALUE"""),39195.666666666664)</f>
        <v>39195.66667</v>
      </c>
      <c r="C4710" s="9">
        <f>IFERROR(__xludf.DUMMYFUNCTION("""COMPUTED_VALUE"""),62.67)</f>
        <v>62.67</v>
      </c>
      <c r="E4710" s="17"/>
      <c r="M4710" s="17"/>
      <c r="P4710" s="17"/>
    </row>
    <row r="4711">
      <c r="B4711" s="11">
        <f>IFERROR(__xludf.DUMMYFUNCTION("""COMPUTED_VALUE"""),39192.666666666664)</f>
        <v>39192.66667</v>
      </c>
      <c r="C4711" s="9">
        <f>IFERROR(__xludf.DUMMYFUNCTION("""COMPUTED_VALUE"""),62.14)</f>
        <v>62.14</v>
      </c>
      <c r="E4711" s="17"/>
      <c r="M4711" s="17"/>
      <c r="P4711" s="17"/>
    </row>
    <row r="4712">
      <c r="B4712" s="11">
        <f>IFERROR(__xludf.DUMMYFUNCTION("""COMPUTED_VALUE"""),39191.666666666664)</f>
        <v>39191.66667</v>
      </c>
      <c r="C4712" s="9">
        <f>IFERROR(__xludf.DUMMYFUNCTION("""COMPUTED_VALUE"""),61.3)</f>
        <v>61.3</v>
      </c>
      <c r="E4712" s="17"/>
      <c r="M4712" s="17"/>
      <c r="P4712" s="17"/>
    </row>
    <row r="4713">
      <c r="B4713" s="11">
        <f>IFERROR(__xludf.DUMMYFUNCTION("""COMPUTED_VALUE"""),39190.666666666664)</f>
        <v>39190.66667</v>
      </c>
      <c r="C4713" s="9">
        <f>IFERROR(__xludf.DUMMYFUNCTION("""COMPUTED_VALUE"""),61.58)</f>
        <v>61.58</v>
      </c>
      <c r="E4713" s="17"/>
      <c r="M4713" s="17"/>
      <c r="P4713" s="17"/>
    </row>
    <row r="4714">
      <c r="B4714" s="11">
        <f>IFERROR(__xludf.DUMMYFUNCTION("""COMPUTED_VALUE"""),39189.666666666664)</f>
        <v>39189.66667</v>
      </c>
      <c r="C4714" s="9">
        <f>IFERROR(__xludf.DUMMYFUNCTION("""COMPUTED_VALUE"""),61.88)</f>
        <v>61.88</v>
      </c>
      <c r="E4714" s="17"/>
      <c r="M4714" s="17"/>
      <c r="P4714" s="17"/>
    </row>
    <row r="4715">
      <c r="B4715" s="11">
        <f>IFERROR(__xludf.DUMMYFUNCTION("""COMPUTED_VALUE"""),39188.666666666664)</f>
        <v>39188.66667</v>
      </c>
      <c r="C4715" s="9">
        <f>IFERROR(__xludf.DUMMYFUNCTION("""COMPUTED_VALUE"""),60.66)</f>
        <v>60.66</v>
      </c>
      <c r="E4715" s="17"/>
      <c r="M4715" s="17"/>
      <c r="P4715" s="17"/>
    </row>
    <row r="4716">
      <c r="B4716" s="11">
        <f>IFERROR(__xludf.DUMMYFUNCTION("""COMPUTED_VALUE"""),39185.666666666664)</f>
        <v>39185.66667</v>
      </c>
      <c r="C4716" s="9">
        <f>IFERROR(__xludf.DUMMYFUNCTION("""COMPUTED_VALUE"""),60.46)</f>
        <v>60.46</v>
      </c>
      <c r="E4716" s="17"/>
      <c r="M4716" s="17"/>
      <c r="P4716" s="17"/>
    </row>
    <row r="4717">
      <c r="B4717" s="11">
        <f>IFERROR(__xludf.DUMMYFUNCTION("""COMPUTED_VALUE"""),39184.666666666664)</f>
        <v>39184.66667</v>
      </c>
      <c r="C4717" s="9">
        <f>IFERROR(__xludf.DUMMYFUNCTION("""COMPUTED_VALUE"""),59.4)</f>
        <v>59.4</v>
      </c>
      <c r="E4717" s="17"/>
      <c r="M4717" s="17"/>
      <c r="P4717" s="17"/>
    </row>
    <row r="4718">
      <c r="B4718" s="11">
        <f>IFERROR(__xludf.DUMMYFUNCTION("""COMPUTED_VALUE"""),39183.666666666664)</f>
        <v>39183.66667</v>
      </c>
      <c r="C4718" s="9">
        <f>IFERROR(__xludf.DUMMYFUNCTION("""COMPUTED_VALUE"""),59.75)</f>
        <v>59.75</v>
      </c>
      <c r="E4718" s="17"/>
      <c r="M4718" s="17"/>
      <c r="P4718" s="17"/>
    </row>
    <row r="4719">
      <c r="B4719" s="11">
        <f>IFERROR(__xludf.DUMMYFUNCTION("""COMPUTED_VALUE"""),39182.666666666664)</f>
        <v>39182.66667</v>
      </c>
      <c r="C4719" s="9">
        <f>IFERROR(__xludf.DUMMYFUNCTION("""COMPUTED_VALUE"""),59.86)</f>
        <v>59.86</v>
      </c>
      <c r="E4719" s="17"/>
      <c r="M4719" s="17"/>
      <c r="P4719" s="17"/>
    </row>
    <row r="4720">
      <c r="B4720" s="11">
        <f>IFERROR(__xludf.DUMMYFUNCTION("""COMPUTED_VALUE"""),39181.666666666664)</f>
        <v>39181.66667</v>
      </c>
      <c r="C4720" s="9">
        <f>IFERROR(__xludf.DUMMYFUNCTION("""COMPUTED_VALUE"""),59.61)</f>
        <v>59.61</v>
      </c>
      <c r="E4720" s="17"/>
      <c r="M4720" s="17"/>
      <c r="P4720" s="17"/>
    </row>
    <row r="4721">
      <c r="B4721" s="11">
        <f>IFERROR(__xludf.DUMMYFUNCTION("""COMPUTED_VALUE"""),39177.666666666664)</f>
        <v>39177.66667</v>
      </c>
      <c r="C4721" s="9">
        <f>IFERROR(__xludf.DUMMYFUNCTION("""COMPUTED_VALUE"""),59.59)</f>
        <v>59.59</v>
      </c>
      <c r="E4721" s="17"/>
      <c r="M4721" s="17"/>
      <c r="P4721" s="17"/>
    </row>
    <row r="4722">
      <c r="B4722" s="11">
        <f>IFERROR(__xludf.DUMMYFUNCTION("""COMPUTED_VALUE"""),39176.666666666664)</f>
        <v>39176.66667</v>
      </c>
      <c r="C4722" s="9">
        <f>IFERROR(__xludf.DUMMYFUNCTION("""COMPUTED_VALUE"""),59.57)</f>
        <v>59.57</v>
      </c>
      <c r="E4722" s="17"/>
      <c r="M4722" s="17"/>
      <c r="P4722" s="17"/>
    </row>
    <row r="4723">
      <c r="B4723" s="11">
        <f>IFERROR(__xludf.DUMMYFUNCTION("""COMPUTED_VALUE"""),39175.666666666664)</f>
        <v>39175.66667</v>
      </c>
      <c r="C4723" s="9">
        <f>IFERROR(__xludf.DUMMYFUNCTION("""COMPUTED_VALUE"""),59.88)</f>
        <v>59.88</v>
      </c>
      <c r="E4723" s="17"/>
      <c r="M4723" s="17"/>
      <c r="P4723" s="17"/>
    </row>
    <row r="4724">
      <c r="B4724" s="11">
        <f>IFERROR(__xludf.DUMMYFUNCTION("""COMPUTED_VALUE"""),39174.666666666664)</f>
        <v>39174.66667</v>
      </c>
      <c r="C4724" s="9">
        <f>IFERROR(__xludf.DUMMYFUNCTION("""COMPUTED_VALUE"""),58.79)</f>
        <v>58.79</v>
      </c>
      <c r="E4724" s="17"/>
      <c r="M4724" s="17"/>
      <c r="P4724" s="17"/>
    </row>
    <row r="4725">
      <c r="B4725" s="11">
        <f>IFERROR(__xludf.DUMMYFUNCTION("""COMPUTED_VALUE"""),39171.666666666664)</f>
        <v>39171.66667</v>
      </c>
      <c r="C4725" s="9">
        <f>IFERROR(__xludf.DUMMYFUNCTION("""COMPUTED_VALUE"""),58.79)</f>
        <v>58.79</v>
      </c>
      <c r="E4725" s="17"/>
      <c r="M4725" s="17"/>
      <c r="P4725" s="17"/>
    </row>
    <row r="4726">
      <c r="B4726" s="11">
        <f>IFERROR(__xludf.DUMMYFUNCTION("""COMPUTED_VALUE"""),39170.666666666664)</f>
        <v>39170.66667</v>
      </c>
      <c r="C4726" s="9">
        <f>IFERROR(__xludf.DUMMYFUNCTION("""COMPUTED_VALUE"""),58.07)</f>
        <v>58.07</v>
      </c>
      <c r="E4726" s="17"/>
      <c r="M4726" s="17"/>
      <c r="P4726" s="17"/>
    </row>
    <row r="4727">
      <c r="B4727" s="11">
        <f>IFERROR(__xludf.DUMMYFUNCTION("""COMPUTED_VALUE"""),39169.666666666664)</f>
        <v>39169.66667</v>
      </c>
      <c r="C4727" s="9">
        <f>IFERROR(__xludf.DUMMYFUNCTION("""COMPUTED_VALUE"""),58.17)</f>
        <v>58.17</v>
      </c>
      <c r="E4727" s="17"/>
      <c r="M4727" s="17"/>
      <c r="P4727" s="17"/>
    </row>
    <row r="4728">
      <c r="B4728" s="11">
        <f>IFERROR(__xludf.DUMMYFUNCTION("""COMPUTED_VALUE"""),39168.666666666664)</f>
        <v>39168.66667</v>
      </c>
      <c r="C4728" s="9">
        <f>IFERROR(__xludf.DUMMYFUNCTION("""COMPUTED_VALUE"""),58.04)</f>
        <v>58.04</v>
      </c>
      <c r="E4728" s="17"/>
      <c r="M4728" s="17"/>
      <c r="P4728" s="17"/>
    </row>
    <row r="4729">
      <c r="B4729" s="11">
        <f>IFERROR(__xludf.DUMMYFUNCTION("""COMPUTED_VALUE"""),39167.666666666664)</f>
        <v>39167.66667</v>
      </c>
      <c r="C4729" s="9">
        <f>IFERROR(__xludf.DUMMYFUNCTION("""COMPUTED_VALUE"""),58.57)</f>
        <v>58.57</v>
      </c>
      <c r="E4729" s="17"/>
      <c r="M4729" s="17"/>
      <c r="P4729" s="17"/>
    </row>
    <row r="4730">
      <c r="B4730" s="11">
        <f>IFERROR(__xludf.DUMMYFUNCTION("""COMPUTED_VALUE"""),39164.666666666664)</f>
        <v>39164.66667</v>
      </c>
      <c r="C4730" s="9">
        <f>IFERROR(__xludf.DUMMYFUNCTION("""COMPUTED_VALUE"""),59.09)</f>
        <v>59.09</v>
      </c>
      <c r="E4730" s="17"/>
      <c r="M4730" s="17"/>
      <c r="P4730" s="17"/>
    </row>
    <row r="4731">
      <c r="B4731" s="11">
        <f>IFERROR(__xludf.DUMMYFUNCTION("""COMPUTED_VALUE"""),39163.666666666664)</f>
        <v>39163.66667</v>
      </c>
      <c r="C4731" s="9">
        <f>IFERROR(__xludf.DUMMYFUNCTION("""COMPUTED_VALUE"""),59.06)</f>
        <v>59.06</v>
      </c>
      <c r="E4731" s="17"/>
      <c r="M4731" s="17"/>
      <c r="P4731" s="17"/>
    </row>
    <row r="4732">
      <c r="B4732" s="11">
        <f>IFERROR(__xludf.DUMMYFUNCTION("""COMPUTED_VALUE"""),39162.666666666664)</f>
        <v>39162.66667</v>
      </c>
      <c r="C4732" s="9">
        <f>IFERROR(__xludf.DUMMYFUNCTION("""COMPUTED_VALUE"""),59.22)</f>
        <v>59.22</v>
      </c>
      <c r="E4732" s="17"/>
      <c r="M4732" s="17"/>
      <c r="P4732" s="17"/>
    </row>
    <row r="4733">
      <c r="B4733" s="11">
        <f>IFERROR(__xludf.DUMMYFUNCTION("""COMPUTED_VALUE"""),39161.666666666664)</f>
        <v>39161.66667</v>
      </c>
      <c r="C4733" s="9">
        <f>IFERROR(__xludf.DUMMYFUNCTION("""COMPUTED_VALUE"""),58.93)</f>
        <v>58.93</v>
      </c>
      <c r="E4733" s="17"/>
      <c r="M4733" s="17"/>
      <c r="P4733" s="17"/>
    </row>
    <row r="4734">
      <c r="B4734" s="11">
        <f>IFERROR(__xludf.DUMMYFUNCTION("""COMPUTED_VALUE"""),39160.666666666664)</f>
        <v>39160.66667</v>
      </c>
      <c r="C4734" s="9">
        <f>IFERROR(__xludf.DUMMYFUNCTION("""COMPUTED_VALUE"""),58.62)</f>
        <v>58.62</v>
      </c>
      <c r="E4734" s="17"/>
      <c r="M4734" s="17"/>
      <c r="P4734" s="17"/>
    </row>
    <row r="4735">
      <c r="B4735" s="11">
        <f>IFERROR(__xludf.DUMMYFUNCTION("""COMPUTED_VALUE"""),39157.666666666664)</f>
        <v>39157.66667</v>
      </c>
      <c r="C4735" s="9">
        <f>IFERROR(__xludf.DUMMYFUNCTION("""COMPUTED_VALUE"""),58.47)</f>
        <v>58.47</v>
      </c>
      <c r="E4735" s="17"/>
      <c r="M4735" s="17"/>
      <c r="P4735" s="17"/>
    </row>
    <row r="4736">
      <c r="B4736" s="11">
        <f>IFERROR(__xludf.DUMMYFUNCTION("""COMPUTED_VALUE"""),39156.666666666664)</f>
        <v>39156.66667</v>
      </c>
      <c r="C4736" s="9">
        <f>IFERROR(__xludf.DUMMYFUNCTION("""COMPUTED_VALUE"""),58.46)</f>
        <v>58.46</v>
      </c>
      <c r="E4736" s="17"/>
      <c r="M4736" s="17"/>
      <c r="P4736" s="17"/>
    </row>
    <row r="4737">
      <c r="B4737" s="11">
        <f>IFERROR(__xludf.DUMMYFUNCTION("""COMPUTED_VALUE"""),39155.666666666664)</f>
        <v>39155.66667</v>
      </c>
      <c r="C4737" s="9">
        <f>IFERROR(__xludf.DUMMYFUNCTION("""COMPUTED_VALUE"""),57.31)</f>
        <v>57.31</v>
      </c>
      <c r="E4737" s="17"/>
      <c r="M4737" s="17"/>
      <c r="P4737" s="17"/>
    </row>
    <row r="4738">
      <c r="B4738" s="11">
        <f>IFERROR(__xludf.DUMMYFUNCTION("""COMPUTED_VALUE"""),39154.666666666664)</f>
        <v>39154.66667</v>
      </c>
      <c r="C4738" s="9">
        <f>IFERROR(__xludf.DUMMYFUNCTION("""COMPUTED_VALUE"""),56.97)</f>
        <v>56.97</v>
      </c>
      <c r="E4738" s="17"/>
      <c r="M4738" s="17"/>
      <c r="P4738" s="17"/>
    </row>
    <row r="4739">
      <c r="B4739" s="11">
        <f>IFERROR(__xludf.DUMMYFUNCTION("""COMPUTED_VALUE"""),39153.666666666664)</f>
        <v>39153.66667</v>
      </c>
      <c r="C4739" s="9">
        <f>IFERROR(__xludf.DUMMYFUNCTION("""COMPUTED_VALUE"""),58.39)</f>
        <v>58.39</v>
      </c>
      <c r="E4739" s="17"/>
      <c r="M4739" s="17"/>
      <c r="P4739" s="17"/>
    </row>
    <row r="4740">
      <c r="B4740" s="11">
        <f>IFERROR(__xludf.DUMMYFUNCTION("""COMPUTED_VALUE"""),39150.666666666664)</f>
        <v>39150.66667</v>
      </c>
      <c r="C4740" s="9">
        <f>IFERROR(__xludf.DUMMYFUNCTION("""COMPUTED_VALUE"""),58.1)</f>
        <v>58.1</v>
      </c>
      <c r="E4740" s="17"/>
      <c r="M4740" s="17"/>
      <c r="P4740" s="17"/>
    </row>
    <row r="4741">
      <c r="B4741" s="11">
        <f>IFERROR(__xludf.DUMMYFUNCTION("""COMPUTED_VALUE"""),39149.666666666664)</f>
        <v>39149.66667</v>
      </c>
      <c r="C4741" s="9">
        <f>IFERROR(__xludf.DUMMYFUNCTION("""COMPUTED_VALUE"""),57.42)</f>
        <v>57.42</v>
      </c>
      <c r="E4741" s="17"/>
      <c r="M4741" s="17"/>
      <c r="P4741" s="17"/>
    </row>
    <row r="4742">
      <c r="B4742" s="11">
        <f>IFERROR(__xludf.DUMMYFUNCTION("""COMPUTED_VALUE"""),39148.666666666664)</f>
        <v>39148.66667</v>
      </c>
      <c r="C4742" s="9">
        <f>IFERROR(__xludf.DUMMYFUNCTION("""COMPUTED_VALUE"""),56.92)</f>
        <v>56.92</v>
      </c>
      <c r="E4742" s="17"/>
      <c r="M4742" s="17"/>
      <c r="P4742" s="17"/>
    </row>
    <row r="4743">
      <c r="B4743" s="11">
        <f>IFERROR(__xludf.DUMMYFUNCTION("""COMPUTED_VALUE"""),39147.666666666664)</f>
        <v>39147.66667</v>
      </c>
      <c r="C4743" s="9">
        <f>IFERROR(__xludf.DUMMYFUNCTION("""COMPUTED_VALUE"""),57.64)</f>
        <v>57.64</v>
      </c>
      <c r="E4743" s="17"/>
      <c r="M4743" s="17"/>
      <c r="P4743" s="17"/>
    </row>
    <row r="4744">
      <c r="B4744" s="11">
        <f>IFERROR(__xludf.DUMMYFUNCTION("""COMPUTED_VALUE"""),39146.666666666664)</f>
        <v>39146.66667</v>
      </c>
      <c r="C4744" s="9">
        <f>IFERROR(__xludf.DUMMYFUNCTION("""COMPUTED_VALUE"""),56.45)</f>
        <v>56.45</v>
      </c>
      <c r="E4744" s="17"/>
      <c r="M4744" s="17"/>
      <c r="P4744" s="17"/>
    </row>
    <row r="4745">
      <c r="B4745" s="11">
        <f>IFERROR(__xludf.DUMMYFUNCTION("""COMPUTED_VALUE"""),39143.666666666664)</f>
        <v>39143.66667</v>
      </c>
      <c r="C4745" s="9">
        <f>IFERROR(__xludf.DUMMYFUNCTION("""COMPUTED_VALUE"""),58.13)</f>
        <v>58.13</v>
      </c>
      <c r="E4745" s="17"/>
      <c r="M4745" s="17"/>
      <c r="P4745" s="17"/>
    </row>
    <row r="4746">
      <c r="B4746" s="11">
        <f>IFERROR(__xludf.DUMMYFUNCTION("""COMPUTED_VALUE"""),39142.666666666664)</f>
        <v>39142.66667</v>
      </c>
      <c r="C4746" s="9">
        <f>IFERROR(__xludf.DUMMYFUNCTION("""COMPUTED_VALUE"""),58.43)</f>
        <v>58.43</v>
      </c>
      <c r="E4746" s="17"/>
      <c r="M4746" s="17"/>
      <c r="P4746" s="17"/>
    </row>
    <row r="4747">
      <c r="B4747" s="11">
        <f>IFERROR(__xludf.DUMMYFUNCTION("""COMPUTED_VALUE"""),39141.666666666664)</f>
        <v>39141.66667</v>
      </c>
      <c r="C4747" s="9">
        <f>IFERROR(__xludf.DUMMYFUNCTION("""COMPUTED_VALUE"""),58.8)</f>
        <v>58.8</v>
      </c>
      <c r="E4747" s="17"/>
      <c r="M4747" s="17"/>
      <c r="P4747" s="17"/>
    </row>
    <row r="4748">
      <c r="B4748" s="11">
        <f>IFERROR(__xludf.DUMMYFUNCTION("""COMPUTED_VALUE"""),39140.666666666664)</f>
        <v>39140.66667</v>
      </c>
      <c r="C4748" s="9">
        <f>IFERROR(__xludf.DUMMYFUNCTION("""COMPUTED_VALUE"""),59.68)</f>
        <v>59.68</v>
      </c>
      <c r="E4748" s="17"/>
      <c r="M4748" s="17"/>
      <c r="P4748" s="17"/>
    </row>
    <row r="4749">
      <c r="B4749" s="11">
        <f>IFERROR(__xludf.DUMMYFUNCTION("""COMPUTED_VALUE"""),39139.666666666664)</f>
        <v>39139.66667</v>
      </c>
      <c r="C4749" s="9">
        <f>IFERROR(__xludf.DUMMYFUNCTION("""COMPUTED_VALUE"""),61.49)</f>
        <v>61.49</v>
      </c>
      <c r="E4749" s="17"/>
      <c r="M4749" s="17"/>
      <c r="P4749" s="17"/>
    </row>
    <row r="4750">
      <c r="B4750" s="11">
        <f>IFERROR(__xludf.DUMMYFUNCTION("""COMPUTED_VALUE"""),39136.666666666664)</f>
        <v>39136.66667</v>
      </c>
      <c r="C4750" s="9">
        <f>IFERROR(__xludf.DUMMYFUNCTION("""COMPUTED_VALUE"""),62.41)</f>
        <v>62.41</v>
      </c>
      <c r="E4750" s="17"/>
      <c r="M4750" s="17"/>
      <c r="P4750" s="17"/>
    </row>
    <row r="4751">
      <c r="B4751" s="11">
        <f>IFERROR(__xludf.DUMMYFUNCTION("""COMPUTED_VALUE"""),39135.666666666664)</f>
        <v>39135.66667</v>
      </c>
      <c r="C4751" s="9">
        <f>IFERROR(__xludf.DUMMYFUNCTION("""COMPUTED_VALUE"""),63.57)</f>
        <v>63.57</v>
      </c>
      <c r="E4751" s="17"/>
      <c r="M4751" s="17"/>
      <c r="P4751" s="17"/>
    </row>
    <row r="4752">
      <c r="B4752" s="11">
        <f>IFERROR(__xludf.DUMMYFUNCTION("""COMPUTED_VALUE"""),39134.666666666664)</f>
        <v>39134.66667</v>
      </c>
      <c r="C4752" s="9">
        <f>IFERROR(__xludf.DUMMYFUNCTION("""COMPUTED_VALUE"""),63.84)</f>
        <v>63.84</v>
      </c>
      <c r="E4752" s="17"/>
      <c r="M4752" s="17"/>
      <c r="P4752" s="17"/>
    </row>
    <row r="4753">
      <c r="B4753" s="11">
        <f>IFERROR(__xludf.DUMMYFUNCTION("""COMPUTED_VALUE"""),39133.666666666664)</f>
        <v>39133.66667</v>
      </c>
      <c r="C4753" s="9">
        <f>IFERROR(__xludf.DUMMYFUNCTION("""COMPUTED_VALUE"""),64.09)</f>
        <v>64.09</v>
      </c>
      <c r="E4753" s="17"/>
      <c r="M4753" s="17"/>
      <c r="P4753" s="17"/>
    </row>
    <row r="4754">
      <c r="B4754" s="11">
        <f>IFERROR(__xludf.DUMMYFUNCTION("""COMPUTED_VALUE"""),39129.666666666664)</f>
        <v>39129.66667</v>
      </c>
      <c r="C4754" s="9">
        <f>IFERROR(__xludf.DUMMYFUNCTION("""COMPUTED_VALUE"""),64.14)</f>
        <v>64.14</v>
      </c>
      <c r="E4754" s="17"/>
      <c r="M4754" s="17"/>
      <c r="P4754" s="17"/>
    </row>
    <row r="4755">
      <c r="B4755" s="11">
        <f>IFERROR(__xludf.DUMMYFUNCTION("""COMPUTED_VALUE"""),39128.666666666664)</f>
        <v>39128.66667</v>
      </c>
      <c r="C4755" s="9">
        <f>IFERROR(__xludf.DUMMYFUNCTION("""COMPUTED_VALUE"""),64.18)</f>
        <v>64.18</v>
      </c>
      <c r="E4755" s="17"/>
      <c r="M4755" s="17"/>
      <c r="P4755" s="17"/>
    </row>
    <row r="4756">
      <c r="B4756" s="11">
        <f>IFERROR(__xludf.DUMMYFUNCTION("""COMPUTED_VALUE"""),39127.666666666664)</f>
        <v>39127.66667</v>
      </c>
      <c r="C4756" s="9">
        <f>IFERROR(__xludf.DUMMYFUNCTION("""COMPUTED_VALUE"""),63.99)</f>
        <v>63.99</v>
      </c>
      <c r="E4756" s="17"/>
      <c r="M4756" s="17"/>
      <c r="P4756" s="17"/>
    </row>
    <row r="4757">
      <c r="B4757" s="11">
        <f>IFERROR(__xludf.DUMMYFUNCTION("""COMPUTED_VALUE"""),39126.666666666664)</f>
        <v>39126.66667</v>
      </c>
      <c r="C4757" s="9">
        <f>IFERROR(__xludf.DUMMYFUNCTION("""COMPUTED_VALUE"""),64.87)</f>
        <v>64.87</v>
      </c>
      <c r="E4757" s="17"/>
      <c r="M4757" s="17"/>
      <c r="P4757" s="17"/>
    </row>
    <row r="4758">
      <c r="B4758" s="11">
        <f>IFERROR(__xludf.DUMMYFUNCTION("""COMPUTED_VALUE"""),39125.666666666664)</f>
        <v>39125.66667</v>
      </c>
      <c r="C4758" s="9">
        <f>IFERROR(__xludf.DUMMYFUNCTION("""COMPUTED_VALUE"""),63.55)</f>
        <v>63.55</v>
      </c>
      <c r="E4758" s="17"/>
      <c r="M4758" s="17"/>
      <c r="P4758" s="17"/>
    </row>
    <row r="4759">
      <c r="B4759" s="11">
        <f>IFERROR(__xludf.DUMMYFUNCTION("""COMPUTED_VALUE"""),39122.666666666664)</f>
        <v>39122.66667</v>
      </c>
      <c r="C4759" s="9">
        <f>IFERROR(__xludf.DUMMYFUNCTION("""COMPUTED_VALUE"""),64.73)</f>
        <v>64.73</v>
      </c>
      <c r="E4759" s="17"/>
      <c r="M4759" s="17"/>
      <c r="P4759" s="17"/>
    </row>
    <row r="4760">
      <c r="B4760" s="11">
        <f>IFERROR(__xludf.DUMMYFUNCTION("""COMPUTED_VALUE"""),39121.666666666664)</f>
        <v>39121.66667</v>
      </c>
      <c r="C4760" s="9">
        <f>IFERROR(__xludf.DUMMYFUNCTION("""COMPUTED_VALUE"""),64.7)</f>
        <v>64.7</v>
      </c>
      <c r="E4760" s="17"/>
      <c r="M4760" s="17"/>
      <c r="P4760" s="17"/>
    </row>
    <row r="4761">
      <c r="B4761" s="11">
        <f>IFERROR(__xludf.DUMMYFUNCTION("""COMPUTED_VALUE"""),39120.666666666664)</f>
        <v>39120.66667</v>
      </c>
      <c r="C4761" s="9">
        <f>IFERROR(__xludf.DUMMYFUNCTION("""COMPUTED_VALUE"""),64.62)</f>
        <v>64.62</v>
      </c>
      <c r="E4761" s="17"/>
      <c r="M4761" s="17"/>
      <c r="P4761" s="17"/>
    </row>
    <row r="4762">
      <c r="B4762" s="11">
        <f>IFERROR(__xludf.DUMMYFUNCTION("""COMPUTED_VALUE"""),39119.666666666664)</f>
        <v>39119.66667</v>
      </c>
      <c r="C4762" s="9">
        <f>IFERROR(__xludf.DUMMYFUNCTION("""COMPUTED_VALUE"""),61.89)</f>
        <v>61.89</v>
      </c>
      <c r="E4762" s="17"/>
      <c r="M4762" s="17"/>
      <c r="P4762" s="17"/>
    </row>
    <row r="4763">
      <c r="B4763" s="11">
        <f>IFERROR(__xludf.DUMMYFUNCTION("""COMPUTED_VALUE"""),39118.666666666664)</f>
        <v>39118.66667</v>
      </c>
      <c r="C4763" s="9">
        <f>IFERROR(__xludf.DUMMYFUNCTION("""COMPUTED_VALUE"""),61.56)</f>
        <v>61.56</v>
      </c>
      <c r="E4763" s="17"/>
      <c r="M4763" s="17"/>
      <c r="P4763" s="17"/>
    </row>
    <row r="4764">
      <c r="B4764" s="11">
        <f>IFERROR(__xludf.DUMMYFUNCTION("""COMPUTED_VALUE"""),39115.666666666664)</f>
        <v>39115.66667</v>
      </c>
      <c r="C4764" s="9">
        <f>IFERROR(__xludf.DUMMYFUNCTION("""COMPUTED_VALUE"""),61.61)</f>
        <v>61.61</v>
      </c>
      <c r="E4764" s="17"/>
      <c r="M4764" s="17"/>
      <c r="P4764" s="17"/>
    </row>
    <row r="4765">
      <c r="B4765" s="11">
        <f>IFERROR(__xludf.DUMMYFUNCTION("""COMPUTED_VALUE"""),39114.666666666664)</f>
        <v>39114.66667</v>
      </c>
      <c r="C4765" s="9">
        <f>IFERROR(__xludf.DUMMYFUNCTION("""COMPUTED_VALUE"""),61.4)</f>
        <v>61.4</v>
      </c>
      <c r="E4765" s="17"/>
      <c r="M4765" s="17"/>
      <c r="P4765" s="17"/>
    </row>
    <row r="4766">
      <c r="B4766" s="11">
        <f>IFERROR(__xludf.DUMMYFUNCTION("""COMPUTED_VALUE"""),39113.666666666664)</f>
        <v>39113.66667</v>
      </c>
      <c r="C4766" s="9">
        <f>IFERROR(__xludf.DUMMYFUNCTION("""COMPUTED_VALUE"""),60.85)</f>
        <v>60.85</v>
      </c>
      <c r="E4766" s="17"/>
      <c r="M4766" s="17"/>
      <c r="P4766" s="17"/>
    </row>
    <row r="4767">
      <c r="B4767" s="11">
        <f>IFERROR(__xludf.DUMMYFUNCTION("""COMPUTED_VALUE"""),39112.666666666664)</f>
        <v>39112.66667</v>
      </c>
      <c r="C4767" s="9">
        <f>IFERROR(__xludf.DUMMYFUNCTION("""COMPUTED_VALUE"""),60.49)</f>
        <v>60.49</v>
      </c>
      <c r="E4767" s="17"/>
      <c r="M4767" s="17"/>
      <c r="P4767" s="17"/>
    </row>
    <row r="4768">
      <c r="B4768" s="11">
        <f>IFERROR(__xludf.DUMMYFUNCTION("""COMPUTED_VALUE"""),39111.666666666664)</f>
        <v>39111.66667</v>
      </c>
      <c r="C4768" s="9">
        <f>IFERROR(__xludf.DUMMYFUNCTION("""COMPUTED_VALUE"""),60.58)</f>
        <v>60.58</v>
      </c>
      <c r="E4768" s="17"/>
      <c r="M4768" s="17"/>
      <c r="P4768" s="17"/>
    </row>
    <row r="4769">
      <c r="B4769" s="11">
        <f>IFERROR(__xludf.DUMMYFUNCTION("""COMPUTED_VALUE"""),39108.666666666664)</f>
        <v>39108.66667</v>
      </c>
      <c r="C4769" s="9">
        <f>IFERROR(__xludf.DUMMYFUNCTION("""COMPUTED_VALUE"""),60.35)</f>
        <v>60.35</v>
      </c>
      <c r="E4769" s="17"/>
      <c r="M4769" s="17"/>
      <c r="P4769" s="17"/>
    </row>
    <row r="4770">
      <c r="B4770" s="11">
        <f>IFERROR(__xludf.DUMMYFUNCTION("""COMPUTED_VALUE"""),39107.666666666664)</f>
        <v>39107.66667</v>
      </c>
      <c r="C4770" s="9">
        <f>IFERROR(__xludf.DUMMYFUNCTION("""COMPUTED_VALUE"""),60.62)</f>
        <v>60.62</v>
      </c>
      <c r="E4770" s="17"/>
      <c r="M4770" s="17"/>
      <c r="P4770" s="17"/>
    </row>
    <row r="4771">
      <c r="B4771" s="11">
        <f>IFERROR(__xludf.DUMMYFUNCTION("""COMPUTED_VALUE"""),39106.666666666664)</f>
        <v>39106.66667</v>
      </c>
      <c r="C4771" s="9">
        <f>IFERROR(__xludf.DUMMYFUNCTION("""COMPUTED_VALUE"""),60.55)</f>
        <v>60.55</v>
      </c>
      <c r="E4771" s="17"/>
      <c r="M4771" s="17"/>
      <c r="P4771" s="17"/>
    </row>
    <row r="4772">
      <c r="B4772" s="11">
        <f>IFERROR(__xludf.DUMMYFUNCTION("""COMPUTED_VALUE"""),39105.666666666664)</f>
        <v>39105.66667</v>
      </c>
      <c r="C4772" s="9">
        <f>IFERROR(__xludf.DUMMYFUNCTION("""COMPUTED_VALUE"""),59.46)</f>
        <v>59.46</v>
      </c>
      <c r="E4772" s="17"/>
      <c r="M4772" s="17"/>
      <c r="P4772" s="17"/>
    </row>
    <row r="4773">
      <c r="B4773" s="11">
        <f>IFERROR(__xludf.DUMMYFUNCTION("""COMPUTED_VALUE"""),39104.666666666664)</f>
        <v>39104.66667</v>
      </c>
      <c r="C4773" s="9">
        <f>IFERROR(__xludf.DUMMYFUNCTION("""COMPUTED_VALUE"""),58.87)</f>
        <v>58.87</v>
      </c>
      <c r="E4773" s="17"/>
      <c r="M4773" s="17"/>
      <c r="P4773" s="17"/>
    </row>
    <row r="4774">
      <c r="B4774" s="11">
        <f>IFERROR(__xludf.DUMMYFUNCTION("""COMPUTED_VALUE"""),39101.666666666664)</f>
        <v>39101.66667</v>
      </c>
      <c r="C4774" s="9">
        <f>IFERROR(__xludf.DUMMYFUNCTION("""COMPUTED_VALUE"""),60.0)</f>
        <v>60</v>
      </c>
      <c r="E4774" s="17"/>
      <c r="M4774" s="17"/>
      <c r="P4774" s="17"/>
    </row>
    <row r="4775">
      <c r="B4775" s="11">
        <f>IFERROR(__xludf.DUMMYFUNCTION("""COMPUTED_VALUE"""),39100.666666666664)</f>
        <v>39100.66667</v>
      </c>
      <c r="C4775" s="9">
        <f>IFERROR(__xludf.DUMMYFUNCTION("""COMPUTED_VALUE"""),59.35)</f>
        <v>59.35</v>
      </c>
      <c r="E4775" s="17"/>
      <c r="M4775" s="17"/>
      <c r="P4775" s="17"/>
    </row>
    <row r="4776">
      <c r="B4776" s="11">
        <f>IFERROR(__xludf.DUMMYFUNCTION("""COMPUTED_VALUE"""),39099.666666666664)</f>
        <v>39099.66667</v>
      </c>
      <c r="C4776" s="9">
        <f>IFERROR(__xludf.DUMMYFUNCTION("""COMPUTED_VALUE"""),59.76)</f>
        <v>59.76</v>
      </c>
      <c r="E4776" s="17"/>
      <c r="M4776" s="17"/>
      <c r="P4776" s="17"/>
    </row>
    <row r="4777">
      <c r="B4777" s="11">
        <f>IFERROR(__xludf.DUMMYFUNCTION("""COMPUTED_VALUE"""),39098.666666666664)</f>
        <v>39098.66667</v>
      </c>
      <c r="C4777" s="9">
        <f>IFERROR(__xludf.DUMMYFUNCTION("""COMPUTED_VALUE"""),59.91)</f>
        <v>59.91</v>
      </c>
      <c r="E4777" s="17"/>
      <c r="M4777" s="17"/>
      <c r="P4777" s="17"/>
    </row>
    <row r="4778">
      <c r="B4778" s="11">
        <f>IFERROR(__xludf.DUMMYFUNCTION("""COMPUTED_VALUE"""),39094.666666666664)</f>
        <v>39094.66667</v>
      </c>
      <c r="C4778" s="9">
        <f>IFERROR(__xludf.DUMMYFUNCTION("""COMPUTED_VALUE"""),59.24)</f>
        <v>59.24</v>
      </c>
      <c r="E4778" s="17"/>
      <c r="M4778" s="17"/>
      <c r="P4778" s="17"/>
    </row>
    <row r="4779">
      <c r="B4779" s="11">
        <f>IFERROR(__xludf.DUMMYFUNCTION("""COMPUTED_VALUE"""),39093.666666666664)</f>
        <v>39093.66667</v>
      </c>
      <c r="C4779" s="9">
        <f>IFERROR(__xludf.DUMMYFUNCTION("""COMPUTED_VALUE"""),58.97)</f>
        <v>58.97</v>
      </c>
      <c r="E4779" s="17"/>
      <c r="M4779" s="17"/>
      <c r="P4779" s="17"/>
    </row>
    <row r="4780">
      <c r="B4780" s="11">
        <f>IFERROR(__xludf.DUMMYFUNCTION("""COMPUTED_VALUE"""),39092.666666666664)</f>
        <v>39092.66667</v>
      </c>
      <c r="C4780" s="9">
        <f>IFERROR(__xludf.DUMMYFUNCTION("""COMPUTED_VALUE"""),58.12)</f>
        <v>58.12</v>
      </c>
      <c r="E4780" s="17"/>
      <c r="M4780" s="17"/>
      <c r="P4780" s="17"/>
    </row>
    <row r="4781">
      <c r="B4781" s="11">
        <f>IFERROR(__xludf.DUMMYFUNCTION("""COMPUTED_VALUE"""),39091.666666666664)</f>
        <v>39091.66667</v>
      </c>
      <c r="C4781" s="9">
        <f>IFERROR(__xludf.DUMMYFUNCTION("""COMPUTED_VALUE"""),57.28)</f>
        <v>57.28</v>
      </c>
      <c r="E4781" s="17"/>
      <c r="M4781" s="17"/>
      <c r="P4781" s="17"/>
    </row>
    <row r="4782">
      <c r="B4782" s="11">
        <f>IFERROR(__xludf.DUMMYFUNCTION("""COMPUTED_VALUE"""),39090.666666666664)</f>
        <v>39090.66667</v>
      </c>
      <c r="C4782" s="9">
        <f>IFERROR(__xludf.DUMMYFUNCTION("""COMPUTED_VALUE"""),56.58)</f>
        <v>56.58</v>
      </c>
      <c r="E4782" s="17"/>
      <c r="M4782" s="17"/>
      <c r="P4782" s="17"/>
    </row>
    <row r="4783">
      <c r="B4783" s="11">
        <f>IFERROR(__xludf.DUMMYFUNCTION("""COMPUTED_VALUE"""),39087.666666666664)</f>
        <v>39087.66667</v>
      </c>
      <c r="C4783" s="9">
        <f>IFERROR(__xludf.DUMMYFUNCTION("""COMPUTED_VALUE"""),56.75)</f>
        <v>56.75</v>
      </c>
      <c r="E4783" s="17"/>
      <c r="M4783" s="17"/>
      <c r="P4783" s="17"/>
    </row>
    <row r="4784">
      <c r="B4784" s="11">
        <f>IFERROR(__xludf.DUMMYFUNCTION("""COMPUTED_VALUE"""),39086.666666666664)</f>
        <v>39086.66667</v>
      </c>
      <c r="C4784" s="9">
        <f>IFERROR(__xludf.DUMMYFUNCTION("""COMPUTED_VALUE"""),57.98)</f>
        <v>57.98</v>
      </c>
      <c r="E4784" s="17"/>
      <c r="M4784" s="17"/>
      <c r="P4784" s="17"/>
    </row>
    <row r="4785">
      <c r="B4785" s="11">
        <f>IFERROR(__xludf.DUMMYFUNCTION("""COMPUTED_VALUE"""),39085.666666666664)</f>
        <v>39085.66667</v>
      </c>
      <c r="C4785" s="9">
        <f>IFERROR(__xludf.DUMMYFUNCTION("""COMPUTED_VALUE"""),58.42)</f>
        <v>58.42</v>
      </c>
      <c r="E4785" s="17"/>
      <c r="M4785" s="17"/>
      <c r="P4785" s="17"/>
    </row>
    <row r="4786">
      <c r="B4786" s="11">
        <f>IFERROR(__xludf.DUMMYFUNCTION("""COMPUTED_VALUE"""),39080.666666666664)</f>
        <v>39080.66667</v>
      </c>
      <c r="C4786" s="9">
        <f>IFERROR(__xludf.DUMMYFUNCTION("""COMPUTED_VALUE"""),58.61)</f>
        <v>58.61</v>
      </c>
      <c r="E4786" s="17"/>
      <c r="M4786" s="17"/>
      <c r="P4786" s="17"/>
    </row>
    <row r="4787">
      <c r="B4787" s="11">
        <f>IFERROR(__xludf.DUMMYFUNCTION("""COMPUTED_VALUE"""),39079.666666666664)</f>
        <v>39079.66667</v>
      </c>
      <c r="C4787" s="9">
        <f>IFERROR(__xludf.DUMMYFUNCTION("""COMPUTED_VALUE"""),58.3)</f>
        <v>58.3</v>
      </c>
      <c r="E4787" s="17"/>
      <c r="M4787" s="17"/>
      <c r="P4787" s="17"/>
    </row>
    <row r="4788">
      <c r="B4788" s="11">
        <f>IFERROR(__xludf.DUMMYFUNCTION("""COMPUTED_VALUE"""),39078.666666666664)</f>
        <v>39078.66667</v>
      </c>
      <c r="C4788" s="9">
        <f>IFERROR(__xludf.DUMMYFUNCTION("""COMPUTED_VALUE"""),58.13)</f>
        <v>58.13</v>
      </c>
      <c r="E4788" s="17"/>
      <c r="M4788" s="17"/>
      <c r="P4788" s="17"/>
    </row>
    <row r="4789">
      <c r="B4789" s="11">
        <f>IFERROR(__xludf.DUMMYFUNCTION("""COMPUTED_VALUE"""),39077.666666666664)</f>
        <v>39077.66667</v>
      </c>
      <c r="C4789" s="9">
        <f>IFERROR(__xludf.DUMMYFUNCTION("""COMPUTED_VALUE"""),57.96)</f>
        <v>57.96</v>
      </c>
      <c r="E4789" s="17"/>
      <c r="M4789" s="17"/>
      <c r="P4789" s="17"/>
    </row>
    <row r="4790">
      <c r="B4790" s="11">
        <f>IFERROR(__xludf.DUMMYFUNCTION("""COMPUTED_VALUE"""),39073.666666666664)</f>
        <v>39073.66667</v>
      </c>
      <c r="C4790" s="9">
        <f>IFERROR(__xludf.DUMMYFUNCTION("""COMPUTED_VALUE"""),57.45)</f>
        <v>57.45</v>
      </c>
      <c r="E4790" s="17"/>
      <c r="M4790" s="17"/>
      <c r="P4790" s="17"/>
    </row>
    <row r="4791">
      <c r="B4791" s="11">
        <f>IFERROR(__xludf.DUMMYFUNCTION("""COMPUTED_VALUE"""),39072.666666666664)</f>
        <v>39072.66667</v>
      </c>
      <c r="C4791" s="9">
        <f>IFERROR(__xludf.DUMMYFUNCTION("""COMPUTED_VALUE"""),58.45)</f>
        <v>58.45</v>
      </c>
      <c r="E4791" s="17"/>
      <c r="M4791" s="17"/>
      <c r="P4791" s="17"/>
    </row>
    <row r="4792">
      <c r="B4792" s="11">
        <f>IFERROR(__xludf.DUMMYFUNCTION("""COMPUTED_VALUE"""),39071.666666666664)</f>
        <v>39071.66667</v>
      </c>
      <c r="C4792" s="9">
        <f>IFERROR(__xludf.DUMMYFUNCTION("""COMPUTED_VALUE"""),59.01)</f>
        <v>59.01</v>
      </c>
      <c r="E4792" s="17"/>
      <c r="M4792" s="17"/>
      <c r="P4792" s="17"/>
    </row>
    <row r="4793">
      <c r="B4793" s="11">
        <f>IFERROR(__xludf.DUMMYFUNCTION("""COMPUTED_VALUE"""),39070.666666666664)</f>
        <v>39070.66667</v>
      </c>
      <c r="C4793" s="9">
        <f>IFERROR(__xludf.DUMMYFUNCTION("""COMPUTED_VALUE"""),59.4)</f>
        <v>59.4</v>
      </c>
      <c r="E4793" s="17"/>
      <c r="M4793" s="17"/>
      <c r="P4793" s="17"/>
    </row>
    <row r="4794">
      <c r="B4794" s="11">
        <f>IFERROR(__xludf.DUMMYFUNCTION("""COMPUTED_VALUE"""),39069.666666666664)</f>
        <v>39069.66667</v>
      </c>
      <c r="C4794" s="9">
        <f>IFERROR(__xludf.DUMMYFUNCTION("""COMPUTED_VALUE"""),59.96)</f>
        <v>59.96</v>
      </c>
      <c r="E4794" s="17"/>
      <c r="M4794" s="17"/>
      <c r="P4794" s="17"/>
    </row>
    <row r="4795">
      <c r="B4795" s="11">
        <f>IFERROR(__xludf.DUMMYFUNCTION("""COMPUTED_VALUE"""),39066.666666666664)</f>
        <v>39066.66667</v>
      </c>
      <c r="C4795" s="9">
        <f>IFERROR(__xludf.DUMMYFUNCTION("""COMPUTED_VALUE"""),61.05)</f>
        <v>61.05</v>
      </c>
      <c r="E4795" s="17"/>
      <c r="M4795" s="17"/>
      <c r="P4795" s="17"/>
    </row>
    <row r="4796">
      <c r="B4796" s="11">
        <f>IFERROR(__xludf.DUMMYFUNCTION("""COMPUTED_VALUE"""),39065.666666666664)</f>
        <v>39065.66667</v>
      </c>
      <c r="C4796" s="9">
        <f>IFERROR(__xludf.DUMMYFUNCTION("""COMPUTED_VALUE"""),61.9)</f>
        <v>61.9</v>
      </c>
      <c r="E4796" s="17"/>
      <c r="M4796" s="17"/>
      <c r="P4796" s="17"/>
    </row>
    <row r="4797">
      <c r="B4797" s="11">
        <f>IFERROR(__xludf.DUMMYFUNCTION("""COMPUTED_VALUE"""),39064.666666666664)</f>
        <v>39064.66667</v>
      </c>
      <c r="C4797" s="9">
        <f>IFERROR(__xludf.DUMMYFUNCTION("""COMPUTED_VALUE"""),61.84)</f>
        <v>61.84</v>
      </c>
      <c r="E4797" s="17"/>
      <c r="M4797" s="17"/>
      <c r="P4797" s="17"/>
    </row>
    <row r="4798">
      <c r="B4798" s="11">
        <f>IFERROR(__xludf.DUMMYFUNCTION("""COMPUTED_VALUE"""),39063.666666666664)</f>
        <v>39063.66667</v>
      </c>
      <c r="C4798" s="9">
        <f>IFERROR(__xludf.DUMMYFUNCTION("""COMPUTED_VALUE"""),62.25)</f>
        <v>62.25</v>
      </c>
      <c r="E4798" s="17"/>
      <c r="M4798" s="17"/>
      <c r="P4798" s="17"/>
    </row>
    <row r="4799">
      <c r="B4799" s="11">
        <f>IFERROR(__xludf.DUMMYFUNCTION("""COMPUTED_VALUE"""),39062.666666666664)</f>
        <v>39062.66667</v>
      </c>
      <c r="C4799" s="9">
        <f>IFERROR(__xludf.DUMMYFUNCTION("""COMPUTED_VALUE"""),62.2)</f>
        <v>62.2</v>
      </c>
      <c r="E4799" s="17"/>
      <c r="M4799" s="17"/>
      <c r="P4799" s="17"/>
    </row>
    <row r="4800">
      <c r="B4800" s="11">
        <f>IFERROR(__xludf.DUMMYFUNCTION("""COMPUTED_VALUE"""),39059.666666666664)</f>
        <v>39059.66667</v>
      </c>
      <c r="C4800" s="9">
        <f>IFERROR(__xludf.DUMMYFUNCTION("""COMPUTED_VALUE"""),61.88)</f>
        <v>61.88</v>
      </c>
      <c r="E4800" s="17"/>
      <c r="M4800" s="17"/>
      <c r="P4800" s="17"/>
    </row>
    <row r="4801">
      <c r="B4801" s="11">
        <f>IFERROR(__xludf.DUMMYFUNCTION("""COMPUTED_VALUE"""),39058.666666666664)</f>
        <v>39058.66667</v>
      </c>
      <c r="C4801" s="9">
        <f>IFERROR(__xludf.DUMMYFUNCTION("""COMPUTED_VALUE"""),61.67)</f>
        <v>61.67</v>
      </c>
      <c r="E4801" s="17"/>
      <c r="M4801" s="17"/>
      <c r="P4801" s="17"/>
    </row>
    <row r="4802">
      <c r="B4802" s="11">
        <f>IFERROR(__xludf.DUMMYFUNCTION("""COMPUTED_VALUE"""),39057.666666666664)</f>
        <v>39057.66667</v>
      </c>
      <c r="C4802" s="9">
        <f>IFERROR(__xludf.DUMMYFUNCTION("""COMPUTED_VALUE"""),62.02)</f>
        <v>62.02</v>
      </c>
      <c r="E4802" s="17"/>
      <c r="M4802" s="17"/>
      <c r="P4802" s="17"/>
    </row>
    <row r="4803">
      <c r="B4803" s="11">
        <f>IFERROR(__xludf.DUMMYFUNCTION("""COMPUTED_VALUE"""),39056.666666666664)</f>
        <v>39056.66667</v>
      </c>
      <c r="C4803" s="9">
        <f>IFERROR(__xludf.DUMMYFUNCTION("""COMPUTED_VALUE"""),62.55)</f>
        <v>62.55</v>
      </c>
      <c r="E4803" s="17"/>
      <c r="M4803" s="17"/>
      <c r="P4803" s="17"/>
    </row>
    <row r="4804">
      <c r="B4804" s="11">
        <f>IFERROR(__xludf.DUMMYFUNCTION("""COMPUTED_VALUE"""),39055.666666666664)</f>
        <v>39055.66667</v>
      </c>
      <c r="C4804" s="9">
        <f>IFERROR(__xludf.DUMMYFUNCTION("""COMPUTED_VALUE"""),62.77)</f>
        <v>62.77</v>
      </c>
      <c r="E4804" s="17"/>
      <c r="M4804" s="17"/>
      <c r="P4804" s="17"/>
    </row>
    <row r="4805">
      <c r="B4805" s="11">
        <f>IFERROR(__xludf.DUMMYFUNCTION("""COMPUTED_VALUE"""),39052.666666666664)</f>
        <v>39052.66667</v>
      </c>
      <c r="C4805" s="9">
        <f>IFERROR(__xludf.DUMMYFUNCTION("""COMPUTED_VALUE"""),61.35)</f>
        <v>61.35</v>
      </c>
      <c r="E4805" s="17"/>
      <c r="M4805" s="17"/>
      <c r="P4805" s="17"/>
    </row>
    <row r="4806">
      <c r="B4806" s="11">
        <f>IFERROR(__xludf.DUMMYFUNCTION("""COMPUTED_VALUE"""),39051.666666666664)</f>
        <v>39051.66667</v>
      </c>
      <c r="C4806" s="9">
        <f>IFERROR(__xludf.DUMMYFUNCTION("""COMPUTED_VALUE"""),61.27)</f>
        <v>61.27</v>
      </c>
      <c r="E4806" s="17"/>
      <c r="M4806" s="17"/>
      <c r="P4806" s="17"/>
    </row>
    <row r="4807">
      <c r="B4807" s="11">
        <f>IFERROR(__xludf.DUMMYFUNCTION("""COMPUTED_VALUE"""),39050.666666666664)</f>
        <v>39050.66667</v>
      </c>
      <c r="C4807" s="9">
        <f>IFERROR(__xludf.DUMMYFUNCTION("""COMPUTED_VALUE"""),60.39)</f>
        <v>60.39</v>
      </c>
      <c r="E4807" s="17"/>
      <c r="M4807" s="17"/>
      <c r="P4807" s="17"/>
    </row>
    <row r="4808">
      <c r="B4808" s="11">
        <f>IFERROR(__xludf.DUMMYFUNCTION("""COMPUTED_VALUE"""),39049.666666666664)</f>
        <v>39049.66667</v>
      </c>
      <c r="C4808" s="9">
        <f>IFERROR(__xludf.DUMMYFUNCTION("""COMPUTED_VALUE"""),59.77)</f>
        <v>59.77</v>
      </c>
      <c r="E4808" s="17"/>
      <c r="M4808" s="17"/>
      <c r="P4808" s="17"/>
    </row>
    <row r="4809">
      <c r="B4809" s="11">
        <f>IFERROR(__xludf.DUMMYFUNCTION("""COMPUTED_VALUE"""),39048.666666666664)</f>
        <v>39048.66667</v>
      </c>
      <c r="C4809" s="9">
        <f>IFERROR(__xludf.DUMMYFUNCTION("""COMPUTED_VALUE"""),59.84)</f>
        <v>59.84</v>
      </c>
      <c r="E4809" s="17"/>
      <c r="M4809" s="17"/>
      <c r="P4809" s="17"/>
    </row>
    <row r="4810">
      <c r="B4810" s="11">
        <f>IFERROR(__xludf.DUMMYFUNCTION("""COMPUTED_VALUE"""),39045.666666666664)</f>
        <v>39045.66667</v>
      </c>
      <c r="C4810" s="9">
        <f>IFERROR(__xludf.DUMMYFUNCTION("""COMPUTED_VALUE"""),61.92)</f>
        <v>61.92</v>
      </c>
      <c r="E4810" s="17"/>
      <c r="M4810" s="17"/>
      <c r="P4810" s="17"/>
    </row>
    <row r="4811">
      <c r="B4811" s="11">
        <f>IFERROR(__xludf.DUMMYFUNCTION("""COMPUTED_VALUE"""),39043.666666666664)</f>
        <v>39043.66667</v>
      </c>
      <c r="C4811" s="9">
        <f>IFERROR(__xludf.DUMMYFUNCTION("""COMPUTED_VALUE"""),61.4)</f>
        <v>61.4</v>
      </c>
      <c r="E4811" s="17"/>
      <c r="M4811" s="17"/>
      <c r="P4811" s="17"/>
    </row>
    <row r="4812">
      <c r="B4812" s="11">
        <f>IFERROR(__xludf.DUMMYFUNCTION("""COMPUTED_VALUE"""),39042.666666666664)</f>
        <v>39042.66667</v>
      </c>
      <c r="C4812" s="9">
        <f>IFERROR(__xludf.DUMMYFUNCTION("""COMPUTED_VALUE"""),61.0)</f>
        <v>61</v>
      </c>
      <c r="E4812" s="17"/>
      <c r="M4812" s="17"/>
      <c r="P4812" s="17"/>
    </row>
    <row r="4813">
      <c r="B4813" s="11">
        <f>IFERROR(__xludf.DUMMYFUNCTION("""COMPUTED_VALUE"""),39041.666666666664)</f>
        <v>39041.66667</v>
      </c>
      <c r="C4813" s="9">
        <f>IFERROR(__xludf.DUMMYFUNCTION("""COMPUTED_VALUE"""),61.31)</f>
        <v>61.31</v>
      </c>
      <c r="E4813" s="17"/>
      <c r="M4813" s="17"/>
      <c r="P4813" s="17"/>
    </row>
    <row r="4814">
      <c r="B4814" s="11">
        <f>IFERROR(__xludf.DUMMYFUNCTION("""COMPUTED_VALUE"""),39038.666666666664)</f>
        <v>39038.66667</v>
      </c>
      <c r="C4814" s="9">
        <f>IFERROR(__xludf.DUMMYFUNCTION("""COMPUTED_VALUE"""),59.05)</f>
        <v>59.05</v>
      </c>
      <c r="E4814" s="17"/>
      <c r="M4814" s="17"/>
      <c r="P4814" s="17"/>
    </row>
    <row r="4815">
      <c r="B4815" s="11">
        <f>IFERROR(__xludf.DUMMYFUNCTION("""COMPUTED_VALUE"""),39037.666666666664)</f>
        <v>39037.66667</v>
      </c>
      <c r="C4815" s="9">
        <f>IFERROR(__xludf.DUMMYFUNCTION("""COMPUTED_VALUE"""),59.0)</f>
        <v>59</v>
      </c>
      <c r="E4815" s="17"/>
      <c r="M4815" s="17"/>
      <c r="P4815" s="17"/>
    </row>
    <row r="4816">
      <c r="B4816" s="11">
        <f>IFERROR(__xludf.DUMMYFUNCTION("""COMPUTED_VALUE"""),39036.666666666664)</f>
        <v>39036.66667</v>
      </c>
      <c r="C4816" s="9">
        <f>IFERROR(__xludf.DUMMYFUNCTION("""COMPUTED_VALUE"""),58.52)</f>
        <v>58.52</v>
      </c>
      <c r="E4816" s="17"/>
      <c r="M4816" s="17"/>
      <c r="P4816" s="17"/>
    </row>
    <row r="4817">
      <c r="B4817" s="11">
        <f>IFERROR(__xludf.DUMMYFUNCTION("""COMPUTED_VALUE"""),39035.666666666664)</f>
        <v>39035.66667</v>
      </c>
      <c r="C4817" s="9">
        <f>IFERROR(__xludf.DUMMYFUNCTION("""COMPUTED_VALUE"""),58.4)</f>
        <v>58.4</v>
      </c>
      <c r="E4817" s="17"/>
      <c r="M4817" s="17"/>
      <c r="P4817" s="17"/>
    </row>
    <row r="4818">
      <c r="B4818" s="11">
        <f>IFERROR(__xludf.DUMMYFUNCTION("""COMPUTED_VALUE"""),39034.666666666664)</f>
        <v>39034.66667</v>
      </c>
      <c r="C4818" s="9">
        <f>IFERROR(__xludf.DUMMYFUNCTION("""COMPUTED_VALUE"""),57.63)</f>
        <v>57.63</v>
      </c>
      <c r="E4818" s="17"/>
      <c r="M4818" s="17"/>
      <c r="P4818" s="17"/>
    </row>
    <row r="4819">
      <c r="B4819" s="11">
        <f>IFERROR(__xludf.DUMMYFUNCTION("""COMPUTED_VALUE"""),39031.666666666664)</f>
        <v>39031.66667</v>
      </c>
      <c r="C4819" s="9">
        <f>IFERROR(__xludf.DUMMYFUNCTION("""COMPUTED_VALUE"""),57.44)</f>
        <v>57.44</v>
      </c>
      <c r="E4819" s="17"/>
      <c r="M4819" s="17"/>
      <c r="P4819" s="17"/>
    </row>
    <row r="4820">
      <c r="B4820" s="11">
        <f>IFERROR(__xludf.DUMMYFUNCTION("""COMPUTED_VALUE"""),39030.666666666664)</f>
        <v>39030.66667</v>
      </c>
      <c r="C4820" s="9">
        <f>IFERROR(__xludf.DUMMYFUNCTION("""COMPUTED_VALUE"""),57.66)</f>
        <v>57.66</v>
      </c>
      <c r="E4820" s="17"/>
      <c r="M4820" s="17"/>
      <c r="P4820" s="17"/>
    </row>
    <row r="4821">
      <c r="B4821" s="11">
        <f>IFERROR(__xludf.DUMMYFUNCTION("""COMPUTED_VALUE"""),39029.666666666664)</f>
        <v>39029.66667</v>
      </c>
      <c r="C4821" s="9">
        <f>IFERROR(__xludf.DUMMYFUNCTION("""COMPUTED_VALUE"""),57.73)</f>
        <v>57.73</v>
      </c>
      <c r="E4821" s="17"/>
      <c r="M4821" s="17"/>
      <c r="P4821" s="17"/>
    </row>
    <row r="4822">
      <c r="B4822" s="11">
        <f>IFERROR(__xludf.DUMMYFUNCTION("""COMPUTED_VALUE"""),39028.666666666664)</f>
        <v>39028.66667</v>
      </c>
      <c r="C4822" s="9">
        <f>IFERROR(__xludf.DUMMYFUNCTION("""COMPUTED_VALUE"""),58.0)</f>
        <v>58</v>
      </c>
      <c r="E4822" s="17"/>
      <c r="M4822" s="17"/>
      <c r="P4822" s="17"/>
    </row>
    <row r="4823">
      <c r="B4823" s="11">
        <f>IFERROR(__xludf.DUMMYFUNCTION("""COMPUTED_VALUE"""),39027.666666666664)</f>
        <v>39027.66667</v>
      </c>
      <c r="C4823" s="9">
        <f>IFERROR(__xludf.DUMMYFUNCTION("""COMPUTED_VALUE"""),58.4)</f>
        <v>58.4</v>
      </c>
      <c r="E4823" s="17"/>
      <c r="M4823" s="17"/>
      <c r="P4823" s="17"/>
    </row>
    <row r="4824">
      <c r="B4824" s="11">
        <f>IFERROR(__xludf.DUMMYFUNCTION("""COMPUTED_VALUE"""),39024.666666666664)</f>
        <v>39024.66667</v>
      </c>
      <c r="C4824" s="9">
        <f>IFERROR(__xludf.DUMMYFUNCTION("""COMPUTED_VALUE"""),57.81)</f>
        <v>57.81</v>
      </c>
      <c r="E4824" s="17"/>
      <c r="M4824" s="17"/>
      <c r="P4824" s="17"/>
    </row>
    <row r="4825">
      <c r="B4825" s="11">
        <f>IFERROR(__xludf.DUMMYFUNCTION("""COMPUTED_VALUE"""),39023.666666666664)</f>
        <v>39023.66667</v>
      </c>
      <c r="C4825" s="9">
        <f>IFERROR(__xludf.DUMMYFUNCTION("""COMPUTED_VALUE"""),57.98)</f>
        <v>57.98</v>
      </c>
      <c r="E4825" s="17"/>
      <c r="M4825" s="17"/>
      <c r="P4825" s="17"/>
    </row>
    <row r="4826">
      <c r="B4826" s="11">
        <f>IFERROR(__xludf.DUMMYFUNCTION("""COMPUTED_VALUE"""),39022.666666666664)</f>
        <v>39022.66667</v>
      </c>
      <c r="C4826" s="9">
        <f>IFERROR(__xludf.DUMMYFUNCTION("""COMPUTED_VALUE"""),57.83)</f>
        <v>57.83</v>
      </c>
      <c r="E4826" s="17"/>
      <c r="M4826" s="17"/>
      <c r="P4826" s="17"/>
    </row>
    <row r="4827">
      <c r="B4827" s="11">
        <f>IFERROR(__xludf.DUMMYFUNCTION("""COMPUTED_VALUE"""),39021.666666666664)</f>
        <v>39021.66667</v>
      </c>
      <c r="C4827" s="9">
        <f>IFERROR(__xludf.DUMMYFUNCTION("""COMPUTED_VALUE"""),58.41)</f>
        <v>58.41</v>
      </c>
      <c r="E4827" s="17"/>
      <c r="M4827" s="17"/>
      <c r="P4827" s="17"/>
    </row>
    <row r="4828">
      <c r="B4828" s="11">
        <f>IFERROR(__xludf.DUMMYFUNCTION("""COMPUTED_VALUE"""),39020.666666666664)</f>
        <v>39020.66667</v>
      </c>
      <c r="C4828" s="9">
        <f>IFERROR(__xludf.DUMMYFUNCTION("""COMPUTED_VALUE"""),58.18)</f>
        <v>58.18</v>
      </c>
      <c r="E4828" s="17"/>
      <c r="M4828" s="17"/>
      <c r="P4828" s="17"/>
    </row>
    <row r="4829">
      <c r="B4829" s="11">
        <f>IFERROR(__xludf.DUMMYFUNCTION("""COMPUTED_VALUE"""),39017.666666666664)</f>
        <v>39017.66667</v>
      </c>
      <c r="C4829" s="9">
        <f>IFERROR(__xludf.DUMMYFUNCTION("""COMPUTED_VALUE"""),57.4)</f>
        <v>57.4</v>
      </c>
      <c r="E4829" s="17"/>
      <c r="M4829" s="17"/>
      <c r="P4829" s="17"/>
    </row>
    <row r="4830">
      <c r="B4830" s="11">
        <f>IFERROR(__xludf.DUMMYFUNCTION("""COMPUTED_VALUE"""),39016.666666666664)</f>
        <v>39016.66667</v>
      </c>
      <c r="C4830" s="9">
        <f>IFERROR(__xludf.DUMMYFUNCTION("""COMPUTED_VALUE"""),57.82)</f>
        <v>57.82</v>
      </c>
      <c r="E4830" s="17"/>
      <c r="M4830" s="17"/>
      <c r="P4830" s="17"/>
    </row>
    <row r="4831">
      <c r="B4831" s="11">
        <f>IFERROR(__xludf.DUMMYFUNCTION("""COMPUTED_VALUE"""),39015.666666666664)</f>
        <v>39015.66667</v>
      </c>
      <c r="C4831" s="9">
        <f>IFERROR(__xludf.DUMMYFUNCTION("""COMPUTED_VALUE"""),57.34)</f>
        <v>57.34</v>
      </c>
      <c r="E4831" s="17"/>
      <c r="M4831" s="17"/>
      <c r="P4831" s="17"/>
    </row>
    <row r="4832">
      <c r="B4832" s="11">
        <f>IFERROR(__xludf.DUMMYFUNCTION("""COMPUTED_VALUE"""),39014.666666666664)</f>
        <v>39014.66667</v>
      </c>
      <c r="C4832" s="9">
        <f>IFERROR(__xludf.DUMMYFUNCTION("""COMPUTED_VALUE"""),56.97)</f>
        <v>56.97</v>
      </c>
      <c r="E4832" s="17"/>
      <c r="M4832" s="17"/>
      <c r="P4832" s="17"/>
    </row>
    <row r="4833">
      <c r="B4833" s="11">
        <f>IFERROR(__xludf.DUMMYFUNCTION("""COMPUTED_VALUE"""),39013.666666666664)</f>
        <v>39013.66667</v>
      </c>
      <c r="C4833" s="9">
        <f>IFERROR(__xludf.DUMMYFUNCTION("""COMPUTED_VALUE"""),57.15)</f>
        <v>57.15</v>
      </c>
      <c r="E4833" s="17"/>
      <c r="M4833" s="17"/>
      <c r="P4833" s="17"/>
    </row>
    <row r="4834">
      <c r="B4834" s="11">
        <f>IFERROR(__xludf.DUMMYFUNCTION("""COMPUTED_VALUE"""),39010.666666666664)</f>
        <v>39010.66667</v>
      </c>
      <c r="C4834" s="9">
        <f>IFERROR(__xludf.DUMMYFUNCTION("""COMPUTED_VALUE"""),57.35)</f>
        <v>57.35</v>
      </c>
      <c r="E4834" s="17"/>
      <c r="M4834" s="17"/>
      <c r="P4834" s="17"/>
    </row>
    <row r="4835">
      <c r="B4835" s="11">
        <f>IFERROR(__xludf.DUMMYFUNCTION("""COMPUTED_VALUE"""),39009.666666666664)</f>
        <v>39009.66667</v>
      </c>
      <c r="C4835" s="9">
        <f>IFERROR(__xludf.DUMMYFUNCTION("""COMPUTED_VALUE"""),57.55)</f>
        <v>57.55</v>
      </c>
      <c r="E4835" s="17"/>
      <c r="M4835" s="17"/>
      <c r="P4835" s="17"/>
    </row>
    <row r="4836">
      <c r="B4836" s="11">
        <f>IFERROR(__xludf.DUMMYFUNCTION("""COMPUTED_VALUE"""),39008.666666666664)</f>
        <v>39008.66667</v>
      </c>
      <c r="C4836" s="9">
        <f>IFERROR(__xludf.DUMMYFUNCTION("""COMPUTED_VALUE"""),58.0)</f>
        <v>58</v>
      </c>
      <c r="E4836" s="17"/>
      <c r="M4836" s="17"/>
      <c r="P4836" s="17"/>
    </row>
    <row r="4837">
      <c r="B4837" s="11">
        <f>IFERROR(__xludf.DUMMYFUNCTION("""COMPUTED_VALUE"""),39007.666666666664)</f>
        <v>39007.66667</v>
      </c>
      <c r="C4837" s="9">
        <f>IFERROR(__xludf.DUMMYFUNCTION("""COMPUTED_VALUE"""),57.3)</f>
        <v>57.3</v>
      </c>
      <c r="E4837" s="17"/>
      <c r="M4837" s="17"/>
      <c r="P4837" s="17"/>
    </row>
    <row r="4838">
      <c r="B4838" s="11">
        <f>IFERROR(__xludf.DUMMYFUNCTION("""COMPUTED_VALUE"""),39006.666666666664)</f>
        <v>39006.66667</v>
      </c>
      <c r="C4838" s="9">
        <f>IFERROR(__xludf.DUMMYFUNCTION("""COMPUTED_VALUE"""),57.39)</f>
        <v>57.39</v>
      </c>
      <c r="E4838" s="17"/>
      <c r="M4838" s="17"/>
      <c r="P4838" s="17"/>
    </row>
    <row r="4839">
      <c r="B4839" s="11">
        <f>IFERROR(__xludf.DUMMYFUNCTION("""COMPUTED_VALUE"""),39003.666666666664)</f>
        <v>39003.66667</v>
      </c>
      <c r="C4839" s="9">
        <f>IFERROR(__xludf.DUMMYFUNCTION("""COMPUTED_VALUE"""),57.43)</f>
        <v>57.43</v>
      </c>
      <c r="E4839" s="17"/>
      <c r="M4839" s="17"/>
      <c r="P4839" s="17"/>
    </row>
    <row r="4840">
      <c r="B4840" s="11">
        <f>IFERROR(__xludf.DUMMYFUNCTION("""COMPUTED_VALUE"""),39002.666666666664)</f>
        <v>39002.66667</v>
      </c>
      <c r="C4840" s="9">
        <f>IFERROR(__xludf.DUMMYFUNCTION("""COMPUTED_VALUE"""),56.52)</f>
        <v>56.52</v>
      </c>
      <c r="E4840" s="17"/>
      <c r="M4840" s="17"/>
      <c r="P4840" s="17"/>
    </row>
    <row r="4841">
      <c r="B4841" s="11">
        <f>IFERROR(__xludf.DUMMYFUNCTION("""COMPUTED_VALUE"""),39001.666666666664)</f>
        <v>39001.66667</v>
      </c>
      <c r="C4841" s="9">
        <f>IFERROR(__xludf.DUMMYFUNCTION("""COMPUTED_VALUE"""),55.56)</f>
        <v>55.56</v>
      </c>
      <c r="E4841" s="17"/>
      <c r="M4841" s="17"/>
      <c r="P4841" s="17"/>
    </row>
    <row r="4842">
      <c r="B4842" s="11">
        <f>IFERROR(__xludf.DUMMYFUNCTION("""COMPUTED_VALUE"""),39000.666666666664)</f>
        <v>39000.66667</v>
      </c>
      <c r="C4842" s="9">
        <f>IFERROR(__xludf.DUMMYFUNCTION("""COMPUTED_VALUE"""),55.27)</f>
        <v>55.27</v>
      </c>
      <c r="E4842" s="17"/>
      <c r="M4842" s="17"/>
      <c r="P4842" s="17"/>
    </row>
    <row r="4843">
      <c r="B4843" s="11">
        <f>IFERROR(__xludf.DUMMYFUNCTION("""COMPUTED_VALUE"""),38999.666666666664)</f>
        <v>38999.66667</v>
      </c>
      <c r="C4843" s="9">
        <f>IFERROR(__xludf.DUMMYFUNCTION("""COMPUTED_VALUE"""),55.25)</f>
        <v>55.25</v>
      </c>
      <c r="E4843" s="17"/>
      <c r="M4843" s="17"/>
      <c r="P4843" s="17"/>
    </row>
    <row r="4844">
      <c r="B4844" s="11">
        <f>IFERROR(__xludf.DUMMYFUNCTION("""COMPUTED_VALUE"""),38996.666666666664)</f>
        <v>38996.66667</v>
      </c>
      <c r="C4844" s="9">
        <f>IFERROR(__xludf.DUMMYFUNCTION("""COMPUTED_VALUE"""),54.89)</f>
        <v>54.89</v>
      </c>
      <c r="E4844" s="17"/>
      <c r="M4844" s="17"/>
      <c r="P4844" s="17"/>
    </row>
    <row r="4845">
      <c r="B4845" s="11">
        <f>IFERROR(__xludf.DUMMYFUNCTION("""COMPUTED_VALUE"""),38995.666666666664)</f>
        <v>38995.66667</v>
      </c>
      <c r="C4845" s="9">
        <f>IFERROR(__xludf.DUMMYFUNCTION("""COMPUTED_VALUE"""),55.75)</f>
        <v>55.75</v>
      </c>
      <c r="E4845" s="17"/>
      <c r="M4845" s="17"/>
      <c r="P4845" s="17"/>
    </row>
    <row r="4846">
      <c r="B4846" s="11">
        <f>IFERROR(__xludf.DUMMYFUNCTION("""COMPUTED_VALUE"""),38994.666666666664)</f>
        <v>38994.66667</v>
      </c>
      <c r="C4846" s="9">
        <f>IFERROR(__xludf.DUMMYFUNCTION("""COMPUTED_VALUE"""),56.01)</f>
        <v>56.01</v>
      </c>
      <c r="E4846" s="17"/>
      <c r="M4846" s="17"/>
      <c r="P4846" s="17"/>
    </row>
    <row r="4847">
      <c r="B4847" s="11">
        <f>IFERROR(__xludf.DUMMYFUNCTION("""COMPUTED_VALUE"""),38993.666666666664)</f>
        <v>38993.66667</v>
      </c>
      <c r="C4847" s="9">
        <f>IFERROR(__xludf.DUMMYFUNCTION("""COMPUTED_VALUE"""),56.42)</f>
        <v>56.42</v>
      </c>
      <c r="E4847" s="17"/>
      <c r="M4847" s="17"/>
      <c r="P4847" s="17"/>
    </row>
    <row r="4848">
      <c r="B4848" s="11">
        <f>IFERROR(__xludf.DUMMYFUNCTION("""COMPUTED_VALUE"""),38992.666666666664)</f>
        <v>38992.66667</v>
      </c>
      <c r="C4848" s="9">
        <f>IFERROR(__xludf.DUMMYFUNCTION("""COMPUTED_VALUE"""),55.04)</f>
        <v>55.04</v>
      </c>
      <c r="E4848" s="17"/>
      <c r="M4848" s="17"/>
      <c r="P4848" s="17"/>
    </row>
    <row r="4849">
      <c r="B4849" s="11">
        <f>IFERROR(__xludf.DUMMYFUNCTION("""COMPUTED_VALUE"""),38989.666666666664)</f>
        <v>38989.66667</v>
      </c>
      <c r="C4849" s="9">
        <f>IFERROR(__xludf.DUMMYFUNCTION("""COMPUTED_VALUE"""),55.11)</f>
        <v>55.11</v>
      </c>
      <c r="E4849" s="17"/>
      <c r="M4849" s="17"/>
      <c r="P4849" s="17"/>
    </row>
    <row r="4850">
      <c r="B4850" s="11">
        <f>IFERROR(__xludf.DUMMYFUNCTION("""COMPUTED_VALUE"""),38988.666666666664)</f>
        <v>38988.66667</v>
      </c>
      <c r="C4850" s="9">
        <f>IFERROR(__xludf.DUMMYFUNCTION("""COMPUTED_VALUE"""),55.56)</f>
        <v>55.56</v>
      </c>
      <c r="E4850" s="17"/>
      <c r="M4850" s="17"/>
      <c r="P4850" s="17"/>
    </row>
    <row r="4851">
      <c r="B4851" s="11">
        <f>IFERROR(__xludf.DUMMYFUNCTION("""COMPUTED_VALUE"""),38987.666666666664)</f>
        <v>38987.66667</v>
      </c>
      <c r="C4851" s="9">
        <f>IFERROR(__xludf.DUMMYFUNCTION("""COMPUTED_VALUE"""),55.89)</f>
        <v>55.89</v>
      </c>
      <c r="E4851" s="17"/>
      <c r="M4851" s="17"/>
      <c r="P4851" s="17"/>
    </row>
    <row r="4852">
      <c r="B4852" s="11">
        <f>IFERROR(__xludf.DUMMYFUNCTION("""COMPUTED_VALUE"""),38986.666666666664)</f>
        <v>38986.66667</v>
      </c>
      <c r="C4852" s="9">
        <f>IFERROR(__xludf.DUMMYFUNCTION("""COMPUTED_VALUE"""),55.33)</f>
        <v>55.33</v>
      </c>
      <c r="E4852" s="17"/>
      <c r="M4852" s="17"/>
      <c r="P4852" s="17"/>
    </row>
    <row r="4853">
      <c r="B4853" s="11">
        <f>IFERROR(__xludf.DUMMYFUNCTION("""COMPUTED_VALUE"""),38985.666666666664)</f>
        <v>38985.66667</v>
      </c>
      <c r="C4853" s="9">
        <f>IFERROR(__xludf.DUMMYFUNCTION("""COMPUTED_VALUE"""),55.51)</f>
        <v>55.51</v>
      </c>
      <c r="E4853" s="17"/>
      <c r="M4853" s="17"/>
      <c r="P4853" s="17"/>
    </row>
    <row r="4854">
      <c r="B4854" s="11">
        <f>IFERROR(__xludf.DUMMYFUNCTION("""COMPUTED_VALUE"""),38982.666666666664)</f>
        <v>38982.66667</v>
      </c>
      <c r="C4854" s="9">
        <f>IFERROR(__xludf.DUMMYFUNCTION("""COMPUTED_VALUE"""),56.41)</f>
        <v>56.41</v>
      </c>
      <c r="E4854" s="17"/>
      <c r="M4854" s="17"/>
      <c r="P4854" s="17"/>
    </row>
    <row r="4855">
      <c r="B4855" s="11">
        <f>IFERROR(__xludf.DUMMYFUNCTION("""COMPUTED_VALUE"""),38981.666666666664)</f>
        <v>38981.66667</v>
      </c>
      <c r="C4855" s="9">
        <f>IFERROR(__xludf.DUMMYFUNCTION("""COMPUTED_VALUE"""),56.6)</f>
        <v>56.6</v>
      </c>
      <c r="E4855" s="17"/>
      <c r="M4855" s="17"/>
      <c r="P4855" s="17"/>
    </row>
    <row r="4856">
      <c r="B4856" s="11">
        <f>IFERROR(__xludf.DUMMYFUNCTION("""COMPUTED_VALUE"""),38980.666666666664)</f>
        <v>38980.66667</v>
      </c>
      <c r="C4856" s="9">
        <f>IFERROR(__xludf.DUMMYFUNCTION("""COMPUTED_VALUE"""),57.65)</f>
        <v>57.65</v>
      </c>
      <c r="E4856" s="17"/>
      <c r="M4856" s="17"/>
      <c r="P4856" s="17"/>
    </row>
    <row r="4857">
      <c r="B4857" s="11">
        <f>IFERROR(__xludf.DUMMYFUNCTION("""COMPUTED_VALUE"""),38979.666666666664)</f>
        <v>38979.66667</v>
      </c>
      <c r="C4857" s="9">
        <f>IFERROR(__xludf.DUMMYFUNCTION("""COMPUTED_VALUE"""),57.87)</f>
        <v>57.87</v>
      </c>
      <c r="E4857" s="17"/>
      <c r="M4857" s="17"/>
      <c r="P4857" s="17"/>
    </row>
    <row r="4858">
      <c r="B4858" s="11">
        <f>IFERROR(__xludf.DUMMYFUNCTION("""COMPUTED_VALUE"""),38978.666666666664)</f>
        <v>38978.66667</v>
      </c>
      <c r="C4858" s="9">
        <f>IFERROR(__xludf.DUMMYFUNCTION("""COMPUTED_VALUE"""),56.55)</f>
        <v>56.55</v>
      </c>
      <c r="E4858" s="17"/>
      <c r="M4858" s="17"/>
      <c r="P4858" s="17"/>
    </row>
    <row r="4859">
      <c r="B4859" s="11">
        <f>IFERROR(__xludf.DUMMYFUNCTION("""COMPUTED_VALUE"""),38975.666666666664)</f>
        <v>38975.66667</v>
      </c>
      <c r="C4859" s="9">
        <f>IFERROR(__xludf.DUMMYFUNCTION("""COMPUTED_VALUE"""),56.99)</f>
        <v>56.99</v>
      </c>
      <c r="E4859" s="17"/>
      <c r="M4859" s="17"/>
      <c r="P4859" s="17"/>
    </row>
    <row r="4860">
      <c r="B4860" s="11">
        <f>IFERROR(__xludf.DUMMYFUNCTION("""COMPUTED_VALUE"""),38974.666666666664)</f>
        <v>38974.66667</v>
      </c>
      <c r="C4860" s="9">
        <f>IFERROR(__xludf.DUMMYFUNCTION("""COMPUTED_VALUE"""),56.83)</f>
        <v>56.83</v>
      </c>
      <c r="E4860" s="17"/>
      <c r="M4860" s="17"/>
      <c r="P4860" s="17"/>
    </row>
    <row r="4861">
      <c r="B4861" s="11">
        <f>IFERROR(__xludf.DUMMYFUNCTION("""COMPUTED_VALUE"""),38973.666666666664)</f>
        <v>38973.66667</v>
      </c>
      <c r="C4861" s="9">
        <f>IFERROR(__xludf.DUMMYFUNCTION("""COMPUTED_VALUE"""),57.0)</f>
        <v>57</v>
      </c>
      <c r="E4861" s="17"/>
      <c r="M4861" s="17"/>
      <c r="P4861" s="17"/>
    </row>
    <row r="4862">
      <c r="B4862" s="11">
        <f>IFERROR(__xludf.DUMMYFUNCTION("""COMPUTED_VALUE"""),38972.666666666664)</f>
        <v>38972.66667</v>
      </c>
      <c r="C4862" s="9">
        <f>IFERROR(__xludf.DUMMYFUNCTION("""COMPUTED_VALUE"""),56.55)</f>
        <v>56.55</v>
      </c>
      <c r="E4862" s="17"/>
      <c r="M4862" s="17"/>
      <c r="P4862" s="17"/>
    </row>
    <row r="4863">
      <c r="B4863" s="11">
        <f>IFERROR(__xludf.DUMMYFUNCTION("""COMPUTED_VALUE"""),38971.666666666664)</f>
        <v>38971.66667</v>
      </c>
      <c r="C4863" s="9">
        <f>IFERROR(__xludf.DUMMYFUNCTION("""COMPUTED_VALUE"""),55.55)</f>
        <v>55.55</v>
      </c>
      <c r="E4863" s="17"/>
      <c r="M4863" s="17"/>
      <c r="P4863" s="17"/>
    </row>
    <row r="4864">
      <c r="B4864" s="11">
        <f>IFERROR(__xludf.DUMMYFUNCTION("""COMPUTED_VALUE"""),38968.666666666664)</f>
        <v>38968.66667</v>
      </c>
      <c r="C4864" s="9">
        <f>IFERROR(__xludf.DUMMYFUNCTION("""COMPUTED_VALUE"""),55.99)</f>
        <v>55.99</v>
      </c>
      <c r="E4864" s="17"/>
      <c r="M4864" s="17"/>
      <c r="P4864" s="17"/>
    </row>
    <row r="4865">
      <c r="B4865" s="11">
        <f>IFERROR(__xludf.DUMMYFUNCTION("""COMPUTED_VALUE"""),38967.666666666664)</f>
        <v>38967.66667</v>
      </c>
      <c r="C4865" s="9">
        <f>IFERROR(__xludf.DUMMYFUNCTION("""COMPUTED_VALUE"""),55.41)</f>
        <v>55.41</v>
      </c>
      <c r="E4865" s="17"/>
      <c r="M4865" s="17"/>
      <c r="P4865" s="17"/>
    </row>
    <row r="4866">
      <c r="B4866" s="11">
        <f>IFERROR(__xludf.DUMMYFUNCTION("""COMPUTED_VALUE"""),38966.666666666664)</f>
        <v>38966.66667</v>
      </c>
      <c r="C4866" s="9">
        <f>IFERROR(__xludf.DUMMYFUNCTION("""COMPUTED_VALUE"""),55.78)</f>
        <v>55.78</v>
      </c>
      <c r="E4866" s="17"/>
      <c r="M4866" s="17"/>
      <c r="P4866" s="17"/>
    </row>
    <row r="4867">
      <c r="B4867" s="11">
        <f>IFERROR(__xludf.DUMMYFUNCTION("""COMPUTED_VALUE"""),38965.666666666664)</f>
        <v>38965.66667</v>
      </c>
      <c r="C4867" s="9">
        <f>IFERROR(__xludf.DUMMYFUNCTION("""COMPUTED_VALUE"""),55.7)</f>
        <v>55.7</v>
      </c>
      <c r="E4867" s="17"/>
      <c r="M4867" s="17"/>
      <c r="P4867" s="17"/>
    </row>
    <row r="4868">
      <c r="B4868" s="11">
        <f>IFERROR(__xludf.DUMMYFUNCTION("""COMPUTED_VALUE"""),38961.666666666664)</f>
        <v>38961.66667</v>
      </c>
      <c r="C4868" s="9">
        <f>IFERROR(__xludf.DUMMYFUNCTION("""COMPUTED_VALUE"""),55.54)</f>
        <v>55.54</v>
      </c>
      <c r="E4868" s="17"/>
      <c r="M4868" s="17"/>
      <c r="P4868" s="17"/>
    </row>
    <row r="4869">
      <c r="B4869" s="11">
        <f>IFERROR(__xludf.DUMMYFUNCTION("""COMPUTED_VALUE"""),38960.666666666664)</f>
        <v>38960.66667</v>
      </c>
      <c r="C4869" s="9">
        <f>IFERROR(__xludf.DUMMYFUNCTION("""COMPUTED_VALUE"""),55.83)</f>
        <v>55.83</v>
      </c>
      <c r="E4869" s="17"/>
      <c r="M4869" s="17"/>
      <c r="P4869" s="17"/>
    </row>
    <row r="4870">
      <c r="B4870" s="11">
        <f>IFERROR(__xludf.DUMMYFUNCTION("""COMPUTED_VALUE"""),38959.666666666664)</f>
        <v>38959.66667</v>
      </c>
      <c r="C4870" s="9">
        <f>IFERROR(__xludf.DUMMYFUNCTION("""COMPUTED_VALUE"""),55.37)</f>
        <v>55.37</v>
      </c>
      <c r="E4870" s="17"/>
      <c r="M4870" s="17"/>
      <c r="P4870" s="17"/>
    </row>
    <row r="4871">
      <c r="B4871" s="11">
        <f>IFERROR(__xludf.DUMMYFUNCTION("""COMPUTED_VALUE"""),38958.666666666664)</f>
        <v>38958.66667</v>
      </c>
      <c r="C4871" s="9">
        <f>IFERROR(__xludf.DUMMYFUNCTION("""COMPUTED_VALUE"""),54.66)</f>
        <v>54.66</v>
      </c>
      <c r="E4871" s="17"/>
      <c r="M4871" s="17"/>
      <c r="P4871" s="17"/>
    </row>
    <row r="4872">
      <c r="B4872" s="11">
        <f>IFERROR(__xludf.DUMMYFUNCTION("""COMPUTED_VALUE"""),38957.666666666664)</f>
        <v>38957.66667</v>
      </c>
      <c r="C4872" s="9">
        <f>IFERROR(__xludf.DUMMYFUNCTION("""COMPUTED_VALUE"""),54.45)</f>
        <v>54.45</v>
      </c>
      <c r="E4872" s="17"/>
      <c r="M4872" s="17"/>
      <c r="P4872" s="17"/>
    </row>
    <row r="4873">
      <c r="B4873" s="11">
        <f>IFERROR(__xludf.DUMMYFUNCTION("""COMPUTED_VALUE"""),38954.666666666664)</f>
        <v>38954.66667</v>
      </c>
      <c r="C4873" s="9">
        <f>IFERROR(__xludf.DUMMYFUNCTION("""COMPUTED_VALUE"""),53.6)</f>
        <v>53.6</v>
      </c>
      <c r="E4873" s="17"/>
      <c r="M4873" s="17"/>
      <c r="P4873" s="17"/>
    </row>
    <row r="4874">
      <c r="B4874" s="11">
        <f>IFERROR(__xludf.DUMMYFUNCTION("""COMPUTED_VALUE"""),38953.666666666664)</f>
        <v>38953.66667</v>
      </c>
      <c r="C4874" s="9">
        <f>IFERROR(__xludf.DUMMYFUNCTION("""COMPUTED_VALUE"""),53.75)</f>
        <v>53.75</v>
      </c>
      <c r="E4874" s="17"/>
      <c r="M4874" s="17"/>
      <c r="P4874" s="17"/>
    </row>
    <row r="4875">
      <c r="B4875" s="11">
        <f>IFERROR(__xludf.DUMMYFUNCTION("""COMPUTED_VALUE"""),38952.666666666664)</f>
        <v>38952.66667</v>
      </c>
      <c r="C4875" s="9">
        <f>IFERROR(__xludf.DUMMYFUNCTION("""COMPUTED_VALUE"""),53.75)</f>
        <v>53.75</v>
      </c>
      <c r="E4875" s="17"/>
      <c r="M4875" s="17"/>
      <c r="P4875" s="17"/>
    </row>
    <row r="4876">
      <c r="B4876" s="11">
        <f>IFERROR(__xludf.DUMMYFUNCTION("""COMPUTED_VALUE"""),38951.666666666664)</f>
        <v>38951.66667</v>
      </c>
      <c r="C4876" s="9">
        <f>IFERROR(__xludf.DUMMYFUNCTION("""COMPUTED_VALUE"""),54.18)</f>
        <v>54.18</v>
      </c>
      <c r="E4876" s="17"/>
      <c r="M4876" s="17"/>
      <c r="P4876" s="17"/>
    </row>
    <row r="4877">
      <c r="B4877" s="11">
        <f>IFERROR(__xludf.DUMMYFUNCTION("""COMPUTED_VALUE"""),38950.666666666664)</f>
        <v>38950.66667</v>
      </c>
      <c r="C4877" s="9">
        <f>IFERROR(__xludf.DUMMYFUNCTION("""COMPUTED_VALUE"""),53.7)</f>
        <v>53.7</v>
      </c>
      <c r="E4877" s="17"/>
      <c r="M4877" s="17"/>
      <c r="P4877" s="17"/>
    </row>
    <row r="4878">
      <c r="B4878" s="11">
        <f>IFERROR(__xludf.DUMMYFUNCTION("""COMPUTED_VALUE"""),38947.666666666664)</f>
        <v>38947.66667</v>
      </c>
      <c r="C4878" s="9">
        <f>IFERROR(__xludf.DUMMYFUNCTION("""COMPUTED_VALUE"""),53.37)</f>
        <v>53.37</v>
      </c>
      <c r="E4878" s="17"/>
      <c r="M4878" s="17"/>
      <c r="P4878" s="17"/>
    </row>
    <row r="4879">
      <c r="B4879" s="11">
        <f>IFERROR(__xludf.DUMMYFUNCTION("""COMPUTED_VALUE"""),38946.666666666664)</f>
        <v>38946.66667</v>
      </c>
      <c r="C4879" s="9">
        <f>IFERROR(__xludf.DUMMYFUNCTION("""COMPUTED_VALUE"""),53.01)</f>
        <v>53.01</v>
      </c>
      <c r="E4879" s="17"/>
      <c r="M4879" s="17"/>
      <c r="P4879" s="17"/>
    </row>
    <row r="4880">
      <c r="B4880" s="11">
        <f>IFERROR(__xludf.DUMMYFUNCTION("""COMPUTED_VALUE"""),38945.666666666664)</f>
        <v>38945.66667</v>
      </c>
      <c r="C4880" s="9">
        <f>IFERROR(__xludf.DUMMYFUNCTION("""COMPUTED_VALUE"""),53.45)</f>
        <v>53.45</v>
      </c>
      <c r="E4880" s="17"/>
      <c r="M4880" s="17"/>
      <c r="P4880" s="17"/>
    </row>
    <row r="4881">
      <c r="B4881" s="11">
        <f>IFERROR(__xludf.DUMMYFUNCTION("""COMPUTED_VALUE"""),38944.666666666664)</f>
        <v>38944.66667</v>
      </c>
      <c r="C4881" s="9">
        <f>IFERROR(__xludf.DUMMYFUNCTION("""COMPUTED_VALUE"""),53.36)</f>
        <v>53.36</v>
      </c>
      <c r="E4881" s="17"/>
      <c r="M4881" s="17"/>
      <c r="P4881" s="17"/>
    </row>
    <row r="4882">
      <c r="B4882" s="11">
        <f>IFERROR(__xludf.DUMMYFUNCTION("""COMPUTED_VALUE"""),38943.666666666664)</f>
        <v>38943.66667</v>
      </c>
      <c r="C4882" s="9">
        <f>IFERROR(__xludf.DUMMYFUNCTION("""COMPUTED_VALUE"""),52.6)</f>
        <v>52.6</v>
      </c>
      <c r="E4882" s="17"/>
      <c r="M4882" s="17"/>
      <c r="P4882" s="17"/>
    </row>
    <row r="4883">
      <c r="B4883" s="11">
        <f>IFERROR(__xludf.DUMMYFUNCTION("""COMPUTED_VALUE"""),38940.666666666664)</f>
        <v>38940.66667</v>
      </c>
      <c r="C4883" s="9">
        <f>IFERROR(__xludf.DUMMYFUNCTION("""COMPUTED_VALUE"""),52.61)</f>
        <v>52.61</v>
      </c>
      <c r="E4883" s="17"/>
      <c r="M4883" s="17"/>
      <c r="P4883" s="17"/>
    </row>
    <row r="4884">
      <c r="B4884" s="11">
        <f>IFERROR(__xludf.DUMMYFUNCTION("""COMPUTED_VALUE"""),38939.666666666664)</f>
        <v>38939.66667</v>
      </c>
      <c r="C4884" s="9">
        <f>IFERROR(__xludf.DUMMYFUNCTION("""COMPUTED_VALUE"""),53.0)</f>
        <v>53</v>
      </c>
      <c r="E4884" s="17"/>
      <c r="M4884" s="17"/>
      <c r="P4884" s="17"/>
    </row>
    <row r="4885">
      <c r="B4885" s="11">
        <f>IFERROR(__xludf.DUMMYFUNCTION("""COMPUTED_VALUE"""),38938.666666666664)</f>
        <v>38938.66667</v>
      </c>
      <c r="C4885" s="9">
        <f>IFERROR(__xludf.DUMMYFUNCTION("""COMPUTED_VALUE"""),53.0)</f>
        <v>53</v>
      </c>
      <c r="E4885" s="17"/>
      <c r="M4885" s="17"/>
      <c r="P4885" s="17"/>
    </row>
    <row r="4886">
      <c r="B4886" s="11">
        <f>IFERROR(__xludf.DUMMYFUNCTION("""COMPUTED_VALUE"""),38937.666666666664)</f>
        <v>38937.66667</v>
      </c>
      <c r="C4886" s="9">
        <f>IFERROR(__xludf.DUMMYFUNCTION("""COMPUTED_VALUE"""),53.7)</f>
        <v>53.7</v>
      </c>
      <c r="E4886" s="17"/>
      <c r="M4886" s="17"/>
      <c r="P4886" s="17"/>
    </row>
    <row r="4887">
      <c r="B4887" s="11">
        <f>IFERROR(__xludf.DUMMYFUNCTION("""COMPUTED_VALUE"""),38936.666666666664)</f>
        <v>38936.66667</v>
      </c>
      <c r="C4887" s="9">
        <f>IFERROR(__xludf.DUMMYFUNCTION("""COMPUTED_VALUE"""),54.24)</f>
        <v>54.24</v>
      </c>
      <c r="E4887" s="17"/>
      <c r="M4887" s="17"/>
      <c r="P4887" s="17"/>
    </row>
    <row r="4888">
      <c r="B4888" s="11">
        <f>IFERROR(__xludf.DUMMYFUNCTION("""COMPUTED_VALUE"""),38933.666666666664)</f>
        <v>38933.66667</v>
      </c>
      <c r="C4888" s="9">
        <f>IFERROR(__xludf.DUMMYFUNCTION("""COMPUTED_VALUE"""),55.01)</f>
        <v>55.01</v>
      </c>
      <c r="E4888" s="17"/>
      <c r="M4888" s="17"/>
      <c r="P4888" s="17"/>
    </row>
    <row r="4889">
      <c r="B4889" s="11">
        <f>IFERROR(__xludf.DUMMYFUNCTION("""COMPUTED_VALUE"""),38932.666666666664)</f>
        <v>38932.66667</v>
      </c>
      <c r="C4889" s="9">
        <f>IFERROR(__xludf.DUMMYFUNCTION("""COMPUTED_VALUE"""),54.13)</f>
        <v>54.13</v>
      </c>
      <c r="E4889" s="17"/>
      <c r="M4889" s="17"/>
      <c r="P4889" s="17"/>
    </row>
    <row r="4890">
      <c r="B4890" s="11">
        <f>IFERROR(__xludf.DUMMYFUNCTION("""COMPUTED_VALUE"""),38931.666666666664)</f>
        <v>38931.66667</v>
      </c>
      <c r="C4890" s="9">
        <f>IFERROR(__xludf.DUMMYFUNCTION("""COMPUTED_VALUE"""),53.62)</f>
        <v>53.62</v>
      </c>
      <c r="E4890" s="17"/>
      <c r="M4890" s="17"/>
      <c r="P4890" s="17"/>
    </row>
    <row r="4891">
      <c r="B4891" s="11">
        <f>IFERROR(__xludf.DUMMYFUNCTION("""COMPUTED_VALUE"""),38930.666666666664)</f>
        <v>38930.66667</v>
      </c>
      <c r="C4891" s="9">
        <f>IFERROR(__xludf.DUMMYFUNCTION("""COMPUTED_VALUE"""),52.71)</f>
        <v>52.71</v>
      </c>
      <c r="E4891" s="17"/>
      <c r="M4891" s="17"/>
      <c r="P4891" s="17"/>
    </row>
    <row r="4892">
      <c r="B4892" s="11">
        <f>IFERROR(__xludf.DUMMYFUNCTION("""COMPUTED_VALUE"""),38929.666666666664)</f>
        <v>38929.66667</v>
      </c>
      <c r="C4892" s="9">
        <f>IFERROR(__xludf.DUMMYFUNCTION("""COMPUTED_VALUE"""),52.43)</f>
        <v>52.43</v>
      </c>
      <c r="E4892" s="17"/>
      <c r="M4892" s="17"/>
      <c r="P4892" s="17"/>
    </row>
    <row r="4893">
      <c r="B4893" s="11">
        <f>IFERROR(__xludf.DUMMYFUNCTION("""COMPUTED_VALUE"""),38926.666666666664)</f>
        <v>38926.66667</v>
      </c>
      <c r="C4893" s="9">
        <f>IFERROR(__xludf.DUMMYFUNCTION("""COMPUTED_VALUE"""),52.68)</f>
        <v>52.68</v>
      </c>
      <c r="E4893" s="17"/>
      <c r="M4893" s="17"/>
      <c r="P4893" s="17"/>
    </row>
    <row r="4894">
      <c r="B4894" s="11">
        <f>IFERROR(__xludf.DUMMYFUNCTION("""COMPUTED_VALUE"""),38925.666666666664)</f>
        <v>38925.66667</v>
      </c>
      <c r="C4894" s="9">
        <f>IFERROR(__xludf.DUMMYFUNCTION("""COMPUTED_VALUE"""),51.69)</f>
        <v>51.69</v>
      </c>
      <c r="E4894" s="17"/>
      <c r="M4894" s="17"/>
      <c r="P4894" s="17"/>
    </row>
    <row r="4895">
      <c r="B4895" s="11">
        <f>IFERROR(__xludf.DUMMYFUNCTION("""COMPUTED_VALUE"""),38924.666666666664)</f>
        <v>38924.66667</v>
      </c>
      <c r="C4895" s="9">
        <f>IFERROR(__xludf.DUMMYFUNCTION("""COMPUTED_VALUE"""),52.06)</f>
        <v>52.06</v>
      </c>
      <c r="E4895" s="17"/>
      <c r="M4895" s="17"/>
      <c r="P4895" s="17"/>
    </row>
    <row r="4896">
      <c r="B4896" s="11">
        <f>IFERROR(__xludf.DUMMYFUNCTION("""COMPUTED_VALUE"""),38923.666666666664)</f>
        <v>38923.66667</v>
      </c>
      <c r="C4896" s="9">
        <f>IFERROR(__xludf.DUMMYFUNCTION("""COMPUTED_VALUE"""),52.0)</f>
        <v>52</v>
      </c>
      <c r="E4896" s="17"/>
      <c r="M4896" s="17"/>
      <c r="P4896" s="17"/>
    </row>
    <row r="4897">
      <c r="B4897" s="11">
        <f>IFERROR(__xludf.DUMMYFUNCTION("""COMPUTED_VALUE"""),38922.666666666664)</f>
        <v>38922.66667</v>
      </c>
      <c r="C4897" s="9">
        <f>IFERROR(__xludf.DUMMYFUNCTION("""COMPUTED_VALUE"""),51.85)</f>
        <v>51.85</v>
      </c>
      <c r="E4897" s="17"/>
      <c r="M4897" s="17"/>
      <c r="P4897" s="17"/>
    </row>
    <row r="4898">
      <c r="B4898" s="11">
        <f>IFERROR(__xludf.DUMMYFUNCTION("""COMPUTED_VALUE"""),38919.666666666664)</f>
        <v>38919.66667</v>
      </c>
      <c r="C4898" s="9">
        <f>IFERROR(__xludf.DUMMYFUNCTION("""COMPUTED_VALUE"""),50.57)</f>
        <v>50.57</v>
      </c>
      <c r="E4898" s="17"/>
      <c r="M4898" s="17"/>
      <c r="P4898" s="17"/>
    </row>
    <row r="4899">
      <c r="B4899" s="11">
        <f>IFERROR(__xludf.DUMMYFUNCTION("""COMPUTED_VALUE"""),38918.666666666664)</f>
        <v>38918.66667</v>
      </c>
      <c r="C4899" s="9">
        <f>IFERROR(__xludf.DUMMYFUNCTION("""COMPUTED_VALUE"""),51.13)</f>
        <v>51.13</v>
      </c>
      <c r="E4899" s="17"/>
      <c r="M4899" s="17"/>
      <c r="P4899" s="17"/>
    </row>
    <row r="4900">
      <c r="B4900" s="11">
        <f>IFERROR(__xludf.DUMMYFUNCTION("""COMPUTED_VALUE"""),38917.666666666664)</f>
        <v>38917.66667</v>
      </c>
      <c r="C4900" s="9">
        <f>IFERROR(__xludf.DUMMYFUNCTION("""COMPUTED_VALUE"""),52.39)</f>
        <v>52.39</v>
      </c>
      <c r="E4900" s="17"/>
      <c r="M4900" s="17"/>
      <c r="P4900" s="17"/>
    </row>
    <row r="4901">
      <c r="B4901" s="11">
        <f>IFERROR(__xludf.DUMMYFUNCTION("""COMPUTED_VALUE"""),38916.666666666664)</f>
        <v>38916.66667</v>
      </c>
      <c r="C4901" s="9">
        <f>IFERROR(__xludf.DUMMYFUNCTION("""COMPUTED_VALUE"""),51.8)</f>
        <v>51.8</v>
      </c>
      <c r="E4901" s="17"/>
      <c r="M4901" s="17"/>
      <c r="P4901" s="17"/>
    </row>
    <row r="4902">
      <c r="B4902" s="11">
        <f>IFERROR(__xludf.DUMMYFUNCTION("""COMPUTED_VALUE"""),38915.666666666664)</f>
        <v>38915.66667</v>
      </c>
      <c r="C4902" s="9">
        <f>IFERROR(__xludf.DUMMYFUNCTION("""COMPUTED_VALUE"""),51.35)</f>
        <v>51.35</v>
      </c>
      <c r="E4902" s="17"/>
      <c r="M4902" s="17"/>
      <c r="P4902" s="17"/>
    </row>
    <row r="4903">
      <c r="B4903" s="11">
        <f>IFERROR(__xludf.DUMMYFUNCTION("""COMPUTED_VALUE"""),38912.666666666664)</f>
        <v>38912.66667</v>
      </c>
      <c r="C4903" s="9">
        <f>IFERROR(__xludf.DUMMYFUNCTION("""COMPUTED_VALUE"""),51.19)</f>
        <v>51.19</v>
      </c>
      <c r="E4903" s="17"/>
      <c r="M4903" s="17"/>
      <c r="P4903" s="17"/>
    </row>
    <row r="4904">
      <c r="B4904" s="11">
        <f>IFERROR(__xludf.DUMMYFUNCTION("""COMPUTED_VALUE"""),38911.666666666664)</f>
        <v>38911.66667</v>
      </c>
      <c r="C4904" s="9">
        <f>IFERROR(__xludf.DUMMYFUNCTION("""COMPUTED_VALUE"""),51.45)</f>
        <v>51.45</v>
      </c>
      <c r="E4904" s="17"/>
      <c r="M4904" s="17"/>
      <c r="P4904" s="17"/>
    </row>
    <row r="4905">
      <c r="B4905" s="11">
        <f>IFERROR(__xludf.DUMMYFUNCTION("""COMPUTED_VALUE"""),38910.666666666664)</f>
        <v>38910.66667</v>
      </c>
      <c r="C4905" s="9">
        <f>IFERROR(__xludf.DUMMYFUNCTION("""COMPUTED_VALUE"""),52.03)</f>
        <v>52.03</v>
      </c>
      <c r="E4905" s="17"/>
      <c r="M4905" s="17"/>
      <c r="P4905" s="17"/>
    </row>
    <row r="4906">
      <c r="B4906" s="11">
        <f>IFERROR(__xludf.DUMMYFUNCTION("""COMPUTED_VALUE"""),38909.666666666664)</f>
        <v>38909.66667</v>
      </c>
      <c r="C4906" s="9">
        <f>IFERROR(__xludf.DUMMYFUNCTION("""COMPUTED_VALUE"""),51.65)</f>
        <v>51.65</v>
      </c>
      <c r="E4906" s="17"/>
      <c r="M4906" s="17"/>
      <c r="P4906" s="17"/>
    </row>
    <row r="4907">
      <c r="B4907" s="11">
        <f>IFERROR(__xludf.DUMMYFUNCTION("""COMPUTED_VALUE"""),38908.666666666664)</f>
        <v>38908.66667</v>
      </c>
      <c r="C4907" s="9">
        <f>IFERROR(__xludf.DUMMYFUNCTION("""COMPUTED_VALUE"""),51.71)</f>
        <v>51.71</v>
      </c>
      <c r="E4907" s="17"/>
      <c r="M4907" s="17"/>
      <c r="P4907" s="17"/>
    </row>
    <row r="4908">
      <c r="B4908" s="11">
        <f>IFERROR(__xludf.DUMMYFUNCTION("""COMPUTED_VALUE"""),38905.666666666664)</f>
        <v>38905.66667</v>
      </c>
      <c r="C4908" s="9">
        <f>IFERROR(__xludf.DUMMYFUNCTION("""COMPUTED_VALUE"""),51.25)</f>
        <v>51.25</v>
      </c>
      <c r="E4908" s="17"/>
      <c r="M4908" s="17"/>
      <c r="P4908" s="17"/>
    </row>
    <row r="4909">
      <c r="B4909" s="11">
        <f>IFERROR(__xludf.DUMMYFUNCTION("""COMPUTED_VALUE"""),38904.666666666664)</f>
        <v>38904.66667</v>
      </c>
      <c r="C4909" s="9">
        <f>IFERROR(__xludf.DUMMYFUNCTION("""COMPUTED_VALUE"""),51.05)</f>
        <v>51.05</v>
      </c>
      <c r="E4909" s="17"/>
      <c r="M4909" s="17"/>
      <c r="P4909" s="17"/>
    </row>
    <row r="4910">
      <c r="B4910" s="11">
        <f>IFERROR(__xludf.DUMMYFUNCTION("""COMPUTED_VALUE"""),38903.666666666664)</f>
        <v>38903.66667</v>
      </c>
      <c r="C4910" s="9">
        <f>IFERROR(__xludf.DUMMYFUNCTION("""COMPUTED_VALUE"""),50.56)</f>
        <v>50.56</v>
      </c>
      <c r="E4910" s="17"/>
      <c r="M4910" s="17"/>
      <c r="P4910" s="17"/>
    </row>
    <row r="4911">
      <c r="B4911" s="11">
        <f>IFERROR(__xludf.DUMMYFUNCTION("""COMPUTED_VALUE"""),38901.666666666664)</f>
        <v>38901.66667</v>
      </c>
      <c r="C4911" s="9">
        <f>IFERROR(__xludf.DUMMYFUNCTION("""COMPUTED_VALUE"""),51.52)</f>
        <v>51.52</v>
      </c>
      <c r="E4911" s="17"/>
      <c r="M4911" s="17"/>
      <c r="P4911" s="17"/>
    </row>
    <row r="4912">
      <c r="B4912" s="11">
        <f>IFERROR(__xludf.DUMMYFUNCTION("""COMPUTED_VALUE"""),38898.666666666664)</f>
        <v>38898.66667</v>
      </c>
      <c r="C4912" s="9">
        <f>IFERROR(__xludf.DUMMYFUNCTION("""COMPUTED_VALUE"""),50.55)</f>
        <v>50.55</v>
      </c>
      <c r="E4912" s="17"/>
      <c r="M4912" s="17"/>
      <c r="P4912" s="17"/>
    </row>
    <row r="4913">
      <c r="B4913" s="11">
        <f>IFERROR(__xludf.DUMMYFUNCTION("""COMPUTED_VALUE"""),38897.666666666664)</f>
        <v>38897.66667</v>
      </c>
      <c r="C4913" s="9">
        <f>IFERROR(__xludf.DUMMYFUNCTION("""COMPUTED_VALUE"""),49.64)</f>
        <v>49.64</v>
      </c>
      <c r="E4913" s="17"/>
      <c r="M4913" s="17"/>
      <c r="P4913" s="17"/>
    </row>
    <row r="4914">
      <c r="B4914" s="11">
        <f>IFERROR(__xludf.DUMMYFUNCTION("""COMPUTED_VALUE"""),38896.666666666664)</f>
        <v>38896.66667</v>
      </c>
      <c r="C4914" s="9">
        <f>IFERROR(__xludf.DUMMYFUNCTION("""COMPUTED_VALUE"""),48.86)</f>
        <v>48.86</v>
      </c>
      <c r="E4914" s="17"/>
      <c r="M4914" s="17"/>
      <c r="P4914" s="17"/>
    </row>
    <row r="4915">
      <c r="B4915" s="11">
        <f>IFERROR(__xludf.DUMMYFUNCTION("""COMPUTED_VALUE"""),38895.666666666664)</f>
        <v>38895.66667</v>
      </c>
      <c r="C4915" s="9">
        <f>IFERROR(__xludf.DUMMYFUNCTION("""COMPUTED_VALUE"""),48.5)</f>
        <v>48.5</v>
      </c>
      <c r="E4915" s="17"/>
      <c r="M4915" s="17"/>
      <c r="P4915" s="17"/>
    </row>
    <row r="4916">
      <c r="B4916" s="11">
        <f>IFERROR(__xludf.DUMMYFUNCTION("""COMPUTED_VALUE"""),38894.666666666664)</f>
        <v>38894.66667</v>
      </c>
      <c r="C4916" s="9">
        <f>IFERROR(__xludf.DUMMYFUNCTION("""COMPUTED_VALUE"""),48.55)</f>
        <v>48.55</v>
      </c>
      <c r="E4916" s="17"/>
      <c r="M4916" s="17"/>
      <c r="P4916" s="17"/>
    </row>
    <row r="4917">
      <c r="B4917" s="11">
        <f>IFERROR(__xludf.DUMMYFUNCTION("""COMPUTED_VALUE"""),38891.666666666664)</f>
        <v>38891.66667</v>
      </c>
      <c r="C4917" s="9">
        <f>IFERROR(__xludf.DUMMYFUNCTION("""COMPUTED_VALUE"""),48.04)</f>
        <v>48.04</v>
      </c>
      <c r="E4917" s="17"/>
      <c r="M4917" s="17"/>
      <c r="P4917" s="17"/>
    </row>
    <row r="4918">
      <c r="B4918" s="11">
        <f>IFERROR(__xludf.DUMMYFUNCTION("""COMPUTED_VALUE"""),38890.666666666664)</f>
        <v>38890.66667</v>
      </c>
      <c r="C4918" s="9">
        <f>IFERROR(__xludf.DUMMYFUNCTION("""COMPUTED_VALUE"""),48.18)</f>
        <v>48.18</v>
      </c>
      <c r="E4918" s="17"/>
      <c r="M4918" s="17"/>
      <c r="P4918" s="17"/>
    </row>
    <row r="4919">
      <c r="B4919" s="11">
        <f>IFERROR(__xludf.DUMMYFUNCTION("""COMPUTED_VALUE"""),38889.666666666664)</f>
        <v>38889.66667</v>
      </c>
      <c r="C4919" s="9">
        <f>IFERROR(__xludf.DUMMYFUNCTION("""COMPUTED_VALUE"""),48.79)</f>
        <v>48.79</v>
      </c>
      <c r="E4919" s="17"/>
      <c r="M4919" s="17"/>
      <c r="P4919" s="17"/>
    </row>
    <row r="4920">
      <c r="B4920" s="11">
        <f>IFERROR(__xludf.DUMMYFUNCTION("""COMPUTED_VALUE"""),38888.666666666664)</f>
        <v>38888.66667</v>
      </c>
      <c r="C4920" s="9">
        <f>IFERROR(__xludf.DUMMYFUNCTION("""COMPUTED_VALUE"""),48.06)</f>
        <v>48.06</v>
      </c>
      <c r="E4920" s="17"/>
      <c r="M4920" s="17"/>
      <c r="P4920" s="17"/>
    </row>
    <row r="4921">
      <c r="B4921" s="11">
        <f>IFERROR(__xludf.DUMMYFUNCTION("""COMPUTED_VALUE"""),38887.666666666664)</f>
        <v>38887.66667</v>
      </c>
      <c r="C4921" s="9">
        <f>IFERROR(__xludf.DUMMYFUNCTION("""COMPUTED_VALUE"""),48.1)</f>
        <v>48.1</v>
      </c>
      <c r="E4921" s="17"/>
      <c r="M4921" s="17"/>
      <c r="P4921" s="17"/>
    </row>
    <row r="4922">
      <c r="B4922" s="11">
        <f>IFERROR(__xludf.DUMMYFUNCTION("""COMPUTED_VALUE"""),38884.666666666664)</f>
        <v>38884.66667</v>
      </c>
      <c r="C4922" s="9">
        <f>IFERROR(__xludf.DUMMYFUNCTION("""COMPUTED_VALUE"""),49.37)</f>
        <v>49.37</v>
      </c>
      <c r="E4922" s="17"/>
      <c r="M4922" s="17"/>
      <c r="P4922" s="17"/>
    </row>
    <row r="4923">
      <c r="B4923" s="11">
        <f>IFERROR(__xludf.DUMMYFUNCTION("""COMPUTED_VALUE"""),38883.666666666664)</f>
        <v>38883.66667</v>
      </c>
      <c r="C4923" s="9">
        <f>IFERROR(__xludf.DUMMYFUNCTION("""COMPUTED_VALUE"""),49.25)</f>
        <v>49.25</v>
      </c>
      <c r="E4923" s="17"/>
      <c r="M4923" s="17"/>
      <c r="P4923" s="17"/>
    </row>
    <row r="4924">
      <c r="B4924" s="11">
        <f>IFERROR(__xludf.DUMMYFUNCTION("""COMPUTED_VALUE"""),38882.666666666664)</f>
        <v>38882.66667</v>
      </c>
      <c r="C4924" s="9">
        <f>IFERROR(__xludf.DUMMYFUNCTION("""COMPUTED_VALUE"""),48.65)</f>
        <v>48.65</v>
      </c>
      <c r="E4924" s="17"/>
      <c r="M4924" s="17"/>
      <c r="P4924" s="17"/>
    </row>
    <row r="4925">
      <c r="B4925" s="11">
        <f>IFERROR(__xludf.DUMMYFUNCTION("""COMPUTED_VALUE"""),38881.666666666664)</f>
        <v>38881.66667</v>
      </c>
      <c r="C4925" s="9">
        <f>IFERROR(__xludf.DUMMYFUNCTION("""COMPUTED_VALUE"""),49.41)</f>
        <v>49.41</v>
      </c>
      <c r="E4925" s="17"/>
      <c r="M4925" s="17"/>
      <c r="P4925" s="17"/>
    </row>
    <row r="4926">
      <c r="B4926" s="11">
        <f>IFERROR(__xludf.DUMMYFUNCTION("""COMPUTED_VALUE"""),38880.666666666664)</f>
        <v>38880.66667</v>
      </c>
      <c r="C4926" s="9">
        <f>IFERROR(__xludf.DUMMYFUNCTION("""COMPUTED_VALUE"""),49.6)</f>
        <v>49.6</v>
      </c>
      <c r="E4926" s="17"/>
      <c r="M4926" s="17"/>
      <c r="P4926" s="17"/>
    </row>
    <row r="4927">
      <c r="B4927" s="11">
        <f>IFERROR(__xludf.DUMMYFUNCTION("""COMPUTED_VALUE"""),38877.666666666664)</f>
        <v>38877.66667</v>
      </c>
      <c r="C4927" s="9">
        <f>IFERROR(__xludf.DUMMYFUNCTION("""COMPUTED_VALUE"""),50.49)</f>
        <v>50.49</v>
      </c>
      <c r="E4927" s="17"/>
      <c r="M4927" s="17"/>
      <c r="P4927" s="17"/>
    </row>
    <row r="4928">
      <c r="B4928" s="11">
        <f>IFERROR(__xludf.DUMMYFUNCTION("""COMPUTED_VALUE"""),38876.666666666664)</f>
        <v>38876.66667</v>
      </c>
      <c r="C4928" s="9">
        <f>IFERROR(__xludf.DUMMYFUNCTION("""COMPUTED_VALUE"""),50.0)</f>
        <v>50</v>
      </c>
      <c r="E4928" s="17"/>
      <c r="M4928" s="17"/>
      <c r="P4928" s="17"/>
    </row>
    <row r="4929">
      <c r="B4929" s="11">
        <f>IFERROR(__xludf.DUMMYFUNCTION("""COMPUTED_VALUE"""),38875.666666666664)</f>
        <v>38875.66667</v>
      </c>
      <c r="C4929" s="9">
        <f>IFERROR(__xludf.DUMMYFUNCTION("""COMPUTED_VALUE"""),50.03)</f>
        <v>50.03</v>
      </c>
      <c r="E4929" s="17"/>
      <c r="M4929" s="17"/>
      <c r="P4929" s="17"/>
    </row>
    <row r="4930">
      <c r="B4930" s="11">
        <f>IFERROR(__xludf.DUMMYFUNCTION("""COMPUTED_VALUE"""),38874.666666666664)</f>
        <v>38874.66667</v>
      </c>
      <c r="C4930" s="9">
        <f>IFERROR(__xludf.DUMMYFUNCTION("""COMPUTED_VALUE"""),50.25)</f>
        <v>50.25</v>
      </c>
      <c r="E4930" s="17"/>
      <c r="M4930" s="17"/>
      <c r="P4930" s="17"/>
    </row>
    <row r="4931">
      <c r="B4931" s="11">
        <f>IFERROR(__xludf.DUMMYFUNCTION("""COMPUTED_VALUE"""),38873.666666666664)</f>
        <v>38873.66667</v>
      </c>
      <c r="C4931" s="9">
        <f>IFERROR(__xludf.DUMMYFUNCTION("""COMPUTED_VALUE"""),50.56)</f>
        <v>50.56</v>
      </c>
      <c r="E4931" s="17"/>
      <c r="M4931" s="17"/>
      <c r="P4931" s="17"/>
    </row>
    <row r="4932">
      <c r="B4932" s="11">
        <f>IFERROR(__xludf.DUMMYFUNCTION("""COMPUTED_VALUE"""),38870.666666666664)</f>
        <v>38870.66667</v>
      </c>
      <c r="C4932" s="9">
        <f>IFERROR(__xludf.DUMMYFUNCTION("""COMPUTED_VALUE"""),50.85)</f>
        <v>50.85</v>
      </c>
      <c r="E4932" s="17"/>
      <c r="M4932" s="17"/>
      <c r="P4932" s="17"/>
    </row>
    <row r="4933">
      <c r="B4933" s="11">
        <f>IFERROR(__xludf.DUMMYFUNCTION("""COMPUTED_VALUE"""),38869.666666666664)</f>
        <v>38869.66667</v>
      </c>
      <c r="C4933" s="9">
        <f>IFERROR(__xludf.DUMMYFUNCTION("""COMPUTED_VALUE"""),50.55)</f>
        <v>50.55</v>
      </c>
      <c r="E4933" s="17"/>
      <c r="M4933" s="17"/>
      <c r="P4933" s="17"/>
    </row>
    <row r="4934">
      <c r="B4934" s="11">
        <f>IFERROR(__xludf.DUMMYFUNCTION("""COMPUTED_VALUE"""),38868.666666666664)</f>
        <v>38868.66667</v>
      </c>
      <c r="C4934" s="9">
        <f>IFERROR(__xludf.DUMMYFUNCTION("""COMPUTED_VALUE"""),49.43)</f>
        <v>49.43</v>
      </c>
      <c r="E4934" s="17"/>
      <c r="M4934" s="17"/>
      <c r="P4934" s="17"/>
    </row>
    <row r="4935">
      <c r="B4935" s="11">
        <f>IFERROR(__xludf.DUMMYFUNCTION("""COMPUTED_VALUE"""),38867.666666666664)</f>
        <v>38867.66667</v>
      </c>
      <c r="C4935" s="9">
        <f>IFERROR(__xludf.DUMMYFUNCTION("""COMPUTED_VALUE"""),49.3)</f>
        <v>49.3</v>
      </c>
      <c r="E4935" s="17"/>
      <c r="M4935" s="17"/>
      <c r="P4935" s="17"/>
    </row>
    <row r="4936">
      <c r="B4936" s="11">
        <f>IFERROR(__xludf.DUMMYFUNCTION("""COMPUTED_VALUE"""),38863.666666666664)</f>
        <v>38863.66667</v>
      </c>
      <c r="C4936" s="9">
        <f>IFERROR(__xludf.DUMMYFUNCTION("""COMPUTED_VALUE"""),49.29)</f>
        <v>49.29</v>
      </c>
      <c r="E4936" s="17"/>
      <c r="M4936" s="17"/>
      <c r="P4936" s="17"/>
    </row>
    <row r="4937">
      <c r="B4937" s="11">
        <f>IFERROR(__xludf.DUMMYFUNCTION("""COMPUTED_VALUE"""),38862.666666666664)</f>
        <v>38862.66667</v>
      </c>
      <c r="C4937" s="9">
        <f>IFERROR(__xludf.DUMMYFUNCTION("""COMPUTED_VALUE"""),48.65)</f>
        <v>48.65</v>
      </c>
      <c r="E4937" s="17"/>
      <c r="M4937" s="17"/>
      <c r="P4937" s="17"/>
    </row>
    <row r="4938">
      <c r="B4938" s="11">
        <f>IFERROR(__xludf.DUMMYFUNCTION("""COMPUTED_VALUE"""),38861.666666666664)</f>
        <v>38861.66667</v>
      </c>
      <c r="C4938" s="9">
        <f>IFERROR(__xludf.DUMMYFUNCTION("""COMPUTED_VALUE"""),47.56)</f>
        <v>47.56</v>
      </c>
      <c r="E4938" s="17"/>
      <c r="M4938" s="17"/>
      <c r="P4938" s="17"/>
    </row>
    <row r="4939">
      <c r="B4939" s="11">
        <f>IFERROR(__xludf.DUMMYFUNCTION("""COMPUTED_VALUE"""),38860.666666666664)</f>
        <v>38860.66667</v>
      </c>
      <c r="C4939" s="9">
        <f>IFERROR(__xludf.DUMMYFUNCTION("""COMPUTED_VALUE"""),46.85)</f>
        <v>46.85</v>
      </c>
      <c r="E4939" s="17"/>
      <c r="M4939" s="17"/>
      <c r="P4939" s="17"/>
    </row>
    <row r="4940">
      <c r="B4940" s="11">
        <f>IFERROR(__xludf.DUMMYFUNCTION("""COMPUTED_VALUE"""),38859.666666666664)</f>
        <v>38859.66667</v>
      </c>
      <c r="C4940" s="9">
        <f>IFERROR(__xludf.DUMMYFUNCTION("""COMPUTED_VALUE"""),47.66)</f>
        <v>47.66</v>
      </c>
      <c r="E4940" s="17"/>
      <c r="M4940" s="17"/>
      <c r="P4940" s="17"/>
    </row>
    <row r="4941">
      <c r="B4941" s="11">
        <f>IFERROR(__xludf.DUMMYFUNCTION("""COMPUTED_VALUE"""),38856.666666666664)</f>
        <v>38856.66667</v>
      </c>
      <c r="C4941" s="9">
        <f>IFERROR(__xludf.DUMMYFUNCTION("""COMPUTED_VALUE"""),48.56)</f>
        <v>48.56</v>
      </c>
      <c r="E4941" s="17"/>
      <c r="M4941" s="17"/>
      <c r="P4941" s="17"/>
    </row>
    <row r="4942">
      <c r="B4942" s="11">
        <f>IFERROR(__xludf.DUMMYFUNCTION("""COMPUTED_VALUE"""),38855.666666666664)</f>
        <v>38855.66667</v>
      </c>
      <c r="C4942" s="9">
        <f>IFERROR(__xludf.DUMMYFUNCTION("""COMPUTED_VALUE"""),48.57)</f>
        <v>48.57</v>
      </c>
      <c r="E4942" s="17"/>
      <c r="M4942" s="17"/>
      <c r="P4942" s="17"/>
    </row>
    <row r="4943">
      <c r="B4943" s="11">
        <f>IFERROR(__xludf.DUMMYFUNCTION("""COMPUTED_VALUE"""),38854.666666666664)</f>
        <v>38854.66667</v>
      </c>
      <c r="C4943" s="9">
        <f>IFERROR(__xludf.DUMMYFUNCTION("""COMPUTED_VALUE"""),49.21)</f>
        <v>49.21</v>
      </c>
      <c r="E4943" s="17"/>
      <c r="M4943" s="17"/>
      <c r="P4943" s="17"/>
    </row>
    <row r="4944">
      <c r="B4944" s="11">
        <f>IFERROR(__xludf.DUMMYFUNCTION("""COMPUTED_VALUE"""),38853.666666666664)</f>
        <v>38853.66667</v>
      </c>
      <c r="C4944" s="9">
        <f>IFERROR(__xludf.DUMMYFUNCTION("""COMPUTED_VALUE"""),50.16)</f>
        <v>50.16</v>
      </c>
      <c r="E4944" s="17"/>
      <c r="M4944" s="17"/>
      <c r="P4944" s="17"/>
    </row>
    <row r="4945">
      <c r="B4945" s="11">
        <f>IFERROR(__xludf.DUMMYFUNCTION("""COMPUTED_VALUE"""),38852.666666666664)</f>
        <v>38852.66667</v>
      </c>
      <c r="C4945" s="9">
        <f>IFERROR(__xludf.DUMMYFUNCTION("""COMPUTED_VALUE"""),50.69)</f>
        <v>50.69</v>
      </c>
      <c r="E4945" s="17"/>
      <c r="M4945" s="17"/>
      <c r="P4945" s="17"/>
    </row>
    <row r="4946">
      <c r="B4946" s="11">
        <f>IFERROR(__xludf.DUMMYFUNCTION("""COMPUTED_VALUE"""),38849.666666666664)</f>
        <v>38849.66667</v>
      </c>
      <c r="C4946" s="9">
        <f>IFERROR(__xludf.DUMMYFUNCTION("""COMPUTED_VALUE"""),50.14)</f>
        <v>50.14</v>
      </c>
      <c r="E4946" s="17"/>
      <c r="M4946" s="17"/>
      <c r="P4946" s="17"/>
    </row>
    <row r="4947">
      <c r="B4947" s="11">
        <f>IFERROR(__xludf.DUMMYFUNCTION("""COMPUTED_VALUE"""),38848.666666666664)</f>
        <v>38848.66667</v>
      </c>
      <c r="C4947" s="9">
        <f>IFERROR(__xludf.DUMMYFUNCTION("""COMPUTED_VALUE"""),50.48)</f>
        <v>50.48</v>
      </c>
      <c r="E4947" s="17"/>
      <c r="M4947" s="17"/>
      <c r="P4947" s="17"/>
    </row>
    <row r="4948">
      <c r="B4948" s="11">
        <f>IFERROR(__xludf.DUMMYFUNCTION("""COMPUTED_VALUE"""),38847.666666666664)</f>
        <v>38847.66667</v>
      </c>
      <c r="C4948" s="9">
        <f>IFERROR(__xludf.DUMMYFUNCTION("""COMPUTED_VALUE"""),51.26)</f>
        <v>51.26</v>
      </c>
      <c r="E4948" s="17"/>
      <c r="M4948" s="17"/>
      <c r="P4948" s="17"/>
    </row>
    <row r="4949">
      <c r="B4949" s="11">
        <f>IFERROR(__xludf.DUMMYFUNCTION("""COMPUTED_VALUE"""),38846.666666666664)</f>
        <v>38846.66667</v>
      </c>
      <c r="C4949" s="9">
        <f>IFERROR(__xludf.DUMMYFUNCTION("""COMPUTED_VALUE"""),50.94)</f>
        <v>50.94</v>
      </c>
      <c r="E4949" s="17"/>
      <c r="M4949" s="17"/>
      <c r="P4949" s="17"/>
    </row>
    <row r="4950">
      <c r="B4950" s="11">
        <f>IFERROR(__xludf.DUMMYFUNCTION("""COMPUTED_VALUE"""),38845.666666666664)</f>
        <v>38845.66667</v>
      </c>
      <c r="C4950" s="9">
        <f>IFERROR(__xludf.DUMMYFUNCTION("""COMPUTED_VALUE"""),51.12)</f>
        <v>51.12</v>
      </c>
      <c r="E4950" s="17"/>
      <c r="M4950" s="17"/>
      <c r="P4950" s="17"/>
    </row>
    <row r="4951">
      <c r="B4951" s="11">
        <f>IFERROR(__xludf.DUMMYFUNCTION("""COMPUTED_VALUE"""),38842.666666666664)</f>
        <v>38842.66667</v>
      </c>
      <c r="C4951" s="9">
        <f>IFERROR(__xludf.DUMMYFUNCTION("""COMPUTED_VALUE"""),50.69)</f>
        <v>50.69</v>
      </c>
      <c r="E4951" s="17"/>
      <c r="M4951" s="17"/>
      <c r="P4951" s="17"/>
    </row>
    <row r="4952">
      <c r="B4952" s="11">
        <f>IFERROR(__xludf.DUMMYFUNCTION("""COMPUTED_VALUE"""),38841.666666666664)</f>
        <v>38841.66667</v>
      </c>
      <c r="C4952" s="9">
        <f>IFERROR(__xludf.DUMMYFUNCTION("""COMPUTED_VALUE"""),50.05)</f>
        <v>50.05</v>
      </c>
      <c r="E4952" s="17"/>
      <c r="M4952" s="17"/>
      <c r="P4952" s="17"/>
    </row>
    <row r="4953">
      <c r="B4953" s="11">
        <f>IFERROR(__xludf.DUMMYFUNCTION("""COMPUTED_VALUE"""),38840.666666666664)</f>
        <v>38840.66667</v>
      </c>
      <c r="C4953" s="9">
        <f>IFERROR(__xludf.DUMMYFUNCTION("""COMPUTED_VALUE"""),49.3)</f>
        <v>49.3</v>
      </c>
      <c r="E4953" s="17"/>
      <c r="M4953" s="17"/>
      <c r="P4953" s="17"/>
    </row>
    <row r="4954">
      <c r="B4954" s="11">
        <f>IFERROR(__xludf.DUMMYFUNCTION("""COMPUTED_VALUE"""),38839.666666666664)</f>
        <v>38839.66667</v>
      </c>
      <c r="C4954" s="9">
        <f>IFERROR(__xludf.DUMMYFUNCTION("""COMPUTED_VALUE"""),48.89)</f>
        <v>48.89</v>
      </c>
      <c r="E4954" s="17"/>
      <c r="M4954" s="17"/>
      <c r="P4954" s="17"/>
    </row>
    <row r="4955">
      <c r="B4955" s="11">
        <f>IFERROR(__xludf.DUMMYFUNCTION("""COMPUTED_VALUE"""),38838.666666666664)</f>
        <v>38838.66667</v>
      </c>
      <c r="C4955" s="9">
        <f>IFERROR(__xludf.DUMMYFUNCTION("""COMPUTED_VALUE"""),49.46)</f>
        <v>49.46</v>
      </c>
      <c r="E4955" s="17"/>
      <c r="M4955" s="17"/>
      <c r="P4955" s="17"/>
    </row>
    <row r="4956">
      <c r="B4956" s="11"/>
      <c r="E4956" s="17"/>
      <c r="M4956" s="17"/>
      <c r="P4956" s="17"/>
    </row>
    <row r="4957">
      <c r="B4957" s="11"/>
      <c r="E4957" s="17"/>
      <c r="M4957" s="17"/>
      <c r="P4957" s="17"/>
    </row>
    <row r="4958">
      <c r="B4958" s="11"/>
      <c r="E4958" s="17"/>
      <c r="M4958" s="17"/>
      <c r="P4958" s="17"/>
    </row>
    <row r="4959">
      <c r="B4959" s="11"/>
      <c r="E4959" s="17"/>
      <c r="M4959" s="17"/>
      <c r="P4959" s="17"/>
    </row>
    <row r="4960">
      <c r="B4960" s="11"/>
      <c r="E4960" s="17"/>
      <c r="M4960" s="17"/>
      <c r="P4960" s="17"/>
    </row>
    <row r="4961">
      <c r="B4961" s="11"/>
      <c r="E4961" s="17"/>
      <c r="M4961" s="17"/>
      <c r="P4961" s="17"/>
    </row>
    <row r="4962">
      <c r="B4962" s="11"/>
      <c r="E4962" s="17"/>
      <c r="M4962" s="17"/>
      <c r="P4962" s="17"/>
    </row>
    <row r="4963">
      <c r="B4963" s="11"/>
      <c r="E4963" s="17"/>
      <c r="M4963" s="17"/>
      <c r="P4963" s="17"/>
    </row>
    <row r="4964">
      <c r="B4964" s="11"/>
      <c r="E4964" s="17"/>
      <c r="M4964" s="17"/>
      <c r="P4964" s="17"/>
    </row>
    <row r="4965">
      <c r="B4965" s="11"/>
      <c r="E4965" s="17"/>
      <c r="M4965" s="17"/>
      <c r="P4965" s="17"/>
    </row>
    <row r="4966">
      <c r="B4966" s="11"/>
      <c r="E4966" s="17"/>
      <c r="M4966" s="17"/>
      <c r="P4966" s="17"/>
    </row>
    <row r="4967">
      <c r="B4967" s="11"/>
      <c r="E4967" s="17"/>
      <c r="M4967" s="17"/>
      <c r="P4967" s="17"/>
    </row>
    <row r="4968">
      <c r="B4968" s="11"/>
      <c r="E4968" s="17"/>
      <c r="M4968" s="17"/>
      <c r="P4968" s="17"/>
    </row>
    <row r="4969">
      <c r="B4969" s="11"/>
      <c r="E4969" s="17"/>
      <c r="M4969" s="17"/>
      <c r="P4969" s="17"/>
    </row>
    <row r="4970">
      <c r="B4970" s="11"/>
      <c r="E4970" s="17"/>
      <c r="M4970" s="17"/>
      <c r="P4970" s="17"/>
    </row>
    <row r="4971">
      <c r="B4971" s="11"/>
      <c r="E4971" s="17"/>
      <c r="M4971" s="17"/>
      <c r="P4971" s="17"/>
    </row>
    <row r="4972">
      <c r="B4972" s="11"/>
      <c r="E4972" s="17"/>
      <c r="M4972" s="17"/>
      <c r="P4972" s="17"/>
    </row>
    <row r="4973">
      <c r="B4973" s="11"/>
      <c r="E4973" s="17"/>
      <c r="M4973" s="17"/>
      <c r="P4973" s="17"/>
    </row>
    <row r="4974">
      <c r="B4974" s="11"/>
      <c r="E4974" s="17"/>
      <c r="M4974" s="17"/>
      <c r="P4974" s="17"/>
    </row>
    <row r="4975">
      <c r="B4975" s="11"/>
      <c r="E4975" s="17"/>
      <c r="M4975" s="17"/>
      <c r="P4975" s="17"/>
    </row>
    <row r="4976">
      <c r="B4976" s="11"/>
      <c r="E4976" s="17"/>
      <c r="M4976" s="17"/>
      <c r="P4976" s="17"/>
    </row>
    <row r="4977">
      <c r="B4977" s="11"/>
      <c r="E4977" s="17"/>
      <c r="M4977" s="17"/>
      <c r="P4977" s="17"/>
    </row>
    <row r="4978">
      <c r="B4978" s="11"/>
      <c r="E4978" s="17"/>
      <c r="M4978" s="17"/>
      <c r="P4978" s="17"/>
    </row>
    <row r="4979">
      <c r="B4979" s="11"/>
      <c r="E4979" s="17"/>
      <c r="M4979" s="17"/>
      <c r="P4979" s="17"/>
    </row>
    <row r="4980">
      <c r="B4980" s="11"/>
      <c r="E4980" s="17"/>
      <c r="M4980" s="17"/>
      <c r="P4980" s="17"/>
    </row>
    <row r="4981">
      <c r="B4981" s="11"/>
      <c r="E4981" s="17"/>
      <c r="M4981" s="17"/>
      <c r="P4981" s="17"/>
    </row>
    <row r="4982">
      <c r="B4982" s="11"/>
      <c r="E4982" s="17"/>
      <c r="M4982" s="17"/>
      <c r="P4982" s="17"/>
    </row>
    <row r="4983">
      <c r="B4983" s="11"/>
      <c r="E4983" s="17"/>
      <c r="M4983" s="17"/>
      <c r="P4983" s="17"/>
    </row>
    <row r="4984">
      <c r="B4984" s="11"/>
      <c r="E4984" s="17"/>
      <c r="M4984" s="17"/>
      <c r="P4984" s="17"/>
    </row>
    <row r="4985">
      <c r="B4985" s="11"/>
      <c r="E4985" s="17"/>
      <c r="M4985" s="17"/>
      <c r="P4985" s="17"/>
    </row>
    <row r="4986">
      <c r="B4986" s="11"/>
      <c r="E4986" s="17"/>
      <c r="M4986" s="17"/>
      <c r="P4986" s="17"/>
    </row>
    <row r="4987">
      <c r="B4987" s="11"/>
      <c r="E4987" s="17"/>
      <c r="M4987" s="17"/>
      <c r="P4987" s="17"/>
    </row>
    <row r="4988">
      <c r="B4988" s="11"/>
      <c r="E4988" s="17"/>
      <c r="M4988" s="17"/>
      <c r="P4988" s="17"/>
    </row>
    <row r="4989">
      <c r="B4989" s="11"/>
      <c r="E4989" s="17"/>
      <c r="M4989" s="17"/>
      <c r="P4989" s="17"/>
    </row>
    <row r="4990">
      <c r="B4990" s="11"/>
      <c r="E4990" s="17"/>
      <c r="M4990" s="17"/>
      <c r="P4990" s="17"/>
    </row>
    <row r="4991">
      <c r="B4991" s="11"/>
      <c r="E4991" s="17"/>
      <c r="M4991" s="17"/>
      <c r="P4991" s="17"/>
    </row>
    <row r="4992">
      <c r="B4992" s="11"/>
      <c r="E4992" s="17"/>
      <c r="M4992" s="17"/>
      <c r="P4992" s="17"/>
    </row>
    <row r="4993">
      <c r="B4993" s="11"/>
      <c r="E4993" s="17"/>
      <c r="M4993" s="17"/>
      <c r="P4993" s="17"/>
    </row>
    <row r="4994">
      <c r="B4994" s="11"/>
      <c r="E4994" s="17"/>
      <c r="M4994" s="17"/>
      <c r="P4994" s="17"/>
    </row>
    <row r="4995">
      <c r="B4995" s="11"/>
      <c r="E4995" s="17"/>
      <c r="M4995" s="17"/>
      <c r="P4995" s="17"/>
    </row>
    <row r="4996">
      <c r="B4996" s="11"/>
      <c r="E4996" s="17"/>
      <c r="M4996" s="17"/>
      <c r="P4996" s="17"/>
    </row>
    <row r="4997">
      <c r="B4997" s="11"/>
      <c r="E4997" s="17"/>
      <c r="M4997" s="17"/>
      <c r="P4997" s="17"/>
    </row>
    <row r="4998">
      <c r="B4998" s="11"/>
      <c r="E4998" s="17"/>
      <c r="M4998" s="17"/>
      <c r="P4998" s="17"/>
    </row>
    <row r="4999">
      <c r="B4999" s="11"/>
      <c r="E4999" s="17"/>
      <c r="M4999" s="17"/>
      <c r="P4999" s="17"/>
    </row>
    <row r="5000">
      <c r="B5000" s="11"/>
      <c r="E5000" s="17"/>
      <c r="M5000" s="17"/>
      <c r="P5000" s="17"/>
    </row>
    <row r="5001">
      <c r="B5001" s="11"/>
      <c r="E5001" s="17"/>
      <c r="M5001" s="17"/>
      <c r="P5001" s="17"/>
    </row>
    <row r="5002">
      <c r="B5002" s="11"/>
      <c r="E5002" s="17"/>
      <c r="M5002" s="17"/>
      <c r="P5002" s="17"/>
    </row>
    <row r="5003">
      <c r="B5003" s="11"/>
      <c r="E5003" s="17"/>
      <c r="M5003" s="17"/>
      <c r="P5003" s="17"/>
    </row>
    <row r="5004">
      <c r="B5004" s="11"/>
      <c r="E5004" s="17"/>
      <c r="M5004" s="17"/>
      <c r="P5004" s="17"/>
    </row>
    <row r="5005">
      <c r="B5005" s="11"/>
      <c r="E5005" s="17"/>
      <c r="M5005" s="17"/>
      <c r="P5005" s="17"/>
    </row>
    <row r="5006">
      <c r="B5006" s="11"/>
      <c r="E5006" s="17"/>
      <c r="M5006" s="17"/>
      <c r="P5006" s="17"/>
    </row>
    <row r="5007">
      <c r="B5007" s="11"/>
      <c r="E5007" s="17"/>
      <c r="M5007" s="17"/>
      <c r="P5007" s="17"/>
    </row>
    <row r="5008">
      <c r="B5008" s="11"/>
      <c r="E5008" s="17"/>
      <c r="M5008" s="17"/>
      <c r="P5008" s="17"/>
    </row>
    <row r="5009">
      <c r="B5009" s="11"/>
      <c r="E5009" s="17"/>
      <c r="M5009" s="17"/>
      <c r="P5009" s="17"/>
    </row>
    <row r="5010">
      <c r="B5010" s="11"/>
      <c r="E5010" s="17"/>
      <c r="M5010" s="17"/>
      <c r="P5010" s="17"/>
    </row>
    <row r="5011">
      <c r="B5011" s="11"/>
      <c r="E5011" s="17"/>
      <c r="M5011" s="17"/>
      <c r="P5011" s="17"/>
    </row>
    <row r="5012">
      <c r="B5012" s="11"/>
      <c r="E5012" s="17"/>
      <c r="M5012" s="17"/>
      <c r="P5012" s="17"/>
    </row>
    <row r="5013">
      <c r="B5013" s="11"/>
      <c r="E5013" s="17"/>
      <c r="M5013" s="17"/>
      <c r="P5013" s="17"/>
    </row>
    <row r="5014">
      <c r="B5014" s="11"/>
      <c r="E5014" s="17"/>
      <c r="M5014" s="17"/>
      <c r="P5014" s="17"/>
    </row>
    <row r="5015">
      <c r="B5015" s="11"/>
      <c r="E5015" s="17"/>
      <c r="M5015" s="17"/>
      <c r="P5015" s="17"/>
    </row>
    <row r="5016">
      <c r="B5016" s="11"/>
      <c r="E5016" s="17"/>
      <c r="M5016" s="17"/>
      <c r="P5016" s="17"/>
    </row>
    <row r="5017">
      <c r="B5017" s="11"/>
      <c r="E5017" s="17"/>
      <c r="M5017" s="17"/>
      <c r="P5017" s="17"/>
    </row>
    <row r="5018">
      <c r="B5018" s="11"/>
      <c r="E5018" s="17"/>
      <c r="M5018" s="17"/>
      <c r="P5018" s="17"/>
    </row>
    <row r="5019">
      <c r="B5019" s="11"/>
      <c r="E5019" s="17"/>
      <c r="M5019" s="17"/>
      <c r="P5019" s="17"/>
    </row>
    <row r="5020">
      <c r="B5020" s="11"/>
      <c r="E5020" s="17"/>
      <c r="M5020" s="17"/>
      <c r="P5020" s="17"/>
    </row>
    <row r="5021">
      <c r="B5021" s="11"/>
      <c r="E5021" s="17"/>
      <c r="M5021" s="17"/>
      <c r="P5021" s="17"/>
    </row>
    <row r="5022">
      <c r="B5022" s="11"/>
      <c r="E5022" s="17"/>
      <c r="M5022" s="17"/>
      <c r="P5022" s="17"/>
    </row>
    <row r="5023">
      <c r="B5023" s="11"/>
      <c r="E5023" s="17"/>
      <c r="M5023" s="17"/>
      <c r="P5023" s="17"/>
    </row>
    <row r="5024">
      <c r="B5024" s="11"/>
      <c r="E5024" s="17"/>
      <c r="M5024" s="17"/>
      <c r="P5024" s="17"/>
    </row>
    <row r="5025">
      <c r="B5025" s="11"/>
      <c r="E5025" s="17"/>
      <c r="M5025" s="17"/>
      <c r="P5025" s="17"/>
    </row>
    <row r="5026">
      <c r="B5026" s="11"/>
      <c r="E5026" s="17"/>
      <c r="M5026" s="17"/>
      <c r="P5026" s="17"/>
    </row>
    <row r="5027">
      <c r="B5027" s="11"/>
      <c r="E5027" s="17"/>
      <c r="M5027" s="17"/>
      <c r="P5027" s="17"/>
    </row>
    <row r="5028">
      <c r="B5028" s="11"/>
      <c r="E5028" s="17"/>
      <c r="M5028" s="17"/>
      <c r="P5028" s="17"/>
    </row>
    <row r="5029">
      <c r="B5029" s="11"/>
      <c r="E5029" s="17"/>
      <c r="M5029" s="17"/>
      <c r="P5029" s="17"/>
    </row>
    <row r="5030">
      <c r="B5030" s="11"/>
      <c r="E5030" s="17"/>
      <c r="M5030" s="17"/>
      <c r="P5030" s="17"/>
    </row>
    <row r="5031">
      <c r="B5031" s="11"/>
      <c r="E5031" s="17"/>
      <c r="M5031" s="17"/>
      <c r="P5031" s="17"/>
    </row>
    <row r="5032">
      <c r="B5032" s="11"/>
      <c r="E5032" s="17"/>
      <c r="M5032" s="17"/>
      <c r="P5032" s="17"/>
    </row>
    <row r="5033">
      <c r="B5033" s="11"/>
      <c r="E5033" s="17"/>
      <c r="M5033" s="17"/>
      <c r="P5033" s="17"/>
    </row>
    <row r="5034">
      <c r="B5034" s="11"/>
      <c r="E5034" s="17"/>
      <c r="M5034" s="17"/>
      <c r="P5034" s="17"/>
    </row>
    <row r="5035">
      <c r="B5035" s="11"/>
      <c r="E5035" s="17"/>
      <c r="M5035" s="17"/>
      <c r="P5035" s="17"/>
    </row>
    <row r="5036">
      <c r="B5036" s="11"/>
      <c r="E5036" s="17"/>
      <c r="M5036" s="17"/>
      <c r="P5036" s="17"/>
    </row>
    <row r="5037">
      <c r="B5037" s="11"/>
      <c r="E5037" s="17"/>
      <c r="M5037" s="17"/>
      <c r="P5037" s="17"/>
    </row>
    <row r="5038">
      <c r="B5038" s="11"/>
      <c r="E5038" s="17"/>
      <c r="M5038" s="17"/>
      <c r="P5038" s="17"/>
    </row>
    <row r="5039">
      <c r="B5039" s="11"/>
      <c r="E5039" s="17"/>
      <c r="M5039" s="17"/>
      <c r="P5039" s="17"/>
    </row>
    <row r="5040">
      <c r="B5040" s="11"/>
      <c r="E5040" s="17"/>
      <c r="M5040" s="17"/>
      <c r="P5040" s="17"/>
    </row>
    <row r="5041">
      <c r="B5041" s="11"/>
      <c r="E5041" s="17"/>
      <c r="M5041" s="17"/>
      <c r="P5041" s="17"/>
    </row>
    <row r="5042">
      <c r="B5042" s="11"/>
      <c r="E5042" s="17"/>
      <c r="M5042" s="17"/>
      <c r="P5042" s="17"/>
    </row>
    <row r="5043">
      <c r="B5043" s="11"/>
      <c r="E5043" s="17"/>
      <c r="M5043" s="17"/>
      <c r="P5043" s="17"/>
    </row>
    <row r="5044">
      <c r="B5044" s="11"/>
      <c r="E5044" s="17"/>
      <c r="M5044" s="17"/>
      <c r="P5044" s="17"/>
    </row>
    <row r="5045">
      <c r="B5045" s="11"/>
      <c r="E5045" s="17"/>
      <c r="M5045" s="17"/>
      <c r="P5045" s="17"/>
    </row>
    <row r="5046">
      <c r="B5046" s="11"/>
      <c r="E5046" s="17"/>
      <c r="M5046" s="17"/>
      <c r="P5046" s="17"/>
    </row>
    <row r="5047">
      <c r="B5047" s="11"/>
      <c r="E5047" s="17"/>
      <c r="M5047" s="17"/>
      <c r="P5047" s="17"/>
    </row>
    <row r="5048">
      <c r="B5048" s="11"/>
      <c r="E5048" s="17"/>
      <c r="M5048" s="17"/>
      <c r="P5048" s="17"/>
    </row>
    <row r="5049">
      <c r="B5049" s="11"/>
      <c r="E5049" s="17"/>
      <c r="M5049" s="17"/>
      <c r="P5049" s="17"/>
    </row>
    <row r="5050">
      <c r="B5050" s="11"/>
      <c r="E5050" s="17"/>
      <c r="M5050" s="17"/>
      <c r="P5050" s="17"/>
    </row>
    <row r="5051">
      <c r="B5051" s="11"/>
      <c r="E5051" s="17"/>
      <c r="M5051" s="17"/>
      <c r="P5051" s="17"/>
    </row>
    <row r="5052">
      <c r="B5052" s="11"/>
      <c r="E5052" s="17"/>
      <c r="M5052" s="17"/>
      <c r="P5052" s="17"/>
    </row>
    <row r="5053">
      <c r="B5053" s="11"/>
      <c r="E5053" s="17"/>
      <c r="M5053" s="17"/>
      <c r="P5053" s="17"/>
    </row>
    <row r="5054">
      <c r="B5054" s="11"/>
      <c r="E5054" s="17"/>
      <c r="M5054" s="17"/>
      <c r="P5054" s="17"/>
    </row>
    <row r="5055">
      <c r="B5055" s="11"/>
      <c r="E5055" s="17"/>
      <c r="M5055" s="17"/>
      <c r="P5055" s="17"/>
    </row>
    <row r="5056">
      <c r="B5056" s="11"/>
      <c r="E5056" s="17"/>
      <c r="M5056" s="17"/>
      <c r="P5056" s="17"/>
    </row>
    <row r="5057">
      <c r="B5057" s="11"/>
      <c r="E5057" s="17"/>
      <c r="M5057" s="17"/>
      <c r="P5057" s="17"/>
    </row>
    <row r="5058">
      <c r="B5058" s="11"/>
      <c r="E5058" s="17"/>
      <c r="M5058" s="17"/>
      <c r="P5058" s="17"/>
    </row>
    <row r="5059">
      <c r="B5059" s="11"/>
      <c r="E5059" s="17"/>
      <c r="M5059" s="17"/>
      <c r="P5059" s="17"/>
    </row>
    <row r="5060">
      <c r="B5060" s="11"/>
      <c r="E5060" s="17"/>
      <c r="M5060" s="17"/>
      <c r="P5060" s="17"/>
    </row>
    <row r="5061">
      <c r="B5061" s="11"/>
      <c r="E5061" s="17"/>
      <c r="M5061" s="17"/>
      <c r="P5061" s="17"/>
    </row>
    <row r="5062">
      <c r="B5062" s="11"/>
      <c r="E5062" s="17"/>
      <c r="M5062" s="17"/>
      <c r="P5062" s="17"/>
    </row>
    <row r="5063">
      <c r="B5063" s="11"/>
      <c r="E5063" s="17"/>
      <c r="M5063" s="17"/>
      <c r="P5063" s="17"/>
    </row>
    <row r="5064">
      <c r="B5064" s="11"/>
      <c r="E5064" s="17"/>
      <c r="M5064" s="17"/>
      <c r="P5064" s="17"/>
    </row>
    <row r="5065">
      <c r="B5065" s="11"/>
      <c r="E5065" s="17"/>
      <c r="M5065" s="17"/>
      <c r="P5065" s="17"/>
    </row>
    <row r="5066">
      <c r="B5066" s="11"/>
      <c r="E5066" s="17"/>
      <c r="M5066" s="17"/>
      <c r="P5066" s="17"/>
    </row>
    <row r="5067">
      <c r="B5067" s="11"/>
      <c r="E5067" s="17"/>
      <c r="M5067" s="17"/>
      <c r="P5067" s="17"/>
    </row>
    <row r="5068">
      <c r="B5068" s="11"/>
      <c r="E5068" s="17"/>
      <c r="M5068" s="17"/>
      <c r="P5068" s="17"/>
    </row>
    <row r="5069">
      <c r="B5069" s="11"/>
      <c r="E5069" s="17"/>
      <c r="M5069" s="17"/>
      <c r="P5069" s="17"/>
    </row>
    <row r="5070">
      <c r="B5070" s="11"/>
      <c r="E5070" s="17"/>
      <c r="M5070" s="17"/>
      <c r="P5070" s="17"/>
    </row>
    <row r="5071">
      <c r="B5071" s="11"/>
      <c r="E5071" s="17"/>
      <c r="M5071" s="17"/>
      <c r="P5071" s="17"/>
    </row>
    <row r="5072">
      <c r="B5072" s="11"/>
      <c r="E5072" s="17"/>
      <c r="M5072" s="17"/>
      <c r="P5072" s="17"/>
    </row>
    <row r="5073">
      <c r="B5073" s="11"/>
      <c r="E5073" s="17"/>
      <c r="M5073" s="17"/>
      <c r="P5073" s="17"/>
    </row>
    <row r="5074">
      <c r="B5074" s="11"/>
      <c r="E5074" s="17"/>
      <c r="M5074" s="17"/>
      <c r="P5074" s="17"/>
    </row>
    <row r="5075">
      <c r="B5075" s="11"/>
      <c r="E5075" s="17"/>
      <c r="M5075" s="17"/>
      <c r="P5075" s="17"/>
    </row>
    <row r="5076">
      <c r="B5076" s="11"/>
      <c r="E5076" s="17"/>
      <c r="M5076" s="17"/>
      <c r="P5076" s="17"/>
    </row>
    <row r="5077">
      <c r="B5077" s="11"/>
      <c r="E5077" s="17"/>
      <c r="M5077" s="17"/>
      <c r="P5077" s="17"/>
    </row>
    <row r="5078">
      <c r="B5078" s="11"/>
      <c r="E5078" s="17"/>
      <c r="M5078" s="17"/>
      <c r="P5078" s="17"/>
    </row>
    <row r="5079">
      <c r="B5079" s="11"/>
      <c r="E5079" s="17"/>
      <c r="M5079" s="17"/>
      <c r="P5079" s="17"/>
    </row>
    <row r="5080">
      <c r="B5080" s="11"/>
      <c r="E5080" s="17"/>
      <c r="M5080" s="17"/>
      <c r="P5080" s="17"/>
    </row>
    <row r="5081">
      <c r="B5081" s="11"/>
      <c r="E5081" s="17"/>
      <c r="M5081" s="17"/>
      <c r="P5081" s="17"/>
    </row>
    <row r="5082">
      <c r="B5082" s="11"/>
      <c r="E5082" s="17"/>
      <c r="M5082" s="17"/>
      <c r="P5082" s="17"/>
    </row>
    <row r="5083">
      <c r="B5083" s="11"/>
      <c r="E5083" s="17"/>
      <c r="M5083" s="17"/>
      <c r="P5083" s="17"/>
    </row>
    <row r="5084">
      <c r="B5084" s="11"/>
      <c r="E5084" s="17"/>
      <c r="M5084" s="17"/>
      <c r="P5084" s="17"/>
    </row>
    <row r="5085">
      <c r="B5085" s="11"/>
      <c r="E5085" s="17"/>
      <c r="M5085" s="17"/>
      <c r="P5085" s="17"/>
    </row>
    <row r="5086">
      <c r="B5086" s="11"/>
      <c r="E5086" s="17"/>
      <c r="M5086" s="17"/>
      <c r="P5086" s="17"/>
    </row>
    <row r="5087">
      <c r="B5087" s="11"/>
      <c r="E5087" s="17"/>
      <c r="M5087" s="17"/>
      <c r="P5087" s="17"/>
    </row>
    <row r="5088">
      <c r="B5088" s="11"/>
      <c r="E5088" s="17"/>
      <c r="M5088" s="17"/>
      <c r="P5088" s="17"/>
    </row>
    <row r="5089">
      <c r="B5089" s="11"/>
      <c r="E5089" s="17"/>
      <c r="M5089" s="17"/>
      <c r="P5089" s="17"/>
    </row>
    <row r="5090">
      <c r="B5090" s="11"/>
      <c r="E5090" s="17"/>
      <c r="M5090" s="17"/>
      <c r="P5090" s="17"/>
    </row>
    <row r="5091">
      <c r="B5091" s="11"/>
      <c r="E5091" s="17"/>
      <c r="M5091" s="17"/>
      <c r="P5091" s="17"/>
    </row>
    <row r="5092">
      <c r="B5092" s="11"/>
      <c r="E5092" s="17"/>
      <c r="M5092" s="17"/>
      <c r="P5092" s="17"/>
    </row>
    <row r="5093">
      <c r="B5093" s="11"/>
      <c r="E5093" s="17"/>
      <c r="M5093" s="17"/>
      <c r="P5093" s="17"/>
    </row>
    <row r="5094">
      <c r="B5094" s="11"/>
      <c r="E5094" s="17"/>
      <c r="M5094" s="17"/>
      <c r="P5094" s="17"/>
    </row>
    <row r="5095">
      <c r="B5095" s="11"/>
      <c r="E5095" s="17"/>
      <c r="M5095" s="17"/>
      <c r="P5095" s="17"/>
    </row>
    <row r="5096">
      <c r="B5096" s="11"/>
      <c r="E5096" s="17"/>
      <c r="M5096" s="17"/>
      <c r="P5096" s="17"/>
    </row>
    <row r="5097">
      <c r="B5097" s="11"/>
      <c r="E5097" s="17"/>
      <c r="M5097" s="17"/>
      <c r="P5097" s="17"/>
    </row>
    <row r="5098">
      <c r="B5098" s="11"/>
      <c r="E5098" s="17"/>
      <c r="M5098" s="17"/>
      <c r="P5098" s="17"/>
    </row>
    <row r="5099">
      <c r="B5099" s="11"/>
      <c r="E5099" s="17"/>
      <c r="M5099" s="17"/>
      <c r="P5099" s="17"/>
    </row>
    <row r="5100">
      <c r="B5100" s="11"/>
      <c r="E5100" s="17"/>
      <c r="M5100" s="17"/>
      <c r="P5100" s="17"/>
    </row>
    <row r="5101">
      <c r="B5101" s="11"/>
      <c r="E5101" s="17"/>
      <c r="M5101" s="17"/>
      <c r="P5101" s="17"/>
    </row>
    <row r="5102">
      <c r="B5102" s="11"/>
      <c r="E5102" s="17"/>
      <c r="M5102" s="17"/>
      <c r="P5102" s="17"/>
    </row>
    <row r="5103">
      <c r="B5103" s="11"/>
      <c r="E5103" s="17"/>
      <c r="M5103" s="17"/>
      <c r="P5103" s="17"/>
    </row>
    <row r="5104">
      <c r="B5104" s="11"/>
      <c r="E5104" s="17"/>
      <c r="M5104" s="17"/>
      <c r="P5104" s="17"/>
    </row>
    <row r="5105">
      <c r="B5105" s="11"/>
      <c r="E5105" s="17"/>
      <c r="M5105" s="17"/>
      <c r="P5105" s="17"/>
    </row>
    <row r="5106">
      <c r="B5106" s="11"/>
      <c r="E5106" s="17"/>
      <c r="M5106" s="17"/>
      <c r="P5106" s="17"/>
    </row>
    <row r="5107">
      <c r="B5107" s="11"/>
      <c r="E5107" s="17"/>
      <c r="M5107" s="17"/>
      <c r="P5107" s="17"/>
    </row>
    <row r="5108">
      <c r="B5108" s="11"/>
      <c r="E5108" s="17"/>
      <c r="M5108" s="17"/>
      <c r="P5108" s="17"/>
    </row>
    <row r="5109">
      <c r="B5109" s="11"/>
      <c r="E5109" s="17"/>
      <c r="M5109" s="17"/>
      <c r="P5109" s="17"/>
    </row>
    <row r="5110">
      <c r="B5110" s="11"/>
      <c r="E5110" s="17"/>
      <c r="M5110" s="17"/>
      <c r="P5110" s="17"/>
    </row>
    <row r="5111">
      <c r="B5111" s="11"/>
      <c r="E5111" s="17"/>
      <c r="M5111" s="17"/>
      <c r="P5111" s="17"/>
    </row>
    <row r="5112">
      <c r="B5112" s="11"/>
      <c r="E5112" s="17"/>
      <c r="M5112" s="17"/>
      <c r="P5112" s="17"/>
    </row>
    <row r="5113">
      <c r="B5113" s="11"/>
      <c r="E5113" s="17"/>
      <c r="M5113" s="17"/>
      <c r="P5113" s="17"/>
    </row>
    <row r="5114">
      <c r="B5114" s="11"/>
      <c r="E5114" s="17"/>
      <c r="M5114" s="17"/>
      <c r="P5114" s="17"/>
    </row>
    <row r="5115">
      <c r="B5115" s="11"/>
      <c r="E5115" s="17"/>
      <c r="M5115" s="17"/>
      <c r="P5115" s="17"/>
    </row>
    <row r="5116">
      <c r="B5116" s="11"/>
      <c r="E5116" s="17"/>
      <c r="M5116" s="17"/>
      <c r="P5116" s="17"/>
    </row>
    <row r="5117">
      <c r="B5117" s="11"/>
      <c r="E5117" s="17"/>
      <c r="M5117" s="17"/>
      <c r="P5117" s="17"/>
    </row>
    <row r="5118">
      <c r="B5118" s="11"/>
      <c r="E5118" s="17"/>
      <c r="M5118" s="17"/>
      <c r="P5118" s="17"/>
    </row>
    <row r="5119">
      <c r="B5119" s="11"/>
      <c r="E5119" s="17"/>
      <c r="M5119" s="17"/>
      <c r="P5119" s="17"/>
    </row>
    <row r="5120">
      <c r="B5120" s="11"/>
      <c r="E5120" s="17"/>
      <c r="M5120" s="17"/>
      <c r="P5120" s="17"/>
    </row>
    <row r="5121">
      <c r="B5121" s="11"/>
      <c r="E5121" s="17"/>
      <c r="M5121" s="17"/>
      <c r="P5121" s="17"/>
    </row>
    <row r="5122">
      <c r="B5122" s="11"/>
      <c r="E5122" s="17"/>
      <c r="M5122" s="17"/>
      <c r="P5122" s="17"/>
    </row>
    <row r="5123">
      <c r="B5123" s="11"/>
      <c r="E5123" s="17"/>
      <c r="M5123" s="17"/>
      <c r="P5123" s="17"/>
    </row>
    <row r="5124">
      <c r="B5124" s="11"/>
      <c r="E5124" s="17"/>
      <c r="M5124" s="17"/>
      <c r="P5124" s="17"/>
    </row>
    <row r="5125">
      <c r="B5125" s="11"/>
      <c r="E5125" s="17"/>
      <c r="M5125" s="17"/>
      <c r="P5125" s="17"/>
    </row>
    <row r="5126">
      <c r="B5126" s="11"/>
      <c r="E5126" s="17"/>
      <c r="M5126" s="17"/>
      <c r="P5126" s="17"/>
    </row>
    <row r="5127">
      <c r="B5127" s="11"/>
      <c r="E5127" s="17"/>
      <c r="M5127" s="17"/>
      <c r="P5127" s="17"/>
    </row>
    <row r="5128">
      <c r="B5128" s="11"/>
      <c r="E5128" s="17"/>
      <c r="M5128" s="17"/>
      <c r="P5128" s="17"/>
    </row>
    <row r="5129">
      <c r="B5129" s="11"/>
      <c r="E5129" s="17"/>
      <c r="M5129" s="17"/>
      <c r="P5129" s="17"/>
    </row>
    <row r="5130">
      <c r="B5130" s="11"/>
      <c r="E5130" s="17"/>
      <c r="M5130" s="17"/>
      <c r="P5130" s="17"/>
    </row>
    <row r="5131">
      <c r="B5131" s="11"/>
      <c r="E5131" s="17"/>
      <c r="M5131" s="17"/>
      <c r="P5131" s="17"/>
    </row>
    <row r="5132">
      <c r="B5132" s="11"/>
      <c r="E5132" s="17"/>
      <c r="M5132" s="17"/>
      <c r="P5132" s="17"/>
    </row>
    <row r="5133">
      <c r="B5133" s="11"/>
      <c r="E5133" s="17"/>
      <c r="M5133" s="17"/>
      <c r="P5133" s="17"/>
    </row>
    <row r="5134">
      <c r="B5134" s="11"/>
      <c r="E5134" s="17"/>
      <c r="M5134" s="17"/>
      <c r="P5134" s="17"/>
    </row>
    <row r="5135">
      <c r="B5135" s="11"/>
      <c r="E5135" s="17"/>
      <c r="M5135" s="17"/>
      <c r="P5135" s="17"/>
    </row>
    <row r="5136">
      <c r="B5136" s="11"/>
      <c r="E5136" s="17"/>
      <c r="M5136" s="17"/>
      <c r="P5136" s="17"/>
    </row>
    <row r="5137">
      <c r="B5137" s="11"/>
      <c r="E5137" s="17"/>
      <c r="M5137" s="17"/>
      <c r="P5137" s="17"/>
    </row>
    <row r="5138">
      <c r="B5138" s="11"/>
      <c r="E5138" s="17"/>
      <c r="M5138" s="17"/>
      <c r="P5138" s="17"/>
    </row>
    <row r="5139">
      <c r="B5139" s="11"/>
      <c r="E5139" s="17"/>
      <c r="M5139" s="17"/>
      <c r="P5139" s="17"/>
    </row>
    <row r="5140">
      <c r="B5140" s="11"/>
      <c r="E5140" s="17"/>
      <c r="M5140" s="17"/>
      <c r="P5140" s="17"/>
    </row>
    <row r="5141">
      <c r="B5141" s="11"/>
      <c r="E5141" s="17"/>
      <c r="M5141" s="17"/>
      <c r="P5141" s="17"/>
    </row>
    <row r="5142">
      <c r="B5142" s="11"/>
      <c r="E5142" s="17"/>
      <c r="M5142" s="17"/>
      <c r="P5142" s="17"/>
    </row>
    <row r="5143">
      <c r="B5143" s="11"/>
      <c r="E5143" s="17"/>
      <c r="M5143" s="17"/>
      <c r="P5143" s="17"/>
    </row>
    <row r="5144">
      <c r="B5144" s="11"/>
      <c r="E5144" s="17"/>
      <c r="M5144" s="17"/>
      <c r="P5144" s="17"/>
    </row>
    <row r="5145">
      <c r="B5145" s="11"/>
      <c r="E5145" s="17"/>
      <c r="M5145" s="17"/>
      <c r="P5145" s="17"/>
    </row>
    <row r="5146">
      <c r="B5146" s="11"/>
      <c r="E5146" s="17"/>
      <c r="M5146" s="17"/>
      <c r="P5146" s="17"/>
    </row>
    <row r="5147">
      <c r="B5147" s="11"/>
      <c r="E5147" s="17"/>
      <c r="M5147" s="17"/>
      <c r="P5147" s="17"/>
    </row>
    <row r="5148">
      <c r="B5148" s="11"/>
      <c r="E5148" s="17"/>
      <c r="M5148" s="17"/>
      <c r="P5148" s="17"/>
    </row>
    <row r="5149">
      <c r="B5149" s="11"/>
      <c r="E5149" s="17"/>
      <c r="M5149" s="17"/>
      <c r="P5149" s="17"/>
    </row>
    <row r="5150">
      <c r="B5150" s="11"/>
      <c r="E5150" s="17"/>
      <c r="M5150" s="17"/>
      <c r="P5150" s="17"/>
    </row>
    <row r="5151">
      <c r="B5151" s="11"/>
      <c r="E5151" s="17"/>
      <c r="M5151" s="17"/>
      <c r="P5151" s="17"/>
    </row>
    <row r="5152">
      <c r="B5152" s="11"/>
      <c r="E5152" s="17"/>
      <c r="M5152" s="17"/>
      <c r="P5152" s="17"/>
    </row>
    <row r="5153">
      <c r="B5153" s="11"/>
      <c r="E5153" s="17"/>
      <c r="M5153" s="17"/>
      <c r="P5153" s="17"/>
    </row>
    <row r="5154">
      <c r="B5154" s="11"/>
      <c r="E5154" s="17"/>
      <c r="M5154" s="17"/>
      <c r="P5154" s="17"/>
    </row>
    <row r="5155">
      <c r="B5155" s="11"/>
      <c r="E5155" s="17"/>
      <c r="M5155" s="17"/>
      <c r="P5155" s="17"/>
    </row>
    <row r="5156">
      <c r="B5156" s="11"/>
      <c r="E5156" s="17"/>
      <c r="M5156" s="17"/>
      <c r="P5156" s="17"/>
    </row>
    <row r="5157">
      <c r="B5157" s="11"/>
      <c r="E5157" s="17"/>
      <c r="M5157" s="17"/>
      <c r="P5157" s="17"/>
    </row>
    <row r="5158">
      <c r="B5158" s="11"/>
      <c r="E5158" s="17"/>
      <c r="M5158" s="17"/>
      <c r="P5158" s="17"/>
    </row>
    <row r="5159">
      <c r="B5159" s="11"/>
      <c r="E5159" s="17"/>
      <c r="M5159" s="17"/>
      <c r="P5159" s="17"/>
    </row>
    <row r="5160">
      <c r="B5160" s="11"/>
      <c r="E5160" s="17"/>
      <c r="M5160" s="17"/>
      <c r="P5160" s="17"/>
    </row>
    <row r="5161">
      <c r="B5161" s="11"/>
      <c r="E5161" s="17"/>
      <c r="M5161" s="17"/>
      <c r="P5161" s="17"/>
    </row>
    <row r="5162">
      <c r="B5162" s="11"/>
      <c r="E5162" s="17"/>
      <c r="M5162" s="17"/>
      <c r="P5162" s="17"/>
    </row>
    <row r="5163">
      <c r="B5163" s="11"/>
      <c r="E5163" s="17"/>
      <c r="M5163" s="17"/>
      <c r="P5163" s="17"/>
    </row>
    <row r="5164">
      <c r="B5164" s="11"/>
      <c r="E5164" s="17"/>
      <c r="M5164" s="17"/>
      <c r="P5164" s="17"/>
    </row>
    <row r="5165">
      <c r="B5165" s="11"/>
      <c r="E5165" s="17"/>
      <c r="M5165" s="17"/>
      <c r="P5165" s="17"/>
    </row>
    <row r="5166">
      <c r="B5166" s="11"/>
      <c r="E5166" s="17"/>
      <c r="M5166" s="17"/>
      <c r="P5166" s="17"/>
    </row>
    <row r="5167">
      <c r="B5167" s="11"/>
      <c r="E5167" s="17"/>
      <c r="M5167" s="17"/>
      <c r="P5167" s="17"/>
    </row>
    <row r="5168">
      <c r="B5168" s="11"/>
      <c r="E5168" s="17"/>
      <c r="M5168" s="17"/>
      <c r="P5168" s="17"/>
    </row>
    <row r="5169">
      <c r="B5169" s="11"/>
      <c r="E5169" s="17"/>
      <c r="M5169" s="17"/>
      <c r="P5169" s="17"/>
    </row>
    <row r="5170">
      <c r="B5170" s="11"/>
      <c r="E5170" s="17"/>
      <c r="M5170" s="17"/>
      <c r="P5170" s="17"/>
    </row>
    <row r="5171">
      <c r="B5171" s="11"/>
      <c r="E5171" s="17"/>
      <c r="M5171" s="17"/>
      <c r="P5171" s="17"/>
    </row>
    <row r="5172">
      <c r="B5172" s="11"/>
      <c r="E5172" s="17"/>
      <c r="M5172" s="17"/>
      <c r="P5172" s="17"/>
    </row>
    <row r="5173">
      <c r="B5173" s="11"/>
      <c r="E5173" s="17"/>
      <c r="M5173" s="17"/>
      <c r="P5173" s="17"/>
    </row>
    <row r="5174">
      <c r="B5174" s="11"/>
      <c r="E5174" s="17"/>
      <c r="M5174" s="17"/>
      <c r="P5174" s="17"/>
    </row>
    <row r="5175">
      <c r="B5175" s="11"/>
      <c r="E5175" s="17"/>
      <c r="M5175" s="17"/>
      <c r="P5175" s="17"/>
    </row>
    <row r="5176">
      <c r="B5176" s="11"/>
      <c r="E5176" s="17"/>
      <c r="M5176" s="17"/>
      <c r="P5176" s="17"/>
    </row>
    <row r="5177">
      <c r="B5177" s="11"/>
      <c r="E5177" s="17"/>
      <c r="M5177" s="17"/>
      <c r="P5177" s="17"/>
    </row>
    <row r="5178">
      <c r="B5178" s="11"/>
      <c r="E5178" s="17"/>
      <c r="M5178" s="17"/>
      <c r="P5178" s="17"/>
    </row>
    <row r="5179">
      <c r="B5179" s="11"/>
      <c r="E5179" s="17"/>
      <c r="M5179" s="17"/>
      <c r="P5179" s="17"/>
    </row>
    <row r="5180">
      <c r="B5180" s="11"/>
      <c r="E5180" s="17"/>
      <c r="M5180" s="17"/>
      <c r="P5180" s="17"/>
    </row>
    <row r="5181">
      <c r="B5181" s="11"/>
      <c r="E5181" s="17"/>
      <c r="M5181" s="17"/>
      <c r="P5181" s="17"/>
    </row>
    <row r="5182">
      <c r="B5182" s="11"/>
      <c r="E5182" s="17"/>
      <c r="M5182" s="17"/>
      <c r="P5182" s="17"/>
    </row>
    <row r="5183">
      <c r="B5183" s="11"/>
      <c r="E5183" s="17"/>
      <c r="M5183" s="17"/>
      <c r="P5183" s="17"/>
    </row>
    <row r="5184">
      <c r="B5184" s="11"/>
      <c r="E5184" s="17"/>
      <c r="M5184" s="17"/>
      <c r="P5184" s="17"/>
    </row>
    <row r="5185">
      <c r="B5185" s="11"/>
      <c r="E5185" s="17"/>
      <c r="M5185" s="17"/>
      <c r="P5185" s="17"/>
    </row>
    <row r="5186">
      <c r="B5186" s="11"/>
      <c r="E5186" s="17"/>
      <c r="M5186" s="17"/>
      <c r="P5186" s="17"/>
    </row>
    <row r="5187">
      <c r="B5187" s="11"/>
      <c r="E5187" s="17"/>
      <c r="M5187" s="17"/>
      <c r="P5187" s="17"/>
    </row>
    <row r="5188">
      <c r="B5188" s="11"/>
      <c r="E5188" s="17"/>
      <c r="M5188" s="17"/>
      <c r="P5188" s="17"/>
    </row>
    <row r="5189">
      <c r="B5189" s="11"/>
      <c r="E5189" s="17"/>
      <c r="M5189" s="17"/>
      <c r="P5189" s="17"/>
    </row>
    <row r="5190">
      <c r="B5190" s="11"/>
      <c r="E5190" s="17"/>
      <c r="M5190" s="17"/>
      <c r="P5190" s="17"/>
    </row>
    <row r="5191">
      <c r="B5191" s="11"/>
      <c r="E5191" s="17"/>
      <c r="M5191" s="17"/>
      <c r="P5191" s="17"/>
    </row>
    <row r="5192">
      <c r="B5192" s="11"/>
      <c r="E5192" s="17"/>
      <c r="M5192" s="17"/>
      <c r="P5192" s="17"/>
    </row>
    <row r="5193">
      <c r="B5193" s="11"/>
      <c r="E5193" s="17"/>
      <c r="M5193" s="17"/>
      <c r="P5193" s="17"/>
    </row>
    <row r="5194">
      <c r="B5194" s="11"/>
      <c r="E5194" s="17"/>
      <c r="M5194" s="17"/>
      <c r="P5194" s="17"/>
    </row>
    <row r="5195">
      <c r="B5195" s="11"/>
      <c r="E5195" s="17"/>
      <c r="M5195" s="17"/>
      <c r="P5195" s="17"/>
    </row>
    <row r="5196">
      <c r="B5196" s="11"/>
      <c r="E5196" s="17"/>
      <c r="M5196" s="17"/>
      <c r="P5196" s="17"/>
    </row>
    <row r="5197">
      <c r="B5197" s="11"/>
      <c r="E5197" s="17"/>
      <c r="M5197" s="17"/>
      <c r="P5197" s="17"/>
    </row>
    <row r="5198">
      <c r="B5198" s="11"/>
      <c r="E5198" s="17"/>
      <c r="M5198" s="17"/>
      <c r="P5198" s="17"/>
    </row>
    <row r="5199">
      <c r="B5199" s="11"/>
      <c r="E5199" s="17"/>
      <c r="M5199" s="17"/>
      <c r="P5199" s="17"/>
    </row>
    <row r="5200">
      <c r="B5200" s="11"/>
      <c r="E5200" s="17"/>
      <c r="M5200" s="17"/>
      <c r="P5200" s="17"/>
    </row>
    <row r="5201">
      <c r="B5201" s="11"/>
      <c r="E5201" s="17"/>
      <c r="M5201" s="17"/>
      <c r="P5201" s="17"/>
    </row>
    <row r="5202">
      <c r="B5202" s="11"/>
      <c r="E5202" s="17"/>
      <c r="M5202" s="17"/>
      <c r="P5202" s="17"/>
    </row>
    <row r="5203">
      <c r="B5203" s="11"/>
      <c r="E5203" s="17"/>
      <c r="M5203" s="17"/>
      <c r="P5203" s="17"/>
    </row>
    <row r="5204">
      <c r="B5204" s="11"/>
      <c r="E5204" s="17"/>
      <c r="M5204" s="17"/>
      <c r="P5204" s="17"/>
    </row>
    <row r="5205">
      <c r="B5205" s="11"/>
      <c r="E5205" s="17"/>
      <c r="M5205" s="17"/>
      <c r="P5205" s="17"/>
    </row>
    <row r="5206">
      <c r="B5206" s="11"/>
      <c r="E5206" s="17"/>
      <c r="M5206" s="17"/>
      <c r="P5206" s="17"/>
    </row>
    <row r="5207">
      <c r="B5207" s="11"/>
      <c r="E5207" s="17"/>
      <c r="M5207" s="17"/>
      <c r="P5207" s="17"/>
    </row>
    <row r="5208">
      <c r="B5208" s="11"/>
      <c r="E5208" s="17"/>
      <c r="M5208" s="17"/>
      <c r="P5208" s="17"/>
    </row>
    <row r="5209">
      <c r="B5209" s="11"/>
      <c r="E5209" s="17"/>
      <c r="M5209" s="17"/>
      <c r="P5209" s="17"/>
    </row>
    <row r="5210">
      <c r="B5210" s="11"/>
      <c r="E5210" s="17"/>
      <c r="M5210" s="17"/>
      <c r="P5210" s="17"/>
    </row>
    <row r="5211">
      <c r="B5211" s="11"/>
      <c r="E5211" s="17"/>
      <c r="M5211" s="17"/>
      <c r="P5211" s="17"/>
    </row>
    <row r="5212">
      <c r="B5212" s="11"/>
      <c r="E5212" s="17"/>
      <c r="M5212" s="17"/>
      <c r="P5212" s="17"/>
    </row>
    <row r="5213">
      <c r="B5213" s="11"/>
      <c r="E5213" s="17"/>
      <c r="M5213" s="17"/>
      <c r="P5213" s="17"/>
    </row>
    <row r="5214">
      <c r="B5214" s="11"/>
      <c r="E5214" s="17"/>
      <c r="M5214" s="17"/>
      <c r="P5214" s="17"/>
    </row>
    <row r="5215">
      <c r="B5215" s="11"/>
      <c r="E5215" s="17"/>
      <c r="M5215" s="17"/>
      <c r="P5215" s="17"/>
    </row>
    <row r="5216">
      <c r="B5216" s="11"/>
      <c r="E5216" s="17"/>
      <c r="M5216" s="17"/>
      <c r="P5216" s="17"/>
    </row>
    <row r="5217">
      <c r="B5217" s="11"/>
      <c r="E5217" s="17"/>
      <c r="M5217" s="17"/>
      <c r="P5217" s="17"/>
    </row>
    <row r="5218">
      <c r="B5218" s="11"/>
      <c r="E5218" s="17"/>
      <c r="M5218" s="17"/>
      <c r="P5218" s="17"/>
    </row>
    <row r="5219">
      <c r="B5219" s="11"/>
      <c r="E5219" s="17"/>
      <c r="M5219" s="17"/>
      <c r="P5219" s="17"/>
    </row>
    <row r="5220">
      <c r="B5220" s="11"/>
      <c r="E5220" s="17"/>
      <c r="M5220" s="17"/>
      <c r="P5220" s="17"/>
    </row>
    <row r="5221">
      <c r="B5221" s="11"/>
      <c r="E5221" s="17"/>
      <c r="M5221" s="17"/>
      <c r="P5221" s="17"/>
    </row>
    <row r="5222">
      <c r="B5222" s="11"/>
      <c r="E5222" s="17"/>
      <c r="M5222" s="17"/>
      <c r="P5222" s="17"/>
    </row>
    <row r="5223">
      <c r="B5223" s="11"/>
      <c r="E5223" s="17"/>
      <c r="M5223" s="17"/>
      <c r="P5223" s="17"/>
    </row>
    <row r="5224">
      <c r="B5224" s="11"/>
      <c r="E5224" s="17"/>
      <c r="M5224" s="17"/>
      <c r="P5224" s="17"/>
    </row>
    <row r="5225">
      <c r="B5225" s="11"/>
      <c r="E5225" s="17"/>
      <c r="M5225" s="17"/>
      <c r="P5225" s="17"/>
    </row>
    <row r="5226">
      <c r="B5226" s="11"/>
      <c r="E5226" s="17"/>
      <c r="M5226" s="17"/>
      <c r="P5226" s="17"/>
    </row>
    <row r="5227">
      <c r="B5227" s="11"/>
      <c r="E5227" s="17"/>
      <c r="M5227" s="17"/>
      <c r="P5227" s="17"/>
    </row>
    <row r="5228">
      <c r="B5228" s="11"/>
      <c r="E5228" s="17"/>
      <c r="M5228" s="17"/>
      <c r="P5228" s="17"/>
    </row>
    <row r="5229">
      <c r="B5229" s="11"/>
      <c r="E5229" s="17"/>
      <c r="M5229" s="17"/>
      <c r="P5229" s="17"/>
    </row>
    <row r="5230">
      <c r="B5230" s="11"/>
      <c r="E5230" s="17"/>
      <c r="M5230" s="17"/>
      <c r="P5230" s="17"/>
    </row>
    <row r="5231">
      <c r="B5231" s="11"/>
      <c r="E5231" s="17"/>
      <c r="M5231" s="17"/>
      <c r="P5231" s="17"/>
    </row>
    <row r="5232">
      <c r="B5232" s="11"/>
      <c r="E5232" s="17"/>
      <c r="M5232" s="17"/>
      <c r="P5232" s="17"/>
    </row>
    <row r="5233">
      <c r="B5233" s="11"/>
      <c r="E5233" s="17"/>
      <c r="M5233" s="17"/>
      <c r="P5233" s="17"/>
    </row>
    <row r="5234">
      <c r="B5234" s="11"/>
      <c r="E5234" s="17"/>
      <c r="M5234" s="17"/>
      <c r="P5234" s="17"/>
    </row>
    <row r="5235">
      <c r="B5235" s="11"/>
      <c r="E5235" s="17"/>
      <c r="M5235" s="17"/>
      <c r="P5235" s="17"/>
    </row>
    <row r="5236">
      <c r="B5236" s="11"/>
      <c r="E5236" s="17"/>
      <c r="M5236" s="17"/>
      <c r="P5236" s="17"/>
    </row>
    <row r="5237">
      <c r="B5237" s="11"/>
      <c r="E5237" s="17"/>
      <c r="M5237" s="17"/>
      <c r="P5237" s="17"/>
    </row>
    <row r="5238">
      <c r="B5238" s="11"/>
      <c r="E5238" s="17"/>
      <c r="M5238" s="17"/>
      <c r="P5238" s="17"/>
    </row>
    <row r="5239">
      <c r="B5239" s="11"/>
      <c r="E5239" s="17"/>
      <c r="M5239" s="17"/>
      <c r="P5239" s="17"/>
    </row>
    <row r="5240">
      <c r="B5240" s="11"/>
      <c r="E5240" s="17"/>
      <c r="M5240" s="17"/>
      <c r="P5240" s="17"/>
    </row>
    <row r="5241">
      <c r="B5241" s="11"/>
      <c r="E5241" s="17"/>
      <c r="M5241" s="17"/>
      <c r="P5241" s="17"/>
    </row>
    <row r="5242">
      <c r="B5242" s="11"/>
      <c r="E5242" s="17"/>
      <c r="M5242" s="17"/>
      <c r="P5242" s="17"/>
    </row>
    <row r="5243">
      <c r="B5243" s="11"/>
      <c r="E5243" s="17"/>
      <c r="M5243" s="17"/>
      <c r="P5243" s="17"/>
    </row>
    <row r="5244">
      <c r="B5244" s="11"/>
      <c r="E5244" s="17"/>
      <c r="M5244" s="17"/>
      <c r="P5244" s="17"/>
    </row>
    <row r="5245">
      <c r="B5245" s="11"/>
      <c r="E5245" s="17"/>
      <c r="M5245" s="17"/>
      <c r="P5245" s="17"/>
    </row>
    <row r="5246">
      <c r="B5246" s="11"/>
      <c r="E5246" s="17"/>
      <c r="M5246" s="17"/>
      <c r="P5246" s="17"/>
    </row>
    <row r="5247">
      <c r="B5247" s="11"/>
      <c r="E5247" s="17"/>
      <c r="M5247" s="17"/>
      <c r="P5247" s="17"/>
    </row>
    <row r="5248">
      <c r="B5248" s="11"/>
      <c r="E5248" s="17"/>
      <c r="M5248" s="17"/>
      <c r="P5248" s="17"/>
    </row>
    <row r="5249">
      <c r="B5249" s="11"/>
      <c r="E5249" s="17"/>
      <c r="M5249" s="17"/>
      <c r="P5249" s="17"/>
    </row>
    <row r="5250">
      <c r="B5250" s="11"/>
      <c r="E5250" s="17"/>
      <c r="M5250" s="17"/>
      <c r="P5250" s="17"/>
    </row>
    <row r="5251">
      <c r="B5251" s="11"/>
      <c r="E5251" s="17"/>
      <c r="M5251" s="17"/>
      <c r="P5251" s="17"/>
    </row>
    <row r="5252">
      <c r="B5252" s="11"/>
      <c r="E5252" s="17"/>
      <c r="M5252" s="17"/>
      <c r="P5252" s="17"/>
    </row>
    <row r="5253">
      <c r="B5253" s="11"/>
      <c r="E5253" s="17"/>
      <c r="M5253" s="17"/>
      <c r="P5253" s="17"/>
    </row>
    <row r="5254">
      <c r="B5254" s="11"/>
      <c r="E5254" s="17"/>
      <c r="M5254" s="17"/>
      <c r="P5254" s="17"/>
    </row>
    <row r="5255">
      <c r="B5255" s="11"/>
      <c r="E5255" s="17"/>
      <c r="M5255" s="17"/>
      <c r="P5255" s="1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79</v>
      </c>
      <c r="B1" s="34"/>
    </row>
    <row r="2">
      <c r="B2" s="34"/>
    </row>
    <row r="3">
      <c r="A3" s="10"/>
      <c r="B3" s="34" t="str">
        <f>IFERROR(__xludf.DUMMYFUNCTION("SORT(IMPORTDATA(""https://fred.stlouisfed.org/graph/fredgraph.csv?id=DRTSCILM""),1,FALSE)"),"observation_date")</f>
        <v>observation_date</v>
      </c>
      <c r="C3" s="9" t="str">
        <f>IFERROR(__xludf.DUMMYFUNCTION("""COMPUTED_VALUE"""),"DRTSCILM")</f>
        <v>DRTSCILM</v>
      </c>
      <c r="E3" s="24" t="s">
        <v>67</v>
      </c>
    </row>
    <row r="4">
      <c r="B4" s="34">
        <f>IFERROR(__xludf.DUMMYFUNCTION("""COMPUTED_VALUE"""),45931.0)</f>
        <v>45931</v>
      </c>
      <c r="C4" s="9">
        <f>IFERROR(__xludf.DUMMYFUNCTION("""COMPUTED_VALUE"""),6.5)</f>
        <v>6.5</v>
      </c>
      <c r="E4" s="43">
        <f>IFERROR(__xludf.DUMMYFUNCTION("QUERY(B:C, ""SELECT B, C WHERE B &gt;= DATE '"" &amp; TEXT(TODAY()-365*5, ""yyyy-MM-dd"") &amp; ""' ORDER BY B DESC"", 1)"),45931.0)</f>
        <v>45931</v>
      </c>
      <c r="F4" s="9">
        <f>IFERROR(__xludf.DUMMYFUNCTION("""COMPUTED_VALUE"""),6.5)</f>
        <v>6.5</v>
      </c>
    </row>
    <row r="5">
      <c r="B5" s="34">
        <f>IFERROR(__xludf.DUMMYFUNCTION("""COMPUTED_VALUE"""),45839.0)</f>
        <v>45839</v>
      </c>
      <c r="C5" s="9">
        <f>IFERROR(__xludf.DUMMYFUNCTION("""COMPUTED_VALUE"""),9.5)</f>
        <v>9.5</v>
      </c>
      <c r="E5" s="34">
        <f>IFERROR(__xludf.DUMMYFUNCTION("""COMPUTED_VALUE"""),45839.0)</f>
        <v>45839</v>
      </c>
      <c r="F5" s="9">
        <f>IFERROR(__xludf.DUMMYFUNCTION("""COMPUTED_VALUE"""),9.5)</f>
        <v>9.5</v>
      </c>
    </row>
    <row r="6">
      <c r="B6" s="34">
        <f>IFERROR(__xludf.DUMMYFUNCTION("""COMPUTED_VALUE"""),45748.0)</f>
        <v>45748</v>
      </c>
      <c r="C6" s="9">
        <f>IFERROR(__xludf.DUMMYFUNCTION("""COMPUTED_VALUE"""),18.5)</f>
        <v>18.5</v>
      </c>
      <c r="E6" s="34">
        <f>IFERROR(__xludf.DUMMYFUNCTION("""COMPUTED_VALUE"""),45748.0)</f>
        <v>45748</v>
      </c>
      <c r="F6" s="9">
        <f>IFERROR(__xludf.DUMMYFUNCTION("""COMPUTED_VALUE"""),18.5)</f>
        <v>18.5</v>
      </c>
    </row>
    <row r="7">
      <c r="B7" s="34">
        <f>IFERROR(__xludf.DUMMYFUNCTION("""COMPUTED_VALUE"""),45658.0)</f>
        <v>45658</v>
      </c>
      <c r="C7" s="9">
        <f>IFERROR(__xludf.DUMMYFUNCTION("""COMPUTED_VALUE"""),6.2)</f>
        <v>6.2</v>
      </c>
      <c r="E7" s="34">
        <f>IFERROR(__xludf.DUMMYFUNCTION("""COMPUTED_VALUE"""),45658.0)</f>
        <v>45658</v>
      </c>
      <c r="F7" s="9">
        <f>IFERROR(__xludf.DUMMYFUNCTION("""COMPUTED_VALUE"""),6.2)</f>
        <v>6.2</v>
      </c>
    </row>
    <row r="8">
      <c r="B8" s="34">
        <f>IFERROR(__xludf.DUMMYFUNCTION("""COMPUTED_VALUE"""),45566.0)</f>
        <v>45566</v>
      </c>
      <c r="C8" s="9">
        <f>IFERROR(__xludf.DUMMYFUNCTION("""COMPUTED_VALUE"""),0.0)</f>
        <v>0</v>
      </c>
      <c r="E8" s="34">
        <f>IFERROR(__xludf.DUMMYFUNCTION("""COMPUTED_VALUE"""),45566.0)</f>
        <v>45566</v>
      </c>
      <c r="F8" s="9">
        <f>IFERROR(__xludf.DUMMYFUNCTION("""COMPUTED_VALUE"""),0.0)</f>
        <v>0</v>
      </c>
    </row>
    <row r="9">
      <c r="B9" s="34">
        <f>IFERROR(__xludf.DUMMYFUNCTION("""COMPUTED_VALUE"""),45474.0)</f>
        <v>45474</v>
      </c>
      <c r="C9" s="9">
        <f>IFERROR(__xludf.DUMMYFUNCTION("""COMPUTED_VALUE"""),7.9)</f>
        <v>7.9</v>
      </c>
      <c r="E9" s="34">
        <f>IFERROR(__xludf.DUMMYFUNCTION("""COMPUTED_VALUE"""),45474.0)</f>
        <v>45474</v>
      </c>
      <c r="F9" s="9">
        <f>IFERROR(__xludf.DUMMYFUNCTION("""COMPUTED_VALUE"""),7.9)</f>
        <v>7.9</v>
      </c>
    </row>
    <row r="10">
      <c r="B10" s="34">
        <f>IFERROR(__xludf.DUMMYFUNCTION("""COMPUTED_VALUE"""),45383.0)</f>
        <v>45383</v>
      </c>
      <c r="C10" s="9">
        <f>IFERROR(__xludf.DUMMYFUNCTION("""COMPUTED_VALUE"""),15.6)</f>
        <v>15.6</v>
      </c>
      <c r="E10" s="34">
        <f>IFERROR(__xludf.DUMMYFUNCTION("""COMPUTED_VALUE"""),45383.0)</f>
        <v>45383</v>
      </c>
      <c r="F10" s="9">
        <f>IFERROR(__xludf.DUMMYFUNCTION("""COMPUTED_VALUE"""),15.6)</f>
        <v>15.6</v>
      </c>
    </row>
    <row r="11">
      <c r="B11" s="34">
        <f>IFERROR(__xludf.DUMMYFUNCTION("""COMPUTED_VALUE"""),45292.0)</f>
        <v>45292</v>
      </c>
      <c r="C11" s="9">
        <f>IFERROR(__xludf.DUMMYFUNCTION("""COMPUTED_VALUE"""),14.5)</f>
        <v>14.5</v>
      </c>
      <c r="E11" s="34">
        <f>IFERROR(__xludf.DUMMYFUNCTION("""COMPUTED_VALUE"""),45292.0)</f>
        <v>45292</v>
      </c>
      <c r="F11" s="9">
        <f>IFERROR(__xludf.DUMMYFUNCTION("""COMPUTED_VALUE"""),14.5)</f>
        <v>14.5</v>
      </c>
    </row>
    <row r="12">
      <c r="B12" s="34">
        <f>IFERROR(__xludf.DUMMYFUNCTION("""COMPUTED_VALUE"""),45200.0)</f>
        <v>45200</v>
      </c>
      <c r="C12" s="9">
        <f>IFERROR(__xludf.DUMMYFUNCTION("""COMPUTED_VALUE"""),33.9)</f>
        <v>33.9</v>
      </c>
      <c r="E12" s="34">
        <f>IFERROR(__xludf.DUMMYFUNCTION("""COMPUTED_VALUE"""),45200.0)</f>
        <v>45200</v>
      </c>
      <c r="F12" s="9">
        <f>IFERROR(__xludf.DUMMYFUNCTION("""COMPUTED_VALUE"""),33.9)</f>
        <v>33.9</v>
      </c>
    </row>
    <row r="13">
      <c r="B13" s="34">
        <f>IFERROR(__xludf.DUMMYFUNCTION("""COMPUTED_VALUE"""),45108.0)</f>
        <v>45108</v>
      </c>
      <c r="C13" s="9">
        <f>IFERROR(__xludf.DUMMYFUNCTION("""COMPUTED_VALUE"""),50.8)</f>
        <v>50.8</v>
      </c>
      <c r="E13" s="34">
        <f>IFERROR(__xludf.DUMMYFUNCTION("""COMPUTED_VALUE"""),45108.0)</f>
        <v>45108</v>
      </c>
      <c r="F13" s="9">
        <f>IFERROR(__xludf.DUMMYFUNCTION("""COMPUTED_VALUE"""),50.8)</f>
        <v>50.8</v>
      </c>
    </row>
    <row r="14">
      <c r="B14" s="34">
        <f>IFERROR(__xludf.DUMMYFUNCTION("""COMPUTED_VALUE"""),45017.0)</f>
        <v>45017</v>
      </c>
      <c r="C14" s="9">
        <f>IFERROR(__xludf.DUMMYFUNCTION("""COMPUTED_VALUE"""),46.0)</f>
        <v>46</v>
      </c>
      <c r="E14" s="34">
        <f>IFERROR(__xludf.DUMMYFUNCTION("""COMPUTED_VALUE"""),45017.0)</f>
        <v>45017</v>
      </c>
      <c r="F14" s="9">
        <f>IFERROR(__xludf.DUMMYFUNCTION("""COMPUTED_VALUE"""),46.0)</f>
        <v>46</v>
      </c>
    </row>
    <row r="15">
      <c r="B15" s="34">
        <f>IFERROR(__xludf.DUMMYFUNCTION("""COMPUTED_VALUE"""),44927.0)</f>
        <v>44927</v>
      </c>
      <c r="C15" s="9">
        <f>IFERROR(__xludf.DUMMYFUNCTION("""COMPUTED_VALUE"""),44.8)</f>
        <v>44.8</v>
      </c>
      <c r="E15" s="34">
        <f>IFERROR(__xludf.DUMMYFUNCTION("""COMPUTED_VALUE"""),44927.0)</f>
        <v>44927</v>
      </c>
      <c r="F15" s="9">
        <f>IFERROR(__xludf.DUMMYFUNCTION("""COMPUTED_VALUE"""),44.8)</f>
        <v>44.8</v>
      </c>
    </row>
    <row r="16">
      <c r="B16" s="34">
        <f>IFERROR(__xludf.DUMMYFUNCTION("""COMPUTED_VALUE"""),44835.0)</f>
        <v>44835</v>
      </c>
      <c r="C16" s="9">
        <f>IFERROR(__xludf.DUMMYFUNCTION("""COMPUTED_VALUE"""),39.1)</f>
        <v>39.1</v>
      </c>
      <c r="E16" s="34">
        <f>IFERROR(__xludf.DUMMYFUNCTION("""COMPUTED_VALUE"""),44835.0)</f>
        <v>44835</v>
      </c>
      <c r="F16" s="9">
        <f>IFERROR(__xludf.DUMMYFUNCTION("""COMPUTED_VALUE"""),39.1)</f>
        <v>39.1</v>
      </c>
    </row>
    <row r="17">
      <c r="B17" s="34">
        <f>IFERROR(__xludf.DUMMYFUNCTION("""COMPUTED_VALUE"""),44743.0)</f>
        <v>44743</v>
      </c>
      <c r="C17" s="9">
        <f>IFERROR(__xludf.DUMMYFUNCTION("""COMPUTED_VALUE"""),24.2)</f>
        <v>24.2</v>
      </c>
      <c r="E17" s="34">
        <f>IFERROR(__xludf.DUMMYFUNCTION("""COMPUTED_VALUE"""),44743.0)</f>
        <v>44743</v>
      </c>
      <c r="F17" s="9">
        <f>IFERROR(__xludf.DUMMYFUNCTION("""COMPUTED_VALUE"""),24.2)</f>
        <v>24.2</v>
      </c>
    </row>
    <row r="18">
      <c r="B18" s="34">
        <f>IFERROR(__xludf.DUMMYFUNCTION("""COMPUTED_VALUE"""),44652.0)</f>
        <v>44652</v>
      </c>
      <c r="C18" s="9">
        <f>IFERROR(__xludf.DUMMYFUNCTION("""COMPUTED_VALUE"""),-1.5)</f>
        <v>-1.5</v>
      </c>
      <c r="E18" s="34">
        <f>IFERROR(__xludf.DUMMYFUNCTION("""COMPUTED_VALUE"""),44652.0)</f>
        <v>44652</v>
      </c>
      <c r="F18" s="9">
        <f>IFERROR(__xludf.DUMMYFUNCTION("""COMPUTED_VALUE"""),-1.5)</f>
        <v>-1.5</v>
      </c>
    </row>
    <row r="19">
      <c r="B19" s="34">
        <f>IFERROR(__xludf.DUMMYFUNCTION("""COMPUTED_VALUE"""),44562.0)</f>
        <v>44562</v>
      </c>
      <c r="C19" s="9">
        <f>IFERROR(__xludf.DUMMYFUNCTION("""COMPUTED_VALUE"""),-14.5)</f>
        <v>-14.5</v>
      </c>
      <c r="E19" s="34">
        <f>IFERROR(__xludf.DUMMYFUNCTION("""COMPUTED_VALUE"""),44562.0)</f>
        <v>44562</v>
      </c>
      <c r="F19" s="9">
        <f>IFERROR(__xludf.DUMMYFUNCTION("""COMPUTED_VALUE"""),-14.5)</f>
        <v>-14.5</v>
      </c>
    </row>
    <row r="20">
      <c r="B20" s="34">
        <f>IFERROR(__xludf.DUMMYFUNCTION("""COMPUTED_VALUE"""),44470.0)</f>
        <v>44470</v>
      </c>
      <c r="C20" s="9">
        <f>IFERROR(__xludf.DUMMYFUNCTION("""COMPUTED_VALUE"""),-18.2)</f>
        <v>-18.2</v>
      </c>
      <c r="E20" s="34">
        <f>IFERROR(__xludf.DUMMYFUNCTION("""COMPUTED_VALUE"""),44470.0)</f>
        <v>44470</v>
      </c>
      <c r="F20" s="9">
        <f>IFERROR(__xludf.DUMMYFUNCTION("""COMPUTED_VALUE"""),-18.2)</f>
        <v>-18.2</v>
      </c>
    </row>
    <row r="21">
      <c r="B21" s="34">
        <f>IFERROR(__xludf.DUMMYFUNCTION("""COMPUTED_VALUE"""),44378.0)</f>
        <v>44378</v>
      </c>
      <c r="C21" s="9">
        <f>IFERROR(__xludf.DUMMYFUNCTION("""COMPUTED_VALUE"""),-32.4)</f>
        <v>-32.4</v>
      </c>
      <c r="E21" s="34">
        <f>IFERROR(__xludf.DUMMYFUNCTION("""COMPUTED_VALUE"""),44378.0)</f>
        <v>44378</v>
      </c>
      <c r="F21" s="9">
        <f>IFERROR(__xludf.DUMMYFUNCTION("""COMPUTED_VALUE"""),-32.4)</f>
        <v>-32.4</v>
      </c>
    </row>
    <row r="22">
      <c r="B22" s="34">
        <f>IFERROR(__xludf.DUMMYFUNCTION("""COMPUTED_VALUE"""),44287.0)</f>
        <v>44287</v>
      </c>
      <c r="C22" s="9">
        <f>IFERROR(__xludf.DUMMYFUNCTION("""COMPUTED_VALUE"""),-15.1)</f>
        <v>-15.1</v>
      </c>
      <c r="E22" s="34">
        <f>IFERROR(__xludf.DUMMYFUNCTION("""COMPUTED_VALUE"""),44287.0)</f>
        <v>44287</v>
      </c>
      <c r="F22" s="9">
        <f>IFERROR(__xludf.DUMMYFUNCTION("""COMPUTED_VALUE"""),-15.1)</f>
        <v>-15.1</v>
      </c>
    </row>
    <row r="23">
      <c r="B23" s="34">
        <f>IFERROR(__xludf.DUMMYFUNCTION("""COMPUTED_VALUE"""),44197.0)</f>
        <v>44197</v>
      </c>
      <c r="C23" s="9">
        <f>IFERROR(__xludf.DUMMYFUNCTION("""COMPUTED_VALUE"""),5.5)</f>
        <v>5.5</v>
      </c>
    </row>
    <row r="24">
      <c r="B24" s="34">
        <f>IFERROR(__xludf.DUMMYFUNCTION("""COMPUTED_VALUE"""),44105.0)</f>
        <v>44105</v>
      </c>
      <c r="C24" s="9">
        <f>IFERROR(__xludf.DUMMYFUNCTION("""COMPUTED_VALUE"""),37.7)</f>
        <v>37.7</v>
      </c>
    </row>
    <row r="25">
      <c r="B25" s="34">
        <f>IFERROR(__xludf.DUMMYFUNCTION("""COMPUTED_VALUE"""),44013.0)</f>
        <v>44013</v>
      </c>
      <c r="C25" s="9">
        <f>IFERROR(__xludf.DUMMYFUNCTION("""COMPUTED_VALUE"""),71.2)</f>
        <v>71.2</v>
      </c>
    </row>
    <row r="26">
      <c r="B26" s="34">
        <f>IFERROR(__xludf.DUMMYFUNCTION("""COMPUTED_VALUE"""),43922.0)</f>
        <v>43922</v>
      </c>
      <c r="C26" s="9">
        <f>IFERROR(__xludf.DUMMYFUNCTION("""COMPUTED_VALUE"""),41.5)</f>
        <v>41.5</v>
      </c>
    </row>
    <row r="27">
      <c r="B27" s="34">
        <f>IFERROR(__xludf.DUMMYFUNCTION("""COMPUTED_VALUE"""),43831.0)</f>
        <v>43831</v>
      </c>
      <c r="C27" s="9">
        <f>IFERROR(__xludf.DUMMYFUNCTION("""COMPUTED_VALUE"""),0.0)</f>
        <v>0</v>
      </c>
    </row>
    <row r="28">
      <c r="B28" s="34">
        <f>IFERROR(__xludf.DUMMYFUNCTION("""COMPUTED_VALUE"""),43739.0)</f>
        <v>43739</v>
      </c>
      <c r="C28" s="9">
        <f>IFERROR(__xludf.DUMMYFUNCTION("""COMPUTED_VALUE"""),5.4)</f>
        <v>5.4</v>
      </c>
    </row>
    <row r="29">
      <c r="B29" s="34">
        <f>IFERROR(__xludf.DUMMYFUNCTION("""COMPUTED_VALUE"""),43647.0)</f>
        <v>43647</v>
      </c>
      <c r="C29" s="9">
        <f>IFERROR(__xludf.DUMMYFUNCTION("""COMPUTED_VALUE"""),-2.8)</f>
        <v>-2.8</v>
      </c>
    </row>
    <row r="30">
      <c r="B30" s="34">
        <f>IFERROR(__xludf.DUMMYFUNCTION("""COMPUTED_VALUE"""),43556.0)</f>
        <v>43556</v>
      </c>
      <c r="C30" s="9">
        <f>IFERROR(__xludf.DUMMYFUNCTION("""COMPUTED_VALUE"""),-4.2)</f>
        <v>-4.2</v>
      </c>
    </row>
    <row r="31">
      <c r="B31" s="34">
        <f>IFERROR(__xludf.DUMMYFUNCTION("""COMPUTED_VALUE"""),43466.0)</f>
        <v>43466</v>
      </c>
      <c r="C31" s="9">
        <f>IFERROR(__xludf.DUMMYFUNCTION("""COMPUTED_VALUE"""),2.8)</f>
        <v>2.8</v>
      </c>
    </row>
    <row r="32">
      <c r="B32" s="34">
        <f>IFERROR(__xludf.DUMMYFUNCTION("""COMPUTED_VALUE"""),43374.0)</f>
        <v>43374</v>
      </c>
      <c r="C32" s="9">
        <f>IFERROR(__xludf.DUMMYFUNCTION("""COMPUTED_VALUE"""),-15.9)</f>
        <v>-15.9</v>
      </c>
    </row>
    <row r="33">
      <c r="B33" s="34">
        <f>IFERROR(__xludf.DUMMYFUNCTION("""COMPUTED_VALUE"""),43282.0)</f>
        <v>43282</v>
      </c>
      <c r="C33" s="9">
        <f>IFERROR(__xludf.DUMMYFUNCTION("""COMPUTED_VALUE"""),-15.9)</f>
        <v>-15.9</v>
      </c>
    </row>
    <row r="34">
      <c r="B34" s="34">
        <f>IFERROR(__xludf.DUMMYFUNCTION("""COMPUTED_VALUE"""),43191.0)</f>
        <v>43191</v>
      </c>
      <c r="C34" s="9">
        <f>IFERROR(__xludf.DUMMYFUNCTION("""COMPUTED_VALUE"""),-11.3)</f>
        <v>-11.3</v>
      </c>
    </row>
    <row r="35">
      <c r="B35" s="34">
        <f>IFERROR(__xludf.DUMMYFUNCTION("""COMPUTED_VALUE"""),43101.0)</f>
        <v>43101</v>
      </c>
      <c r="C35" s="9">
        <f>IFERROR(__xludf.DUMMYFUNCTION("""COMPUTED_VALUE"""),-10.0)</f>
        <v>-10</v>
      </c>
    </row>
    <row r="36">
      <c r="B36" s="34">
        <f>IFERROR(__xludf.DUMMYFUNCTION("""COMPUTED_VALUE"""),43009.0)</f>
        <v>43009</v>
      </c>
      <c r="C36" s="9">
        <f>IFERROR(__xludf.DUMMYFUNCTION("""COMPUTED_VALUE"""),-8.5)</f>
        <v>-8.5</v>
      </c>
    </row>
    <row r="37">
      <c r="B37" s="34">
        <f>IFERROR(__xludf.DUMMYFUNCTION("""COMPUTED_VALUE"""),42917.0)</f>
        <v>42917</v>
      </c>
      <c r="C37" s="9">
        <f>IFERROR(__xludf.DUMMYFUNCTION("""COMPUTED_VALUE"""),-3.9)</f>
        <v>-3.9</v>
      </c>
    </row>
    <row r="38">
      <c r="B38" s="34">
        <f>IFERROR(__xludf.DUMMYFUNCTION("""COMPUTED_VALUE"""),42826.0)</f>
        <v>42826</v>
      </c>
      <c r="C38" s="9">
        <f>IFERROR(__xludf.DUMMYFUNCTION("""COMPUTED_VALUE"""),-2.8)</f>
        <v>-2.8</v>
      </c>
    </row>
    <row r="39">
      <c r="B39" s="34">
        <f>IFERROR(__xludf.DUMMYFUNCTION("""COMPUTED_VALUE"""),42736.0)</f>
        <v>42736</v>
      </c>
      <c r="C39" s="9">
        <f>IFERROR(__xludf.DUMMYFUNCTION("""COMPUTED_VALUE"""),1.4)</f>
        <v>1.4</v>
      </c>
    </row>
    <row r="40">
      <c r="B40" s="34">
        <f>IFERROR(__xludf.DUMMYFUNCTION("""COMPUTED_VALUE"""),42644.0)</f>
        <v>42644</v>
      </c>
      <c r="C40" s="9">
        <f>IFERROR(__xludf.DUMMYFUNCTION("""COMPUTED_VALUE"""),1.5)</f>
        <v>1.5</v>
      </c>
    </row>
    <row r="41">
      <c r="B41" s="34">
        <f>IFERROR(__xludf.DUMMYFUNCTION("""COMPUTED_VALUE"""),42552.0)</f>
        <v>42552</v>
      </c>
      <c r="C41" s="9">
        <f>IFERROR(__xludf.DUMMYFUNCTION("""COMPUTED_VALUE"""),8.5)</f>
        <v>8.5</v>
      </c>
    </row>
    <row r="42">
      <c r="B42" s="34">
        <f>IFERROR(__xludf.DUMMYFUNCTION("""COMPUTED_VALUE"""),42461.0)</f>
        <v>42461</v>
      </c>
      <c r="C42" s="9">
        <f>IFERROR(__xludf.DUMMYFUNCTION("""COMPUTED_VALUE"""),11.6)</f>
        <v>11.6</v>
      </c>
    </row>
    <row r="43">
      <c r="B43" s="34">
        <f>IFERROR(__xludf.DUMMYFUNCTION("""COMPUTED_VALUE"""),42370.0)</f>
        <v>42370</v>
      </c>
      <c r="C43" s="9">
        <f>IFERROR(__xludf.DUMMYFUNCTION("""COMPUTED_VALUE"""),8.2)</f>
        <v>8.2</v>
      </c>
    </row>
    <row r="44">
      <c r="B44" s="34">
        <f>IFERROR(__xludf.DUMMYFUNCTION("""COMPUTED_VALUE"""),42278.0)</f>
        <v>42278</v>
      </c>
      <c r="C44" s="9">
        <f>IFERROR(__xludf.DUMMYFUNCTION("""COMPUTED_VALUE"""),7.4)</f>
        <v>7.4</v>
      </c>
    </row>
    <row r="45">
      <c r="B45" s="34">
        <f>IFERROR(__xludf.DUMMYFUNCTION("""COMPUTED_VALUE"""),42186.0)</f>
        <v>42186</v>
      </c>
      <c r="C45" s="9">
        <f>IFERROR(__xludf.DUMMYFUNCTION("""COMPUTED_VALUE"""),-7.0)</f>
        <v>-7</v>
      </c>
    </row>
    <row r="46">
      <c r="B46" s="34">
        <f>IFERROR(__xludf.DUMMYFUNCTION("""COMPUTED_VALUE"""),42095.0)</f>
        <v>42095</v>
      </c>
      <c r="C46" s="9">
        <f>IFERROR(__xludf.DUMMYFUNCTION("""COMPUTED_VALUE"""),-5.3)</f>
        <v>-5.3</v>
      </c>
    </row>
    <row r="47">
      <c r="B47" s="34">
        <f>IFERROR(__xludf.DUMMYFUNCTION("""COMPUTED_VALUE"""),42005.0)</f>
        <v>42005</v>
      </c>
      <c r="C47" s="9">
        <f>IFERROR(__xludf.DUMMYFUNCTION("""COMPUTED_VALUE"""),-5.5)</f>
        <v>-5.5</v>
      </c>
    </row>
    <row r="48">
      <c r="B48" s="34">
        <f>IFERROR(__xludf.DUMMYFUNCTION("""COMPUTED_VALUE"""),41913.0)</f>
        <v>41913</v>
      </c>
      <c r="C48" s="9">
        <f>IFERROR(__xludf.DUMMYFUNCTION("""COMPUTED_VALUE"""),-10.5)</f>
        <v>-10.5</v>
      </c>
    </row>
    <row r="49">
      <c r="B49" s="34">
        <f>IFERROR(__xludf.DUMMYFUNCTION("""COMPUTED_VALUE"""),41821.0)</f>
        <v>41821</v>
      </c>
      <c r="C49" s="9">
        <f>IFERROR(__xludf.DUMMYFUNCTION("""COMPUTED_VALUE"""),-10.7)</f>
        <v>-10.7</v>
      </c>
    </row>
    <row r="50">
      <c r="B50" s="34">
        <f>IFERROR(__xludf.DUMMYFUNCTION("""COMPUTED_VALUE"""),41730.0)</f>
        <v>41730</v>
      </c>
      <c r="C50" s="9">
        <f>IFERROR(__xludf.DUMMYFUNCTION("""COMPUTED_VALUE"""),-11.1)</f>
        <v>-11.1</v>
      </c>
    </row>
    <row r="51">
      <c r="B51" s="34">
        <f>IFERROR(__xludf.DUMMYFUNCTION("""COMPUTED_VALUE"""),41640.0)</f>
        <v>41640</v>
      </c>
      <c r="C51" s="9">
        <f>IFERROR(__xludf.DUMMYFUNCTION("""COMPUTED_VALUE"""),-13.7)</f>
        <v>-13.7</v>
      </c>
    </row>
    <row r="52">
      <c r="B52" s="34">
        <f>IFERROR(__xludf.DUMMYFUNCTION("""COMPUTED_VALUE"""),41548.0)</f>
        <v>41548</v>
      </c>
      <c r="C52" s="9">
        <f>IFERROR(__xludf.DUMMYFUNCTION("""COMPUTED_VALUE"""),-8.3)</f>
        <v>-8.3</v>
      </c>
    </row>
    <row r="53">
      <c r="B53" s="34">
        <f>IFERROR(__xludf.DUMMYFUNCTION("""COMPUTED_VALUE"""),41456.0)</f>
        <v>41456</v>
      </c>
      <c r="C53" s="9">
        <f>IFERROR(__xludf.DUMMYFUNCTION("""COMPUTED_VALUE"""),-18.1)</f>
        <v>-18.1</v>
      </c>
    </row>
    <row r="54">
      <c r="B54" s="34">
        <f>IFERROR(__xludf.DUMMYFUNCTION("""COMPUTED_VALUE"""),41365.0)</f>
        <v>41365</v>
      </c>
      <c r="C54" s="9">
        <f>IFERROR(__xludf.DUMMYFUNCTION("""COMPUTED_VALUE"""),-19.1)</f>
        <v>-19.1</v>
      </c>
    </row>
    <row r="55">
      <c r="B55" s="34">
        <f>IFERROR(__xludf.DUMMYFUNCTION("""COMPUTED_VALUE"""),41275.0)</f>
        <v>41275</v>
      </c>
      <c r="C55" s="9">
        <f>IFERROR(__xludf.DUMMYFUNCTION("""COMPUTED_VALUE"""),-7.4)</f>
        <v>-7.4</v>
      </c>
    </row>
    <row r="56">
      <c r="B56" s="34">
        <f>IFERROR(__xludf.DUMMYFUNCTION("""COMPUTED_VALUE"""),41183.0)</f>
        <v>41183</v>
      </c>
      <c r="C56" s="9">
        <f>IFERROR(__xludf.DUMMYFUNCTION("""COMPUTED_VALUE"""),-7.6)</f>
        <v>-7.6</v>
      </c>
    </row>
    <row r="57">
      <c r="B57" s="34">
        <f>IFERROR(__xludf.DUMMYFUNCTION("""COMPUTED_VALUE"""),41091.0)</f>
        <v>41091</v>
      </c>
      <c r="C57" s="9">
        <f>IFERROR(__xludf.DUMMYFUNCTION("""COMPUTED_VALUE"""),-9.5)</f>
        <v>-9.5</v>
      </c>
    </row>
    <row r="58">
      <c r="B58" s="34">
        <f>IFERROR(__xludf.DUMMYFUNCTION("""COMPUTED_VALUE"""),41000.0)</f>
        <v>41000</v>
      </c>
      <c r="C58" s="9">
        <f>IFERROR(__xludf.DUMMYFUNCTION("""COMPUTED_VALUE"""),-6.9)</f>
        <v>-6.9</v>
      </c>
    </row>
    <row r="59">
      <c r="B59" s="34">
        <f>IFERROR(__xludf.DUMMYFUNCTION("""COMPUTED_VALUE"""),40909.0)</f>
        <v>40909</v>
      </c>
      <c r="C59" s="9">
        <f>IFERROR(__xludf.DUMMYFUNCTION("""COMPUTED_VALUE"""),5.4)</f>
        <v>5.4</v>
      </c>
    </row>
    <row r="60">
      <c r="B60" s="34">
        <f>IFERROR(__xludf.DUMMYFUNCTION("""COMPUTED_VALUE"""),40817.0)</f>
        <v>40817</v>
      </c>
      <c r="C60" s="9">
        <f>IFERROR(__xludf.DUMMYFUNCTION("""COMPUTED_VALUE"""),-5.9)</f>
        <v>-5.9</v>
      </c>
    </row>
    <row r="61">
      <c r="B61" s="34">
        <f>IFERROR(__xludf.DUMMYFUNCTION("""COMPUTED_VALUE"""),40725.0)</f>
        <v>40725</v>
      </c>
      <c r="C61" s="9">
        <f>IFERROR(__xludf.DUMMYFUNCTION("""COMPUTED_VALUE"""),-21.8)</f>
        <v>-21.8</v>
      </c>
    </row>
    <row r="62">
      <c r="B62" s="34">
        <f>IFERROR(__xludf.DUMMYFUNCTION("""COMPUTED_VALUE"""),40634.0)</f>
        <v>40634</v>
      </c>
      <c r="C62" s="9">
        <f>IFERROR(__xludf.DUMMYFUNCTION("""COMPUTED_VALUE"""),-16.4)</f>
        <v>-16.4</v>
      </c>
    </row>
    <row r="63">
      <c r="B63" s="34">
        <f>IFERROR(__xludf.DUMMYFUNCTION("""COMPUTED_VALUE"""),40544.0)</f>
        <v>40544</v>
      </c>
      <c r="C63" s="9">
        <f>IFERROR(__xludf.DUMMYFUNCTION("""COMPUTED_VALUE"""),-10.5)</f>
        <v>-10.5</v>
      </c>
    </row>
    <row r="64">
      <c r="B64" s="34">
        <f>IFERROR(__xludf.DUMMYFUNCTION("""COMPUTED_VALUE"""),40452.0)</f>
        <v>40452</v>
      </c>
      <c r="C64" s="9">
        <f>IFERROR(__xludf.DUMMYFUNCTION("""COMPUTED_VALUE"""),-10.5)</f>
        <v>-10.5</v>
      </c>
    </row>
    <row r="65">
      <c r="B65" s="34">
        <f>IFERROR(__xludf.DUMMYFUNCTION("""COMPUTED_VALUE"""),40360.0)</f>
        <v>40360</v>
      </c>
      <c r="C65" s="9">
        <f>IFERROR(__xludf.DUMMYFUNCTION("""COMPUTED_VALUE"""),-8.8)</f>
        <v>-8.8</v>
      </c>
    </row>
    <row r="66">
      <c r="B66" s="34">
        <f>IFERROR(__xludf.DUMMYFUNCTION("""COMPUTED_VALUE"""),40269.0)</f>
        <v>40269</v>
      </c>
      <c r="C66" s="9">
        <f>IFERROR(__xludf.DUMMYFUNCTION("""COMPUTED_VALUE"""),-7.1)</f>
        <v>-7.1</v>
      </c>
    </row>
    <row r="67">
      <c r="B67" s="34">
        <f>IFERROR(__xludf.DUMMYFUNCTION("""COMPUTED_VALUE"""),40179.0)</f>
        <v>40179</v>
      </c>
      <c r="C67" s="9">
        <f>IFERROR(__xludf.DUMMYFUNCTION("""COMPUTED_VALUE"""),-5.5)</f>
        <v>-5.5</v>
      </c>
    </row>
    <row r="68">
      <c r="B68" s="34">
        <f>IFERROR(__xludf.DUMMYFUNCTION("""COMPUTED_VALUE"""),40087.0)</f>
        <v>40087</v>
      </c>
      <c r="C68" s="9">
        <f>IFERROR(__xludf.DUMMYFUNCTION("""COMPUTED_VALUE"""),14.0)</f>
        <v>14</v>
      </c>
    </row>
    <row r="69">
      <c r="B69" s="34">
        <f>IFERROR(__xludf.DUMMYFUNCTION("""COMPUTED_VALUE"""),39995.0)</f>
        <v>39995</v>
      </c>
      <c r="C69" s="9">
        <f>IFERROR(__xludf.DUMMYFUNCTION("""COMPUTED_VALUE"""),31.5)</f>
        <v>31.5</v>
      </c>
    </row>
    <row r="70">
      <c r="B70" s="34">
        <f>IFERROR(__xludf.DUMMYFUNCTION("""COMPUTED_VALUE"""),39904.0)</f>
        <v>39904</v>
      </c>
      <c r="C70" s="9">
        <f>IFERROR(__xludf.DUMMYFUNCTION("""COMPUTED_VALUE"""),39.6)</f>
        <v>39.6</v>
      </c>
    </row>
    <row r="71">
      <c r="B71" s="34">
        <f>IFERROR(__xludf.DUMMYFUNCTION("""COMPUTED_VALUE"""),39814.0)</f>
        <v>39814</v>
      </c>
      <c r="C71" s="9">
        <f>IFERROR(__xludf.DUMMYFUNCTION("""COMPUTED_VALUE"""),64.2)</f>
        <v>64.2</v>
      </c>
    </row>
    <row r="72">
      <c r="B72" s="34">
        <f>IFERROR(__xludf.DUMMYFUNCTION("""COMPUTED_VALUE"""),39722.0)</f>
        <v>39722</v>
      </c>
      <c r="C72" s="9">
        <f>IFERROR(__xludf.DUMMYFUNCTION("""COMPUTED_VALUE"""),83.6)</f>
        <v>83.6</v>
      </c>
    </row>
    <row r="73">
      <c r="B73" s="34">
        <f>IFERROR(__xludf.DUMMYFUNCTION("""COMPUTED_VALUE"""),39630.0)</f>
        <v>39630</v>
      </c>
      <c r="C73" s="9">
        <f>IFERROR(__xludf.DUMMYFUNCTION("""COMPUTED_VALUE"""),57.7)</f>
        <v>57.7</v>
      </c>
    </row>
    <row r="74">
      <c r="B74" s="34">
        <f>IFERROR(__xludf.DUMMYFUNCTION("""COMPUTED_VALUE"""),39539.0)</f>
        <v>39539</v>
      </c>
      <c r="C74" s="9">
        <f>IFERROR(__xludf.DUMMYFUNCTION("""COMPUTED_VALUE"""),55.4)</f>
        <v>55.4</v>
      </c>
    </row>
    <row r="75">
      <c r="B75" s="34">
        <f>IFERROR(__xludf.DUMMYFUNCTION("""COMPUTED_VALUE"""),39448.0)</f>
        <v>39448</v>
      </c>
      <c r="C75" s="9">
        <f>IFERROR(__xludf.DUMMYFUNCTION("""COMPUTED_VALUE"""),32.1)</f>
        <v>32.1</v>
      </c>
    </row>
    <row r="76">
      <c r="B76" s="34">
        <f>IFERROR(__xludf.DUMMYFUNCTION("""COMPUTED_VALUE"""),39356.0)</f>
        <v>39356</v>
      </c>
      <c r="C76" s="9">
        <f>IFERROR(__xludf.DUMMYFUNCTION("""COMPUTED_VALUE"""),19.2)</f>
        <v>19.2</v>
      </c>
    </row>
    <row r="77">
      <c r="B77" s="34">
        <f>IFERROR(__xludf.DUMMYFUNCTION("""COMPUTED_VALUE"""),39264.0)</f>
        <v>39264</v>
      </c>
      <c r="C77" s="9">
        <f>IFERROR(__xludf.DUMMYFUNCTION("""COMPUTED_VALUE"""),7.5)</f>
        <v>7.5</v>
      </c>
    </row>
    <row r="78">
      <c r="B78" s="34">
        <f>IFERROR(__xludf.DUMMYFUNCTION("""COMPUTED_VALUE"""),39173.0)</f>
        <v>39173</v>
      </c>
      <c r="C78" s="9">
        <f>IFERROR(__xludf.DUMMYFUNCTION("""COMPUTED_VALUE"""),-3.8)</f>
        <v>-3.8</v>
      </c>
    </row>
    <row r="79">
      <c r="B79" s="34">
        <f>IFERROR(__xludf.DUMMYFUNCTION("""COMPUTED_VALUE"""),39083.0)</f>
        <v>39083</v>
      </c>
      <c r="C79" s="9">
        <f>IFERROR(__xludf.DUMMYFUNCTION("""COMPUTED_VALUE"""),0.0)</f>
        <v>0</v>
      </c>
    </row>
    <row r="80">
      <c r="B80" s="34">
        <f>IFERROR(__xludf.DUMMYFUNCTION("""COMPUTED_VALUE"""),38991.0)</f>
        <v>38991</v>
      </c>
      <c r="C80" s="9">
        <f>IFERROR(__xludf.DUMMYFUNCTION("""COMPUTED_VALUE"""),0.0)</f>
        <v>0</v>
      </c>
    </row>
    <row r="81">
      <c r="B81" s="34">
        <f>IFERROR(__xludf.DUMMYFUNCTION("""COMPUTED_VALUE"""),38899.0)</f>
        <v>38899</v>
      </c>
      <c r="C81" s="9">
        <f>IFERROR(__xludf.DUMMYFUNCTION("""COMPUTED_VALUE"""),-8.9)</f>
        <v>-8.9</v>
      </c>
    </row>
    <row r="82">
      <c r="B82" s="34">
        <f>IFERROR(__xludf.DUMMYFUNCTION("""COMPUTED_VALUE"""),38808.0)</f>
        <v>38808</v>
      </c>
      <c r="C82" s="9">
        <f>IFERROR(__xludf.DUMMYFUNCTION("""COMPUTED_VALUE"""),-12.3)</f>
        <v>-12.3</v>
      </c>
    </row>
    <row r="83">
      <c r="B83" s="34">
        <f>IFERROR(__xludf.DUMMYFUNCTION("""COMPUTED_VALUE"""),38718.0)</f>
        <v>38718</v>
      </c>
      <c r="C83" s="9">
        <f>IFERROR(__xludf.DUMMYFUNCTION("""COMPUTED_VALUE"""),-10.7)</f>
        <v>-10.7</v>
      </c>
    </row>
    <row r="84">
      <c r="B84" s="34">
        <f>IFERROR(__xludf.DUMMYFUNCTION("""COMPUTED_VALUE"""),38626.0)</f>
        <v>38626</v>
      </c>
      <c r="C84" s="9">
        <f>IFERROR(__xludf.DUMMYFUNCTION("""COMPUTED_VALUE"""),-8.8)</f>
        <v>-8.8</v>
      </c>
    </row>
    <row r="85">
      <c r="B85" s="34">
        <f>IFERROR(__xludf.DUMMYFUNCTION("""COMPUTED_VALUE"""),38534.0)</f>
        <v>38534</v>
      </c>
      <c r="C85" s="9">
        <f>IFERROR(__xludf.DUMMYFUNCTION("""COMPUTED_VALUE"""),-16.7)</f>
        <v>-16.7</v>
      </c>
    </row>
    <row r="86">
      <c r="B86" s="34">
        <f>IFERROR(__xludf.DUMMYFUNCTION("""COMPUTED_VALUE"""),38443.0)</f>
        <v>38443</v>
      </c>
      <c r="C86" s="9">
        <f>IFERROR(__xludf.DUMMYFUNCTION("""COMPUTED_VALUE"""),-24.1)</f>
        <v>-24.1</v>
      </c>
    </row>
    <row r="87">
      <c r="B87" s="34">
        <f>IFERROR(__xludf.DUMMYFUNCTION("""COMPUTED_VALUE"""),38353.0)</f>
        <v>38353</v>
      </c>
      <c r="C87" s="9">
        <f>IFERROR(__xludf.DUMMYFUNCTION("""COMPUTED_VALUE"""),-23.6)</f>
        <v>-23.6</v>
      </c>
    </row>
    <row r="88">
      <c r="B88" s="34">
        <f>IFERROR(__xludf.DUMMYFUNCTION("""COMPUTED_VALUE"""),38261.0)</f>
        <v>38261</v>
      </c>
      <c r="C88" s="9">
        <f>IFERROR(__xludf.DUMMYFUNCTION("""COMPUTED_VALUE"""),-21.1)</f>
        <v>-21.1</v>
      </c>
    </row>
    <row r="89">
      <c r="B89" s="34">
        <f>IFERROR(__xludf.DUMMYFUNCTION("""COMPUTED_VALUE"""),38169.0)</f>
        <v>38169</v>
      </c>
      <c r="C89" s="9">
        <f>IFERROR(__xludf.DUMMYFUNCTION("""COMPUTED_VALUE"""),-20.0)</f>
        <v>-20</v>
      </c>
    </row>
    <row r="90">
      <c r="B90" s="34">
        <f>IFERROR(__xludf.DUMMYFUNCTION("""COMPUTED_VALUE"""),38078.0)</f>
        <v>38078</v>
      </c>
      <c r="C90" s="9">
        <f>IFERROR(__xludf.DUMMYFUNCTION("""COMPUTED_VALUE"""),-22.8)</f>
        <v>-22.8</v>
      </c>
    </row>
    <row r="91">
      <c r="B91" s="34">
        <f>IFERROR(__xludf.DUMMYFUNCTION("""COMPUTED_VALUE"""),37987.0)</f>
        <v>37987</v>
      </c>
      <c r="C91" s="9">
        <f>IFERROR(__xludf.DUMMYFUNCTION("""COMPUTED_VALUE"""),-17.9)</f>
        <v>-17.9</v>
      </c>
    </row>
    <row r="92">
      <c r="B92" s="34">
        <f>IFERROR(__xludf.DUMMYFUNCTION("""COMPUTED_VALUE"""),37895.0)</f>
        <v>37895</v>
      </c>
      <c r="C92" s="9">
        <f>IFERROR(__xludf.DUMMYFUNCTION("""COMPUTED_VALUE"""),0.0)</f>
        <v>0</v>
      </c>
    </row>
    <row r="93">
      <c r="B93" s="34">
        <f>IFERROR(__xludf.DUMMYFUNCTION("""COMPUTED_VALUE"""),37803.0)</f>
        <v>37803</v>
      </c>
      <c r="C93" s="9">
        <f>IFERROR(__xludf.DUMMYFUNCTION("""COMPUTED_VALUE"""),3.4)</f>
        <v>3.4</v>
      </c>
    </row>
    <row r="94">
      <c r="B94" s="34">
        <f>IFERROR(__xludf.DUMMYFUNCTION("""COMPUTED_VALUE"""),37712.0)</f>
        <v>37712</v>
      </c>
      <c r="C94" s="9">
        <f>IFERROR(__xludf.DUMMYFUNCTION("""COMPUTED_VALUE"""),8.9)</f>
        <v>8.9</v>
      </c>
    </row>
    <row r="95">
      <c r="B95" s="34">
        <f>IFERROR(__xludf.DUMMYFUNCTION("""COMPUTED_VALUE"""),37622.0)</f>
        <v>37622</v>
      </c>
      <c r="C95" s="9">
        <f>IFERROR(__xludf.DUMMYFUNCTION("""COMPUTED_VALUE"""),22.0)</f>
        <v>22</v>
      </c>
    </row>
    <row r="96">
      <c r="B96" s="34">
        <f>IFERROR(__xludf.DUMMYFUNCTION("""COMPUTED_VALUE"""),37530.0)</f>
        <v>37530</v>
      </c>
      <c r="C96" s="9">
        <f>IFERROR(__xludf.DUMMYFUNCTION("""COMPUTED_VALUE"""),20.0)</f>
        <v>20</v>
      </c>
    </row>
    <row r="97">
      <c r="B97" s="34">
        <f>IFERROR(__xludf.DUMMYFUNCTION("""COMPUTED_VALUE"""),37438.0)</f>
        <v>37438</v>
      </c>
      <c r="C97" s="9">
        <f>IFERROR(__xludf.DUMMYFUNCTION("""COMPUTED_VALUE"""),21.4)</f>
        <v>21.4</v>
      </c>
    </row>
    <row r="98">
      <c r="B98" s="34">
        <f>IFERROR(__xludf.DUMMYFUNCTION("""COMPUTED_VALUE"""),37347.0)</f>
        <v>37347</v>
      </c>
      <c r="C98" s="9">
        <f>IFERROR(__xludf.DUMMYFUNCTION("""COMPUTED_VALUE"""),25.0)</f>
        <v>25</v>
      </c>
    </row>
    <row r="99">
      <c r="B99" s="34">
        <f>IFERROR(__xludf.DUMMYFUNCTION("""COMPUTED_VALUE"""),37257.0)</f>
        <v>37257</v>
      </c>
      <c r="C99" s="9">
        <f>IFERROR(__xludf.DUMMYFUNCTION("""COMPUTED_VALUE"""),45.5)</f>
        <v>45.5</v>
      </c>
    </row>
    <row r="100">
      <c r="B100" s="34">
        <f>IFERROR(__xludf.DUMMYFUNCTION("""COMPUTED_VALUE"""),37165.0)</f>
        <v>37165</v>
      </c>
      <c r="C100" s="9">
        <f>IFERROR(__xludf.DUMMYFUNCTION("""COMPUTED_VALUE"""),50.9)</f>
        <v>50.9</v>
      </c>
    </row>
    <row r="101">
      <c r="B101" s="34">
        <f>IFERROR(__xludf.DUMMYFUNCTION("""COMPUTED_VALUE"""),37073.0)</f>
        <v>37073</v>
      </c>
      <c r="C101" s="9">
        <f>IFERROR(__xludf.DUMMYFUNCTION("""COMPUTED_VALUE"""),40.4)</f>
        <v>40.4</v>
      </c>
    </row>
    <row r="102">
      <c r="B102" s="34">
        <f>IFERROR(__xludf.DUMMYFUNCTION("""COMPUTED_VALUE"""),36982.0)</f>
        <v>36982</v>
      </c>
      <c r="C102" s="9">
        <f>IFERROR(__xludf.DUMMYFUNCTION("""COMPUTED_VALUE"""),50.9)</f>
        <v>50.9</v>
      </c>
    </row>
    <row r="103">
      <c r="B103" s="34">
        <f>IFERROR(__xludf.DUMMYFUNCTION("""COMPUTED_VALUE"""),36892.0)</f>
        <v>36892</v>
      </c>
      <c r="C103" s="9">
        <f>IFERROR(__xludf.DUMMYFUNCTION("""COMPUTED_VALUE"""),59.6)</f>
        <v>59.6</v>
      </c>
    </row>
    <row r="104">
      <c r="B104" s="34">
        <f>IFERROR(__xludf.DUMMYFUNCTION("""COMPUTED_VALUE"""),36800.0)</f>
        <v>36800</v>
      </c>
      <c r="C104" s="9">
        <f>IFERROR(__xludf.DUMMYFUNCTION("""COMPUTED_VALUE"""),43.9)</f>
        <v>43.9</v>
      </c>
    </row>
    <row r="105">
      <c r="B105" s="34">
        <f>IFERROR(__xludf.DUMMYFUNCTION("""COMPUTED_VALUE"""),36708.0)</f>
        <v>36708</v>
      </c>
      <c r="C105" s="9">
        <f>IFERROR(__xludf.DUMMYFUNCTION("""COMPUTED_VALUE"""),33.9)</f>
        <v>33.9</v>
      </c>
    </row>
    <row r="106">
      <c r="B106" s="34">
        <f>IFERROR(__xludf.DUMMYFUNCTION("""COMPUTED_VALUE"""),36617.0)</f>
        <v>36617</v>
      </c>
      <c r="C106" s="9">
        <f>IFERROR(__xludf.DUMMYFUNCTION("""COMPUTED_VALUE"""),24.6)</f>
        <v>24.6</v>
      </c>
    </row>
    <row r="107">
      <c r="B107" s="34">
        <f>IFERROR(__xludf.DUMMYFUNCTION("""COMPUTED_VALUE"""),36526.0)</f>
        <v>36526</v>
      </c>
      <c r="C107" s="9">
        <f>IFERROR(__xludf.DUMMYFUNCTION("""COMPUTED_VALUE"""),10.9)</f>
        <v>10.9</v>
      </c>
    </row>
    <row r="108">
      <c r="B108" s="34">
        <f>IFERROR(__xludf.DUMMYFUNCTION("""COMPUTED_VALUE"""),36434.0)</f>
        <v>36434</v>
      </c>
      <c r="C108" s="9">
        <f>IFERROR(__xludf.DUMMYFUNCTION("""COMPUTED_VALUE"""),9.1)</f>
        <v>9.1</v>
      </c>
    </row>
    <row r="109">
      <c r="B109" s="34">
        <f>IFERROR(__xludf.DUMMYFUNCTION("""COMPUTED_VALUE"""),36342.0)</f>
        <v>36342</v>
      </c>
      <c r="C109" s="9">
        <f>IFERROR(__xludf.DUMMYFUNCTION("""COMPUTED_VALUE"""),5.4)</f>
        <v>5.4</v>
      </c>
    </row>
    <row r="110">
      <c r="B110" s="34">
        <f>IFERROR(__xludf.DUMMYFUNCTION("""COMPUTED_VALUE"""),36251.0)</f>
        <v>36251</v>
      </c>
      <c r="C110" s="9">
        <f>IFERROR(__xludf.DUMMYFUNCTION("""COMPUTED_VALUE"""),10.0)</f>
        <v>10</v>
      </c>
    </row>
    <row r="111">
      <c r="B111" s="34">
        <f>IFERROR(__xludf.DUMMYFUNCTION("""COMPUTED_VALUE"""),36161.0)</f>
        <v>36161</v>
      </c>
      <c r="C111" s="9">
        <f>IFERROR(__xludf.DUMMYFUNCTION("""COMPUTED_VALUE"""),7.4)</f>
        <v>7.4</v>
      </c>
    </row>
    <row r="112">
      <c r="B112" s="34">
        <f>IFERROR(__xludf.DUMMYFUNCTION("""COMPUTED_VALUE"""),36069.0)</f>
        <v>36069</v>
      </c>
      <c r="C112" s="9">
        <f>IFERROR(__xludf.DUMMYFUNCTION("""COMPUTED_VALUE"""),36.4)</f>
        <v>36.4</v>
      </c>
    </row>
    <row r="113">
      <c r="B113" s="34">
        <f>IFERROR(__xludf.DUMMYFUNCTION("""COMPUTED_VALUE"""),35977.0)</f>
        <v>35977</v>
      </c>
      <c r="C113" s="9">
        <f>IFERROR(__xludf.DUMMYFUNCTION("""COMPUTED_VALUE"""),0.0)</f>
        <v>0</v>
      </c>
    </row>
    <row r="114">
      <c r="B114" s="34">
        <f>IFERROR(__xludf.DUMMYFUNCTION("""COMPUTED_VALUE"""),35886.0)</f>
        <v>35886</v>
      </c>
      <c r="C114" s="9">
        <f>IFERROR(__xludf.DUMMYFUNCTION("""COMPUTED_VALUE"""),-7.1)</f>
        <v>-7.1</v>
      </c>
    </row>
    <row r="115">
      <c r="B115" s="34">
        <f>IFERROR(__xludf.DUMMYFUNCTION("""COMPUTED_VALUE"""),35796.0)</f>
        <v>35796</v>
      </c>
      <c r="C115" s="9">
        <f>IFERROR(__xludf.DUMMYFUNCTION("""COMPUTED_VALUE"""),1.8)</f>
        <v>1.8</v>
      </c>
    </row>
    <row r="116">
      <c r="B116" s="34">
        <f>IFERROR(__xludf.DUMMYFUNCTION("""COMPUTED_VALUE"""),35704.0)</f>
        <v>35704</v>
      </c>
      <c r="C116" s="9">
        <f>IFERROR(__xludf.DUMMYFUNCTION("""COMPUTED_VALUE"""),-7.0)</f>
        <v>-7</v>
      </c>
    </row>
    <row r="117">
      <c r="B117" s="34">
        <f>IFERROR(__xludf.DUMMYFUNCTION("""COMPUTED_VALUE"""),35612.0)</f>
        <v>35612</v>
      </c>
      <c r="C117" s="9">
        <f>IFERROR(__xludf.DUMMYFUNCTION("""COMPUTED_VALUE"""),-5.8)</f>
        <v>-5.8</v>
      </c>
    </row>
    <row r="118">
      <c r="B118" s="34">
        <f>IFERROR(__xludf.DUMMYFUNCTION("""COMPUTED_VALUE"""),35521.0)</f>
        <v>35521</v>
      </c>
      <c r="C118" s="9">
        <f>IFERROR(__xludf.DUMMYFUNCTION("""COMPUTED_VALUE"""),-10.3)</f>
        <v>-10.3</v>
      </c>
    </row>
    <row r="119">
      <c r="B119" s="34">
        <f>IFERROR(__xludf.DUMMYFUNCTION("""COMPUTED_VALUE"""),35431.0)</f>
        <v>35431</v>
      </c>
      <c r="C119" s="9">
        <f>IFERROR(__xludf.DUMMYFUNCTION("""COMPUTED_VALUE"""),-8.9)</f>
        <v>-8.9</v>
      </c>
    </row>
    <row r="120">
      <c r="B120" s="34">
        <f>IFERROR(__xludf.DUMMYFUNCTION("""COMPUTED_VALUE"""),35339.0)</f>
        <v>35339</v>
      </c>
      <c r="C120" s="9">
        <f>IFERROR(__xludf.DUMMYFUNCTION("""COMPUTED_VALUE"""),-8.6)</f>
        <v>-8.6</v>
      </c>
    </row>
    <row r="121">
      <c r="B121" s="34">
        <f>IFERROR(__xludf.DUMMYFUNCTION("""COMPUTED_VALUE"""),35247.0)</f>
        <v>35247</v>
      </c>
      <c r="C121" s="9">
        <f>IFERROR(__xludf.DUMMYFUNCTION("""COMPUTED_VALUE"""),-7.4)</f>
        <v>-7.4</v>
      </c>
    </row>
    <row r="122">
      <c r="B122" s="34">
        <f>IFERROR(__xludf.DUMMYFUNCTION("""COMPUTED_VALUE"""),35156.0)</f>
        <v>35156</v>
      </c>
      <c r="C122" s="9">
        <f>IFERROR(__xludf.DUMMYFUNCTION("""COMPUTED_VALUE"""),-1.8)</f>
        <v>-1.8</v>
      </c>
    </row>
    <row r="123">
      <c r="B123" s="34">
        <f>IFERROR(__xludf.DUMMYFUNCTION("""COMPUTED_VALUE"""),35065.0)</f>
        <v>35065</v>
      </c>
      <c r="C123" s="9">
        <f>IFERROR(__xludf.DUMMYFUNCTION("""COMPUTED_VALUE"""),6.9)</f>
        <v>6.9</v>
      </c>
    </row>
    <row r="124">
      <c r="B124" s="34">
        <f>IFERROR(__xludf.DUMMYFUNCTION("""COMPUTED_VALUE"""),34973.0)</f>
        <v>34973</v>
      </c>
      <c r="C124" s="9">
        <f>IFERROR(__xludf.DUMMYFUNCTION("""COMPUTED_VALUE"""),-5.2)</f>
        <v>-5.2</v>
      </c>
    </row>
    <row r="125">
      <c r="B125" s="34">
        <f>IFERROR(__xludf.DUMMYFUNCTION("""COMPUTED_VALUE"""),34881.0)</f>
        <v>34881</v>
      </c>
      <c r="C125" s="9">
        <f>IFERROR(__xludf.DUMMYFUNCTION("""COMPUTED_VALUE"""),-8.6)</f>
        <v>-8.6</v>
      </c>
    </row>
    <row r="126">
      <c r="B126" s="34">
        <f>IFERROR(__xludf.DUMMYFUNCTION("""COMPUTED_VALUE"""),34790.0)</f>
        <v>34790</v>
      </c>
      <c r="C126" s="9">
        <f>IFERROR(__xludf.DUMMYFUNCTION("""COMPUTED_VALUE"""),-6.8)</f>
        <v>-6.8</v>
      </c>
    </row>
    <row r="127">
      <c r="B127" s="34">
        <f>IFERROR(__xludf.DUMMYFUNCTION("""COMPUTED_VALUE"""),34700.0)</f>
        <v>34700</v>
      </c>
      <c r="C127" s="9">
        <f>IFERROR(__xludf.DUMMYFUNCTION("""COMPUTED_VALUE"""),-10.2)</f>
        <v>-10.2</v>
      </c>
    </row>
    <row r="128">
      <c r="B128" s="34">
        <f>IFERROR(__xludf.DUMMYFUNCTION("""COMPUTED_VALUE"""),34608.0)</f>
        <v>34608</v>
      </c>
      <c r="C128" s="9">
        <f>IFERROR(__xludf.DUMMYFUNCTION("""COMPUTED_VALUE"""),-22.4)</f>
        <v>-22.4</v>
      </c>
    </row>
    <row r="129">
      <c r="B129" s="34">
        <f>IFERROR(__xludf.DUMMYFUNCTION("""COMPUTED_VALUE"""),34516.0)</f>
        <v>34516</v>
      </c>
      <c r="C129" s="9">
        <f>IFERROR(__xludf.DUMMYFUNCTION("""COMPUTED_VALUE"""),-10.3)</f>
        <v>-10.3</v>
      </c>
    </row>
    <row r="130">
      <c r="B130" s="34">
        <f>IFERROR(__xludf.DUMMYFUNCTION("""COMPUTED_VALUE"""),34425.0)</f>
        <v>34425</v>
      </c>
      <c r="C130" s="9">
        <f>IFERROR(__xludf.DUMMYFUNCTION("""COMPUTED_VALUE"""),-15.5)</f>
        <v>-15.5</v>
      </c>
    </row>
    <row r="131">
      <c r="B131" s="34">
        <f>IFERROR(__xludf.DUMMYFUNCTION("""COMPUTED_VALUE"""),34335.0)</f>
        <v>34335</v>
      </c>
      <c r="C131" s="9">
        <f>IFERROR(__xludf.DUMMYFUNCTION("""COMPUTED_VALUE"""),-18.6)</f>
        <v>-18.6</v>
      </c>
    </row>
    <row r="132">
      <c r="B132" s="34">
        <f>IFERROR(__xludf.DUMMYFUNCTION("""COMPUTED_VALUE"""),34243.0)</f>
        <v>34243</v>
      </c>
      <c r="C132" s="9">
        <f>IFERROR(__xludf.DUMMYFUNCTION("""COMPUTED_VALUE"""),-20.0)</f>
        <v>-20</v>
      </c>
    </row>
    <row r="133">
      <c r="B133" s="34">
        <f>IFERROR(__xludf.DUMMYFUNCTION("""COMPUTED_VALUE"""),34151.0)</f>
        <v>34151</v>
      </c>
      <c r="C133" s="9">
        <f>IFERROR(__xludf.DUMMYFUNCTION("""COMPUTED_VALUE"""),-25.0)</f>
        <v>-25</v>
      </c>
    </row>
    <row r="134">
      <c r="B134" s="34">
        <f>IFERROR(__xludf.DUMMYFUNCTION("""COMPUTED_VALUE"""),34060.0)</f>
        <v>34060</v>
      </c>
      <c r="C134" s="9">
        <f>IFERROR(__xludf.DUMMYFUNCTION("""COMPUTED_VALUE"""),-12.1)</f>
        <v>-12.1</v>
      </c>
    </row>
    <row r="135">
      <c r="B135" s="34">
        <f>IFERROR(__xludf.DUMMYFUNCTION("""COMPUTED_VALUE"""),33970.0)</f>
        <v>33970</v>
      </c>
      <c r="C135" s="9">
        <f>IFERROR(__xludf.DUMMYFUNCTION("""COMPUTED_VALUE"""),3.4)</f>
        <v>3.4</v>
      </c>
    </row>
    <row r="136">
      <c r="B136" s="34">
        <f>IFERROR(__xludf.DUMMYFUNCTION("""COMPUTED_VALUE"""),33878.0)</f>
        <v>33878</v>
      </c>
      <c r="C136" s="9">
        <f>IFERROR(__xludf.DUMMYFUNCTION("""COMPUTED_VALUE"""),5.2)</f>
        <v>5.2</v>
      </c>
    </row>
    <row r="137">
      <c r="B137" s="34">
        <f>IFERROR(__xludf.DUMMYFUNCTION("""COMPUTED_VALUE"""),33786.0)</f>
        <v>33786</v>
      </c>
      <c r="C137" s="9">
        <f>IFERROR(__xludf.DUMMYFUNCTION("""COMPUTED_VALUE"""),-3.4)</f>
        <v>-3.4</v>
      </c>
    </row>
    <row r="138">
      <c r="B138" s="34">
        <f>IFERROR(__xludf.DUMMYFUNCTION("""COMPUTED_VALUE"""),33695.0)</f>
        <v>33695</v>
      </c>
      <c r="C138" s="9">
        <f>IFERROR(__xludf.DUMMYFUNCTION("""COMPUTED_VALUE"""),3.5)</f>
        <v>3.5</v>
      </c>
    </row>
    <row r="139">
      <c r="B139" s="34">
        <f>IFERROR(__xludf.DUMMYFUNCTION("""COMPUTED_VALUE"""),33604.0)</f>
        <v>33604</v>
      </c>
      <c r="C139" s="9">
        <f>IFERROR(__xludf.DUMMYFUNCTION("""COMPUTED_VALUE"""),10.0)</f>
        <v>10</v>
      </c>
    </row>
    <row r="140">
      <c r="B140" s="34">
        <f>IFERROR(__xludf.DUMMYFUNCTION("""COMPUTED_VALUE"""),33512.0)</f>
        <v>33512</v>
      </c>
      <c r="C140" s="9">
        <f>IFERROR(__xludf.DUMMYFUNCTION("""COMPUTED_VALUE"""),16.7)</f>
        <v>16.7</v>
      </c>
    </row>
    <row r="141">
      <c r="B141" s="34">
        <f>IFERROR(__xludf.DUMMYFUNCTION("""COMPUTED_VALUE"""),33420.0)</f>
        <v>33420</v>
      </c>
      <c r="C141" s="9">
        <f>IFERROR(__xludf.DUMMYFUNCTION("""COMPUTED_VALUE"""),18.6)</f>
        <v>18.6</v>
      </c>
    </row>
    <row r="142">
      <c r="B142" s="34">
        <f>IFERROR(__xludf.DUMMYFUNCTION("""COMPUTED_VALUE"""),33329.0)</f>
        <v>33329</v>
      </c>
      <c r="C142" s="9">
        <f>IFERROR(__xludf.DUMMYFUNCTION("""COMPUTED_VALUE"""),20.0)</f>
        <v>20</v>
      </c>
    </row>
    <row r="143">
      <c r="B143" s="34">
        <f>IFERROR(__xludf.DUMMYFUNCTION("""COMPUTED_VALUE"""),33239.0)</f>
        <v>33239</v>
      </c>
      <c r="C143" s="9">
        <f>IFERROR(__xludf.DUMMYFUNCTION("""COMPUTED_VALUE"""),38.6)</f>
        <v>38.6</v>
      </c>
    </row>
    <row r="144">
      <c r="B144" s="34">
        <f>IFERROR(__xludf.DUMMYFUNCTION("""COMPUTED_VALUE"""),33147.0)</f>
        <v>33147</v>
      </c>
      <c r="C144" s="9">
        <f>IFERROR(__xludf.DUMMYFUNCTION("""COMPUTED_VALUE"""),54.2)</f>
        <v>54.2</v>
      </c>
    </row>
    <row r="145">
      <c r="B145" s="34">
        <f>IFERROR(__xludf.DUMMYFUNCTION("""COMPUTED_VALUE"""),33055.0)</f>
        <v>33055</v>
      </c>
      <c r="C145" s="9">
        <f>IFERROR(__xludf.DUMMYFUNCTION("""COMPUTED_VALUE"""),46.7)</f>
        <v>46.7</v>
      </c>
    </row>
    <row r="146">
      <c r="B146" s="34">
        <f>IFERROR(__xludf.DUMMYFUNCTION("""COMPUTED_VALUE"""),32964.0)</f>
        <v>32964</v>
      </c>
      <c r="C146" s="9">
        <f>IFERROR(__xludf.DUMMYFUNCTION("""COMPUTED_VALUE"""),54.4)</f>
        <v>54.4</v>
      </c>
    </row>
    <row r="147">
      <c r="B147" s="34"/>
    </row>
    <row r="148">
      <c r="B148" s="34"/>
    </row>
    <row r="149">
      <c r="B149" s="34"/>
    </row>
    <row r="150">
      <c r="B150" s="34"/>
    </row>
    <row r="151">
      <c r="B151" s="34"/>
    </row>
    <row r="152">
      <c r="B152" s="34"/>
    </row>
    <row r="153">
      <c r="B153" s="34"/>
    </row>
    <row r="154">
      <c r="B154" s="34"/>
    </row>
    <row r="155">
      <c r="B155" s="34"/>
    </row>
    <row r="156">
      <c r="B156" s="34"/>
    </row>
    <row r="157">
      <c r="B157" s="34"/>
    </row>
    <row r="158">
      <c r="B158" s="34"/>
    </row>
    <row r="159">
      <c r="B159" s="34"/>
    </row>
    <row r="160">
      <c r="B160" s="34"/>
    </row>
    <row r="161">
      <c r="B161" s="34"/>
    </row>
    <row r="162">
      <c r="B162" s="34"/>
    </row>
    <row r="163">
      <c r="B163" s="34"/>
    </row>
    <row r="164">
      <c r="B164" s="34"/>
    </row>
    <row r="165">
      <c r="B165" s="34"/>
    </row>
    <row r="166">
      <c r="B166" s="34"/>
    </row>
    <row r="167">
      <c r="B167" s="34"/>
    </row>
    <row r="168">
      <c r="B168" s="34"/>
    </row>
    <row r="169">
      <c r="B169" s="34"/>
    </row>
    <row r="170">
      <c r="B170" s="34"/>
    </row>
    <row r="171">
      <c r="B171" s="34"/>
    </row>
    <row r="172">
      <c r="B172" s="34"/>
    </row>
    <row r="173">
      <c r="B173" s="34"/>
    </row>
    <row r="174">
      <c r="B174" s="34"/>
    </row>
    <row r="175">
      <c r="B175" s="34"/>
    </row>
    <row r="176">
      <c r="B176" s="34"/>
    </row>
    <row r="177">
      <c r="B177" s="34"/>
    </row>
    <row r="178">
      <c r="B178" s="34"/>
    </row>
    <row r="179">
      <c r="B179" s="34"/>
    </row>
    <row r="180">
      <c r="B180" s="34"/>
    </row>
    <row r="181">
      <c r="B181" s="34"/>
    </row>
    <row r="182">
      <c r="B182" s="34"/>
    </row>
    <row r="183">
      <c r="B183" s="34"/>
    </row>
    <row r="184">
      <c r="B184" s="34"/>
    </row>
    <row r="185">
      <c r="B185" s="34"/>
    </row>
    <row r="186">
      <c r="B186" s="34"/>
    </row>
    <row r="187">
      <c r="B187" s="34"/>
    </row>
    <row r="188">
      <c r="B188" s="34"/>
    </row>
    <row r="189">
      <c r="B189" s="34"/>
    </row>
    <row r="190">
      <c r="B190" s="34"/>
    </row>
    <row r="191">
      <c r="B191" s="34"/>
    </row>
    <row r="192">
      <c r="B192" s="34"/>
    </row>
    <row r="193">
      <c r="B193" s="34"/>
    </row>
    <row r="194">
      <c r="B194" s="34"/>
    </row>
    <row r="195">
      <c r="B195" s="34"/>
    </row>
    <row r="196">
      <c r="B196" s="34"/>
    </row>
    <row r="197">
      <c r="B197" s="34"/>
    </row>
    <row r="198">
      <c r="B198" s="34"/>
    </row>
    <row r="199">
      <c r="B199" s="34"/>
    </row>
    <row r="200">
      <c r="B200" s="34"/>
    </row>
    <row r="201">
      <c r="B201" s="34"/>
    </row>
    <row r="202">
      <c r="B202" s="34"/>
    </row>
    <row r="203">
      <c r="B203" s="34"/>
    </row>
    <row r="204">
      <c r="B204" s="34"/>
    </row>
    <row r="205">
      <c r="B205" s="34"/>
    </row>
    <row r="206">
      <c r="B206" s="34"/>
    </row>
    <row r="207">
      <c r="B207" s="34"/>
    </row>
    <row r="208">
      <c r="B208" s="34"/>
    </row>
    <row r="209">
      <c r="B209" s="34"/>
    </row>
    <row r="210">
      <c r="B210" s="34"/>
    </row>
    <row r="211">
      <c r="B211" s="34"/>
    </row>
    <row r="212">
      <c r="B212" s="34"/>
    </row>
    <row r="213">
      <c r="B213" s="34"/>
    </row>
    <row r="214">
      <c r="B214" s="34"/>
    </row>
    <row r="215">
      <c r="B215" s="34"/>
    </row>
    <row r="216">
      <c r="B216" s="34"/>
    </row>
    <row r="217">
      <c r="B217" s="34"/>
    </row>
    <row r="218">
      <c r="B218" s="34"/>
    </row>
    <row r="219">
      <c r="B219" s="34"/>
    </row>
    <row r="220">
      <c r="B220" s="34"/>
    </row>
    <row r="221">
      <c r="B221" s="34"/>
    </row>
    <row r="222">
      <c r="B222" s="34"/>
    </row>
    <row r="223">
      <c r="B223" s="34"/>
    </row>
    <row r="224">
      <c r="B224" s="34"/>
    </row>
    <row r="225">
      <c r="B225" s="34"/>
    </row>
    <row r="226">
      <c r="B226" s="34"/>
    </row>
    <row r="227">
      <c r="B227" s="34"/>
    </row>
    <row r="228">
      <c r="B228" s="34"/>
    </row>
    <row r="229">
      <c r="B229" s="34"/>
    </row>
    <row r="230">
      <c r="B230" s="34"/>
    </row>
    <row r="231">
      <c r="B231" s="34"/>
    </row>
    <row r="232">
      <c r="B232" s="34"/>
    </row>
    <row r="233">
      <c r="B233" s="34"/>
    </row>
    <row r="234">
      <c r="B234" s="34"/>
    </row>
    <row r="235">
      <c r="B235" s="34"/>
    </row>
    <row r="236">
      <c r="B236" s="34"/>
    </row>
    <row r="237">
      <c r="B237" s="34"/>
    </row>
    <row r="238">
      <c r="B238" s="34"/>
    </row>
    <row r="239">
      <c r="B239" s="34"/>
    </row>
    <row r="240">
      <c r="B240" s="34"/>
    </row>
    <row r="241">
      <c r="B241" s="34"/>
    </row>
    <row r="242">
      <c r="B242" s="34"/>
    </row>
    <row r="243">
      <c r="B243" s="34"/>
    </row>
    <row r="244">
      <c r="B244" s="34"/>
    </row>
    <row r="245">
      <c r="B245" s="34"/>
    </row>
    <row r="246">
      <c r="B246" s="34"/>
    </row>
    <row r="247">
      <c r="B247" s="34"/>
    </row>
    <row r="248">
      <c r="B248" s="34"/>
    </row>
    <row r="249">
      <c r="B249" s="34"/>
    </row>
    <row r="250">
      <c r="B250" s="34"/>
    </row>
    <row r="251">
      <c r="B251" s="34"/>
    </row>
    <row r="252">
      <c r="B252" s="34"/>
    </row>
    <row r="253">
      <c r="B253" s="34"/>
    </row>
    <row r="254">
      <c r="B254" s="34"/>
    </row>
    <row r="255">
      <c r="B255" s="34"/>
    </row>
    <row r="256">
      <c r="B256" s="34"/>
    </row>
    <row r="257">
      <c r="B257" s="34"/>
    </row>
    <row r="258">
      <c r="B258" s="34"/>
    </row>
    <row r="259">
      <c r="B259" s="34"/>
    </row>
    <row r="260">
      <c r="B260" s="34"/>
    </row>
    <row r="261">
      <c r="B261" s="34"/>
    </row>
    <row r="262">
      <c r="B262" s="34"/>
    </row>
    <row r="263">
      <c r="B263" s="34"/>
    </row>
    <row r="264">
      <c r="B264" s="34"/>
    </row>
    <row r="265">
      <c r="B265" s="34"/>
    </row>
    <row r="266">
      <c r="B266" s="34"/>
    </row>
    <row r="267">
      <c r="B267" s="34"/>
    </row>
    <row r="268">
      <c r="B268" s="34"/>
    </row>
    <row r="269">
      <c r="B269" s="34"/>
    </row>
    <row r="270">
      <c r="B270" s="34"/>
    </row>
    <row r="271">
      <c r="B271" s="34"/>
    </row>
    <row r="272">
      <c r="B272" s="34"/>
    </row>
    <row r="273">
      <c r="B273" s="34"/>
    </row>
    <row r="274">
      <c r="B274" s="34"/>
    </row>
    <row r="275">
      <c r="B275" s="34"/>
    </row>
    <row r="276">
      <c r="B276" s="34"/>
    </row>
    <row r="277">
      <c r="B277" s="34"/>
    </row>
    <row r="278">
      <c r="B278" s="34"/>
    </row>
    <row r="279">
      <c r="B279" s="34"/>
    </row>
    <row r="280">
      <c r="B280" s="34"/>
    </row>
    <row r="281">
      <c r="B281" s="34"/>
    </row>
    <row r="282">
      <c r="B282" s="34"/>
    </row>
    <row r="283">
      <c r="B283" s="34"/>
    </row>
    <row r="284">
      <c r="B284" s="34"/>
    </row>
    <row r="285">
      <c r="B285" s="34"/>
    </row>
    <row r="286">
      <c r="B286" s="34"/>
    </row>
    <row r="287">
      <c r="B287" s="34"/>
    </row>
    <row r="288">
      <c r="B288" s="34"/>
    </row>
    <row r="289">
      <c r="B289" s="34"/>
    </row>
    <row r="290">
      <c r="B290" s="34"/>
    </row>
    <row r="291">
      <c r="B291" s="34"/>
    </row>
    <row r="292">
      <c r="B292" s="34"/>
    </row>
    <row r="293">
      <c r="B293" s="34"/>
    </row>
    <row r="294">
      <c r="B294" s="34"/>
    </row>
    <row r="295">
      <c r="B295" s="34"/>
    </row>
    <row r="296">
      <c r="B296" s="34"/>
    </row>
    <row r="297">
      <c r="B297" s="34"/>
    </row>
    <row r="298">
      <c r="B298" s="34"/>
    </row>
    <row r="299">
      <c r="B299" s="34"/>
    </row>
    <row r="300">
      <c r="B300" s="34"/>
    </row>
    <row r="301">
      <c r="B301" s="34"/>
    </row>
    <row r="302">
      <c r="B302" s="34"/>
    </row>
    <row r="303">
      <c r="B303" s="34"/>
    </row>
    <row r="304">
      <c r="B304" s="34"/>
    </row>
    <row r="305">
      <c r="B305" s="34"/>
    </row>
    <row r="306">
      <c r="B306" s="34"/>
    </row>
    <row r="307">
      <c r="B307" s="34"/>
    </row>
    <row r="308">
      <c r="B308" s="34"/>
    </row>
    <row r="309">
      <c r="B309" s="34"/>
    </row>
    <row r="310">
      <c r="B310" s="34"/>
    </row>
    <row r="311">
      <c r="B311" s="34"/>
    </row>
    <row r="312">
      <c r="B312" s="34"/>
    </row>
    <row r="313">
      <c r="B313" s="34"/>
    </row>
    <row r="314">
      <c r="B314" s="34"/>
    </row>
    <row r="315">
      <c r="B315" s="34"/>
    </row>
    <row r="316">
      <c r="B316" s="34"/>
    </row>
    <row r="317">
      <c r="B317" s="34"/>
    </row>
    <row r="318">
      <c r="B318" s="34"/>
    </row>
    <row r="319">
      <c r="B319" s="34"/>
    </row>
    <row r="320">
      <c r="B320" s="34"/>
    </row>
    <row r="321">
      <c r="B321" s="34"/>
    </row>
    <row r="322">
      <c r="B322" s="34"/>
    </row>
    <row r="323">
      <c r="B323" s="34"/>
    </row>
    <row r="324">
      <c r="B324" s="34"/>
    </row>
    <row r="325">
      <c r="B325" s="34"/>
    </row>
    <row r="326">
      <c r="B326" s="34"/>
    </row>
    <row r="327">
      <c r="B327" s="34"/>
    </row>
    <row r="328">
      <c r="B328" s="34"/>
    </row>
    <row r="329">
      <c r="B329" s="34"/>
    </row>
    <row r="330">
      <c r="B330" s="34"/>
    </row>
    <row r="331">
      <c r="B331" s="34"/>
    </row>
    <row r="332">
      <c r="B332" s="34"/>
    </row>
    <row r="333">
      <c r="B333" s="34"/>
    </row>
    <row r="334">
      <c r="B334" s="34"/>
    </row>
    <row r="335">
      <c r="B335" s="34"/>
    </row>
    <row r="336">
      <c r="B336" s="34"/>
    </row>
    <row r="337">
      <c r="B337" s="34"/>
    </row>
    <row r="338">
      <c r="B338" s="34"/>
    </row>
    <row r="339">
      <c r="B339" s="34"/>
    </row>
    <row r="340">
      <c r="B340" s="34"/>
    </row>
    <row r="341">
      <c r="B341" s="34"/>
    </row>
    <row r="342">
      <c r="B342" s="34"/>
    </row>
    <row r="343">
      <c r="B343" s="34"/>
    </row>
    <row r="344">
      <c r="B344" s="34"/>
    </row>
    <row r="345">
      <c r="B345" s="34"/>
    </row>
    <row r="346">
      <c r="B346" s="34"/>
    </row>
    <row r="347">
      <c r="B347" s="34"/>
    </row>
    <row r="348">
      <c r="B348" s="34"/>
    </row>
    <row r="349">
      <c r="B349" s="34"/>
    </row>
    <row r="350">
      <c r="B350" s="34"/>
    </row>
    <row r="351">
      <c r="B351" s="34"/>
    </row>
    <row r="352">
      <c r="B352" s="34"/>
    </row>
    <row r="353">
      <c r="B353" s="34"/>
    </row>
    <row r="354">
      <c r="B354" s="34"/>
    </row>
    <row r="355">
      <c r="B355" s="34"/>
    </row>
    <row r="356">
      <c r="B356" s="34"/>
    </row>
    <row r="357">
      <c r="B357" s="34"/>
    </row>
    <row r="358">
      <c r="B358" s="34"/>
    </row>
    <row r="359">
      <c r="B359" s="34"/>
    </row>
    <row r="360">
      <c r="B360" s="34"/>
    </row>
    <row r="361">
      <c r="B361" s="34"/>
    </row>
    <row r="362">
      <c r="B362" s="34"/>
    </row>
    <row r="363">
      <c r="B363" s="34"/>
    </row>
    <row r="364">
      <c r="B364" s="34"/>
    </row>
    <row r="365">
      <c r="B365" s="34"/>
    </row>
    <row r="366">
      <c r="B366" s="34"/>
    </row>
    <row r="367">
      <c r="B367" s="34"/>
    </row>
    <row r="368">
      <c r="B368" s="34"/>
    </row>
    <row r="369">
      <c r="B369" s="34"/>
    </row>
    <row r="370">
      <c r="B370" s="34"/>
    </row>
    <row r="371">
      <c r="B371" s="34"/>
    </row>
    <row r="372">
      <c r="B372" s="34"/>
    </row>
    <row r="373">
      <c r="B373" s="34"/>
    </row>
    <row r="374">
      <c r="B374" s="34"/>
    </row>
    <row r="375">
      <c r="B375" s="34"/>
    </row>
    <row r="376">
      <c r="B376" s="34"/>
    </row>
    <row r="377">
      <c r="B377" s="34"/>
    </row>
    <row r="378">
      <c r="B378" s="34"/>
    </row>
    <row r="379">
      <c r="B379" s="34"/>
    </row>
    <row r="380">
      <c r="B380" s="34"/>
    </row>
    <row r="381">
      <c r="B381" s="34"/>
    </row>
    <row r="382">
      <c r="B382" s="34"/>
    </row>
    <row r="383">
      <c r="B383" s="34"/>
    </row>
    <row r="384">
      <c r="B384" s="34"/>
    </row>
    <row r="385">
      <c r="B385" s="34"/>
    </row>
    <row r="386">
      <c r="B386" s="34"/>
    </row>
    <row r="387">
      <c r="B387" s="34"/>
    </row>
    <row r="388">
      <c r="B388" s="34"/>
    </row>
    <row r="389">
      <c r="B389" s="34"/>
    </row>
    <row r="390">
      <c r="B390" s="34"/>
    </row>
    <row r="391">
      <c r="B391" s="34"/>
    </row>
    <row r="392">
      <c r="B392" s="34"/>
    </row>
    <row r="393">
      <c r="B393" s="34"/>
    </row>
    <row r="394">
      <c r="B394" s="34"/>
    </row>
    <row r="395">
      <c r="B395" s="34"/>
    </row>
    <row r="396">
      <c r="B396" s="34"/>
    </row>
    <row r="397">
      <c r="B397" s="34"/>
    </row>
    <row r="398">
      <c r="B398" s="34"/>
    </row>
    <row r="399">
      <c r="B399" s="34"/>
    </row>
    <row r="400">
      <c r="B400" s="34"/>
    </row>
    <row r="401">
      <c r="B401" s="34"/>
    </row>
    <row r="402">
      <c r="B402" s="34"/>
    </row>
    <row r="403">
      <c r="B403" s="34"/>
    </row>
    <row r="404">
      <c r="B404" s="34"/>
    </row>
    <row r="405">
      <c r="B405" s="34"/>
    </row>
    <row r="406">
      <c r="B406" s="34"/>
    </row>
    <row r="407">
      <c r="B407" s="34"/>
    </row>
    <row r="408">
      <c r="B408" s="34"/>
    </row>
    <row r="409">
      <c r="B409" s="34"/>
    </row>
    <row r="410">
      <c r="B410" s="34"/>
    </row>
    <row r="411">
      <c r="B411" s="34"/>
    </row>
    <row r="412">
      <c r="B412" s="34"/>
    </row>
    <row r="413">
      <c r="B413" s="34"/>
    </row>
    <row r="414">
      <c r="B414" s="34"/>
    </row>
    <row r="415">
      <c r="B415" s="34"/>
    </row>
    <row r="416">
      <c r="B416" s="34"/>
    </row>
    <row r="417">
      <c r="B417" s="34"/>
    </row>
    <row r="418">
      <c r="B418" s="34"/>
    </row>
    <row r="419">
      <c r="B419" s="34"/>
    </row>
    <row r="420">
      <c r="B420" s="34"/>
    </row>
    <row r="421">
      <c r="B421" s="34"/>
    </row>
    <row r="422">
      <c r="B422" s="34"/>
    </row>
    <row r="423">
      <c r="B423" s="34"/>
    </row>
    <row r="424">
      <c r="B424" s="34"/>
    </row>
    <row r="425">
      <c r="B425" s="34"/>
    </row>
    <row r="426">
      <c r="B426" s="34"/>
    </row>
    <row r="427">
      <c r="B427" s="34"/>
    </row>
    <row r="428">
      <c r="B428" s="34"/>
    </row>
    <row r="429">
      <c r="B429" s="34"/>
    </row>
    <row r="430">
      <c r="B430" s="34"/>
    </row>
    <row r="431">
      <c r="B431" s="34"/>
    </row>
    <row r="432">
      <c r="B432" s="34"/>
    </row>
    <row r="433">
      <c r="B433" s="34"/>
    </row>
    <row r="434">
      <c r="B434" s="34"/>
    </row>
    <row r="435">
      <c r="B435" s="34"/>
    </row>
    <row r="436">
      <c r="B436" s="34"/>
    </row>
    <row r="437">
      <c r="B437" s="34"/>
    </row>
    <row r="438">
      <c r="B438" s="34"/>
    </row>
    <row r="439">
      <c r="B439" s="34"/>
    </row>
    <row r="440">
      <c r="B440" s="34"/>
    </row>
    <row r="441">
      <c r="B441" s="34"/>
    </row>
    <row r="442">
      <c r="B442" s="34"/>
    </row>
    <row r="443">
      <c r="B443" s="34"/>
    </row>
    <row r="444">
      <c r="B444" s="34"/>
    </row>
    <row r="445">
      <c r="B445" s="34"/>
    </row>
    <row r="446">
      <c r="B446" s="34"/>
    </row>
    <row r="447">
      <c r="B447" s="34"/>
    </row>
    <row r="448">
      <c r="B448" s="34"/>
    </row>
    <row r="449">
      <c r="B449" s="34"/>
    </row>
    <row r="450">
      <c r="B450" s="34"/>
    </row>
    <row r="451">
      <c r="B451" s="34"/>
    </row>
    <row r="452">
      <c r="B452" s="34"/>
    </row>
    <row r="453">
      <c r="B453" s="34"/>
    </row>
    <row r="454">
      <c r="B454" s="34"/>
    </row>
    <row r="455">
      <c r="B455" s="34"/>
    </row>
    <row r="456">
      <c r="B456" s="34"/>
    </row>
    <row r="457">
      <c r="B457" s="34"/>
    </row>
    <row r="458">
      <c r="B458" s="34"/>
    </row>
    <row r="459">
      <c r="B459" s="34"/>
    </row>
    <row r="460">
      <c r="B460" s="34"/>
    </row>
    <row r="461">
      <c r="B461" s="34"/>
    </row>
    <row r="462">
      <c r="B462" s="34"/>
    </row>
    <row r="463">
      <c r="B463" s="34"/>
    </row>
    <row r="464">
      <c r="B464" s="34"/>
    </row>
    <row r="465">
      <c r="B465" s="34"/>
    </row>
    <row r="466">
      <c r="B466" s="34"/>
    </row>
    <row r="467">
      <c r="B467" s="34"/>
    </row>
    <row r="468">
      <c r="B468" s="34"/>
    </row>
    <row r="469">
      <c r="B469" s="34"/>
    </row>
    <row r="470">
      <c r="B470" s="34"/>
    </row>
    <row r="471">
      <c r="B471" s="34"/>
    </row>
    <row r="472">
      <c r="B472" s="34"/>
    </row>
    <row r="473">
      <c r="B473" s="34"/>
    </row>
    <row r="474">
      <c r="B474" s="34"/>
    </row>
    <row r="475">
      <c r="B475" s="34"/>
    </row>
    <row r="476">
      <c r="B476" s="34"/>
    </row>
    <row r="477">
      <c r="B477" s="34"/>
    </row>
    <row r="478">
      <c r="B478" s="34"/>
    </row>
    <row r="479">
      <c r="B479" s="34"/>
    </row>
    <row r="480">
      <c r="B480" s="34"/>
    </row>
    <row r="481">
      <c r="B481" s="34"/>
    </row>
    <row r="482">
      <c r="B482" s="34"/>
    </row>
    <row r="483">
      <c r="B483" s="34"/>
    </row>
    <row r="484">
      <c r="B484" s="34"/>
    </row>
    <row r="485">
      <c r="B485" s="34"/>
    </row>
    <row r="486">
      <c r="B486" s="34"/>
    </row>
    <row r="487">
      <c r="B487" s="34"/>
    </row>
    <row r="488">
      <c r="B488" s="34"/>
    </row>
    <row r="489">
      <c r="B489" s="34"/>
    </row>
    <row r="490">
      <c r="B490" s="34"/>
    </row>
    <row r="491">
      <c r="B491" s="34"/>
    </row>
    <row r="492">
      <c r="B492" s="34"/>
    </row>
    <row r="493">
      <c r="B493" s="34"/>
    </row>
    <row r="494">
      <c r="B494" s="34"/>
    </row>
    <row r="495">
      <c r="B495" s="34"/>
    </row>
    <row r="496">
      <c r="B496" s="34"/>
    </row>
    <row r="497">
      <c r="B497" s="34"/>
    </row>
    <row r="498">
      <c r="B498" s="34"/>
    </row>
    <row r="499">
      <c r="B499" s="34"/>
    </row>
    <row r="500">
      <c r="B500" s="34"/>
    </row>
    <row r="501">
      <c r="B501" s="34"/>
    </row>
    <row r="502">
      <c r="B502" s="34"/>
    </row>
    <row r="503">
      <c r="B503" s="34"/>
    </row>
    <row r="504">
      <c r="B504" s="34"/>
    </row>
    <row r="505">
      <c r="B505" s="34"/>
    </row>
    <row r="506">
      <c r="B506" s="34"/>
    </row>
    <row r="507">
      <c r="B507" s="34"/>
    </row>
    <row r="508">
      <c r="B508" s="34"/>
    </row>
    <row r="509">
      <c r="B509" s="34"/>
    </row>
    <row r="510">
      <c r="B510" s="34"/>
    </row>
    <row r="511">
      <c r="B511" s="34"/>
    </row>
    <row r="512">
      <c r="B512" s="34"/>
    </row>
    <row r="513">
      <c r="B513" s="34"/>
    </row>
    <row r="514">
      <c r="B514" s="34"/>
    </row>
    <row r="515">
      <c r="B515" s="34"/>
    </row>
    <row r="516">
      <c r="B516" s="34"/>
    </row>
    <row r="517">
      <c r="B517" s="34"/>
    </row>
    <row r="518">
      <c r="B518" s="34"/>
    </row>
    <row r="519">
      <c r="B519" s="34"/>
    </row>
    <row r="520">
      <c r="B520" s="34"/>
    </row>
    <row r="521">
      <c r="B521" s="34"/>
    </row>
    <row r="522">
      <c r="B522" s="34"/>
    </row>
    <row r="523">
      <c r="B523" s="34"/>
    </row>
    <row r="524">
      <c r="B524" s="34"/>
    </row>
    <row r="525">
      <c r="B525" s="34"/>
    </row>
    <row r="526">
      <c r="B526" s="34"/>
    </row>
    <row r="527">
      <c r="B527" s="34"/>
    </row>
    <row r="528">
      <c r="B528" s="34"/>
    </row>
    <row r="529">
      <c r="B529" s="34"/>
    </row>
    <row r="530">
      <c r="B530" s="34"/>
    </row>
    <row r="531">
      <c r="B531" s="34"/>
    </row>
    <row r="532">
      <c r="B532" s="34"/>
    </row>
    <row r="533">
      <c r="B533" s="34"/>
    </row>
    <row r="534">
      <c r="B534" s="34"/>
    </row>
    <row r="535">
      <c r="B535" s="34"/>
    </row>
    <row r="536">
      <c r="B536" s="34"/>
    </row>
    <row r="537">
      <c r="B537" s="34"/>
    </row>
    <row r="538">
      <c r="B538" s="34"/>
    </row>
    <row r="539">
      <c r="B539" s="34"/>
    </row>
    <row r="540">
      <c r="B540" s="34"/>
    </row>
    <row r="541">
      <c r="B541" s="34"/>
    </row>
    <row r="542">
      <c r="B542" s="34"/>
    </row>
    <row r="543">
      <c r="B543" s="34"/>
    </row>
    <row r="544">
      <c r="B544" s="34"/>
    </row>
    <row r="545">
      <c r="B545" s="34"/>
    </row>
    <row r="546">
      <c r="B546" s="34"/>
    </row>
    <row r="547">
      <c r="B547" s="34"/>
    </row>
    <row r="548">
      <c r="B548" s="34"/>
    </row>
    <row r="549">
      <c r="B549" s="34"/>
    </row>
    <row r="550">
      <c r="B550" s="34"/>
    </row>
    <row r="551">
      <c r="B551" s="34"/>
    </row>
    <row r="552">
      <c r="B552" s="34"/>
    </row>
    <row r="553">
      <c r="B553" s="34"/>
    </row>
    <row r="554">
      <c r="B554" s="34"/>
    </row>
    <row r="555">
      <c r="B555" s="34"/>
    </row>
    <row r="556">
      <c r="B556" s="34"/>
    </row>
    <row r="557">
      <c r="B557" s="34"/>
    </row>
    <row r="558">
      <c r="B558" s="34"/>
    </row>
    <row r="559">
      <c r="B559" s="34"/>
    </row>
    <row r="560">
      <c r="B560" s="34"/>
    </row>
    <row r="561">
      <c r="B561" s="34"/>
    </row>
    <row r="562">
      <c r="B562" s="34"/>
    </row>
    <row r="563">
      <c r="B563" s="34"/>
    </row>
    <row r="564">
      <c r="B564" s="34"/>
    </row>
    <row r="565">
      <c r="B565" s="34"/>
    </row>
    <row r="566">
      <c r="B566" s="34"/>
    </row>
    <row r="567">
      <c r="B567" s="34"/>
    </row>
    <row r="568">
      <c r="B568" s="34"/>
    </row>
    <row r="569">
      <c r="B569" s="34"/>
    </row>
    <row r="570">
      <c r="B570" s="34"/>
    </row>
    <row r="571">
      <c r="B571" s="34"/>
    </row>
    <row r="572">
      <c r="B572" s="34"/>
    </row>
    <row r="573">
      <c r="B573" s="34"/>
    </row>
    <row r="574">
      <c r="B574" s="34"/>
    </row>
    <row r="575">
      <c r="B575" s="34"/>
    </row>
    <row r="576">
      <c r="B576" s="34"/>
    </row>
    <row r="577">
      <c r="B577" s="34"/>
    </row>
    <row r="578">
      <c r="B578" s="34"/>
    </row>
    <row r="579">
      <c r="B579" s="34"/>
    </row>
    <row r="580">
      <c r="B580" s="34"/>
    </row>
    <row r="581">
      <c r="B581" s="34"/>
    </row>
    <row r="582">
      <c r="B582" s="34"/>
    </row>
    <row r="583">
      <c r="B583" s="34"/>
    </row>
    <row r="584">
      <c r="B584" s="34"/>
    </row>
    <row r="585">
      <c r="B585" s="34"/>
    </row>
    <row r="586">
      <c r="B586" s="34"/>
    </row>
    <row r="587">
      <c r="B587" s="34"/>
    </row>
    <row r="588">
      <c r="B588" s="34"/>
    </row>
    <row r="589">
      <c r="B589" s="34"/>
    </row>
    <row r="590">
      <c r="B590" s="34"/>
    </row>
    <row r="591">
      <c r="B591" s="34"/>
    </row>
    <row r="592">
      <c r="B592" s="34"/>
    </row>
    <row r="593">
      <c r="B593" s="34"/>
    </row>
    <row r="594">
      <c r="B594" s="34"/>
    </row>
    <row r="595">
      <c r="B595" s="34"/>
    </row>
    <row r="596">
      <c r="B596" s="34"/>
    </row>
    <row r="597">
      <c r="B597" s="34"/>
    </row>
    <row r="598">
      <c r="B598" s="34"/>
    </row>
    <row r="599">
      <c r="B599" s="34"/>
    </row>
    <row r="600">
      <c r="B600" s="34"/>
    </row>
    <row r="601">
      <c r="B601" s="34"/>
    </row>
    <row r="602">
      <c r="B602" s="34"/>
    </row>
    <row r="603">
      <c r="B603" s="34"/>
    </row>
    <row r="604">
      <c r="B604" s="34"/>
    </row>
    <row r="605">
      <c r="B605" s="34"/>
    </row>
    <row r="606">
      <c r="B606" s="34"/>
    </row>
    <row r="607">
      <c r="B607" s="34"/>
    </row>
    <row r="608">
      <c r="B608" s="34"/>
    </row>
    <row r="609">
      <c r="B609" s="34"/>
    </row>
    <row r="610">
      <c r="B610" s="34"/>
    </row>
    <row r="611">
      <c r="B611" s="34"/>
    </row>
    <row r="612">
      <c r="B612" s="34"/>
    </row>
    <row r="613">
      <c r="B613" s="34"/>
    </row>
    <row r="614">
      <c r="B614" s="34"/>
    </row>
    <row r="615">
      <c r="B615" s="34"/>
    </row>
    <row r="616">
      <c r="B616" s="34"/>
    </row>
    <row r="617">
      <c r="B617" s="34"/>
    </row>
    <row r="618">
      <c r="B618" s="34"/>
    </row>
    <row r="619">
      <c r="B619" s="34"/>
    </row>
    <row r="620">
      <c r="B620" s="34"/>
    </row>
    <row r="621">
      <c r="B621" s="34"/>
    </row>
    <row r="622">
      <c r="B622" s="34"/>
    </row>
    <row r="623">
      <c r="B623" s="34"/>
    </row>
    <row r="624">
      <c r="B624" s="34"/>
    </row>
    <row r="625">
      <c r="B625" s="34"/>
    </row>
    <row r="626">
      <c r="B626" s="34"/>
    </row>
    <row r="627">
      <c r="B627" s="34"/>
    </row>
    <row r="628">
      <c r="B628" s="34"/>
    </row>
    <row r="629">
      <c r="B629" s="34"/>
    </row>
    <row r="630">
      <c r="B630" s="34"/>
    </row>
    <row r="631">
      <c r="B631" s="34"/>
    </row>
    <row r="632">
      <c r="B632" s="34"/>
    </row>
    <row r="633">
      <c r="B633" s="34"/>
    </row>
    <row r="634">
      <c r="B634" s="34"/>
    </row>
    <row r="635">
      <c r="B635" s="34"/>
    </row>
    <row r="636">
      <c r="B636" s="34"/>
    </row>
    <row r="637">
      <c r="B637" s="34"/>
    </row>
    <row r="638">
      <c r="B638" s="34"/>
    </row>
    <row r="639">
      <c r="B639" s="34"/>
    </row>
    <row r="640">
      <c r="B640" s="34"/>
    </row>
    <row r="641">
      <c r="B641" s="34"/>
    </row>
    <row r="642">
      <c r="B642" s="34"/>
    </row>
    <row r="643">
      <c r="B643" s="34"/>
    </row>
    <row r="644">
      <c r="B644" s="34"/>
    </row>
    <row r="645">
      <c r="B645" s="34"/>
    </row>
    <row r="646">
      <c r="B646" s="34"/>
    </row>
    <row r="647">
      <c r="B647" s="34"/>
    </row>
    <row r="648">
      <c r="B648" s="34"/>
    </row>
    <row r="649">
      <c r="B649" s="34"/>
    </row>
    <row r="650">
      <c r="B650" s="34"/>
    </row>
    <row r="651">
      <c r="B651" s="34"/>
    </row>
    <row r="652">
      <c r="B652" s="34"/>
    </row>
    <row r="653">
      <c r="B653" s="34"/>
    </row>
    <row r="654">
      <c r="B654" s="34"/>
    </row>
    <row r="655">
      <c r="B655" s="34"/>
    </row>
    <row r="656">
      <c r="B656" s="34"/>
    </row>
    <row r="657">
      <c r="B657" s="34"/>
    </row>
    <row r="658">
      <c r="B658" s="34"/>
    </row>
    <row r="659">
      <c r="B659" s="34"/>
    </row>
    <row r="660">
      <c r="B660" s="34"/>
    </row>
    <row r="661">
      <c r="B661" s="34"/>
    </row>
    <row r="662">
      <c r="B662" s="34"/>
    </row>
    <row r="663">
      <c r="B663" s="34"/>
    </row>
    <row r="664">
      <c r="B664" s="34"/>
    </row>
    <row r="665">
      <c r="B665" s="34"/>
    </row>
    <row r="666">
      <c r="B666" s="34"/>
    </row>
    <row r="667">
      <c r="B667" s="34"/>
    </row>
    <row r="668">
      <c r="B668" s="34"/>
    </row>
    <row r="669">
      <c r="B669" s="34"/>
    </row>
    <row r="670">
      <c r="B670" s="34"/>
    </row>
    <row r="671">
      <c r="B671" s="34"/>
    </row>
    <row r="672">
      <c r="B672" s="34"/>
    </row>
    <row r="673">
      <c r="B673" s="34"/>
    </row>
    <row r="674">
      <c r="B674" s="34"/>
    </row>
    <row r="675">
      <c r="B675" s="34"/>
    </row>
    <row r="676">
      <c r="B676" s="34"/>
    </row>
    <row r="677">
      <c r="B677" s="34"/>
    </row>
    <row r="678">
      <c r="B678" s="34"/>
    </row>
    <row r="679">
      <c r="B679" s="34"/>
    </row>
    <row r="680">
      <c r="B680" s="34"/>
    </row>
    <row r="681">
      <c r="B681" s="34"/>
    </row>
    <row r="682">
      <c r="B682" s="34"/>
    </row>
    <row r="683">
      <c r="B683" s="34"/>
    </row>
    <row r="684">
      <c r="B684" s="34"/>
    </row>
    <row r="685">
      <c r="B685" s="34"/>
    </row>
    <row r="686">
      <c r="B686" s="34"/>
    </row>
    <row r="687">
      <c r="B687" s="34"/>
    </row>
    <row r="688">
      <c r="B688" s="34"/>
    </row>
    <row r="689">
      <c r="B689" s="34"/>
    </row>
    <row r="690">
      <c r="B690" s="34"/>
    </row>
    <row r="691">
      <c r="B691" s="34"/>
    </row>
    <row r="692">
      <c r="B692" s="34"/>
    </row>
    <row r="693">
      <c r="B693" s="34"/>
    </row>
    <row r="694">
      <c r="B694" s="34"/>
    </row>
    <row r="695">
      <c r="B695" s="34"/>
    </row>
    <row r="696">
      <c r="B696" s="34"/>
    </row>
    <row r="697">
      <c r="B697" s="34"/>
    </row>
    <row r="698">
      <c r="B698" s="34"/>
    </row>
    <row r="699">
      <c r="B699" s="34"/>
    </row>
    <row r="700">
      <c r="B700" s="34"/>
    </row>
    <row r="701">
      <c r="B701" s="34"/>
    </row>
    <row r="702">
      <c r="B702" s="34"/>
    </row>
    <row r="703">
      <c r="B703" s="34"/>
    </row>
    <row r="704">
      <c r="B704" s="34"/>
    </row>
    <row r="705">
      <c r="B705" s="34"/>
    </row>
    <row r="706">
      <c r="B706" s="34"/>
    </row>
    <row r="707">
      <c r="B707" s="34"/>
    </row>
    <row r="708">
      <c r="B708" s="34"/>
    </row>
    <row r="709">
      <c r="B709" s="34"/>
    </row>
    <row r="710">
      <c r="B710" s="34"/>
    </row>
    <row r="711">
      <c r="B711" s="34"/>
    </row>
    <row r="712">
      <c r="B712" s="34"/>
    </row>
    <row r="713">
      <c r="B713" s="34"/>
    </row>
    <row r="714">
      <c r="B714" s="34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  <row r="728">
      <c r="B728" s="34"/>
    </row>
    <row r="729">
      <c r="B729" s="34"/>
    </row>
    <row r="730">
      <c r="B730" s="34"/>
    </row>
    <row r="731">
      <c r="B731" s="34"/>
    </row>
    <row r="732">
      <c r="B732" s="34"/>
    </row>
    <row r="733">
      <c r="B733" s="34"/>
    </row>
    <row r="734">
      <c r="B734" s="34"/>
    </row>
    <row r="735">
      <c r="B735" s="34"/>
    </row>
    <row r="736">
      <c r="B736" s="34"/>
    </row>
    <row r="737">
      <c r="B737" s="34"/>
    </row>
    <row r="738">
      <c r="B738" s="34"/>
    </row>
    <row r="739">
      <c r="B739" s="34"/>
    </row>
    <row r="740">
      <c r="B740" s="34"/>
    </row>
    <row r="741">
      <c r="B741" s="34"/>
    </row>
    <row r="742">
      <c r="B742" s="34"/>
    </row>
    <row r="743">
      <c r="B743" s="34"/>
    </row>
    <row r="744">
      <c r="B744" s="34"/>
    </row>
    <row r="745">
      <c r="B745" s="34"/>
    </row>
    <row r="746">
      <c r="B746" s="34"/>
    </row>
    <row r="747">
      <c r="B747" s="34"/>
    </row>
    <row r="748">
      <c r="B748" s="34"/>
    </row>
    <row r="749">
      <c r="B749" s="34"/>
    </row>
    <row r="750">
      <c r="B750" s="34"/>
    </row>
    <row r="751">
      <c r="B751" s="34"/>
    </row>
    <row r="752">
      <c r="B752" s="34"/>
    </row>
    <row r="753">
      <c r="B753" s="34"/>
    </row>
    <row r="754">
      <c r="B754" s="34"/>
    </row>
    <row r="755">
      <c r="B755" s="34"/>
    </row>
    <row r="756">
      <c r="B756" s="34"/>
    </row>
    <row r="757">
      <c r="B757" s="34"/>
    </row>
    <row r="758">
      <c r="B758" s="34"/>
    </row>
    <row r="759">
      <c r="B759" s="34"/>
    </row>
    <row r="760">
      <c r="B760" s="34"/>
    </row>
    <row r="761">
      <c r="B761" s="34"/>
    </row>
    <row r="762">
      <c r="B762" s="34"/>
    </row>
    <row r="763">
      <c r="B763" s="34"/>
    </row>
    <row r="764">
      <c r="B764" s="34"/>
    </row>
    <row r="765">
      <c r="B765" s="34"/>
    </row>
    <row r="766">
      <c r="B766" s="34"/>
    </row>
    <row r="767">
      <c r="B767" s="34"/>
    </row>
    <row r="768">
      <c r="B768" s="34"/>
    </row>
    <row r="769">
      <c r="B769" s="34"/>
    </row>
    <row r="770">
      <c r="B770" s="34"/>
    </row>
    <row r="771">
      <c r="B771" s="34"/>
    </row>
    <row r="772">
      <c r="B772" s="34"/>
    </row>
    <row r="773">
      <c r="B773" s="34"/>
    </row>
    <row r="774">
      <c r="B774" s="34"/>
    </row>
    <row r="775">
      <c r="B775" s="34"/>
    </row>
    <row r="776">
      <c r="B776" s="34"/>
    </row>
    <row r="777">
      <c r="B777" s="34"/>
    </row>
    <row r="778">
      <c r="B778" s="34"/>
    </row>
    <row r="779">
      <c r="B779" s="34"/>
    </row>
    <row r="780">
      <c r="B780" s="34"/>
    </row>
    <row r="781">
      <c r="B781" s="34"/>
    </row>
    <row r="782">
      <c r="B782" s="34"/>
    </row>
    <row r="783">
      <c r="B783" s="34"/>
    </row>
    <row r="784">
      <c r="B784" s="34"/>
    </row>
    <row r="785">
      <c r="B785" s="34"/>
    </row>
    <row r="786">
      <c r="B786" s="34"/>
    </row>
    <row r="787">
      <c r="B787" s="34"/>
    </row>
    <row r="788">
      <c r="B788" s="34"/>
    </row>
    <row r="789">
      <c r="B789" s="34"/>
    </row>
    <row r="790">
      <c r="B790" s="34"/>
    </row>
    <row r="791">
      <c r="B791" s="34"/>
    </row>
    <row r="792">
      <c r="B792" s="34"/>
    </row>
    <row r="793">
      <c r="B793" s="34"/>
    </row>
    <row r="794">
      <c r="B794" s="34"/>
    </row>
    <row r="795">
      <c r="B795" s="34"/>
    </row>
    <row r="796">
      <c r="B796" s="34"/>
    </row>
    <row r="797">
      <c r="B797" s="34"/>
    </row>
    <row r="798">
      <c r="B798" s="34"/>
    </row>
    <row r="799">
      <c r="B799" s="34"/>
    </row>
    <row r="800">
      <c r="B800" s="34"/>
    </row>
    <row r="801">
      <c r="B801" s="34"/>
    </row>
    <row r="802">
      <c r="B802" s="34"/>
    </row>
    <row r="803">
      <c r="B803" s="34"/>
    </row>
    <row r="804">
      <c r="B804" s="34"/>
    </row>
    <row r="805">
      <c r="B805" s="34"/>
    </row>
    <row r="806">
      <c r="B806" s="34"/>
    </row>
    <row r="807">
      <c r="B807" s="34"/>
    </row>
    <row r="808">
      <c r="B808" s="34"/>
    </row>
    <row r="809">
      <c r="B809" s="34"/>
    </row>
    <row r="810">
      <c r="B810" s="34"/>
    </row>
    <row r="811">
      <c r="B811" s="34"/>
    </row>
    <row r="812">
      <c r="B812" s="34"/>
    </row>
    <row r="813">
      <c r="B813" s="34"/>
    </row>
    <row r="814">
      <c r="B814" s="34"/>
    </row>
    <row r="815">
      <c r="B815" s="34"/>
    </row>
    <row r="816">
      <c r="B816" s="34"/>
    </row>
    <row r="817">
      <c r="B817" s="34"/>
    </row>
    <row r="818">
      <c r="B818" s="34"/>
    </row>
    <row r="819">
      <c r="B819" s="34"/>
    </row>
    <row r="820">
      <c r="B820" s="34"/>
    </row>
    <row r="821">
      <c r="B821" s="34"/>
    </row>
    <row r="822">
      <c r="B822" s="34"/>
    </row>
    <row r="823">
      <c r="B823" s="34"/>
    </row>
    <row r="824">
      <c r="B824" s="34"/>
    </row>
    <row r="825">
      <c r="B825" s="34"/>
    </row>
    <row r="826">
      <c r="B826" s="34"/>
    </row>
    <row r="827">
      <c r="B827" s="34"/>
    </row>
    <row r="828">
      <c r="B828" s="34"/>
    </row>
    <row r="829">
      <c r="B829" s="34"/>
    </row>
    <row r="830">
      <c r="B830" s="34"/>
    </row>
    <row r="831">
      <c r="B831" s="34"/>
    </row>
    <row r="832">
      <c r="B832" s="34"/>
    </row>
    <row r="833">
      <c r="B833" s="34"/>
    </row>
    <row r="834">
      <c r="B834" s="34"/>
    </row>
    <row r="835">
      <c r="B835" s="34"/>
    </row>
    <row r="836">
      <c r="B836" s="34"/>
    </row>
    <row r="837">
      <c r="B837" s="34"/>
    </row>
    <row r="838">
      <c r="B838" s="34"/>
    </row>
    <row r="839">
      <c r="B839" s="34"/>
    </row>
    <row r="840">
      <c r="B840" s="34"/>
    </row>
    <row r="841">
      <c r="B841" s="34"/>
    </row>
    <row r="842">
      <c r="B842" s="34"/>
    </row>
    <row r="843">
      <c r="B843" s="34"/>
    </row>
    <row r="844">
      <c r="B844" s="34"/>
    </row>
    <row r="845">
      <c r="B845" s="34"/>
    </row>
    <row r="846">
      <c r="B846" s="34"/>
    </row>
    <row r="847">
      <c r="B847" s="34"/>
    </row>
    <row r="848">
      <c r="B848" s="34"/>
    </row>
    <row r="849">
      <c r="B849" s="34"/>
    </row>
    <row r="850">
      <c r="B850" s="34"/>
    </row>
    <row r="851">
      <c r="B851" s="34"/>
    </row>
    <row r="852">
      <c r="B852" s="34"/>
    </row>
    <row r="853">
      <c r="B853" s="34"/>
    </row>
    <row r="854">
      <c r="B854" s="34"/>
    </row>
    <row r="855">
      <c r="B855" s="34"/>
    </row>
    <row r="856">
      <c r="B856" s="34"/>
    </row>
    <row r="857">
      <c r="B857" s="34"/>
    </row>
    <row r="858">
      <c r="B858" s="34"/>
    </row>
    <row r="859">
      <c r="B859" s="34"/>
    </row>
    <row r="860">
      <c r="B860" s="34"/>
    </row>
    <row r="861">
      <c r="B861" s="34"/>
    </row>
    <row r="862">
      <c r="B862" s="34"/>
    </row>
    <row r="863">
      <c r="B863" s="34"/>
    </row>
    <row r="864">
      <c r="B864" s="34"/>
    </row>
    <row r="865">
      <c r="B865" s="34"/>
    </row>
    <row r="866">
      <c r="B866" s="34"/>
    </row>
    <row r="867">
      <c r="B867" s="34"/>
    </row>
    <row r="868">
      <c r="B868" s="34"/>
    </row>
    <row r="869">
      <c r="B869" s="34"/>
    </row>
    <row r="870">
      <c r="B870" s="34"/>
    </row>
    <row r="871">
      <c r="B871" s="34"/>
    </row>
    <row r="872">
      <c r="B872" s="34"/>
    </row>
    <row r="873">
      <c r="B873" s="34"/>
    </row>
    <row r="874">
      <c r="B874" s="34"/>
    </row>
    <row r="875">
      <c r="B875" s="34"/>
    </row>
    <row r="876">
      <c r="B876" s="34"/>
    </row>
    <row r="877">
      <c r="B877" s="34"/>
    </row>
    <row r="878">
      <c r="B878" s="34"/>
    </row>
    <row r="879">
      <c r="B879" s="34"/>
    </row>
    <row r="880">
      <c r="B880" s="34"/>
    </row>
    <row r="881">
      <c r="B881" s="34"/>
    </row>
    <row r="882">
      <c r="B882" s="34"/>
    </row>
    <row r="883">
      <c r="B883" s="34"/>
    </row>
    <row r="884">
      <c r="B884" s="34"/>
    </row>
    <row r="885">
      <c r="B885" s="34"/>
    </row>
    <row r="886">
      <c r="B886" s="34"/>
    </row>
    <row r="887">
      <c r="B887" s="34"/>
    </row>
    <row r="888">
      <c r="B888" s="34"/>
    </row>
    <row r="889">
      <c r="B889" s="34"/>
    </row>
    <row r="890">
      <c r="B890" s="34"/>
    </row>
    <row r="891">
      <c r="B891" s="34"/>
    </row>
    <row r="892">
      <c r="B892" s="34"/>
    </row>
    <row r="893">
      <c r="B893" s="34"/>
    </row>
    <row r="894">
      <c r="B894" s="34"/>
    </row>
    <row r="895">
      <c r="B895" s="34"/>
    </row>
    <row r="896">
      <c r="B896" s="34"/>
    </row>
    <row r="897">
      <c r="B897" s="34"/>
    </row>
    <row r="898">
      <c r="B898" s="34"/>
    </row>
    <row r="899">
      <c r="B899" s="34"/>
    </row>
    <row r="900">
      <c r="B900" s="34"/>
    </row>
    <row r="901">
      <c r="B901" s="34"/>
    </row>
    <row r="902">
      <c r="B902" s="34"/>
    </row>
    <row r="903">
      <c r="B903" s="34"/>
    </row>
    <row r="904">
      <c r="B904" s="34"/>
    </row>
    <row r="905">
      <c r="B905" s="34"/>
    </row>
    <row r="906">
      <c r="B906" s="34"/>
    </row>
    <row r="907">
      <c r="B907" s="34"/>
    </row>
    <row r="908">
      <c r="B908" s="34"/>
    </row>
    <row r="909">
      <c r="B909" s="34"/>
    </row>
    <row r="910">
      <c r="B910" s="34"/>
    </row>
    <row r="911">
      <c r="B911" s="34"/>
    </row>
    <row r="912">
      <c r="B912" s="34"/>
    </row>
    <row r="913">
      <c r="B913" s="34"/>
    </row>
    <row r="914">
      <c r="B914" s="34"/>
    </row>
    <row r="915">
      <c r="B915" s="34"/>
    </row>
    <row r="916">
      <c r="B916" s="34"/>
    </row>
    <row r="917">
      <c r="B917" s="34"/>
    </row>
    <row r="918">
      <c r="B918" s="34"/>
    </row>
    <row r="919">
      <c r="B919" s="34"/>
    </row>
    <row r="920">
      <c r="B920" s="34"/>
    </row>
    <row r="921">
      <c r="B921" s="34"/>
    </row>
    <row r="922">
      <c r="B922" s="34"/>
    </row>
    <row r="923">
      <c r="B923" s="34"/>
    </row>
    <row r="924">
      <c r="B924" s="34"/>
    </row>
    <row r="925">
      <c r="B925" s="34"/>
    </row>
    <row r="926">
      <c r="B926" s="34"/>
    </row>
    <row r="927">
      <c r="B927" s="34"/>
    </row>
    <row r="928">
      <c r="B928" s="34"/>
    </row>
    <row r="929">
      <c r="B929" s="34"/>
    </row>
    <row r="930">
      <c r="B930" s="34"/>
    </row>
    <row r="931">
      <c r="B931" s="34"/>
    </row>
    <row r="932">
      <c r="B932" s="34"/>
    </row>
    <row r="933">
      <c r="B933" s="34"/>
    </row>
    <row r="934">
      <c r="B934" s="34"/>
    </row>
    <row r="935">
      <c r="B935" s="34"/>
    </row>
    <row r="936">
      <c r="B936" s="34"/>
    </row>
    <row r="937">
      <c r="B937" s="34"/>
    </row>
    <row r="938">
      <c r="B938" s="34"/>
    </row>
    <row r="939">
      <c r="B939" s="34"/>
    </row>
    <row r="940">
      <c r="B940" s="34"/>
    </row>
    <row r="941">
      <c r="B941" s="34"/>
    </row>
    <row r="942">
      <c r="B942" s="34"/>
    </row>
    <row r="943">
      <c r="B943" s="34"/>
    </row>
    <row r="944">
      <c r="B944" s="34"/>
    </row>
    <row r="945">
      <c r="B945" s="34"/>
    </row>
    <row r="946">
      <c r="B946" s="34"/>
    </row>
    <row r="947">
      <c r="B947" s="34"/>
    </row>
    <row r="948">
      <c r="B948" s="34"/>
    </row>
    <row r="949">
      <c r="B949" s="34"/>
    </row>
    <row r="950">
      <c r="B950" s="34"/>
    </row>
    <row r="951">
      <c r="B951" s="34"/>
    </row>
    <row r="952">
      <c r="B952" s="34"/>
    </row>
    <row r="953">
      <c r="B953" s="34"/>
    </row>
    <row r="954">
      <c r="B954" s="34"/>
    </row>
    <row r="955">
      <c r="B955" s="34"/>
    </row>
    <row r="956">
      <c r="B956" s="34"/>
    </row>
    <row r="957">
      <c r="B957" s="34"/>
    </row>
    <row r="958">
      <c r="B958" s="34"/>
    </row>
    <row r="959">
      <c r="B959" s="34"/>
    </row>
    <row r="960">
      <c r="B960" s="34"/>
    </row>
    <row r="961">
      <c r="B961" s="34"/>
    </row>
    <row r="962">
      <c r="B962" s="34"/>
    </row>
    <row r="963">
      <c r="B963" s="34"/>
    </row>
    <row r="964">
      <c r="B964" s="34"/>
    </row>
    <row r="965">
      <c r="B965" s="34"/>
    </row>
    <row r="966">
      <c r="B966" s="34"/>
    </row>
    <row r="967">
      <c r="B967" s="34"/>
    </row>
    <row r="968">
      <c r="B968" s="34"/>
    </row>
    <row r="969">
      <c r="B969" s="34"/>
    </row>
    <row r="970">
      <c r="B970" s="34"/>
    </row>
    <row r="971">
      <c r="B971" s="34"/>
    </row>
    <row r="972">
      <c r="B972" s="34"/>
    </row>
    <row r="973">
      <c r="B973" s="34"/>
    </row>
    <row r="974">
      <c r="B974" s="34"/>
    </row>
    <row r="975">
      <c r="B975" s="34"/>
    </row>
    <row r="976">
      <c r="B976" s="34"/>
    </row>
    <row r="977">
      <c r="B977" s="34"/>
    </row>
    <row r="978">
      <c r="B978" s="34"/>
    </row>
    <row r="979">
      <c r="B979" s="34"/>
    </row>
    <row r="980">
      <c r="B980" s="34"/>
    </row>
    <row r="981">
      <c r="B981" s="34"/>
    </row>
    <row r="982">
      <c r="B982" s="34"/>
    </row>
    <row r="983">
      <c r="B983" s="34"/>
    </row>
    <row r="984">
      <c r="B984" s="34"/>
    </row>
    <row r="985">
      <c r="B985" s="34"/>
    </row>
    <row r="986">
      <c r="B986" s="34"/>
    </row>
    <row r="987">
      <c r="B987" s="34"/>
    </row>
    <row r="988">
      <c r="B988" s="34"/>
    </row>
    <row r="989">
      <c r="B989" s="34"/>
    </row>
    <row r="990">
      <c r="B990" s="34"/>
    </row>
    <row r="991">
      <c r="B991" s="34"/>
    </row>
    <row r="992">
      <c r="B992" s="34"/>
    </row>
    <row r="993">
      <c r="B993" s="34"/>
    </row>
    <row r="994">
      <c r="B994" s="34"/>
    </row>
    <row r="995">
      <c r="B995" s="34"/>
    </row>
    <row r="996">
      <c r="B996" s="34"/>
    </row>
    <row r="997">
      <c r="B997" s="34"/>
    </row>
    <row r="998">
      <c r="B998" s="34"/>
    </row>
    <row r="999">
      <c r="B999" s="34"/>
    </row>
    <row r="1000">
      <c r="B1000" s="3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80</v>
      </c>
      <c r="B1" s="44" t="s">
        <v>81</v>
      </c>
      <c r="C1" s="44" t="s">
        <v>82</v>
      </c>
      <c r="D1" s="44" t="s">
        <v>83</v>
      </c>
      <c r="E1" s="44" t="s">
        <v>84</v>
      </c>
      <c r="F1" s="44" t="s">
        <v>85</v>
      </c>
      <c r="G1" s="44" t="s">
        <v>86</v>
      </c>
      <c r="H1" s="44" t="s">
        <v>87</v>
      </c>
      <c r="I1" s="44" t="s">
        <v>88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45">
        <v>46024.0</v>
      </c>
      <c r="B2" s="46" t="s">
        <v>89</v>
      </c>
      <c r="C2" s="46" t="s">
        <v>90</v>
      </c>
      <c r="D2" s="46" t="s">
        <v>91</v>
      </c>
      <c r="E2" s="46" t="s">
        <v>92</v>
      </c>
      <c r="F2" s="46" t="s">
        <v>93</v>
      </c>
      <c r="G2" s="46" t="s">
        <v>92</v>
      </c>
      <c r="H2" s="46" t="s">
        <v>92</v>
      </c>
      <c r="I2" s="47" t="s">
        <v>94</v>
      </c>
    </row>
  </sheetData>
  <hyperlinks>
    <hyperlink r:id="rId1" ref="I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95</v>
      </c>
      <c r="B1" s="34"/>
      <c r="C1" s="32"/>
    </row>
    <row r="2">
      <c r="B2" s="34" t="str">
        <f>IFERROR(__xludf.DUMMYFUNCTION("SORT(IMPORTDATA(""https://fred.stlouisfed.org/graph/fredgraph.csv?id=ADEFNO""),1,FALSE)"),"observation_date")</f>
        <v>observation_date</v>
      </c>
      <c r="C2" s="32" t="str">
        <f>IFERROR(__xludf.DUMMYFUNCTION("""COMPUTED_VALUE"""),"ADEFNO")</f>
        <v>ADEFNO</v>
      </c>
      <c r="E2" s="24" t="s">
        <v>67</v>
      </c>
      <c r="F2" s="24" t="s">
        <v>96</v>
      </c>
      <c r="H2" s="10" t="s">
        <v>97</v>
      </c>
      <c r="I2" s="6" t="s">
        <v>96</v>
      </c>
    </row>
    <row r="3">
      <c r="B3" s="34">
        <f>IFERROR(__xludf.DUMMYFUNCTION("""COMPUTED_VALUE"""),45931.0)</f>
        <v>45931</v>
      </c>
      <c r="C3" s="32">
        <f>IFERROR(__xludf.DUMMYFUNCTION("""COMPUTED_VALUE"""),17663.0)</f>
        <v>17663</v>
      </c>
      <c r="E3" s="43">
        <f>IFERROR(__xludf.DUMMYFUNCTION("QUERY(B:C, ""SELECT B, C WHERE B &gt;= DATE '"" &amp; TEXT(TODAY()-365*5, ""yyyy-MM-dd"") &amp; ""' ORDER BY B DESC"", 1)"),45931.0)</f>
        <v>45931</v>
      </c>
      <c r="F3" s="32">
        <f>IFERROR(__xludf.DUMMYFUNCTION("""COMPUTED_VALUE"""),17663.0)</f>
        <v>17663</v>
      </c>
      <c r="H3" s="43">
        <f>IFERROR(__xludf.DUMMYFUNCTION("QUERY(B:C, ""SELECT B, C WHERE B &gt;= DATE '"" &amp; TEXT(TODAY()-365, ""yyyy-MM-dd"") &amp; ""' ORDER BY B DESC"", 1)"),45931.0)</f>
        <v>45931</v>
      </c>
      <c r="I3" s="32">
        <f>IFERROR(__xludf.DUMMYFUNCTION("""COMPUTED_VALUE"""),17663.0)</f>
        <v>17663</v>
      </c>
    </row>
    <row r="4">
      <c r="B4" s="34">
        <f>IFERROR(__xludf.DUMMYFUNCTION("""COMPUTED_VALUE"""),45901.0)</f>
        <v>45901</v>
      </c>
      <c r="C4" s="32">
        <f>IFERROR(__xludf.DUMMYFUNCTION("""COMPUTED_VALUE"""),19906.0)</f>
        <v>19906</v>
      </c>
      <c r="E4" s="34">
        <f>IFERROR(__xludf.DUMMYFUNCTION("""COMPUTED_VALUE"""),45901.0)</f>
        <v>45901</v>
      </c>
      <c r="F4" s="32">
        <f>IFERROR(__xludf.DUMMYFUNCTION("""COMPUTED_VALUE"""),19906.0)</f>
        <v>19906</v>
      </c>
      <c r="H4" s="34">
        <f>IFERROR(__xludf.DUMMYFUNCTION("""COMPUTED_VALUE"""),45901.0)</f>
        <v>45901</v>
      </c>
      <c r="I4" s="32">
        <f>IFERROR(__xludf.DUMMYFUNCTION("""COMPUTED_VALUE"""),19906.0)</f>
        <v>19906</v>
      </c>
    </row>
    <row r="5">
      <c r="B5" s="34">
        <f>IFERROR(__xludf.DUMMYFUNCTION("""COMPUTED_VALUE"""),45870.0)</f>
        <v>45870</v>
      </c>
      <c r="C5" s="32">
        <f>IFERROR(__xludf.DUMMYFUNCTION("""COMPUTED_VALUE"""),16013.0)</f>
        <v>16013</v>
      </c>
      <c r="E5" s="34">
        <f>IFERROR(__xludf.DUMMYFUNCTION("""COMPUTED_VALUE"""),45870.0)</f>
        <v>45870</v>
      </c>
      <c r="F5" s="32">
        <f>IFERROR(__xludf.DUMMYFUNCTION("""COMPUTED_VALUE"""),16013.0)</f>
        <v>16013</v>
      </c>
      <c r="H5" s="34">
        <f>IFERROR(__xludf.DUMMYFUNCTION("""COMPUTED_VALUE"""),45870.0)</f>
        <v>45870</v>
      </c>
      <c r="I5" s="32">
        <f>IFERROR(__xludf.DUMMYFUNCTION("""COMPUTED_VALUE"""),16013.0)</f>
        <v>16013</v>
      </c>
    </row>
    <row r="6">
      <c r="B6" s="34">
        <f>IFERROR(__xludf.DUMMYFUNCTION("""COMPUTED_VALUE"""),45839.0)</f>
        <v>45839</v>
      </c>
      <c r="C6" s="32">
        <f>IFERROR(__xludf.DUMMYFUNCTION("""COMPUTED_VALUE"""),15263.0)</f>
        <v>15263</v>
      </c>
      <c r="E6" s="34">
        <f>IFERROR(__xludf.DUMMYFUNCTION("""COMPUTED_VALUE"""),45839.0)</f>
        <v>45839</v>
      </c>
      <c r="F6" s="32">
        <f>IFERROR(__xludf.DUMMYFUNCTION("""COMPUTED_VALUE"""),15263.0)</f>
        <v>15263</v>
      </c>
      <c r="H6" s="34">
        <f>IFERROR(__xludf.DUMMYFUNCTION("""COMPUTED_VALUE"""),45839.0)</f>
        <v>45839</v>
      </c>
      <c r="I6" s="32">
        <f>IFERROR(__xludf.DUMMYFUNCTION("""COMPUTED_VALUE"""),15263.0)</f>
        <v>15263</v>
      </c>
    </row>
    <row r="7">
      <c r="B7" s="34">
        <f>IFERROR(__xludf.DUMMYFUNCTION("""COMPUTED_VALUE"""),45809.0)</f>
        <v>45809</v>
      </c>
      <c r="C7" s="32">
        <f>IFERROR(__xludf.DUMMYFUNCTION("""COMPUTED_VALUE"""),17229.0)</f>
        <v>17229</v>
      </c>
      <c r="E7" s="34">
        <f>IFERROR(__xludf.DUMMYFUNCTION("""COMPUTED_VALUE"""),45809.0)</f>
        <v>45809</v>
      </c>
      <c r="F7" s="32">
        <f>IFERROR(__xludf.DUMMYFUNCTION("""COMPUTED_VALUE"""),17229.0)</f>
        <v>17229</v>
      </c>
      <c r="H7" s="34">
        <f>IFERROR(__xludf.DUMMYFUNCTION("""COMPUTED_VALUE"""),45809.0)</f>
        <v>45809</v>
      </c>
      <c r="I7" s="32">
        <f>IFERROR(__xludf.DUMMYFUNCTION("""COMPUTED_VALUE"""),17229.0)</f>
        <v>17229</v>
      </c>
    </row>
    <row r="8">
      <c r="B8" s="34">
        <f>IFERROR(__xludf.DUMMYFUNCTION("""COMPUTED_VALUE"""),45778.0)</f>
        <v>45778</v>
      </c>
      <c r="C8" s="32">
        <f>IFERROR(__xludf.DUMMYFUNCTION("""COMPUTED_VALUE"""),19355.0)</f>
        <v>19355</v>
      </c>
      <c r="E8" s="34">
        <f>IFERROR(__xludf.DUMMYFUNCTION("""COMPUTED_VALUE"""),45778.0)</f>
        <v>45778</v>
      </c>
      <c r="F8" s="32">
        <f>IFERROR(__xludf.DUMMYFUNCTION("""COMPUTED_VALUE"""),19355.0)</f>
        <v>19355</v>
      </c>
      <c r="H8" s="34">
        <f>IFERROR(__xludf.DUMMYFUNCTION("""COMPUTED_VALUE"""),45778.0)</f>
        <v>45778</v>
      </c>
      <c r="I8" s="32">
        <f>IFERROR(__xludf.DUMMYFUNCTION("""COMPUTED_VALUE"""),19355.0)</f>
        <v>19355</v>
      </c>
    </row>
    <row r="9">
      <c r="B9" s="34">
        <f>IFERROR(__xludf.DUMMYFUNCTION("""COMPUTED_VALUE"""),45748.0)</f>
        <v>45748</v>
      </c>
      <c r="C9" s="32">
        <f>IFERROR(__xludf.DUMMYFUNCTION("""COMPUTED_VALUE"""),13719.0)</f>
        <v>13719</v>
      </c>
      <c r="E9" s="34">
        <f>IFERROR(__xludf.DUMMYFUNCTION("""COMPUTED_VALUE"""),45748.0)</f>
        <v>45748</v>
      </c>
      <c r="F9" s="32">
        <f>IFERROR(__xludf.DUMMYFUNCTION("""COMPUTED_VALUE"""),13719.0)</f>
        <v>13719</v>
      </c>
      <c r="H9" s="34">
        <f>IFERROR(__xludf.DUMMYFUNCTION("""COMPUTED_VALUE"""),45748.0)</f>
        <v>45748</v>
      </c>
      <c r="I9" s="32">
        <f>IFERROR(__xludf.DUMMYFUNCTION("""COMPUTED_VALUE"""),13719.0)</f>
        <v>13719</v>
      </c>
    </row>
    <row r="10">
      <c r="B10" s="34">
        <f>IFERROR(__xludf.DUMMYFUNCTION("""COMPUTED_VALUE"""),45717.0)</f>
        <v>45717</v>
      </c>
      <c r="C10" s="32">
        <f>IFERROR(__xludf.DUMMYFUNCTION("""COMPUTED_VALUE"""),10823.0)</f>
        <v>10823</v>
      </c>
      <c r="E10" s="34">
        <f>IFERROR(__xludf.DUMMYFUNCTION("""COMPUTED_VALUE"""),45717.0)</f>
        <v>45717</v>
      </c>
      <c r="F10" s="32">
        <f>IFERROR(__xludf.DUMMYFUNCTION("""COMPUTED_VALUE"""),10823.0)</f>
        <v>10823</v>
      </c>
      <c r="H10" s="34">
        <f>IFERROR(__xludf.DUMMYFUNCTION("""COMPUTED_VALUE"""),45717.0)</f>
        <v>45717</v>
      </c>
      <c r="I10" s="32">
        <f>IFERROR(__xludf.DUMMYFUNCTION("""COMPUTED_VALUE"""),10823.0)</f>
        <v>10823</v>
      </c>
    </row>
    <row r="11">
      <c r="B11" s="34">
        <f>IFERROR(__xludf.DUMMYFUNCTION("""COMPUTED_VALUE"""),45689.0)</f>
        <v>45689</v>
      </c>
      <c r="C11" s="32">
        <f>IFERROR(__xludf.DUMMYFUNCTION("""COMPUTED_VALUE"""),12735.0)</f>
        <v>12735</v>
      </c>
      <c r="E11" s="34">
        <f>IFERROR(__xludf.DUMMYFUNCTION("""COMPUTED_VALUE"""),45689.0)</f>
        <v>45689</v>
      </c>
      <c r="F11" s="32">
        <f>IFERROR(__xludf.DUMMYFUNCTION("""COMPUTED_VALUE"""),12735.0)</f>
        <v>12735</v>
      </c>
      <c r="H11" s="34">
        <f>IFERROR(__xludf.DUMMYFUNCTION("""COMPUTED_VALUE"""),45689.0)</f>
        <v>45689</v>
      </c>
      <c r="I11" s="32">
        <f>IFERROR(__xludf.DUMMYFUNCTION("""COMPUTED_VALUE"""),12735.0)</f>
        <v>12735</v>
      </c>
    </row>
    <row r="12">
      <c r="B12" s="34">
        <f>IFERROR(__xludf.DUMMYFUNCTION("""COMPUTED_VALUE"""),45658.0)</f>
        <v>45658</v>
      </c>
      <c r="C12" s="32">
        <f>IFERROR(__xludf.DUMMYFUNCTION("""COMPUTED_VALUE"""),12820.0)</f>
        <v>12820</v>
      </c>
      <c r="E12" s="34">
        <f>IFERROR(__xludf.DUMMYFUNCTION("""COMPUTED_VALUE"""),45658.0)</f>
        <v>45658</v>
      </c>
      <c r="F12" s="32">
        <f>IFERROR(__xludf.DUMMYFUNCTION("""COMPUTED_VALUE"""),12820.0)</f>
        <v>12820</v>
      </c>
    </row>
    <row r="13">
      <c r="B13" s="34">
        <f>IFERROR(__xludf.DUMMYFUNCTION("""COMPUTED_VALUE"""),45627.0)</f>
        <v>45627</v>
      </c>
      <c r="C13" s="32">
        <f>IFERROR(__xludf.DUMMYFUNCTION("""COMPUTED_VALUE"""),14725.0)</f>
        <v>14725</v>
      </c>
      <c r="E13" s="34">
        <f>IFERROR(__xludf.DUMMYFUNCTION("""COMPUTED_VALUE"""),45627.0)</f>
        <v>45627</v>
      </c>
      <c r="F13" s="32">
        <f>IFERROR(__xludf.DUMMYFUNCTION("""COMPUTED_VALUE"""),14725.0)</f>
        <v>14725</v>
      </c>
    </row>
    <row r="14">
      <c r="B14" s="34">
        <f>IFERROR(__xludf.DUMMYFUNCTION("""COMPUTED_VALUE"""),45597.0)</f>
        <v>45597</v>
      </c>
      <c r="C14" s="32">
        <f>IFERROR(__xludf.DUMMYFUNCTION("""COMPUTED_VALUE"""),14120.0)</f>
        <v>14120</v>
      </c>
      <c r="E14" s="34">
        <f>IFERROR(__xludf.DUMMYFUNCTION("""COMPUTED_VALUE"""),45597.0)</f>
        <v>45597</v>
      </c>
      <c r="F14" s="32">
        <f>IFERROR(__xludf.DUMMYFUNCTION("""COMPUTED_VALUE"""),14120.0)</f>
        <v>14120</v>
      </c>
    </row>
    <row r="15">
      <c r="B15" s="34">
        <f>IFERROR(__xludf.DUMMYFUNCTION("""COMPUTED_VALUE"""),45566.0)</f>
        <v>45566</v>
      </c>
      <c r="C15" s="32">
        <f>IFERROR(__xludf.DUMMYFUNCTION("""COMPUTED_VALUE"""),17087.0)</f>
        <v>17087</v>
      </c>
      <c r="E15" s="34">
        <f>IFERROR(__xludf.DUMMYFUNCTION("""COMPUTED_VALUE"""),45566.0)</f>
        <v>45566</v>
      </c>
      <c r="F15" s="32">
        <f>IFERROR(__xludf.DUMMYFUNCTION("""COMPUTED_VALUE"""),17087.0)</f>
        <v>17087</v>
      </c>
    </row>
    <row r="16">
      <c r="B16" s="34">
        <f>IFERROR(__xludf.DUMMYFUNCTION("""COMPUTED_VALUE"""),45536.0)</f>
        <v>45536</v>
      </c>
      <c r="C16" s="32">
        <f>IFERROR(__xludf.DUMMYFUNCTION("""COMPUTED_VALUE"""),16923.0)</f>
        <v>16923</v>
      </c>
      <c r="E16" s="34">
        <f>IFERROR(__xludf.DUMMYFUNCTION("""COMPUTED_VALUE"""),45536.0)</f>
        <v>45536</v>
      </c>
      <c r="F16" s="32">
        <f>IFERROR(__xludf.DUMMYFUNCTION("""COMPUTED_VALUE"""),16923.0)</f>
        <v>16923</v>
      </c>
    </row>
    <row r="17">
      <c r="B17" s="34">
        <f>IFERROR(__xludf.DUMMYFUNCTION("""COMPUTED_VALUE"""),45505.0)</f>
        <v>45505</v>
      </c>
      <c r="C17" s="32">
        <f>IFERROR(__xludf.DUMMYFUNCTION("""COMPUTED_VALUE"""),14770.0)</f>
        <v>14770</v>
      </c>
      <c r="E17" s="34">
        <f>IFERROR(__xludf.DUMMYFUNCTION("""COMPUTED_VALUE"""),45505.0)</f>
        <v>45505</v>
      </c>
      <c r="F17" s="32">
        <f>IFERROR(__xludf.DUMMYFUNCTION("""COMPUTED_VALUE"""),14770.0)</f>
        <v>14770</v>
      </c>
    </row>
    <row r="18">
      <c r="B18" s="34">
        <f>IFERROR(__xludf.DUMMYFUNCTION("""COMPUTED_VALUE"""),45474.0)</f>
        <v>45474</v>
      </c>
      <c r="C18" s="32">
        <f>IFERROR(__xludf.DUMMYFUNCTION("""COMPUTED_VALUE"""),14431.0)</f>
        <v>14431</v>
      </c>
      <c r="E18" s="34">
        <f>IFERROR(__xludf.DUMMYFUNCTION("""COMPUTED_VALUE"""),45474.0)</f>
        <v>45474</v>
      </c>
      <c r="F18" s="32">
        <f>IFERROR(__xludf.DUMMYFUNCTION("""COMPUTED_VALUE"""),14431.0)</f>
        <v>14431</v>
      </c>
    </row>
    <row r="19">
      <c r="B19" s="34">
        <f>IFERROR(__xludf.DUMMYFUNCTION("""COMPUTED_VALUE"""),45444.0)</f>
        <v>45444</v>
      </c>
      <c r="C19" s="32">
        <f>IFERROR(__xludf.DUMMYFUNCTION("""COMPUTED_VALUE"""),13960.0)</f>
        <v>13960</v>
      </c>
      <c r="E19" s="34">
        <f>IFERROR(__xludf.DUMMYFUNCTION("""COMPUTED_VALUE"""),45444.0)</f>
        <v>45444</v>
      </c>
      <c r="F19" s="32">
        <f>IFERROR(__xludf.DUMMYFUNCTION("""COMPUTED_VALUE"""),13960.0)</f>
        <v>13960</v>
      </c>
    </row>
    <row r="20">
      <c r="B20" s="34">
        <f>IFERROR(__xludf.DUMMYFUNCTION("""COMPUTED_VALUE"""),45413.0)</f>
        <v>45413</v>
      </c>
      <c r="C20" s="32">
        <f>IFERROR(__xludf.DUMMYFUNCTION("""COMPUTED_VALUE"""),13156.0)</f>
        <v>13156</v>
      </c>
      <c r="E20" s="34">
        <f>IFERROR(__xludf.DUMMYFUNCTION("""COMPUTED_VALUE"""),45413.0)</f>
        <v>45413</v>
      </c>
      <c r="F20" s="32">
        <f>IFERROR(__xludf.DUMMYFUNCTION("""COMPUTED_VALUE"""),13156.0)</f>
        <v>13156</v>
      </c>
    </row>
    <row r="21">
      <c r="B21" s="34">
        <f>IFERROR(__xludf.DUMMYFUNCTION("""COMPUTED_VALUE"""),45383.0)</f>
        <v>45383</v>
      </c>
      <c r="C21" s="32">
        <f>IFERROR(__xludf.DUMMYFUNCTION("""COMPUTED_VALUE"""),12763.0)</f>
        <v>12763</v>
      </c>
      <c r="E21" s="34">
        <f>IFERROR(__xludf.DUMMYFUNCTION("""COMPUTED_VALUE"""),45383.0)</f>
        <v>45383</v>
      </c>
      <c r="F21" s="32">
        <f>IFERROR(__xludf.DUMMYFUNCTION("""COMPUTED_VALUE"""),12763.0)</f>
        <v>12763</v>
      </c>
      <c r="U21" s="15"/>
      <c r="V21" s="15"/>
      <c r="W21" s="15"/>
      <c r="X21" s="15"/>
    </row>
    <row r="22">
      <c r="B22" s="34">
        <f>IFERROR(__xludf.DUMMYFUNCTION("""COMPUTED_VALUE"""),45352.0)</f>
        <v>45352</v>
      </c>
      <c r="C22" s="32">
        <f>IFERROR(__xludf.DUMMYFUNCTION("""COMPUTED_VALUE"""),11611.0)</f>
        <v>11611</v>
      </c>
      <c r="E22" s="34">
        <f>IFERROR(__xludf.DUMMYFUNCTION("""COMPUTED_VALUE"""),45352.0)</f>
        <v>45352</v>
      </c>
      <c r="F22" s="32">
        <f>IFERROR(__xludf.DUMMYFUNCTION("""COMPUTED_VALUE"""),11611.0)</f>
        <v>11611</v>
      </c>
    </row>
    <row r="23">
      <c r="B23" s="34">
        <f>IFERROR(__xludf.DUMMYFUNCTION("""COMPUTED_VALUE"""),45323.0)</f>
        <v>45323</v>
      </c>
      <c r="C23" s="32">
        <f>IFERROR(__xludf.DUMMYFUNCTION("""COMPUTED_VALUE"""),11864.0)</f>
        <v>11864</v>
      </c>
      <c r="E23" s="34">
        <f>IFERROR(__xludf.DUMMYFUNCTION("""COMPUTED_VALUE"""),45323.0)</f>
        <v>45323</v>
      </c>
      <c r="F23" s="32">
        <f>IFERROR(__xludf.DUMMYFUNCTION("""COMPUTED_VALUE"""),11864.0)</f>
        <v>11864</v>
      </c>
    </row>
    <row r="24">
      <c r="B24" s="34">
        <f>IFERROR(__xludf.DUMMYFUNCTION("""COMPUTED_VALUE"""),45292.0)</f>
        <v>45292</v>
      </c>
      <c r="C24" s="32">
        <f>IFERROR(__xludf.DUMMYFUNCTION("""COMPUTED_VALUE"""),12915.0)</f>
        <v>12915</v>
      </c>
      <c r="E24" s="34">
        <f>IFERROR(__xludf.DUMMYFUNCTION("""COMPUTED_VALUE"""),45292.0)</f>
        <v>45292</v>
      </c>
      <c r="F24" s="32">
        <f>IFERROR(__xludf.DUMMYFUNCTION("""COMPUTED_VALUE"""),12915.0)</f>
        <v>12915</v>
      </c>
    </row>
    <row r="25">
      <c r="B25" s="34">
        <f>IFERROR(__xludf.DUMMYFUNCTION("""COMPUTED_VALUE"""),45261.0)</f>
        <v>45261</v>
      </c>
      <c r="C25" s="32">
        <f>IFERROR(__xludf.DUMMYFUNCTION("""COMPUTED_VALUE"""),10779.0)</f>
        <v>10779</v>
      </c>
      <c r="E25" s="34">
        <f>IFERROR(__xludf.DUMMYFUNCTION("""COMPUTED_VALUE"""),45261.0)</f>
        <v>45261</v>
      </c>
      <c r="F25" s="32">
        <f>IFERROR(__xludf.DUMMYFUNCTION("""COMPUTED_VALUE"""),10779.0)</f>
        <v>10779</v>
      </c>
    </row>
    <row r="26">
      <c r="B26" s="34">
        <f>IFERROR(__xludf.DUMMYFUNCTION("""COMPUTED_VALUE"""),45231.0)</f>
        <v>45231</v>
      </c>
      <c r="C26" s="32">
        <f>IFERROR(__xludf.DUMMYFUNCTION("""COMPUTED_VALUE"""),12432.0)</f>
        <v>12432</v>
      </c>
      <c r="E26" s="34">
        <f>IFERROR(__xludf.DUMMYFUNCTION("""COMPUTED_VALUE"""),45231.0)</f>
        <v>45231</v>
      </c>
      <c r="F26" s="32">
        <f>IFERROR(__xludf.DUMMYFUNCTION("""COMPUTED_VALUE"""),12432.0)</f>
        <v>12432</v>
      </c>
    </row>
    <row r="27">
      <c r="B27" s="34">
        <f>IFERROR(__xludf.DUMMYFUNCTION("""COMPUTED_VALUE"""),45200.0)</f>
        <v>45200</v>
      </c>
      <c r="C27" s="32">
        <f>IFERROR(__xludf.DUMMYFUNCTION("""COMPUTED_VALUE"""),13694.0)</f>
        <v>13694</v>
      </c>
      <c r="E27" s="34">
        <f>IFERROR(__xludf.DUMMYFUNCTION("""COMPUTED_VALUE"""),45200.0)</f>
        <v>45200</v>
      </c>
      <c r="F27" s="32">
        <f>IFERROR(__xludf.DUMMYFUNCTION("""COMPUTED_VALUE"""),13694.0)</f>
        <v>13694</v>
      </c>
    </row>
    <row r="28">
      <c r="B28" s="34">
        <f>IFERROR(__xludf.DUMMYFUNCTION("""COMPUTED_VALUE"""),45170.0)</f>
        <v>45170</v>
      </c>
      <c r="C28" s="32">
        <f>IFERROR(__xludf.DUMMYFUNCTION("""COMPUTED_VALUE"""),9976.0)</f>
        <v>9976</v>
      </c>
      <c r="E28" s="34">
        <f>IFERROR(__xludf.DUMMYFUNCTION("""COMPUTED_VALUE"""),45170.0)</f>
        <v>45170</v>
      </c>
      <c r="F28" s="32">
        <f>IFERROR(__xludf.DUMMYFUNCTION("""COMPUTED_VALUE"""),9976.0)</f>
        <v>9976</v>
      </c>
    </row>
    <row r="29">
      <c r="B29" s="34">
        <f>IFERROR(__xludf.DUMMYFUNCTION("""COMPUTED_VALUE"""),45139.0)</f>
        <v>45139</v>
      </c>
      <c r="C29" s="32">
        <f>IFERROR(__xludf.DUMMYFUNCTION("""COMPUTED_VALUE"""),11874.0)</f>
        <v>11874</v>
      </c>
      <c r="E29" s="34">
        <f>IFERROR(__xludf.DUMMYFUNCTION("""COMPUTED_VALUE"""),45139.0)</f>
        <v>45139</v>
      </c>
      <c r="F29" s="32">
        <f>IFERROR(__xludf.DUMMYFUNCTION("""COMPUTED_VALUE"""),11874.0)</f>
        <v>11874</v>
      </c>
    </row>
    <row r="30">
      <c r="B30" s="34">
        <f>IFERROR(__xludf.DUMMYFUNCTION("""COMPUTED_VALUE"""),45108.0)</f>
        <v>45108</v>
      </c>
      <c r="C30" s="32">
        <f>IFERROR(__xludf.DUMMYFUNCTION("""COMPUTED_VALUE"""),11459.0)</f>
        <v>11459</v>
      </c>
      <c r="E30" s="34">
        <f>IFERROR(__xludf.DUMMYFUNCTION("""COMPUTED_VALUE"""),45108.0)</f>
        <v>45108</v>
      </c>
      <c r="F30" s="32">
        <f>IFERROR(__xludf.DUMMYFUNCTION("""COMPUTED_VALUE"""),11459.0)</f>
        <v>11459</v>
      </c>
    </row>
    <row r="31">
      <c r="B31" s="34">
        <f>IFERROR(__xludf.DUMMYFUNCTION("""COMPUTED_VALUE"""),45078.0)</f>
        <v>45078</v>
      </c>
      <c r="C31" s="32">
        <f>IFERROR(__xludf.DUMMYFUNCTION("""COMPUTED_VALUE"""),12005.0)</f>
        <v>12005</v>
      </c>
      <c r="E31" s="34">
        <f>IFERROR(__xludf.DUMMYFUNCTION("""COMPUTED_VALUE"""),45078.0)</f>
        <v>45078</v>
      </c>
      <c r="F31" s="32">
        <f>IFERROR(__xludf.DUMMYFUNCTION("""COMPUTED_VALUE"""),12005.0)</f>
        <v>12005</v>
      </c>
    </row>
    <row r="32">
      <c r="B32" s="34">
        <f>IFERROR(__xludf.DUMMYFUNCTION("""COMPUTED_VALUE"""),45047.0)</f>
        <v>45047</v>
      </c>
      <c r="C32" s="32">
        <f>IFERROR(__xludf.DUMMYFUNCTION("""COMPUTED_VALUE"""),14695.0)</f>
        <v>14695</v>
      </c>
      <c r="E32" s="34">
        <f>IFERROR(__xludf.DUMMYFUNCTION("""COMPUTED_VALUE"""),45047.0)</f>
        <v>45047</v>
      </c>
      <c r="F32" s="32">
        <f>IFERROR(__xludf.DUMMYFUNCTION("""COMPUTED_VALUE"""),14695.0)</f>
        <v>14695</v>
      </c>
    </row>
    <row r="33">
      <c r="B33" s="34">
        <f>IFERROR(__xludf.DUMMYFUNCTION("""COMPUTED_VALUE"""),45017.0)</f>
        <v>45017</v>
      </c>
      <c r="C33" s="32">
        <f>IFERROR(__xludf.DUMMYFUNCTION("""COMPUTED_VALUE"""),17642.0)</f>
        <v>17642</v>
      </c>
      <c r="E33" s="34">
        <f>IFERROR(__xludf.DUMMYFUNCTION("""COMPUTED_VALUE"""),45017.0)</f>
        <v>45017</v>
      </c>
      <c r="F33" s="32">
        <f>IFERROR(__xludf.DUMMYFUNCTION("""COMPUTED_VALUE"""),17642.0)</f>
        <v>17642</v>
      </c>
    </row>
    <row r="34">
      <c r="B34" s="34">
        <f>IFERROR(__xludf.DUMMYFUNCTION("""COMPUTED_VALUE"""),44986.0)</f>
        <v>44986</v>
      </c>
      <c r="C34" s="32">
        <f>IFERROR(__xludf.DUMMYFUNCTION("""COMPUTED_VALUE"""),12957.0)</f>
        <v>12957</v>
      </c>
      <c r="E34" s="34">
        <f>IFERROR(__xludf.DUMMYFUNCTION("""COMPUTED_VALUE"""),44986.0)</f>
        <v>44986</v>
      </c>
      <c r="F34" s="32">
        <f>IFERROR(__xludf.DUMMYFUNCTION("""COMPUTED_VALUE"""),12957.0)</f>
        <v>12957</v>
      </c>
    </row>
    <row r="35">
      <c r="B35" s="34">
        <f>IFERROR(__xludf.DUMMYFUNCTION("""COMPUTED_VALUE"""),44958.0)</f>
        <v>44958</v>
      </c>
      <c r="C35" s="32">
        <f>IFERROR(__xludf.DUMMYFUNCTION("""COMPUTED_VALUE"""),12381.0)</f>
        <v>12381</v>
      </c>
      <c r="E35" s="34">
        <f>IFERROR(__xludf.DUMMYFUNCTION("""COMPUTED_VALUE"""),44958.0)</f>
        <v>44958</v>
      </c>
      <c r="F35" s="32">
        <f>IFERROR(__xludf.DUMMYFUNCTION("""COMPUTED_VALUE"""),12381.0)</f>
        <v>12381</v>
      </c>
    </row>
    <row r="36">
      <c r="B36" s="34">
        <f>IFERROR(__xludf.DUMMYFUNCTION("""COMPUTED_VALUE"""),44927.0)</f>
        <v>44927</v>
      </c>
      <c r="C36" s="32">
        <f>IFERROR(__xludf.DUMMYFUNCTION("""COMPUTED_VALUE"""),13435.0)</f>
        <v>13435</v>
      </c>
      <c r="E36" s="34">
        <f>IFERROR(__xludf.DUMMYFUNCTION("""COMPUTED_VALUE"""),44927.0)</f>
        <v>44927</v>
      </c>
      <c r="F36" s="32">
        <f>IFERROR(__xludf.DUMMYFUNCTION("""COMPUTED_VALUE"""),13435.0)</f>
        <v>13435</v>
      </c>
    </row>
    <row r="37">
      <c r="B37" s="34">
        <f>IFERROR(__xludf.DUMMYFUNCTION("""COMPUTED_VALUE"""),44896.0)</f>
        <v>44896</v>
      </c>
      <c r="C37" s="32">
        <f>IFERROR(__xludf.DUMMYFUNCTION("""COMPUTED_VALUE"""),13786.0)</f>
        <v>13786</v>
      </c>
      <c r="E37" s="34">
        <f>IFERROR(__xludf.DUMMYFUNCTION("""COMPUTED_VALUE"""),44896.0)</f>
        <v>44896</v>
      </c>
      <c r="F37" s="32">
        <f>IFERROR(__xludf.DUMMYFUNCTION("""COMPUTED_VALUE"""),13786.0)</f>
        <v>13786</v>
      </c>
    </row>
    <row r="38">
      <c r="B38" s="34">
        <f>IFERROR(__xludf.DUMMYFUNCTION("""COMPUTED_VALUE"""),44866.0)</f>
        <v>44866</v>
      </c>
      <c r="C38" s="32">
        <f>IFERROR(__xludf.DUMMYFUNCTION("""COMPUTED_VALUE"""),11086.0)</f>
        <v>11086</v>
      </c>
      <c r="E38" s="34">
        <f>IFERROR(__xludf.DUMMYFUNCTION("""COMPUTED_VALUE"""),44866.0)</f>
        <v>44866</v>
      </c>
      <c r="F38" s="32">
        <f>IFERROR(__xludf.DUMMYFUNCTION("""COMPUTED_VALUE"""),11086.0)</f>
        <v>11086</v>
      </c>
    </row>
    <row r="39">
      <c r="B39" s="34">
        <f>IFERROR(__xludf.DUMMYFUNCTION("""COMPUTED_VALUE"""),44835.0)</f>
        <v>44835</v>
      </c>
      <c r="C39" s="32">
        <f>IFERROR(__xludf.DUMMYFUNCTION("""COMPUTED_VALUE"""),9719.0)</f>
        <v>9719</v>
      </c>
      <c r="E39" s="34">
        <f>IFERROR(__xludf.DUMMYFUNCTION("""COMPUTED_VALUE"""),44835.0)</f>
        <v>44835</v>
      </c>
      <c r="F39" s="32">
        <f>IFERROR(__xludf.DUMMYFUNCTION("""COMPUTED_VALUE"""),9719.0)</f>
        <v>9719</v>
      </c>
    </row>
    <row r="40">
      <c r="B40" s="34">
        <f>IFERROR(__xludf.DUMMYFUNCTION("""COMPUTED_VALUE"""),44805.0)</f>
        <v>44805</v>
      </c>
      <c r="C40" s="32">
        <f>IFERROR(__xludf.DUMMYFUNCTION("""COMPUTED_VALUE"""),9523.0)</f>
        <v>9523</v>
      </c>
      <c r="E40" s="34">
        <f>IFERROR(__xludf.DUMMYFUNCTION("""COMPUTED_VALUE"""),44805.0)</f>
        <v>44805</v>
      </c>
      <c r="F40" s="32">
        <f>IFERROR(__xludf.DUMMYFUNCTION("""COMPUTED_VALUE"""),9523.0)</f>
        <v>9523</v>
      </c>
    </row>
    <row r="41">
      <c r="B41" s="34">
        <f>IFERROR(__xludf.DUMMYFUNCTION("""COMPUTED_VALUE"""),44774.0)</f>
        <v>44774</v>
      </c>
      <c r="C41" s="32">
        <f>IFERROR(__xludf.DUMMYFUNCTION("""COMPUTED_VALUE"""),13272.0)</f>
        <v>13272</v>
      </c>
      <c r="E41" s="34">
        <f>IFERROR(__xludf.DUMMYFUNCTION("""COMPUTED_VALUE"""),44774.0)</f>
        <v>44774</v>
      </c>
      <c r="F41" s="32">
        <f>IFERROR(__xludf.DUMMYFUNCTION("""COMPUTED_VALUE"""),13272.0)</f>
        <v>13272</v>
      </c>
    </row>
    <row r="42">
      <c r="B42" s="34">
        <f>IFERROR(__xludf.DUMMYFUNCTION("""COMPUTED_VALUE"""),44743.0)</f>
        <v>44743</v>
      </c>
      <c r="C42" s="32">
        <f>IFERROR(__xludf.DUMMYFUNCTION("""COMPUTED_VALUE"""),11261.0)</f>
        <v>11261</v>
      </c>
      <c r="E42" s="34">
        <f>IFERROR(__xludf.DUMMYFUNCTION("""COMPUTED_VALUE"""),44743.0)</f>
        <v>44743</v>
      </c>
      <c r="F42" s="32">
        <f>IFERROR(__xludf.DUMMYFUNCTION("""COMPUTED_VALUE"""),11261.0)</f>
        <v>11261</v>
      </c>
    </row>
    <row r="43">
      <c r="B43" s="34">
        <f>IFERROR(__xludf.DUMMYFUNCTION("""COMPUTED_VALUE"""),44713.0)</f>
        <v>44713</v>
      </c>
      <c r="C43" s="32">
        <f>IFERROR(__xludf.DUMMYFUNCTION("""COMPUTED_VALUE"""),10545.0)</f>
        <v>10545</v>
      </c>
      <c r="E43" s="34">
        <f>IFERROR(__xludf.DUMMYFUNCTION("""COMPUTED_VALUE"""),44713.0)</f>
        <v>44713</v>
      </c>
      <c r="F43" s="32">
        <f>IFERROR(__xludf.DUMMYFUNCTION("""COMPUTED_VALUE"""),10545.0)</f>
        <v>10545</v>
      </c>
    </row>
    <row r="44">
      <c r="B44" s="34">
        <f>IFERROR(__xludf.DUMMYFUNCTION("""COMPUTED_VALUE"""),44682.0)</f>
        <v>44682</v>
      </c>
      <c r="C44" s="32">
        <f>IFERROR(__xludf.DUMMYFUNCTION("""COMPUTED_VALUE"""),10687.0)</f>
        <v>10687</v>
      </c>
      <c r="E44" s="34">
        <f>IFERROR(__xludf.DUMMYFUNCTION("""COMPUTED_VALUE"""),44682.0)</f>
        <v>44682</v>
      </c>
      <c r="F44" s="32">
        <f>IFERROR(__xludf.DUMMYFUNCTION("""COMPUTED_VALUE"""),10687.0)</f>
        <v>10687</v>
      </c>
    </row>
    <row r="45">
      <c r="B45" s="34">
        <f>IFERROR(__xludf.DUMMYFUNCTION("""COMPUTED_VALUE"""),44652.0)</f>
        <v>44652</v>
      </c>
      <c r="C45" s="32">
        <f>IFERROR(__xludf.DUMMYFUNCTION("""COMPUTED_VALUE"""),10076.0)</f>
        <v>10076</v>
      </c>
      <c r="E45" s="34">
        <f>IFERROR(__xludf.DUMMYFUNCTION("""COMPUTED_VALUE"""),44652.0)</f>
        <v>44652</v>
      </c>
      <c r="F45" s="32">
        <f>IFERROR(__xludf.DUMMYFUNCTION("""COMPUTED_VALUE"""),10076.0)</f>
        <v>10076</v>
      </c>
    </row>
    <row r="46">
      <c r="B46" s="34">
        <f>IFERROR(__xludf.DUMMYFUNCTION("""COMPUTED_VALUE"""),44621.0)</f>
        <v>44621</v>
      </c>
      <c r="C46" s="32">
        <f>IFERROR(__xludf.DUMMYFUNCTION("""COMPUTED_VALUE"""),11347.0)</f>
        <v>11347</v>
      </c>
      <c r="E46" s="34">
        <f>IFERROR(__xludf.DUMMYFUNCTION("""COMPUTED_VALUE"""),44621.0)</f>
        <v>44621</v>
      </c>
      <c r="F46" s="32">
        <f>IFERROR(__xludf.DUMMYFUNCTION("""COMPUTED_VALUE"""),11347.0)</f>
        <v>11347</v>
      </c>
    </row>
    <row r="47">
      <c r="B47" s="34">
        <f>IFERROR(__xludf.DUMMYFUNCTION("""COMPUTED_VALUE"""),44593.0)</f>
        <v>44593</v>
      </c>
      <c r="C47" s="32">
        <f>IFERROR(__xludf.DUMMYFUNCTION("""COMPUTED_VALUE"""),11789.0)</f>
        <v>11789</v>
      </c>
      <c r="E47" s="34">
        <f>IFERROR(__xludf.DUMMYFUNCTION("""COMPUTED_VALUE"""),44593.0)</f>
        <v>44593</v>
      </c>
      <c r="F47" s="32">
        <f>IFERROR(__xludf.DUMMYFUNCTION("""COMPUTED_VALUE"""),11789.0)</f>
        <v>11789</v>
      </c>
    </row>
    <row r="48">
      <c r="B48" s="34">
        <f>IFERROR(__xludf.DUMMYFUNCTION("""COMPUTED_VALUE"""),44562.0)</f>
        <v>44562</v>
      </c>
      <c r="C48" s="32">
        <f>IFERROR(__xludf.DUMMYFUNCTION("""COMPUTED_VALUE"""),10369.0)</f>
        <v>10369</v>
      </c>
      <c r="E48" s="34">
        <f>IFERROR(__xludf.DUMMYFUNCTION("""COMPUTED_VALUE"""),44562.0)</f>
        <v>44562</v>
      </c>
      <c r="F48" s="32">
        <f>IFERROR(__xludf.DUMMYFUNCTION("""COMPUTED_VALUE"""),10369.0)</f>
        <v>10369</v>
      </c>
    </row>
    <row r="49">
      <c r="B49" s="34">
        <f>IFERROR(__xludf.DUMMYFUNCTION("""COMPUTED_VALUE"""),44531.0)</f>
        <v>44531</v>
      </c>
      <c r="C49" s="32">
        <f>IFERROR(__xludf.DUMMYFUNCTION("""COMPUTED_VALUE"""),10719.0)</f>
        <v>10719</v>
      </c>
      <c r="E49" s="34">
        <f>IFERROR(__xludf.DUMMYFUNCTION("""COMPUTED_VALUE"""),44531.0)</f>
        <v>44531</v>
      </c>
      <c r="F49" s="32">
        <f>IFERROR(__xludf.DUMMYFUNCTION("""COMPUTED_VALUE"""),10719.0)</f>
        <v>10719</v>
      </c>
    </row>
    <row r="50">
      <c r="B50" s="34">
        <f>IFERROR(__xludf.DUMMYFUNCTION("""COMPUTED_VALUE"""),44501.0)</f>
        <v>44501</v>
      </c>
      <c r="C50" s="32">
        <f>IFERROR(__xludf.DUMMYFUNCTION("""COMPUTED_VALUE"""),10687.0)</f>
        <v>10687</v>
      </c>
      <c r="E50" s="34">
        <f>IFERROR(__xludf.DUMMYFUNCTION("""COMPUTED_VALUE"""),44501.0)</f>
        <v>44501</v>
      </c>
      <c r="F50" s="32">
        <f>IFERROR(__xludf.DUMMYFUNCTION("""COMPUTED_VALUE"""),10687.0)</f>
        <v>10687</v>
      </c>
    </row>
    <row r="51">
      <c r="B51" s="34">
        <f>IFERROR(__xludf.DUMMYFUNCTION("""COMPUTED_VALUE"""),44470.0)</f>
        <v>44470</v>
      </c>
      <c r="C51" s="32">
        <f>IFERROR(__xludf.DUMMYFUNCTION("""COMPUTED_VALUE"""),11209.0)</f>
        <v>11209</v>
      </c>
      <c r="E51" s="34">
        <f>IFERROR(__xludf.DUMMYFUNCTION("""COMPUTED_VALUE"""),44470.0)</f>
        <v>44470</v>
      </c>
      <c r="F51" s="32">
        <f>IFERROR(__xludf.DUMMYFUNCTION("""COMPUTED_VALUE"""),11209.0)</f>
        <v>11209</v>
      </c>
    </row>
    <row r="52">
      <c r="B52" s="34">
        <f>IFERROR(__xludf.DUMMYFUNCTION("""COMPUTED_VALUE"""),44440.0)</f>
        <v>44440</v>
      </c>
      <c r="C52" s="32">
        <f>IFERROR(__xludf.DUMMYFUNCTION("""COMPUTED_VALUE"""),11772.0)</f>
        <v>11772</v>
      </c>
      <c r="E52" s="34">
        <f>IFERROR(__xludf.DUMMYFUNCTION("""COMPUTED_VALUE"""),44440.0)</f>
        <v>44440</v>
      </c>
      <c r="F52" s="32">
        <f>IFERROR(__xludf.DUMMYFUNCTION("""COMPUTED_VALUE"""),11772.0)</f>
        <v>11772</v>
      </c>
    </row>
    <row r="53">
      <c r="B53" s="34">
        <f>IFERROR(__xludf.DUMMYFUNCTION("""COMPUTED_VALUE"""),44409.0)</f>
        <v>44409</v>
      </c>
      <c r="C53" s="32">
        <f>IFERROR(__xludf.DUMMYFUNCTION("""COMPUTED_VALUE"""),10662.0)</f>
        <v>10662</v>
      </c>
      <c r="E53" s="34">
        <f>IFERROR(__xludf.DUMMYFUNCTION("""COMPUTED_VALUE"""),44409.0)</f>
        <v>44409</v>
      </c>
      <c r="F53" s="32">
        <f>IFERROR(__xludf.DUMMYFUNCTION("""COMPUTED_VALUE"""),10662.0)</f>
        <v>10662</v>
      </c>
    </row>
    <row r="54">
      <c r="B54" s="34">
        <f>IFERROR(__xludf.DUMMYFUNCTION("""COMPUTED_VALUE"""),44378.0)</f>
        <v>44378</v>
      </c>
      <c r="C54" s="32">
        <f>IFERROR(__xludf.DUMMYFUNCTION("""COMPUTED_VALUE"""),12648.0)</f>
        <v>12648</v>
      </c>
      <c r="E54" s="34">
        <f>IFERROR(__xludf.DUMMYFUNCTION("""COMPUTED_VALUE"""),44378.0)</f>
        <v>44378</v>
      </c>
      <c r="F54" s="32">
        <f>IFERROR(__xludf.DUMMYFUNCTION("""COMPUTED_VALUE"""),12648.0)</f>
        <v>12648</v>
      </c>
    </row>
    <row r="55">
      <c r="B55" s="34">
        <f>IFERROR(__xludf.DUMMYFUNCTION("""COMPUTED_VALUE"""),44348.0)</f>
        <v>44348</v>
      </c>
      <c r="C55" s="32">
        <f>IFERROR(__xludf.DUMMYFUNCTION("""COMPUTED_VALUE"""),12426.0)</f>
        <v>12426</v>
      </c>
      <c r="E55" s="34">
        <f>IFERROR(__xludf.DUMMYFUNCTION("""COMPUTED_VALUE"""),44348.0)</f>
        <v>44348</v>
      </c>
      <c r="F55" s="32">
        <f>IFERROR(__xludf.DUMMYFUNCTION("""COMPUTED_VALUE"""),12426.0)</f>
        <v>12426</v>
      </c>
    </row>
    <row r="56">
      <c r="B56" s="34">
        <f>IFERROR(__xludf.DUMMYFUNCTION("""COMPUTED_VALUE"""),44317.0)</f>
        <v>44317</v>
      </c>
      <c r="C56" s="32">
        <f>IFERROR(__xludf.DUMMYFUNCTION("""COMPUTED_VALUE"""),11537.0)</f>
        <v>11537</v>
      </c>
      <c r="E56" s="34">
        <f>IFERROR(__xludf.DUMMYFUNCTION("""COMPUTED_VALUE"""),44317.0)</f>
        <v>44317</v>
      </c>
      <c r="F56" s="32">
        <f>IFERROR(__xludf.DUMMYFUNCTION("""COMPUTED_VALUE"""),11537.0)</f>
        <v>11537</v>
      </c>
    </row>
    <row r="57">
      <c r="B57" s="34">
        <f>IFERROR(__xludf.DUMMYFUNCTION("""COMPUTED_VALUE"""),44287.0)</f>
        <v>44287</v>
      </c>
      <c r="C57" s="32">
        <f>IFERROR(__xludf.DUMMYFUNCTION("""COMPUTED_VALUE"""),12498.0)</f>
        <v>12498</v>
      </c>
      <c r="E57" s="34">
        <f>IFERROR(__xludf.DUMMYFUNCTION("""COMPUTED_VALUE"""),44287.0)</f>
        <v>44287</v>
      </c>
      <c r="F57" s="32">
        <f>IFERROR(__xludf.DUMMYFUNCTION("""COMPUTED_VALUE"""),12498.0)</f>
        <v>12498</v>
      </c>
    </row>
    <row r="58">
      <c r="B58" s="34">
        <f>IFERROR(__xludf.DUMMYFUNCTION("""COMPUTED_VALUE"""),44256.0)</f>
        <v>44256</v>
      </c>
      <c r="C58" s="32">
        <f>IFERROR(__xludf.DUMMYFUNCTION("""COMPUTED_VALUE"""),15420.0)</f>
        <v>15420</v>
      </c>
      <c r="E58" s="34">
        <f>IFERROR(__xludf.DUMMYFUNCTION("""COMPUTED_VALUE"""),44256.0)</f>
        <v>44256</v>
      </c>
      <c r="F58" s="32">
        <f>IFERROR(__xludf.DUMMYFUNCTION("""COMPUTED_VALUE"""),15420.0)</f>
        <v>15420</v>
      </c>
    </row>
    <row r="59">
      <c r="B59" s="34">
        <f>IFERROR(__xludf.DUMMYFUNCTION("""COMPUTED_VALUE"""),44228.0)</f>
        <v>44228</v>
      </c>
      <c r="C59" s="32">
        <f>IFERROR(__xludf.DUMMYFUNCTION("""COMPUTED_VALUE"""),13974.0)</f>
        <v>13974</v>
      </c>
      <c r="E59" s="34">
        <f>IFERROR(__xludf.DUMMYFUNCTION("""COMPUTED_VALUE"""),44228.0)</f>
        <v>44228</v>
      </c>
      <c r="F59" s="32">
        <f>IFERROR(__xludf.DUMMYFUNCTION("""COMPUTED_VALUE"""),13974.0)</f>
        <v>13974</v>
      </c>
    </row>
    <row r="60">
      <c r="B60" s="34">
        <f>IFERROR(__xludf.DUMMYFUNCTION("""COMPUTED_VALUE"""),44197.0)</f>
        <v>44197</v>
      </c>
      <c r="C60" s="32">
        <f>IFERROR(__xludf.DUMMYFUNCTION("""COMPUTED_VALUE"""),14764.0)</f>
        <v>14764</v>
      </c>
    </row>
    <row r="61">
      <c r="B61" s="34">
        <f>IFERROR(__xludf.DUMMYFUNCTION("""COMPUTED_VALUE"""),44166.0)</f>
        <v>44166</v>
      </c>
      <c r="C61" s="32">
        <f>IFERROR(__xludf.DUMMYFUNCTION("""COMPUTED_VALUE"""),13331.0)</f>
        <v>13331</v>
      </c>
    </row>
    <row r="62">
      <c r="B62" s="34">
        <f>IFERROR(__xludf.DUMMYFUNCTION("""COMPUTED_VALUE"""),44136.0)</f>
        <v>44136</v>
      </c>
      <c r="C62" s="32">
        <f>IFERROR(__xludf.DUMMYFUNCTION("""COMPUTED_VALUE"""),13851.0)</f>
        <v>13851</v>
      </c>
    </row>
    <row r="63">
      <c r="B63" s="34">
        <f>IFERROR(__xludf.DUMMYFUNCTION("""COMPUTED_VALUE"""),44105.0)</f>
        <v>44105</v>
      </c>
      <c r="C63" s="32">
        <f>IFERROR(__xludf.DUMMYFUNCTION("""COMPUTED_VALUE"""),14337.0)</f>
        <v>14337</v>
      </c>
    </row>
    <row r="64">
      <c r="B64" s="34">
        <f>IFERROR(__xludf.DUMMYFUNCTION("""COMPUTED_VALUE"""),44075.0)</f>
        <v>44075</v>
      </c>
      <c r="C64" s="32">
        <f>IFERROR(__xludf.DUMMYFUNCTION("""COMPUTED_VALUE"""),10888.0)</f>
        <v>10888</v>
      </c>
    </row>
    <row r="65">
      <c r="B65" s="34">
        <f>IFERROR(__xludf.DUMMYFUNCTION("""COMPUTED_VALUE"""),44044.0)</f>
        <v>44044</v>
      </c>
      <c r="C65" s="32">
        <f>IFERROR(__xludf.DUMMYFUNCTION("""COMPUTED_VALUE"""),15140.0)</f>
        <v>15140</v>
      </c>
    </row>
    <row r="66">
      <c r="B66" s="34">
        <f>IFERROR(__xludf.DUMMYFUNCTION("""COMPUTED_VALUE"""),44013.0)</f>
        <v>44013</v>
      </c>
      <c r="C66" s="32">
        <f>IFERROR(__xludf.DUMMYFUNCTION("""COMPUTED_VALUE"""),14886.0)</f>
        <v>14886</v>
      </c>
    </row>
    <row r="67">
      <c r="B67" s="34">
        <f>IFERROR(__xludf.DUMMYFUNCTION("""COMPUTED_VALUE"""),43983.0)</f>
        <v>43983</v>
      </c>
      <c r="C67" s="32">
        <f>IFERROR(__xludf.DUMMYFUNCTION("""COMPUTED_VALUE"""),13839.0)</f>
        <v>13839</v>
      </c>
    </row>
    <row r="68">
      <c r="B68" s="34">
        <f>IFERROR(__xludf.DUMMYFUNCTION("""COMPUTED_VALUE"""),43952.0)</f>
        <v>43952</v>
      </c>
      <c r="C68" s="32">
        <f>IFERROR(__xludf.DUMMYFUNCTION("""COMPUTED_VALUE"""),14456.0)</f>
        <v>14456</v>
      </c>
    </row>
    <row r="69">
      <c r="B69" s="34">
        <f>IFERROR(__xludf.DUMMYFUNCTION("""COMPUTED_VALUE"""),43922.0)</f>
        <v>43922</v>
      </c>
      <c r="C69" s="32">
        <f>IFERROR(__xludf.DUMMYFUNCTION("""COMPUTED_VALUE"""),13301.0)</f>
        <v>13301</v>
      </c>
    </row>
    <row r="70">
      <c r="B70" s="34">
        <f>IFERROR(__xludf.DUMMYFUNCTION("""COMPUTED_VALUE"""),43891.0)</f>
        <v>43891</v>
      </c>
      <c r="C70" s="32">
        <f>IFERROR(__xludf.DUMMYFUNCTION("""COMPUTED_VALUE"""),18068.0)</f>
        <v>18068</v>
      </c>
    </row>
    <row r="71">
      <c r="B71" s="34">
        <f>IFERROR(__xludf.DUMMYFUNCTION("""COMPUTED_VALUE"""),43862.0)</f>
        <v>43862</v>
      </c>
      <c r="C71" s="32">
        <f>IFERROR(__xludf.DUMMYFUNCTION("""COMPUTED_VALUE"""),17869.0)</f>
        <v>17869</v>
      </c>
    </row>
    <row r="72">
      <c r="B72" s="34">
        <f>IFERROR(__xludf.DUMMYFUNCTION("""COMPUTED_VALUE"""),43831.0)</f>
        <v>43831</v>
      </c>
      <c r="C72" s="32">
        <f>IFERROR(__xludf.DUMMYFUNCTION("""COMPUTED_VALUE"""),12704.0)</f>
        <v>12704</v>
      </c>
    </row>
    <row r="73">
      <c r="B73" s="34">
        <f>IFERROR(__xludf.DUMMYFUNCTION("""COMPUTED_VALUE"""),43800.0)</f>
        <v>43800</v>
      </c>
      <c r="C73" s="32">
        <f>IFERROR(__xludf.DUMMYFUNCTION("""COMPUTED_VALUE"""),17465.0)</f>
        <v>17465</v>
      </c>
    </row>
    <row r="74">
      <c r="B74" s="34">
        <f>IFERROR(__xludf.DUMMYFUNCTION("""COMPUTED_VALUE"""),43770.0)</f>
        <v>43770</v>
      </c>
      <c r="C74" s="32">
        <f>IFERROR(__xludf.DUMMYFUNCTION("""COMPUTED_VALUE"""),7653.0)</f>
        <v>7653</v>
      </c>
    </row>
    <row r="75">
      <c r="B75" s="34">
        <f>IFERROR(__xludf.DUMMYFUNCTION("""COMPUTED_VALUE"""),43739.0)</f>
        <v>43739</v>
      </c>
      <c r="C75" s="32">
        <f>IFERROR(__xludf.DUMMYFUNCTION("""COMPUTED_VALUE"""),13919.0)</f>
        <v>13919</v>
      </c>
    </row>
    <row r="76">
      <c r="B76" s="34">
        <f>IFERROR(__xludf.DUMMYFUNCTION("""COMPUTED_VALUE"""),43709.0)</f>
        <v>43709</v>
      </c>
      <c r="C76" s="32">
        <f>IFERROR(__xludf.DUMMYFUNCTION("""COMPUTED_VALUE"""),13035.0)</f>
        <v>13035</v>
      </c>
    </row>
    <row r="77">
      <c r="B77" s="34">
        <f>IFERROR(__xludf.DUMMYFUNCTION("""COMPUTED_VALUE"""),43678.0)</f>
        <v>43678</v>
      </c>
      <c r="C77" s="32">
        <f>IFERROR(__xludf.DUMMYFUNCTION("""COMPUTED_VALUE"""),12485.0)</f>
        <v>12485</v>
      </c>
    </row>
    <row r="78">
      <c r="B78" s="34">
        <f>IFERROR(__xludf.DUMMYFUNCTION("""COMPUTED_VALUE"""),43647.0)</f>
        <v>43647</v>
      </c>
      <c r="C78" s="32">
        <f>IFERROR(__xludf.DUMMYFUNCTION("""COMPUTED_VALUE"""),8864.0)</f>
        <v>8864</v>
      </c>
    </row>
    <row r="79">
      <c r="B79" s="34">
        <f>IFERROR(__xludf.DUMMYFUNCTION("""COMPUTED_VALUE"""),43617.0)</f>
        <v>43617</v>
      </c>
      <c r="C79" s="32">
        <f>IFERROR(__xludf.DUMMYFUNCTION("""COMPUTED_VALUE"""),8619.0)</f>
        <v>8619</v>
      </c>
    </row>
    <row r="80">
      <c r="B80" s="34">
        <f>IFERROR(__xludf.DUMMYFUNCTION("""COMPUTED_VALUE"""),43586.0)</f>
        <v>43586</v>
      </c>
      <c r="C80" s="32">
        <f>IFERROR(__xludf.DUMMYFUNCTION("""COMPUTED_VALUE"""),11165.0)</f>
        <v>11165</v>
      </c>
    </row>
    <row r="81">
      <c r="B81" s="34">
        <f>IFERROR(__xludf.DUMMYFUNCTION("""COMPUTED_VALUE"""),43556.0)</f>
        <v>43556</v>
      </c>
      <c r="C81" s="32">
        <f>IFERROR(__xludf.DUMMYFUNCTION("""COMPUTED_VALUE"""),11304.0)</f>
        <v>11304</v>
      </c>
    </row>
    <row r="82">
      <c r="B82" s="34">
        <f>IFERROR(__xludf.DUMMYFUNCTION("""COMPUTED_VALUE"""),43525.0)</f>
        <v>43525</v>
      </c>
      <c r="C82" s="32">
        <f>IFERROR(__xludf.DUMMYFUNCTION("""COMPUTED_VALUE"""),13415.0)</f>
        <v>13415</v>
      </c>
    </row>
    <row r="83">
      <c r="B83" s="34">
        <f>IFERROR(__xludf.DUMMYFUNCTION("""COMPUTED_VALUE"""),43497.0)</f>
        <v>43497</v>
      </c>
      <c r="C83" s="32">
        <f>IFERROR(__xludf.DUMMYFUNCTION("""COMPUTED_VALUE"""),9364.0)</f>
        <v>9364</v>
      </c>
    </row>
    <row r="84">
      <c r="B84" s="34">
        <f>IFERROR(__xludf.DUMMYFUNCTION("""COMPUTED_VALUE"""),43466.0)</f>
        <v>43466</v>
      </c>
      <c r="C84" s="32">
        <f>IFERROR(__xludf.DUMMYFUNCTION("""COMPUTED_VALUE"""),10176.0)</f>
        <v>10176</v>
      </c>
    </row>
    <row r="85">
      <c r="B85" s="34">
        <f>IFERROR(__xludf.DUMMYFUNCTION("""COMPUTED_VALUE"""),43435.0)</f>
        <v>43435</v>
      </c>
      <c r="C85" s="32">
        <f>IFERROR(__xludf.DUMMYFUNCTION("""COMPUTED_VALUE"""),13671.0)</f>
        <v>13671</v>
      </c>
    </row>
    <row r="86">
      <c r="B86" s="34">
        <f>IFERROR(__xludf.DUMMYFUNCTION("""COMPUTED_VALUE"""),43405.0)</f>
        <v>43405</v>
      </c>
      <c r="C86" s="32">
        <f>IFERROR(__xludf.DUMMYFUNCTION("""COMPUTED_VALUE"""),11920.0)</f>
        <v>11920</v>
      </c>
    </row>
    <row r="87">
      <c r="B87" s="34">
        <f>IFERROR(__xludf.DUMMYFUNCTION("""COMPUTED_VALUE"""),43374.0)</f>
        <v>43374</v>
      </c>
      <c r="C87" s="32">
        <f>IFERROR(__xludf.DUMMYFUNCTION("""COMPUTED_VALUE"""),10954.0)</f>
        <v>10954</v>
      </c>
    </row>
    <row r="88">
      <c r="B88" s="34">
        <f>IFERROR(__xludf.DUMMYFUNCTION("""COMPUTED_VALUE"""),43344.0)</f>
        <v>43344</v>
      </c>
      <c r="C88" s="32">
        <f>IFERROR(__xludf.DUMMYFUNCTION("""COMPUTED_VALUE"""),14489.0)</f>
        <v>14489</v>
      </c>
    </row>
    <row r="89">
      <c r="B89" s="34">
        <f>IFERROR(__xludf.DUMMYFUNCTION("""COMPUTED_VALUE"""),43313.0)</f>
        <v>43313</v>
      </c>
      <c r="C89" s="32">
        <f>IFERROR(__xludf.DUMMYFUNCTION("""COMPUTED_VALUE"""),14118.0)</f>
        <v>14118</v>
      </c>
    </row>
    <row r="90">
      <c r="B90" s="34">
        <f>IFERROR(__xludf.DUMMYFUNCTION("""COMPUTED_VALUE"""),43282.0)</f>
        <v>43282</v>
      </c>
      <c r="C90" s="32">
        <f>IFERROR(__xludf.DUMMYFUNCTION("""COMPUTED_VALUE"""),9847.0)</f>
        <v>9847</v>
      </c>
    </row>
    <row r="91">
      <c r="B91" s="34">
        <f>IFERROR(__xludf.DUMMYFUNCTION("""COMPUTED_VALUE"""),43252.0)</f>
        <v>43252</v>
      </c>
      <c r="C91" s="32">
        <f>IFERROR(__xludf.DUMMYFUNCTION("""COMPUTED_VALUE"""),13231.0)</f>
        <v>13231</v>
      </c>
    </row>
    <row r="92">
      <c r="B92" s="34">
        <f>IFERROR(__xludf.DUMMYFUNCTION("""COMPUTED_VALUE"""),43221.0)</f>
        <v>43221</v>
      </c>
      <c r="C92" s="32">
        <f>IFERROR(__xludf.DUMMYFUNCTION("""COMPUTED_VALUE"""),11889.0)</f>
        <v>11889</v>
      </c>
    </row>
    <row r="93">
      <c r="B93" s="34">
        <f>IFERROR(__xludf.DUMMYFUNCTION("""COMPUTED_VALUE"""),43191.0)</f>
        <v>43191</v>
      </c>
      <c r="C93" s="32">
        <f>IFERROR(__xludf.DUMMYFUNCTION("""COMPUTED_VALUE"""),10819.0)</f>
        <v>10819</v>
      </c>
    </row>
    <row r="94">
      <c r="B94" s="34">
        <f>IFERROR(__xludf.DUMMYFUNCTION("""COMPUTED_VALUE"""),43160.0)</f>
        <v>43160</v>
      </c>
      <c r="C94" s="32">
        <f>IFERROR(__xludf.DUMMYFUNCTION("""COMPUTED_VALUE"""),10342.0)</f>
        <v>10342</v>
      </c>
    </row>
    <row r="95">
      <c r="B95" s="34">
        <f>IFERROR(__xludf.DUMMYFUNCTION("""COMPUTED_VALUE"""),43132.0)</f>
        <v>43132</v>
      </c>
      <c r="C95" s="32">
        <f>IFERROR(__xludf.DUMMYFUNCTION("""COMPUTED_VALUE"""),9336.0)</f>
        <v>9336</v>
      </c>
    </row>
    <row r="96">
      <c r="B96" s="34">
        <f>IFERROR(__xludf.DUMMYFUNCTION("""COMPUTED_VALUE"""),43101.0)</f>
        <v>43101</v>
      </c>
      <c r="C96" s="32">
        <f>IFERROR(__xludf.DUMMYFUNCTION("""COMPUTED_VALUE"""),8586.0)</f>
        <v>8586</v>
      </c>
    </row>
    <row r="97">
      <c r="B97" s="34">
        <f>IFERROR(__xludf.DUMMYFUNCTION("""COMPUTED_VALUE"""),43070.0)</f>
        <v>43070</v>
      </c>
      <c r="C97" s="32">
        <f>IFERROR(__xludf.DUMMYFUNCTION("""COMPUTED_VALUE"""),14113.0)</f>
        <v>14113</v>
      </c>
    </row>
    <row r="98">
      <c r="B98" s="34">
        <f>IFERROR(__xludf.DUMMYFUNCTION("""COMPUTED_VALUE"""),43040.0)</f>
        <v>43040</v>
      </c>
      <c r="C98" s="32">
        <f>IFERROR(__xludf.DUMMYFUNCTION("""COMPUTED_VALUE"""),7118.0)</f>
        <v>7118</v>
      </c>
    </row>
    <row r="99">
      <c r="B99" s="34">
        <f>IFERROR(__xludf.DUMMYFUNCTION("""COMPUTED_VALUE"""),43009.0)</f>
        <v>43009</v>
      </c>
      <c r="C99" s="32">
        <f>IFERROR(__xludf.DUMMYFUNCTION("""COMPUTED_VALUE"""),10148.0)</f>
        <v>10148</v>
      </c>
    </row>
    <row r="100">
      <c r="B100" s="34">
        <f>IFERROR(__xludf.DUMMYFUNCTION("""COMPUTED_VALUE"""),42979.0)</f>
        <v>42979</v>
      </c>
      <c r="C100" s="32">
        <f>IFERROR(__xludf.DUMMYFUNCTION("""COMPUTED_VALUE"""),10749.0)</f>
        <v>10749</v>
      </c>
    </row>
    <row r="101">
      <c r="B101" s="34">
        <f>IFERROR(__xludf.DUMMYFUNCTION("""COMPUTED_VALUE"""),42948.0)</f>
        <v>42948</v>
      </c>
      <c r="C101" s="32">
        <f>IFERROR(__xludf.DUMMYFUNCTION("""COMPUTED_VALUE"""),10765.0)</f>
        <v>10765</v>
      </c>
    </row>
    <row r="102">
      <c r="B102" s="34">
        <f>IFERROR(__xludf.DUMMYFUNCTION("""COMPUTED_VALUE"""),42917.0)</f>
        <v>42917</v>
      </c>
      <c r="C102" s="32">
        <f>IFERROR(__xludf.DUMMYFUNCTION("""COMPUTED_VALUE"""),12575.0)</f>
        <v>12575</v>
      </c>
    </row>
    <row r="103">
      <c r="B103" s="34">
        <f>IFERROR(__xludf.DUMMYFUNCTION("""COMPUTED_VALUE"""),42887.0)</f>
        <v>42887</v>
      </c>
      <c r="C103" s="32">
        <f>IFERROR(__xludf.DUMMYFUNCTION("""COMPUTED_VALUE"""),10027.0)</f>
        <v>10027</v>
      </c>
    </row>
    <row r="104">
      <c r="B104" s="34">
        <f>IFERROR(__xludf.DUMMYFUNCTION("""COMPUTED_VALUE"""),42856.0)</f>
        <v>42856</v>
      </c>
      <c r="C104" s="32">
        <f>IFERROR(__xludf.DUMMYFUNCTION("""COMPUTED_VALUE"""),8969.0)</f>
        <v>8969</v>
      </c>
    </row>
    <row r="105">
      <c r="B105" s="34">
        <f>IFERROR(__xludf.DUMMYFUNCTION("""COMPUTED_VALUE"""),42826.0)</f>
        <v>42826</v>
      </c>
      <c r="C105" s="32">
        <f>IFERROR(__xludf.DUMMYFUNCTION("""COMPUTED_VALUE"""),10913.0)</f>
        <v>10913</v>
      </c>
    </row>
    <row r="106">
      <c r="B106" s="34">
        <f>IFERROR(__xludf.DUMMYFUNCTION("""COMPUTED_VALUE"""),42795.0)</f>
        <v>42795</v>
      </c>
      <c r="C106" s="32">
        <f>IFERROR(__xludf.DUMMYFUNCTION("""COMPUTED_VALUE"""),9521.0)</f>
        <v>9521</v>
      </c>
    </row>
    <row r="107">
      <c r="B107" s="34">
        <f>IFERROR(__xludf.DUMMYFUNCTION("""COMPUTED_VALUE"""),42767.0)</f>
        <v>42767</v>
      </c>
      <c r="C107" s="32">
        <f>IFERROR(__xludf.DUMMYFUNCTION("""COMPUTED_VALUE"""),10091.0)</f>
        <v>10091</v>
      </c>
    </row>
    <row r="108">
      <c r="B108" s="34">
        <f>IFERROR(__xludf.DUMMYFUNCTION("""COMPUTED_VALUE"""),42736.0)</f>
        <v>42736</v>
      </c>
      <c r="C108" s="32">
        <f>IFERROR(__xludf.DUMMYFUNCTION("""COMPUTED_VALUE"""),9824.0)</f>
        <v>9824</v>
      </c>
    </row>
    <row r="109">
      <c r="B109" s="34">
        <f>IFERROR(__xludf.DUMMYFUNCTION("""COMPUTED_VALUE"""),42705.0)</f>
        <v>42705</v>
      </c>
      <c r="C109" s="32">
        <f>IFERROR(__xludf.DUMMYFUNCTION("""COMPUTED_VALUE"""),14154.0)</f>
        <v>14154</v>
      </c>
    </row>
    <row r="110">
      <c r="B110" s="34">
        <f>IFERROR(__xludf.DUMMYFUNCTION("""COMPUTED_VALUE"""),42675.0)</f>
        <v>42675</v>
      </c>
      <c r="C110" s="32">
        <f>IFERROR(__xludf.DUMMYFUNCTION("""COMPUTED_VALUE"""),13108.0)</f>
        <v>13108</v>
      </c>
    </row>
    <row r="111">
      <c r="B111" s="34">
        <f>IFERROR(__xludf.DUMMYFUNCTION("""COMPUTED_VALUE"""),42644.0)</f>
        <v>42644</v>
      </c>
      <c r="C111" s="32">
        <f>IFERROR(__xludf.DUMMYFUNCTION("""COMPUTED_VALUE"""),12129.0)</f>
        <v>12129</v>
      </c>
    </row>
    <row r="112">
      <c r="B112" s="34">
        <f>IFERROR(__xludf.DUMMYFUNCTION("""COMPUTED_VALUE"""),42614.0)</f>
        <v>42614</v>
      </c>
      <c r="C112" s="32">
        <f>IFERROR(__xludf.DUMMYFUNCTION("""COMPUTED_VALUE"""),11157.0)</f>
        <v>11157</v>
      </c>
    </row>
    <row r="113">
      <c r="B113" s="34">
        <f>IFERROR(__xludf.DUMMYFUNCTION("""COMPUTED_VALUE"""),42583.0)</f>
        <v>42583</v>
      </c>
      <c r="C113" s="32">
        <f>IFERROR(__xludf.DUMMYFUNCTION("""COMPUTED_VALUE"""),11189.0)</f>
        <v>11189</v>
      </c>
    </row>
    <row r="114">
      <c r="B114" s="34">
        <f>IFERROR(__xludf.DUMMYFUNCTION("""COMPUTED_VALUE"""),42552.0)</f>
        <v>42552</v>
      </c>
      <c r="C114" s="32">
        <f>IFERROR(__xludf.DUMMYFUNCTION("""COMPUTED_VALUE"""),8050.0)</f>
        <v>8050</v>
      </c>
    </row>
    <row r="115">
      <c r="B115" s="34">
        <f>IFERROR(__xludf.DUMMYFUNCTION("""COMPUTED_VALUE"""),42522.0)</f>
        <v>42522</v>
      </c>
      <c r="C115" s="32">
        <f>IFERROR(__xludf.DUMMYFUNCTION("""COMPUTED_VALUE"""),6196.0)</f>
        <v>6196</v>
      </c>
    </row>
    <row r="116">
      <c r="B116" s="34">
        <f>IFERROR(__xludf.DUMMYFUNCTION("""COMPUTED_VALUE"""),42491.0)</f>
        <v>42491</v>
      </c>
      <c r="C116" s="32">
        <f>IFERROR(__xludf.DUMMYFUNCTION("""COMPUTED_VALUE"""),8658.0)</f>
        <v>8658</v>
      </c>
    </row>
    <row r="117">
      <c r="B117" s="34">
        <f>IFERROR(__xludf.DUMMYFUNCTION("""COMPUTED_VALUE"""),42461.0)</f>
        <v>42461</v>
      </c>
      <c r="C117" s="32">
        <f>IFERROR(__xludf.DUMMYFUNCTION("""COMPUTED_VALUE"""),12828.0)</f>
        <v>12828</v>
      </c>
    </row>
    <row r="118">
      <c r="B118" s="34">
        <f>IFERROR(__xludf.DUMMYFUNCTION("""COMPUTED_VALUE"""),42430.0)</f>
        <v>42430</v>
      </c>
      <c r="C118" s="32">
        <f>IFERROR(__xludf.DUMMYFUNCTION("""COMPUTED_VALUE"""),14438.0)</f>
        <v>14438</v>
      </c>
    </row>
    <row r="119">
      <c r="B119" s="34">
        <f>IFERROR(__xludf.DUMMYFUNCTION("""COMPUTED_VALUE"""),42401.0)</f>
        <v>42401</v>
      </c>
      <c r="C119" s="32">
        <f>IFERROR(__xludf.DUMMYFUNCTION("""COMPUTED_VALUE"""),7013.0)</f>
        <v>7013</v>
      </c>
    </row>
    <row r="120">
      <c r="B120" s="34">
        <f>IFERROR(__xludf.DUMMYFUNCTION("""COMPUTED_VALUE"""),42370.0)</f>
        <v>42370</v>
      </c>
      <c r="C120" s="32">
        <f>IFERROR(__xludf.DUMMYFUNCTION("""COMPUTED_VALUE"""),10082.0)</f>
        <v>10082</v>
      </c>
    </row>
    <row r="121">
      <c r="B121" s="34">
        <f>IFERROR(__xludf.DUMMYFUNCTION("""COMPUTED_VALUE"""),42339.0)</f>
        <v>42339</v>
      </c>
      <c r="C121" s="32">
        <f>IFERROR(__xludf.DUMMYFUNCTION("""COMPUTED_VALUE"""),9414.0)</f>
        <v>9414</v>
      </c>
    </row>
    <row r="122">
      <c r="B122" s="34">
        <f>IFERROR(__xludf.DUMMYFUNCTION("""COMPUTED_VALUE"""),42309.0)</f>
        <v>42309</v>
      </c>
      <c r="C122" s="32">
        <f>IFERROR(__xludf.DUMMYFUNCTION("""COMPUTED_VALUE"""),12161.0)</f>
        <v>12161</v>
      </c>
    </row>
    <row r="123">
      <c r="B123" s="34">
        <f>IFERROR(__xludf.DUMMYFUNCTION("""COMPUTED_VALUE"""),42278.0)</f>
        <v>42278</v>
      </c>
      <c r="C123" s="32">
        <f>IFERROR(__xludf.DUMMYFUNCTION("""COMPUTED_VALUE"""),9087.0)</f>
        <v>9087</v>
      </c>
    </row>
    <row r="124">
      <c r="B124" s="34">
        <f>IFERROR(__xludf.DUMMYFUNCTION("""COMPUTED_VALUE"""),42248.0)</f>
        <v>42248</v>
      </c>
      <c r="C124" s="32">
        <f>IFERROR(__xludf.DUMMYFUNCTION("""COMPUTED_VALUE"""),4723.0)</f>
        <v>4723</v>
      </c>
    </row>
    <row r="125">
      <c r="B125" s="34">
        <f>IFERROR(__xludf.DUMMYFUNCTION("""COMPUTED_VALUE"""),42217.0)</f>
        <v>42217</v>
      </c>
      <c r="C125" s="32">
        <f>IFERROR(__xludf.DUMMYFUNCTION("""COMPUTED_VALUE"""),8147.0)</f>
        <v>8147</v>
      </c>
    </row>
    <row r="126">
      <c r="B126" s="34">
        <f>IFERROR(__xludf.DUMMYFUNCTION("""COMPUTED_VALUE"""),42186.0)</f>
        <v>42186</v>
      </c>
      <c r="C126" s="32">
        <f>IFERROR(__xludf.DUMMYFUNCTION("""COMPUTED_VALUE"""),11048.0)</f>
        <v>11048</v>
      </c>
    </row>
    <row r="127">
      <c r="B127" s="34">
        <f>IFERROR(__xludf.DUMMYFUNCTION("""COMPUTED_VALUE"""),42156.0)</f>
        <v>42156</v>
      </c>
      <c r="C127" s="32">
        <f>IFERROR(__xludf.DUMMYFUNCTION("""COMPUTED_VALUE"""),9940.0)</f>
        <v>9940</v>
      </c>
    </row>
    <row r="128">
      <c r="B128" s="34">
        <f>IFERROR(__xludf.DUMMYFUNCTION("""COMPUTED_VALUE"""),42125.0)</f>
        <v>42125</v>
      </c>
      <c r="C128" s="32">
        <f>IFERROR(__xludf.DUMMYFUNCTION("""COMPUTED_VALUE"""),8511.0)</f>
        <v>8511</v>
      </c>
    </row>
    <row r="129">
      <c r="B129" s="34">
        <f>IFERROR(__xludf.DUMMYFUNCTION("""COMPUTED_VALUE"""),42095.0)</f>
        <v>42095</v>
      </c>
      <c r="C129" s="32">
        <f>IFERROR(__xludf.DUMMYFUNCTION("""COMPUTED_VALUE"""),7495.0)</f>
        <v>7495</v>
      </c>
    </row>
    <row r="130">
      <c r="B130" s="34">
        <f>IFERROR(__xludf.DUMMYFUNCTION("""COMPUTED_VALUE"""),42064.0)</f>
        <v>42064</v>
      </c>
      <c r="C130" s="32">
        <f>IFERROR(__xludf.DUMMYFUNCTION("""COMPUTED_VALUE"""),8733.0)</f>
        <v>8733</v>
      </c>
    </row>
    <row r="131">
      <c r="B131" s="34">
        <f>IFERROR(__xludf.DUMMYFUNCTION("""COMPUTED_VALUE"""),42036.0)</f>
        <v>42036</v>
      </c>
      <c r="C131" s="32">
        <f>IFERROR(__xludf.DUMMYFUNCTION("""COMPUTED_VALUE"""),8424.0)</f>
        <v>8424</v>
      </c>
    </row>
    <row r="132">
      <c r="B132" s="34">
        <f>IFERROR(__xludf.DUMMYFUNCTION("""COMPUTED_VALUE"""),42005.0)</f>
        <v>42005</v>
      </c>
      <c r="C132" s="32">
        <f>IFERROR(__xludf.DUMMYFUNCTION("""COMPUTED_VALUE"""),7435.0)</f>
        <v>7435</v>
      </c>
    </row>
    <row r="133">
      <c r="B133" s="34">
        <f>IFERROR(__xludf.DUMMYFUNCTION("""COMPUTED_VALUE"""),41974.0)</f>
        <v>41974</v>
      </c>
      <c r="C133" s="32">
        <f>IFERROR(__xludf.DUMMYFUNCTION("""COMPUTED_VALUE"""),7542.0)</f>
        <v>7542</v>
      </c>
    </row>
    <row r="134">
      <c r="B134" s="34">
        <f>IFERROR(__xludf.DUMMYFUNCTION("""COMPUTED_VALUE"""),41944.0)</f>
        <v>41944</v>
      </c>
      <c r="C134" s="32">
        <f>IFERROR(__xludf.DUMMYFUNCTION("""COMPUTED_VALUE"""),6804.0)</f>
        <v>6804</v>
      </c>
    </row>
    <row r="135">
      <c r="B135" s="34">
        <f>IFERROR(__xludf.DUMMYFUNCTION("""COMPUTED_VALUE"""),41913.0)</f>
        <v>41913</v>
      </c>
      <c r="C135" s="32">
        <f>IFERROR(__xludf.DUMMYFUNCTION("""COMPUTED_VALUE"""),9752.0)</f>
        <v>9752</v>
      </c>
    </row>
    <row r="136">
      <c r="B136" s="34">
        <f>IFERROR(__xludf.DUMMYFUNCTION("""COMPUTED_VALUE"""),41883.0)</f>
        <v>41883</v>
      </c>
      <c r="C136" s="32">
        <f>IFERROR(__xludf.DUMMYFUNCTION("""COMPUTED_VALUE"""),7414.0)</f>
        <v>7414</v>
      </c>
    </row>
    <row r="137">
      <c r="B137" s="34">
        <f>IFERROR(__xludf.DUMMYFUNCTION("""COMPUTED_VALUE"""),41852.0)</f>
        <v>41852</v>
      </c>
      <c r="C137" s="32">
        <f>IFERROR(__xludf.DUMMYFUNCTION("""COMPUTED_VALUE"""),8757.0)</f>
        <v>8757</v>
      </c>
    </row>
    <row r="138">
      <c r="B138" s="34">
        <f>IFERROR(__xludf.DUMMYFUNCTION("""COMPUTED_VALUE"""),41821.0)</f>
        <v>41821</v>
      </c>
      <c r="C138" s="32">
        <f>IFERROR(__xludf.DUMMYFUNCTION("""COMPUTED_VALUE"""),7911.0)</f>
        <v>7911</v>
      </c>
    </row>
    <row r="139">
      <c r="B139" s="34">
        <f>IFERROR(__xludf.DUMMYFUNCTION("""COMPUTED_VALUE"""),41791.0)</f>
        <v>41791</v>
      </c>
      <c r="C139" s="32">
        <f>IFERROR(__xludf.DUMMYFUNCTION("""COMPUTED_VALUE"""),9883.0)</f>
        <v>9883</v>
      </c>
    </row>
    <row r="140">
      <c r="B140" s="34">
        <f>IFERROR(__xludf.DUMMYFUNCTION("""COMPUTED_VALUE"""),41760.0)</f>
        <v>41760</v>
      </c>
      <c r="C140" s="32">
        <f>IFERROR(__xludf.DUMMYFUNCTION("""COMPUTED_VALUE"""),9008.0)</f>
        <v>9008</v>
      </c>
    </row>
    <row r="141">
      <c r="B141" s="34">
        <f>IFERROR(__xludf.DUMMYFUNCTION("""COMPUTED_VALUE"""),41730.0)</f>
        <v>41730</v>
      </c>
      <c r="C141" s="32">
        <f>IFERROR(__xludf.DUMMYFUNCTION("""COMPUTED_VALUE"""),16666.0)</f>
        <v>16666</v>
      </c>
    </row>
    <row r="142">
      <c r="B142" s="34">
        <f>IFERROR(__xludf.DUMMYFUNCTION("""COMPUTED_VALUE"""),41699.0)</f>
        <v>41699</v>
      </c>
      <c r="C142" s="32">
        <f>IFERROR(__xludf.DUMMYFUNCTION("""COMPUTED_VALUE"""),9730.0)</f>
        <v>9730</v>
      </c>
    </row>
    <row r="143">
      <c r="B143" s="34">
        <f>IFERROR(__xludf.DUMMYFUNCTION("""COMPUTED_VALUE"""),41671.0)</f>
        <v>41671</v>
      </c>
      <c r="C143" s="32">
        <f>IFERROR(__xludf.DUMMYFUNCTION("""COMPUTED_VALUE"""),9277.0)</f>
        <v>9277</v>
      </c>
    </row>
    <row r="144">
      <c r="B144" s="34">
        <f>IFERROR(__xludf.DUMMYFUNCTION("""COMPUTED_VALUE"""),41640.0)</f>
        <v>41640</v>
      </c>
      <c r="C144" s="32">
        <f>IFERROR(__xludf.DUMMYFUNCTION("""COMPUTED_VALUE"""),7028.0)</f>
        <v>7028</v>
      </c>
    </row>
    <row r="145">
      <c r="B145" s="34">
        <f>IFERROR(__xludf.DUMMYFUNCTION("""COMPUTED_VALUE"""),41609.0)</f>
        <v>41609</v>
      </c>
      <c r="C145" s="32">
        <f>IFERROR(__xludf.DUMMYFUNCTION("""COMPUTED_VALUE"""),7310.0)</f>
        <v>7310</v>
      </c>
    </row>
    <row r="146">
      <c r="B146" s="34">
        <f>IFERROR(__xludf.DUMMYFUNCTION("""COMPUTED_VALUE"""),41579.0)</f>
        <v>41579</v>
      </c>
      <c r="C146" s="32">
        <f>IFERROR(__xludf.DUMMYFUNCTION("""COMPUTED_VALUE"""),7632.0)</f>
        <v>7632</v>
      </c>
    </row>
    <row r="147">
      <c r="B147" s="34">
        <f>IFERROR(__xludf.DUMMYFUNCTION("""COMPUTED_VALUE"""),41548.0)</f>
        <v>41548</v>
      </c>
      <c r="C147" s="32">
        <f>IFERROR(__xludf.DUMMYFUNCTION("""COMPUTED_VALUE"""),8251.0)</f>
        <v>8251</v>
      </c>
    </row>
    <row r="148">
      <c r="B148" s="34">
        <f>IFERROR(__xludf.DUMMYFUNCTION("""COMPUTED_VALUE"""),41518.0)</f>
        <v>41518</v>
      </c>
      <c r="C148" s="32">
        <f>IFERROR(__xludf.DUMMYFUNCTION("""COMPUTED_VALUE"""),9869.0)</f>
        <v>9869</v>
      </c>
    </row>
    <row r="149">
      <c r="B149" s="34">
        <f>IFERROR(__xludf.DUMMYFUNCTION("""COMPUTED_VALUE"""),41487.0)</f>
        <v>41487</v>
      </c>
      <c r="C149" s="32">
        <f>IFERROR(__xludf.DUMMYFUNCTION("""COMPUTED_VALUE"""),9112.0)</f>
        <v>9112</v>
      </c>
    </row>
    <row r="150">
      <c r="B150" s="34">
        <f>IFERROR(__xludf.DUMMYFUNCTION("""COMPUTED_VALUE"""),41456.0)</f>
        <v>41456</v>
      </c>
      <c r="C150" s="32">
        <f>IFERROR(__xludf.DUMMYFUNCTION("""COMPUTED_VALUE"""),8815.0)</f>
        <v>8815</v>
      </c>
    </row>
    <row r="151">
      <c r="B151" s="34">
        <f>IFERROR(__xludf.DUMMYFUNCTION("""COMPUTED_VALUE"""),41426.0)</f>
        <v>41426</v>
      </c>
      <c r="C151" s="32">
        <f>IFERROR(__xludf.DUMMYFUNCTION("""COMPUTED_VALUE"""),10878.0)</f>
        <v>10878</v>
      </c>
    </row>
    <row r="152">
      <c r="B152" s="34">
        <f>IFERROR(__xludf.DUMMYFUNCTION("""COMPUTED_VALUE"""),41395.0)</f>
        <v>41395</v>
      </c>
      <c r="C152" s="32">
        <f>IFERROR(__xludf.DUMMYFUNCTION("""COMPUTED_VALUE"""),9059.0)</f>
        <v>9059</v>
      </c>
    </row>
    <row r="153">
      <c r="B153" s="34">
        <f>IFERROR(__xludf.DUMMYFUNCTION("""COMPUTED_VALUE"""),41365.0)</f>
        <v>41365</v>
      </c>
      <c r="C153" s="32">
        <f>IFERROR(__xludf.DUMMYFUNCTION("""COMPUTED_VALUE"""),7105.0)</f>
        <v>7105</v>
      </c>
    </row>
    <row r="154">
      <c r="B154" s="34">
        <f>IFERROR(__xludf.DUMMYFUNCTION("""COMPUTED_VALUE"""),41334.0)</f>
        <v>41334</v>
      </c>
      <c r="C154" s="32">
        <f>IFERROR(__xludf.DUMMYFUNCTION("""COMPUTED_VALUE"""),5315.0)</f>
        <v>5315</v>
      </c>
    </row>
    <row r="155">
      <c r="B155" s="34">
        <f>IFERROR(__xludf.DUMMYFUNCTION("""COMPUTED_VALUE"""),41306.0)</f>
        <v>41306</v>
      </c>
      <c r="C155" s="32">
        <f>IFERROR(__xludf.DUMMYFUNCTION("""COMPUTED_VALUE"""),9043.0)</f>
        <v>9043</v>
      </c>
    </row>
    <row r="156">
      <c r="B156" s="34">
        <f>IFERROR(__xludf.DUMMYFUNCTION("""COMPUTED_VALUE"""),41275.0)</f>
        <v>41275</v>
      </c>
      <c r="C156" s="32">
        <f>IFERROR(__xludf.DUMMYFUNCTION("""COMPUTED_VALUE"""),6157.0)</f>
        <v>6157</v>
      </c>
    </row>
    <row r="157">
      <c r="B157" s="34">
        <f>IFERROR(__xludf.DUMMYFUNCTION("""COMPUTED_VALUE"""),41244.0)</f>
        <v>41244</v>
      </c>
      <c r="C157" s="32">
        <f>IFERROR(__xludf.DUMMYFUNCTION("""COMPUTED_VALUE"""),19953.0)</f>
        <v>19953</v>
      </c>
    </row>
    <row r="158">
      <c r="B158" s="34">
        <f>IFERROR(__xludf.DUMMYFUNCTION("""COMPUTED_VALUE"""),41214.0)</f>
        <v>41214</v>
      </c>
      <c r="C158" s="32">
        <f>IFERROR(__xludf.DUMMYFUNCTION("""COMPUTED_VALUE"""),7592.0)</f>
        <v>7592</v>
      </c>
    </row>
    <row r="159">
      <c r="B159" s="34">
        <f>IFERROR(__xludf.DUMMYFUNCTION("""COMPUTED_VALUE"""),41183.0)</f>
        <v>41183</v>
      </c>
      <c r="C159" s="32">
        <f>IFERROR(__xludf.DUMMYFUNCTION("""COMPUTED_VALUE"""),8086.0)</f>
        <v>8086</v>
      </c>
    </row>
    <row r="160">
      <c r="B160" s="34">
        <f>IFERROR(__xludf.DUMMYFUNCTION("""COMPUTED_VALUE"""),41153.0)</f>
        <v>41153</v>
      </c>
      <c r="C160" s="32">
        <f>IFERROR(__xludf.DUMMYFUNCTION("""COMPUTED_VALUE"""),9080.0)</f>
        <v>9080</v>
      </c>
    </row>
    <row r="161">
      <c r="B161" s="34">
        <f>IFERROR(__xludf.DUMMYFUNCTION("""COMPUTED_VALUE"""),41122.0)</f>
        <v>41122</v>
      </c>
      <c r="C161" s="32">
        <f>IFERROR(__xludf.DUMMYFUNCTION("""COMPUTED_VALUE"""),7202.0)</f>
        <v>7202</v>
      </c>
    </row>
    <row r="162">
      <c r="B162" s="34">
        <f>IFERROR(__xludf.DUMMYFUNCTION("""COMPUTED_VALUE"""),41091.0)</f>
        <v>41091</v>
      </c>
      <c r="C162" s="32">
        <f>IFERROR(__xludf.DUMMYFUNCTION("""COMPUTED_VALUE"""),11721.0)</f>
        <v>11721</v>
      </c>
    </row>
    <row r="163">
      <c r="B163" s="34">
        <f>IFERROR(__xludf.DUMMYFUNCTION("""COMPUTED_VALUE"""),41061.0)</f>
        <v>41061</v>
      </c>
      <c r="C163" s="32">
        <f>IFERROR(__xludf.DUMMYFUNCTION("""COMPUTED_VALUE"""),11744.0)</f>
        <v>11744</v>
      </c>
    </row>
    <row r="164">
      <c r="B164" s="34">
        <f>IFERROR(__xludf.DUMMYFUNCTION("""COMPUTED_VALUE"""),41030.0)</f>
        <v>41030</v>
      </c>
      <c r="C164" s="32">
        <f>IFERROR(__xludf.DUMMYFUNCTION("""COMPUTED_VALUE"""),8445.0)</f>
        <v>8445</v>
      </c>
    </row>
    <row r="165">
      <c r="B165" s="34">
        <f>IFERROR(__xludf.DUMMYFUNCTION("""COMPUTED_VALUE"""),41000.0)</f>
        <v>41000</v>
      </c>
      <c r="C165" s="32">
        <f>IFERROR(__xludf.DUMMYFUNCTION("""COMPUTED_VALUE"""),7753.0)</f>
        <v>7753</v>
      </c>
    </row>
    <row r="166">
      <c r="B166" s="34">
        <f>IFERROR(__xludf.DUMMYFUNCTION("""COMPUTED_VALUE"""),40969.0)</f>
        <v>40969</v>
      </c>
      <c r="C166" s="32">
        <f>IFERROR(__xludf.DUMMYFUNCTION("""COMPUTED_VALUE"""),9923.0)</f>
        <v>9923</v>
      </c>
    </row>
    <row r="167">
      <c r="B167" s="34">
        <f>IFERROR(__xludf.DUMMYFUNCTION("""COMPUTED_VALUE"""),40940.0)</f>
        <v>40940</v>
      </c>
      <c r="C167" s="32">
        <f>IFERROR(__xludf.DUMMYFUNCTION("""COMPUTED_VALUE"""),9063.0)</f>
        <v>9063</v>
      </c>
    </row>
    <row r="168">
      <c r="B168" s="34">
        <f>IFERROR(__xludf.DUMMYFUNCTION("""COMPUTED_VALUE"""),40909.0)</f>
        <v>40909</v>
      </c>
      <c r="C168" s="32">
        <f>IFERROR(__xludf.DUMMYFUNCTION("""COMPUTED_VALUE"""),8494.0)</f>
        <v>8494</v>
      </c>
    </row>
    <row r="169">
      <c r="B169" s="34">
        <f>IFERROR(__xludf.DUMMYFUNCTION("""COMPUTED_VALUE"""),40878.0)</f>
        <v>40878</v>
      </c>
      <c r="C169" s="32">
        <f>IFERROR(__xludf.DUMMYFUNCTION("""COMPUTED_VALUE"""),7237.0)</f>
        <v>7237</v>
      </c>
    </row>
    <row r="170">
      <c r="B170" s="34">
        <f>IFERROR(__xludf.DUMMYFUNCTION("""COMPUTED_VALUE"""),40848.0)</f>
        <v>40848</v>
      </c>
      <c r="C170" s="32">
        <f>IFERROR(__xludf.DUMMYFUNCTION("""COMPUTED_VALUE"""),9624.0)</f>
        <v>9624</v>
      </c>
    </row>
    <row r="171">
      <c r="B171" s="34">
        <f>IFERROR(__xludf.DUMMYFUNCTION("""COMPUTED_VALUE"""),40817.0)</f>
        <v>40817</v>
      </c>
      <c r="C171" s="32">
        <f>IFERROR(__xludf.DUMMYFUNCTION("""COMPUTED_VALUE"""),9229.0)</f>
        <v>9229</v>
      </c>
    </row>
    <row r="172">
      <c r="B172" s="34">
        <f>IFERROR(__xludf.DUMMYFUNCTION("""COMPUTED_VALUE"""),40787.0)</f>
        <v>40787</v>
      </c>
      <c r="C172" s="32">
        <f>IFERROR(__xludf.DUMMYFUNCTION("""COMPUTED_VALUE"""),10205.0)</f>
        <v>10205</v>
      </c>
    </row>
    <row r="173">
      <c r="B173" s="34">
        <f>IFERROR(__xludf.DUMMYFUNCTION("""COMPUTED_VALUE"""),40756.0)</f>
        <v>40756</v>
      </c>
      <c r="C173" s="32">
        <f>IFERROR(__xludf.DUMMYFUNCTION("""COMPUTED_VALUE"""),12413.0)</f>
        <v>12413</v>
      </c>
    </row>
    <row r="174">
      <c r="B174" s="34">
        <f>IFERROR(__xludf.DUMMYFUNCTION("""COMPUTED_VALUE"""),40725.0)</f>
        <v>40725</v>
      </c>
      <c r="C174" s="32">
        <f>IFERROR(__xludf.DUMMYFUNCTION("""COMPUTED_VALUE"""),10253.0)</f>
        <v>10253</v>
      </c>
    </row>
    <row r="175">
      <c r="B175" s="34">
        <f>IFERROR(__xludf.DUMMYFUNCTION("""COMPUTED_VALUE"""),40695.0)</f>
        <v>40695</v>
      </c>
      <c r="C175" s="32">
        <f>IFERROR(__xludf.DUMMYFUNCTION("""COMPUTED_VALUE"""),10931.0)</f>
        <v>10931</v>
      </c>
    </row>
    <row r="176">
      <c r="B176" s="34">
        <f>IFERROR(__xludf.DUMMYFUNCTION("""COMPUTED_VALUE"""),40664.0)</f>
        <v>40664</v>
      </c>
      <c r="C176" s="32">
        <f>IFERROR(__xludf.DUMMYFUNCTION("""COMPUTED_VALUE"""),12331.0)</f>
        <v>12331</v>
      </c>
    </row>
    <row r="177">
      <c r="B177" s="34">
        <f>IFERROR(__xludf.DUMMYFUNCTION("""COMPUTED_VALUE"""),40634.0)</f>
        <v>40634</v>
      </c>
      <c r="C177" s="32">
        <f>IFERROR(__xludf.DUMMYFUNCTION("""COMPUTED_VALUE"""),12936.0)</f>
        <v>12936</v>
      </c>
    </row>
    <row r="178">
      <c r="B178" s="34">
        <f>IFERROR(__xludf.DUMMYFUNCTION("""COMPUTED_VALUE"""),40603.0)</f>
        <v>40603</v>
      </c>
      <c r="C178" s="32">
        <f>IFERROR(__xludf.DUMMYFUNCTION("""COMPUTED_VALUE"""),12676.0)</f>
        <v>12676</v>
      </c>
    </row>
    <row r="179">
      <c r="B179" s="34">
        <f>IFERROR(__xludf.DUMMYFUNCTION("""COMPUTED_VALUE"""),40575.0)</f>
        <v>40575</v>
      </c>
      <c r="C179" s="32">
        <f>IFERROR(__xludf.DUMMYFUNCTION("""COMPUTED_VALUE"""),10959.0)</f>
        <v>10959</v>
      </c>
    </row>
    <row r="180">
      <c r="B180" s="34">
        <f>IFERROR(__xludf.DUMMYFUNCTION("""COMPUTED_VALUE"""),40544.0)</f>
        <v>40544</v>
      </c>
      <c r="C180" s="32">
        <f>IFERROR(__xludf.DUMMYFUNCTION("""COMPUTED_VALUE"""),13931.0)</f>
        <v>13931</v>
      </c>
    </row>
    <row r="181">
      <c r="B181" s="34">
        <f>IFERROR(__xludf.DUMMYFUNCTION("""COMPUTED_VALUE"""),40513.0)</f>
        <v>40513</v>
      </c>
      <c r="C181" s="32">
        <f>IFERROR(__xludf.DUMMYFUNCTION("""COMPUTED_VALUE"""),10863.0)</f>
        <v>10863</v>
      </c>
    </row>
    <row r="182">
      <c r="B182" s="34">
        <f>IFERROR(__xludf.DUMMYFUNCTION("""COMPUTED_VALUE"""),40483.0)</f>
        <v>40483</v>
      </c>
      <c r="C182" s="32">
        <f>IFERROR(__xludf.DUMMYFUNCTION("""COMPUTED_VALUE"""),12332.0)</f>
        <v>12332</v>
      </c>
    </row>
    <row r="183">
      <c r="B183" s="34">
        <f>IFERROR(__xludf.DUMMYFUNCTION("""COMPUTED_VALUE"""),40452.0)</f>
        <v>40452</v>
      </c>
      <c r="C183" s="32">
        <f>IFERROR(__xludf.DUMMYFUNCTION("""COMPUTED_VALUE"""),9685.0)</f>
        <v>9685</v>
      </c>
    </row>
    <row r="184">
      <c r="B184" s="34">
        <f>IFERROR(__xludf.DUMMYFUNCTION("""COMPUTED_VALUE"""),40422.0)</f>
        <v>40422</v>
      </c>
      <c r="C184" s="32">
        <f>IFERROR(__xludf.DUMMYFUNCTION("""COMPUTED_VALUE"""),12406.0)</f>
        <v>12406</v>
      </c>
    </row>
    <row r="185">
      <c r="B185" s="34">
        <f>IFERROR(__xludf.DUMMYFUNCTION("""COMPUTED_VALUE"""),40391.0)</f>
        <v>40391</v>
      </c>
      <c r="C185" s="32">
        <f>IFERROR(__xludf.DUMMYFUNCTION("""COMPUTED_VALUE"""),10888.0)</f>
        <v>10888</v>
      </c>
    </row>
    <row r="186">
      <c r="B186" s="34">
        <f>IFERROR(__xludf.DUMMYFUNCTION("""COMPUTED_VALUE"""),40360.0)</f>
        <v>40360</v>
      </c>
      <c r="C186" s="32">
        <f>IFERROR(__xludf.DUMMYFUNCTION("""COMPUTED_VALUE"""),11166.0)</f>
        <v>11166</v>
      </c>
    </row>
    <row r="187">
      <c r="B187" s="34">
        <f>IFERROR(__xludf.DUMMYFUNCTION("""COMPUTED_VALUE"""),40330.0)</f>
        <v>40330</v>
      </c>
      <c r="C187" s="32">
        <f>IFERROR(__xludf.DUMMYFUNCTION("""COMPUTED_VALUE"""),9691.0)</f>
        <v>9691</v>
      </c>
    </row>
    <row r="188">
      <c r="B188" s="34">
        <f>IFERROR(__xludf.DUMMYFUNCTION("""COMPUTED_VALUE"""),40299.0)</f>
        <v>40299</v>
      </c>
      <c r="C188" s="32">
        <f>IFERROR(__xludf.DUMMYFUNCTION("""COMPUTED_VALUE"""),11818.0)</f>
        <v>11818</v>
      </c>
    </row>
    <row r="189">
      <c r="B189" s="34">
        <f>IFERROR(__xludf.DUMMYFUNCTION("""COMPUTED_VALUE"""),40269.0)</f>
        <v>40269</v>
      </c>
      <c r="C189" s="32">
        <f>IFERROR(__xludf.DUMMYFUNCTION("""COMPUTED_VALUE"""),11609.0)</f>
        <v>11609</v>
      </c>
    </row>
    <row r="190">
      <c r="B190" s="34">
        <f>IFERROR(__xludf.DUMMYFUNCTION("""COMPUTED_VALUE"""),40238.0)</f>
        <v>40238</v>
      </c>
      <c r="C190" s="32">
        <f>IFERROR(__xludf.DUMMYFUNCTION("""COMPUTED_VALUE"""),12797.0)</f>
        <v>12797</v>
      </c>
    </row>
    <row r="191">
      <c r="B191" s="34">
        <f>IFERROR(__xludf.DUMMYFUNCTION("""COMPUTED_VALUE"""),40210.0)</f>
        <v>40210</v>
      </c>
      <c r="C191" s="32">
        <f>IFERROR(__xludf.DUMMYFUNCTION("""COMPUTED_VALUE"""),12430.0)</f>
        <v>12430</v>
      </c>
    </row>
    <row r="192">
      <c r="B192" s="34">
        <f>IFERROR(__xludf.DUMMYFUNCTION("""COMPUTED_VALUE"""),40179.0)</f>
        <v>40179</v>
      </c>
      <c r="C192" s="32">
        <f>IFERROR(__xludf.DUMMYFUNCTION("""COMPUTED_VALUE"""),12770.0)</f>
        <v>12770</v>
      </c>
    </row>
    <row r="193">
      <c r="B193" s="34">
        <f>IFERROR(__xludf.DUMMYFUNCTION("""COMPUTED_VALUE"""),40148.0)</f>
        <v>40148</v>
      </c>
      <c r="C193" s="32">
        <f>IFERROR(__xludf.DUMMYFUNCTION("""COMPUTED_VALUE"""),8876.0)</f>
        <v>8876</v>
      </c>
    </row>
    <row r="194">
      <c r="B194" s="34">
        <f>IFERROR(__xludf.DUMMYFUNCTION("""COMPUTED_VALUE"""),40118.0)</f>
        <v>40118</v>
      </c>
      <c r="C194" s="32">
        <f>IFERROR(__xludf.DUMMYFUNCTION("""COMPUTED_VALUE"""),7703.0)</f>
        <v>7703</v>
      </c>
    </row>
    <row r="195">
      <c r="B195" s="34">
        <f>IFERROR(__xludf.DUMMYFUNCTION("""COMPUTED_VALUE"""),40087.0)</f>
        <v>40087</v>
      </c>
      <c r="C195" s="32">
        <f>IFERROR(__xludf.DUMMYFUNCTION("""COMPUTED_VALUE"""),8702.0)</f>
        <v>8702</v>
      </c>
    </row>
    <row r="196">
      <c r="B196" s="34">
        <f>IFERROR(__xludf.DUMMYFUNCTION("""COMPUTED_VALUE"""),40057.0)</f>
        <v>40057</v>
      </c>
      <c r="C196" s="32">
        <f>IFERROR(__xludf.DUMMYFUNCTION("""COMPUTED_VALUE"""),9294.0)</f>
        <v>9294</v>
      </c>
    </row>
    <row r="197">
      <c r="B197" s="34">
        <f>IFERROR(__xludf.DUMMYFUNCTION("""COMPUTED_VALUE"""),40026.0)</f>
        <v>40026</v>
      </c>
      <c r="C197" s="32">
        <f>IFERROR(__xludf.DUMMYFUNCTION("""COMPUTED_VALUE"""),8012.0)</f>
        <v>8012</v>
      </c>
    </row>
    <row r="198">
      <c r="B198" s="34">
        <f>IFERROR(__xludf.DUMMYFUNCTION("""COMPUTED_VALUE"""),39995.0)</f>
        <v>39995</v>
      </c>
      <c r="C198" s="32">
        <f>IFERROR(__xludf.DUMMYFUNCTION("""COMPUTED_VALUE"""),8436.0)</f>
        <v>8436</v>
      </c>
    </row>
    <row r="199">
      <c r="B199" s="34">
        <f>IFERROR(__xludf.DUMMYFUNCTION("""COMPUTED_VALUE"""),39965.0)</f>
        <v>39965</v>
      </c>
      <c r="C199" s="32">
        <f>IFERROR(__xludf.DUMMYFUNCTION("""COMPUTED_VALUE"""),7139.0)</f>
        <v>7139</v>
      </c>
    </row>
    <row r="200">
      <c r="B200" s="34">
        <f>IFERROR(__xludf.DUMMYFUNCTION("""COMPUTED_VALUE"""),39934.0)</f>
        <v>39934</v>
      </c>
      <c r="C200" s="32">
        <f>IFERROR(__xludf.DUMMYFUNCTION("""COMPUTED_VALUE"""),10679.0)</f>
        <v>10679</v>
      </c>
    </row>
    <row r="201">
      <c r="B201" s="34">
        <f>IFERROR(__xludf.DUMMYFUNCTION("""COMPUTED_VALUE"""),39904.0)</f>
        <v>39904</v>
      </c>
      <c r="C201" s="32">
        <f>IFERROR(__xludf.DUMMYFUNCTION("""COMPUTED_VALUE"""),11431.0)</f>
        <v>11431</v>
      </c>
    </row>
    <row r="202">
      <c r="B202" s="34">
        <f>IFERROR(__xludf.DUMMYFUNCTION("""COMPUTED_VALUE"""),39873.0)</f>
        <v>39873</v>
      </c>
      <c r="C202" s="32">
        <f>IFERROR(__xludf.DUMMYFUNCTION("""COMPUTED_VALUE"""),8180.0)</f>
        <v>8180</v>
      </c>
    </row>
    <row r="203">
      <c r="B203" s="34">
        <f>IFERROR(__xludf.DUMMYFUNCTION("""COMPUTED_VALUE"""),39845.0)</f>
        <v>39845</v>
      </c>
      <c r="C203" s="32">
        <f>IFERROR(__xludf.DUMMYFUNCTION("""COMPUTED_VALUE"""),8280.0)</f>
        <v>8280</v>
      </c>
    </row>
    <row r="204">
      <c r="B204" s="34">
        <f>IFERROR(__xludf.DUMMYFUNCTION("""COMPUTED_VALUE"""),39814.0)</f>
        <v>39814</v>
      </c>
      <c r="C204" s="32">
        <f>IFERROR(__xludf.DUMMYFUNCTION("""COMPUTED_VALUE"""),5261.0)</f>
        <v>5261</v>
      </c>
    </row>
    <row r="205">
      <c r="B205" s="34">
        <f>IFERROR(__xludf.DUMMYFUNCTION("""COMPUTED_VALUE"""),39783.0)</f>
        <v>39783</v>
      </c>
      <c r="C205" s="32">
        <f>IFERROR(__xludf.DUMMYFUNCTION("""COMPUTED_VALUE"""),16891.0)</f>
        <v>16891</v>
      </c>
    </row>
    <row r="206">
      <c r="B206" s="34">
        <f>IFERROR(__xludf.DUMMYFUNCTION("""COMPUTED_VALUE"""),39753.0)</f>
        <v>39753</v>
      </c>
      <c r="C206" s="32">
        <f>IFERROR(__xludf.DUMMYFUNCTION("""COMPUTED_VALUE"""),7760.0)</f>
        <v>7760</v>
      </c>
    </row>
    <row r="207">
      <c r="B207" s="34">
        <f>IFERROR(__xludf.DUMMYFUNCTION("""COMPUTED_VALUE"""),39722.0)</f>
        <v>39722</v>
      </c>
      <c r="C207" s="32">
        <f>IFERROR(__xludf.DUMMYFUNCTION("""COMPUTED_VALUE"""),8724.0)</f>
        <v>8724</v>
      </c>
    </row>
    <row r="208">
      <c r="B208" s="34">
        <f>IFERROR(__xludf.DUMMYFUNCTION("""COMPUTED_VALUE"""),39692.0)</f>
        <v>39692</v>
      </c>
      <c r="C208" s="32">
        <f>IFERROR(__xludf.DUMMYFUNCTION("""COMPUTED_VALUE"""),14880.0)</f>
        <v>14880</v>
      </c>
    </row>
    <row r="209">
      <c r="B209" s="34">
        <f>IFERROR(__xludf.DUMMYFUNCTION("""COMPUTED_VALUE"""),39661.0)</f>
        <v>39661</v>
      </c>
      <c r="C209" s="32">
        <f>IFERROR(__xludf.DUMMYFUNCTION("""COMPUTED_VALUE"""),10154.0)</f>
        <v>10154</v>
      </c>
    </row>
    <row r="210">
      <c r="B210" s="34">
        <f>IFERROR(__xludf.DUMMYFUNCTION("""COMPUTED_VALUE"""),39630.0)</f>
        <v>39630</v>
      </c>
      <c r="C210" s="32">
        <f>IFERROR(__xludf.DUMMYFUNCTION("""COMPUTED_VALUE"""),9520.0)</f>
        <v>9520</v>
      </c>
    </row>
    <row r="211">
      <c r="B211" s="34">
        <f>IFERROR(__xludf.DUMMYFUNCTION("""COMPUTED_VALUE"""),39600.0)</f>
        <v>39600</v>
      </c>
      <c r="C211" s="32">
        <f>IFERROR(__xludf.DUMMYFUNCTION("""COMPUTED_VALUE"""),10722.0)</f>
        <v>10722</v>
      </c>
    </row>
    <row r="212">
      <c r="B212" s="34">
        <f>IFERROR(__xludf.DUMMYFUNCTION("""COMPUTED_VALUE"""),39569.0)</f>
        <v>39569</v>
      </c>
      <c r="C212" s="32">
        <f>IFERROR(__xludf.DUMMYFUNCTION("""COMPUTED_VALUE"""),10224.0)</f>
        <v>10224</v>
      </c>
    </row>
    <row r="213">
      <c r="B213" s="34">
        <f>IFERROR(__xludf.DUMMYFUNCTION("""COMPUTED_VALUE"""),39539.0)</f>
        <v>39539</v>
      </c>
      <c r="C213" s="32">
        <f>IFERROR(__xludf.DUMMYFUNCTION("""COMPUTED_VALUE"""),9496.0)</f>
        <v>9496</v>
      </c>
    </row>
    <row r="214">
      <c r="B214" s="34">
        <f>IFERROR(__xludf.DUMMYFUNCTION("""COMPUTED_VALUE"""),39508.0)</f>
        <v>39508</v>
      </c>
      <c r="C214" s="32">
        <f>IFERROR(__xludf.DUMMYFUNCTION("""COMPUTED_VALUE"""),9735.0)</f>
        <v>9735</v>
      </c>
    </row>
    <row r="215">
      <c r="B215" s="34">
        <f>IFERROR(__xludf.DUMMYFUNCTION("""COMPUTED_VALUE"""),39479.0)</f>
        <v>39479</v>
      </c>
      <c r="C215" s="32">
        <f>IFERROR(__xludf.DUMMYFUNCTION("""COMPUTED_VALUE"""),10509.0)</f>
        <v>10509</v>
      </c>
    </row>
    <row r="216">
      <c r="B216" s="34">
        <f>IFERROR(__xludf.DUMMYFUNCTION("""COMPUTED_VALUE"""),39448.0)</f>
        <v>39448</v>
      </c>
      <c r="C216" s="32">
        <f>IFERROR(__xludf.DUMMYFUNCTION("""COMPUTED_VALUE"""),10396.0)</f>
        <v>10396</v>
      </c>
    </row>
    <row r="217">
      <c r="B217" s="34">
        <f>IFERROR(__xludf.DUMMYFUNCTION("""COMPUTED_VALUE"""),39417.0)</f>
        <v>39417</v>
      </c>
      <c r="C217" s="32">
        <f>IFERROR(__xludf.DUMMYFUNCTION("""COMPUTED_VALUE"""),13727.0)</f>
        <v>13727</v>
      </c>
    </row>
    <row r="218">
      <c r="B218" s="34">
        <f>IFERROR(__xludf.DUMMYFUNCTION("""COMPUTED_VALUE"""),39387.0)</f>
        <v>39387</v>
      </c>
      <c r="C218" s="32">
        <f>IFERROR(__xludf.DUMMYFUNCTION("""COMPUTED_VALUE"""),5459.0)</f>
        <v>5459</v>
      </c>
    </row>
    <row r="219">
      <c r="B219" s="34">
        <f>IFERROR(__xludf.DUMMYFUNCTION("""COMPUTED_VALUE"""),39356.0)</f>
        <v>39356</v>
      </c>
      <c r="C219" s="32">
        <f>IFERROR(__xludf.DUMMYFUNCTION("""COMPUTED_VALUE"""),11172.0)</f>
        <v>11172</v>
      </c>
    </row>
    <row r="220">
      <c r="B220" s="34">
        <f>IFERROR(__xludf.DUMMYFUNCTION("""COMPUTED_VALUE"""),39326.0)</f>
        <v>39326</v>
      </c>
      <c r="C220" s="32">
        <f>IFERROR(__xludf.DUMMYFUNCTION("""COMPUTED_VALUE"""),6414.0)</f>
        <v>6414</v>
      </c>
    </row>
    <row r="221">
      <c r="B221" s="34">
        <f>IFERROR(__xludf.DUMMYFUNCTION("""COMPUTED_VALUE"""),39295.0)</f>
        <v>39295</v>
      </c>
      <c r="C221" s="32">
        <f>IFERROR(__xludf.DUMMYFUNCTION("""COMPUTED_VALUE"""),12048.0)</f>
        <v>12048</v>
      </c>
    </row>
    <row r="222">
      <c r="B222" s="34">
        <f>IFERROR(__xludf.DUMMYFUNCTION("""COMPUTED_VALUE"""),39264.0)</f>
        <v>39264</v>
      </c>
      <c r="C222" s="32">
        <f>IFERROR(__xludf.DUMMYFUNCTION("""COMPUTED_VALUE"""),9255.0)</f>
        <v>9255</v>
      </c>
    </row>
    <row r="223">
      <c r="B223" s="34">
        <f>IFERROR(__xludf.DUMMYFUNCTION("""COMPUTED_VALUE"""),39234.0)</f>
        <v>39234</v>
      </c>
      <c r="C223" s="32">
        <f>IFERROR(__xludf.DUMMYFUNCTION("""COMPUTED_VALUE"""),5852.0)</f>
        <v>5852</v>
      </c>
    </row>
    <row r="224">
      <c r="B224" s="34">
        <f>IFERROR(__xludf.DUMMYFUNCTION("""COMPUTED_VALUE"""),39203.0)</f>
        <v>39203</v>
      </c>
      <c r="C224" s="32">
        <f>IFERROR(__xludf.DUMMYFUNCTION("""COMPUTED_VALUE"""),8684.0)</f>
        <v>8684</v>
      </c>
    </row>
    <row r="225">
      <c r="B225" s="34">
        <f>IFERROR(__xludf.DUMMYFUNCTION("""COMPUTED_VALUE"""),39173.0)</f>
        <v>39173</v>
      </c>
      <c r="C225" s="32">
        <f>IFERROR(__xludf.DUMMYFUNCTION("""COMPUTED_VALUE"""),7836.0)</f>
        <v>7836</v>
      </c>
    </row>
    <row r="226">
      <c r="B226" s="34">
        <f>IFERROR(__xludf.DUMMYFUNCTION("""COMPUTED_VALUE"""),39142.0)</f>
        <v>39142</v>
      </c>
      <c r="C226" s="32">
        <f>IFERROR(__xludf.DUMMYFUNCTION("""COMPUTED_VALUE"""),5657.0)</f>
        <v>5657</v>
      </c>
    </row>
    <row r="227">
      <c r="B227" s="34">
        <f>IFERROR(__xludf.DUMMYFUNCTION("""COMPUTED_VALUE"""),39114.0)</f>
        <v>39114</v>
      </c>
      <c r="C227" s="32">
        <f>IFERROR(__xludf.DUMMYFUNCTION("""COMPUTED_VALUE"""),7674.0)</f>
        <v>7674</v>
      </c>
    </row>
    <row r="228">
      <c r="B228" s="34">
        <f>IFERROR(__xludf.DUMMYFUNCTION("""COMPUTED_VALUE"""),39083.0)</f>
        <v>39083</v>
      </c>
      <c r="C228" s="32">
        <f>IFERROR(__xludf.DUMMYFUNCTION("""COMPUTED_VALUE"""),10897.0)</f>
        <v>10897</v>
      </c>
    </row>
    <row r="229">
      <c r="B229" s="34">
        <f>IFERROR(__xludf.DUMMYFUNCTION("""COMPUTED_VALUE"""),39052.0)</f>
        <v>39052</v>
      </c>
      <c r="C229" s="32">
        <f>IFERROR(__xludf.DUMMYFUNCTION("""COMPUTED_VALUE"""),8105.0)</f>
        <v>8105</v>
      </c>
    </row>
    <row r="230">
      <c r="B230" s="34">
        <f>IFERROR(__xludf.DUMMYFUNCTION("""COMPUTED_VALUE"""),39022.0)</f>
        <v>39022</v>
      </c>
      <c r="C230" s="32">
        <f>IFERROR(__xludf.DUMMYFUNCTION("""COMPUTED_VALUE"""),11292.0)</f>
        <v>11292</v>
      </c>
    </row>
    <row r="231">
      <c r="B231" s="34">
        <f>IFERROR(__xludf.DUMMYFUNCTION("""COMPUTED_VALUE"""),38991.0)</f>
        <v>38991</v>
      </c>
      <c r="C231" s="32">
        <f>IFERROR(__xludf.DUMMYFUNCTION("""COMPUTED_VALUE"""),6669.0)</f>
        <v>6669</v>
      </c>
    </row>
    <row r="232">
      <c r="B232" s="34">
        <f>IFERROR(__xludf.DUMMYFUNCTION("""COMPUTED_VALUE"""),38961.0)</f>
        <v>38961</v>
      </c>
      <c r="C232" s="32">
        <f>IFERROR(__xludf.DUMMYFUNCTION("""COMPUTED_VALUE"""),13400.0)</f>
        <v>13400</v>
      </c>
    </row>
    <row r="233">
      <c r="B233" s="34">
        <f>IFERROR(__xludf.DUMMYFUNCTION("""COMPUTED_VALUE"""),38930.0)</f>
        <v>38930</v>
      </c>
      <c r="C233" s="32">
        <f>IFERROR(__xludf.DUMMYFUNCTION("""COMPUTED_VALUE"""),8478.0)</f>
        <v>8478</v>
      </c>
    </row>
    <row r="234">
      <c r="B234" s="34">
        <f>IFERROR(__xludf.DUMMYFUNCTION("""COMPUTED_VALUE"""),38899.0)</f>
        <v>38899</v>
      </c>
      <c r="C234" s="32">
        <f>IFERROR(__xludf.DUMMYFUNCTION("""COMPUTED_VALUE"""),7115.0)</f>
        <v>7115</v>
      </c>
    </row>
    <row r="235">
      <c r="B235" s="34">
        <f>IFERROR(__xludf.DUMMYFUNCTION("""COMPUTED_VALUE"""),38869.0)</f>
        <v>38869</v>
      </c>
      <c r="C235" s="32">
        <f>IFERROR(__xludf.DUMMYFUNCTION("""COMPUTED_VALUE"""),10762.0)</f>
        <v>10762</v>
      </c>
    </row>
    <row r="236">
      <c r="B236" s="34">
        <f>IFERROR(__xludf.DUMMYFUNCTION("""COMPUTED_VALUE"""),38838.0)</f>
        <v>38838</v>
      </c>
      <c r="C236" s="32">
        <f>IFERROR(__xludf.DUMMYFUNCTION("""COMPUTED_VALUE"""),6877.0)</f>
        <v>6877</v>
      </c>
    </row>
    <row r="237">
      <c r="B237" s="34">
        <f>IFERROR(__xludf.DUMMYFUNCTION("""COMPUTED_VALUE"""),38808.0)</f>
        <v>38808</v>
      </c>
      <c r="C237" s="32">
        <f>IFERROR(__xludf.DUMMYFUNCTION("""COMPUTED_VALUE"""),7691.0)</f>
        <v>7691</v>
      </c>
    </row>
    <row r="238">
      <c r="B238" s="34">
        <f>IFERROR(__xludf.DUMMYFUNCTION("""COMPUTED_VALUE"""),38777.0)</f>
        <v>38777</v>
      </c>
      <c r="C238" s="32">
        <f>IFERROR(__xludf.DUMMYFUNCTION("""COMPUTED_VALUE"""),9050.0)</f>
        <v>9050</v>
      </c>
    </row>
    <row r="239">
      <c r="B239" s="34">
        <f>IFERROR(__xludf.DUMMYFUNCTION("""COMPUTED_VALUE"""),38749.0)</f>
        <v>38749</v>
      </c>
      <c r="C239" s="32">
        <f>IFERROR(__xludf.DUMMYFUNCTION("""COMPUTED_VALUE"""),9688.0)</f>
        <v>9688</v>
      </c>
    </row>
    <row r="240">
      <c r="B240" s="34">
        <f>IFERROR(__xludf.DUMMYFUNCTION("""COMPUTED_VALUE"""),38718.0)</f>
        <v>38718</v>
      </c>
      <c r="C240" s="32">
        <f>IFERROR(__xludf.DUMMYFUNCTION("""COMPUTED_VALUE"""),3321.0)</f>
        <v>3321</v>
      </c>
    </row>
    <row r="241">
      <c r="B241" s="34">
        <f>IFERROR(__xludf.DUMMYFUNCTION("""COMPUTED_VALUE"""),38687.0)</f>
        <v>38687</v>
      </c>
      <c r="C241" s="32">
        <f>IFERROR(__xludf.DUMMYFUNCTION("""COMPUTED_VALUE"""),7127.0)</f>
        <v>7127</v>
      </c>
    </row>
    <row r="242">
      <c r="B242" s="34">
        <f>IFERROR(__xludf.DUMMYFUNCTION("""COMPUTED_VALUE"""),38657.0)</f>
        <v>38657</v>
      </c>
      <c r="C242" s="32">
        <f>IFERROR(__xludf.DUMMYFUNCTION("""COMPUTED_VALUE"""),5670.0)</f>
        <v>5670</v>
      </c>
    </row>
    <row r="243">
      <c r="B243" s="34">
        <f>IFERROR(__xludf.DUMMYFUNCTION("""COMPUTED_VALUE"""),38626.0)</f>
        <v>38626</v>
      </c>
      <c r="C243" s="32">
        <f>IFERROR(__xludf.DUMMYFUNCTION("""COMPUTED_VALUE"""),7851.0)</f>
        <v>7851</v>
      </c>
    </row>
    <row r="244">
      <c r="B244" s="34">
        <f>IFERROR(__xludf.DUMMYFUNCTION("""COMPUTED_VALUE"""),38596.0)</f>
        <v>38596</v>
      </c>
      <c r="C244" s="32">
        <f>IFERROR(__xludf.DUMMYFUNCTION("""COMPUTED_VALUE"""),6790.0)</f>
        <v>6790</v>
      </c>
    </row>
    <row r="245">
      <c r="B245" s="34">
        <f>IFERROR(__xludf.DUMMYFUNCTION("""COMPUTED_VALUE"""),38565.0)</f>
        <v>38565</v>
      </c>
      <c r="C245" s="32">
        <f>IFERROR(__xludf.DUMMYFUNCTION("""COMPUTED_VALUE"""),6222.0)</f>
        <v>6222</v>
      </c>
    </row>
    <row r="246">
      <c r="B246" s="34">
        <f>IFERROR(__xludf.DUMMYFUNCTION("""COMPUTED_VALUE"""),38534.0)</f>
        <v>38534</v>
      </c>
      <c r="C246" s="32">
        <f>IFERROR(__xludf.DUMMYFUNCTION("""COMPUTED_VALUE"""),6365.0)</f>
        <v>6365</v>
      </c>
    </row>
    <row r="247">
      <c r="B247" s="34">
        <f>IFERROR(__xludf.DUMMYFUNCTION("""COMPUTED_VALUE"""),38504.0)</f>
        <v>38504</v>
      </c>
      <c r="C247" s="32">
        <f>IFERROR(__xludf.DUMMYFUNCTION("""COMPUTED_VALUE"""),8951.0)</f>
        <v>8951</v>
      </c>
    </row>
    <row r="248">
      <c r="B248" s="34">
        <f>IFERROR(__xludf.DUMMYFUNCTION("""COMPUTED_VALUE"""),38473.0)</f>
        <v>38473</v>
      </c>
      <c r="C248" s="32">
        <f>IFERROR(__xludf.DUMMYFUNCTION("""COMPUTED_VALUE"""),7633.0)</f>
        <v>7633</v>
      </c>
    </row>
    <row r="249">
      <c r="B249" s="34">
        <f>IFERROR(__xludf.DUMMYFUNCTION("""COMPUTED_VALUE"""),38443.0)</f>
        <v>38443</v>
      </c>
      <c r="C249" s="32">
        <f>IFERROR(__xludf.DUMMYFUNCTION("""COMPUTED_VALUE"""),6747.0)</f>
        <v>6747</v>
      </c>
    </row>
    <row r="250">
      <c r="B250" s="34">
        <f>IFERROR(__xludf.DUMMYFUNCTION("""COMPUTED_VALUE"""),38412.0)</f>
        <v>38412</v>
      </c>
      <c r="C250" s="32">
        <f>IFERROR(__xludf.DUMMYFUNCTION("""COMPUTED_VALUE"""),5859.0)</f>
        <v>5859</v>
      </c>
    </row>
    <row r="251">
      <c r="B251" s="34">
        <f>IFERROR(__xludf.DUMMYFUNCTION("""COMPUTED_VALUE"""),38384.0)</f>
        <v>38384</v>
      </c>
      <c r="C251" s="32">
        <f>IFERROR(__xludf.DUMMYFUNCTION("""COMPUTED_VALUE"""),6846.0)</f>
        <v>6846</v>
      </c>
    </row>
    <row r="252">
      <c r="B252" s="34">
        <f>IFERROR(__xludf.DUMMYFUNCTION("""COMPUTED_VALUE"""),38353.0)</f>
        <v>38353</v>
      </c>
      <c r="C252" s="32">
        <f>IFERROR(__xludf.DUMMYFUNCTION("""COMPUTED_VALUE"""),6483.0)</f>
        <v>6483</v>
      </c>
    </row>
    <row r="253">
      <c r="B253" s="34">
        <f>IFERROR(__xludf.DUMMYFUNCTION("""COMPUTED_VALUE"""),38322.0)</f>
        <v>38322</v>
      </c>
      <c r="C253" s="32">
        <f>IFERROR(__xludf.DUMMYFUNCTION("""COMPUTED_VALUE"""),6971.0)</f>
        <v>6971</v>
      </c>
    </row>
    <row r="254">
      <c r="B254" s="34">
        <f>IFERROR(__xludf.DUMMYFUNCTION("""COMPUTED_VALUE"""),38292.0)</f>
        <v>38292</v>
      </c>
      <c r="C254" s="32">
        <f>IFERROR(__xludf.DUMMYFUNCTION("""COMPUTED_VALUE"""),7674.0)</f>
        <v>7674</v>
      </c>
    </row>
    <row r="255">
      <c r="B255" s="34">
        <f>IFERROR(__xludf.DUMMYFUNCTION("""COMPUTED_VALUE"""),38261.0)</f>
        <v>38261</v>
      </c>
      <c r="C255" s="32">
        <f>IFERROR(__xludf.DUMMYFUNCTION("""COMPUTED_VALUE"""),8883.0)</f>
        <v>8883</v>
      </c>
    </row>
    <row r="256">
      <c r="B256" s="34">
        <f>IFERROR(__xludf.DUMMYFUNCTION("""COMPUTED_VALUE"""),38231.0)</f>
        <v>38231</v>
      </c>
      <c r="C256" s="32">
        <f>IFERROR(__xludf.DUMMYFUNCTION("""COMPUTED_VALUE"""),8748.0)</f>
        <v>8748</v>
      </c>
    </row>
    <row r="257">
      <c r="B257" s="34">
        <f>IFERROR(__xludf.DUMMYFUNCTION("""COMPUTED_VALUE"""),38200.0)</f>
        <v>38200</v>
      </c>
      <c r="C257" s="32">
        <f>IFERROR(__xludf.DUMMYFUNCTION("""COMPUTED_VALUE"""),6289.0)</f>
        <v>6289</v>
      </c>
    </row>
    <row r="258">
      <c r="B258" s="34">
        <f>IFERROR(__xludf.DUMMYFUNCTION("""COMPUTED_VALUE"""),38169.0)</f>
        <v>38169</v>
      </c>
      <c r="C258" s="32">
        <f>IFERROR(__xludf.DUMMYFUNCTION("""COMPUTED_VALUE"""),8434.0)</f>
        <v>8434</v>
      </c>
    </row>
    <row r="259">
      <c r="B259" s="34">
        <f>IFERROR(__xludf.DUMMYFUNCTION("""COMPUTED_VALUE"""),38139.0)</f>
        <v>38139</v>
      </c>
      <c r="C259" s="32">
        <f>IFERROR(__xludf.DUMMYFUNCTION("""COMPUTED_VALUE"""),8963.0)</f>
        <v>8963</v>
      </c>
    </row>
    <row r="260">
      <c r="B260" s="34">
        <f>IFERROR(__xludf.DUMMYFUNCTION("""COMPUTED_VALUE"""),38108.0)</f>
        <v>38108</v>
      </c>
      <c r="C260" s="32">
        <f>IFERROR(__xludf.DUMMYFUNCTION("""COMPUTED_VALUE"""),6734.0)</f>
        <v>6734</v>
      </c>
    </row>
    <row r="261">
      <c r="B261" s="34">
        <f>IFERROR(__xludf.DUMMYFUNCTION("""COMPUTED_VALUE"""),38078.0)</f>
        <v>38078</v>
      </c>
      <c r="C261" s="32">
        <f>IFERROR(__xludf.DUMMYFUNCTION("""COMPUTED_VALUE"""),9152.0)</f>
        <v>9152</v>
      </c>
    </row>
    <row r="262">
      <c r="B262" s="34">
        <f>IFERROR(__xludf.DUMMYFUNCTION("""COMPUTED_VALUE"""),38047.0)</f>
        <v>38047</v>
      </c>
      <c r="C262" s="32">
        <f>IFERROR(__xludf.DUMMYFUNCTION("""COMPUTED_VALUE"""),8360.0)</f>
        <v>8360</v>
      </c>
    </row>
    <row r="263">
      <c r="B263" s="34">
        <f>IFERROR(__xludf.DUMMYFUNCTION("""COMPUTED_VALUE"""),38018.0)</f>
        <v>38018</v>
      </c>
      <c r="C263" s="32">
        <f>IFERROR(__xludf.DUMMYFUNCTION("""COMPUTED_VALUE"""),9114.0)</f>
        <v>9114</v>
      </c>
    </row>
    <row r="264">
      <c r="B264" s="34">
        <f>IFERROR(__xludf.DUMMYFUNCTION("""COMPUTED_VALUE"""),37987.0)</f>
        <v>37987</v>
      </c>
      <c r="C264" s="32">
        <f>IFERROR(__xludf.DUMMYFUNCTION("""COMPUTED_VALUE"""),9652.0)</f>
        <v>9652</v>
      </c>
    </row>
    <row r="265">
      <c r="B265" s="34">
        <f>IFERROR(__xludf.DUMMYFUNCTION("""COMPUTED_VALUE"""),37956.0)</f>
        <v>37956</v>
      </c>
      <c r="C265" s="32">
        <f>IFERROR(__xludf.DUMMYFUNCTION("""COMPUTED_VALUE"""),10311.0)</f>
        <v>10311</v>
      </c>
    </row>
    <row r="266">
      <c r="B266" s="34">
        <f>IFERROR(__xludf.DUMMYFUNCTION("""COMPUTED_VALUE"""),37926.0)</f>
        <v>37926</v>
      </c>
      <c r="C266" s="32">
        <f>IFERROR(__xludf.DUMMYFUNCTION("""COMPUTED_VALUE"""),7268.0)</f>
        <v>7268</v>
      </c>
    </row>
    <row r="267">
      <c r="B267" s="34">
        <f>IFERROR(__xludf.DUMMYFUNCTION("""COMPUTED_VALUE"""),37895.0)</f>
        <v>37895</v>
      </c>
      <c r="C267" s="32">
        <f>IFERROR(__xludf.DUMMYFUNCTION("""COMPUTED_VALUE"""),8815.0)</f>
        <v>8815</v>
      </c>
    </row>
    <row r="268">
      <c r="B268" s="34">
        <f>IFERROR(__xludf.DUMMYFUNCTION("""COMPUTED_VALUE"""),37865.0)</f>
        <v>37865</v>
      </c>
      <c r="C268" s="32">
        <f>IFERROR(__xludf.DUMMYFUNCTION("""COMPUTED_VALUE"""),7508.0)</f>
        <v>7508</v>
      </c>
    </row>
    <row r="269">
      <c r="B269" s="34">
        <f>IFERROR(__xludf.DUMMYFUNCTION("""COMPUTED_VALUE"""),37834.0)</f>
        <v>37834</v>
      </c>
      <c r="C269" s="32">
        <f>IFERROR(__xludf.DUMMYFUNCTION("""COMPUTED_VALUE"""),9277.0)</f>
        <v>9277</v>
      </c>
    </row>
    <row r="270">
      <c r="B270" s="34">
        <f>IFERROR(__xludf.DUMMYFUNCTION("""COMPUTED_VALUE"""),37803.0)</f>
        <v>37803</v>
      </c>
      <c r="C270" s="32">
        <f>IFERROR(__xludf.DUMMYFUNCTION("""COMPUTED_VALUE"""),7269.0)</f>
        <v>7269</v>
      </c>
    </row>
    <row r="271">
      <c r="B271" s="34">
        <f>IFERROR(__xludf.DUMMYFUNCTION("""COMPUTED_VALUE"""),37773.0)</f>
        <v>37773</v>
      </c>
      <c r="C271" s="32">
        <f>IFERROR(__xludf.DUMMYFUNCTION("""COMPUTED_VALUE"""),7363.0)</f>
        <v>7363</v>
      </c>
    </row>
    <row r="272">
      <c r="B272" s="34">
        <f>IFERROR(__xludf.DUMMYFUNCTION("""COMPUTED_VALUE"""),37742.0)</f>
        <v>37742</v>
      </c>
      <c r="C272" s="32">
        <f>IFERROR(__xludf.DUMMYFUNCTION("""COMPUTED_VALUE"""),8817.0)</f>
        <v>8817</v>
      </c>
    </row>
    <row r="273">
      <c r="B273" s="34">
        <f>IFERROR(__xludf.DUMMYFUNCTION("""COMPUTED_VALUE"""),37712.0)</f>
        <v>37712</v>
      </c>
      <c r="C273" s="32">
        <f>IFERROR(__xludf.DUMMYFUNCTION("""COMPUTED_VALUE"""),9494.0)</f>
        <v>9494</v>
      </c>
    </row>
    <row r="274">
      <c r="B274" s="34">
        <f>IFERROR(__xludf.DUMMYFUNCTION("""COMPUTED_VALUE"""),37681.0)</f>
        <v>37681</v>
      </c>
      <c r="C274" s="32">
        <f>IFERROR(__xludf.DUMMYFUNCTION("""COMPUTED_VALUE"""),8107.0)</f>
        <v>8107</v>
      </c>
    </row>
    <row r="275">
      <c r="B275" s="34">
        <f>IFERROR(__xludf.DUMMYFUNCTION("""COMPUTED_VALUE"""),37653.0)</f>
        <v>37653</v>
      </c>
      <c r="C275" s="32">
        <f>IFERROR(__xludf.DUMMYFUNCTION("""COMPUTED_VALUE"""),8728.0)</f>
        <v>8728</v>
      </c>
    </row>
    <row r="276">
      <c r="B276" s="34">
        <f>IFERROR(__xludf.DUMMYFUNCTION("""COMPUTED_VALUE"""),37622.0)</f>
        <v>37622</v>
      </c>
      <c r="C276" s="32">
        <f>IFERROR(__xludf.DUMMYFUNCTION("""COMPUTED_VALUE"""),7315.0)</f>
        <v>7315</v>
      </c>
    </row>
    <row r="277">
      <c r="B277" s="34">
        <f>IFERROR(__xludf.DUMMYFUNCTION("""COMPUTED_VALUE"""),37591.0)</f>
        <v>37591</v>
      </c>
      <c r="C277" s="32">
        <f>IFERROR(__xludf.DUMMYFUNCTION("""COMPUTED_VALUE"""),7032.0)</f>
        <v>7032</v>
      </c>
    </row>
    <row r="278">
      <c r="B278" s="34">
        <f>IFERROR(__xludf.DUMMYFUNCTION("""COMPUTED_VALUE"""),37561.0)</f>
        <v>37561</v>
      </c>
      <c r="C278" s="32">
        <f>IFERROR(__xludf.DUMMYFUNCTION("""COMPUTED_VALUE"""),5744.0)</f>
        <v>5744</v>
      </c>
    </row>
    <row r="279">
      <c r="B279" s="34">
        <f>IFERROR(__xludf.DUMMYFUNCTION("""COMPUTED_VALUE"""),37530.0)</f>
        <v>37530</v>
      </c>
      <c r="C279" s="32">
        <f>IFERROR(__xludf.DUMMYFUNCTION("""COMPUTED_VALUE"""),4573.0)</f>
        <v>4573</v>
      </c>
    </row>
    <row r="280">
      <c r="B280" s="34">
        <f>IFERROR(__xludf.DUMMYFUNCTION("""COMPUTED_VALUE"""),37500.0)</f>
        <v>37500</v>
      </c>
      <c r="C280" s="32">
        <f>IFERROR(__xludf.DUMMYFUNCTION("""COMPUTED_VALUE"""),7189.0)</f>
        <v>7189</v>
      </c>
    </row>
    <row r="281">
      <c r="B281" s="34">
        <f>IFERROR(__xludf.DUMMYFUNCTION("""COMPUTED_VALUE"""),37469.0)</f>
        <v>37469</v>
      </c>
      <c r="C281" s="32">
        <f>IFERROR(__xludf.DUMMYFUNCTION("""COMPUTED_VALUE"""),6988.0)</f>
        <v>6988</v>
      </c>
    </row>
    <row r="282">
      <c r="B282" s="34">
        <f>IFERROR(__xludf.DUMMYFUNCTION("""COMPUTED_VALUE"""),37438.0)</f>
        <v>37438</v>
      </c>
      <c r="C282" s="32">
        <f>IFERROR(__xludf.DUMMYFUNCTION("""COMPUTED_VALUE"""),5596.0)</f>
        <v>5596</v>
      </c>
    </row>
    <row r="283">
      <c r="B283" s="34">
        <f>IFERROR(__xludf.DUMMYFUNCTION("""COMPUTED_VALUE"""),37408.0)</f>
        <v>37408</v>
      </c>
      <c r="C283" s="32">
        <f>IFERROR(__xludf.DUMMYFUNCTION("""COMPUTED_VALUE"""),6104.0)</f>
        <v>6104</v>
      </c>
    </row>
    <row r="284">
      <c r="B284" s="34">
        <f>IFERROR(__xludf.DUMMYFUNCTION("""COMPUTED_VALUE"""),37377.0)</f>
        <v>37377</v>
      </c>
      <c r="C284" s="32">
        <f>IFERROR(__xludf.DUMMYFUNCTION("""COMPUTED_VALUE"""),5231.0)</f>
        <v>5231</v>
      </c>
    </row>
    <row r="285">
      <c r="B285" s="34">
        <f>IFERROR(__xludf.DUMMYFUNCTION("""COMPUTED_VALUE"""),37347.0)</f>
        <v>37347</v>
      </c>
      <c r="C285" s="32">
        <f>IFERROR(__xludf.DUMMYFUNCTION("""COMPUTED_VALUE"""),6438.0)</f>
        <v>6438</v>
      </c>
    </row>
    <row r="286">
      <c r="B286" s="34">
        <f>IFERROR(__xludf.DUMMYFUNCTION("""COMPUTED_VALUE"""),37316.0)</f>
        <v>37316</v>
      </c>
      <c r="C286" s="32">
        <f>IFERROR(__xludf.DUMMYFUNCTION("""COMPUTED_VALUE"""),8821.0)</f>
        <v>8821</v>
      </c>
    </row>
    <row r="287">
      <c r="B287" s="34">
        <f>IFERROR(__xludf.DUMMYFUNCTION("""COMPUTED_VALUE"""),37288.0)</f>
        <v>37288</v>
      </c>
      <c r="C287" s="32">
        <f>IFERROR(__xludf.DUMMYFUNCTION("""COMPUTED_VALUE"""),8371.0)</f>
        <v>8371</v>
      </c>
    </row>
    <row r="288">
      <c r="B288" s="34">
        <f>IFERROR(__xludf.DUMMYFUNCTION("""COMPUTED_VALUE"""),37257.0)</f>
        <v>37257</v>
      </c>
      <c r="C288" s="32">
        <f>IFERROR(__xludf.DUMMYFUNCTION("""COMPUTED_VALUE"""),4110.0)</f>
        <v>4110</v>
      </c>
    </row>
    <row r="289">
      <c r="B289" s="34">
        <f>IFERROR(__xludf.DUMMYFUNCTION("""COMPUTED_VALUE"""),37226.0)</f>
        <v>37226</v>
      </c>
      <c r="C289" s="32">
        <f>IFERROR(__xludf.DUMMYFUNCTION("""COMPUTED_VALUE"""),6360.0)</f>
        <v>6360</v>
      </c>
    </row>
    <row r="290">
      <c r="B290" s="34">
        <f>IFERROR(__xludf.DUMMYFUNCTION("""COMPUTED_VALUE"""),37196.0)</f>
        <v>37196</v>
      </c>
      <c r="C290" s="32">
        <f>IFERROR(__xludf.DUMMYFUNCTION("""COMPUTED_VALUE"""),5702.0)</f>
        <v>5702</v>
      </c>
    </row>
    <row r="291">
      <c r="B291" s="34">
        <f>IFERROR(__xludf.DUMMYFUNCTION("""COMPUTED_VALUE"""),37165.0)</f>
        <v>37165</v>
      </c>
      <c r="C291" s="32">
        <f>IFERROR(__xludf.DUMMYFUNCTION("""COMPUTED_VALUE"""),18144.0)</f>
        <v>18144</v>
      </c>
    </row>
    <row r="292">
      <c r="B292" s="34">
        <f>IFERROR(__xludf.DUMMYFUNCTION("""COMPUTED_VALUE"""),37135.0)</f>
        <v>37135</v>
      </c>
      <c r="C292" s="32">
        <f>IFERROR(__xludf.DUMMYFUNCTION("""COMPUTED_VALUE"""),7592.0)</f>
        <v>7592</v>
      </c>
    </row>
    <row r="293">
      <c r="B293" s="34">
        <f>IFERROR(__xludf.DUMMYFUNCTION("""COMPUTED_VALUE"""),37104.0)</f>
        <v>37104</v>
      </c>
      <c r="C293" s="32">
        <f>IFERROR(__xludf.DUMMYFUNCTION("""COMPUTED_VALUE"""),5182.0)</f>
        <v>5182</v>
      </c>
    </row>
    <row r="294">
      <c r="B294" s="34">
        <f>IFERROR(__xludf.DUMMYFUNCTION("""COMPUTED_VALUE"""),37073.0)</f>
        <v>37073</v>
      </c>
      <c r="C294" s="32">
        <f>IFERROR(__xludf.DUMMYFUNCTION("""COMPUTED_VALUE"""),5864.0)</f>
        <v>5864</v>
      </c>
    </row>
    <row r="295">
      <c r="B295" s="34">
        <f>IFERROR(__xludf.DUMMYFUNCTION("""COMPUTED_VALUE"""),37043.0)</f>
        <v>37043</v>
      </c>
      <c r="C295" s="32">
        <f>IFERROR(__xludf.DUMMYFUNCTION("""COMPUTED_VALUE"""),5034.0)</f>
        <v>5034</v>
      </c>
    </row>
    <row r="296">
      <c r="B296" s="34">
        <f>IFERROR(__xludf.DUMMYFUNCTION("""COMPUTED_VALUE"""),37012.0)</f>
        <v>37012</v>
      </c>
      <c r="C296" s="32">
        <f>IFERROR(__xludf.DUMMYFUNCTION("""COMPUTED_VALUE"""),6226.0)</f>
        <v>6226</v>
      </c>
    </row>
    <row r="297">
      <c r="B297" s="34">
        <f>IFERROR(__xludf.DUMMYFUNCTION("""COMPUTED_VALUE"""),36982.0)</f>
        <v>36982</v>
      </c>
      <c r="C297" s="32">
        <f>IFERROR(__xludf.DUMMYFUNCTION("""COMPUTED_VALUE"""),5687.0)</f>
        <v>5687</v>
      </c>
    </row>
    <row r="298">
      <c r="B298" s="34">
        <f>IFERROR(__xludf.DUMMYFUNCTION("""COMPUTED_VALUE"""),36951.0)</f>
        <v>36951</v>
      </c>
      <c r="C298" s="32">
        <f>IFERROR(__xludf.DUMMYFUNCTION("""COMPUTED_VALUE"""),8269.0)</f>
        <v>8269</v>
      </c>
    </row>
    <row r="299">
      <c r="B299" s="34">
        <f>IFERROR(__xludf.DUMMYFUNCTION("""COMPUTED_VALUE"""),36923.0)</f>
        <v>36923</v>
      </c>
      <c r="C299" s="32">
        <f>IFERROR(__xludf.DUMMYFUNCTION("""COMPUTED_VALUE"""),5347.0)</f>
        <v>5347</v>
      </c>
    </row>
    <row r="300">
      <c r="B300" s="34">
        <f>IFERROR(__xludf.DUMMYFUNCTION("""COMPUTED_VALUE"""),36892.0)</f>
        <v>36892</v>
      </c>
      <c r="C300" s="32">
        <f>IFERROR(__xludf.DUMMYFUNCTION("""COMPUTED_VALUE"""),4326.0)</f>
        <v>4326</v>
      </c>
    </row>
    <row r="301">
      <c r="B301" s="34">
        <f>IFERROR(__xludf.DUMMYFUNCTION("""COMPUTED_VALUE"""),36861.0)</f>
        <v>36861</v>
      </c>
      <c r="C301" s="32">
        <f>IFERROR(__xludf.DUMMYFUNCTION("""COMPUTED_VALUE"""),2580.0)</f>
        <v>2580</v>
      </c>
    </row>
    <row r="302">
      <c r="B302" s="34">
        <f>IFERROR(__xludf.DUMMYFUNCTION("""COMPUTED_VALUE"""),36831.0)</f>
        <v>36831</v>
      </c>
      <c r="C302" s="32">
        <f>IFERROR(__xludf.DUMMYFUNCTION("""COMPUTED_VALUE"""),6511.0)</f>
        <v>6511</v>
      </c>
    </row>
    <row r="303">
      <c r="B303" s="34">
        <f>IFERROR(__xludf.DUMMYFUNCTION("""COMPUTED_VALUE"""),36800.0)</f>
        <v>36800</v>
      </c>
      <c r="C303" s="32">
        <f>IFERROR(__xludf.DUMMYFUNCTION("""COMPUTED_VALUE"""),4862.0)</f>
        <v>4862</v>
      </c>
    </row>
    <row r="304">
      <c r="B304" s="34">
        <f>IFERROR(__xludf.DUMMYFUNCTION("""COMPUTED_VALUE"""),36770.0)</f>
        <v>36770</v>
      </c>
      <c r="C304" s="32">
        <f>IFERROR(__xludf.DUMMYFUNCTION("""COMPUTED_VALUE"""),4392.0)</f>
        <v>4392</v>
      </c>
    </row>
    <row r="305">
      <c r="B305" s="34">
        <f>IFERROR(__xludf.DUMMYFUNCTION("""COMPUTED_VALUE"""),36739.0)</f>
        <v>36739</v>
      </c>
      <c r="C305" s="32">
        <f>IFERROR(__xludf.DUMMYFUNCTION("""COMPUTED_VALUE"""),5570.0)</f>
        <v>5570</v>
      </c>
    </row>
    <row r="306">
      <c r="B306" s="34">
        <f>IFERROR(__xludf.DUMMYFUNCTION("""COMPUTED_VALUE"""),36708.0)</f>
        <v>36708</v>
      </c>
      <c r="C306" s="32">
        <f>IFERROR(__xludf.DUMMYFUNCTION("""COMPUTED_VALUE"""),4826.0)</f>
        <v>4826</v>
      </c>
    </row>
    <row r="307">
      <c r="B307" s="34">
        <f>IFERROR(__xludf.DUMMYFUNCTION("""COMPUTED_VALUE"""),36678.0)</f>
        <v>36678</v>
      </c>
      <c r="C307" s="32">
        <f>IFERROR(__xludf.DUMMYFUNCTION("""COMPUTED_VALUE"""),25893.0)</f>
        <v>25893</v>
      </c>
    </row>
    <row r="308">
      <c r="B308" s="34">
        <f>IFERROR(__xludf.DUMMYFUNCTION("""COMPUTED_VALUE"""),36647.0)</f>
        <v>36647</v>
      </c>
      <c r="C308" s="32">
        <f>IFERROR(__xludf.DUMMYFUNCTION("""COMPUTED_VALUE"""),5023.0)</f>
        <v>5023</v>
      </c>
    </row>
    <row r="309">
      <c r="B309" s="34">
        <f>IFERROR(__xludf.DUMMYFUNCTION("""COMPUTED_VALUE"""),36617.0)</f>
        <v>36617</v>
      </c>
      <c r="C309" s="32">
        <f>IFERROR(__xludf.DUMMYFUNCTION("""COMPUTED_VALUE"""),3568.0)</f>
        <v>3568</v>
      </c>
    </row>
    <row r="310">
      <c r="B310" s="34">
        <f>IFERROR(__xludf.DUMMYFUNCTION("""COMPUTED_VALUE"""),36586.0)</f>
        <v>36586</v>
      </c>
      <c r="C310" s="32">
        <f>IFERROR(__xludf.DUMMYFUNCTION("""COMPUTED_VALUE"""),3773.0)</f>
        <v>3773</v>
      </c>
    </row>
    <row r="311">
      <c r="B311" s="34">
        <f>IFERROR(__xludf.DUMMYFUNCTION("""COMPUTED_VALUE"""),36557.0)</f>
        <v>36557</v>
      </c>
      <c r="C311" s="32">
        <f>IFERROR(__xludf.DUMMYFUNCTION("""COMPUTED_VALUE"""),5162.0)</f>
        <v>5162</v>
      </c>
    </row>
    <row r="312">
      <c r="B312" s="34">
        <f>IFERROR(__xludf.DUMMYFUNCTION("""COMPUTED_VALUE"""),36526.0)</f>
        <v>36526</v>
      </c>
      <c r="C312" s="32">
        <f>IFERROR(__xludf.DUMMYFUNCTION("""COMPUTED_VALUE"""),7159.0)</f>
        <v>7159</v>
      </c>
    </row>
    <row r="313">
      <c r="B313" s="34">
        <f>IFERROR(__xludf.DUMMYFUNCTION("""COMPUTED_VALUE"""),36495.0)</f>
        <v>36495</v>
      </c>
      <c r="C313" s="32">
        <f>IFERROR(__xludf.DUMMYFUNCTION("""COMPUTED_VALUE"""),5616.0)</f>
        <v>5616</v>
      </c>
    </row>
    <row r="314">
      <c r="B314" s="34">
        <f>IFERROR(__xludf.DUMMYFUNCTION("""COMPUTED_VALUE"""),36465.0)</f>
        <v>36465</v>
      </c>
      <c r="C314" s="32">
        <f>IFERROR(__xludf.DUMMYFUNCTION("""COMPUTED_VALUE"""),4143.0)</f>
        <v>4143</v>
      </c>
    </row>
    <row r="315">
      <c r="B315" s="34">
        <f>IFERROR(__xludf.DUMMYFUNCTION("""COMPUTED_VALUE"""),36434.0)</f>
        <v>36434</v>
      </c>
      <c r="C315" s="32">
        <f>IFERROR(__xludf.DUMMYFUNCTION("""COMPUTED_VALUE"""),7548.0)</f>
        <v>7548</v>
      </c>
    </row>
    <row r="316">
      <c r="B316" s="34">
        <f>IFERROR(__xludf.DUMMYFUNCTION("""COMPUTED_VALUE"""),36404.0)</f>
        <v>36404</v>
      </c>
      <c r="C316" s="32">
        <f>IFERROR(__xludf.DUMMYFUNCTION("""COMPUTED_VALUE"""),4278.0)</f>
        <v>4278</v>
      </c>
    </row>
    <row r="317">
      <c r="B317" s="34">
        <f>IFERROR(__xludf.DUMMYFUNCTION("""COMPUTED_VALUE"""),36373.0)</f>
        <v>36373</v>
      </c>
      <c r="C317" s="32">
        <f>IFERROR(__xludf.DUMMYFUNCTION("""COMPUTED_VALUE"""),4237.0)</f>
        <v>4237</v>
      </c>
    </row>
    <row r="318">
      <c r="B318" s="34">
        <f>IFERROR(__xludf.DUMMYFUNCTION("""COMPUTED_VALUE"""),36342.0)</f>
        <v>36342</v>
      </c>
      <c r="C318" s="32">
        <f>IFERROR(__xludf.DUMMYFUNCTION("""COMPUTED_VALUE"""),6605.0)</f>
        <v>6605</v>
      </c>
    </row>
    <row r="319">
      <c r="B319" s="34">
        <f>IFERROR(__xludf.DUMMYFUNCTION("""COMPUTED_VALUE"""),36312.0)</f>
        <v>36312</v>
      </c>
      <c r="C319" s="32">
        <f>IFERROR(__xludf.DUMMYFUNCTION("""COMPUTED_VALUE"""),4877.0)</f>
        <v>4877</v>
      </c>
    </row>
    <row r="320">
      <c r="B320" s="34">
        <f>IFERROR(__xludf.DUMMYFUNCTION("""COMPUTED_VALUE"""),36281.0)</f>
        <v>36281</v>
      </c>
      <c r="C320" s="32">
        <f>IFERROR(__xludf.DUMMYFUNCTION("""COMPUTED_VALUE"""),5665.0)</f>
        <v>5665</v>
      </c>
    </row>
    <row r="321">
      <c r="B321" s="34">
        <f>IFERROR(__xludf.DUMMYFUNCTION("""COMPUTED_VALUE"""),36251.0)</f>
        <v>36251</v>
      </c>
      <c r="C321" s="32">
        <f>IFERROR(__xludf.DUMMYFUNCTION("""COMPUTED_VALUE"""),5011.0)</f>
        <v>5011</v>
      </c>
    </row>
    <row r="322">
      <c r="B322" s="34">
        <f>IFERROR(__xludf.DUMMYFUNCTION("""COMPUTED_VALUE"""),36220.0)</f>
        <v>36220</v>
      </c>
      <c r="C322" s="32">
        <f>IFERROR(__xludf.DUMMYFUNCTION("""COMPUTED_VALUE"""),7229.0)</f>
        <v>7229</v>
      </c>
    </row>
    <row r="323">
      <c r="B323" s="34">
        <f>IFERROR(__xludf.DUMMYFUNCTION("""COMPUTED_VALUE"""),36192.0)</f>
        <v>36192</v>
      </c>
      <c r="C323" s="32">
        <f>IFERROR(__xludf.DUMMYFUNCTION("""COMPUTED_VALUE"""),6067.0)</f>
        <v>6067</v>
      </c>
    </row>
    <row r="324">
      <c r="B324" s="34">
        <f>IFERROR(__xludf.DUMMYFUNCTION("""COMPUTED_VALUE"""),36161.0)</f>
        <v>36161</v>
      </c>
      <c r="C324" s="32">
        <f>IFERROR(__xludf.DUMMYFUNCTION("""COMPUTED_VALUE"""),6813.0)</f>
        <v>6813</v>
      </c>
    </row>
    <row r="325">
      <c r="B325" s="34">
        <f>IFERROR(__xludf.DUMMYFUNCTION("""COMPUTED_VALUE"""),36130.0)</f>
        <v>36130</v>
      </c>
      <c r="C325" s="32">
        <f>IFERROR(__xludf.DUMMYFUNCTION("""COMPUTED_VALUE"""),5701.0)</f>
        <v>5701</v>
      </c>
    </row>
    <row r="326">
      <c r="B326" s="34">
        <f>IFERROR(__xludf.DUMMYFUNCTION("""COMPUTED_VALUE"""),36100.0)</f>
        <v>36100</v>
      </c>
      <c r="C326" s="32">
        <f>IFERROR(__xludf.DUMMYFUNCTION("""COMPUTED_VALUE"""),5346.0)</f>
        <v>5346</v>
      </c>
    </row>
    <row r="327">
      <c r="B327" s="34">
        <f>IFERROR(__xludf.DUMMYFUNCTION("""COMPUTED_VALUE"""),36069.0)</f>
        <v>36069</v>
      </c>
      <c r="C327" s="32">
        <f>IFERROR(__xludf.DUMMYFUNCTION("""COMPUTED_VALUE"""),5030.0)</f>
        <v>5030</v>
      </c>
    </row>
    <row r="328">
      <c r="B328" s="34">
        <f>IFERROR(__xludf.DUMMYFUNCTION("""COMPUTED_VALUE"""),36039.0)</f>
        <v>36039</v>
      </c>
      <c r="C328" s="32">
        <f>IFERROR(__xludf.DUMMYFUNCTION("""COMPUTED_VALUE"""),7372.0)</f>
        <v>7372</v>
      </c>
    </row>
    <row r="329">
      <c r="B329" s="34">
        <f>IFERROR(__xludf.DUMMYFUNCTION("""COMPUTED_VALUE"""),36008.0)</f>
        <v>36008</v>
      </c>
      <c r="C329" s="32">
        <f>IFERROR(__xludf.DUMMYFUNCTION("""COMPUTED_VALUE"""),5255.0)</f>
        <v>5255</v>
      </c>
    </row>
    <row r="330">
      <c r="B330" s="34">
        <f>IFERROR(__xludf.DUMMYFUNCTION("""COMPUTED_VALUE"""),35977.0)</f>
        <v>35977</v>
      </c>
      <c r="C330" s="32">
        <f>IFERROR(__xludf.DUMMYFUNCTION("""COMPUTED_VALUE"""),5149.0)</f>
        <v>5149</v>
      </c>
    </row>
    <row r="331">
      <c r="B331" s="34">
        <f>IFERROR(__xludf.DUMMYFUNCTION("""COMPUTED_VALUE"""),35947.0)</f>
        <v>35947</v>
      </c>
      <c r="C331" s="32">
        <f>IFERROR(__xludf.DUMMYFUNCTION("""COMPUTED_VALUE"""),5239.0)</f>
        <v>5239</v>
      </c>
    </row>
    <row r="332">
      <c r="B332" s="34">
        <f>IFERROR(__xludf.DUMMYFUNCTION("""COMPUTED_VALUE"""),35916.0)</f>
        <v>35916</v>
      </c>
      <c r="C332" s="32">
        <f>IFERROR(__xludf.DUMMYFUNCTION("""COMPUTED_VALUE"""),4211.0)</f>
        <v>4211</v>
      </c>
    </row>
    <row r="333">
      <c r="B333" s="34">
        <f>IFERROR(__xludf.DUMMYFUNCTION("""COMPUTED_VALUE"""),35886.0)</f>
        <v>35886</v>
      </c>
      <c r="C333" s="32">
        <f>IFERROR(__xludf.DUMMYFUNCTION("""COMPUTED_VALUE"""),6574.0)</f>
        <v>6574</v>
      </c>
    </row>
    <row r="334">
      <c r="B334" s="34">
        <f>IFERROR(__xludf.DUMMYFUNCTION("""COMPUTED_VALUE"""),35855.0)</f>
        <v>35855</v>
      </c>
      <c r="C334" s="32">
        <f>IFERROR(__xludf.DUMMYFUNCTION("""COMPUTED_VALUE"""),4087.0)</f>
        <v>4087</v>
      </c>
    </row>
    <row r="335">
      <c r="B335" s="34">
        <f>IFERROR(__xludf.DUMMYFUNCTION("""COMPUTED_VALUE"""),35827.0)</f>
        <v>35827</v>
      </c>
      <c r="C335" s="32">
        <f>IFERROR(__xludf.DUMMYFUNCTION("""COMPUTED_VALUE"""),5088.0)</f>
        <v>5088</v>
      </c>
    </row>
    <row r="336">
      <c r="B336" s="34">
        <f>IFERROR(__xludf.DUMMYFUNCTION("""COMPUTED_VALUE"""),35796.0)</f>
        <v>35796</v>
      </c>
      <c r="C336" s="32">
        <f>IFERROR(__xludf.DUMMYFUNCTION("""COMPUTED_VALUE"""),5246.0)</f>
        <v>5246</v>
      </c>
    </row>
    <row r="337">
      <c r="B337" s="34">
        <f>IFERROR(__xludf.DUMMYFUNCTION("""COMPUTED_VALUE"""),35765.0)</f>
        <v>35765</v>
      </c>
      <c r="C337" s="32">
        <f>IFERROR(__xludf.DUMMYFUNCTION("""COMPUTED_VALUE"""),4029.0)</f>
        <v>4029</v>
      </c>
    </row>
    <row r="338">
      <c r="B338" s="34">
        <f>IFERROR(__xludf.DUMMYFUNCTION("""COMPUTED_VALUE"""),35735.0)</f>
        <v>35735</v>
      </c>
      <c r="C338" s="32">
        <f>IFERROR(__xludf.DUMMYFUNCTION("""COMPUTED_VALUE"""),5506.0)</f>
        <v>5506</v>
      </c>
    </row>
    <row r="339">
      <c r="B339" s="34">
        <f>IFERROR(__xludf.DUMMYFUNCTION("""COMPUTED_VALUE"""),35704.0)</f>
        <v>35704</v>
      </c>
      <c r="C339" s="32">
        <f>IFERROR(__xludf.DUMMYFUNCTION("""COMPUTED_VALUE"""),5020.0)</f>
        <v>5020</v>
      </c>
    </row>
    <row r="340">
      <c r="B340" s="34">
        <f>IFERROR(__xludf.DUMMYFUNCTION("""COMPUTED_VALUE"""),35674.0)</f>
        <v>35674</v>
      </c>
      <c r="C340" s="32">
        <f>IFERROR(__xludf.DUMMYFUNCTION("""COMPUTED_VALUE"""),4998.0)</f>
        <v>4998</v>
      </c>
    </row>
    <row r="341">
      <c r="B341" s="34">
        <f>IFERROR(__xludf.DUMMYFUNCTION("""COMPUTED_VALUE"""),35643.0)</f>
        <v>35643</v>
      </c>
      <c r="C341" s="32">
        <f>IFERROR(__xludf.DUMMYFUNCTION("""COMPUTED_VALUE"""),5971.0)</f>
        <v>5971</v>
      </c>
    </row>
    <row r="342">
      <c r="B342" s="34">
        <f>IFERROR(__xludf.DUMMYFUNCTION("""COMPUTED_VALUE"""),35612.0)</f>
        <v>35612</v>
      </c>
      <c r="C342" s="32">
        <f>IFERROR(__xludf.DUMMYFUNCTION("""COMPUTED_VALUE"""),6002.0)</f>
        <v>6002</v>
      </c>
    </row>
    <row r="343">
      <c r="B343" s="34">
        <f>IFERROR(__xludf.DUMMYFUNCTION("""COMPUTED_VALUE"""),35582.0)</f>
        <v>35582</v>
      </c>
      <c r="C343" s="32">
        <f>IFERROR(__xludf.DUMMYFUNCTION("""COMPUTED_VALUE"""),6273.0)</f>
        <v>6273</v>
      </c>
    </row>
    <row r="344">
      <c r="B344" s="34">
        <f>IFERROR(__xludf.DUMMYFUNCTION("""COMPUTED_VALUE"""),35551.0)</f>
        <v>35551</v>
      </c>
      <c r="C344" s="32">
        <f>IFERROR(__xludf.DUMMYFUNCTION("""COMPUTED_VALUE"""),5485.0)</f>
        <v>5485</v>
      </c>
    </row>
    <row r="345">
      <c r="B345" s="34">
        <f>IFERROR(__xludf.DUMMYFUNCTION("""COMPUTED_VALUE"""),35521.0)</f>
        <v>35521</v>
      </c>
      <c r="C345" s="32">
        <f>IFERROR(__xludf.DUMMYFUNCTION("""COMPUTED_VALUE"""),6795.0)</f>
        <v>6795</v>
      </c>
    </row>
    <row r="346">
      <c r="B346" s="34">
        <f>IFERROR(__xludf.DUMMYFUNCTION("""COMPUTED_VALUE"""),35490.0)</f>
        <v>35490</v>
      </c>
      <c r="C346" s="32">
        <f>IFERROR(__xludf.DUMMYFUNCTION("""COMPUTED_VALUE"""),4808.0)</f>
        <v>4808</v>
      </c>
    </row>
    <row r="347">
      <c r="B347" s="34">
        <f>IFERROR(__xludf.DUMMYFUNCTION("""COMPUTED_VALUE"""),35462.0)</f>
        <v>35462</v>
      </c>
      <c r="C347" s="32">
        <f>IFERROR(__xludf.DUMMYFUNCTION("""COMPUTED_VALUE"""),5821.0)</f>
        <v>5821</v>
      </c>
    </row>
    <row r="348">
      <c r="B348" s="34">
        <f>IFERROR(__xludf.DUMMYFUNCTION("""COMPUTED_VALUE"""),35431.0)</f>
        <v>35431</v>
      </c>
      <c r="C348" s="32">
        <f>IFERROR(__xludf.DUMMYFUNCTION("""COMPUTED_VALUE"""),3883.0)</f>
        <v>3883</v>
      </c>
    </row>
    <row r="349">
      <c r="B349" s="34">
        <f>IFERROR(__xludf.DUMMYFUNCTION("""COMPUTED_VALUE"""),35400.0)</f>
        <v>35400</v>
      </c>
      <c r="C349" s="32">
        <f>IFERROR(__xludf.DUMMYFUNCTION("""COMPUTED_VALUE"""),9718.0)</f>
        <v>9718</v>
      </c>
    </row>
    <row r="350">
      <c r="B350" s="34">
        <f>IFERROR(__xludf.DUMMYFUNCTION("""COMPUTED_VALUE"""),35370.0)</f>
        <v>35370</v>
      </c>
      <c r="C350" s="32">
        <f>IFERROR(__xludf.DUMMYFUNCTION("""COMPUTED_VALUE"""),13572.0)</f>
        <v>13572</v>
      </c>
    </row>
    <row r="351">
      <c r="B351" s="34">
        <f>IFERROR(__xludf.DUMMYFUNCTION("""COMPUTED_VALUE"""),35339.0)</f>
        <v>35339</v>
      </c>
      <c r="C351" s="32">
        <f>IFERROR(__xludf.DUMMYFUNCTION("""COMPUTED_VALUE"""),6300.0)</f>
        <v>6300</v>
      </c>
    </row>
    <row r="352">
      <c r="B352" s="34">
        <f>IFERROR(__xludf.DUMMYFUNCTION("""COMPUTED_VALUE"""),35309.0)</f>
        <v>35309</v>
      </c>
      <c r="C352" s="32">
        <f>IFERROR(__xludf.DUMMYFUNCTION("""COMPUTED_VALUE"""),5321.0)</f>
        <v>5321</v>
      </c>
    </row>
    <row r="353">
      <c r="B353" s="34">
        <f>IFERROR(__xludf.DUMMYFUNCTION("""COMPUTED_VALUE"""),35278.0)</f>
        <v>35278</v>
      </c>
      <c r="C353" s="32">
        <f>IFERROR(__xludf.DUMMYFUNCTION("""COMPUTED_VALUE"""),4887.0)</f>
        <v>4887</v>
      </c>
    </row>
    <row r="354">
      <c r="B354" s="34">
        <f>IFERROR(__xludf.DUMMYFUNCTION("""COMPUTED_VALUE"""),35247.0)</f>
        <v>35247</v>
      </c>
      <c r="C354" s="32">
        <f>IFERROR(__xludf.DUMMYFUNCTION("""COMPUTED_VALUE"""),4646.0)</f>
        <v>4646</v>
      </c>
    </row>
    <row r="355">
      <c r="B355" s="34">
        <f>IFERROR(__xludf.DUMMYFUNCTION("""COMPUTED_VALUE"""),35217.0)</f>
        <v>35217</v>
      </c>
      <c r="C355" s="32">
        <f>IFERROR(__xludf.DUMMYFUNCTION("""COMPUTED_VALUE"""),7020.0)</f>
        <v>7020</v>
      </c>
    </row>
    <row r="356">
      <c r="B356" s="34">
        <f>IFERROR(__xludf.DUMMYFUNCTION("""COMPUTED_VALUE"""),35186.0)</f>
        <v>35186</v>
      </c>
      <c r="C356" s="32">
        <f>IFERROR(__xludf.DUMMYFUNCTION("""COMPUTED_VALUE"""),7430.0)</f>
        <v>7430</v>
      </c>
    </row>
    <row r="357">
      <c r="B357" s="34">
        <f>IFERROR(__xludf.DUMMYFUNCTION("""COMPUTED_VALUE"""),35156.0)</f>
        <v>35156</v>
      </c>
      <c r="C357" s="32">
        <f>IFERROR(__xludf.DUMMYFUNCTION("""COMPUTED_VALUE"""),5784.0)</f>
        <v>5784</v>
      </c>
    </row>
    <row r="358">
      <c r="B358" s="34">
        <f>IFERROR(__xludf.DUMMYFUNCTION("""COMPUTED_VALUE"""),35125.0)</f>
        <v>35125</v>
      </c>
      <c r="C358" s="32">
        <f>IFERROR(__xludf.DUMMYFUNCTION("""COMPUTED_VALUE"""),12185.0)</f>
        <v>12185</v>
      </c>
    </row>
    <row r="359">
      <c r="B359" s="34">
        <f>IFERROR(__xludf.DUMMYFUNCTION("""COMPUTED_VALUE"""),35096.0)</f>
        <v>35096</v>
      </c>
      <c r="C359" s="32">
        <f>IFERROR(__xludf.DUMMYFUNCTION("""COMPUTED_VALUE"""),5318.0)</f>
        <v>5318</v>
      </c>
    </row>
    <row r="360">
      <c r="B360" s="34">
        <f>IFERROR(__xludf.DUMMYFUNCTION("""COMPUTED_VALUE"""),35065.0)</f>
        <v>35065</v>
      </c>
      <c r="C360" s="32">
        <f>IFERROR(__xludf.DUMMYFUNCTION("""COMPUTED_VALUE"""),6046.0)</f>
        <v>6046</v>
      </c>
    </row>
    <row r="361">
      <c r="B361" s="34">
        <f>IFERROR(__xludf.DUMMYFUNCTION("""COMPUTED_VALUE"""),35034.0)</f>
        <v>35034</v>
      </c>
      <c r="C361" s="32">
        <f>IFERROR(__xludf.DUMMYFUNCTION("""COMPUTED_VALUE"""),5841.0)</f>
        <v>5841</v>
      </c>
    </row>
    <row r="362">
      <c r="B362" s="34">
        <f>IFERROR(__xludf.DUMMYFUNCTION("""COMPUTED_VALUE"""),35004.0)</f>
        <v>35004</v>
      </c>
      <c r="C362" s="32">
        <f>IFERROR(__xludf.DUMMYFUNCTION("""COMPUTED_VALUE"""),4733.0)</f>
        <v>4733</v>
      </c>
    </row>
    <row r="363">
      <c r="B363" s="34">
        <f>IFERROR(__xludf.DUMMYFUNCTION("""COMPUTED_VALUE"""),34973.0)</f>
        <v>34973</v>
      </c>
      <c r="C363" s="32">
        <f>IFERROR(__xludf.DUMMYFUNCTION("""COMPUTED_VALUE"""),5071.0)</f>
        <v>5071</v>
      </c>
    </row>
    <row r="364">
      <c r="B364" s="34">
        <f>IFERROR(__xludf.DUMMYFUNCTION("""COMPUTED_VALUE"""),34943.0)</f>
        <v>34943</v>
      </c>
      <c r="C364" s="32">
        <f>IFERROR(__xludf.DUMMYFUNCTION("""COMPUTED_VALUE"""),6356.0)</f>
        <v>6356</v>
      </c>
    </row>
    <row r="365">
      <c r="B365" s="34">
        <f>IFERROR(__xludf.DUMMYFUNCTION("""COMPUTED_VALUE"""),34912.0)</f>
        <v>34912</v>
      </c>
      <c r="C365" s="32">
        <f>IFERROR(__xludf.DUMMYFUNCTION("""COMPUTED_VALUE"""),6580.0)</f>
        <v>6580</v>
      </c>
    </row>
    <row r="366">
      <c r="B366" s="34">
        <f>IFERROR(__xludf.DUMMYFUNCTION("""COMPUTED_VALUE"""),34881.0)</f>
        <v>34881</v>
      </c>
      <c r="C366" s="32">
        <f>IFERROR(__xludf.DUMMYFUNCTION("""COMPUTED_VALUE"""),5639.0)</f>
        <v>5639</v>
      </c>
    </row>
    <row r="367">
      <c r="B367" s="34">
        <f>IFERROR(__xludf.DUMMYFUNCTION("""COMPUTED_VALUE"""),34851.0)</f>
        <v>34851</v>
      </c>
      <c r="C367" s="32">
        <f>IFERROR(__xludf.DUMMYFUNCTION("""COMPUTED_VALUE"""),5882.0)</f>
        <v>5882</v>
      </c>
    </row>
    <row r="368">
      <c r="B368" s="34">
        <f>IFERROR(__xludf.DUMMYFUNCTION("""COMPUTED_VALUE"""),34820.0)</f>
        <v>34820</v>
      </c>
      <c r="C368" s="32">
        <f>IFERROR(__xludf.DUMMYFUNCTION("""COMPUTED_VALUE"""),5555.0)</f>
        <v>5555</v>
      </c>
    </row>
    <row r="369">
      <c r="B369" s="34">
        <f>IFERROR(__xludf.DUMMYFUNCTION("""COMPUTED_VALUE"""),34790.0)</f>
        <v>34790</v>
      </c>
      <c r="C369" s="32">
        <f>IFERROR(__xludf.DUMMYFUNCTION("""COMPUTED_VALUE"""),5611.0)</f>
        <v>5611</v>
      </c>
    </row>
    <row r="370">
      <c r="B370" s="34">
        <f>IFERROR(__xludf.DUMMYFUNCTION("""COMPUTED_VALUE"""),34759.0)</f>
        <v>34759</v>
      </c>
      <c r="C370" s="32">
        <f>IFERROR(__xludf.DUMMYFUNCTION("""COMPUTED_VALUE"""),6668.0)</f>
        <v>6668</v>
      </c>
    </row>
    <row r="371">
      <c r="B371" s="34">
        <f>IFERROR(__xludf.DUMMYFUNCTION("""COMPUTED_VALUE"""),34731.0)</f>
        <v>34731</v>
      </c>
      <c r="C371" s="32">
        <f>IFERROR(__xludf.DUMMYFUNCTION("""COMPUTED_VALUE"""),6692.0)</f>
        <v>6692</v>
      </c>
    </row>
    <row r="372">
      <c r="B372" s="34">
        <f>IFERROR(__xludf.DUMMYFUNCTION("""COMPUTED_VALUE"""),34700.0)</f>
        <v>34700</v>
      </c>
      <c r="C372" s="32">
        <f>IFERROR(__xludf.DUMMYFUNCTION("""COMPUTED_VALUE"""),4169.0)</f>
        <v>4169</v>
      </c>
    </row>
    <row r="373">
      <c r="B373" s="34">
        <f>IFERROR(__xludf.DUMMYFUNCTION("""COMPUTED_VALUE"""),34669.0)</f>
        <v>34669</v>
      </c>
      <c r="C373" s="32">
        <f>IFERROR(__xludf.DUMMYFUNCTION("""COMPUTED_VALUE"""),7098.0)</f>
        <v>7098</v>
      </c>
    </row>
    <row r="374">
      <c r="B374" s="34">
        <f>IFERROR(__xludf.DUMMYFUNCTION("""COMPUTED_VALUE"""),34639.0)</f>
        <v>34639</v>
      </c>
      <c r="C374" s="32">
        <f>IFERROR(__xludf.DUMMYFUNCTION("""COMPUTED_VALUE"""),6048.0)</f>
        <v>6048</v>
      </c>
    </row>
    <row r="375">
      <c r="B375" s="34">
        <f>IFERROR(__xludf.DUMMYFUNCTION("""COMPUTED_VALUE"""),34608.0)</f>
        <v>34608</v>
      </c>
      <c r="C375" s="32">
        <f>IFERROR(__xludf.DUMMYFUNCTION("""COMPUTED_VALUE"""),7656.0)</f>
        <v>7656</v>
      </c>
    </row>
    <row r="376">
      <c r="B376" s="34">
        <f>IFERROR(__xludf.DUMMYFUNCTION("""COMPUTED_VALUE"""),34578.0)</f>
        <v>34578</v>
      </c>
      <c r="C376" s="32">
        <f>IFERROR(__xludf.DUMMYFUNCTION("""COMPUTED_VALUE"""),5647.0)</f>
        <v>5647</v>
      </c>
    </row>
    <row r="377">
      <c r="B377" s="34">
        <f>IFERROR(__xludf.DUMMYFUNCTION("""COMPUTED_VALUE"""),34547.0)</f>
        <v>34547</v>
      </c>
      <c r="C377" s="32">
        <f>IFERROR(__xludf.DUMMYFUNCTION("""COMPUTED_VALUE"""),5739.0)</f>
        <v>5739</v>
      </c>
    </row>
    <row r="378">
      <c r="B378" s="34">
        <f>IFERROR(__xludf.DUMMYFUNCTION("""COMPUTED_VALUE"""),34516.0)</f>
        <v>34516</v>
      </c>
      <c r="C378" s="32">
        <f>IFERROR(__xludf.DUMMYFUNCTION("""COMPUTED_VALUE"""),6370.0)</f>
        <v>6370</v>
      </c>
    </row>
    <row r="379">
      <c r="B379" s="34">
        <f>IFERROR(__xludf.DUMMYFUNCTION("""COMPUTED_VALUE"""),34486.0)</f>
        <v>34486</v>
      </c>
      <c r="C379" s="32">
        <f>IFERROR(__xludf.DUMMYFUNCTION("""COMPUTED_VALUE"""),6143.0)</f>
        <v>6143</v>
      </c>
    </row>
    <row r="380">
      <c r="B380" s="34">
        <f>IFERROR(__xludf.DUMMYFUNCTION("""COMPUTED_VALUE"""),34455.0)</f>
        <v>34455</v>
      </c>
      <c r="C380" s="32">
        <f>IFERROR(__xludf.DUMMYFUNCTION("""COMPUTED_VALUE"""),6719.0)</f>
        <v>6719</v>
      </c>
    </row>
    <row r="381">
      <c r="B381" s="34">
        <f>IFERROR(__xludf.DUMMYFUNCTION("""COMPUTED_VALUE"""),34425.0)</f>
        <v>34425</v>
      </c>
      <c r="C381" s="32">
        <f>IFERROR(__xludf.DUMMYFUNCTION("""COMPUTED_VALUE"""),4415.0)</f>
        <v>4415</v>
      </c>
    </row>
    <row r="382">
      <c r="B382" s="34">
        <f>IFERROR(__xludf.DUMMYFUNCTION("""COMPUTED_VALUE"""),34394.0)</f>
        <v>34394</v>
      </c>
      <c r="C382" s="32">
        <f>IFERROR(__xludf.DUMMYFUNCTION("""COMPUTED_VALUE"""),4689.0)</f>
        <v>4689</v>
      </c>
    </row>
    <row r="383">
      <c r="B383" s="34">
        <f>IFERROR(__xludf.DUMMYFUNCTION("""COMPUTED_VALUE"""),34366.0)</f>
        <v>34366</v>
      </c>
      <c r="C383" s="32">
        <f>IFERROR(__xludf.DUMMYFUNCTION("""COMPUTED_VALUE"""),5439.0)</f>
        <v>5439</v>
      </c>
    </row>
    <row r="384">
      <c r="B384" s="34">
        <f>IFERROR(__xludf.DUMMYFUNCTION("""COMPUTED_VALUE"""),34335.0)</f>
        <v>34335</v>
      </c>
      <c r="C384" s="32">
        <f>IFERROR(__xludf.DUMMYFUNCTION("""COMPUTED_VALUE"""),8402.0)</f>
        <v>8402</v>
      </c>
    </row>
    <row r="385">
      <c r="B385" s="34">
        <f>IFERROR(__xludf.DUMMYFUNCTION("""COMPUTED_VALUE"""),34304.0)</f>
        <v>34304</v>
      </c>
      <c r="C385" s="32">
        <f>IFERROR(__xludf.DUMMYFUNCTION("""COMPUTED_VALUE"""),4624.0)</f>
        <v>4624</v>
      </c>
    </row>
    <row r="386">
      <c r="B386" s="34">
        <f>IFERROR(__xludf.DUMMYFUNCTION("""COMPUTED_VALUE"""),34274.0)</f>
        <v>34274</v>
      </c>
      <c r="C386" s="32">
        <f>IFERROR(__xludf.DUMMYFUNCTION("""COMPUTED_VALUE"""),5085.0)</f>
        <v>5085</v>
      </c>
    </row>
    <row r="387">
      <c r="B387" s="34">
        <f>IFERROR(__xludf.DUMMYFUNCTION("""COMPUTED_VALUE"""),34243.0)</f>
        <v>34243</v>
      </c>
      <c r="C387" s="32">
        <f>IFERROR(__xludf.DUMMYFUNCTION("""COMPUTED_VALUE"""),7000.0)</f>
        <v>7000</v>
      </c>
    </row>
    <row r="388">
      <c r="B388" s="34">
        <f>IFERROR(__xludf.DUMMYFUNCTION("""COMPUTED_VALUE"""),34213.0)</f>
        <v>34213</v>
      </c>
      <c r="C388" s="32">
        <f>IFERROR(__xludf.DUMMYFUNCTION("""COMPUTED_VALUE"""),5585.0)</f>
        <v>5585</v>
      </c>
    </row>
    <row r="389">
      <c r="B389" s="34">
        <f>IFERROR(__xludf.DUMMYFUNCTION("""COMPUTED_VALUE"""),34182.0)</f>
        <v>34182</v>
      </c>
      <c r="C389" s="32">
        <f>IFERROR(__xludf.DUMMYFUNCTION("""COMPUTED_VALUE"""),7238.0)</f>
        <v>7238</v>
      </c>
    </row>
    <row r="390">
      <c r="B390" s="34">
        <f>IFERROR(__xludf.DUMMYFUNCTION("""COMPUTED_VALUE"""),34151.0)</f>
        <v>34151</v>
      </c>
      <c r="C390" s="32">
        <f>IFERROR(__xludf.DUMMYFUNCTION("""COMPUTED_VALUE"""),7728.0)</f>
        <v>7728</v>
      </c>
    </row>
    <row r="391">
      <c r="B391" s="34">
        <f>IFERROR(__xludf.DUMMYFUNCTION("""COMPUTED_VALUE"""),34121.0)</f>
        <v>34121</v>
      </c>
      <c r="C391" s="32">
        <f>IFERROR(__xludf.DUMMYFUNCTION("""COMPUTED_VALUE"""),5050.0)</f>
        <v>5050</v>
      </c>
    </row>
    <row r="392">
      <c r="B392" s="34">
        <f>IFERROR(__xludf.DUMMYFUNCTION("""COMPUTED_VALUE"""),34090.0)</f>
        <v>34090</v>
      </c>
      <c r="C392" s="32">
        <f>IFERROR(__xludf.DUMMYFUNCTION("""COMPUTED_VALUE"""),5770.0)</f>
        <v>5770</v>
      </c>
    </row>
    <row r="393">
      <c r="B393" s="34">
        <f>IFERROR(__xludf.DUMMYFUNCTION("""COMPUTED_VALUE"""),34060.0)</f>
        <v>34060</v>
      </c>
      <c r="C393" s="32">
        <f>IFERROR(__xludf.DUMMYFUNCTION("""COMPUTED_VALUE"""),6435.0)</f>
        <v>6435</v>
      </c>
    </row>
    <row r="394">
      <c r="B394" s="34">
        <f>IFERROR(__xludf.DUMMYFUNCTION("""COMPUTED_VALUE"""),34029.0)</f>
        <v>34029</v>
      </c>
      <c r="C394" s="32">
        <f>IFERROR(__xludf.DUMMYFUNCTION("""COMPUTED_VALUE"""),7191.0)</f>
        <v>7191</v>
      </c>
    </row>
    <row r="395">
      <c r="B395" s="34">
        <f>IFERROR(__xludf.DUMMYFUNCTION("""COMPUTED_VALUE"""),34001.0)</f>
        <v>34001</v>
      </c>
      <c r="C395" s="32">
        <f>IFERROR(__xludf.DUMMYFUNCTION("""COMPUTED_VALUE"""),6359.0)</f>
        <v>6359</v>
      </c>
    </row>
    <row r="396">
      <c r="B396" s="34">
        <f>IFERROR(__xludf.DUMMYFUNCTION("""COMPUTED_VALUE"""),33970.0)</f>
        <v>33970</v>
      </c>
      <c r="C396" s="32">
        <f>IFERROR(__xludf.DUMMYFUNCTION("""COMPUTED_VALUE"""),5029.0)</f>
        <v>5029</v>
      </c>
    </row>
    <row r="397">
      <c r="B397" s="34">
        <f>IFERROR(__xludf.DUMMYFUNCTION("""COMPUTED_VALUE"""),33939.0)</f>
        <v>33939</v>
      </c>
      <c r="C397" s="32">
        <f>IFERROR(__xludf.DUMMYFUNCTION("""COMPUTED_VALUE"""),7239.0)</f>
        <v>7239</v>
      </c>
    </row>
    <row r="398">
      <c r="B398" s="34">
        <f>IFERROR(__xludf.DUMMYFUNCTION("""COMPUTED_VALUE"""),33909.0)</f>
        <v>33909</v>
      </c>
      <c r="C398" s="32">
        <f>IFERROR(__xludf.DUMMYFUNCTION("""COMPUTED_VALUE"""),7546.0)</f>
        <v>7546</v>
      </c>
    </row>
    <row r="399">
      <c r="B399" s="34">
        <f>IFERROR(__xludf.DUMMYFUNCTION("""COMPUTED_VALUE"""),33878.0)</f>
        <v>33878</v>
      </c>
      <c r="C399" s="32">
        <f>IFERROR(__xludf.DUMMYFUNCTION("""COMPUTED_VALUE"""),10800.0)</f>
        <v>10800</v>
      </c>
    </row>
    <row r="400">
      <c r="B400" s="34">
        <f>IFERROR(__xludf.DUMMYFUNCTION("""COMPUTED_VALUE"""),33848.0)</f>
        <v>33848</v>
      </c>
      <c r="C400" s="32">
        <f>IFERROR(__xludf.DUMMYFUNCTION("""COMPUTED_VALUE"""),6241.0)</f>
        <v>6241</v>
      </c>
    </row>
    <row r="401">
      <c r="B401" s="34">
        <f>IFERROR(__xludf.DUMMYFUNCTION("""COMPUTED_VALUE"""),33817.0)</f>
        <v>33817</v>
      </c>
      <c r="C401" s="32">
        <f>IFERROR(__xludf.DUMMYFUNCTION("""COMPUTED_VALUE"""),5461.0)</f>
        <v>5461</v>
      </c>
    </row>
    <row r="402">
      <c r="B402" s="34">
        <f>IFERROR(__xludf.DUMMYFUNCTION("""COMPUTED_VALUE"""),33786.0)</f>
        <v>33786</v>
      </c>
      <c r="C402" s="32">
        <f>IFERROR(__xludf.DUMMYFUNCTION("""COMPUTED_VALUE"""),5224.0)</f>
        <v>5224</v>
      </c>
    </row>
    <row r="403">
      <c r="B403" s="34">
        <f>IFERROR(__xludf.DUMMYFUNCTION("""COMPUTED_VALUE"""),33756.0)</f>
        <v>33756</v>
      </c>
      <c r="C403" s="32">
        <f>IFERROR(__xludf.DUMMYFUNCTION("""COMPUTED_VALUE"""),6393.0)</f>
        <v>6393</v>
      </c>
    </row>
    <row r="404">
      <c r="B404" s="34">
        <f>IFERROR(__xludf.DUMMYFUNCTION("""COMPUTED_VALUE"""),33725.0)</f>
        <v>33725</v>
      </c>
      <c r="C404" s="32">
        <f>IFERROR(__xludf.DUMMYFUNCTION("""COMPUTED_VALUE"""),7944.0)</f>
        <v>7944</v>
      </c>
    </row>
    <row r="405">
      <c r="B405" s="34">
        <f>IFERROR(__xludf.DUMMYFUNCTION("""COMPUTED_VALUE"""),33695.0)</f>
        <v>33695</v>
      </c>
      <c r="C405" s="32">
        <f>IFERROR(__xludf.DUMMYFUNCTION("""COMPUTED_VALUE"""),7052.0)</f>
        <v>7052</v>
      </c>
    </row>
    <row r="406">
      <c r="B406" s="34">
        <f>IFERROR(__xludf.DUMMYFUNCTION("""COMPUTED_VALUE"""),33664.0)</f>
        <v>33664</v>
      </c>
      <c r="C406" s="32">
        <f>IFERROR(__xludf.DUMMYFUNCTION("""COMPUTED_VALUE"""),5729.0)</f>
        <v>5729</v>
      </c>
    </row>
    <row r="407">
      <c r="B407" s="34">
        <f>IFERROR(__xludf.DUMMYFUNCTION("""COMPUTED_VALUE"""),33635.0)</f>
        <v>33635</v>
      </c>
      <c r="C407" s="32">
        <f>IFERROR(__xludf.DUMMYFUNCTION("""COMPUTED_VALUE"""),7270.0)</f>
        <v>7270</v>
      </c>
    </row>
    <row r="408">
      <c r="B408" s="34"/>
      <c r="C408" s="32"/>
    </row>
    <row r="409">
      <c r="B409" s="34"/>
      <c r="C409" s="32"/>
    </row>
    <row r="410">
      <c r="B410" s="34"/>
      <c r="C410" s="32"/>
    </row>
    <row r="411">
      <c r="B411" s="34"/>
      <c r="C411" s="32"/>
    </row>
    <row r="412">
      <c r="B412" s="34"/>
      <c r="C412" s="32"/>
    </row>
    <row r="413">
      <c r="B413" s="34"/>
      <c r="C413" s="32"/>
    </row>
    <row r="414">
      <c r="B414" s="34"/>
      <c r="C414" s="32"/>
    </row>
    <row r="415">
      <c r="B415" s="34"/>
      <c r="C415" s="32"/>
    </row>
    <row r="416">
      <c r="B416" s="34"/>
      <c r="C416" s="32"/>
    </row>
    <row r="417">
      <c r="B417" s="34"/>
      <c r="C417" s="32"/>
    </row>
    <row r="418">
      <c r="B418" s="34"/>
      <c r="C418" s="32"/>
    </row>
    <row r="419">
      <c r="B419" s="34"/>
      <c r="C419" s="32"/>
    </row>
    <row r="420">
      <c r="B420" s="34"/>
      <c r="C420" s="32"/>
    </row>
    <row r="421">
      <c r="B421" s="34"/>
      <c r="C421" s="32"/>
    </row>
    <row r="422">
      <c r="B422" s="34"/>
      <c r="C422" s="32"/>
    </row>
    <row r="423">
      <c r="B423" s="34"/>
      <c r="C423" s="32"/>
    </row>
    <row r="424">
      <c r="B424" s="34"/>
      <c r="C424" s="32"/>
    </row>
    <row r="425">
      <c r="B425" s="34"/>
      <c r="C425" s="32"/>
    </row>
    <row r="426">
      <c r="B426" s="34"/>
      <c r="C426" s="32"/>
    </row>
    <row r="427">
      <c r="B427" s="34"/>
      <c r="C427" s="32"/>
    </row>
    <row r="428">
      <c r="B428" s="34"/>
      <c r="C428" s="32"/>
    </row>
    <row r="429">
      <c r="B429" s="34"/>
      <c r="C429" s="32"/>
    </row>
    <row r="430">
      <c r="B430" s="34"/>
      <c r="C430" s="32"/>
    </row>
    <row r="431">
      <c r="B431" s="34"/>
      <c r="C431" s="32"/>
    </row>
    <row r="432">
      <c r="B432" s="34"/>
      <c r="C432" s="32"/>
    </row>
    <row r="433">
      <c r="B433" s="34"/>
      <c r="C433" s="32"/>
    </row>
    <row r="434">
      <c r="B434" s="34"/>
      <c r="C434" s="32"/>
    </row>
    <row r="435">
      <c r="B435" s="34"/>
      <c r="C435" s="32"/>
    </row>
    <row r="436">
      <c r="B436" s="34"/>
      <c r="C436" s="32"/>
    </row>
    <row r="437">
      <c r="B437" s="34"/>
      <c r="C437" s="32"/>
    </row>
    <row r="438">
      <c r="B438" s="34"/>
      <c r="C438" s="32"/>
    </row>
    <row r="439">
      <c r="B439" s="34"/>
      <c r="C439" s="32"/>
    </row>
    <row r="440">
      <c r="B440" s="34"/>
      <c r="C440" s="32"/>
    </row>
    <row r="441">
      <c r="B441" s="34"/>
      <c r="C441" s="32"/>
    </row>
    <row r="442">
      <c r="B442" s="34"/>
      <c r="C442" s="32"/>
    </row>
    <row r="443">
      <c r="B443" s="34"/>
      <c r="C443" s="32"/>
    </row>
    <row r="444">
      <c r="B444" s="34"/>
      <c r="C444" s="32"/>
    </row>
    <row r="445">
      <c r="B445" s="34"/>
      <c r="C445" s="32"/>
    </row>
    <row r="446">
      <c r="B446" s="34"/>
      <c r="C446" s="32"/>
    </row>
    <row r="447">
      <c r="B447" s="34"/>
      <c r="C447" s="32"/>
    </row>
    <row r="448">
      <c r="B448" s="34"/>
      <c r="C448" s="32"/>
    </row>
    <row r="449">
      <c r="B449" s="34"/>
      <c r="C449" s="32"/>
    </row>
    <row r="450">
      <c r="B450" s="34"/>
      <c r="C450" s="32"/>
    </row>
    <row r="451">
      <c r="B451" s="34"/>
      <c r="C451" s="32"/>
    </row>
    <row r="452">
      <c r="B452" s="34"/>
      <c r="C452" s="32"/>
    </row>
    <row r="453">
      <c r="B453" s="34"/>
      <c r="C453" s="32"/>
    </row>
    <row r="454">
      <c r="B454" s="34"/>
      <c r="C454" s="32"/>
    </row>
    <row r="455">
      <c r="B455" s="34"/>
      <c r="C455" s="32"/>
    </row>
    <row r="456">
      <c r="B456" s="34"/>
      <c r="C456" s="32"/>
    </row>
    <row r="457">
      <c r="B457" s="34"/>
      <c r="C457" s="32"/>
    </row>
    <row r="458">
      <c r="B458" s="34"/>
      <c r="C458" s="32"/>
    </row>
    <row r="459">
      <c r="B459" s="34"/>
      <c r="C459" s="32"/>
    </row>
    <row r="460">
      <c r="B460" s="34"/>
      <c r="C460" s="32"/>
    </row>
    <row r="461">
      <c r="B461" s="34"/>
      <c r="C461" s="32"/>
    </row>
    <row r="462">
      <c r="B462" s="34"/>
      <c r="C462" s="32"/>
    </row>
    <row r="463">
      <c r="B463" s="34"/>
      <c r="C463" s="32"/>
    </row>
    <row r="464">
      <c r="B464" s="34"/>
      <c r="C464" s="32"/>
    </row>
    <row r="465">
      <c r="B465" s="34"/>
      <c r="C465" s="32"/>
    </row>
    <row r="466">
      <c r="B466" s="34"/>
      <c r="C466" s="32"/>
    </row>
    <row r="467">
      <c r="B467" s="34"/>
      <c r="C467" s="32"/>
    </row>
    <row r="468">
      <c r="B468" s="34"/>
      <c r="C468" s="32"/>
    </row>
    <row r="469">
      <c r="B469" s="34"/>
      <c r="C469" s="32"/>
    </row>
    <row r="470">
      <c r="B470" s="34"/>
      <c r="C470" s="32"/>
    </row>
    <row r="471">
      <c r="B471" s="34"/>
      <c r="C471" s="32"/>
    </row>
    <row r="472">
      <c r="B472" s="34"/>
      <c r="C472" s="32"/>
    </row>
    <row r="473">
      <c r="B473" s="34"/>
      <c r="C473" s="32"/>
    </row>
    <row r="474">
      <c r="B474" s="34"/>
      <c r="C474" s="32"/>
    </row>
    <row r="475">
      <c r="B475" s="34"/>
      <c r="C475" s="32"/>
    </row>
    <row r="476">
      <c r="B476" s="34"/>
      <c r="C476" s="32"/>
    </row>
    <row r="477">
      <c r="B477" s="34"/>
      <c r="C477" s="32"/>
    </row>
    <row r="478">
      <c r="B478" s="34"/>
      <c r="C478" s="32"/>
    </row>
    <row r="479">
      <c r="B479" s="34"/>
      <c r="C479" s="32"/>
    </row>
    <row r="480">
      <c r="B480" s="34"/>
      <c r="C480" s="32"/>
    </row>
    <row r="481">
      <c r="B481" s="34"/>
      <c r="C481" s="32"/>
    </row>
    <row r="482">
      <c r="B482" s="34"/>
      <c r="C482" s="32"/>
    </row>
    <row r="483">
      <c r="B483" s="34"/>
      <c r="C483" s="32"/>
    </row>
    <row r="484">
      <c r="B484" s="34"/>
      <c r="C484" s="32"/>
    </row>
    <row r="485">
      <c r="B485" s="34"/>
      <c r="C485" s="32"/>
    </row>
    <row r="486">
      <c r="B486" s="34"/>
      <c r="C486" s="32"/>
    </row>
    <row r="487">
      <c r="B487" s="34"/>
      <c r="C487" s="32"/>
    </row>
    <row r="488">
      <c r="B488" s="34"/>
      <c r="C488" s="32"/>
    </row>
    <row r="489">
      <c r="B489" s="34"/>
      <c r="C489" s="32"/>
    </row>
    <row r="490">
      <c r="B490" s="34"/>
      <c r="C490" s="32"/>
    </row>
    <row r="491">
      <c r="B491" s="34"/>
      <c r="C491" s="32"/>
    </row>
    <row r="492">
      <c r="B492" s="34"/>
      <c r="C492" s="32"/>
    </row>
    <row r="493">
      <c r="B493" s="34"/>
      <c r="C493" s="32"/>
    </row>
    <row r="494">
      <c r="B494" s="34"/>
      <c r="C494" s="32"/>
    </row>
    <row r="495">
      <c r="B495" s="34"/>
      <c r="C495" s="32"/>
    </row>
    <row r="496">
      <c r="B496" s="34"/>
      <c r="C496" s="32"/>
    </row>
    <row r="497">
      <c r="B497" s="34"/>
      <c r="C497" s="32"/>
    </row>
    <row r="498">
      <c r="B498" s="34"/>
      <c r="C498" s="32"/>
    </row>
    <row r="499">
      <c r="B499" s="34"/>
      <c r="C499" s="32"/>
    </row>
    <row r="500">
      <c r="B500" s="34"/>
      <c r="C500" s="32"/>
    </row>
    <row r="501">
      <c r="B501" s="34"/>
      <c r="C501" s="32"/>
    </row>
    <row r="502">
      <c r="B502" s="34"/>
      <c r="C502" s="32"/>
    </row>
    <row r="503">
      <c r="B503" s="34"/>
      <c r="C503" s="32"/>
    </row>
    <row r="504">
      <c r="B504" s="34"/>
      <c r="C504" s="32"/>
    </row>
    <row r="505">
      <c r="B505" s="34"/>
      <c r="C505" s="32"/>
    </row>
    <row r="506">
      <c r="B506" s="34"/>
      <c r="C506" s="32"/>
    </row>
    <row r="507">
      <c r="B507" s="34"/>
      <c r="C507" s="32"/>
    </row>
    <row r="508">
      <c r="B508" s="34"/>
      <c r="C508" s="32"/>
    </row>
    <row r="509">
      <c r="B509" s="34"/>
      <c r="C509" s="32"/>
    </row>
    <row r="510">
      <c r="B510" s="34"/>
      <c r="C510" s="32"/>
    </row>
    <row r="511">
      <c r="B511" s="34"/>
      <c r="C511" s="32"/>
    </row>
    <row r="512">
      <c r="B512" s="34"/>
      <c r="C512" s="32"/>
    </row>
    <row r="513">
      <c r="B513" s="34"/>
      <c r="C513" s="32"/>
    </row>
    <row r="514">
      <c r="B514" s="34"/>
      <c r="C514" s="32"/>
    </row>
    <row r="515">
      <c r="B515" s="34"/>
      <c r="C515" s="32"/>
    </row>
    <row r="516">
      <c r="B516" s="34"/>
      <c r="C516" s="32"/>
    </row>
    <row r="517">
      <c r="B517" s="34"/>
      <c r="C517" s="32"/>
    </row>
    <row r="518">
      <c r="B518" s="34"/>
      <c r="C518" s="32"/>
    </row>
    <row r="519">
      <c r="B519" s="34"/>
      <c r="C519" s="32"/>
    </row>
    <row r="520">
      <c r="B520" s="34"/>
      <c r="C520" s="32"/>
    </row>
    <row r="521">
      <c r="B521" s="34"/>
      <c r="C521" s="32"/>
    </row>
    <row r="522">
      <c r="B522" s="34"/>
      <c r="C522" s="32"/>
    </row>
    <row r="523">
      <c r="B523" s="34"/>
      <c r="C523" s="32"/>
    </row>
    <row r="524">
      <c r="B524" s="34"/>
      <c r="C524" s="32"/>
    </row>
    <row r="525">
      <c r="B525" s="34"/>
      <c r="C525" s="32"/>
    </row>
    <row r="526">
      <c r="B526" s="34"/>
      <c r="C526" s="32"/>
    </row>
    <row r="527">
      <c r="B527" s="34"/>
      <c r="C527" s="32"/>
    </row>
    <row r="528">
      <c r="B528" s="34"/>
      <c r="C528" s="32"/>
    </row>
    <row r="529">
      <c r="B529" s="34"/>
      <c r="C529" s="32"/>
    </row>
    <row r="530">
      <c r="B530" s="34"/>
      <c r="C530" s="32"/>
    </row>
    <row r="531">
      <c r="B531" s="34"/>
      <c r="C531" s="32"/>
    </row>
    <row r="532">
      <c r="B532" s="34"/>
      <c r="C532" s="32"/>
    </row>
    <row r="533">
      <c r="B533" s="34"/>
      <c r="C533" s="32"/>
    </row>
    <row r="534">
      <c r="B534" s="34"/>
      <c r="C534" s="32"/>
    </row>
    <row r="535">
      <c r="B535" s="34"/>
      <c r="C535" s="32"/>
    </row>
    <row r="536">
      <c r="B536" s="34"/>
      <c r="C536" s="32"/>
    </row>
    <row r="537">
      <c r="B537" s="34"/>
      <c r="C537" s="32"/>
    </row>
    <row r="538">
      <c r="B538" s="34"/>
      <c r="C538" s="32"/>
    </row>
    <row r="539">
      <c r="B539" s="34"/>
      <c r="C539" s="32"/>
    </row>
    <row r="540">
      <c r="B540" s="34"/>
      <c r="C540" s="32"/>
    </row>
    <row r="541">
      <c r="B541" s="34"/>
      <c r="C541" s="32"/>
    </row>
    <row r="542">
      <c r="B542" s="34"/>
      <c r="C542" s="32"/>
    </row>
    <row r="543">
      <c r="B543" s="34"/>
      <c r="C543" s="32"/>
    </row>
    <row r="544">
      <c r="B544" s="34"/>
      <c r="C544" s="32"/>
    </row>
    <row r="545">
      <c r="B545" s="34"/>
      <c r="C545" s="32"/>
    </row>
    <row r="546">
      <c r="B546" s="34"/>
      <c r="C546" s="32"/>
    </row>
    <row r="547">
      <c r="B547" s="34"/>
      <c r="C547" s="32"/>
    </row>
    <row r="548">
      <c r="B548" s="34"/>
      <c r="C548" s="32"/>
    </row>
    <row r="549">
      <c r="B549" s="34"/>
      <c r="C549" s="32"/>
    </row>
    <row r="550">
      <c r="B550" s="34"/>
      <c r="C550" s="32"/>
    </row>
    <row r="551">
      <c r="B551" s="34"/>
      <c r="C551" s="32"/>
    </row>
    <row r="552">
      <c r="B552" s="34"/>
      <c r="C552" s="32"/>
    </row>
    <row r="553">
      <c r="B553" s="34"/>
      <c r="C553" s="32"/>
    </row>
    <row r="554">
      <c r="B554" s="34"/>
      <c r="C554" s="32"/>
    </row>
    <row r="555">
      <c r="B555" s="34"/>
      <c r="C555" s="32"/>
    </row>
    <row r="556">
      <c r="B556" s="34"/>
      <c r="C556" s="32"/>
    </row>
    <row r="557">
      <c r="B557" s="34"/>
      <c r="C557" s="32"/>
    </row>
    <row r="558">
      <c r="B558" s="34"/>
      <c r="C558" s="32"/>
    </row>
    <row r="559">
      <c r="B559" s="34"/>
      <c r="C559" s="32"/>
    </row>
    <row r="560">
      <c r="B560" s="34"/>
      <c r="C560" s="32"/>
    </row>
    <row r="561">
      <c r="B561" s="34"/>
      <c r="C561" s="32"/>
    </row>
    <row r="562">
      <c r="B562" s="34"/>
      <c r="C562" s="32"/>
    </row>
    <row r="563">
      <c r="B563" s="34"/>
      <c r="C563" s="32"/>
    </row>
    <row r="564">
      <c r="B564" s="34"/>
      <c r="C564" s="32"/>
    </row>
    <row r="565">
      <c r="B565" s="34"/>
      <c r="C565" s="32"/>
    </row>
    <row r="566">
      <c r="B566" s="34"/>
      <c r="C566" s="32"/>
    </row>
    <row r="567">
      <c r="B567" s="34"/>
      <c r="C567" s="32"/>
    </row>
    <row r="568">
      <c r="B568" s="34"/>
      <c r="C568" s="32"/>
    </row>
    <row r="569">
      <c r="B569" s="34"/>
      <c r="C569" s="32"/>
    </row>
    <row r="570">
      <c r="B570" s="34"/>
      <c r="C570" s="32"/>
    </row>
    <row r="571">
      <c r="B571" s="34"/>
      <c r="C571" s="32"/>
    </row>
    <row r="572">
      <c r="B572" s="34"/>
      <c r="C572" s="32"/>
    </row>
    <row r="573">
      <c r="B573" s="34"/>
      <c r="C573" s="32"/>
    </row>
    <row r="574">
      <c r="B574" s="34"/>
      <c r="C574" s="32"/>
    </row>
    <row r="575">
      <c r="B575" s="34"/>
      <c r="C575" s="32"/>
    </row>
    <row r="576">
      <c r="B576" s="34"/>
      <c r="C576" s="32"/>
    </row>
    <row r="577">
      <c r="B577" s="34"/>
      <c r="C577" s="32"/>
    </row>
    <row r="578">
      <c r="B578" s="34"/>
      <c r="C578" s="32"/>
    </row>
    <row r="579">
      <c r="B579" s="34"/>
      <c r="C579" s="32"/>
    </row>
    <row r="580">
      <c r="B580" s="34"/>
      <c r="C580" s="32"/>
    </row>
    <row r="581">
      <c r="B581" s="34"/>
      <c r="C581" s="32"/>
    </row>
    <row r="582">
      <c r="B582" s="34"/>
      <c r="C582" s="32"/>
    </row>
    <row r="583">
      <c r="B583" s="34"/>
      <c r="C583" s="32"/>
    </row>
    <row r="584">
      <c r="B584" s="34"/>
      <c r="C584" s="32"/>
    </row>
    <row r="585">
      <c r="B585" s="34"/>
      <c r="C585" s="32"/>
    </row>
    <row r="586">
      <c r="B586" s="34"/>
      <c r="C586" s="32"/>
    </row>
    <row r="587">
      <c r="B587" s="34"/>
      <c r="C587" s="32"/>
    </row>
    <row r="588">
      <c r="B588" s="34"/>
      <c r="C588" s="32"/>
    </row>
    <row r="589">
      <c r="B589" s="34"/>
      <c r="C589" s="32"/>
    </row>
    <row r="590">
      <c r="B590" s="34"/>
      <c r="C590" s="32"/>
    </row>
    <row r="591">
      <c r="B591" s="34"/>
      <c r="C591" s="32"/>
    </row>
    <row r="592">
      <c r="B592" s="34"/>
      <c r="C592" s="32"/>
    </row>
    <row r="593">
      <c r="B593" s="34"/>
      <c r="C593" s="32"/>
    </row>
    <row r="594">
      <c r="B594" s="34"/>
      <c r="C594" s="32"/>
    </row>
    <row r="595">
      <c r="B595" s="34"/>
      <c r="C595" s="32"/>
    </row>
    <row r="596">
      <c r="B596" s="34"/>
      <c r="C596" s="32"/>
    </row>
    <row r="597">
      <c r="B597" s="34"/>
      <c r="C597" s="32"/>
    </row>
    <row r="598">
      <c r="B598" s="34"/>
      <c r="C598" s="32"/>
    </row>
    <row r="599">
      <c r="B599" s="34"/>
      <c r="C599" s="32"/>
    </row>
    <row r="600">
      <c r="B600" s="34"/>
      <c r="C600" s="32"/>
    </row>
    <row r="601">
      <c r="B601" s="34"/>
      <c r="C601" s="32"/>
    </row>
    <row r="602">
      <c r="B602" s="34"/>
      <c r="C602" s="32"/>
    </row>
    <row r="603">
      <c r="B603" s="34"/>
      <c r="C603" s="32"/>
    </row>
    <row r="604">
      <c r="B604" s="34"/>
      <c r="C604" s="32"/>
    </row>
    <row r="605">
      <c r="B605" s="34"/>
      <c r="C605" s="32"/>
    </row>
    <row r="606">
      <c r="B606" s="34"/>
      <c r="C606" s="32"/>
    </row>
    <row r="607">
      <c r="B607" s="34"/>
      <c r="C607" s="32"/>
    </row>
    <row r="608">
      <c r="B608" s="34"/>
      <c r="C608" s="32"/>
    </row>
    <row r="609">
      <c r="B609" s="34"/>
      <c r="C609" s="32"/>
    </row>
    <row r="610">
      <c r="B610" s="34"/>
      <c r="C610" s="32"/>
    </row>
    <row r="611">
      <c r="B611" s="34"/>
      <c r="C611" s="32"/>
    </row>
    <row r="612">
      <c r="B612" s="34"/>
      <c r="C612" s="32"/>
    </row>
    <row r="613">
      <c r="B613" s="34"/>
      <c r="C613" s="32"/>
    </row>
    <row r="614">
      <c r="B614" s="34"/>
      <c r="C614" s="32"/>
    </row>
    <row r="615">
      <c r="B615" s="34"/>
      <c r="C615" s="32"/>
    </row>
    <row r="616">
      <c r="B616" s="34"/>
      <c r="C616" s="32"/>
    </row>
    <row r="617">
      <c r="B617" s="34"/>
      <c r="C617" s="32"/>
    </row>
    <row r="618">
      <c r="B618" s="34"/>
      <c r="C618" s="32"/>
    </row>
    <row r="619">
      <c r="B619" s="34"/>
      <c r="C619" s="32"/>
    </row>
    <row r="620">
      <c r="B620" s="34"/>
      <c r="C620" s="32"/>
    </row>
    <row r="621">
      <c r="B621" s="34"/>
      <c r="C621" s="32"/>
    </row>
    <row r="622">
      <c r="B622" s="34"/>
      <c r="C622" s="32"/>
    </row>
    <row r="623">
      <c r="B623" s="34"/>
      <c r="C623" s="32"/>
    </row>
    <row r="624">
      <c r="B624" s="34"/>
      <c r="C624" s="32"/>
    </row>
    <row r="625">
      <c r="B625" s="34"/>
      <c r="C625" s="32"/>
    </row>
    <row r="626">
      <c r="B626" s="34"/>
      <c r="C626" s="32"/>
    </row>
    <row r="627">
      <c r="B627" s="34"/>
      <c r="C627" s="32"/>
    </row>
    <row r="628">
      <c r="B628" s="34"/>
      <c r="C628" s="32"/>
    </row>
    <row r="629">
      <c r="B629" s="34"/>
      <c r="C629" s="32"/>
    </row>
    <row r="630">
      <c r="B630" s="34"/>
      <c r="C630" s="32"/>
    </row>
    <row r="631">
      <c r="B631" s="34"/>
      <c r="C631" s="32"/>
    </row>
    <row r="632">
      <c r="B632" s="34"/>
      <c r="C632" s="32"/>
    </row>
    <row r="633">
      <c r="B633" s="34"/>
      <c r="C633" s="32"/>
    </row>
    <row r="634">
      <c r="B634" s="34"/>
      <c r="C634" s="32"/>
    </row>
    <row r="635">
      <c r="B635" s="34"/>
      <c r="C635" s="32"/>
    </row>
    <row r="636">
      <c r="B636" s="34"/>
      <c r="C636" s="32"/>
    </row>
    <row r="637">
      <c r="B637" s="34"/>
      <c r="C637" s="32"/>
    </row>
    <row r="638">
      <c r="B638" s="34"/>
      <c r="C638" s="32"/>
    </row>
    <row r="639">
      <c r="B639" s="34"/>
      <c r="C639" s="32"/>
    </row>
    <row r="640">
      <c r="B640" s="34"/>
      <c r="C640" s="32"/>
    </row>
    <row r="641">
      <c r="B641" s="34"/>
      <c r="C641" s="32"/>
    </row>
    <row r="642">
      <c r="B642" s="34"/>
      <c r="C642" s="32"/>
    </row>
    <row r="643">
      <c r="B643" s="34"/>
      <c r="C643" s="32"/>
    </row>
    <row r="644">
      <c r="B644" s="34"/>
      <c r="C644" s="32"/>
    </row>
    <row r="645">
      <c r="B645" s="34"/>
      <c r="C645" s="32"/>
    </row>
    <row r="646">
      <c r="B646" s="34"/>
      <c r="C646" s="32"/>
    </row>
    <row r="647">
      <c r="B647" s="34"/>
      <c r="C647" s="32"/>
    </row>
    <row r="648">
      <c r="B648" s="34"/>
      <c r="C648" s="32"/>
    </row>
    <row r="649">
      <c r="B649" s="34"/>
      <c r="C649" s="32"/>
    </row>
    <row r="650">
      <c r="B650" s="34"/>
      <c r="C650" s="32"/>
    </row>
    <row r="651">
      <c r="B651" s="34"/>
      <c r="C651" s="32"/>
    </row>
    <row r="652">
      <c r="B652" s="34"/>
      <c r="C652" s="32"/>
    </row>
    <row r="653">
      <c r="B653" s="34"/>
      <c r="C653" s="32"/>
    </row>
    <row r="654">
      <c r="B654" s="34"/>
      <c r="C654" s="32"/>
    </row>
    <row r="655">
      <c r="B655" s="34"/>
      <c r="C655" s="32"/>
    </row>
    <row r="656">
      <c r="B656" s="34"/>
      <c r="C656" s="32"/>
    </row>
    <row r="657">
      <c r="B657" s="34"/>
      <c r="C657" s="32"/>
    </row>
    <row r="658">
      <c r="B658" s="34"/>
      <c r="C658" s="32"/>
    </row>
    <row r="659">
      <c r="B659" s="34"/>
      <c r="C659" s="32"/>
    </row>
    <row r="660">
      <c r="B660" s="34"/>
      <c r="C660" s="32"/>
    </row>
    <row r="661">
      <c r="B661" s="34"/>
      <c r="C661" s="32"/>
    </row>
    <row r="662">
      <c r="B662" s="34"/>
      <c r="C662" s="32"/>
    </row>
    <row r="663">
      <c r="B663" s="34"/>
      <c r="C663" s="32"/>
    </row>
    <row r="664">
      <c r="B664" s="34"/>
      <c r="C664" s="32"/>
    </row>
    <row r="665">
      <c r="B665" s="34"/>
      <c r="C665" s="32"/>
    </row>
    <row r="666">
      <c r="B666" s="34"/>
      <c r="C666" s="32"/>
    </row>
    <row r="667">
      <c r="B667" s="34"/>
      <c r="C667" s="32"/>
    </row>
    <row r="668">
      <c r="B668" s="34"/>
      <c r="C668" s="32"/>
    </row>
    <row r="669">
      <c r="B669" s="34"/>
      <c r="C669" s="32"/>
    </row>
    <row r="670">
      <c r="B670" s="34"/>
      <c r="C670" s="32"/>
    </row>
    <row r="671">
      <c r="B671" s="34"/>
      <c r="C671" s="32"/>
    </row>
    <row r="672">
      <c r="B672" s="34"/>
      <c r="C672" s="32"/>
    </row>
    <row r="673">
      <c r="B673" s="34"/>
      <c r="C673" s="32"/>
    </row>
    <row r="674">
      <c r="B674" s="34"/>
      <c r="C674" s="32"/>
    </row>
    <row r="675">
      <c r="B675" s="34"/>
      <c r="C675" s="32"/>
    </row>
    <row r="676">
      <c r="B676" s="34"/>
      <c r="C676" s="32"/>
    </row>
    <row r="677">
      <c r="B677" s="34"/>
      <c r="C677" s="32"/>
    </row>
    <row r="678">
      <c r="B678" s="34"/>
      <c r="C678" s="32"/>
    </row>
    <row r="679">
      <c r="B679" s="34"/>
      <c r="C679" s="32"/>
    </row>
    <row r="680">
      <c r="B680" s="34"/>
      <c r="C680" s="32"/>
    </row>
    <row r="681">
      <c r="B681" s="34"/>
      <c r="C681" s="32"/>
    </row>
    <row r="682">
      <c r="B682" s="34"/>
      <c r="C682" s="32"/>
    </row>
    <row r="683">
      <c r="B683" s="34"/>
      <c r="C683" s="32"/>
    </row>
    <row r="684">
      <c r="B684" s="34"/>
      <c r="C684" s="32"/>
    </row>
    <row r="685">
      <c r="B685" s="34"/>
      <c r="C685" s="32"/>
    </row>
    <row r="686">
      <c r="B686" s="34"/>
      <c r="C686" s="32"/>
    </row>
    <row r="687">
      <c r="B687" s="34"/>
      <c r="C687" s="32"/>
    </row>
    <row r="688">
      <c r="B688" s="34"/>
      <c r="C688" s="32"/>
    </row>
    <row r="689">
      <c r="B689" s="34"/>
      <c r="C689" s="32"/>
    </row>
    <row r="690">
      <c r="B690" s="34"/>
      <c r="C690" s="32"/>
    </row>
    <row r="691">
      <c r="B691" s="34"/>
      <c r="C691" s="32"/>
    </row>
    <row r="692">
      <c r="B692" s="34"/>
      <c r="C692" s="32"/>
    </row>
    <row r="693">
      <c r="B693" s="34"/>
      <c r="C693" s="32"/>
    </row>
    <row r="694">
      <c r="B694" s="34"/>
      <c r="C694" s="32"/>
    </row>
    <row r="695">
      <c r="B695" s="34"/>
      <c r="C695" s="32"/>
    </row>
    <row r="696">
      <c r="B696" s="34"/>
      <c r="C696" s="32"/>
    </row>
    <row r="697">
      <c r="B697" s="34"/>
      <c r="C697" s="32"/>
    </row>
    <row r="698">
      <c r="B698" s="34"/>
      <c r="C698" s="32"/>
    </row>
    <row r="699">
      <c r="B699" s="34"/>
      <c r="C699" s="32"/>
    </row>
    <row r="700">
      <c r="B700" s="34"/>
      <c r="C700" s="32"/>
    </row>
    <row r="701">
      <c r="B701" s="34"/>
      <c r="C701" s="32"/>
    </row>
    <row r="702">
      <c r="B702" s="34"/>
      <c r="C702" s="32"/>
    </row>
    <row r="703">
      <c r="B703" s="34"/>
      <c r="C703" s="32"/>
    </row>
    <row r="704">
      <c r="B704" s="34"/>
      <c r="C704" s="32"/>
    </row>
    <row r="705">
      <c r="B705" s="34"/>
      <c r="C705" s="32"/>
    </row>
    <row r="706">
      <c r="B706" s="34"/>
      <c r="C706" s="32"/>
    </row>
    <row r="707">
      <c r="B707" s="34"/>
      <c r="C707" s="32"/>
    </row>
    <row r="708">
      <c r="B708" s="34"/>
      <c r="C708" s="32"/>
    </row>
    <row r="709">
      <c r="B709" s="34"/>
      <c r="C709" s="32"/>
    </row>
    <row r="710">
      <c r="B710" s="34"/>
      <c r="C710" s="32"/>
    </row>
    <row r="711">
      <c r="B711" s="34"/>
      <c r="C711" s="32"/>
    </row>
    <row r="712">
      <c r="B712" s="34"/>
      <c r="C712" s="32"/>
    </row>
    <row r="713">
      <c r="B713" s="34"/>
      <c r="C713" s="32"/>
    </row>
    <row r="714">
      <c r="B714" s="34"/>
      <c r="C714" s="32"/>
    </row>
    <row r="715">
      <c r="B715" s="34"/>
      <c r="C715" s="32"/>
    </row>
    <row r="716">
      <c r="B716" s="34"/>
      <c r="C716" s="32"/>
    </row>
    <row r="717">
      <c r="B717" s="34"/>
      <c r="C717" s="32"/>
    </row>
    <row r="718">
      <c r="B718" s="34"/>
      <c r="C718" s="32"/>
    </row>
    <row r="719">
      <c r="B719" s="34"/>
      <c r="C719" s="32"/>
    </row>
    <row r="720">
      <c r="B720" s="34"/>
      <c r="C720" s="32"/>
    </row>
    <row r="721">
      <c r="B721" s="34"/>
      <c r="C721" s="32"/>
    </row>
    <row r="722">
      <c r="B722" s="34"/>
      <c r="C722" s="32"/>
    </row>
    <row r="723">
      <c r="B723" s="34"/>
      <c r="C723" s="32"/>
    </row>
    <row r="724">
      <c r="B724" s="34"/>
      <c r="C724" s="32"/>
    </row>
    <row r="725">
      <c r="B725" s="34"/>
      <c r="C725" s="32"/>
    </row>
    <row r="726">
      <c r="B726" s="34"/>
      <c r="C726" s="32"/>
    </row>
    <row r="727">
      <c r="B727" s="34"/>
      <c r="C727" s="32"/>
    </row>
    <row r="728">
      <c r="B728" s="34"/>
      <c r="C728" s="32"/>
    </row>
    <row r="729">
      <c r="B729" s="34"/>
      <c r="C729" s="32"/>
    </row>
    <row r="730">
      <c r="B730" s="34"/>
      <c r="C730" s="32"/>
    </row>
    <row r="731">
      <c r="B731" s="34"/>
      <c r="C731" s="32"/>
    </row>
    <row r="732">
      <c r="B732" s="34"/>
      <c r="C732" s="32"/>
    </row>
    <row r="733">
      <c r="B733" s="34"/>
      <c r="C733" s="32"/>
    </row>
    <row r="734">
      <c r="B734" s="34"/>
      <c r="C734" s="32"/>
    </row>
    <row r="735">
      <c r="B735" s="34"/>
      <c r="C735" s="32"/>
    </row>
    <row r="736">
      <c r="B736" s="34"/>
      <c r="C736" s="32"/>
    </row>
    <row r="737">
      <c r="B737" s="34"/>
      <c r="C737" s="32"/>
    </row>
    <row r="738">
      <c r="B738" s="34"/>
      <c r="C738" s="32"/>
    </row>
    <row r="739">
      <c r="B739" s="34"/>
      <c r="C739" s="32"/>
    </row>
    <row r="740">
      <c r="B740" s="34"/>
      <c r="C740" s="32"/>
    </row>
    <row r="741">
      <c r="B741" s="34"/>
      <c r="C741" s="32"/>
    </row>
    <row r="742">
      <c r="B742" s="34"/>
      <c r="C742" s="32"/>
    </row>
    <row r="743">
      <c r="B743" s="34"/>
      <c r="C743" s="32"/>
    </row>
    <row r="744">
      <c r="B744" s="34"/>
      <c r="C744" s="32"/>
    </row>
    <row r="745">
      <c r="B745" s="34"/>
      <c r="C745" s="32"/>
    </row>
    <row r="746">
      <c r="B746" s="34"/>
      <c r="C746" s="32"/>
    </row>
    <row r="747">
      <c r="B747" s="34"/>
      <c r="C747" s="32"/>
    </row>
    <row r="748">
      <c r="B748" s="34"/>
      <c r="C748" s="32"/>
    </row>
    <row r="749">
      <c r="B749" s="34"/>
      <c r="C749" s="32"/>
    </row>
    <row r="750">
      <c r="B750" s="34"/>
      <c r="C750" s="32"/>
    </row>
    <row r="751">
      <c r="B751" s="34"/>
      <c r="C751" s="32"/>
    </row>
    <row r="752">
      <c r="B752" s="34"/>
      <c r="C752" s="32"/>
    </row>
    <row r="753">
      <c r="B753" s="34"/>
      <c r="C753" s="32"/>
    </row>
    <row r="754">
      <c r="B754" s="34"/>
      <c r="C754" s="32"/>
    </row>
    <row r="755">
      <c r="B755" s="34"/>
      <c r="C755" s="32"/>
    </row>
    <row r="756">
      <c r="B756" s="34"/>
      <c r="C756" s="32"/>
    </row>
    <row r="757">
      <c r="B757" s="34"/>
      <c r="C757" s="32"/>
    </row>
    <row r="758">
      <c r="B758" s="34"/>
      <c r="C758" s="32"/>
    </row>
    <row r="759">
      <c r="B759" s="34"/>
      <c r="C759" s="32"/>
    </row>
    <row r="760">
      <c r="B760" s="34"/>
      <c r="C760" s="32"/>
    </row>
    <row r="761">
      <c r="B761" s="34"/>
      <c r="C761" s="32"/>
    </row>
    <row r="762">
      <c r="B762" s="34"/>
      <c r="C762" s="32"/>
    </row>
    <row r="763">
      <c r="B763" s="34"/>
      <c r="C763" s="32"/>
    </row>
    <row r="764">
      <c r="B764" s="34"/>
      <c r="C764" s="32"/>
    </row>
    <row r="765">
      <c r="B765" s="34"/>
      <c r="C765" s="32"/>
    </row>
    <row r="766">
      <c r="B766" s="34"/>
      <c r="C766" s="32"/>
    </row>
    <row r="767">
      <c r="B767" s="34"/>
      <c r="C767" s="32"/>
    </row>
    <row r="768">
      <c r="B768" s="34"/>
      <c r="C768" s="32"/>
    </row>
    <row r="769">
      <c r="B769" s="34"/>
      <c r="C769" s="32"/>
    </row>
    <row r="770">
      <c r="B770" s="34"/>
      <c r="C770" s="32"/>
    </row>
    <row r="771">
      <c r="B771" s="34"/>
      <c r="C771" s="32"/>
    </row>
    <row r="772">
      <c r="B772" s="34"/>
      <c r="C772" s="32"/>
    </row>
    <row r="773">
      <c r="B773" s="34"/>
      <c r="C773" s="32"/>
    </row>
    <row r="774">
      <c r="B774" s="34"/>
      <c r="C774" s="32"/>
    </row>
    <row r="775">
      <c r="B775" s="34"/>
      <c r="C775" s="32"/>
    </row>
    <row r="776">
      <c r="B776" s="34"/>
      <c r="C776" s="32"/>
    </row>
    <row r="777">
      <c r="B777" s="34"/>
      <c r="C777" s="32"/>
    </row>
    <row r="778">
      <c r="B778" s="34"/>
      <c r="C778" s="32"/>
    </row>
    <row r="779">
      <c r="B779" s="34"/>
      <c r="C779" s="32"/>
    </row>
    <row r="780">
      <c r="B780" s="34"/>
      <c r="C780" s="32"/>
    </row>
    <row r="781">
      <c r="B781" s="34"/>
      <c r="C781" s="32"/>
    </row>
    <row r="782">
      <c r="B782" s="34"/>
      <c r="C782" s="32"/>
    </row>
    <row r="783">
      <c r="B783" s="34"/>
      <c r="C783" s="32"/>
    </row>
    <row r="784">
      <c r="B784" s="34"/>
      <c r="C784" s="32"/>
    </row>
    <row r="785">
      <c r="B785" s="34"/>
      <c r="C785" s="32"/>
    </row>
    <row r="786">
      <c r="B786" s="34"/>
      <c r="C786" s="32"/>
    </row>
    <row r="787">
      <c r="B787" s="34"/>
      <c r="C787" s="32"/>
    </row>
    <row r="788">
      <c r="B788" s="34"/>
      <c r="C788" s="32"/>
    </row>
    <row r="789">
      <c r="B789" s="34"/>
      <c r="C789" s="32"/>
    </row>
    <row r="790">
      <c r="B790" s="34"/>
      <c r="C790" s="32"/>
    </row>
    <row r="791">
      <c r="B791" s="34"/>
      <c r="C791" s="32"/>
    </row>
    <row r="792">
      <c r="B792" s="34"/>
      <c r="C792" s="32"/>
    </row>
    <row r="793">
      <c r="B793" s="34"/>
      <c r="C793" s="32"/>
    </row>
    <row r="794">
      <c r="B794" s="34"/>
      <c r="C794" s="32"/>
    </row>
    <row r="795">
      <c r="B795" s="34"/>
      <c r="C795" s="32"/>
    </row>
    <row r="796">
      <c r="B796" s="34"/>
      <c r="C796" s="32"/>
    </row>
    <row r="797">
      <c r="B797" s="34"/>
      <c r="C797" s="32"/>
    </row>
    <row r="798">
      <c r="B798" s="34"/>
      <c r="C798" s="32"/>
    </row>
    <row r="799">
      <c r="B799" s="34"/>
      <c r="C799" s="32"/>
    </row>
    <row r="800">
      <c r="B800" s="34"/>
      <c r="C800" s="32"/>
    </row>
    <row r="801">
      <c r="B801" s="34"/>
      <c r="C801" s="32"/>
    </row>
    <row r="802">
      <c r="B802" s="34"/>
      <c r="C802" s="32"/>
    </row>
    <row r="803">
      <c r="B803" s="34"/>
      <c r="C803" s="32"/>
    </row>
    <row r="804">
      <c r="B804" s="34"/>
      <c r="C804" s="32"/>
    </row>
    <row r="805">
      <c r="B805" s="34"/>
      <c r="C805" s="32"/>
    </row>
    <row r="806">
      <c r="B806" s="34"/>
      <c r="C806" s="32"/>
    </row>
    <row r="807">
      <c r="B807" s="34"/>
      <c r="C807" s="32"/>
    </row>
    <row r="808">
      <c r="B808" s="34"/>
      <c r="C808" s="32"/>
    </row>
    <row r="809">
      <c r="B809" s="34"/>
      <c r="C809" s="32"/>
    </row>
    <row r="810">
      <c r="B810" s="34"/>
      <c r="C810" s="32"/>
    </row>
    <row r="811">
      <c r="B811" s="34"/>
      <c r="C811" s="32"/>
    </row>
    <row r="812">
      <c r="B812" s="34"/>
      <c r="C812" s="32"/>
    </row>
    <row r="813">
      <c r="B813" s="34"/>
      <c r="C813" s="32"/>
    </row>
    <row r="814">
      <c r="B814" s="34"/>
      <c r="C814" s="32"/>
    </row>
    <row r="815">
      <c r="B815" s="34"/>
      <c r="C815" s="32"/>
    </row>
    <row r="816">
      <c r="B816" s="34"/>
      <c r="C816" s="32"/>
    </row>
    <row r="817">
      <c r="B817" s="34"/>
      <c r="C817" s="32"/>
    </row>
    <row r="818">
      <c r="B818" s="34"/>
      <c r="C818" s="32"/>
    </row>
    <row r="819">
      <c r="B819" s="34"/>
      <c r="C819" s="32"/>
    </row>
    <row r="820">
      <c r="B820" s="34"/>
      <c r="C820" s="32"/>
    </row>
    <row r="821">
      <c r="B821" s="34"/>
      <c r="C821" s="32"/>
    </row>
    <row r="822">
      <c r="B822" s="34"/>
      <c r="C822" s="32"/>
    </row>
    <row r="823">
      <c r="B823" s="34"/>
      <c r="C823" s="32"/>
    </row>
    <row r="824">
      <c r="B824" s="34"/>
      <c r="C824" s="32"/>
    </row>
    <row r="825">
      <c r="B825" s="34"/>
      <c r="C825" s="32"/>
    </row>
    <row r="826">
      <c r="B826" s="34"/>
      <c r="C826" s="32"/>
    </row>
    <row r="827">
      <c r="B827" s="34"/>
      <c r="C827" s="32"/>
    </row>
    <row r="828">
      <c r="B828" s="34"/>
      <c r="C828" s="32"/>
    </row>
    <row r="829">
      <c r="B829" s="34"/>
      <c r="C829" s="32"/>
    </row>
    <row r="830">
      <c r="B830" s="34"/>
      <c r="C830" s="32"/>
    </row>
    <row r="831">
      <c r="B831" s="34"/>
      <c r="C831" s="32"/>
    </row>
    <row r="832">
      <c r="B832" s="34"/>
      <c r="C832" s="32"/>
    </row>
    <row r="833">
      <c r="B833" s="34"/>
      <c r="C833" s="32"/>
    </row>
    <row r="834">
      <c r="B834" s="34"/>
      <c r="C834" s="32"/>
    </row>
    <row r="835">
      <c r="B835" s="34"/>
      <c r="C835" s="32"/>
    </row>
    <row r="836">
      <c r="B836" s="34"/>
      <c r="C836" s="32"/>
    </row>
    <row r="837">
      <c r="B837" s="34"/>
      <c r="C837" s="32"/>
    </row>
    <row r="838">
      <c r="B838" s="34"/>
      <c r="C838" s="32"/>
    </row>
    <row r="839">
      <c r="B839" s="34"/>
      <c r="C839" s="32"/>
    </row>
    <row r="840">
      <c r="B840" s="34"/>
      <c r="C840" s="32"/>
    </row>
    <row r="841">
      <c r="B841" s="34"/>
      <c r="C841" s="32"/>
    </row>
    <row r="842">
      <c r="B842" s="34"/>
      <c r="C842" s="32"/>
    </row>
    <row r="843">
      <c r="B843" s="34"/>
      <c r="C843" s="32"/>
    </row>
    <row r="844">
      <c r="B844" s="34"/>
      <c r="C844" s="32"/>
    </row>
    <row r="845">
      <c r="B845" s="34"/>
      <c r="C845" s="32"/>
    </row>
    <row r="846">
      <c r="B846" s="34"/>
      <c r="C846" s="32"/>
    </row>
    <row r="847">
      <c r="B847" s="34"/>
      <c r="C847" s="32"/>
    </row>
    <row r="848">
      <c r="B848" s="34"/>
      <c r="C848" s="32"/>
    </row>
    <row r="849">
      <c r="B849" s="34"/>
      <c r="C849" s="32"/>
    </row>
    <row r="850">
      <c r="B850" s="34"/>
      <c r="C850" s="32"/>
    </row>
    <row r="851">
      <c r="B851" s="34"/>
      <c r="C851" s="32"/>
    </row>
    <row r="852">
      <c r="B852" s="34"/>
      <c r="C852" s="32"/>
    </row>
    <row r="853">
      <c r="B853" s="34"/>
      <c r="C853" s="32"/>
    </row>
    <row r="854">
      <c r="B854" s="34"/>
      <c r="C854" s="32"/>
    </row>
    <row r="855">
      <c r="B855" s="34"/>
      <c r="C855" s="32"/>
    </row>
    <row r="856">
      <c r="B856" s="34"/>
      <c r="C856" s="32"/>
    </row>
    <row r="857">
      <c r="B857" s="34"/>
      <c r="C857" s="32"/>
    </row>
    <row r="858">
      <c r="B858" s="34"/>
      <c r="C858" s="32"/>
    </row>
    <row r="859">
      <c r="B859" s="34"/>
      <c r="C859" s="32"/>
    </row>
    <row r="860">
      <c r="B860" s="34"/>
      <c r="C860" s="32"/>
    </row>
    <row r="861">
      <c r="B861" s="34"/>
      <c r="C861" s="32"/>
    </row>
    <row r="862">
      <c r="B862" s="34"/>
      <c r="C862" s="32"/>
    </row>
    <row r="863">
      <c r="B863" s="34"/>
      <c r="C863" s="32"/>
    </row>
    <row r="864">
      <c r="B864" s="34"/>
      <c r="C864" s="32"/>
    </row>
    <row r="865">
      <c r="B865" s="34"/>
      <c r="C865" s="32"/>
    </row>
    <row r="866">
      <c r="B866" s="34"/>
      <c r="C866" s="32"/>
    </row>
    <row r="867">
      <c r="B867" s="34"/>
      <c r="C867" s="32"/>
    </row>
    <row r="868">
      <c r="B868" s="34"/>
      <c r="C868" s="32"/>
    </row>
    <row r="869">
      <c r="B869" s="34"/>
      <c r="C869" s="32"/>
    </row>
    <row r="870">
      <c r="B870" s="34"/>
      <c r="C870" s="32"/>
    </row>
    <row r="871">
      <c r="B871" s="34"/>
      <c r="C871" s="32"/>
    </row>
    <row r="872">
      <c r="B872" s="34"/>
      <c r="C872" s="32"/>
    </row>
    <row r="873">
      <c r="B873" s="34"/>
      <c r="C873" s="32"/>
    </row>
    <row r="874">
      <c r="B874" s="34"/>
      <c r="C874" s="32"/>
    </row>
    <row r="875">
      <c r="B875" s="34"/>
      <c r="C875" s="32"/>
    </row>
    <row r="876">
      <c r="B876" s="34"/>
      <c r="C876" s="32"/>
    </row>
    <row r="877">
      <c r="B877" s="34"/>
      <c r="C877" s="32"/>
    </row>
    <row r="878">
      <c r="B878" s="34"/>
      <c r="C878" s="32"/>
    </row>
    <row r="879">
      <c r="B879" s="34"/>
      <c r="C879" s="32"/>
    </row>
    <row r="880">
      <c r="B880" s="34"/>
      <c r="C880" s="32"/>
    </row>
    <row r="881">
      <c r="B881" s="34"/>
      <c r="C881" s="32"/>
    </row>
    <row r="882">
      <c r="B882" s="34"/>
      <c r="C882" s="32"/>
    </row>
    <row r="883">
      <c r="B883" s="34"/>
      <c r="C883" s="32"/>
    </row>
    <row r="884">
      <c r="B884" s="34"/>
      <c r="C884" s="32"/>
    </row>
    <row r="885">
      <c r="B885" s="34"/>
      <c r="C885" s="32"/>
    </row>
    <row r="886">
      <c r="B886" s="34"/>
      <c r="C886" s="32"/>
    </row>
    <row r="887">
      <c r="B887" s="34"/>
      <c r="C887" s="32"/>
    </row>
    <row r="888">
      <c r="B888" s="34"/>
      <c r="C888" s="32"/>
    </row>
    <row r="889">
      <c r="B889" s="34"/>
      <c r="C889" s="32"/>
    </row>
    <row r="890">
      <c r="B890" s="34"/>
      <c r="C890" s="32"/>
    </row>
    <row r="891">
      <c r="B891" s="34"/>
      <c r="C891" s="32"/>
    </row>
    <row r="892">
      <c r="B892" s="34"/>
      <c r="C892" s="32"/>
    </row>
    <row r="893">
      <c r="B893" s="34"/>
      <c r="C893" s="32"/>
    </row>
    <row r="894">
      <c r="B894" s="34"/>
      <c r="C894" s="32"/>
    </row>
    <row r="895">
      <c r="B895" s="34"/>
      <c r="C895" s="32"/>
    </row>
    <row r="896">
      <c r="B896" s="34"/>
      <c r="C896" s="32"/>
    </row>
    <row r="897">
      <c r="B897" s="34"/>
      <c r="C897" s="32"/>
    </row>
    <row r="898">
      <c r="B898" s="34"/>
      <c r="C898" s="32"/>
    </row>
    <row r="899">
      <c r="B899" s="34"/>
      <c r="C899" s="32"/>
    </row>
    <row r="900">
      <c r="B900" s="34"/>
      <c r="C900" s="32"/>
    </row>
    <row r="901">
      <c r="B901" s="34"/>
      <c r="C901" s="32"/>
    </row>
    <row r="902">
      <c r="B902" s="34"/>
      <c r="C902" s="32"/>
    </row>
    <row r="903">
      <c r="B903" s="34"/>
      <c r="C903" s="32"/>
    </row>
    <row r="904">
      <c r="B904" s="34"/>
      <c r="C904" s="32"/>
    </row>
    <row r="905">
      <c r="B905" s="34"/>
      <c r="C905" s="32"/>
    </row>
    <row r="906">
      <c r="B906" s="34"/>
      <c r="C906" s="32"/>
    </row>
    <row r="907">
      <c r="B907" s="34"/>
      <c r="C907" s="32"/>
    </row>
    <row r="908">
      <c r="B908" s="34"/>
      <c r="C908" s="32"/>
    </row>
    <row r="909">
      <c r="B909" s="34"/>
      <c r="C909" s="32"/>
    </row>
    <row r="910">
      <c r="B910" s="34"/>
      <c r="C910" s="32"/>
    </row>
    <row r="911">
      <c r="B911" s="34"/>
      <c r="C911" s="32"/>
    </row>
    <row r="912">
      <c r="B912" s="34"/>
      <c r="C912" s="32"/>
    </row>
    <row r="913">
      <c r="B913" s="34"/>
      <c r="C913" s="32"/>
    </row>
    <row r="914">
      <c r="B914" s="34"/>
      <c r="C914" s="32"/>
    </row>
    <row r="915">
      <c r="B915" s="34"/>
      <c r="C915" s="32"/>
    </row>
    <row r="916">
      <c r="B916" s="34"/>
      <c r="C916" s="32"/>
    </row>
    <row r="917">
      <c r="B917" s="34"/>
      <c r="C917" s="32"/>
    </row>
    <row r="918">
      <c r="B918" s="34"/>
      <c r="C918" s="32"/>
    </row>
    <row r="919">
      <c r="B919" s="34"/>
      <c r="C919" s="32"/>
    </row>
    <row r="920">
      <c r="B920" s="34"/>
      <c r="C920" s="32"/>
    </row>
    <row r="921">
      <c r="B921" s="34"/>
      <c r="C921" s="32"/>
    </row>
    <row r="922">
      <c r="B922" s="34"/>
      <c r="C922" s="32"/>
    </row>
    <row r="923">
      <c r="B923" s="34"/>
      <c r="C923" s="32"/>
    </row>
    <row r="924">
      <c r="B924" s="34"/>
      <c r="C924" s="32"/>
    </row>
    <row r="925">
      <c r="B925" s="34"/>
      <c r="C925" s="32"/>
    </row>
    <row r="926">
      <c r="B926" s="34"/>
      <c r="C926" s="32"/>
    </row>
    <row r="927">
      <c r="B927" s="34"/>
      <c r="C927" s="32"/>
    </row>
    <row r="928">
      <c r="B928" s="34"/>
      <c r="C928" s="32"/>
    </row>
    <row r="929">
      <c r="B929" s="34"/>
      <c r="C929" s="32"/>
    </row>
    <row r="930">
      <c r="B930" s="34"/>
      <c r="C930" s="32"/>
    </row>
    <row r="931">
      <c r="B931" s="34"/>
      <c r="C931" s="32"/>
    </row>
    <row r="932">
      <c r="B932" s="34"/>
      <c r="C932" s="32"/>
    </row>
    <row r="933">
      <c r="B933" s="34"/>
      <c r="C933" s="32"/>
    </row>
    <row r="934">
      <c r="B934" s="34"/>
      <c r="C934" s="32"/>
    </row>
    <row r="935">
      <c r="B935" s="34"/>
      <c r="C935" s="32"/>
    </row>
    <row r="936">
      <c r="B936" s="34"/>
      <c r="C936" s="32"/>
    </row>
    <row r="937">
      <c r="B937" s="34"/>
      <c r="C937" s="32"/>
    </row>
    <row r="938">
      <c r="B938" s="34"/>
      <c r="C938" s="32"/>
    </row>
    <row r="939">
      <c r="B939" s="34"/>
      <c r="C939" s="32"/>
    </row>
    <row r="940">
      <c r="B940" s="34"/>
      <c r="C940" s="32"/>
    </row>
    <row r="941">
      <c r="B941" s="34"/>
      <c r="C941" s="32"/>
    </row>
    <row r="942">
      <c r="B942" s="34"/>
      <c r="C942" s="32"/>
    </row>
    <row r="943">
      <c r="B943" s="34"/>
      <c r="C943" s="32"/>
    </row>
    <row r="944">
      <c r="B944" s="34"/>
      <c r="C944" s="32"/>
    </row>
    <row r="945">
      <c r="B945" s="34"/>
      <c r="C945" s="32"/>
    </row>
    <row r="946">
      <c r="B946" s="34"/>
      <c r="C946" s="32"/>
    </row>
    <row r="947">
      <c r="B947" s="34"/>
      <c r="C947" s="32"/>
    </row>
    <row r="948">
      <c r="B948" s="34"/>
      <c r="C948" s="32"/>
    </row>
    <row r="949">
      <c r="B949" s="34"/>
      <c r="C949" s="32"/>
    </row>
    <row r="950">
      <c r="B950" s="34"/>
      <c r="C950" s="32"/>
    </row>
    <row r="951">
      <c r="B951" s="34"/>
      <c r="C951" s="32"/>
    </row>
    <row r="952">
      <c r="B952" s="34"/>
      <c r="C952" s="32"/>
    </row>
    <row r="953">
      <c r="B953" s="34"/>
      <c r="C953" s="32"/>
    </row>
    <row r="954">
      <c r="B954" s="34"/>
      <c r="C954" s="32"/>
    </row>
    <row r="955">
      <c r="B955" s="34"/>
      <c r="C955" s="32"/>
    </row>
    <row r="956">
      <c r="B956" s="34"/>
      <c r="C956" s="32"/>
    </row>
    <row r="957">
      <c r="B957" s="34"/>
      <c r="C957" s="32"/>
    </row>
    <row r="958">
      <c r="B958" s="34"/>
      <c r="C958" s="32"/>
    </row>
    <row r="959">
      <c r="B959" s="34"/>
      <c r="C959" s="32"/>
    </row>
    <row r="960">
      <c r="B960" s="34"/>
      <c r="C960" s="32"/>
    </row>
    <row r="961">
      <c r="B961" s="34"/>
      <c r="C961" s="32"/>
    </row>
    <row r="962">
      <c r="B962" s="34"/>
      <c r="C962" s="32"/>
    </row>
    <row r="963">
      <c r="B963" s="34"/>
      <c r="C963" s="32"/>
    </row>
    <row r="964">
      <c r="B964" s="34"/>
      <c r="C964" s="32"/>
    </row>
    <row r="965">
      <c r="B965" s="34"/>
      <c r="C965" s="32"/>
    </row>
    <row r="966">
      <c r="B966" s="34"/>
      <c r="C966" s="32"/>
    </row>
    <row r="967">
      <c r="B967" s="34"/>
      <c r="C967" s="32"/>
    </row>
    <row r="968">
      <c r="B968" s="34"/>
      <c r="C968" s="32"/>
    </row>
    <row r="969">
      <c r="B969" s="34"/>
      <c r="C969" s="32"/>
    </row>
    <row r="970">
      <c r="B970" s="34"/>
      <c r="C970" s="32"/>
    </row>
    <row r="971">
      <c r="B971" s="34"/>
      <c r="C971" s="32"/>
    </row>
    <row r="972">
      <c r="B972" s="34"/>
      <c r="C972" s="32"/>
    </row>
    <row r="973">
      <c r="B973" s="34"/>
      <c r="C973" s="32"/>
    </row>
    <row r="974">
      <c r="B974" s="34"/>
      <c r="C974" s="32"/>
    </row>
    <row r="975">
      <c r="B975" s="34"/>
      <c r="C975" s="32"/>
    </row>
    <row r="976">
      <c r="B976" s="34"/>
      <c r="C976" s="32"/>
    </row>
    <row r="977">
      <c r="B977" s="34"/>
      <c r="C977" s="32"/>
    </row>
    <row r="978">
      <c r="B978" s="34"/>
      <c r="C978" s="32"/>
    </row>
    <row r="979">
      <c r="B979" s="34"/>
      <c r="C979" s="32"/>
    </row>
    <row r="980">
      <c r="B980" s="34"/>
      <c r="C980" s="32"/>
    </row>
    <row r="981">
      <c r="B981" s="34"/>
      <c r="C981" s="32"/>
    </row>
    <row r="982">
      <c r="B982" s="34"/>
      <c r="C982" s="32"/>
    </row>
    <row r="983">
      <c r="B983" s="34"/>
      <c r="C983" s="32"/>
    </row>
    <row r="984">
      <c r="B984" s="34"/>
      <c r="C984" s="32"/>
    </row>
    <row r="985">
      <c r="B985" s="34"/>
      <c r="C985" s="32"/>
    </row>
    <row r="986">
      <c r="B986" s="34"/>
      <c r="C986" s="32"/>
    </row>
    <row r="987">
      <c r="B987" s="34"/>
      <c r="C987" s="32"/>
    </row>
    <row r="988">
      <c r="B988" s="34"/>
      <c r="C988" s="32"/>
    </row>
    <row r="989">
      <c r="B989" s="34"/>
      <c r="C989" s="32"/>
    </row>
    <row r="990">
      <c r="B990" s="34"/>
      <c r="C990" s="32"/>
    </row>
    <row r="991">
      <c r="B991" s="34"/>
      <c r="C991" s="32"/>
    </row>
    <row r="992">
      <c r="B992" s="34"/>
      <c r="C992" s="32"/>
    </row>
    <row r="993">
      <c r="B993" s="34"/>
      <c r="C993" s="32"/>
    </row>
    <row r="994">
      <c r="B994" s="34"/>
      <c r="C994" s="32"/>
    </row>
    <row r="995">
      <c r="B995" s="34"/>
      <c r="C995" s="32"/>
    </row>
    <row r="996">
      <c r="B996" s="34"/>
      <c r="C996" s="32"/>
    </row>
    <row r="997">
      <c r="B997" s="34"/>
      <c r="C997" s="32"/>
    </row>
    <row r="998">
      <c r="B998" s="34"/>
      <c r="C998" s="32"/>
    </row>
    <row r="999">
      <c r="B999" s="34"/>
      <c r="C999" s="32"/>
    </row>
    <row r="1000">
      <c r="B1000" s="34"/>
      <c r="C1000" s="3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">
        <v>98</v>
      </c>
      <c r="B1" s="11"/>
      <c r="C1" s="31" t="s">
        <v>99</v>
      </c>
      <c r="E1" s="11"/>
      <c r="H1" s="17"/>
    </row>
    <row r="2">
      <c r="B2" s="11"/>
      <c r="E2" s="37" t="s">
        <v>67</v>
      </c>
      <c r="H2" s="49" t="s">
        <v>100</v>
      </c>
      <c r="K2" s="6" t="s">
        <v>101</v>
      </c>
      <c r="N2" s="6" t="s">
        <v>102</v>
      </c>
    </row>
    <row r="3">
      <c r="B3" s="11" t="str">
        <f>IFERROR(__xludf.DUMMYFUNCTION("SORT(IMPORTDATA(""https://fred.stlouisfed.org/graph/fredgraph.csv?id=IPB52300S""),1,FALSE)"),"observation_date")</f>
        <v>observation_date</v>
      </c>
      <c r="C3" s="9" t="str">
        <f>IFERROR(__xludf.DUMMYFUNCTION("""COMPUTED_VALUE"""),"IPB52300S")</f>
        <v>IPB52300S</v>
      </c>
      <c r="E3" s="26" t="str">
        <f>IFERROR(__xludf.DUMMYFUNCTION("QUERY(B:C, ""SELECT B, C WHERE B &gt;= DATE '"" &amp; TEXT(TODAY()-365*5, ""yyyy-MM-dd"") &amp; ""' ORDER BY B DESC"", 1)"),"")</f>
        <v/>
      </c>
      <c r="F3" s="9" t="str">
        <f>IFERROR(__xludf.DUMMYFUNCTION("""COMPUTED_VALUE"""),"Industrial Production: Equipment: Defense and Space Equipment (IPB52300S)")</f>
        <v>Industrial Production: Equipment: Defense and Space Equipment (IPB52300S)</v>
      </c>
      <c r="H3" s="50" t="str">
        <f>IFERROR(__xludf.DUMMYFUNCTION("QUERY(B:C, ""SELECT B, C WHERE B &gt;= DATE '"" &amp; TEXT(TODAY()-365, ""yyyy-MM-dd"") &amp; ""' ORDER BY B DESC"", 1)"),"")</f>
        <v/>
      </c>
      <c r="I3" s="9" t="str">
        <f>IFERROR(__xludf.DUMMYFUNCTION("""COMPUTED_VALUE"""),"Industrial Production: Equipment: Defense and Space Equipment (IPB52300S)")</f>
        <v>Industrial Production: Equipment: Defense and Space Equipment (IPB52300S)</v>
      </c>
      <c r="K3" s="23" t="str">
        <f>IFERROR(__xludf.DUMMYFUNCTION("QUERY(B:C, ""SELECT B, C WHERE B &gt;= DATE '"" &amp; TEXT(TODAY()-365*30, ""yyyy-MM-dd"") &amp; ""' ORDER BY B DESC"", 1)"),"")</f>
        <v/>
      </c>
      <c r="L3" s="9" t="str">
        <f>IFERROR(__xludf.DUMMYFUNCTION("""COMPUTED_VALUE"""),"Industrial Production: Equipment: Defense and Space Equipment (IPB52300S)")</f>
        <v>Industrial Production: Equipment: Defense and Space Equipment (IPB52300S)</v>
      </c>
      <c r="N3" s="23" t="str">
        <f>IFERROR(__xludf.DUMMYFUNCTION("QUERY(B:C, ""SELECT B, C WHERE B &gt;= DATE '"" &amp; TEXT(TODAY()-365*10, ""yyyy-MM-dd"") &amp; ""' ORDER BY B DESC"", 1)"),"")</f>
        <v/>
      </c>
      <c r="O3" s="9" t="str">
        <f>IFERROR(__xludf.DUMMYFUNCTION("""COMPUTED_VALUE"""),"Industrial Production: Equipment: Defense and Space Equipment (IPB52300S)")</f>
        <v>Industrial Production: Equipment: Defense and Space Equipment (IPB52300S)</v>
      </c>
    </row>
    <row r="4">
      <c r="B4" s="11">
        <f>IFERROR(__xludf.DUMMYFUNCTION("""COMPUTED_VALUE"""),45962.0)</f>
        <v>45962</v>
      </c>
      <c r="C4" s="9">
        <f>IFERROR(__xludf.DUMMYFUNCTION("""COMPUTED_VALUE"""),114.1026)</f>
        <v>114.1026</v>
      </c>
      <c r="E4" s="28">
        <f>IFERROR(__xludf.DUMMYFUNCTION("""COMPUTED_VALUE"""),45962.0)</f>
        <v>45962</v>
      </c>
      <c r="F4" s="9">
        <f>IFERROR(__xludf.DUMMYFUNCTION("""COMPUTED_VALUE"""),114.1026)</f>
        <v>114.1026</v>
      </c>
      <c r="H4" s="17">
        <f>IFERROR(__xludf.DUMMYFUNCTION("""COMPUTED_VALUE"""),45962.0)</f>
        <v>45962</v>
      </c>
      <c r="I4" s="9">
        <f>IFERROR(__xludf.DUMMYFUNCTION("""COMPUTED_VALUE"""),114.1026)</f>
        <v>114.1026</v>
      </c>
      <c r="K4" s="40">
        <f>IFERROR(__xludf.DUMMYFUNCTION("""COMPUTED_VALUE"""),45962.0)</f>
        <v>45962</v>
      </c>
      <c r="L4" s="9">
        <f>IFERROR(__xludf.DUMMYFUNCTION("""COMPUTED_VALUE"""),114.1026)</f>
        <v>114.1026</v>
      </c>
      <c r="N4" s="40">
        <f>IFERROR(__xludf.DUMMYFUNCTION("""COMPUTED_VALUE"""),45962.0)</f>
        <v>45962</v>
      </c>
      <c r="O4" s="9">
        <f>IFERROR(__xludf.DUMMYFUNCTION("""COMPUTED_VALUE"""),114.1026)</f>
        <v>114.1026</v>
      </c>
    </row>
    <row r="5">
      <c r="B5" s="11">
        <f>IFERROR(__xludf.DUMMYFUNCTION("""COMPUTED_VALUE"""),45931.0)</f>
        <v>45931</v>
      </c>
      <c r="C5" s="9">
        <f>IFERROR(__xludf.DUMMYFUNCTION("""COMPUTED_VALUE"""),112.8564)</f>
        <v>112.8564</v>
      </c>
      <c r="E5" s="11">
        <f>IFERROR(__xludf.DUMMYFUNCTION("""COMPUTED_VALUE"""),45931.0)</f>
        <v>45931</v>
      </c>
      <c r="F5" s="9">
        <f>IFERROR(__xludf.DUMMYFUNCTION("""COMPUTED_VALUE"""),112.8564)</f>
        <v>112.8564</v>
      </c>
      <c r="H5" s="17">
        <f>IFERROR(__xludf.DUMMYFUNCTION("""COMPUTED_VALUE"""),45931.0)</f>
        <v>45931</v>
      </c>
      <c r="I5" s="9">
        <f>IFERROR(__xludf.DUMMYFUNCTION("""COMPUTED_VALUE"""),112.8564)</f>
        <v>112.8564</v>
      </c>
      <c r="K5" s="40">
        <f>IFERROR(__xludf.DUMMYFUNCTION("""COMPUTED_VALUE"""),45931.0)</f>
        <v>45931</v>
      </c>
      <c r="L5" s="9">
        <f>IFERROR(__xludf.DUMMYFUNCTION("""COMPUTED_VALUE"""),112.8564)</f>
        <v>112.8564</v>
      </c>
      <c r="N5" s="40">
        <f>IFERROR(__xludf.DUMMYFUNCTION("""COMPUTED_VALUE"""),45931.0)</f>
        <v>45931</v>
      </c>
      <c r="O5" s="9">
        <f>IFERROR(__xludf.DUMMYFUNCTION("""COMPUTED_VALUE"""),112.8564)</f>
        <v>112.8564</v>
      </c>
    </row>
    <row r="6">
      <c r="B6" s="11">
        <f>IFERROR(__xludf.DUMMYFUNCTION("""COMPUTED_VALUE"""),45901.0)</f>
        <v>45901</v>
      </c>
      <c r="C6" s="9">
        <f>IFERROR(__xludf.DUMMYFUNCTION("""COMPUTED_VALUE"""),110.1625)</f>
        <v>110.1625</v>
      </c>
      <c r="E6" s="11">
        <f>IFERROR(__xludf.DUMMYFUNCTION("""COMPUTED_VALUE"""),45901.0)</f>
        <v>45901</v>
      </c>
      <c r="F6" s="9">
        <f>IFERROR(__xludf.DUMMYFUNCTION("""COMPUTED_VALUE"""),110.1625)</f>
        <v>110.1625</v>
      </c>
      <c r="H6" s="17">
        <f>IFERROR(__xludf.DUMMYFUNCTION("""COMPUTED_VALUE"""),45901.0)</f>
        <v>45901</v>
      </c>
      <c r="I6" s="9">
        <f>IFERROR(__xludf.DUMMYFUNCTION("""COMPUTED_VALUE"""),110.1625)</f>
        <v>110.1625</v>
      </c>
      <c r="K6" s="40">
        <f>IFERROR(__xludf.DUMMYFUNCTION("""COMPUTED_VALUE"""),45901.0)</f>
        <v>45901</v>
      </c>
      <c r="L6" s="9">
        <f>IFERROR(__xludf.DUMMYFUNCTION("""COMPUTED_VALUE"""),110.1625)</f>
        <v>110.1625</v>
      </c>
      <c r="N6" s="40">
        <f>IFERROR(__xludf.DUMMYFUNCTION("""COMPUTED_VALUE"""),45901.0)</f>
        <v>45901</v>
      </c>
      <c r="O6" s="9">
        <f>IFERROR(__xludf.DUMMYFUNCTION("""COMPUTED_VALUE"""),110.1625)</f>
        <v>110.1625</v>
      </c>
    </row>
    <row r="7">
      <c r="B7" s="11">
        <f>IFERROR(__xludf.DUMMYFUNCTION("""COMPUTED_VALUE"""),45870.0)</f>
        <v>45870</v>
      </c>
      <c r="C7" s="9">
        <f>IFERROR(__xludf.DUMMYFUNCTION("""COMPUTED_VALUE"""),110.6329)</f>
        <v>110.6329</v>
      </c>
      <c r="E7" s="11">
        <f>IFERROR(__xludf.DUMMYFUNCTION("""COMPUTED_VALUE"""),45870.0)</f>
        <v>45870</v>
      </c>
      <c r="F7" s="9">
        <f>IFERROR(__xludf.DUMMYFUNCTION("""COMPUTED_VALUE"""),110.6329)</f>
        <v>110.6329</v>
      </c>
      <c r="H7" s="17">
        <f>IFERROR(__xludf.DUMMYFUNCTION("""COMPUTED_VALUE"""),45870.0)</f>
        <v>45870</v>
      </c>
      <c r="I7" s="9">
        <f>IFERROR(__xludf.DUMMYFUNCTION("""COMPUTED_VALUE"""),110.6329)</f>
        <v>110.6329</v>
      </c>
      <c r="K7" s="40">
        <f>IFERROR(__xludf.DUMMYFUNCTION("""COMPUTED_VALUE"""),45870.0)</f>
        <v>45870</v>
      </c>
      <c r="L7" s="9">
        <f>IFERROR(__xludf.DUMMYFUNCTION("""COMPUTED_VALUE"""),110.6329)</f>
        <v>110.6329</v>
      </c>
      <c r="N7" s="40">
        <f>IFERROR(__xludf.DUMMYFUNCTION("""COMPUTED_VALUE"""),45870.0)</f>
        <v>45870</v>
      </c>
      <c r="O7" s="9">
        <f>IFERROR(__xludf.DUMMYFUNCTION("""COMPUTED_VALUE"""),110.6329)</f>
        <v>110.6329</v>
      </c>
    </row>
    <row r="8">
      <c r="B8" s="11">
        <f>IFERROR(__xludf.DUMMYFUNCTION("""COMPUTED_VALUE"""),45839.0)</f>
        <v>45839</v>
      </c>
      <c r="C8" s="9">
        <f>IFERROR(__xludf.DUMMYFUNCTION("""COMPUTED_VALUE"""),112.8511)</f>
        <v>112.8511</v>
      </c>
      <c r="E8" s="11">
        <f>IFERROR(__xludf.DUMMYFUNCTION("""COMPUTED_VALUE"""),45839.0)</f>
        <v>45839</v>
      </c>
      <c r="F8" s="9">
        <f>IFERROR(__xludf.DUMMYFUNCTION("""COMPUTED_VALUE"""),112.8511)</f>
        <v>112.8511</v>
      </c>
      <c r="H8" s="17">
        <f>IFERROR(__xludf.DUMMYFUNCTION("""COMPUTED_VALUE"""),45839.0)</f>
        <v>45839</v>
      </c>
      <c r="I8" s="9">
        <f>IFERROR(__xludf.DUMMYFUNCTION("""COMPUTED_VALUE"""),112.8511)</f>
        <v>112.8511</v>
      </c>
      <c r="K8" s="40">
        <f>IFERROR(__xludf.DUMMYFUNCTION("""COMPUTED_VALUE"""),45839.0)</f>
        <v>45839</v>
      </c>
      <c r="L8" s="9">
        <f>IFERROR(__xludf.DUMMYFUNCTION("""COMPUTED_VALUE"""),112.8511)</f>
        <v>112.8511</v>
      </c>
      <c r="N8" s="40">
        <f>IFERROR(__xludf.DUMMYFUNCTION("""COMPUTED_VALUE"""),45839.0)</f>
        <v>45839</v>
      </c>
      <c r="O8" s="9">
        <f>IFERROR(__xludf.DUMMYFUNCTION("""COMPUTED_VALUE"""),112.8511)</f>
        <v>112.8511</v>
      </c>
    </row>
    <row r="9">
      <c r="B9" s="11">
        <f>IFERROR(__xludf.DUMMYFUNCTION("""COMPUTED_VALUE"""),45809.0)</f>
        <v>45809</v>
      </c>
      <c r="C9" s="9">
        <f>IFERROR(__xludf.DUMMYFUNCTION("""COMPUTED_VALUE"""),109.9333)</f>
        <v>109.9333</v>
      </c>
      <c r="E9" s="11">
        <f>IFERROR(__xludf.DUMMYFUNCTION("""COMPUTED_VALUE"""),45809.0)</f>
        <v>45809</v>
      </c>
      <c r="F9" s="9">
        <f>IFERROR(__xludf.DUMMYFUNCTION("""COMPUTED_VALUE"""),109.9333)</f>
        <v>109.9333</v>
      </c>
      <c r="H9" s="17">
        <f>IFERROR(__xludf.DUMMYFUNCTION("""COMPUTED_VALUE"""),45809.0)</f>
        <v>45809</v>
      </c>
      <c r="I9" s="9">
        <f>IFERROR(__xludf.DUMMYFUNCTION("""COMPUTED_VALUE"""),109.9333)</f>
        <v>109.9333</v>
      </c>
      <c r="K9" s="40">
        <f>IFERROR(__xludf.DUMMYFUNCTION("""COMPUTED_VALUE"""),45809.0)</f>
        <v>45809</v>
      </c>
      <c r="L9" s="9">
        <f>IFERROR(__xludf.DUMMYFUNCTION("""COMPUTED_VALUE"""),109.9333)</f>
        <v>109.9333</v>
      </c>
      <c r="N9" s="40">
        <f>IFERROR(__xludf.DUMMYFUNCTION("""COMPUTED_VALUE"""),45809.0)</f>
        <v>45809</v>
      </c>
      <c r="O9" s="9">
        <f>IFERROR(__xludf.DUMMYFUNCTION("""COMPUTED_VALUE"""),109.9333)</f>
        <v>109.9333</v>
      </c>
    </row>
    <row r="10">
      <c r="B10" s="11">
        <f>IFERROR(__xludf.DUMMYFUNCTION("""COMPUTED_VALUE"""),45778.0)</f>
        <v>45778</v>
      </c>
      <c r="C10" s="9">
        <f>IFERROR(__xludf.DUMMYFUNCTION("""COMPUTED_VALUE"""),108.6648)</f>
        <v>108.6648</v>
      </c>
      <c r="E10" s="11">
        <f>IFERROR(__xludf.DUMMYFUNCTION("""COMPUTED_VALUE"""),45778.0)</f>
        <v>45778</v>
      </c>
      <c r="F10" s="9">
        <f>IFERROR(__xludf.DUMMYFUNCTION("""COMPUTED_VALUE"""),108.6648)</f>
        <v>108.6648</v>
      </c>
      <c r="H10" s="17">
        <f>IFERROR(__xludf.DUMMYFUNCTION("""COMPUTED_VALUE"""),45778.0)</f>
        <v>45778</v>
      </c>
      <c r="I10" s="9">
        <f>IFERROR(__xludf.DUMMYFUNCTION("""COMPUTED_VALUE"""),108.6648)</f>
        <v>108.6648</v>
      </c>
      <c r="K10" s="40">
        <f>IFERROR(__xludf.DUMMYFUNCTION("""COMPUTED_VALUE"""),45778.0)</f>
        <v>45778</v>
      </c>
      <c r="L10" s="9">
        <f>IFERROR(__xludf.DUMMYFUNCTION("""COMPUTED_VALUE"""),108.6648)</f>
        <v>108.6648</v>
      </c>
      <c r="N10" s="40">
        <f>IFERROR(__xludf.DUMMYFUNCTION("""COMPUTED_VALUE"""),45778.0)</f>
        <v>45778</v>
      </c>
      <c r="O10" s="9">
        <f>IFERROR(__xludf.DUMMYFUNCTION("""COMPUTED_VALUE"""),108.6648)</f>
        <v>108.6648</v>
      </c>
    </row>
    <row r="11">
      <c r="B11" s="11">
        <f>IFERROR(__xludf.DUMMYFUNCTION("""COMPUTED_VALUE"""),45748.0)</f>
        <v>45748</v>
      </c>
      <c r="C11" s="9">
        <f>IFERROR(__xludf.DUMMYFUNCTION("""COMPUTED_VALUE"""),109.08)</f>
        <v>109.08</v>
      </c>
      <c r="E11" s="11">
        <f>IFERROR(__xludf.DUMMYFUNCTION("""COMPUTED_VALUE"""),45748.0)</f>
        <v>45748</v>
      </c>
      <c r="F11" s="9">
        <f>IFERROR(__xludf.DUMMYFUNCTION("""COMPUTED_VALUE"""),109.08)</f>
        <v>109.08</v>
      </c>
      <c r="H11" s="17">
        <f>IFERROR(__xludf.DUMMYFUNCTION("""COMPUTED_VALUE"""),45748.0)</f>
        <v>45748</v>
      </c>
      <c r="I11" s="9">
        <f>IFERROR(__xludf.DUMMYFUNCTION("""COMPUTED_VALUE"""),109.08)</f>
        <v>109.08</v>
      </c>
      <c r="K11" s="40">
        <f>IFERROR(__xludf.DUMMYFUNCTION("""COMPUTED_VALUE"""),45748.0)</f>
        <v>45748</v>
      </c>
      <c r="L11" s="9">
        <f>IFERROR(__xludf.DUMMYFUNCTION("""COMPUTED_VALUE"""),109.08)</f>
        <v>109.08</v>
      </c>
      <c r="N11" s="40">
        <f>IFERROR(__xludf.DUMMYFUNCTION("""COMPUTED_VALUE"""),45748.0)</f>
        <v>45748</v>
      </c>
      <c r="O11" s="9">
        <f>IFERROR(__xludf.DUMMYFUNCTION("""COMPUTED_VALUE"""),109.08)</f>
        <v>109.08</v>
      </c>
    </row>
    <row r="12">
      <c r="B12" s="11">
        <f>IFERROR(__xludf.DUMMYFUNCTION("""COMPUTED_VALUE"""),45717.0)</f>
        <v>45717</v>
      </c>
      <c r="C12" s="9">
        <f>IFERROR(__xludf.DUMMYFUNCTION("""COMPUTED_VALUE"""),110.5744)</f>
        <v>110.5744</v>
      </c>
      <c r="E12" s="11">
        <f>IFERROR(__xludf.DUMMYFUNCTION("""COMPUTED_VALUE"""),45717.0)</f>
        <v>45717</v>
      </c>
      <c r="F12" s="9">
        <f>IFERROR(__xludf.DUMMYFUNCTION("""COMPUTED_VALUE"""),110.5744)</f>
        <v>110.5744</v>
      </c>
      <c r="H12" s="17">
        <f>IFERROR(__xludf.DUMMYFUNCTION("""COMPUTED_VALUE"""),45717.0)</f>
        <v>45717</v>
      </c>
      <c r="I12" s="9">
        <f>IFERROR(__xludf.DUMMYFUNCTION("""COMPUTED_VALUE"""),110.5744)</f>
        <v>110.5744</v>
      </c>
      <c r="K12" s="40">
        <f>IFERROR(__xludf.DUMMYFUNCTION("""COMPUTED_VALUE"""),45717.0)</f>
        <v>45717</v>
      </c>
      <c r="L12" s="9">
        <f>IFERROR(__xludf.DUMMYFUNCTION("""COMPUTED_VALUE"""),110.5744)</f>
        <v>110.5744</v>
      </c>
      <c r="N12" s="40">
        <f>IFERROR(__xludf.DUMMYFUNCTION("""COMPUTED_VALUE"""),45717.0)</f>
        <v>45717</v>
      </c>
      <c r="O12" s="9">
        <f>IFERROR(__xludf.DUMMYFUNCTION("""COMPUTED_VALUE"""),110.5744)</f>
        <v>110.5744</v>
      </c>
    </row>
    <row r="13">
      <c r="B13" s="11">
        <f>IFERROR(__xludf.DUMMYFUNCTION("""COMPUTED_VALUE"""),45689.0)</f>
        <v>45689</v>
      </c>
      <c r="C13" s="9">
        <f>IFERROR(__xludf.DUMMYFUNCTION("""COMPUTED_VALUE"""),110.2092)</f>
        <v>110.2092</v>
      </c>
      <c r="E13" s="11">
        <f>IFERROR(__xludf.DUMMYFUNCTION("""COMPUTED_VALUE"""),45689.0)</f>
        <v>45689</v>
      </c>
      <c r="F13" s="9">
        <f>IFERROR(__xludf.DUMMYFUNCTION("""COMPUTED_VALUE"""),110.2092)</f>
        <v>110.2092</v>
      </c>
      <c r="H13" s="17">
        <f>IFERROR(__xludf.DUMMYFUNCTION("""COMPUTED_VALUE"""),45689.0)</f>
        <v>45689</v>
      </c>
      <c r="I13" s="9">
        <f>IFERROR(__xludf.DUMMYFUNCTION("""COMPUTED_VALUE"""),110.2092)</f>
        <v>110.2092</v>
      </c>
      <c r="K13" s="40">
        <f>IFERROR(__xludf.DUMMYFUNCTION("""COMPUTED_VALUE"""),45689.0)</f>
        <v>45689</v>
      </c>
      <c r="L13" s="9">
        <f>IFERROR(__xludf.DUMMYFUNCTION("""COMPUTED_VALUE"""),110.2092)</f>
        <v>110.2092</v>
      </c>
      <c r="N13" s="40">
        <f>IFERROR(__xludf.DUMMYFUNCTION("""COMPUTED_VALUE"""),45689.0)</f>
        <v>45689</v>
      </c>
      <c r="O13" s="9">
        <f>IFERROR(__xludf.DUMMYFUNCTION("""COMPUTED_VALUE"""),110.2092)</f>
        <v>110.2092</v>
      </c>
    </row>
    <row r="14">
      <c r="B14" s="11">
        <f>IFERROR(__xludf.DUMMYFUNCTION("""COMPUTED_VALUE"""),45658.0)</f>
        <v>45658</v>
      </c>
      <c r="C14" s="9">
        <f>IFERROR(__xludf.DUMMYFUNCTION("""COMPUTED_VALUE"""),109.4798)</f>
        <v>109.4798</v>
      </c>
      <c r="E14" s="11">
        <f>IFERROR(__xludf.DUMMYFUNCTION("""COMPUTED_VALUE"""),45658.0)</f>
        <v>45658</v>
      </c>
      <c r="F14" s="9">
        <f>IFERROR(__xludf.DUMMYFUNCTION("""COMPUTED_VALUE"""),109.4798)</f>
        <v>109.4798</v>
      </c>
      <c r="H14" s="17"/>
      <c r="K14" s="40">
        <f>IFERROR(__xludf.DUMMYFUNCTION("""COMPUTED_VALUE"""),45658.0)</f>
        <v>45658</v>
      </c>
      <c r="L14" s="9">
        <f>IFERROR(__xludf.DUMMYFUNCTION("""COMPUTED_VALUE"""),109.4798)</f>
        <v>109.4798</v>
      </c>
      <c r="N14" s="40">
        <f>IFERROR(__xludf.DUMMYFUNCTION("""COMPUTED_VALUE"""),45658.0)</f>
        <v>45658</v>
      </c>
      <c r="O14" s="9">
        <f>IFERROR(__xludf.DUMMYFUNCTION("""COMPUTED_VALUE"""),109.4798)</f>
        <v>109.4798</v>
      </c>
    </row>
    <row r="15">
      <c r="B15" s="11">
        <f>IFERROR(__xludf.DUMMYFUNCTION("""COMPUTED_VALUE"""),45627.0)</f>
        <v>45627</v>
      </c>
      <c r="C15" s="9">
        <f>IFERROR(__xludf.DUMMYFUNCTION("""COMPUTED_VALUE"""),109.4069)</f>
        <v>109.4069</v>
      </c>
      <c r="E15" s="11">
        <f>IFERROR(__xludf.DUMMYFUNCTION("""COMPUTED_VALUE"""),45627.0)</f>
        <v>45627</v>
      </c>
      <c r="F15" s="9">
        <f>IFERROR(__xludf.DUMMYFUNCTION("""COMPUTED_VALUE"""),109.4069)</f>
        <v>109.4069</v>
      </c>
      <c r="H15" s="17"/>
      <c r="K15" s="40">
        <f>IFERROR(__xludf.DUMMYFUNCTION("""COMPUTED_VALUE"""),45627.0)</f>
        <v>45627</v>
      </c>
      <c r="L15" s="9">
        <f>IFERROR(__xludf.DUMMYFUNCTION("""COMPUTED_VALUE"""),109.4069)</f>
        <v>109.4069</v>
      </c>
      <c r="N15" s="40">
        <f>IFERROR(__xludf.DUMMYFUNCTION("""COMPUTED_VALUE"""),45627.0)</f>
        <v>45627</v>
      </c>
      <c r="O15" s="9">
        <f>IFERROR(__xludf.DUMMYFUNCTION("""COMPUTED_VALUE"""),109.4069)</f>
        <v>109.4069</v>
      </c>
    </row>
    <row r="16">
      <c r="B16" s="11">
        <f>IFERROR(__xludf.DUMMYFUNCTION("""COMPUTED_VALUE"""),45597.0)</f>
        <v>45597</v>
      </c>
      <c r="C16" s="9">
        <f>IFERROR(__xludf.DUMMYFUNCTION("""COMPUTED_VALUE"""),108.0844)</f>
        <v>108.0844</v>
      </c>
      <c r="E16" s="11">
        <f>IFERROR(__xludf.DUMMYFUNCTION("""COMPUTED_VALUE"""),45597.0)</f>
        <v>45597</v>
      </c>
      <c r="F16" s="9">
        <f>IFERROR(__xludf.DUMMYFUNCTION("""COMPUTED_VALUE"""),108.0844)</f>
        <v>108.0844</v>
      </c>
      <c r="H16" s="17"/>
      <c r="K16" s="40">
        <f>IFERROR(__xludf.DUMMYFUNCTION("""COMPUTED_VALUE"""),45597.0)</f>
        <v>45597</v>
      </c>
      <c r="L16" s="9">
        <f>IFERROR(__xludf.DUMMYFUNCTION("""COMPUTED_VALUE"""),108.0844)</f>
        <v>108.0844</v>
      </c>
      <c r="N16" s="40">
        <f>IFERROR(__xludf.DUMMYFUNCTION("""COMPUTED_VALUE"""),45597.0)</f>
        <v>45597</v>
      </c>
      <c r="O16" s="9">
        <f>IFERROR(__xludf.DUMMYFUNCTION("""COMPUTED_VALUE"""),108.0844)</f>
        <v>108.0844</v>
      </c>
    </row>
    <row r="17">
      <c r="B17" s="11">
        <f>IFERROR(__xludf.DUMMYFUNCTION("""COMPUTED_VALUE"""),45566.0)</f>
        <v>45566</v>
      </c>
      <c r="C17" s="9">
        <f>IFERROR(__xludf.DUMMYFUNCTION("""COMPUTED_VALUE"""),109.1592)</f>
        <v>109.1592</v>
      </c>
      <c r="E17" s="11">
        <f>IFERROR(__xludf.DUMMYFUNCTION("""COMPUTED_VALUE"""),45566.0)</f>
        <v>45566</v>
      </c>
      <c r="F17" s="9">
        <f>IFERROR(__xludf.DUMMYFUNCTION("""COMPUTED_VALUE"""),109.1592)</f>
        <v>109.1592</v>
      </c>
      <c r="H17" s="17"/>
      <c r="K17" s="40">
        <f>IFERROR(__xludf.DUMMYFUNCTION("""COMPUTED_VALUE"""),45566.0)</f>
        <v>45566</v>
      </c>
      <c r="L17" s="9">
        <f>IFERROR(__xludf.DUMMYFUNCTION("""COMPUTED_VALUE"""),109.1592)</f>
        <v>109.1592</v>
      </c>
      <c r="N17" s="40">
        <f>IFERROR(__xludf.DUMMYFUNCTION("""COMPUTED_VALUE"""),45566.0)</f>
        <v>45566</v>
      </c>
      <c r="O17" s="9">
        <f>IFERROR(__xludf.DUMMYFUNCTION("""COMPUTED_VALUE"""),109.1592)</f>
        <v>109.1592</v>
      </c>
    </row>
    <row r="18">
      <c r="B18" s="11">
        <f>IFERROR(__xludf.DUMMYFUNCTION("""COMPUTED_VALUE"""),45536.0)</f>
        <v>45536</v>
      </c>
      <c r="C18" s="9">
        <f>IFERROR(__xludf.DUMMYFUNCTION("""COMPUTED_VALUE"""),108.0574)</f>
        <v>108.0574</v>
      </c>
      <c r="E18" s="11">
        <f>IFERROR(__xludf.DUMMYFUNCTION("""COMPUTED_VALUE"""),45536.0)</f>
        <v>45536</v>
      </c>
      <c r="F18" s="9">
        <f>IFERROR(__xludf.DUMMYFUNCTION("""COMPUTED_VALUE"""),108.0574)</f>
        <v>108.0574</v>
      </c>
      <c r="H18" s="17"/>
      <c r="K18" s="40">
        <f>IFERROR(__xludf.DUMMYFUNCTION("""COMPUTED_VALUE"""),45536.0)</f>
        <v>45536</v>
      </c>
      <c r="L18" s="9">
        <f>IFERROR(__xludf.DUMMYFUNCTION("""COMPUTED_VALUE"""),108.0574)</f>
        <v>108.0574</v>
      </c>
      <c r="N18" s="40">
        <f>IFERROR(__xludf.DUMMYFUNCTION("""COMPUTED_VALUE"""),45536.0)</f>
        <v>45536</v>
      </c>
      <c r="O18" s="9">
        <f>IFERROR(__xludf.DUMMYFUNCTION("""COMPUTED_VALUE"""),108.0574)</f>
        <v>108.0574</v>
      </c>
    </row>
    <row r="19">
      <c r="B19" s="11">
        <f>IFERROR(__xludf.DUMMYFUNCTION("""COMPUTED_VALUE"""),45505.0)</f>
        <v>45505</v>
      </c>
      <c r="C19" s="9">
        <f>IFERROR(__xludf.DUMMYFUNCTION("""COMPUTED_VALUE"""),108.1309)</f>
        <v>108.1309</v>
      </c>
      <c r="E19" s="11">
        <f>IFERROR(__xludf.DUMMYFUNCTION("""COMPUTED_VALUE"""),45505.0)</f>
        <v>45505</v>
      </c>
      <c r="F19" s="9">
        <f>IFERROR(__xludf.DUMMYFUNCTION("""COMPUTED_VALUE"""),108.1309)</f>
        <v>108.1309</v>
      </c>
      <c r="H19" s="17"/>
      <c r="K19" s="40">
        <f>IFERROR(__xludf.DUMMYFUNCTION("""COMPUTED_VALUE"""),45505.0)</f>
        <v>45505</v>
      </c>
      <c r="L19" s="9">
        <f>IFERROR(__xludf.DUMMYFUNCTION("""COMPUTED_VALUE"""),108.1309)</f>
        <v>108.1309</v>
      </c>
      <c r="N19" s="40">
        <f>IFERROR(__xludf.DUMMYFUNCTION("""COMPUTED_VALUE"""),45505.0)</f>
        <v>45505</v>
      </c>
      <c r="O19" s="9">
        <f>IFERROR(__xludf.DUMMYFUNCTION("""COMPUTED_VALUE"""),108.1309)</f>
        <v>108.1309</v>
      </c>
    </row>
    <row r="20">
      <c r="B20" s="11">
        <f>IFERROR(__xludf.DUMMYFUNCTION("""COMPUTED_VALUE"""),45474.0)</f>
        <v>45474</v>
      </c>
      <c r="C20" s="9">
        <f>IFERROR(__xludf.DUMMYFUNCTION("""COMPUTED_VALUE"""),106.7346)</f>
        <v>106.7346</v>
      </c>
      <c r="E20" s="11">
        <f>IFERROR(__xludf.DUMMYFUNCTION("""COMPUTED_VALUE"""),45474.0)</f>
        <v>45474</v>
      </c>
      <c r="F20" s="9">
        <f>IFERROR(__xludf.DUMMYFUNCTION("""COMPUTED_VALUE"""),106.7346)</f>
        <v>106.7346</v>
      </c>
      <c r="H20" s="17"/>
      <c r="K20" s="40">
        <f>IFERROR(__xludf.DUMMYFUNCTION("""COMPUTED_VALUE"""),45474.0)</f>
        <v>45474</v>
      </c>
      <c r="L20" s="9">
        <f>IFERROR(__xludf.DUMMYFUNCTION("""COMPUTED_VALUE"""),106.7346)</f>
        <v>106.7346</v>
      </c>
      <c r="N20" s="40">
        <f>IFERROR(__xludf.DUMMYFUNCTION("""COMPUTED_VALUE"""),45474.0)</f>
        <v>45474</v>
      </c>
      <c r="O20" s="9">
        <f>IFERROR(__xludf.DUMMYFUNCTION("""COMPUTED_VALUE"""),106.7346)</f>
        <v>106.7346</v>
      </c>
    </row>
    <row r="21">
      <c r="B21" s="11">
        <f>IFERROR(__xludf.DUMMYFUNCTION("""COMPUTED_VALUE"""),45444.0)</f>
        <v>45444</v>
      </c>
      <c r="C21" s="9">
        <f>IFERROR(__xludf.DUMMYFUNCTION("""COMPUTED_VALUE"""),108.4625)</f>
        <v>108.4625</v>
      </c>
      <c r="E21" s="11">
        <f>IFERROR(__xludf.DUMMYFUNCTION("""COMPUTED_VALUE"""),45444.0)</f>
        <v>45444</v>
      </c>
      <c r="F21" s="9">
        <f>IFERROR(__xludf.DUMMYFUNCTION("""COMPUTED_VALUE"""),108.4625)</f>
        <v>108.4625</v>
      </c>
      <c r="H21" s="17"/>
      <c r="K21" s="40">
        <f>IFERROR(__xludf.DUMMYFUNCTION("""COMPUTED_VALUE"""),45444.0)</f>
        <v>45444</v>
      </c>
      <c r="L21" s="9">
        <f>IFERROR(__xludf.DUMMYFUNCTION("""COMPUTED_VALUE"""),108.4625)</f>
        <v>108.4625</v>
      </c>
      <c r="N21" s="40">
        <f>IFERROR(__xludf.DUMMYFUNCTION("""COMPUTED_VALUE"""),45444.0)</f>
        <v>45444</v>
      </c>
      <c r="O21" s="9">
        <f>IFERROR(__xludf.DUMMYFUNCTION("""COMPUTED_VALUE"""),108.4625)</f>
        <v>108.4625</v>
      </c>
    </row>
    <row r="22">
      <c r="B22" s="11">
        <f>IFERROR(__xludf.DUMMYFUNCTION("""COMPUTED_VALUE"""),45413.0)</f>
        <v>45413</v>
      </c>
      <c r="C22" s="9">
        <f>IFERROR(__xludf.DUMMYFUNCTION("""COMPUTED_VALUE"""),107.8451)</f>
        <v>107.8451</v>
      </c>
      <c r="E22" s="11">
        <f>IFERROR(__xludf.DUMMYFUNCTION("""COMPUTED_VALUE"""),45413.0)</f>
        <v>45413</v>
      </c>
      <c r="F22" s="9">
        <f>IFERROR(__xludf.DUMMYFUNCTION("""COMPUTED_VALUE"""),107.8451)</f>
        <v>107.8451</v>
      </c>
      <c r="H22" s="17"/>
      <c r="K22" s="40">
        <f>IFERROR(__xludf.DUMMYFUNCTION("""COMPUTED_VALUE"""),45413.0)</f>
        <v>45413</v>
      </c>
      <c r="L22" s="9">
        <f>IFERROR(__xludf.DUMMYFUNCTION("""COMPUTED_VALUE"""),107.8451)</f>
        <v>107.8451</v>
      </c>
      <c r="N22" s="40">
        <f>IFERROR(__xludf.DUMMYFUNCTION("""COMPUTED_VALUE"""),45413.0)</f>
        <v>45413</v>
      </c>
      <c r="O22" s="9">
        <f>IFERROR(__xludf.DUMMYFUNCTION("""COMPUTED_VALUE"""),107.8451)</f>
        <v>107.8451</v>
      </c>
    </row>
    <row r="23">
      <c r="B23" s="11">
        <f>IFERROR(__xludf.DUMMYFUNCTION("""COMPUTED_VALUE"""),45383.0)</f>
        <v>45383</v>
      </c>
      <c r="C23" s="9">
        <f>IFERROR(__xludf.DUMMYFUNCTION("""COMPUTED_VALUE"""),108.0988)</f>
        <v>108.0988</v>
      </c>
      <c r="E23" s="11">
        <f>IFERROR(__xludf.DUMMYFUNCTION("""COMPUTED_VALUE"""),45383.0)</f>
        <v>45383</v>
      </c>
      <c r="F23" s="9">
        <f>IFERROR(__xludf.DUMMYFUNCTION("""COMPUTED_VALUE"""),108.0988)</f>
        <v>108.0988</v>
      </c>
      <c r="H23" s="17"/>
      <c r="K23" s="40">
        <f>IFERROR(__xludf.DUMMYFUNCTION("""COMPUTED_VALUE"""),45383.0)</f>
        <v>45383</v>
      </c>
      <c r="L23" s="9">
        <f>IFERROR(__xludf.DUMMYFUNCTION("""COMPUTED_VALUE"""),108.0988)</f>
        <v>108.0988</v>
      </c>
      <c r="N23" s="40">
        <f>IFERROR(__xludf.DUMMYFUNCTION("""COMPUTED_VALUE"""),45383.0)</f>
        <v>45383</v>
      </c>
      <c r="O23" s="9">
        <f>IFERROR(__xludf.DUMMYFUNCTION("""COMPUTED_VALUE"""),108.0988)</f>
        <v>108.0988</v>
      </c>
    </row>
    <row r="24">
      <c r="B24" s="11">
        <f>IFERROR(__xludf.DUMMYFUNCTION("""COMPUTED_VALUE"""),45352.0)</f>
        <v>45352</v>
      </c>
      <c r="C24" s="9">
        <f>IFERROR(__xludf.DUMMYFUNCTION("""COMPUTED_VALUE"""),106.8564)</f>
        <v>106.8564</v>
      </c>
      <c r="E24" s="11">
        <f>IFERROR(__xludf.DUMMYFUNCTION("""COMPUTED_VALUE"""),45352.0)</f>
        <v>45352</v>
      </c>
      <c r="F24" s="9">
        <f>IFERROR(__xludf.DUMMYFUNCTION("""COMPUTED_VALUE"""),106.8564)</f>
        <v>106.8564</v>
      </c>
      <c r="H24" s="17"/>
      <c r="K24" s="40">
        <f>IFERROR(__xludf.DUMMYFUNCTION("""COMPUTED_VALUE"""),45352.0)</f>
        <v>45352</v>
      </c>
      <c r="L24" s="9">
        <f>IFERROR(__xludf.DUMMYFUNCTION("""COMPUTED_VALUE"""),106.8564)</f>
        <v>106.8564</v>
      </c>
      <c r="N24" s="40">
        <f>IFERROR(__xludf.DUMMYFUNCTION("""COMPUTED_VALUE"""),45352.0)</f>
        <v>45352</v>
      </c>
      <c r="O24" s="9">
        <f>IFERROR(__xludf.DUMMYFUNCTION("""COMPUTED_VALUE"""),106.8564)</f>
        <v>106.8564</v>
      </c>
    </row>
    <row r="25">
      <c r="B25" s="11">
        <f>IFERROR(__xludf.DUMMYFUNCTION("""COMPUTED_VALUE"""),45323.0)</f>
        <v>45323</v>
      </c>
      <c r="C25" s="9">
        <f>IFERROR(__xludf.DUMMYFUNCTION("""COMPUTED_VALUE"""),107.2259)</f>
        <v>107.2259</v>
      </c>
      <c r="E25" s="11">
        <f>IFERROR(__xludf.DUMMYFUNCTION("""COMPUTED_VALUE"""),45323.0)</f>
        <v>45323</v>
      </c>
      <c r="F25" s="9">
        <f>IFERROR(__xludf.DUMMYFUNCTION("""COMPUTED_VALUE"""),107.2259)</f>
        <v>107.2259</v>
      </c>
      <c r="H25" s="17"/>
      <c r="K25" s="40">
        <f>IFERROR(__xludf.DUMMYFUNCTION("""COMPUTED_VALUE"""),45323.0)</f>
        <v>45323</v>
      </c>
      <c r="L25" s="9">
        <f>IFERROR(__xludf.DUMMYFUNCTION("""COMPUTED_VALUE"""),107.2259)</f>
        <v>107.2259</v>
      </c>
      <c r="N25" s="40">
        <f>IFERROR(__xludf.DUMMYFUNCTION("""COMPUTED_VALUE"""),45323.0)</f>
        <v>45323</v>
      </c>
      <c r="O25" s="9">
        <f>IFERROR(__xludf.DUMMYFUNCTION("""COMPUTED_VALUE"""),107.2259)</f>
        <v>107.2259</v>
      </c>
    </row>
    <row r="26">
      <c r="B26" s="11">
        <f>IFERROR(__xludf.DUMMYFUNCTION("""COMPUTED_VALUE"""),45292.0)</f>
        <v>45292</v>
      </c>
      <c r="C26" s="9">
        <f>IFERROR(__xludf.DUMMYFUNCTION("""COMPUTED_VALUE"""),107.2648)</f>
        <v>107.2648</v>
      </c>
      <c r="E26" s="11">
        <f>IFERROR(__xludf.DUMMYFUNCTION("""COMPUTED_VALUE"""),45292.0)</f>
        <v>45292</v>
      </c>
      <c r="F26" s="9">
        <f>IFERROR(__xludf.DUMMYFUNCTION("""COMPUTED_VALUE"""),107.2648)</f>
        <v>107.2648</v>
      </c>
      <c r="H26" s="17"/>
      <c r="K26" s="40">
        <f>IFERROR(__xludf.DUMMYFUNCTION("""COMPUTED_VALUE"""),45292.0)</f>
        <v>45292</v>
      </c>
      <c r="L26" s="9">
        <f>IFERROR(__xludf.DUMMYFUNCTION("""COMPUTED_VALUE"""),107.2648)</f>
        <v>107.2648</v>
      </c>
      <c r="N26" s="40">
        <f>IFERROR(__xludf.DUMMYFUNCTION("""COMPUTED_VALUE"""),45292.0)</f>
        <v>45292</v>
      </c>
      <c r="O26" s="9">
        <f>IFERROR(__xludf.DUMMYFUNCTION("""COMPUTED_VALUE"""),107.2648)</f>
        <v>107.2648</v>
      </c>
    </row>
    <row r="27">
      <c r="B27" s="11">
        <f>IFERROR(__xludf.DUMMYFUNCTION("""COMPUTED_VALUE"""),45261.0)</f>
        <v>45261</v>
      </c>
      <c r="C27" s="9">
        <f>IFERROR(__xludf.DUMMYFUNCTION("""COMPUTED_VALUE"""),108.0292)</f>
        <v>108.0292</v>
      </c>
      <c r="E27" s="11">
        <f>IFERROR(__xludf.DUMMYFUNCTION("""COMPUTED_VALUE"""),45261.0)</f>
        <v>45261</v>
      </c>
      <c r="F27" s="9">
        <f>IFERROR(__xludf.DUMMYFUNCTION("""COMPUTED_VALUE"""),108.0292)</f>
        <v>108.0292</v>
      </c>
      <c r="H27" s="17"/>
      <c r="K27" s="40">
        <f>IFERROR(__xludf.DUMMYFUNCTION("""COMPUTED_VALUE"""),45261.0)</f>
        <v>45261</v>
      </c>
      <c r="L27" s="9">
        <f>IFERROR(__xludf.DUMMYFUNCTION("""COMPUTED_VALUE"""),108.0292)</f>
        <v>108.0292</v>
      </c>
      <c r="N27" s="40">
        <f>IFERROR(__xludf.DUMMYFUNCTION("""COMPUTED_VALUE"""),45261.0)</f>
        <v>45261</v>
      </c>
      <c r="O27" s="9">
        <f>IFERROR(__xludf.DUMMYFUNCTION("""COMPUTED_VALUE"""),108.0292)</f>
        <v>108.0292</v>
      </c>
    </row>
    <row r="28">
      <c r="B28" s="11">
        <f>IFERROR(__xludf.DUMMYFUNCTION("""COMPUTED_VALUE"""),45231.0)</f>
        <v>45231</v>
      </c>
      <c r="C28" s="9">
        <f>IFERROR(__xludf.DUMMYFUNCTION("""COMPUTED_VALUE"""),109.0181)</f>
        <v>109.0181</v>
      </c>
      <c r="E28" s="11">
        <f>IFERROR(__xludf.DUMMYFUNCTION("""COMPUTED_VALUE"""),45231.0)</f>
        <v>45231</v>
      </c>
      <c r="F28" s="9">
        <f>IFERROR(__xludf.DUMMYFUNCTION("""COMPUTED_VALUE"""),109.0181)</f>
        <v>109.0181</v>
      </c>
      <c r="H28" s="17"/>
      <c r="K28" s="40">
        <f>IFERROR(__xludf.DUMMYFUNCTION("""COMPUTED_VALUE"""),45231.0)</f>
        <v>45231</v>
      </c>
      <c r="L28" s="9">
        <f>IFERROR(__xludf.DUMMYFUNCTION("""COMPUTED_VALUE"""),109.0181)</f>
        <v>109.0181</v>
      </c>
      <c r="N28" s="40">
        <f>IFERROR(__xludf.DUMMYFUNCTION("""COMPUTED_VALUE"""),45231.0)</f>
        <v>45231</v>
      </c>
      <c r="O28" s="9">
        <f>IFERROR(__xludf.DUMMYFUNCTION("""COMPUTED_VALUE"""),109.0181)</f>
        <v>109.0181</v>
      </c>
    </row>
    <row r="29">
      <c r="B29" s="11">
        <f>IFERROR(__xludf.DUMMYFUNCTION("""COMPUTED_VALUE"""),45200.0)</f>
        <v>45200</v>
      </c>
      <c r="C29" s="9">
        <f>IFERROR(__xludf.DUMMYFUNCTION("""COMPUTED_VALUE"""),108.8393)</f>
        <v>108.8393</v>
      </c>
      <c r="E29" s="11">
        <f>IFERROR(__xludf.DUMMYFUNCTION("""COMPUTED_VALUE"""),45200.0)</f>
        <v>45200</v>
      </c>
      <c r="F29" s="9">
        <f>IFERROR(__xludf.DUMMYFUNCTION("""COMPUTED_VALUE"""),108.8393)</f>
        <v>108.8393</v>
      </c>
      <c r="H29" s="17"/>
      <c r="K29" s="40">
        <f>IFERROR(__xludf.DUMMYFUNCTION("""COMPUTED_VALUE"""),45200.0)</f>
        <v>45200</v>
      </c>
      <c r="L29" s="9">
        <f>IFERROR(__xludf.DUMMYFUNCTION("""COMPUTED_VALUE"""),108.8393)</f>
        <v>108.8393</v>
      </c>
      <c r="N29" s="40">
        <f>IFERROR(__xludf.DUMMYFUNCTION("""COMPUTED_VALUE"""),45200.0)</f>
        <v>45200</v>
      </c>
      <c r="O29" s="9">
        <f>IFERROR(__xludf.DUMMYFUNCTION("""COMPUTED_VALUE"""),108.8393)</f>
        <v>108.8393</v>
      </c>
    </row>
    <row r="30">
      <c r="B30" s="11">
        <f>IFERROR(__xludf.DUMMYFUNCTION("""COMPUTED_VALUE"""),45170.0)</f>
        <v>45170</v>
      </c>
      <c r="C30" s="9">
        <f>IFERROR(__xludf.DUMMYFUNCTION("""COMPUTED_VALUE"""),108.4075)</f>
        <v>108.4075</v>
      </c>
      <c r="E30" s="11">
        <f>IFERROR(__xludf.DUMMYFUNCTION("""COMPUTED_VALUE"""),45170.0)</f>
        <v>45170</v>
      </c>
      <c r="F30" s="9">
        <f>IFERROR(__xludf.DUMMYFUNCTION("""COMPUTED_VALUE"""),108.4075)</f>
        <v>108.4075</v>
      </c>
      <c r="H30" s="17"/>
      <c r="K30" s="40">
        <f>IFERROR(__xludf.DUMMYFUNCTION("""COMPUTED_VALUE"""),45170.0)</f>
        <v>45170</v>
      </c>
      <c r="L30" s="9">
        <f>IFERROR(__xludf.DUMMYFUNCTION("""COMPUTED_VALUE"""),108.4075)</f>
        <v>108.4075</v>
      </c>
      <c r="N30" s="40">
        <f>IFERROR(__xludf.DUMMYFUNCTION("""COMPUTED_VALUE"""),45170.0)</f>
        <v>45170</v>
      </c>
      <c r="O30" s="9">
        <f>IFERROR(__xludf.DUMMYFUNCTION("""COMPUTED_VALUE"""),108.4075)</f>
        <v>108.4075</v>
      </c>
    </row>
    <row r="31">
      <c r="B31" s="11">
        <f>IFERROR(__xludf.DUMMYFUNCTION("""COMPUTED_VALUE"""),45139.0)</f>
        <v>45139</v>
      </c>
      <c r="C31" s="9">
        <f>IFERROR(__xludf.DUMMYFUNCTION("""COMPUTED_VALUE"""),109.0823)</f>
        <v>109.0823</v>
      </c>
      <c r="E31" s="11">
        <f>IFERROR(__xludf.DUMMYFUNCTION("""COMPUTED_VALUE"""),45139.0)</f>
        <v>45139</v>
      </c>
      <c r="F31" s="9">
        <f>IFERROR(__xludf.DUMMYFUNCTION("""COMPUTED_VALUE"""),109.0823)</f>
        <v>109.0823</v>
      </c>
      <c r="H31" s="17"/>
      <c r="K31" s="40">
        <f>IFERROR(__xludf.DUMMYFUNCTION("""COMPUTED_VALUE"""),45139.0)</f>
        <v>45139</v>
      </c>
      <c r="L31" s="9">
        <f>IFERROR(__xludf.DUMMYFUNCTION("""COMPUTED_VALUE"""),109.0823)</f>
        <v>109.0823</v>
      </c>
      <c r="N31" s="40">
        <f>IFERROR(__xludf.DUMMYFUNCTION("""COMPUTED_VALUE"""),45139.0)</f>
        <v>45139</v>
      </c>
      <c r="O31" s="9">
        <f>IFERROR(__xludf.DUMMYFUNCTION("""COMPUTED_VALUE"""),109.0823)</f>
        <v>109.0823</v>
      </c>
    </row>
    <row r="32">
      <c r="B32" s="11">
        <f>IFERROR(__xludf.DUMMYFUNCTION("""COMPUTED_VALUE"""),45108.0)</f>
        <v>45108</v>
      </c>
      <c r="C32" s="9">
        <f>IFERROR(__xludf.DUMMYFUNCTION("""COMPUTED_VALUE"""),108.1728)</f>
        <v>108.1728</v>
      </c>
      <c r="E32" s="11">
        <f>IFERROR(__xludf.DUMMYFUNCTION("""COMPUTED_VALUE"""),45108.0)</f>
        <v>45108</v>
      </c>
      <c r="F32" s="9">
        <f>IFERROR(__xludf.DUMMYFUNCTION("""COMPUTED_VALUE"""),108.1728)</f>
        <v>108.1728</v>
      </c>
      <c r="H32" s="17"/>
      <c r="K32" s="40">
        <f>IFERROR(__xludf.DUMMYFUNCTION("""COMPUTED_VALUE"""),45108.0)</f>
        <v>45108</v>
      </c>
      <c r="L32" s="9">
        <f>IFERROR(__xludf.DUMMYFUNCTION("""COMPUTED_VALUE"""),108.1728)</f>
        <v>108.1728</v>
      </c>
      <c r="N32" s="40">
        <f>IFERROR(__xludf.DUMMYFUNCTION("""COMPUTED_VALUE"""),45108.0)</f>
        <v>45108</v>
      </c>
      <c r="O32" s="9">
        <f>IFERROR(__xludf.DUMMYFUNCTION("""COMPUTED_VALUE"""),108.1728)</f>
        <v>108.1728</v>
      </c>
    </row>
    <row r="33">
      <c r="B33" s="11">
        <f>IFERROR(__xludf.DUMMYFUNCTION("""COMPUTED_VALUE"""),45078.0)</f>
        <v>45078</v>
      </c>
      <c r="C33" s="9">
        <f>IFERROR(__xludf.DUMMYFUNCTION("""COMPUTED_VALUE"""),107.1997)</f>
        <v>107.1997</v>
      </c>
      <c r="E33" s="11">
        <f>IFERROR(__xludf.DUMMYFUNCTION("""COMPUTED_VALUE"""),45078.0)</f>
        <v>45078</v>
      </c>
      <c r="F33" s="9">
        <f>IFERROR(__xludf.DUMMYFUNCTION("""COMPUTED_VALUE"""),107.1997)</f>
        <v>107.1997</v>
      </c>
      <c r="H33" s="17"/>
      <c r="K33" s="40">
        <f>IFERROR(__xludf.DUMMYFUNCTION("""COMPUTED_VALUE"""),45078.0)</f>
        <v>45078</v>
      </c>
      <c r="L33" s="9">
        <f>IFERROR(__xludf.DUMMYFUNCTION("""COMPUTED_VALUE"""),107.1997)</f>
        <v>107.1997</v>
      </c>
      <c r="N33" s="40">
        <f>IFERROR(__xludf.DUMMYFUNCTION("""COMPUTED_VALUE"""),45078.0)</f>
        <v>45078</v>
      </c>
      <c r="O33" s="9">
        <f>IFERROR(__xludf.DUMMYFUNCTION("""COMPUTED_VALUE"""),107.1997)</f>
        <v>107.1997</v>
      </c>
    </row>
    <row r="34">
      <c r="B34" s="11">
        <f>IFERROR(__xludf.DUMMYFUNCTION("""COMPUTED_VALUE"""),45047.0)</f>
        <v>45047</v>
      </c>
      <c r="C34" s="9">
        <f>IFERROR(__xludf.DUMMYFUNCTION("""COMPUTED_VALUE"""),106.2475)</f>
        <v>106.2475</v>
      </c>
      <c r="E34" s="11">
        <f>IFERROR(__xludf.DUMMYFUNCTION("""COMPUTED_VALUE"""),45047.0)</f>
        <v>45047</v>
      </c>
      <c r="F34" s="9">
        <f>IFERROR(__xludf.DUMMYFUNCTION("""COMPUTED_VALUE"""),106.2475)</f>
        <v>106.2475</v>
      </c>
      <c r="H34" s="17"/>
      <c r="K34" s="40">
        <f>IFERROR(__xludf.DUMMYFUNCTION("""COMPUTED_VALUE"""),45047.0)</f>
        <v>45047</v>
      </c>
      <c r="L34" s="9">
        <f>IFERROR(__xludf.DUMMYFUNCTION("""COMPUTED_VALUE"""),106.2475)</f>
        <v>106.2475</v>
      </c>
      <c r="N34" s="40">
        <f>IFERROR(__xludf.DUMMYFUNCTION("""COMPUTED_VALUE"""),45047.0)</f>
        <v>45047</v>
      </c>
      <c r="O34" s="9">
        <f>IFERROR(__xludf.DUMMYFUNCTION("""COMPUTED_VALUE"""),106.2475)</f>
        <v>106.2475</v>
      </c>
    </row>
    <row r="35">
      <c r="B35" s="11">
        <f>IFERROR(__xludf.DUMMYFUNCTION("""COMPUTED_VALUE"""),45017.0)</f>
        <v>45017</v>
      </c>
      <c r="C35" s="9">
        <f>IFERROR(__xludf.DUMMYFUNCTION("""COMPUTED_VALUE"""),103.9657)</f>
        <v>103.9657</v>
      </c>
      <c r="E35" s="11">
        <f>IFERROR(__xludf.DUMMYFUNCTION("""COMPUTED_VALUE"""),45017.0)</f>
        <v>45017</v>
      </c>
      <c r="F35" s="9">
        <f>IFERROR(__xludf.DUMMYFUNCTION("""COMPUTED_VALUE"""),103.9657)</f>
        <v>103.9657</v>
      </c>
      <c r="H35" s="17"/>
      <c r="K35" s="40">
        <f>IFERROR(__xludf.DUMMYFUNCTION("""COMPUTED_VALUE"""),45017.0)</f>
        <v>45017</v>
      </c>
      <c r="L35" s="9">
        <f>IFERROR(__xludf.DUMMYFUNCTION("""COMPUTED_VALUE"""),103.9657)</f>
        <v>103.9657</v>
      </c>
      <c r="N35" s="40">
        <f>IFERROR(__xludf.DUMMYFUNCTION("""COMPUTED_VALUE"""),45017.0)</f>
        <v>45017</v>
      </c>
      <c r="O35" s="9">
        <f>IFERROR(__xludf.DUMMYFUNCTION("""COMPUTED_VALUE"""),103.9657)</f>
        <v>103.9657</v>
      </c>
    </row>
    <row r="36">
      <c r="B36" s="11">
        <f>IFERROR(__xludf.DUMMYFUNCTION("""COMPUTED_VALUE"""),44986.0)</f>
        <v>44986</v>
      </c>
      <c r="C36" s="9">
        <f>IFERROR(__xludf.DUMMYFUNCTION("""COMPUTED_VALUE"""),104.454)</f>
        <v>104.454</v>
      </c>
      <c r="E36" s="11">
        <f>IFERROR(__xludf.DUMMYFUNCTION("""COMPUTED_VALUE"""),44986.0)</f>
        <v>44986</v>
      </c>
      <c r="F36" s="9">
        <f>IFERROR(__xludf.DUMMYFUNCTION("""COMPUTED_VALUE"""),104.454)</f>
        <v>104.454</v>
      </c>
      <c r="H36" s="17"/>
      <c r="K36" s="40">
        <f>IFERROR(__xludf.DUMMYFUNCTION("""COMPUTED_VALUE"""),44986.0)</f>
        <v>44986</v>
      </c>
      <c r="L36" s="9">
        <f>IFERROR(__xludf.DUMMYFUNCTION("""COMPUTED_VALUE"""),104.454)</f>
        <v>104.454</v>
      </c>
      <c r="N36" s="40">
        <f>IFERROR(__xludf.DUMMYFUNCTION("""COMPUTED_VALUE"""),44986.0)</f>
        <v>44986</v>
      </c>
      <c r="O36" s="9">
        <f>IFERROR(__xludf.DUMMYFUNCTION("""COMPUTED_VALUE"""),104.454)</f>
        <v>104.454</v>
      </c>
    </row>
    <row r="37">
      <c r="B37" s="11">
        <f>IFERROR(__xludf.DUMMYFUNCTION("""COMPUTED_VALUE"""),44958.0)</f>
        <v>44958</v>
      </c>
      <c r="C37" s="9">
        <f>IFERROR(__xludf.DUMMYFUNCTION("""COMPUTED_VALUE"""),104.0332)</f>
        <v>104.0332</v>
      </c>
      <c r="E37" s="11">
        <f>IFERROR(__xludf.DUMMYFUNCTION("""COMPUTED_VALUE"""),44958.0)</f>
        <v>44958</v>
      </c>
      <c r="F37" s="9">
        <f>IFERROR(__xludf.DUMMYFUNCTION("""COMPUTED_VALUE"""),104.0332)</f>
        <v>104.0332</v>
      </c>
      <c r="H37" s="17"/>
      <c r="K37" s="40">
        <f>IFERROR(__xludf.DUMMYFUNCTION("""COMPUTED_VALUE"""),44958.0)</f>
        <v>44958</v>
      </c>
      <c r="L37" s="9">
        <f>IFERROR(__xludf.DUMMYFUNCTION("""COMPUTED_VALUE"""),104.0332)</f>
        <v>104.0332</v>
      </c>
      <c r="N37" s="40">
        <f>IFERROR(__xludf.DUMMYFUNCTION("""COMPUTED_VALUE"""),44958.0)</f>
        <v>44958</v>
      </c>
      <c r="O37" s="9">
        <f>IFERROR(__xludf.DUMMYFUNCTION("""COMPUTED_VALUE"""),104.0332)</f>
        <v>104.0332</v>
      </c>
    </row>
    <row r="38">
      <c r="B38" s="11">
        <f>IFERROR(__xludf.DUMMYFUNCTION("""COMPUTED_VALUE"""),44927.0)</f>
        <v>44927</v>
      </c>
      <c r="C38" s="9">
        <f>IFERROR(__xludf.DUMMYFUNCTION("""COMPUTED_VALUE"""),104.3802)</f>
        <v>104.3802</v>
      </c>
      <c r="E38" s="11">
        <f>IFERROR(__xludf.DUMMYFUNCTION("""COMPUTED_VALUE"""),44927.0)</f>
        <v>44927</v>
      </c>
      <c r="F38" s="9">
        <f>IFERROR(__xludf.DUMMYFUNCTION("""COMPUTED_VALUE"""),104.3802)</f>
        <v>104.3802</v>
      </c>
      <c r="H38" s="17"/>
      <c r="K38" s="40">
        <f>IFERROR(__xludf.DUMMYFUNCTION("""COMPUTED_VALUE"""),44927.0)</f>
        <v>44927</v>
      </c>
      <c r="L38" s="9">
        <f>IFERROR(__xludf.DUMMYFUNCTION("""COMPUTED_VALUE"""),104.3802)</f>
        <v>104.3802</v>
      </c>
      <c r="N38" s="40">
        <f>IFERROR(__xludf.DUMMYFUNCTION("""COMPUTED_VALUE"""),44927.0)</f>
        <v>44927</v>
      </c>
      <c r="O38" s="9">
        <f>IFERROR(__xludf.DUMMYFUNCTION("""COMPUTED_VALUE"""),104.3802)</f>
        <v>104.3802</v>
      </c>
    </row>
    <row r="39">
      <c r="B39" s="11">
        <f>IFERROR(__xludf.DUMMYFUNCTION("""COMPUTED_VALUE"""),44896.0)</f>
        <v>44896</v>
      </c>
      <c r="C39" s="9">
        <f>IFERROR(__xludf.DUMMYFUNCTION("""COMPUTED_VALUE"""),103.1889)</f>
        <v>103.1889</v>
      </c>
      <c r="E39" s="11">
        <f>IFERROR(__xludf.DUMMYFUNCTION("""COMPUTED_VALUE"""),44896.0)</f>
        <v>44896</v>
      </c>
      <c r="F39" s="9">
        <f>IFERROR(__xludf.DUMMYFUNCTION("""COMPUTED_VALUE"""),103.1889)</f>
        <v>103.1889</v>
      </c>
      <c r="H39" s="17"/>
      <c r="K39" s="40">
        <f>IFERROR(__xludf.DUMMYFUNCTION("""COMPUTED_VALUE"""),44896.0)</f>
        <v>44896</v>
      </c>
      <c r="L39" s="9">
        <f>IFERROR(__xludf.DUMMYFUNCTION("""COMPUTED_VALUE"""),103.1889)</f>
        <v>103.1889</v>
      </c>
      <c r="N39" s="40">
        <f>IFERROR(__xludf.DUMMYFUNCTION("""COMPUTED_VALUE"""),44896.0)</f>
        <v>44896</v>
      </c>
      <c r="O39" s="9">
        <f>IFERROR(__xludf.DUMMYFUNCTION("""COMPUTED_VALUE"""),103.1889)</f>
        <v>103.1889</v>
      </c>
    </row>
    <row r="40">
      <c r="B40" s="11">
        <f>IFERROR(__xludf.DUMMYFUNCTION("""COMPUTED_VALUE"""),44866.0)</f>
        <v>44866</v>
      </c>
      <c r="C40" s="9">
        <f>IFERROR(__xludf.DUMMYFUNCTION("""COMPUTED_VALUE"""),102.8896)</f>
        <v>102.8896</v>
      </c>
      <c r="E40" s="11">
        <f>IFERROR(__xludf.DUMMYFUNCTION("""COMPUTED_VALUE"""),44866.0)</f>
        <v>44866</v>
      </c>
      <c r="F40" s="9">
        <f>IFERROR(__xludf.DUMMYFUNCTION("""COMPUTED_VALUE"""),102.8896)</f>
        <v>102.8896</v>
      </c>
      <c r="H40" s="17"/>
      <c r="K40" s="40">
        <f>IFERROR(__xludf.DUMMYFUNCTION("""COMPUTED_VALUE"""),44866.0)</f>
        <v>44866</v>
      </c>
      <c r="L40" s="9">
        <f>IFERROR(__xludf.DUMMYFUNCTION("""COMPUTED_VALUE"""),102.8896)</f>
        <v>102.8896</v>
      </c>
      <c r="N40" s="40">
        <f>IFERROR(__xludf.DUMMYFUNCTION("""COMPUTED_VALUE"""),44866.0)</f>
        <v>44866</v>
      </c>
      <c r="O40" s="9">
        <f>IFERROR(__xludf.DUMMYFUNCTION("""COMPUTED_VALUE"""),102.8896)</f>
        <v>102.8896</v>
      </c>
    </row>
    <row r="41">
      <c r="B41" s="11">
        <f>IFERROR(__xludf.DUMMYFUNCTION("""COMPUTED_VALUE"""),44835.0)</f>
        <v>44835</v>
      </c>
      <c r="C41" s="9">
        <f>IFERROR(__xludf.DUMMYFUNCTION("""COMPUTED_VALUE"""),101.6407)</f>
        <v>101.6407</v>
      </c>
      <c r="E41" s="11">
        <f>IFERROR(__xludf.DUMMYFUNCTION("""COMPUTED_VALUE"""),44835.0)</f>
        <v>44835</v>
      </c>
      <c r="F41" s="9">
        <f>IFERROR(__xludf.DUMMYFUNCTION("""COMPUTED_VALUE"""),101.6407)</f>
        <v>101.6407</v>
      </c>
      <c r="H41" s="17"/>
      <c r="K41" s="40">
        <f>IFERROR(__xludf.DUMMYFUNCTION("""COMPUTED_VALUE"""),44835.0)</f>
        <v>44835</v>
      </c>
      <c r="L41" s="9">
        <f>IFERROR(__xludf.DUMMYFUNCTION("""COMPUTED_VALUE"""),101.6407)</f>
        <v>101.6407</v>
      </c>
      <c r="N41" s="40">
        <f>IFERROR(__xludf.DUMMYFUNCTION("""COMPUTED_VALUE"""),44835.0)</f>
        <v>44835</v>
      </c>
      <c r="O41" s="9">
        <f>IFERROR(__xludf.DUMMYFUNCTION("""COMPUTED_VALUE"""),101.6407)</f>
        <v>101.6407</v>
      </c>
    </row>
    <row r="42">
      <c r="B42" s="11">
        <f>IFERROR(__xludf.DUMMYFUNCTION("""COMPUTED_VALUE"""),44805.0)</f>
        <v>44805</v>
      </c>
      <c r="C42" s="9">
        <f>IFERROR(__xludf.DUMMYFUNCTION("""COMPUTED_VALUE"""),99.6988)</f>
        <v>99.6988</v>
      </c>
      <c r="E42" s="11">
        <f>IFERROR(__xludf.DUMMYFUNCTION("""COMPUTED_VALUE"""),44805.0)</f>
        <v>44805</v>
      </c>
      <c r="F42" s="9">
        <f>IFERROR(__xludf.DUMMYFUNCTION("""COMPUTED_VALUE"""),99.6988)</f>
        <v>99.6988</v>
      </c>
      <c r="H42" s="17"/>
      <c r="K42" s="40">
        <f>IFERROR(__xludf.DUMMYFUNCTION("""COMPUTED_VALUE"""),44805.0)</f>
        <v>44805</v>
      </c>
      <c r="L42" s="9">
        <f>IFERROR(__xludf.DUMMYFUNCTION("""COMPUTED_VALUE"""),99.6988)</f>
        <v>99.6988</v>
      </c>
      <c r="N42" s="40">
        <f>IFERROR(__xludf.DUMMYFUNCTION("""COMPUTED_VALUE"""),44805.0)</f>
        <v>44805</v>
      </c>
      <c r="O42" s="9">
        <f>IFERROR(__xludf.DUMMYFUNCTION("""COMPUTED_VALUE"""),99.6988)</f>
        <v>99.6988</v>
      </c>
    </row>
    <row r="43">
      <c r="B43" s="11">
        <f>IFERROR(__xludf.DUMMYFUNCTION("""COMPUTED_VALUE"""),44774.0)</f>
        <v>44774</v>
      </c>
      <c r="C43" s="9">
        <f>IFERROR(__xludf.DUMMYFUNCTION("""COMPUTED_VALUE"""),99.2956)</f>
        <v>99.2956</v>
      </c>
      <c r="E43" s="11">
        <f>IFERROR(__xludf.DUMMYFUNCTION("""COMPUTED_VALUE"""),44774.0)</f>
        <v>44774</v>
      </c>
      <c r="F43" s="9">
        <f>IFERROR(__xludf.DUMMYFUNCTION("""COMPUTED_VALUE"""),99.2956)</f>
        <v>99.2956</v>
      </c>
      <c r="H43" s="17"/>
      <c r="K43" s="40">
        <f>IFERROR(__xludf.DUMMYFUNCTION("""COMPUTED_VALUE"""),44774.0)</f>
        <v>44774</v>
      </c>
      <c r="L43" s="9">
        <f>IFERROR(__xludf.DUMMYFUNCTION("""COMPUTED_VALUE"""),99.2956)</f>
        <v>99.2956</v>
      </c>
      <c r="N43" s="40">
        <f>IFERROR(__xludf.DUMMYFUNCTION("""COMPUTED_VALUE"""),44774.0)</f>
        <v>44774</v>
      </c>
      <c r="O43" s="9">
        <f>IFERROR(__xludf.DUMMYFUNCTION("""COMPUTED_VALUE"""),99.2956)</f>
        <v>99.2956</v>
      </c>
    </row>
    <row r="44">
      <c r="B44" s="11">
        <f>IFERROR(__xludf.DUMMYFUNCTION("""COMPUTED_VALUE"""),44743.0)</f>
        <v>44743</v>
      </c>
      <c r="C44" s="9">
        <f>IFERROR(__xludf.DUMMYFUNCTION("""COMPUTED_VALUE"""),98.3546)</f>
        <v>98.3546</v>
      </c>
      <c r="E44" s="11">
        <f>IFERROR(__xludf.DUMMYFUNCTION("""COMPUTED_VALUE"""),44743.0)</f>
        <v>44743</v>
      </c>
      <c r="F44" s="9">
        <f>IFERROR(__xludf.DUMMYFUNCTION("""COMPUTED_VALUE"""),98.3546)</f>
        <v>98.3546</v>
      </c>
      <c r="H44" s="17"/>
      <c r="K44" s="40">
        <f>IFERROR(__xludf.DUMMYFUNCTION("""COMPUTED_VALUE"""),44743.0)</f>
        <v>44743</v>
      </c>
      <c r="L44" s="9">
        <f>IFERROR(__xludf.DUMMYFUNCTION("""COMPUTED_VALUE"""),98.3546)</f>
        <v>98.3546</v>
      </c>
      <c r="N44" s="40">
        <f>IFERROR(__xludf.DUMMYFUNCTION("""COMPUTED_VALUE"""),44743.0)</f>
        <v>44743</v>
      </c>
      <c r="O44" s="9">
        <f>IFERROR(__xludf.DUMMYFUNCTION("""COMPUTED_VALUE"""),98.3546)</f>
        <v>98.3546</v>
      </c>
    </row>
    <row r="45">
      <c r="B45" s="11">
        <f>IFERROR(__xludf.DUMMYFUNCTION("""COMPUTED_VALUE"""),44713.0)</f>
        <v>44713</v>
      </c>
      <c r="C45" s="9">
        <f>IFERROR(__xludf.DUMMYFUNCTION("""COMPUTED_VALUE"""),97.7505)</f>
        <v>97.7505</v>
      </c>
      <c r="E45" s="11">
        <f>IFERROR(__xludf.DUMMYFUNCTION("""COMPUTED_VALUE"""),44713.0)</f>
        <v>44713</v>
      </c>
      <c r="F45" s="9">
        <f>IFERROR(__xludf.DUMMYFUNCTION("""COMPUTED_VALUE"""),97.7505)</f>
        <v>97.7505</v>
      </c>
      <c r="H45" s="17"/>
      <c r="K45" s="40">
        <f>IFERROR(__xludf.DUMMYFUNCTION("""COMPUTED_VALUE"""),44713.0)</f>
        <v>44713</v>
      </c>
      <c r="L45" s="9">
        <f>IFERROR(__xludf.DUMMYFUNCTION("""COMPUTED_VALUE"""),97.7505)</f>
        <v>97.7505</v>
      </c>
      <c r="N45" s="40">
        <f>IFERROR(__xludf.DUMMYFUNCTION("""COMPUTED_VALUE"""),44713.0)</f>
        <v>44713</v>
      </c>
      <c r="O45" s="9">
        <f>IFERROR(__xludf.DUMMYFUNCTION("""COMPUTED_VALUE"""),97.7505)</f>
        <v>97.7505</v>
      </c>
    </row>
    <row r="46">
      <c r="B46" s="11">
        <f>IFERROR(__xludf.DUMMYFUNCTION("""COMPUTED_VALUE"""),44682.0)</f>
        <v>44682</v>
      </c>
      <c r="C46" s="9">
        <f>IFERROR(__xludf.DUMMYFUNCTION("""COMPUTED_VALUE"""),99.2145)</f>
        <v>99.2145</v>
      </c>
      <c r="E46" s="11">
        <f>IFERROR(__xludf.DUMMYFUNCTION("""COMPUTED_VALUE"""),44682.0)</f>
        <v>44682</v>
      </c>
      <c r="F46" s="9">
        <f>IFERROR(__xludf.DUMMYFUNCTION("""COMPUTED_VALUE"""),99.2145)</f>
        <v>99.2145</v>
      </c>
      <c r="H46" s="17"/>
      <c r="K46" s="40">
        <f>IFERROR(__xludf.DUMMYFUNCTION("""COMPUTED_VALUE"""),44682.0)</f>
        <v>44682</v>
      </c>
      <c r="L46" s="9">
        <f>IFERROR(__xludf.DUMMYFUNCTION("""COMPUTED_VALUE"""),99.2145)</f>
        <v>99.2145</v>
      </c>
      <c r="N46" s="40">
        <f>IFERROR(__xludf.DUMMYFUNCTION("""COMPUTED_VALUE"""),44682.0)</f>
        <v>44682</v>
      </c>
      <c r="O46" s="9">
        <f>IFERROR(__xludf.DUMMYFUNCTION("""COMPUTED_VALUE"""),99.2145)</f>
        <v>99.2145</v>
      </c>
    </row>
    <row r="47">
      <c r="B47" s="11">
        <f>IFERROR(__xludf.DUMMYFUNCTION("""COMPUTED_VALUE"""),44652.0)</f>
        <v>44652</v>
      </c>
      <c r="C47" s="9">
        <f>IFERROR(__xludf.DUMMYFUNCTION("""COMPUTED_VALUE"""),101.7524)</f>
        <v>101.7524</v>
      </c>
      <c r="E47" s="11">
        <f>IFERROR(__xludf.DUMMYFUNCTION("""COMPUTED_VALUE"""),44652.0)</f>
        <v>44652</v>
      </c>
      <c r="F47" s="9">
        <f>IFERROR(__xludf.DUMMYFUNCTION("""COMPUTED_VALUE"""),101.7524)</f>
        <v>101.7524</v>
      </c>
      <c r="H47" s="17"/>
      <c r="K47" s="40">
        <f>IFERROR(__xludf.DUMMYFUNCTION("""COMPUTED_VALUE"""),44652.0)</f>
        <v>44652</v>
      </c>
      <c r="L47" s="9">
        <f>IFERROR(__xludf.DUMMYFUNCTION("""COMPUTED_VALUE"""),101.7524)</f>
        <v>101.7524</v>
      </c>
      <c r="N47" s="40">
        <f>IFERROR(__xludf.DUMMYFUNCTION("""COMPUTED_VALUE"""),44652.0)</f>
        <v>44652</v>
      </c>
      <c r="O47" s="9">
        <f>IFERROR(__xludf.DUMMYFUNCTION("""COMPUTED_VALUE"""),101.7524)</f>
        <v>101.7524</v>
      </c>
    </row>
    <row r="48">
      <c r="B48" s="11">
        <f>IFERROR(__xludf.DUMMYFUNCTION("""COMPUTED_VALUE"""),44621.0)</f>
        <v>44621</v>
      </c>
      <c r="C48" s="9">
        <f>IFERROR(__xludf.DUMMYFUNCTION("""COMPUTED_VALUE"""),100.3969)</f>
        <v>100.3969</v>
      </c>
      <c r="E48" s="11">
        <f>IFERROR(__xludf.DUMMYFUNCTION("""COMPUTED_VALUE"""),44621.0)</f>
        <v>44621</v>
      </c>
      <c r="F48" s="9">
        <f>IFERROR(__xludf.DUMMYFUNCTION("""COMPUTED_VALUE"""),100.3969)</f>
        <v>100.3969</v>
      </c>
      <c r="H48" s="17"/>
      <c r="K48" s="40">
        <f>IFERROR(__xludf.DUMMYFUNCTION("""COMPUTED_VALUE"""),44621.0)</f>
        <v>44621</v>
      </c>
      <c r="L48" s="9">
        <f>IFERROR(__xludf.DUMMYFUNCTION("""COMPUTED_VALUE"""),100.3969)</f>
        <v>100.3969</v>
      </c>
      <c r="N48" s="40">
        <f>IFERROR(__xludf.DUMMYFUNCTION("""COMPUTED_VALUE"""),44621.0)</f>
        <v>44621</v>
      </c>
      <c r="O48" s="9">
        <f>IFERROR(__xludf.DUMMYFUNCTION("""COMPUTED_VALUE"""),100.3969)</f>
        <v>100.3969</v>
      </c>
    </row>
    <row r="49">
      <c r="B49" s="11">
        <f>IFERROR(__xludf.DUMMYFUNCTION("""COMPUTED_VALUE"""),44593.0)</f>
        <v>44593</v>
      </c>
      <c r="C49" s="9">
        <f>IFERROR(__xludf.DUMMYFUNCTION("""COMPUTED_VALUE"""),101.8391)</f>
        <v>101.8391</v>
      </c>
      <c r="E49" s="11">
        <f>IFERROR(__xludf.DUMMYFUNCTION("""COMPUTED_VALUE"""),44593.0)</f>
        <v>44593</v>
      </c>
      <c r="F49" s="9">
        <f>IFERROR(__xludf.DUMMYFUNCTION("""COMPUTED_VALUE"""),101.8391)</f>
        <v>101.8391</v>
      </c>
      <c r="H49" s="17"/>
      <c r="K49" s="40">
        <f>IFERROR(__xludf.DUMMYFUNCTION("""COMPUTED_VALUE"""),44593.0)</f>
        <v>44593</v>
      </c>
      <c r="L49" s="9">
        <f>IFERROR(__xludf.DUMMYFUNCTION("""COMPUTED_VALUE"""),101.8391)</f>
        <v>101.8391</v>
      </c>
      <c r="N49" s="40">
        <f>IFERROR(__xludf.DUMMYFUNCTION("""COMPUTED_VALUE"""),44593.0)</f>
        <v>44593</v>
      </c>
      <c r="O49" s="9">
        <f>IFERROR(__xludf.DUMMYFUNCTION("""COMPUTED_VALUE"""),101.8391)</f>
        <v>101.8391</v>
      </c>
    </row>
    <row r="50">
      <c r="B50" s="11">
        <f>IFERROR(__xludf.DUMMYFUNCTION("""COMPUTED_VALUE"""),44562.0)</f>
        <v>44562</v>
      </c>
      <c r="C50" s="9">
        <f>IFERROR(__xludf.DUMMYFUNCTION("""COMPUTED_VALUE"""),100.2031)</f>
        <v>100.2031</v>
      </c>
      <c r="E50" s="11">
        <f>IFERROR(__xludf.DUMMYFUNCTION("""COMPUTED_VALUE"""),44562.0)</f>
        <v>44562</v>
      </c>
      <c r="F50" s="9">
        <f>IFERROR(__xludf.DUMMYFUNCTION("""COMPUTED_VALUE"""),100.2031)</f>
        <v>100.2031</v>
      </c>
      <c r="H50" s="17"/>
      <c r="K50" s="40">
        <f>IFERROR(__xludf.DUMMYFUNCTION("""COMPUTED_VALUE"""),44562.0)</f>
        <v>44562</v>
      </c>
      <c r="L50" s="9">
        <f>IFERROR(__xludf.DUMMYFUNCTION("""COMPUTED_VALUE"""),100.2031)</f>
        <v>100.2031</v>
      </c>
      <c r="N50" s="40">
        <f>IFERROR(__xludf.DUMMYFUNCTION("""COMPUTED_VALUE"""),44562.0)</f>
        <v>44562</v>
      </c>
      <c r="O50" s="9">
        <f>IFERROR(__xludf.DUMMYFUNCTION("""COMPUTED_VALUE"""),100.2031)</f>
        <v>100.2031</v>
      </c>
    </row>
    <row r="51">
      <c r="B51" s="11">
        <f>IFERROR(__xludf.DUMMYFUNCTION("""COMPUTED_VALUE"""),44531.0)</f>
        <v>44531</v>
      </c>
      <c r="C51" s="9">
        <f>IFERROR(__xludf.DUMMYFUNCTION("""COMPUTED_VALUE"""),103.0028)</f>
        <v>103.0028</v>
      </c>
      <c r="E51" s="11">
        <f>IFERROR(__xludf.DUMMYFUNCTION("""COMPUTED_VALUE"""),44531.0)</f>
        <v>44531</v>
      </c>
      <c r="F51" s="9">
        <f>IFERROR(__xludf.DUMMYFUNCTION("""COMPUTED_VALUE"""),103.0028)</f>
        <v>103.0028</v>
      </c>
      <c r="H51" s="17"/>
      <c r="K51" s="40">
        <f>IFERROR(__xludf.DUMMYFUNCTION("""COMPUTED_VALUE"""),44531.0)</f>
        <v>44531</v>
      </c>
      <c r="L51" s="9">
        <f>IFERROR(__xludf.DUMMYFUNCTION("""COMPUTED_VALUE"""),103.0028)</f>
        <v>103.0028</v>
      </c>
      <c r="N51" s="40">
        <f>IFERROR(__xludf.DUMMYFUNCTION("""COMPUTED_VALUE"""),44531.0)</f>
        <v>44531</v>
      </c>
      <c r="O51" s="9">
        <f>IFERROR(__xludf.DUMMYFUNCTION("""COMPUTED_VALUE"""),103.0028)</f>
        <v>103.0028</v>
      </c>
    </row>
    <row r="52">
      <c r="B52" s="11">
        <f>IFERROR(__xludf.DUMMYFUNCTION("""COMPUTED_VALUE"""),44501.0)</f>
        <v>44501</v>
      </c>
      <c r="C52" s="9">
        <f>IFERROR(__xludf.DUMMYFUNCTION("""COMPUTED_VALUE"""),105.3374)</f>
        <v>105.3374</v>
      </c>
      <c r="E52" s="11">
        <f>IFERROR(__xludf.DUMMYFUNCTION("""COMPUTED_VALUE"""),44501.0)</f>
        <v>44501</v>
      </c>
      <c r="F52" s="9">
        <f>IFERROR(__xludf.DUMMYFUNCTION("""COMPUTED_VALUE"""),105.3374)</f>
        <v>105.3374</v>
      </c>
      <c r="H52" s="17"/>
      <c r="K52" s="40">
        <f>IFERROR(__xludf.DUMMYFUNCTION("""COMPUTED_VALUE"""),44501.0)</f>
        <v>44501</v>
      </c>
      <c r="L52" s="9">
        <f>IFERROR(__xludf.DUMMYFUNCTION("""COMPUTED_VALUE"""),105.3374)</f>
        <v>105.3374</v>
      </c>
      <c r="N52" s="40">
        <f>IFERROR(__xludf.DUMMYFUNCTION("""COMPUTED_VALUE"""),44501.0)</f>
        <v>44501</v>
      </c>
      <c r="O52" s="9">
        <f>IFERROR(__xludf.DUMMYFUNCTION("""COMPUTED_VALUE"""),105.3374)</f>
        <v>105.3374</v>
      </c>
    </row>
    <row r="53">
      <c r="B53" s="11">
        <f>IFERROR(__xludf.DUMMYFUNCTION("""COMPUTED_VALUE"""),44470.0)</f>
        <v>44470</v>
      </c>
      <c r="C53" s="9">
        <f>IFERROR(__xludf.DUMMYFUNCTION("""COMPUTED_VALUE"""),106.5692)</f>
        <v>106.5692</v>
      </c>
      <c r="E53" s="11">
        <f>IFERROR(__xludf.DUMMYFUNCTION("""COMPUTED_VALUE"""),44470.0)</f>
        <v>44470</v>
      </c>
      <c r="F53" s="9">
        <f>IFERROR(__xludf.DUMMYFUNCTION("""COMPUTED_VALUE"""),106.5692)</f>
        <v>106.5692</v>
      </c>
      <c r="H53" s="17"/>
      <c r="K53" s="40">
        <f>IFERROR(__xludf.DUMMYFUNCTION("""COMPUTED_VALUE"""),44470.0)</f>
        <v>44470</v>
      </c>
      <c r="L53" s="9">
        <f>IFERROR(__xludf.DUMMYFUNCTION("""COMPUTED_VALUE"""),106.5692)</f>
        <v>106.5692</v>
      </c>
      <c r="N53" s="40">
        <f>IFERROR(__xludf.DUMMYFUNCTION("""COMPUTED_VALUE"""),44470.0)</f>
        <v>44470</v>
      </c>
      <c r="O53" s="9">
        <f>IFERROR(__xludf.DUMMYFUNCTION("""COMPUTED_VALUE"""),106.5692)</f>
        <v>106.5692</v>
      </c>
    </row>
    <row r="54">
      <c r="B54" s="11">
        <f>IFERROR(__xludf.DUMMYFUNCTION("""COMPUTED_VALUE"""),44440.0)</f>
        <v>44440</v>
      </c>
      <c r="C54" s="9">
        <f>IFERROR(__xludf.DUMMYFUNCTION("""COMPUTED_VALUE"""),106.547)</f>
        <v>106.547</v>
      </c>
      <c r="E54" s="11">
        <f>IFERROR(__xludf.DUMMYFUNCTION("""COMPUTED_VALUE"""),44440.0)</f>
        <v>44440</v>
      </c>
      <c r="F54" s="9">
        <f>IFERROR(__xludf.DUMMYFUNCTION("""COMPUTED_VALUE"""),106.547)</f>
        <v>106.547</v>
      </c>
      <c r="H54" s="17"/>
      <c r="K54" s="40">
        <f>IFERROR(__xludf.DUMMYFUNCTION("""COMPUTED_VALUE"""),44440.0)</f>
        <v>44440</v>
      </c>
      <c r="L54" s="9">
        <f>IFERROR(__xludf.DUMMYFUNCTION("""COMPUTED_VALUE"""),106.547)</f>
        <v>106.547</v>
      </c>
      <c r="N54" s="40">
        <f>IFERROR(__xludf.DUMMYFUNCTION("""COMPUTED_VALUE"""),44440.0)</f>
        <v>44440</v>
      </c>
      <c r="O54" s="9">
        <f>IFERROR(__xludf.DUMMYFUNCTION("""COMPUTED_VALUE"""),106.547)</f>
        <v>106.547</v>
      </c>
    </row>
    <row r="55">
      <c r="B55" s="11">
        <f>IFERROR(__xludf.DUMMYFUNCTION("""COMPUTED_VALUE"""),44409.0)</f>
        <v>44409</v>
      </c>
      <c r="C55" s="9">
        <f>IFERROR(__xludf.DUMMYFUNCTION("""COMPUTED_VALUE"""),109.0786)</f>
        <v>109.0786</v>
      </c>
      <c r="E55" s="11">
        <f>IFERROR(__xludf.DUMMYFUNCTION("""COMPUTED_VALUE"""),44409.0)</f>
        <v>44409</v>
      </c>
      <c r="F55" s="9">
        <f>IFERROR(__xludf.DUMMYFUNCTION("""COMPUTED_VALUE"""),109.0786)</f>
        <v>109.0786</v>
      </c>
      <c r="H55" s="17"/>
      <c r="K55" s="40">
        <f>IFERROR(__xludf.DUMMYFUNCTION("""COMPUTED_VALUE"""),44409.0)</f>
        <v>44409</v>
      </c>
      <c r="L55" s="9">
        <f>IFERROR(__xludf.DUMMYFUNCTION("""COMPUTED_VALUE"""),109.0786)</f>
        <v>109.0786</v>
      </c>
      <c r="N55" s="40">
        <f>IFERROR(__xludf.DUMMYFUNCTION("""COMPUTED_VALUE"""),44409.0)</f>
        <v>44409</v>
      </c>
      <c r="O55" s="9">
        <f>IFERROR(__xludf.DUMMYFUNCTION("""COMPUTED_VALUE"""),109.0786)</f>
        <v>109.0786</v>
      </c>
    </row>
    <row r="56">
      <c r="B56" s="11">
        <f>IFERROR(__xludf.DUMMYFUNCTION("""COMPUTED_VALUE"""),44378.0)</f>
        <v>44378</v>
      </c>
      <c r="C56" s="9">
        <f>IFERROR(__xludf.DUMMYFUNCTION("""COMPUTED_VALUE"""),110.9071)</f>
        <v>110.9071</v>
      </c>
      <c r="E56" s="11">
        <f>IFERROR(__xludf.DUMMYFUNCTION("""COMPUTED_VALUE"""),44378.0)</f>
        <v>44378</v>
      </c>
      <c r="F56" s="9">
        <f>IFERROR(__xludf.DUMMYFUNCTION("""COMPUTED_VALUE"""),110.9071)</f>
        <v>110.9071</v>
      </c>
      <c r="H56" s="17"/>
      <c r="K56" s="40">
        <f>IFERROR(__xludf.DUMMYFUNCTION("""COMPUTED_VALUE"""),44378.0)</f>
        <v>44378</v>
      </c>
      <c r="L56" s="9">
        <f>IFERROR(__xludf.DUMMYFUNCTION("""COMPUTED_VALUE"""),110.9071)</f>
        <v>110.9071</v>
      </c>
      <c r="N56" s="40">
        <f>IFERROR(__xludf.DUMMYFUNCTION("""COMPUTED_VALUE"""),44378.0)</f>
        <v>44378</v>
      </c>
      <c r="O56" s="9">
        <f>IFERROR(__xludf.DUMMYFUNCTION("""COMPUTED_VALUE"""),110.9071)</f>
        <v>110.9071</v>
      </c>
    </row>
    <row r="57">
      <c r="B57" s="11">
        <f>IFERROR(__xludf.DUMMYFUNCTION("""COMPUTED_VALUE"""),44348.0)</f>
        <v>44348</v>
      </c>
      <c r="C57" s="9">
        <f>IFERROR(__xludf.DUMMYFUNCTION("""COMPUTED_VALUE"""),110.018)</f>
        <v>110.018</v>
      </c>
      <c r="E57" s="11">
        <f>IFERROR(__xludf.DUMMYFUNCTION("""COMPUTED_VALUE"""),44348.0)</f>
        <v>44348</v>
      </c>
      <c r="F57" s="9">
        <f>IFERROR(__xludf.DUMMYFUNCTION("""COMPUTED_VALUE"""),110.018)</f>
        <v>110.018</v>
      </c>
      <c r="H57" s="17"/>
      <c r="K57" s="40">
        <f>IFERROR(__xludf.DUMMYFUNCTION("""COMPUTED_VALUE"""),44348.0)</f>
        <v>44348</v>
      </c>
      <c r="L57" s="9">
        <f>IFERROR(__xludf.DUMMYFUNCTION("""COMPUTED_VALUE"""),110.018)</f>
        <v>110.018</v>
      </c>
      <c r="N57" s="40">
        <f>IFERROR(__xludf.DUMMYFUNCTION("""COMPUTED_VALUE"""),44348.0)</f>
        <v>44348</v>
      </c>
      <c r="O57" s="9">
        <f>IFERROR(__xludf.DUMMYFUNCTION("""COMPUTED_VALUE"""),110.018)</f>
        <v>110.018</v>
      </c>
    </row>
    <row r="58">
      <c r="B58" s="11">
        <f>IFERROR(__xludf.DUMMYFUNCTION("""COMPUTED_VALUE"""),44317.0)</f>
        <v>44317</v>
      </c>
      <c r="C58" s="9">
        <f>IFERROR(__xludf.DUMMYFUNCTION("""COMPUTED_VALUE"""),108.7078)</f>
        <v>108.7078</v>
      </c>
      <c r="E58" s="11">
        <f>IFERROR(__xludf.DUMMYFUNCTION("""COMPUTED_VALUE"""),44317.0)</f>
        <v>44317</v>
      </c>
      <c r="F58" s="9">
        <f>IFERROR(__xludf.DUMMYFUNCTION("""COMPUTED_VALUE"""),108.7078)</f>
        <v>108.7078</v>
      </c>
      <c r="H58" s="17"/>
      <c r="K58" s="40">
        <f>IFERROR(__xludf.DUMMYFUNCTION("""COMPUTED_VALUE"""),44317.0)</f>
        <v>44317</v>
      </c>
      <c r="L58" s="9">
        <f>IFERROR(__xludf.DUMMYFUNCTION("""COMPUTED_VALUE"""),108.7078)</f>
        <v>108.7078</v>
      </c>
      <c r="N58" s="40">
        <f>IFERROR(__xludf.DUMMYFUNCTION("""COMPUTED_VALUE"""),44317.0)</f>
        <v>44317</v>
      </c>
      <c r="O58" s="9">
        <f>IFERROR(__xludf.DUMMYFUNCTION("""COMPUTED_VALUE"""),108.7078)</f>
        <v>108.7078</v>
      </c>
    </row>
    <row r="59">
      <c r="B59" s="11">
        <f>IFERROR(__xludf.DUMMYFUNCTION("""COMPUTED_VALUE"""),44287.0)</f>
        <v>44287</v>
      </c>
      <c r="C59" s="9">
        <f>IFERROR(__xludf.DUMMYFUNCTION("""COMPUTED_VALUE"""),110.3263)</f>
        <v>110.3263</v>
      </c>
      <c r="E59" s="11">
        <f>IFERROR(__xludf.DUMMYFUNCTION("""COMPUTED_VALUE"""),44287.0)</f>
        <v>44287</v>
      </c>
      <c r="F59" s="9">
        <f>IFERROR(__xludf.DUMMYFUNCTION("""COMPUTED_VALUE"""),110.3263)</f>
        <v>110.3263</v>
      </c>
      <c r="H59" s="17"/>
      <c r="K59" s="40">
        <f>IFERROR(__xludf.DUMMYFUNCTION("""COMPUTED_VALUE"""),44287.0)</f>
        <v>44287</v>
      </c>
      <c r="L59" s="9">
        <f>IFERROR(__xludf.DUMMYFUNCTION("""COMPUTED_VALUE"""),110.3263)</f>
        <v>110.3263</v>
      </c>
      <c r="N59" s="40">
        <f>IFERROR(__xludf.DUMMYFUNCTION("""COMPUTED_VALUE"""),44287.0)</f>
        <v>44287</v>
      </c>
      <c r="O59" s="9">
        <f>IFERROR(__xludf.DUMMYFUNCTION("""COMPUTED_VALUE"""),110.3263)</f>
        <v>110.3263</v>
      </c>
    </row>
    <row r="60">
      <c r="B60" s="11">
        <f>IFERROR(__xludf.DUMMYFUNCTION("""COMPUTED_VALUE"""),44256.0)</f>
        <v>44256</v>
      </c>
      <c r="C60" s="9">
        <f>IFERROR(__xludf.DUMMYFUNCTION("""COMPUTED_VALUE"""),111.5581)</f>
        <v>111.5581</v>
      </c>
      <c r="E60" s="11">
        <f>IFERROR(__xludf.DUMMYFUNCTION("""COMPUTED_VALUE"""),44256.0)</f>
        <v>44256</v>
      </c>
      <c r="F60" s="9">
        <f>IFERROR(__xludf.DUMMYFUNCTION("""COMPUTED_VALUE"""),111.5581)</f>
        <v>111.5581</v>
      </c>
      <c r="H60" s="17"/>
      <c r="K60" s="40">
        <f>IFERROR(__xludf.DUMMYFUNCTION("""COMPUTED_VALUE"""),44256.0)</f>
        <v>44256</v>
      </c>
      <c r="L60" s="9">
        <f>IFERROR(__xludf.DUMMYFUNCTION("""COMPUTED_VALUE"""),111.5581)</f>
        <v>111.5581</v>
      </c>
      <c r="N60" s="40">
        <f>IFERROR(__xludf.DUMMYFUNCTION("""COMPUTED_VALUE"""),44256.0)</f>
        <v>44256</v>
      </c>
      <c r="O60" s="9">
        <f>IFERROR(__xludf.DUMMYFUNCTION("""COMPUTED_VALUE"""),111.5581)</f>
        <v>111.5581</v>
      </c>
    </row>
    <row r="61">
      <c r="B61" s="11">
        <f>IFERROR(__xludf.DUMMYFUNCTION("""COMPUTED_VALUE"""),44228.0)</f>
        <v>44228</v>
      </c>
      <c r="C61" s="9">
        <f>IFERROR(__xludf.DUMMYFUNCTION("""COMPUTED_VALUE"""),109.0959)</f>
        <v>109.0959</v>
      </c>
      <c r="E61" s="11">
        <f>IFERROR(__xludf.DUMMYFUNCTION("""COMPUTED_VALUE"""),44228.0)</f>
        <v>44228</v>
      </c>
      <c r="F61" s="9">
        <f>IFERROR(__xludf.DUMMYFUNCTION("""COMPUTED_VALUE"""),109.0959)</f>
        <v>109.0959</v>
      </c>
      <c r="H61" s="17"/>
      <c r="K61" s="40">
        <f>IFERROR(__xludf.DUMMYFUNCTION("""COMPUTED_VALUE"""),44228.0)</f>
        <v>44228</v>
      </c>
      <c r="L61" s="9">
        <f>IFERROR(__xludf.DUMMYFUNCTION("""COMPUTED_VALUE"""),109.0959)</f>
        <v>109.0959</v>
      </c>
      <c r="N61" s="40">
        <f>IFERROR(__xludf.DUMMYFUNCTION("""COMPUTED_VALUE"""),44228.0)</f>
        <v>44228</v>
      </c>
      <c r="O61" s="9">
        <f>IFERROR(__xludf.DUMMYFUNCTION("""COMPUTED_VALUE"""),109.0959)</f>
        <v>109.0959</v>
      </c>
    </row>
    <row r="62">
      <c r="B62" s="11">
        <f>IFERROR(__xludf.DUMMYFUNCTION("""COMPUTED_VALUE"""),44197.0)</f>
        <v>44197</v>
      </c>
      <c r="C62" s="9">
        <f>IFERROR(__xludf.DUMMYFUNCTION("""COMPUTED_VALUE"""),110.1416)</f>
        <v>110.1416</v>
      </c>
      <c r="E62" s="11"/>
      <c r="H62" s="17"/>
      <c r="K62" s="40">
        <f>IFERROR(__xludf.DUMMYFUNCTION("""COMPUTED_VALUE"""),44197.0)</f>
        <v>44197</v>
      </c>
      <c r="L62" s="9">
        <f>IFERROR(__xludf.DUMMYFUNCTION("""COMPUTED_VALUE"""),110.1416)</f>
        <v>110.1416</v>
      </c>
      <c r="N62" s="40">
        <f>IFERROR(__xludf.DUMMYFUNCTION("""COMPUTED_VALUE"""),44197.0)</f>
        <v>44197</v>
      </c>
      <c r="O62" s="9">
        <f>IFERROR(__xludf.DUMMYFUNCTION("""COMPUTED_VALUE"""),110.1416)</f>
        <v>110.1416</v>
      </c>
    </row>
    <row r="63">
      <c r="B63" s="11">
        <f>IFERROR(__xludf.DUMMYFUNCTION("""COMPUTED_VALUE"""),44166.0)</f>
        <v>44166</v>
      </c>
      <c r="C63" s="9">
        <f>IFERROR(__xludf.DUMMYFUNCTION("""COMPUTED_VALUE"""),106.9925)</f>
        <v>106.9925</v>
      </c>
      <c r="E63" s="11"/>
      <c r="H63" s="17"/>
      <c r="K63" s="40">
        <f>IFERROR(__xludf.DUMMYFUNCTION("""COMPUTED_VALUE"""),44166.0)</f>
        <v>44166</v>
      </c>
      <c r="L63" s="9">
        <f>IFERROR(__xludf.DUMMYFUNCTION("""COMPUTED_VALUE"""),106.9925)</f>
        <v>106.9925</v>
      </c>
      <c r="N63" s="40">
        <f>IFERROR(__xludf.DUMMYFUNCTION("""COMPUTED_VALUE"""),44166.0)</f>
        <v>44166</v>
      </c>
      <c r="O63" s="9">
        <f>IFERROR(__xludf.DUMMYFUNCTION("""COMPUTED_VALUE"""),106.9925)</f>
        <v>106.9925</v>
      </c>
    </row>
    <row r="64">
      <c r="B64" s="11">
        <f>IFERROR(__xludf.DUMMYFUNCTION("""COMPUTED_VALUE"""),44136.0)</f>
        <v>44136</v>
      </c>
      <c r="C64" s="9">
        <f>IFERROR(__xludf.DUMMYFUNCTION("""COMPUTED_VALUE"""),108.7395)</f>
        <v>108.7395</v>
      </c>
      <c r="E64" s="11"/>
      <c r="H64" s="17"/>
      <c r="K64" s="40">
        <f>IFERROR(__xludf.DUMMYFUNCTION("""COMPUTED_VALUE"""),44136.0)</f>
        <v>44136</v>
      </c>
      <c r="L64" s="9">
        <f>IFERROR(__xludf.DUMMYFUNCTION("""COMPUTED_VALUE"""),108.7395)</f>
        <v>108.7395</v>
      </c>
      <c r="N64" s="40">
        <f>IFERROR(__xludf.DUMMYFUNCTION("""COMPUTED_VALUE"""),44136.0)</f>
        <v>44136</v>
      </c>
      <c r="O64" s="9">
        <f>IFERROR(__xludf.DUMMYFUNCTION("""COMPUTED_VALUE"""),108.7395)</f>
        <v>108.7395</v>
      </c>
    </row>
    <row r="65">
      <c r="B65" s="11">
        <f>IFERROR(__xludf.DUMMYFUNCTION("""COMPUTED_VALUE"""),44105.0)</f>
        <v>44105</v>
      </c>
      <c r="C65" s="9">
        <f>IFERROR(__xludf.DUMMYFUNCTION("""COMPUTED_VALUE"""),108.0559)</f>
        <v>108.0559</v>
      </c>
      <c r="E65" s="11"/>
      <c r="H65" s="17"/>
      <c r="K65" s="40">
        <f>IFERROR(__xludf.DUMMYFUNCTION("""COMPUTED_VALUE"""),44105.0)</f>
        <v>44105</v>
      </c>
      <c r="L65" s="9">
        <f>IFERROR(__xludf.DUMMYFUNCTION("""COMPUTED_VALUE"""),108.0559)</f>
        <v>108.0559</v>
      </c>
      <c r="N65" s="40">
        <f>IFERROR(__xludf.DUMMYFUNCTION("""COMPUTED_VALUE"""),44105.0)</f>
        <v>44105</v>
      </c>
      <c r="O65" s="9">
        <f>IFERROR(__xludf.DUMMYFUNCTION("""COMPUTED_VALUE"""),108.0559)</f>
        <v>108.0559</v>
      </c>
    </row>
    <row r="66">
      <c r="B66" s="11">
        <f>IFERROR(__xludf.DUMMYFUNCTION("""COMPUTED_VALUE"""),44075.0)</f>
        <v>44075</v>
      </c>
      <c r="C66" s="9">
        <f>IFERROR(__xludf.DUMMYFUNCTION("""COMPUTED_VALUE"""),106.6675)</f>
        <v>106.6675</v>
      </c>
      <c r="E66" s="11"/>
      <c r="H66" s="17"/>
      <c r="K66" s="40">
        <f>IFERROR(__xludf.DUMMYFUNCTION("""COMPUTED_VALUE"""),44075.0)</f>
        <v>44075</v>
      </c>
      <c r="L66" s="9">
        <f>IFERROR(__xludf.DUMMYFUNCTION("""COMPUTED_VALUE"""),106.6675)</f>
        <v>106.6675</v>
      </c>
      <c r="N66" s="40">
        <f>IFERROR(__xludf.DUMMYFUNCTION("""COMPUTED_VALUE"""),44075.0)</f>
        <v>44075</v>
      </c>
      <c r="O66" s="9">
        <f>IFERROR(__xludf.DUMMYFUNCTION("""COMPUTED_VALUE"""),106.6675)</f>
        <v>106.6675</v>
      </c>
    </row>
    <row r="67">
      <c r="B67" s="11">
        <f>IFERROR(__xludf.DUMMYFUNCTION("""COMPUTED_VALUE"""),44044.0)</f>
        <v>44044</v>
      </c>
      <c r="C67" s="9">
        <f>IFERROR(__xludf.DUMMYFUNCTION("""COMPUTED_VALUE"""),106.9941)</f>
        <v>106.9941</v>
      </c>
      <c r="E67" s="11"/>
      <c r="H67" s="17"/>
      <c r="K67" s="40">
        <f>IFERROR(__xludf.DUMMYFUNCTION("""COMPUTED_VALUE"""),44044.0)</f>
        <v>44044</v>
      </c>
      <c r="L67" s="9">
        <f>IFERROR(__xludf.DUMMYFUNCTION("""COMPUTED_VALUE"""),106.9941)</f>
        <v>106.9941</v>
      </c>
      <c r="N67" s="40">
        <f>IFERROR(__xludf.DUMMYFUNCTION("""COMPUTED_VALUE"""),44044.0)</f>
        <v>44044</v>
      </c>
      <c r="O67" s="9">
        <f>IFERROR(__xludf.DUMMYFUNCTION("""COMPUTED_VALUE"""),106.9941)</f>
        <v>106.9941</v>
      </c>
    </row>
    <row r="68">
      <c r="B68" s="11">
        <f>IFERROR(__xludf.DUMMYFUNCTION("""COMPUTED_VALUE"""),44013.0)</f>
        <v>44013</v>
      </c>
      <c r="C68" s="9">
        <f>IFERROR(__xludf.DUMMYFUNCTION("""COMPUTED_VALUE"""),105.6183)</f>
        <v>105.6183</v>
      </c>
      <c r="E68" s="11"/>
      <c r="H68" s="17"/>
      <c r="K68" s="40">
        <f>IFERROR(__xludf.DUMMYFUNCTION("""COMPUTED_VALUE"""),44013.0)</f>
        <v>44013</v>
      </c>
      <c r="L68" s="9">
        <f>IFERROR(__xludf.DUMMYFUNCTION("""COMPUTED_VALUE"""),105.6183)</f>
        <v>105.6183</v>
      </c>
      <c r="N68" s="40">
        <f>IFERROR(__xludf.DUMMYFUNCTION("""COMPUTED_VALUE"""),44013.0)</f>
        <v>44013</v>
      </c>
      <c r="O68" s="9">
        <f>IFERROR(__xludf.DUMMYFUNCTION("""COMPUTED_VALUE"""),105.6183)</f>
        <v>105.6183</v>
      </c>
    </row>
    <row r="69">
      <c r="B69" s="11">
        <f>IFERROR(__xludf.DUMMYFUNCTION("""COMPUTED_VALUE"""),43983.0)</f>
        <v>43983</v>
      </c>
      <c r="C69" s="9">
        <f>IFERROR(__xludf.DUMMYFUNCTION("""COMPUTED_VALUE"""),106.0128)</f>
        <v>106.0128</v>
      </c>
      <c r="E69" s="11"/>
      <c r="H69" s="17"/>
      <c r="K69" s="40">
        <f>IFERROR(__xludf.DUMMYFUNCTION("""COMPUTED_VALUE"""),43983.0)</f>
        <v>43983</v>
      </c>
      <c r="L69" s="9">
        <f>IFERROR(__xludf.DUMMYFUNCTION("""COMPUTED_VALUE"""),106.0128)</f>
        <v>106.0128</v>
      </c>
      <c r="N69" s="40">
        <f>IFERROR(__xludf.DUMMYFUNCTION("""COMPUTED_VALUE"""),43983.0)</f>
        <v>43983</v>
      </c>
      <c r="O69" s="9">
        <f>IFERROR(__xludf.DUMMYFUNCTION("""COMPUTED_VALUE"""),106.0128)</f>
        <v>106.0128</v>
      </c>
    </row>
    <row r="70">
      <c r="B70" s="11">
        <f>IFERROR(__xludf.DUMMYFUNCTION("""COMPUTED_VALUE"""),43952.0)</f>
        <v>43952</v>
      </c>
      <c r="C70" s="9">
        <f>IFERROR(__xludf.DUMMYFUNCTION("""COMPUTED_VALUE"""),105.8368)</f>
        <v>105.8368</v>
      </c>
      <c r="E70" s="11"/>
      <c r="H70" s="17"/>
      <c r="K70" s="40">
        <f>IFERROR(__xludf.DUMMYFUNCTION("""COMPUTED_VALUE"""),43952.0)</f>
        <v>43952</v>
      </c>
      <c r="L70" s="9">
        <f>IFERROR(__xludf.DUMMYFUNCTION("""COMPUTED_VALUE"""),105.8368)</f>
        <v>105.8368</v>
      </c>
      <c r="N70" s="40">
        <f>IFERROR(__xludf.DUMMYFUNCTION("""COMPUTED_VALUE"""),43952.0)</f>
        <v>43952</v>
      </c>
      <c r="O70" s="9">
        <f>IFERROR(__xludf.DUMMYFUNCTION("""COMPUTED_VALUE"""),105.8368)</f>
        <v>105.8368</v>
      </c>
    </row>
    <row r="71">
      <c r="B71" s="11">
        <f>IFERROR(__xludf.DUMMYFUNCTION("""COMPUTED_VALUE"""),43922.0)</f>
        <v>43922</v>
      </c>
      <c r="C71" s="9">
        <f>IFERROR(__xludf.DUMMYFUNCTION("""COMPUTED_VALUE"""),99.3349)</f>
        <v>99.3349</v>
      </c>
      <c r="E71" s="11"/>
      <c r="H71" s="17"/>
      <c r="K71" s="40">
        <f>IFERROR(__xludf.DUMMYFUNCTION("""COMPUTED_VALUE"""),43922.0)</f>
        <v>43922</v>
      </c>
      <c r="L71" s="9">
        <f>IFERROR(__xludf.DUMMYFUNCTION("""COMPUTED_VALUE"""),99.3349)</f>
        <v>99.3349</v>
      </c>
      <c r="N71" s="40">
        <f>IFERROR(__xludf.DUMMYFUNCTION("""COMPUTED_VALUE"""),43922.0)</f>
        <v>43922</v>
      </c>
      <c r="O71" s="9">
        <f>IFERROR(__xludf.DUMMYFUNCTION("""COMPUTED_VALUE"""),99.3349)</f>
        <v>99.3349</v>
      </c>
    </row>
    <row r="72">
      <c r="B72" s="11">
        <f>IFERROR(__xludf.DUMMYFUNCTION("""COMPUTED_VALUE"""),43891.0)</f>
        <v>43891</v>
      </c>
      <c r="C72" s="9">
        <f>IFERROR(__xludf.DUMMYFUNCTION("""COMPUTED_VALUE"""),112.7994)</f>
        <v>112.7994</v>
      </c>
      <c r="E72" s="11"/>
      <c r="H72" s="17"/>
      <c r="K72" s="40">
        <f>IFERROR(__xludf.DUMMYFUNCTION("""COMPUTED_VALUE"""),43891.0)</f>
        <v>43891</v>
      </c>
      <c r="L72" s="9">
        <f>IFERROR(__xludf.DUMMYFUNCTION("""COMPUTED_VALUE"""),112.7994)</f>
        <v>112.7994</v>
      </c>
      <c r="N72" s="40">
        <f>IFERROR(__xludf.DUMMYFUNCTION("""COMPUTED_VALUE"""),43891.0)</f>
        <v>43891</v>
      </c>
      <c r="O72" s="9">
        <f>IFERROR(__xludf.DUMMYFUNCTION("""COMPUTED_VALUE"""),112.7994)</f>
        <v>112.7994</v>
      </c>
    </row>
    <row r="73">
      <c r="B73" s="11">
        <f>IFERROR(__xludf.DUMMYFUNCTION("""COMPUTED_VALUE"""),43862.0)</f>
        <v>43862</v>
      </c>
      <c r="C73" s="9">
        <f>IFERROR(__xludf.DUMMYFUNCTION("""COMPUTED_VALUE"""),114.4561)</f>
        <v>114.4561</v>
      </c>
      <c r="E73" s="11"/>
      <c r="H73" s="17"/>
      <c r="K73" s="40">
        <f>IFERROR(__xludf.DUMMYFUNCTION("""COMPUTED_VALUE"""),43862.0)</f>
        <v>43862</v>
      </c>
      <c r="L73" s="9">
        <f>IFERROR(__xludf.DUMMYFUNCTION("""COMPUTED_VALUE"""),114.4561)</f>
        <v>114.4561</v>
      </c>
      <c r="N73" s="40">
        <f>IFERROR(__xludf.DUMMYFUNCTION("""COMPUTED_VALUE"""),43862.0)</f>
        <v>43862</v>
      </c>
      <c r="O73" s="9">
        <f>IFERROR(__xludf.DUMMYFUNCTION("""COMPUTED_VALUE"""),114.4561)</f>
        <v>114.4561</v>
      </c>
    </row>
    <row r="74">
      <c r="B74" s="11">
        <f>IFERROR(__xludf.DUMMYFUNCTION("""COMPUTED_VALUE"""),43831.0)</f>
        <v>43831</v>
      </c>
      <c r="C74" s="9">
        <f>IFERROR(__xludf.DUMMYFUNCTION("""COMPUTED_VALUE"""),113.0986)</f>
        <v>113.0986</v>
      </c>
      <c r="E74" s="11"/>
      <c r="H74" s="17"/>
      <c r="K74" s="40">
        <f>IFERROR(__xludf.DUMMYFUNCTION("""COMPUTED_VALUE"""),43831.0)</f>
        <v>43831</v>
      </c>
      <c r="L74" s="9">
        <f>IFERROR(__xludf.DUMMYFUNCTION("""COMPUTED_VALUE"""),113.0986)</f>
        <v>113.0986</v>
      </c>
      <c r="N74" s="40">
        <f>IFERROR(__xludf.DUMMYFUNCTION("""COMPUTED_VALUE"""),43831.0)</f>
        <v>43831</v>
      </c>
      <c r="O74" s="9">
        <f>IFERROR(__xludf.DUMMYFUNCTION("""COMPUTED_VALUE"""),113.0986)</f>
        <v>113.0986</v>
      </c>
    </row>
    <row r="75">
      <c r="B75" s="11">
        <f>IFERROR(__xludf.DUMMYFUNCTION("""COMPUTED_VALUE"""),43800.0)</f>
        <v>43800</v>
      </c>
      <c r="C75" s="9">
        <f>IFERROR(__xludf.DUMMYFUNCTION("""COMPUTED_VALUE"""),117.3236)</f>
        <v>117.3236</v>
      </c>
      <c r="E75" s="11"/>
      <c r="H75" s="17"/>
      <c r="K75" s="40">
        <f>IFERROR(__xludf.DUMMYFUNCTION("""COMPUTED_VALUE"""),43800.0)</f>
        <v>43800</v>
      </c>
      <c r="L75" s="9">
        <f>IFERROR(__xludf.DUMMYFUNCTION("""COMPUTED_VALUE"""),117.3236)</f>
        <v>117.3236</v>
      </c>
      <c r="N75" s="40">
        <f>IFERROR(__xludf.DUMMYFUNCTION("""COMPUTED_VALUE"""),43800.0)</f>
        <v>43800</v>
      </c>
      <c r="O75" s="9">
        <f>IFERROR(__xludf.DUMMYFUNCTION("""COMPUTED_VALUE"""),117.3236)</f>
        <v>117.3236</v>
      </c>
    </row>
    <row r="76">
      <c r="B76" s="11">
        <f>IFERROR(__xludf.DUMMYFUNCTION("""COMPUTED_VALUE"""),43770.0)</f>
        <v>43770</v>
      </c>
      <c r="C76" s="9">
        <f>IFERROR(__xludf.DUMMYFUNCTION("""COMPUTED_VALUE"""),116.3754)</f>
        <v>116.3754</v>
      </c>
      <c r="E76" s="11"/>
      <c r="H76" s="17"/>
      <c r="K76" s="40">
        <f>IFERROR(__xludf.DUMMYFUNCTION("""COMPUTED_VALUE"""),43770.0)</f>
        <v>43770</v>
      </c>
      <c r="L76" s="9">
        <f>IFERROR(__xludf.DUMMYFUNCTION("""COMPUTED_VALUE"""),116.3754)</f>
        <v>116.3754</v>
      </c>
      <c r="N76" s="40">
        <f>IFERROR(__xludf.DUMMYFUNCTION("""COMPUTED_VALUE"""),43770.0)</f>
        <v>43770</v>
      </c>
      <c r="O76" s="9">
        <f>IFERROR(__xludf.DUMMYFUNCTION("""COMPUTED_VALUE"""),116.3754)</f>
        <v>116.3754</v>
      </c>
    </row>
    <row r="77">
      <c r="B77" s="11">
        <f>IFERROR(__xludf.DUMMYFUNCTION("""COMPUTED_VALUE"""),43739.0)</f>
        <v>43739</v>
      </c>
      <c r="C77" s="9">
        <f>IFERROR(__xludf.DUMMYFUNCTION("""COMPUTED_VALUE"""),116.3612)</f>
        <v>116.3612</v>
      </c>
      <c r="E77" s="11"/>
      <c r="H77" s="17"/>
      <c r="K77" s="40">
        <f>IFERROR(__xludf.DUMMYFUNCTION("""COMPUTED_VALUE"""),43739.0)</f>
        <v>43739</v>
      </c>
      <c r="L77" s="9">
        <f>IFERROR(__xludf.DUMMYFUNCTION("""COMPUTED_VALUE"""),116.3612)</f>
        <v>116.3612</v>
      </c>
      <c r="N77" s="40">
        <f>IFERROR(__xludf.DUMMYFUNCTION("""COMPUTED_VALUE"""),43739.0)</f>
        <v>43739</v>
      </c>
      <c r="O77" s="9">
        <f>IFERROR(__xludf.DUMMYFUNCTION("""COMPUTED_VALUE"""),116.3612)</f>
        <v>116.3612</v>
      </c>
    </row>
    <row r="78">
      <c r="B78" s="11">
        <f>IFERROR(__xludf.DUMMYFUNCTION("""COMPUTED_VALUE"""),43709.0)</f>
        <v>43709</v>
      </c>
      <c r="C78" s="9">
        <f>IFERROR(__xludf.DUMMYFUNCTION("""COMPUTED_VALUE"""),115.2785)</f>
        <v>115.2785</v>
      </c>
      <c r="E78" s="11"/>
      <c r="H78" s="17"/>
      <c r="K78" s="40">
        <f>IFERROR(__xludf.DUMMYFUNCTION("""COMPUTED_VALUE"""),43709.0)</f>
        <v>43709</v>
      </c>
      <c r="L78" s="9">
        <f>IFERROR(__xludf.DUMMYFUNCTION("""COMPUTED_VALUE"""),115.2785)</f>
        <v>115.2785</v>
      </c>
      <c r="N78" s="40">
        <f>IFERROR(__xludf.DUMMYFUNCTION("""COMPUTED_VALUE"""),43709.0)</f>
        <v>43709</v>
      </c>
      <c r="O78" s="9">
        <f>IFERROR(__xludf.DUMMYFUNCTION("""COMPUTED_VALUE"""),115.2785)</f>
        <v>115.2785</v>
      </c>
    </row>
    <row r="79">
      <c r="B79" s="11">
        <f>IFERROR(__xludf.DUMMYFUNCTION("""COMPUTED_VALUE"""),43678.0)</f>
        <v>43678</v>
      </c>
      <c r="C79" s="9">
        <f>IFERROR(__xludf.DUMMYFUNCTION("""COMPUTED_VALUE"""),115.2451)</f>
        <v>115.2451</v>
      </c>
      <c r="E79" s="11"/>
      <c r="H79" s="17"/>
      <c r="K79" s="40">
        <f>IFERROR(__xludf.DUMMYFUNCTION("""COMPUTED_VALUE"""),43678.0)</f>
        <v>43678</v>
      </c>
      <c r="L79" s="9">
        <f>IFERROR(__xludf.DUMMYFUNCTION("""COMPUTED_VALUE"""),115.2451)</f>
        <v>115.2451</v>
      </c>
      <c r="N79" s="40">
        <f>IFERROR(__xludf.DUMMYFUNCTION("""COMPUTED_VALUE"""),43678.0)</f>
        <v>43678</v>
      </c>
      <c r="O79" s="9">
        <f>IFERROR(__xludf.DUMMYFUNCTION("""COMPUTED_VALUE"""),115.2451)</f>
        <v>115.2451</v>
      </c>
    </row>
    <row r="80">
      <c r="B80" s="11">
        <f>IFERROR(__xludf.DUMMYFUNCTION("""COMPUTED_VALUE"""),43647.0)</f>
        <v>43647</v>
      </c>
      <c r="C80" s="9">
        <f>IFERROR(__xludf.DUMMYFUNCTION("""COMPUTED_VALUE"""),115.08)</f>
        <v>115.08</v>
      </c>
      <c r="E80" s="11"/>
      <c r="H80" s="17"/>
      <c r="K80" s="40">
        <f>IFERROR(__xludf.DUMMYFUNCTION("""COMPUTED_VALUE"""),43647.0)</f>
        <v>43647</v>
      </c>
      <c r="L80" s="9">
        <f>IFERROR(__xludf.DUMMYFUNCTION("""COMPUTED_VALUE"""),115.08)</f>
        <v>115.08</v>
      </c>
      <c r="N80" s="40">
        <f>IFERROR(__xludf.DUMMYFUNCTION("""COMPUTED_VALUE"""),43647.0)</f>
        <v>43647</v>
      </c>
      <c r="O80" s="9">
        <f>IFERROR(__xludf.DUMMYFUNCTION("""COMPUTED_VALUE"""),115.08)</f>
        <v>115.08</v>
      </c>
    </row>
    <row r="81">
      <c r="B81" s="11">
        <f>IFERROR(__xludf.DUMMYFUNCTION("""COMPUTED_VALUE"""),43617.0)</f>
        <v>43617</v>
      </c>
      <c r="C81" s="9">
        <f>IFERROR(__xludf.DUMMYFUNCTION("""COMPUTED_VALUE"""),115.7448)</f>
        <v>115.7448</v>
      </c>
      <c r="E81" s="11"/>
      <c r="H81" s="17"/>
      <c r="K81" s="40">
        <f>IFERROR(__xludf.DUMMYFUNCTION("""COMPUTED_VALUE"""),43617.0)</f>
        <v>43617</v>
      </c>
      <c r="L81" s="9">
        <f>IFERROR(__xludf.DUMMYFUNCTION("""COMPUTED_VALUE"""),115.7448)</f>
        <v>115.7448</v>
      </c>
      <c r="N81" s="40">
        <f>IFERROR(__xludf.DUMMYFUNCTION("""COMPUTED_VALUE"""),43617.0)</f>
        <v>43617</v>
      </c>
      <c r="O81" s="9">
        <f>IFERROR(__xludf.DUMMYFUNCTION("""COMPUTED_VALUE"""),115.7448)</f>
        <v>115.7448</v>
      </c>
    </row>
    <row r="82">
      <c r="B82" s="11">
        <f>IFERROR(__xludf.DUMMYFUNCTION("""COMPUTED_VALUE"""),43586.0)</f>
        <v>43586</v>
      </c>
      <c r="C82" s="9">
        <f>IFERROR(__xludf.DUMMYFUNCTION("""COMPUTED_VALUE"""),113.9313)</f>
        <v>113.9313</v>
      </c>
      <c r="E82" s="11"/>
      <c r="H82" s="17"/>
      <c r="K82" s="40">
        <f>IFERROR(__xludf.DUMMYFUNCTION("""COMPUTED_VALUE"""),43586.0)</f>
        <v>43586</v>
      </c>
      <c r="L82" s="9">
        <f>IFERROR(__xludf.DUMMYFUNCTION("""COMPUTED_VALUE"""),113.9313)</f>
        <v>113.9313</v>
      </c>
      <c r="N82" s="40">
        <f>IFERROR(__xludf.DUMMYFUNCTION("""COMPUTED_VALUE"""),43586.0)</f>
        <v>43586</v>
      </c>
      <c r="O82" s="9">
        <f>IFERROR(__xludf.DUMMYFUNCTION("""COMPUTED_VALUE"""),113.9313)</f>
        <v>113.9313</v>
      </c>
    </row>
    <row r="83">
      <c r="B83" s="11">
        <f>IFERROR(__xludf.DUMMYFUNCTION("""COMPUTED_VALUE"""),43556.0)</f>
        <v>43556</v>
      </c>
      <c r="C83" s="9">
        <f>IFERROR(__xludf.DUMMYFUNCTION("""COMPUTED_VALUE"""),114.3486)</f>
        <v>114.3486</v>
      </c>
      <c r="E83" s="11"/>
      <c r="H83" s="17"/>
      <c r="K83" s="40">
        <f>IFERROR(__xludf.DUMMYFUNCTION("""COMPUTED_VALUE"""),43556.0)</f>
        <v>43556</v>
      </c>
      <c r="L83" s="9">
        <f>IFERROR(__xludf.DUMMYFUNCTION("""COMPUTED_VALUE"""),114.3486)</f>
        <v>114.3486</v>
      </c>
      <c r="N83" s="40">
        <f>IFERROR(__xludf.DUMMYFUNCTION("""COMPUTED_VALUE"""),43556.0)</f>
        <v>43556</v>
      </c>
      <c r="O83" s="9">
        <f>IFERROR(__xludf.DUMMYFUNCTION("""COMPUTED_VALUE"""),114.3486)</f>
        <v>114.3486</v>
      </c>
    </row>
    <row r="84">
      <c r="B84" s="11">
        <f>IFERROR(__xludf.DUMMYFUNCTION("""COMPUTED_VALUE"""),43525.0)</f>
        <v>43525</v>
      </c>
      <c r="C84" s="9">
        <f>IFERROR(__xludf.DUMMYFUNCTION("""COMPUTED_VALUE"""),113.3165)</f>
        <v>113.3165</v>
      </c>
      <c r="E84" s="11"/>
      <c r="H84" s="17"/>
      <c r="K84" s="40">
        <f>IFERROR(__xludf.DUMMYFUNCTION("""COMPUTED_VALUE"""),43525.0)</f>
        <v>43525</v>
      </c>
      <c r="L84" s="9">
        <f>IFERROR(__xludf.DUMMYFUNCTION("""COMPUTED_VALUE"""),113.3165)</f>
        <v>113.3165</v>
      </c>
      <c r="N84" s="40">
        <f>IFERROR(__xludf.DUMMYFUNCTION("""COMPUTED_VALUE"""),43525.0)</f>
        <v>43525</v>
      </c>
      <c r="O84" s="9">
        <f>IFERROR(__xludf.DUMMYFUNCTION("""COMPUTED_VALUE"""),113.3165)</f>
        <v>113.3165</v>
      </c>
    </row>
    <row r="85">
      <c r="B85" s="11">
        <f>IFERROR(__xludf.DUMMYFUNCTION("""COMPUTED_VALUE"""),43497.0)</f>
        <v>43497</v>
      </c>
      <c r="C85" s="9">
        <f>IFERROR(__xludf.DUMMYFUNCTION("""COMPUTED_VALUE"""),112.327)</f>
        <v>112.327</v>
      </c>
      <c r="E85" s="11"/>
      <c r="H85" s="17"/>
      <c r="K85" s="40">
        <f>IFERROR(__xludf.DUMMYFUNCTION("""COMPUTED_VALUE"""),43497.0)</f>
        <v>43497</v>
      </c>
      <c r="L85" s="9">
        <f>IFERROR(__xludf.DUMMYFUNCTION("""COMPUTED_VALUE"""),112.327)</f>
        <v>112.327</v>
      </c>
      <c r="N85" s="40">
        <f>IFERROR(__xludf.DUMMYFUNCTION("""COMPUTED_VALUE"""),43497.0)</f>
        <v>43497</v>
      </c>
      <c r="O85" s="9">
        <f>IFERROR(__xludf.DUMMYFUNCTION("""COMPUTED_VALUE"""),112.327)</f>
        <v>112.327</v>
      </c>
    </row>
    <row r="86">
      <c r="B86" s="11">
        <f>IFERROR(__xludf.DUMMYFUNCTION("""COMPUTED_VALUE"""),43466.0)</f>
        <v>43466</v>
      </c>
      <c r="C86" s="9">
        <f>IFERROR(__xludf.DUMMYFUNCTION("""COMPUTED_VALUE"""),112.4422)</f>
        <v>112.4422</v>
      </c>
      <c r="E86" s="11"/>
      <c r="H86" s="17"/>
      <c r="K86" s="40">
        <f>IFERROR(__xludf.DUMMYFUNCTION("""COMPUTED_VALUE"""),43466.0)</f>
        <v>43466</v>
      </c>
      <c r="L86" s="9">
        <f>IFERROR(__xludf.DUMMYFUNCTION("""COMPUTED_VALUE"""),112.4422)</f>
        <v>112.4422</v>
      </c>
      <c r="N86" s="40">
        <f>IFERROR(__xludf.DUMMYFUNCTION("""COMPUTED_VALUE"""),43466.0)</f>
        <v>43466</v>
      </c>
      <c r="O86" s="9">
        <f>IFERROR(__xludf.DUMMYFUNCTION("""COMPUTED_VALUE"""),112.4422)</f>
        <v>112.4422</v>
      </c>
    </row>
    <row r="87">
      <c r="B87" s="11">
        <f>IFERROR(__xludf.DUMMYFUNCTION("""COMPUTED_VALUE"""),43435.0)</f>
        <v>43435</v>
      </c>
      <c r="C87" s="9">
        <f>IFERROR(__xludf.DUMMYFUNCTION("""COMPUTED_VALUE"""),111.5026)</f>
        <v>111.5026</v>
      </c>
      <c r="E87" s="11"/>
      <c r="H87" s="17"/>
      <c r="K87" s="40">
        <f>IFERROR(__xludf.DUMMYFUNCTION("""COMPUTED_VALUE"""),43435.0)</f>
        <v>43435</v>
      </c>
      <c r="L87" s="9">
        <f>IFERROR(__xludf.DUMMYFUNCTION("""COMPUTED_VALUE"""),111.5026)</f>
        <v>111.5026</v>
      </c>
      <c r="N87" s="40">
        <f>IFERROR(__xludf.DUMMYFUNCTION("""COMPUTED_VALUE"""),43435.0)</f>
        <v>43435</v>
      </c>
      <c r="O87" s="9">
        <f>IFERROR(__xludf.DUMMYFUNCTION("""COMPUTED_VALUE"""),111.5026)</f>
        <v>111.5026</v>
      </c>
    </row>
    <row r="88">
      <c r="B88" s="11">
        <f>IFERROR(__xludf.DUMMYFUNCTION("""COMPUTED_VALUE"""),43405.0)</f>
        <v>43405</v>
      </c>
      <c r="C88" s="9">
        <f>IFERROR(__xludf.DUMMYFUNCTION("""COMPUTED_VALUE"""),108.3638)</f>
        <v>108.3638</v>
      </c>
      <c r="E88" s="11"/>
      <c r="H88" s="17"/>
      <c r="K88" s="40">
        <f>IFERROR(__xludf.DUMMYFUNCTION("""COMPUTED_VALUE"""),43405.0)</f>
        <v>43405</v>
      </c>
      <c r="L88" s="9">
        <f>IFERROR(__xludf.DUMMYFUNCTION("""COMPUTED_VALUE"""),108.3638)</f>
        <v>108.3638</v>
      </c>
      <c r="N88" s="40">
        <f>IFERROR(__xludf.DUMMYFUNCTION("""COMPUTED_VALUE"""),43405.0)</f>
        <v>43405</v>
      </c>
      <c r="O88" s="9">
        <f>IFERROR(__xludf.DUMMYFUNCTION("""COMPUTED_VALUE"""),108.3638)</f>
        <v>108.3638</v>
      </c>
    </row>
    <row r="89">
      <c r="B89" s="11">
        <f>IFERROR(__xludf.DUMMYFUNCTION("""COMPUTED_VALUE"""),43374.0)</f>
        <v>43374</v>
      </c>
      <c r="C89" s="9">
        <f>IFERROR(__xludf.DUMMYFUNCTION("""COMPUTED_VALUE"""),108.0462)</f>
        <v>108.0462</v>
      </c>
      <c r="E89" s="11"/>
      <c r="H89" s="17"/>
      <c r="K89" s="40">
        <f>IFERROR(__xludf.DUMMYFUNCTION("""COMPUTED_VALUE"""),43374.0)</f>
        <v>43374</v>
      </c>
      <c r="L89" s="9">
        <f>IFERROR(__xludf.DUMMYFUNCTION("""COMPUTED_VALUE"""),108.0462)</f>
        <v>108.0462</v>
      </c>
      <c r="N89" s="40">
        <f>IFERROR(__xludf.DUMMYFUNCTION("""COMPUTED_VALUE"""),43374.0)</f>
        <v>43374</v>
      </c>
      <c r="O89" s="9">
        <f>IFERROR(__xludf.DUMMYFUNCTION("""COMPUTED_VALUE"""),108.0462)</f>
        <v>108.0462</v>
      </c>
    </row>
    <row r="90">
      <c r="B90" s="11">
        <f>IFERROR(__xludf.DUMMYFUNCTION("""COMPUTED_VALUE"""),43344.0)</f>
        <v>43344</v>
      </c>
      <c r="C90" s="9">
        <f>IFERROR(__xludf.DUMMYFUNCTION("""COMPUTED_VALUE"""),106.7367)</f>
        <v>106.7367</v>
      </c>
      <c r="E90" s="11"/>
      <c r="H90" s="17"/>
      <c r="K90" s="40">
        <f>IFERROR(__xludf.DUMMYFUNCTION("""COMPUTED_VALUE"""),43344.0)</f>
        <v>43344</v>
      </c>
      <c r="L90" s="9">
        <f>IFERROR(__xludf.DUMMYFUNCTION("""COMPUTED_VALUE"""),106.7367)</f>
        <v>106.7367</v>
      </c>
      <c r="N90" s="40">
        <f>IFERROR(__xludf.DUMMYFUNCTION("""COMPUTED_VALUE"""),43344.0)</f>
        <v>43344</v>
      </c>
      <c r="O90" s="9">
        <f>IFERROR(__xludf.DUMMYFUNCTION("""COMPUTED_VALUE"""),106.7367)</f>
        <v>106.7367</v>
      </c>
    </row>
    <row r="91">
      <c r="B91" s="11">
        <f>IFERROR(__xludf.DUMMYFUNCTION("""COMPUTED_VALUE"""),43313.0)</f>
        <v>43313</v>
      </c>
      <c r="C91" s="9">
        <f>IFERROR(__xludf.DUMMYFUNCTION("""COMPUTED_VALUE"""),105.4633)</f>
        <v>105.4633</v>
      </c>
      <c r="E91" s="11"/>
      <c r="H91" s="17"/>
      <c r="K91" s="40">
        <f>IFERROR(__xludf.DUMMYFUNCTION("""COMPUTED_VALUE"""),43313.0)</f>
        <v>43313</v>
      </c>
      <c r="L91" s="9">
        <f>IFERROR(__xludf.DUMMYFUNCTION("""COMPUTED_VALUE"""),105.4633)</f>
        <v>105.4633</v>
      </c>
      <c r="N91" s="40">
        <f>IFERROR(__xludf.DUMMYFUNCTION("""COMPUTED_VALUE"""),43313.0)</f>
        <v>43313</v>
      </c>
      <c r="O91" s="9">
        <f>IFERROR(__xludf.DUMMYFUNCTION("""COMPUTED_VALUE"""),105.4633)</f>
        <v>105.4633</v>
      </c>
    </row>
    <row r="92">
      <c r="B92" s="11">
        <f>IFERROR(__xludf.DUMMYFUNCTION("""COMPUTED_VALUE"""),43282.0)</f>
        <v>43282</v>
      </c>
      <c r="C92" s="9">
        <f>IFERROR(__xludf.DUMMYFUNCTION("""COMPUTED_VALUE"""),103.4493)</f>
        <v>103.4493</v>
      </c>
      <c r="E92" s="11"/>
      <c r="H92" s="17"/>
      <c r="K92" s="40">
        <f>IFERROR(__xludf.DUMMYFUNCTION("""COMPUTED_VALUE"""),43282.0)</f>
        <v>43282</v>
      </c>
      <c r="L92" s="9">
        <f>IFERROR(__xludf.DUMMYFUNCTION("""COMPUTED_VALUE"""),103.4493)</f>
        <v>103.4493</v>
      </c>
      <c r="N92" s="40">
        <f>IFERROR(__xludf.DUMMYFUNCTION("""COMPUTED_VALUE"""),43282.0)</f>
        <v>43282</v>
      </c>
      <c r="O92" s="9">
        <f>IFERROR(__xludf.DUMMYFUNCTION("""COMPUTED_VALUE"""),103.4493)</f>
        <v>103.4493</v>
      </c>
    </row>
    <row r="93">
      <c r="B93" s="11">
        <f>IFERROR(__xludf.DUMMYFUNCTION("""COMPUTED_VALUE"""),43252.0)</f>
        <v>43252</v>
      </c>
      <c r="C93" s="9">
        <f>IFERROR(__xludf.DUMMYFUNCTION("""COMPUTED_VALUE"""),103.3341)</f>
        <v>103.3341</v>
      </c>
      <c r="E93" s="11"/>
      <c r="H93" s="17"/>
      <c r="K93" s="40">
        <f>IFERROR(__xludf.DUMMYFUNCTION("""COMPUTED_VALUE"""),43252.0)</f>
        <v>43252</v>
      </c>
      <c r="L93" s="9">
        <f>IFERROR(__xludf.DUMMYFUNCTION("""COMPUTED_VALUE"""),103.3341)</f>
        <v>103.3341</v>
      </c>
      <c r="N93" s="40">
        <f>IFERROR(__xludf.DUMMYFUNCTION("""COMPUTED_VALUE"""),43252.0)</f>
        <v>43252</v>
      </c>
      <c r="O93" s="9">
        <f>IFERROR(__xludf.DUMMYFUNCTION("""COMPUTED_VALUE"""),103.3341)</f>
        <v>103.3341</v>
      </c>
    </row>
    <row r="94">
      <c r="B94" s="11">
        <f>IFERROR(__xludf.DUMMYFUNCTION("""COMPUTED_VALUE"""),43221.0)</f>
        <v>43221</v>
      </c>
      <c r="C94" s="9">
        <f>IFERROR(__xludf.DUMMYFUNCTION("""COMPUTED_VALUE"""),101.9118)</f>
        <v>101.9118</v>
      </c>
      <c r="E94" s="11"/>
      <c r="H94" s="17"/>
      <c r="K94" s="40">
        <f>IFERROR(__xludf.DUMMYFUNCTION("""COMPUTED_VALUE"""),43221.0)</f>
        <v>43221</v>
      </c>
      <c r="L94" s="9">
        <f>IFERROR(__xludf.DUMMYFUNCTION("""COMPUTED_VALUE"""),101.9118)</f>
        <v>101.9118</v>
      </c>
      <c r="N94" s="40">
        <f>IFERROR(__xludf.DUMMYFUNCTION("""COMPUTED_VALUE"""),43221.0)</f>
        <v>43221</v>
      </c>
      <c r="O94" s="9">
        <f>IFERROR(__xludf.DUMMYFUNCTION("""COMPUTED_VALUE"""),101.9118)</f>
        <v>101.9118</v>
      </c>
    </row>
    <row r="95">
      <c r="B95" s="11">
        <f>IFERROR(__xludf.DUMMYFUNCTION("""COMPUTED_VALUE"""),43191.0)</f>
        <v>43191</v>
      </c>
      <c r="C95" s="9">
        <f>IFERROR(__xludf.DUMMYFUNCTION("""COMPUTED_VALUE"""),102.0482)</f>
        <v>102.0482</v>
      </c>
      <c r="E95" s="11"/>
      <c r="H95" s="17"/>
      <c r="K95" s="40">
        <f>IFERROR(__xludf.DUMMYFUNCTION("""COMPUTED_VALUE"""),43191.0)</f>
        <v>43191</v>
      </c>
      <c r="L95" s="9">
        <f>IFERROR(__xludf.DUMMYFUNCTION("""COMPUTED_VALUE"""),102.0482)</f>
        <v>102.0482</v>
      </c>
      <c r="N95" s="40">
        <f>IFERROR(__xludf.DUMMYFUNCTION("""COMPUTED_VALUE"""),43191.0)</f>
        <v>43191</v>
      </c>
      <c r="O95" s="9">
        <f>IFERROR(__xludf.DUMMYFUNCTION("""COMPUTED_VALUE"""),102.0482)</f>
        <v>102.0482</v>
      </c>
    </row>
    <row r="96">
      <c r="B96" s="11">
        <f>IFERROR(__xludf.DUMMYFUNCTION("""COMPUTED_VALUE"""),43160.0)</f>
        <v>43160</v>
      </c>
      <c r="C96" s="9">
        <f>IFERROR(__xludf.DUMMYFUNCTION("""COMPUTED_VALUE"""),100.2197)</f>
        <v>100.2197</v>
      </c>
      <c r="E96" s="11"/>
      <c r="H96" s="17"/>
      <c r="K96" s="40">
        <f>IFERROR(__xludf.DUMMYFUNCTION("""COMPUTED_VALUE"""),43160.0)</f>
        <v>43160</v>
      </c>
      <c r="L96" s="9">
        <f>IFERROR(__xludf.DUMMYFUNCTION("""COMPUTED_VALUE"""),100.2197)</f>
        <v>100.2197</v>
      </c>
      <c r="N96" s="40">
        <f>IFERROR(__xludf.DUMMYFUNCTION("""COMPUTED_VALUE"""),43160.0)</f>
        <v>43160</v>
      </c>
      <c r="O96" s="9">
        <f>IFERROR(__xludf.DUMMYFUNCTION("""COMPUTED_VALUE"""),100.2197)</f>
        <v>100.2197</v>
      </c>
    </row>
    <row r="97">
      <c r="B97" s="11">
        <f>IFERROR(__xludf.DUMMYFUNCTION("""COMPUTED_VALUE"""),43132.0)</f>
        <v>43132</v>
      </c>
      <c r="C97" s="9">
        <f>IFERROR(__xludf.DUMMYFUNCTION("""COMPUTED_VALUE"""),100.202)</f>
        <v>100.202</v>
      </c>
      <c r="E97" s="11"/>
      <c r="H97" s="17"/>
      <c r="K97" s="40">
        <f>IFERROR(__xludf.DUMMYFUNCTION("""COMPUTED_VALUE"""),43132.0)</f>
        <v>43132</v>
      </c>
      <c r="L97" s="9">
        <f>IFERROR(__xludf.DUMMYFUNCTION("""COMPUTED_VALUE"""),100.202)</f>
        <v>100.202</v>
      </c>
      <c r="N97" s="40">
        <f>IFERROR(__xludf.DUMMYFUNCTION("""COMPUTED_VALUE"""),43132.0)</f>
        <v>43132</v>
      </c>
      <c r="O97" s="9">
        <f>IFERROR(__xludf.DUMMYFUNCTION("""COMPUTED_VALUE"""),100.202)</f>
        <v>100.202</v>
      </c>
    </row>
    <row r="98">
      <c r="B98" s="11">
        <f>IFERROR(__xludf.DUMMYFUNCTION("""COMPUTED_VALUE"""),43101.0)</f>
        <v>43101</v>
      </c>
      <c r="C98" s="9">
        <f>IFERROR(__xludf.DUMMYFUNCTION("""COMPUTED_VALUE"""),100.283)</f>
        <v>100.283</v>
      </c>
      <c r="E98" s="11"/>
      <c r="H98" s="17"/>
      <c r="K98" s="40">
        <f>IFERROR(__xludf.DUMMYFUNCTION("""COMPUTED_VALUE"""),43101.0)</f>
        <v>43101</v>
      </c>
      <c r="L98" s="9">
        <f>IFERROR(__xludf.DUMMYFUNCTION("""COMPUTED_VALUE"""),100.283)</f>
        <v>100.283</v>
      </c>
      <c r="N98" s="40">
        <f>IFERROR(__xludf.DUMMYFUNCTION("""COMPUTED_VALUE"""),43101.0)</f>
        <v>43101</v>
      </c>
      <c r="O98" s="9">
        <f>IFERROR(__xludf.DUMMYFUNCTION("""COMPUTED_VALUE"""),100.283)</f>
        <v>100.283</v>
      </c>
    </row>
    <row r="99">
      <c r="B99" s="11">
        <f>IFERROR(__xludf.DUMMYFUNCTION("""COMPUTED_VALUE"""),43070.0)</f>
        <v>43070</v>
      </c>
      <c r="C99" s="9">
        <f>IFERROR(__xludf.DUMMYFUNCTION("""COMPUTED_VALUE"""),100.2997)</f>
        <v>100.2997</v>
      </c>
      <c r="E99" s="11"/>
      <c r="H99" s="17"/>
      <c r="K99" s="40">
        <f>IFERROR(__xludf.DUMMYFUNCTION("""COMPUTED_VALUE"""),43070.0)</f>
        <v>43070</v>
      </c>
      <c r="L99" s="9">
        <f>IFERROR(__xludf.DUMMYFUNCTION("""COMPUTED_VALUE"""),100.2997)</f>
        <v>100.2997</v>
      </c>
      <c r="N99" s="40">
        <f>IFERROR(__xludf.DUMMYFUNCTION("""COMPUTED_VALUE"""),43070.0)</f>
        <v>43070</v>
      </c>
      <c r="O99" s="9">
        <f>IFERROR(__xludf.DUMMYFUNCTION("""COMPUTED_VALUE"""),100.2997)</f>
        <v>100.2997</v>
      </c>
    </row>
    <row r="100">
      <c r="B100" s="11">
        <f>IFERROR(__xludf.DUMMYFUNCTION("""COMPUTED_VALUE"""),43040.0)</f>
        <v>43040</v>
      </c>
      <c r="C100" s="9">
        <f>IFERROR(__xludf.DUMMYFUNCTION("""COMPUTED_VALUE"""),101.175)</f>
        <v>101.175</v>
      </c>
      <c r="E100" s="11"/>
      <c r="H100" s="17"/>
      <c r="K100" s="40">
        <f>IFERROR(__xludf.DUMMYFUNCTION("""COMPUTED_VALUE"""),43040.0)</f>
        <v>43040</v>
      </c>
      <c r="L100" s="9">
        <f>IFERROR(__xludf.DUMMYFUNCTION("""COMPUTED_VALUE"""),101.175)</f>
        <v>101.175</v>
      </c>
      <c r="N100" s="40">
        <f>IFERROR(__xludf.DUMMYFUNCTION("""COMPUTED_VALUE"""),43040.0)</f>
        <v>43040</v>
      </c>
      <c r="O100" s="9">
        <f>IFERROR(__xludf.DUMMYFUNCTION("""COMPUTED_VALUE"""),101.175)</f>
        <v>101.175</v>
      </c>
    </row>
    <row r="101">
      <c r="B101" s="11">
        <f>IFERROR(__xludf.DUMMYFUNCTION("""COMPUTED_VALUE"""),43009.0)</f>
        <v>43009</v>
      </c>
      <c r="C101" s="9">
        <f>IFERROR(__xludf.DUMMYFUNCTION("""COMPUTED_VALUE"""),100.7824)</f>
        <v>100.7824</v>
      </c>
      <c r="E101" s="11"/>
      <c r="H101" s="17"/>
      <c r="K101" s="40">
        <f>IFERROR(__xludf.DUMMYFUNCTION("""COMPUTED_VALUE"""),43009.0)</f>
        <v>43009</v>
      </c>
      <c r="L101" s="9">
        <f>IFERROR(__xludf.DUMMYFUNCTION("""COMPUTED_VALUE"""),100.7824)</f>
        <v>100.7824</v>
      </c>
      <c r="N101" s="40">
        <f>IFERROR(__xludf.DUMMYFUNCTION("""COMPUTED_VALUE"""),43009.0)</f>
        <v>43009</v>
      </c>
      <c r="O101" s="9">
        <f>IFERROR(__xludf.DUMMYFUNCTION("""COMPUTED_VALUE"""),100.7824)</f>
        <v>100.7824</v>
      </c>
    </row>
    <row r="102">
      <c r="B102" s="11">
        <f>IFERROR(__xludf.DUMMYFUNCTION("""COMPUTED_VALUE"""),42979.0)</f>
        <v>42979</v>
      </c>
      <c r="C102" s="9">
        <f>IFERROR(__xludf.DUMMYFUNCTION("""COMPUTED_VALUE"""),101.2831)</f>
        <v>101.2831</v>
      </c>
      <c r="E102" s="11"/>
      <c r="H102" s="17"/>
      <c r="K102" s="40">
        <f>IFERROR(__xludf.DUMMYFUNCTION("""COMPUTED_VALUE"""),42979.0)</f>
        <v>42979</v>
      </c>
      <c r="L102" s="9">
        <f>IFERROR(__xludf.DUMMYFUNCTION("""COMPUTED_VALUE"""),101.2831)</f>
        <v>101.2831</v>
      </c>
      <c r="N102" s="40">
        <f>IFERROR(__xludf.DUMMYFUNCTION("""COMPUTED_VALUE"""),42979.0)</f>
        <v>42979</v>
      </c>
      <c r="O102" s="9">
        <f>IFERROR(__xludf.DUMMYFUNCTION("""COMPUTED_VALUE"""),101.2831)</f>
        <v>101.2831</v>
      </c>
    </row>
    <row r="103">
      <c r="B103" s="11">
        <f>IFERROR(__xludf.DUMMYFUNCTION("""COMPUTED_VALUE"""),42948.0)</f>
        <v>42948</v>
      </c>
      <c r="C103" s="9">
        <f>IFERROR(__xludf.DUMMYFUNCTION("""COMPUTED_VALUE"""),101.3892)</f>
        <v>101.3892</v>
      </c>
      <c r="E103" s="11"/>
      <c r="H103" s="17"/>
      <c r="K103" s="40">
        <f>IFERROR(__xludf.DUMMYFUNCTION("""COMPUTED_VALUE"""),42948.0)</f>
        <v>42948</v>
      </c>
      <c r="L103" s="9">
        <f>IFERROR(__xludf.DUMMYFUNCTION("""COMPUTED_VALUE"""),101.3892)</f>
        <v>101.3892</v>
      </c>
      <c r="N103" s="40">
        <f>IFERROR(__xludf.DUMMYFUNCTION("""COMPUTED_VALUE"""),42948.0)</f>
        <v>42948</v>
      </c>
      <c r="O103" s="9">
        <f>IFERROR(__xludf.DUMMYFUNCTION("""COMPUTED_VALUE"""),101.3892)</f>
        <v>101.3892</v>
      </c>
    </row>
    <row r="104">
      <c r="B104" s="11">
        <f>IFERROR(__xludf.DUMMYFUNCTION("""COMPUTED_VALUE"""),42917.0)</f>
        <v>42917</v>
      </c>
      <c r="C104" s="9">
        <f>IFERROR(__xludf.DUMMYFUNCTION("""COMPUTED_VALUE"""),99.9935)</f>
        <v>99.9935</v>
      </c>
      <c r="E104" s="11"/>
      <c r="H104" s="17"/>
      <c r="K104" s="40">
        <f>IFERROR(__xludf.DUMMYFUNCTION("""COMPUTED_VALUE"""),42917.0)</f>
        <v>42917</v>
      </c>
      <c r="L104" s="9">
        <f>IFERROR(__xludf.DUMMYFUNCTION("""COMPUTED_VALUE"""),99.9935)</f>
        <v>99.9935</v>
      </c>
      <c r="N104" s="40">
        <f>IFERROR(__xludf.DUMMYFUNCTION("""COMPUTED_VALUE"""),42917.0)</f>
        <v>42917</v>
      </c>
      <c r="O104" s="9">
        <f>IFERROR(__xludf.DUMMYFUNCTION("""COMPUTED_VALUE"""),99.9935)</f>
        <v>99.9935</v>
      </c>
    </row>
    <row r="105">
      <c r="B105" s="11">
        <f>IFERROR(__xludf.DUMMYFUNCTION("""COMPUTED_VALUE"""),42887.0)</f>
        <v>42887</v>
      </c>
      <c r="C105" s="9">
        <f>IFERROR(__xludf.DUMMYFUNCTION("""COMPUTED_VALUE"""),100.083)</f>
        <v>100.083</v>
      </c>
      <c r="E105" s="11"/>
      <c r="H105" s="17"/>
      <c r="K105" s="40">
        <f>IFERROR(__xludf.DUMMYFUNCTION("""COMPUTED_VALUE"""),42887.0)</f>
        <v>42887</v>
      </c>
      <c r="L105" s="9">
        <f>IFERROR(__xludf.DUMMYFUNCTION("""COMPUTED_VALUE"""),100.083)</f>
        <v>100.083</v>
      </c>
      <c r="N105" s="40">
        <f>IFERROR(__xludf.DUMMYFUNCTION("""COMPUTED_VALUE"""),42887.0)</f>
        <v>42887</v>
      </c>
      <c r="O105" s="9">
        <f>IFERROR(__xludf.DUMMYFUNCTION("""COMPUTED_VALUE"""),100.083)</f>
        <v>100.083</v>
      </c>
    </row>
    <row r="106">
      <c r="B106" s="11">
        <f>IFERROR(__xludf.DUMMYFUNCTION("""COMPUTED_VALUE"""),42856.0)</f>
        <v>42856</v>
      </c>
      <c r="C106" s="9">
        <f>IFERROR(__xludf.DUMMYFUNCTION("""COMPUTED_VALUE"""),100.1737)</f>
        <v>100.1737</v>
      </c>
      <c r="E106" s="11"/>
      <c r="H106" s="17"/>
      <c r="K106" s="40">
        <f>IFERROR(__xludf.DUMMYFUNCTION("""COMPUTED_VALUE"""),42856.0)</f>
        <v>42856</v>
      </c>
      <c r="L106" s="9">
        <f>IFERROR(__xludf.DUMMYFUNCTION("""COMPUTED_VALUE"""),100.1737)</f>
        <v>100.1737</v>
      </c>
      <c r="N106" s="40">
        <f>IFERROR(__xludf.DUMMYFUNCTION("""COMPUTED_VALUE"""),42856.0)</f>
        <v>42856</v>
      </c>
      <c r="O106" s="9">
        <f>IFERROR(__xludf.DUMMYFUNCTION("""COMPUTED_VALUE"""),100.1737)</f>
        <v>100.1737</v>
      </c>
    </row>
    <row r="107">
      <c r="B107" s="11">
        <f>IFERROR(__xludf.DUMMYFUNCTION("""COMPUTED_VALUE"""),42826.0)</f>
        <v>42826</v>
      </c>
      <c r="C107" s="9">
        <f>IFERROR(__xludf.DUMMYFUNCTION("""COMPUTED_VALUE"""),99.5426)</f>
        <v>99.5426</v>
      </c>
      <c r="E107" s="11"/>
      <c r="H107" s="17"/>
      <c r="K107" s="40">
        <f>IFERROR(__xludf.DUMMYFUNCTION("""COMPUTED_VALUE"""),42826.0)</f>
        <v>42826</v>
      </c>
      <c r="L107" s="9">
        <f>IFERROR(__xludf.DUMMYFUNCTION("""COMPUTED_VALUE"""),99.5426)</f>
        <v>99.5426</v>
      </c>
      <c r="N107" s="40">
        <f>IFERROR(__xludf.DUMMYFUNCTION("""COMPUTED_VALUE"""),42826.0)</f>
        <v>42826</v>
      </c>
      <c r="O107" s="9">
        <f>IFERROR(__xludf.DUMMYFUNCTION("""COMPUTED_VALUE"""),99.5426)</f>
        <v>99.5426</v>
      </c>
    </row>
    <row r="108">
      <c r="B108" s="11">
        <f>IFERROR(__xludf.DUMMYFUNCTION("""COMPUTED_VALUE"""),42795.0)</f>
        <v>42795</v>
      </c>
      <c r="C108" s="9">
        <f>IFERROR(__xludf.DUMMYFUNCTION("""COMPUTED_VALUE"""),98.2211)</f>
        <v>98.2211</v>
      </c>
      <c r="E108" s="11"/>
      <c r="H108" s="17"/>
      <c r="K108" s="40">
        <f>IFERROR(__xludf.DUMMYFUNCTION("""COMPUTED_VALUE"""),42795.0)</f>
        <v>42795</v>
      </c>
      <c r="L108" s="9">
        <f>IFERROR(__xludf.DUMMYFUNCTION("""COMPUTED_VALUE"""),98.2211)</f>
        <v>98.2211</v>
      </c>
      <c r="N108" s="40">
        <f>IFERROR(__xludf.DUMMYFUNCTION("""COMPUTED_VALUE"""),42795.0)</f>
        <v>42795</v>
      </c>
      <c r="O108" s="9">
        <f>IFERROR(__xludf.DUMMYFUNCTION("""COMPUTED_VALUE"""),98.2211)</f>
        <v>98.2211</v>
      </c>
    </row>
    <row r="109">
      <c r="B109" s="11">
        <f>IFERROR(__xludf.DUMMYFUNCTION("""COMPUTED_VALUE"""),42767.0)</f>
        <v>42767</v>
      </c>
      <c r="C109" s="9">
        <f>IFERROR(__xludf.DUMMYFUNCTION("""COMPUTED_VALUE"""),98.1313)</f>
        <v>98.1313</v>
      </c>
      <c r="E109" s="11"/>
      <c r="H109" s="17"/>
      <c r="K109" s="40">
        <f>IFERROR(__xludf.DUMMYFUNCTION("""COMPUTED_VALUE"""),42767.0)</f>
        <v>42767</v>
      </c>
      <c r="L109" s="9">
        <f>IFERROR(__xludf.DUMMYFUNCTION("""COMPUTED_VALUE"""),98.1313)</f>
        <v>98.1313</v>
      </c>
      <c r="N109" s="40">
        <f>IFERROR(__xludf.DUMMYFUNCTION("""COMPUTED_VALUE"""),42767.0)</f>
        <v>42767</v>
      </c>
      <c r="O109" s="9">
        <f>IFERROR(__xludf.DUMMYFUNCTION("""COMPUTED_VALUE"""),98.1313)</f>
        <v>98.1313</v>
      </c>
    </row>
    <row r="110">
      <c r="B110" s="11">
        <f>IFERROR(__xludf.DUMMYFUNCTION("""COMPUTED_VALUE"""),42736.0)</f>
        <v>42736</v>
      </c>
      <c r="C110" s="9">
        <f>IFERROR(__xludf.DUMMYFUNCTION("""COMPUTED_VALUE"""),98.9255)</f>
        <v>98.9255</v>
      </c>
      <c r="E110" s="11"/>
      <c r="H110" s="17"/>
      <c r="K110" s="40">
        <f>IFERROR(__xludf.DUMMYFUNCTION("""COMPUTED_VALUE"""),42736.0)</f>
        <v>42736</v>
      </c>
      <c r="L110" s="9">
        <f>IFERROR(__xludf.DUMMYFUNCTION("""COMPUTED_VALUE"""),98.9255)</f>
        <v>98.9255</v>
      </c>
      <c r="N110" s="40">
        <f>IFERROR(__xludf.DUMMYFUNCTION("""COMPUTED_VALUE"""),42736.0)</f>
        <v>42736</v>
      </c>
      <c r="O110" s="9">
        <f>IFERROR(__xludf.DUMMYFUNCTION("""COMPUTED_VALUE"""),98.9255)</f>
        <v>98.9255</v>
      </c>
    </row>
    <row r="111">
      <c r="B111" s="11">
        <f>IFERROR(__xludf.DUMMYFUNCTION("""COMPUTED_VALUE"""),42705.0)</f>
        <v>42705</v>
      </c>
      <c r="C111" s="9">
        <f>IFERROR(__xludf.DUMMYFUNCTION("""COMPUTED_VALUE"""),98.7607)</f>
        <v>98.7607</v>
      </c>
      <c r="E111" s="11"/>
      <c r="H111" s="17"/>
      <c r="K111" s="40">
        <f>IFERROR(__xludf.DUMMYFUNCTION("""COMPUTED_VALUE"""),42705.0)</f>
        <v>42705</v>
      </c>
      <c r="L111" s="9">
        <f>IFERROR(__xludf.DUMMYFUNCTION("""COMPUTED_VALUE"""),98.7607)</f>
        <v>98.7607</v>
      </c>
      <c r="N111" s="40">
        <f>IFERROR(__xludf.DUMMYFUNCTION("""COMPUTED_VALUE"""),42705.0)</f>
        <v>42705</v>
      </c>
      <c r="O111" s="9">
        <f>IFERROR(__xludf.DUMMYFUNCTION("""COMPUTED_VALUE"""),98.7607)</f>
        <v>98.7607</v>
      </c>
    </row>
    <row r="112">
      <c r="B112" s="11">
        <f>IFERROR(__xludf.DUMMYFUNCTION("""COMPUTED_VALUE"""),42675.0)</f>
        <v>42675</v>
      </c>
      <c r="C112" s="9">
        <f>IFERROR(__xludf.DUMMYFUNCTION("""COMPUTED_VALUE"""),98.6605)</f>
        <v>98.6605</v>
      </c>
      <c r="E112" s="11"/>
      <c r="H112" s="17"/>
      <c r="K112" s="40">
        <f>IFERROR(__xludf.DUMMYFUNCTION("""COMPUTED_VALUE"""),42675.0)</f>
        <v>42675</v>
      </c>
      <c r="L112" s="9">
        <f>IFERROR(__xludf.DUMMYFUNCTION("""COMPUTED_VALUE"""),98.6605)</f>
        <v>98.6605</v>
      </c>
      <c r="N112" s="40">
        <f>IFERROR(__xludf.DUMMYFUNCTION("""COMPUTED_VALUE"""),42675.0)</f>
        <v>42675</v>
      </c>
      <c r="O112" s="9">
        <f>IFERROR(__xludf.DUMMYFUNCTION("""COMPUTED_VALUE"""),98.6605)</f>
        <v>98.6605</v>
      </c>
    </row>
    <row r="113">
      <c r="B113" s="11">
        <f>IFERROR(__xludf.DUMMYFUNCTION("""COMPUTED_VALUE"""),42644.0)</f>
        <v>42644</v>
      </c>
      <c r="C113" s="9">
        <f>IFERROR(__xludf.DUMMYFUNCTION("""COMPUTED_VALUE"""),98.0608)</f>
        <v>98.0608</v>
      </c>
      <c r="E113" s="11"/>
      <c r="H113" s="17"/>
      <c r="K113" s="40">
        <f>IFERROR(__xludf.DUMMYFUNCTION("""COMPUTED_VALUE"""),42644.0)</f>
        <v>42644</v>
      </c>
      <c r="L113" s="9">
        <f>IFERROR(__xludf.DUMMYFUNCTION("""COMPUTED_VALUE"""),98.0608)</f>
        <v>98.0608</v>
      </c>
      <c r="N113" s="40">
        <f>IFERROR(__xludf.DUMMYFUNCTION("""COMPUTED_VALUE"""),42644.0)</f>
        <v>42644</v>
      </c>
      <c r="O113" s="9">
        <f>IFERROR(__xludf.DUMMYFUNCTION("""COMPUTED_VALUE"""),98.0608)</f>
        <v>98.0608</v>
      </c>
    </row>
    <row r="114">
      <c r="B114" s="11">
        <f>IFERROR(__xludf.DUMMYFUNCTION("""COMPUTED_VALUE"""),42614.0)</f>
        <v>42614</v>
      </c>
      <c r="C114" s="9">
        <f>IFERROR(__xludf.DUMMYFUNCTION("""COMPUTED_VALUE"""),97.6289)</f>
        <v>97.6289</v>
      </c>
      <c r="E114" s="11"/>
      <c r="H114" s="17"/>
      <c r="K114" s="40">
        <f>IFERROR(__xludf.DUMMYFUNCTION("""COMPUTED_VALUE"""),42614.0)</f>
        <v>42614</v>
      </c>
      <c r="L114" s="9">
        <f>IFERROR(__xludf.DUMMYFUNCTION("""COMPUTED_VALUE"""),97.6289)</f>
        <v>97.6289</v>
      </c>
      <c r="N114" s="40">
        <f>IFERROR(__xludf.DUMMYFUNCTION("""COMPUTED_VALUE"""),42614.0)</f>
        <v>42614</v>
      </c>
      <c r="O114" s="9">
        <f>IFERROR(__xludf.DUMMYFUNCTION("""COMPUTED_VALUE"""),97.6289)</f>
        <v>97.6289</v>
      </c>
    </row>
    <row r="115">
      <c r="B115" s="11">
        <f>IFERROR(__xludf.DUMMYFUNCTION("""COMPUTED_VALUE"""),42583.0)</f>
        <v>42583</v>
      </c>
      <c r="C115" s="9">
        <f>IFERROR(__xludf.DUMMYFUNCTION("""COMPUTED_VALUE"""),97.7511)</f>
        <v>97.7511</v>
      </c>
      <c r="E115" s="11"/>
      <c r="H115" s="17"/>
      <c r="K115" s="40">
        <f>IFERROR(__xludf.DUMMYFUNCTION("""COMPUTED_VALUE"""),42583.0)</f>
        <v>42583</v>
      </c>
      <c r="L115" s="9">
        <f>IFERROR(__xludf.DUMMYFUNCTION("""COMPUTED_VALUE"""),97.7511)</f>
        <v>97.7511</v>
      </c>
      <c r="N115" s="40">
        <f>IFERROR(__xludf.DUMMYFUNCTION("""COMPUTED_VALUE"""),42583.0)</f>
        <v>42583</v>
      </c>
      <c r="O115" s="9">
        <f>IFERROR(__xludf.DUMMYFUNCTION("""COMPUTED_VALUE"""),97.7511)</f>
        <v>97.7511</v>
      </c>
    </row>
    <row r="116">
      <c r="B116" s="11">
        <f>IFERROR(__xludf.DUMMYFUNCTION("""COMPUTED_VALUE"""),42552.0)</f>
        <v>42552</v>
      </c>
      <c r="C116" s="9">
        <f>IFERROR(__xludf.DUMMYFUNCTION("""COMPUTED_VALUE"""),97.264)</f>
        <v>97.264</v>
      </c>
      <c r="E116" s="11"/>
      <c r="H116" s="17"/>
      <c r="K116" s="40">
        <f>IFERROR(__xludf.DUMMYFUNCTION("""COMPUTED_VALUE"""),42552.0)</f>
        <v>42552</v>
      </c>
      <c r="L116" s="9">
        <f>IFERROR(__xludf.DUMMYFUNCTION("""COMPUTED_VALUE"""),97.264)</f>
        <v>97.264</v>
      </c>
      <c r="N116" s="40">
        <f>IFERROR(__xludf.DUMMYFUNCTION("""COMPUTED_VALUE"""),42552.0)</f>
        <v>42552</v>
      </c>
      <c r="O116" s="9">
        <f>IFERROR(__xludf.DUMMYFUNCTION("""COMPUTED_VALUE"""),97.264)</f>
        <v>97.264</v>
      </c>
    </row>
    <row r="117">
      <c r="B117" s="11">
        <f>IFERROR(__xludf.DUMMYFUNCTION("""COMPUTED_VALUE"""),42522.0)</f>
        <v>42522</v>
      </c>
      <c r="C117" s="9">
        <f>IFERROR(__xludf.DUMMYFUNCTION("""COMPUTED_VALUE"""),97.6802)</f>
        <v>97.6802</v>
      </c>
      <c r="E117" s="11"/>
      <c r="H117" s="17"/>
      <c r="K117" s="40">
        <f>IFERROR(__xludf.DUMMYFUNCTION("""COMPUTED_VALUE"""),42522.0)</f>
        <v>42522</v>
      </c>
      <c r="L117" s="9">
        <f>IFERROR(__xludf.DUMMYFUNCTION("""COMPUTED_VALUE"""),97.6802)</f>
        <v>97.6802</v>
      </c>
      <c r="N117" s="40">
        <f>IFERROR(__xludf.DUMMYFUNCTION("""COMPUTED_VALUE"""),42522.0)</f>
        <v>42522</v>
      </c>
      <c r="O117" s="9">
        <f>IFERROR(__xludf.DUMMYFUNCTION("""COMPUTED_VALUE"""),97.6802)</f>
        <v>97.6802</v>
      </c>
    </row>
    <row r="118">
      <c r="B118" s="11">
        <f>IFERROR(__xludf.DUMMYFUNCTION("""COMPUTED_VALUE"""),42491.0)</f>
        <v>42491</v>
      </c>
      <c r="C118" s="9">
        <f>IFERROR(__xludf.DUMMYFUNCTION("""COMPUTED_VALUE"""),98.648)</f>
        <v>98.648</v>
      </c>
      <c r="E118" s="11"/>
      <c r="H118" s="17"/>
      <c r="K118" s="40">
        <f>IFERROR(__xludf.DUMMYFUNCTION("""COMPUTED_VALUE"""),42491.0)</f>
        <v>42491</v>
      </c>
      <c r="L118" s="9">
        <f>IFERROR(__xludf.DUMMYFUNCTION("""COMPUTED_VALUE"""),98.648)</f>
        <v>98.648</v>
      </c>
      <c r="N118" s="40">
        <f>IFERROR(__xludf.DUMMYFUNCTION("""COMPUTED_VALUE"""),42491.0)</f>
        <v>42491</v>
      </c>
      <c r="O118" s="9">
        <f>IFERROR(__xludf.DUMMYFUNCTION("""COMPUTED_VALUE"""),98.648)</f>
        <v>98.648</v>
      </c>
    </row>
    <row r="119">
      <c r="B119" s="11">
        <f>IFERROR(__xludf.DUMMYFUNCTION("""COMPUTED_VALUE"""),42461.0)</f>
        <v>42461</v>
      </c>
      <c r="C119" s="9">
        <f>IFERROR(__xludf.DUMMYFUNCTION("""COMPUTED_VALUE"""),97.3887)</f>
        <v>97.3887</v>
      </c>
      <c r="E119" s="11"/>
      <c r="H119" s="17"/>
      <c r="K119" s="40">
        <f>IFERROR(__xludf.DUMMYFUNCTION("""COMPUTED_VALUE"""),42461.0)</f>
        <v>42461</v>
      </c>
      <c r="L119" s="9">
        <f>IFERROR(__xludf.DUMMYFUNCTION("""COMPUTED_VALUE"""),97.3887)</f>
        <v>97.3887</v>
      </c>
      <c r="N119" s="40">
        <f>IFERROR(__xludf.DUMMYFUNCTION("""COMPUTED_VALUE"""),42461.0)</f>
        <v>42461</v>
      </c>
      <c r="O119" s="9">
        <f>IFERROR(__xludf.DUMMYFUNCTION("""COMPUTED_VALUE"""),97.3887)</f>
        <v>97.3887</v>
      </c>
    </row>
    <row r="120">
      <c r="B120" s="11">
        <f>IFERROR(__xludf.DUMMYFUNCTION("""COMPUTED_VALUE"""),42430.0)</f>
        <v>42430</v>
      </c>
      <c r="C120" s="9">
        <f>IFERROR(__xludf.DUMMYFUNCTION("""COMPUTED_VALUE"""),97.6555)</f>
        <v>97.6555</v>
      </c>
      <c r="E120" s="11"/>
      <c r="H120" s="17"/>
      <c r="K120" s="40">
        <f>IFERROR(__xludf.DUMMYFUNCTION("""COMPUTED_VALUE"""),42430.0)</f>
        <v>42430</v>
      </c>
      <c r="L120" s="9">
        <f>IFERROR(__xludf.DUMMYFUNCTION("""COMPUTED_VALUE"""),97.6555)</f>
        <v>97.6555</v>
      </c>
      <c r="N120" s="40">
        <f>IFERROR(__xludf.DUMMYFUNCTION("""COMPUTED_VALUE"""),42430.0)</f>
        <v>42430</v>
      </c>
      <c r="O120" s="9">
        <f>IFERROR(__xludf.DUMMYFUNCTION("""COMPUTED_VALUE"""),97.6555)</f>
        <v>97.6555</v>
      </c>
    </row>
    <row r="121">
      <c r="B121" s="11">
        <f>IFERROR(__xludf.DUMMYFUNCTION("""COMPUTED_VALUE"""),42401.0)</f>
        <v>42401</v>
      </c>
      <c r="C121" s="9">
        <f>IFERROR(__xludf.DUMMYFUNCTION("""COMPUTED_VALUE"""),98.0192)</f>
        <v>98.0192</v>
      </c>
      <c r="E121" s="11"/>
      <c r="H121" s="17"/>
      <c r="K121" s="40">
        <f>IFERROR(__xludf.DUMMYFUNCTION("""COMPUTED_VALUE"""),42401.0)</f>
        <v>42401</v>
      </c>
      <c r="L121" s="9">
        <f>IFERROR(__xludf.DUMMYFUNCTION("""COMPUTED_VALUE"""),98.0192)</f>
        <v>98.0192</v>
      </c>
      <c r="N121" s="40">
        <f>IFERROR(__xludf.DUMMYFUNCTION("""COMPUTED_VALUE"""),42401.0)</f>
        <v>42401</v>
      </c>
      <c r="O121" s="9">
        <f>IFERROR(__xludf.DUMMYFUNCTION("""COMPUTED_VALUE"""),98.0192)</f>
        <v>98.0192</v>
      </c>
    </row>
    <row r="122">
      <c r="B122" s="11">
        <f>IFERROR(__xludf.DUMMYFUNCTION("""COMPUTED_VALUE"""),42370.0)</f>
        <v>42370</v>
      </c>
      <c r="C122" s="9">
        <f>IFERROR(__xludf.DUMMYFUNCTION("""COMPUTED_VALUE"""),98.9906)</f>
        <v>98.9906</v>
      </c>
      <c r="E122" s="11"/>
      <c r="H122" s="17"/>
      <c r="K122" s="40">
        <f>IFERROR(__xludf.DUMMYFUNCTION("""COMPUTED_VALUE"""),42370.0)</f>
        <v>42370</v>
      </c>
      <c r="L122" s="9">
        <f>IFERROR(__xludf.DUMMYFUNCTION("""COMPUTED_VALUE"""),98.9906)</f>
        <v>98.9906</v>
      </c>
    </row>
    <row r="123">
      <c r="B123" s="11">
        <f>IFERROR(__xludf.DUMMYFUNCTION("""COMPUTED_VALUE"""),42339.0)</f>
        <v>42339</v>
      </c>
      <c r="C123" s="9">
        <f>IFERROR(__xludf.DUMMYFUNCTION("""COMPUTED_VALUE"""),100.7123)</f>
        <v>100.7123</v>
      </c>
      <c r="E123" s="11"/>
      <c r="H123" s="17"/>
      <c r="K123" s="40">
        <f>IFERROR(__xludf.DUMMYFUNCTION("""COMPUTED_VALUE"""),42339.0)</f>
        <v>42339</v>
      </c>
      <c r="L123" s="9">
        <f>IFERROR(__xludf.DUMMYFUNCTION("""COMPUTED_VALUE"""),100.7123)</f>
        <v>100.7123</v>
      </c>
    </row>
    <row r="124">
      <c r="B124" s="11">
        <f>IFERROR(__xludf.DUMMYFUNCTION("""COMPUTED_VALUE"""),42309.0)</f>
        <v>42309</v>
      </c>
      <c r="C124" s="9">
        <f>IFERROR(__xludf.DUMMYFUNCTION("""COMPUTED_VALUE"""),99.8363)</f>
        <v>99.8363</v>
      </c>
      <c r="E124" s="11"/>
      <c r="H124" s="17"/>
      <c r="K124" s="40">
        <f>IFERROR(__xludf.DUMMYFUNCTION("""COMPUTED_VALUE"""),42309.0)</f>
        <v>42309</v>
      </c>
      <c r="L124" s="9">
        <f>IFERROR(__xludf.DUMMYFUNCTION("""COMPUTED_VALUE"""),99.8363)</f>
        <v>99.8363</v>
      </c>
    </row>
    <row r="125">
      <c r="B125" s="11">
        <f>IFERROR(__xludf.DUMMYFUNCTION("""COMPUTED_VALUE"""),42278.0)</f>
        <v>42278</v>
      </c>
      <c r="C125" s="9">
        <f>IFERROR(__xludf.DUMMYFUNCTION("""COMPUTED_VALUE"""),100.5533)</f>
        <v>100.5533</v>
      </c>
      <c r="E125" s="11"/>
      <c r="H125" s="17"/>
      <c r="K125" s="40">
        <f>IFERROR(__xludf.DUMMYFUNCTION("""COMPUTED_VALUE"""),42278.0)</f>
        <v>42278</v>
      </c>
      <c r="L125" s="9">
        <f>IFERROR(__xludf.DUMMYFUNCTION("""COMPUTED_VALUE"""),100.5533)</f>
        <v>100.5533</v>
      </c>
    </row>
    <row r="126">
      <c r="B126" s="11">
        <f>IFERROR(__xludf.DUMMYFUNCTION("""COMPUTED_VALUE"""),42248.0)</f>
        <v>42248</v>
      </c>
      <c r="C126" s="9">
        <f>IFERROR(__xludf.DUMMYFUNCTION("""COMPUTED_VALUE"""),101.1287)</f>
        <v>101.1287</v>
      </c>
      <c r="E126" s="11"/>
      <c r="H126" s="17"/>
      <c r="K126" s="40">
        <f>IFERROR(__xludf.DUMMYFUNCTION("""COMPUTED_VALUE"""),42248.0)</f>
        <v>42248</v>
      </c>
      <c r="L126" s="9">
        <f>IFERROR(__xludf.DUMMYFUNCTION("""COMPUTED_VALUE"""),101.1287)</f>
        <v>101.1287</v>
      </c>
    </row>
    <row r="127">
      <c r="B127" s="11">
        <f>IFERROR(__xludf.DUMMYFUNCTION("""COMPUTED_VALUE"""),42217.0)</f>
        <v>42217</v>
      </c>
      <c r="C127" s="9">
        <f>IFERROR(__xludf.DUMMYFUNCTION("""COMPUTED_VALUE"""),102.1678)</f>
        <v>102.1678</v>
      </c>
      <c r="E127" s="11"/>
      <c r="H127" s="17"/>
      <c r="K127" s="40">
        <f>IFERROR(__xludf.DUMMYFUNCTION("""COMPUTED_VALUE"""),42217.0)</f>
        <v>42217</v>
      </c>
      <c r="L127" s="9">
        <f>IFERROR(__xludf.DUMMYFUNCTION("""COMPUTED_VALUE"""),102.1678)</f>
        <v>102.1678</v>
      </c>
    </row>
    <row r="128">
      <c r="B128" s="11">
        <f>IFERROR(__xludf.DUMMYFUNCTION("""COMPUTED_VALUE"""),42186.0)</f>
        <v>42186</v>
      </c>
      <c r="C128" s="9">
        <f>IFERROR(__xludf.DUMMYFUNCTION("""COMPUTED_VALUE"""),101.966)</f>
        <v>101.966</v>
      </c>
      <c r="E128" s="11"/>
      <c r="H128" s="17"/>
      <c r="K128" s="40">
        <f>IFERROR(__xludf.DUMMYFUNCTION("""COMPUTED_VALUE"""),42186.0)</f>
        <v>42186</v>
      </c>
      <c r="L128" s="9">
        <f>IFERROR(__xludf.DUMMYFUNCTION("""COMPUTED_VALUE"""),101.966)</f>
        <v>101.966</v>
      </c>
    </row>
    <row r="129">
      <c r="B129" s="11">
        <f>IFERROR(__xludf.DUMMYFUNCTION("""COMPUTED_VALUE"""),42156.0)</f>
        <v>42156</v>
      </c>
      <c r="C129" s="9">
        <f>IFERROR(__xludf.DUMMYFUNCTION("""COMPUTED_VALUE"""),102.2626)</f>
        <v>102.2626</v>
      </c>
      <c r="E129" s="11"/>
      <c r="H129" s="17"/>
      <c r="K129" s="40">
        <f>IFERROR(__xludf.DUMMYFUNCTION("""COMPUTED_VALUE"""),42156.0)</f>
        <v>42156</v>
      </c>
      <c r="L129" s="9">
        <f>IFERROR(__xludf.DUMMYFUNCTION("""COMPUTED_VALUE"""),102.2626)</f>
        <v>102.2626</v>
      </c>
    </row>
    <row r="130">
      <c r="B130" s="11">
        <f>IFERROR(__xludf.DUMMYFUNCTION("""COMPUTED_VALUE"""),42125.0)</f>
        <v>42125</v>
      </c>
      <c r="C130" s="9">
        <f>IFERROR(__xludf.DUMMYFUNCTION("""COMPUTED_VALUE"""),102.5954)</f>
        <v>102.5954</v>
      </c>
      <c r="E130" s="11"/>
      <c r="H130" s="17"/>
      <c r="K130" s="40">
        <f>IFERROR(__xludf.DUMMYFUNCTION("""COMPUTED_VALUE"""),42125.0)</f>
        <v>42125</v>
      </c>
      <c r="L130" s="9">
        <f>IFERROR(__xludf.DUMMYFUNCTION("""COMPUTED_VALUE"""),102.5954)</f>
        <v>102.5954</v>
      </c>
    </row>
    <row r="131">
      <c r="B131" s="11">
        <f>IFERROR(__xludf.DUMMYFUNCTION("""COMPUTED_VALUE"""),42095.0)</f>
        <v>42095</v>
      </c>
      <c r="C131" s="9">
        <f>IFERROR(__xludf.DUMMYFUNCTION("""COMPUTED_VALUE"""),103.3802)</f>
        <v>103.3802</v>
      </c>
      <c r="E131" s="11"/>
      <c r="H131" s="17"/>
      <c r="K131" s="40">
        <f>IFERROR(__xludf.DUMMYFUNCTION("""COMPUTED_VALUE"""),42095.0)</f>
        <v>42095</v>
      </c>
      <c r="L131" s="9">
        <f>IFERROR(__xludf.DUMMYFUNCTION("""COMPUTED_VALUE"""),103.3802)</f>
        <v>103.3802</v>
      </c>
    </row>
    <row r="132">
      <c r="B132" s="11">
        <f>IFERROR(__xludf.DUMMYFUNCTION("""COMPUTED_VALUE"""),42064.0)</f>
        <v>42064</v>
      </c>
      <c r="C132" s="9">
        <f>IFERROR(__xludf.DUMMYFUNCTION("""COMPUTED_VALUE"""),104.1245)</f>
        <v>104.1245</v>
      </c>
      <c r="E132" s="11"/>
      <c r="H132" s="17"/>
      <c r="K132" s="40">
        <f>IFERROR(__xludf.DUMMYFUNCTION("""COMPUTED_VALUE"""),42064.0)</f>
        <v>42064</v>
      </c>
      <c r="L132" s="9">
        <f>IFERROR(__xludf.DUMMYFUNCTION("""COMPUTED_VALUE"""),104.1245)</f>
        <v>104.1245</v>
      </c>
    </row>
    <row r="133">
      <c r="B133" s="11">
        <f>IFERROR(__xludf.DUMMYFUNCTION("""COMPUTED_VALUE"""),42036.0)</f>
        <v>42036</v>
      </c>
      <c r="C133" s="9">
        <f>IFERROR(__xludf.DUMMYFUNCTION("""COMPUTED_VALUE"""),105.0336)</f>
        <v>105.0336</v>
      </c>
      <c r="E133" s="11"/>
      <c r="H133" s="17"/>
      <c r="K133" s="40">
        <f>IFERROR(__xludf.DUMMYFUNCTION("""COMPUTED_VALUE"""),42036.0)</f>
        <v>42036</v>
      </c>
      <c r="L133" s="9">
        <f>IFERROR(__xludf.DUMMYFUNCTION("""COMPUTED_VALUE"""),105.0336)</f>
        <v>105.0336</v>
      </c>
    </row>
    <row r="134">
      <c r="B134" s="11">
        <f>IFERROR(__xludf.DUMMYFUNCTION("""COMPUTED_VALUE"""),42005.0)</f>
        <v>42005</v>
      </c>
      <c r="C134" s="9">
        <f>IFERROR(__xludf.DUMMYFUNCTION("""COMPUTED_VALUE"""),103.2796)</f>
        <v>103.2796</v>
      </c>
      <c r="E134" s="11"/>
      <c r="H134" s="17"/>
      <c r="K134" s="40">
        <f>IFERROR(__xludf.DUMMYFUNCTION("""COMPUTED_VALUE"""),42005.0)</f>
        <v>42005</v>
      </c>
      <c r="L134" s="9">
        <f>IFERROR(__xludf.DUMMYFUNCTION("""COMPUTED_VALUE"""),103.2796)</f>
        <v>103.2796</v>
      </c>
    </row>
    <row r="135">
      <c r="B135" s="11">
        <f>IFERROR(__xludf.DUMMYFUNCTION("""COMPUTED_VALUE"""),41974.0)</f>
        <v>41974</v>
      </c>
      <c r="C135" s="9">
        <f>IFERROR(__xludf.DUMMYFUNCTION("""COMPUTED_VALUE"""),105.0931)</f>
        <v>105.0931</v>
      </c>
      <c r="E135" s="11"/>
      <c r="H135" s="17"/>
      <c r="K135" s="40">
        <f>IFERROR(__xludf.DUMMYFUNCTION("""COMPUTED_VALUE"""),41974.0)</f>
        <v>41974</v>
      </c>
      <c r="L135" s="9">
        <f>IFERROR(__xludf.DUMMYFUNCTION("""COMPUTED_VALUE"""),105.0931)</f>
        <v>105.0931</v>
      </c>
    </row>
    <row r="136">
      <c r="B136" s="11">
        <f>IFERROR(__xludf.DUMMYFUNCTION("""COMPUTED_VALUE"""),41944.0)</f>
        <v>41944</v>
      </c>
      <c r="C136" s="9">
        <f>IFERROR(__xludf.DUMMYFUNCTION("""COMPUTED_VALUE"""),105.1307)</f>
        <v>105.1307</v>
      </c>
      <c r="E136" s="11"/>
      <c r="H136" s="17"/>
      <c r="K136" s="40">
        <f>IFERROR(__xludf.DUMMYFUNCTION("""COMPUTED_VALUE"""),41944.0)</f>
        <v>41944</v>
      </c>
      <c r="L136" s="9">
        <f>IFERROR(__xludf.DUMMYFUNCTION("""COMPUTED_VALUE"""),105.1307)</f>
        <v>105.1307</v>
      </c>
    </row>
    <row r="137">
      <c r="B137" s="11">
        <f>IFERROR(__xludf.DUMMYFUNCTION("""COMPUTED_VALUE"""),41913.0)</f>
        <v>41913</v>
      </c>
      <c r="C137" s="9">
        <f>IFERROR(__xludf.DUMMYFUNCTION("""COMPUTED_VALUE"""),105.7277)</f>
        <v>105.7277</v>
      </c>
      <c r="E137" s="11"/>
      <c r="H137" s="17"/>
      <c r="K137" s="40">
        <f>IFERROR(__xludf.DUMMYFUNCTION("""COMPUTED_VALUE"""),41913.0)</f>
        <v>41913</v>
      </c>
      <c r="L137" s="9">
        <f>IFERROR(__xludf.DUMMYFUNCTION("""COMPUTED_VALUE"""),105.7277)</f>
        <v>105.7277</v>
      </c>
    </row>
    <row r="138">
      <c r="B138" s="11">
        <f>IFERROR(__xludf.DUMMYFUNCTION("""COMPUTED_VALUE"""),41883.0)</f>
        <v>41883</v>
      </c>
      <c r="C138" s="9">
        <f>IFERROR(__xludf.DUMMYFUNCTION("""COMPUTED_VALUE"""),105.4701)</f>
        <v>105.4701</v>
      </c>
      <c r="E138" s="11"/>
      <c r="H138" s="17"/>
      <c r="K138" s="40">
        <f>IFERROR(__xludf.DUMMYFUNCTION("""COMPUTED_VALUE"""),41883.0)</f>
        <v>41883</v>
      </c>
      <c r="L138" s="9">
        <f>IFERROR(__xludf.DUMMYFUNCTION("""COMPUTED_VALUE"""),105.4701)</f>
        <v>105.4701</v>
      </c>
    </row>
    <row r="139">
      <c r="B139" s="11">
        <f>IFERROR(__xludf.DUMMYFUNCTION("""COMPUTED_VALUE"""),41852.0)</f>
        <v>41852</v>
      </c>
      <c r="C139" s="9">
        <f>IFERROR(__xludf.DUMMYFUNCTION("""COMPUTED_VALUE"""),104.985)</f>
        <v>104.985</v>
      </c>
      <c r="E139" s="11"/>
      <c r="H139" s="17"/>
      <c r="K139" s="40">
        <f>IFERROR(__xludf.DUMMYFUNCTION("""COMPUTED_VALUE"""),41852.0)</f>
        <v>41852</v>
      </c>
      <c r="L139" s="9">
        <f>IFERROR(__xludf.DUMMYFUNCTION("""COMPUTED_VALUE"""),104.985)</f>
        <v>104.985</v>
      </c>
    </row>
    <row r="140">
      <c r="B140" s="11">
        <f>IFERROR(__xludf.DUMMYFUNCTION("""COMPUTED_VALUE"""),41821.0)</f>
        <v>41821</v>
      </c>
      <c r="C140" s="9">
        <f>IFERROR(__xludf.DUMMYFUNCTION("""COMPUTED_VALUE"""),106.378)</f>
        <v>106.378</v>
      </c>
      <c r="E140" s="11"/>
      <c r="H140" s="17"/>
      <c r="K140" s="40">
        <f>IFERROR(__xludf.DUMMYFUNCTION("""COMPUTED_VALUE"""),41821.0)</f>
        <v>41821</v>
      </c>
      <c r="L140" s="9">
        <f>IFERROR(__xludf.DUMMYFUNCTION("""COMPUTED_VALUE"""),106.378)</f>
        <v>106.378</v>
      </c>
    </row>
    <row r="141">
      <c r="B141" s="11">
        <f>IFERROR(__xludf.DUMMYFUNCTION("""COMPUTED_VALUE"""),41791.0)</f>
        <v>41791</v>
      </c>
      <c r="C141" s="9">
        <f>IFERROR(__xludf.DUMMYFUNCTION("""COMPUTED_VALUE"""),105.3584)</f>
        <v>105.3584</v>
      </c>
      <c r="E141" s="11"/>
      <c r="H141" s="17"/>
      <c r="K141" s="40">
        <f>IFERROR(__xludf.DUMMYFUNCTION("""COMPUTED_VALUE"""),41791.0)</f>
        <v>41791</v>
      </c>
      <c r="L141" s="9">
        <f>IFERROR(__xludf.DUMMYFUNCTION("""COMPUTED_VALUE"""),105.3584)</f>
        <v>105.3584</v>
      </c>
    </row>
    <row r="142">
      <c r="B142" s="11">
        <f>IFERROR(__xludf.DUMMYFUNCTION("""COMPUTED_VALUE"""),41760.0)</f>
        <v>41760</v>
      </c>
      <c r="C142" s="9">
        <f>IFERROR(__xludf.DUMMYFUNCTION("""COMPUTED_VALUE"""),105.8332)</f>
        <v>105.8332</v>
      </c>
      <c r="E142" s="11"/>
      <c r="H142" s="17"/>
      <c r="K142" s="40">
        <f>IFERROR(__xludf.DUMMYFUNCTION("""COMPUTED_VALUE"""),41760.0)</f>
        <v>41760</v>
      </c>
      <c r="L142" s="9">
        <f>IFERROR(__xludf.DUMMYFUNCTION("""COMPUTED_VALUE"""),105.8332)</f>
        <v>105.8332</v>
      </c>
    </row>
    <row r="143">
      <c r="B143" s="11">
        <f>IFERROR(__xludf.DUMMYFUNCTION("""COMPUTED_VALUE"""),41730.0)</f>
        <v>41730</v>
      </c>
      <c r="C143" s="9">
        <f>IFERROR(__xludf.DUMMYFUNCTION("""COMPUTED_VALUE"""),105.8774)</f>
        <v>105.8774</v>
      </c>
      <c r="E143" s="11"/>
      <c r="H143" s="17"/>
      <c r="K143" s="40">
        <f>IFERROR(__xludf.DUMMYFUNCTION("""COMPUTED_VALUE"""),41730.0)</f>
        <v>41730</v>
      </c>
      <c r="L143" s="9">
        <f>IFERROR(__xludf.DUMMYFUNCTION("""COMPUTED_VALUE"""),105.8774)</f>
        <v>105.8774</v>
      </c>
    </row>
    <row r="144">
      <c r="B144" s="11">
        <f>IFERROR(__xludf.DUMMYFUNCTION("""COMPUTED_VALUE"""),41699.0)</f>
        <v>41699</v>
      </c>
      <c r="C144" s="9">
        <f>IFERROR(__xludf.DUMMYFUNCTION("""COMPUTED_VALUE"""),106.2195)</f>
        <v>106.2195</v>
      </c>
      <c r="E144" s="11"/>
      <c r="H144" s="17"/>
      <c r="K144" s="40">
        <f>IFERROR(__xludf.DUMMYFUNCTION("""COMPUTED_VALUE"""),41699.0)</f>
        <v>41699</v>
      </c>
      <c r="L144" s="9">
        <f>IFERROR(__xludf.DUMMYFUNCTION("""COMPUTED_VALUE"""),106.2195)</f>
        <v>106.2195</v>
      </c>
    </row>
    <row r="145">
      <c r="B145" s="11">
        <f>IFERROR(__xludf.DUMMYFUNCTION("""COMPUTED_VALUE"""),41671.0)</f>
        <v>41671</v>
      </c>
      <c r="C145" s="9">
        <f>IFERROR(__xludf.DUMMYFUNCTION("""COMPUTED_VALUE"""),105.1415)</f>
        <v>105.1415</v>
      </c>
      <c r="E145" s="11"/>
      <c r="H145" s="17"/>
      <c r="K145" s="40">
        <f>IFERROR(__xludf.DUMMYFUNCTION("""COMPUTED_VALUE"""),41671.0)</f>
        <v>41671</v>
      </c>
      <c r="L145" s="9">
        <f>IFERROR(__xludf.DUMMYFUNCTION("""COMPUTED_VALUE"""),105.1415)</f>
        <v>105.1415</v>
      </c>
    </row>
    <row r="146">
      <c r="B146" s="11">
        <f>IFERROR(__xludf.DUMMYFUNCTION("""COMPUTED_VALUE"""),41640.0)</f>
        <v>41640</v>
      </c>
      <c r="C146" s="9">
        <f>IFERROR(__xludf.DUMMYFUNCTION("""COMPUTED_VALUE"""),104.85)</f>
        <v>104.85</v>
      </c>
      <c r="E146" s="11"/>
      <c r="H146" s="17"/>
      <c r="K146" s="40">
        <f>IFERROR(__xludf.DUMMYFUNCTION("""COMPUTED_VALUE"""),41640.0)</f>
        <v>41640</v>
      </c>
      <c r="L146" s="9">
        <f>IFERROR(__xludf.DUMMYFUNCTION("""COMPUTED_VALUE"""),104.85)</f>
        <v>104.85</v>
      </c>
    </row>
    <row r="147">
      <c r="B147" s="11">
        <f>IFERROR(__xludf.DUMMYFUNCTION("""COMPUTED_VALUE"""),41609.0)</f>
        <v>41609</v>
      </c>
      <c r="C147" s="9">
        <f>IFERROR(__xludf.DUMMYFUNCTION("""COMPUTED_VALUE"""),106.089)</f>
        <v>106.089</v>
      </c>
      <c r="E147" s="11"/>
      <c r="H147" s="17"/>
      <c r="K147" s="40">
        <f>IFERROR(__xludf.DUMMYFUNCTION("""COMPUTED_VALUE"""),41609.0)</f>
        <v>41609</v>
      </c>
      <c r="L147" s="9">
        <f>IFERROR(__xludf.DUMMYFUNCTION("""COMPUTED_VALUE"""),106.089)</f>
        <v>106.089</v>
      </c>
    </row>
    <row r="148">
      <c r="B148" s="11">
        <f>IFERROR(__xludf.DUMMYFUNCTION("""COMPUTED_VALUE"""),41579.0)</f>
        <v>41579</v>
      </c>
      <c r="C148" s="9">
        <f>IFERROR(__xludf.DUMMYFUNCTION("""COMPUTED_VALUE"""),107.1068)</f>
        <v>107.1068</v>
      </c>
      <c r="E148" s="11"/>
      <c r="H148" s="17"/>
      <c r="K148" s="40">
        <f>IFERROR(__xludf.DUMMYFUNCTION("""COMPUTED_VALUE"""),41579.0)</f>
        <v>41579</v>
      </c>
      <c r="L148" s="9">
        <f>IFERROR(__xludf.DUMMYFUNCTION("""COMPUTED_VALUE"""),107.1068)</f>
        <v>107.1068</v>
      </c>
    </row>
    <row r="149">
      <c r="B149" s="11">
        <f>IFERROR(__xludf.DUMMYFUNCTION("""COMPUTED_VALUE"""),41548.0)</f>
        <v>41548</v>
      </c>
      <c r="C149" s="9">
        <f>IFERROR(__xludf.DUMMYFUNCTION("""COMPUTED_VALUE"""),109.1164)</f>
        <v>109.1164</v>
      </c>
      <c r="E149" s="11"/>
      <c r="H149" s="17"/>
      <c r="K149" s="40">
        <f>IFERROR(__xludf.DUMMYFUNCTION("""COMPUTED_VALUE"""),41548.0)</f>
        <v>41548</v>
      </c>
      <c r="L149" s="9">
        <f>IFERROR(__xludf.DUMMYFUNCTION("""COMPUTED_VALUE"""),109.1164)</f>
        <v>109.1164</v>
      </c>
    </row>
    <row r="150">
      <c r="B150" s="11">
        <f>IFERROR(__xludf.DUMMYFUNCTION("""COMPUTED_VALUE"""),41518.0)</f>
        <v>41518</v>
      </c>
      <c r="C150" s="9">
        <f>IFERROR(__xludf.DUMMYFUNCTION("""COMPUTED_VALUE"""),108.1396)</f>
        <v>108.1396</v>
      </c>
      <c r="E150" s="11"/>
      <c r="H150" s="17"/>
      <c r="K150" s="40">
        <f>IFERROR(__xludf.DUMMYFUNCTION("""COMPUTED_VALUE"""),41518.0)</f>
        <v>41518</v>
      </c>
      <c r="L150" s="9">
        <f>IFERROR(__xludf.DUMMYFUNCTION("""COMPUTED_VALUE"""),108.1396)</f>
        <v>108.1396</v>
      </c>
    </row>
    <row r="151">
      <c r="B151" s="11">
        <f>IFERROR(__xludf.DUMMYFUNCTION("""COMPUTED_VALUE"""),41487.0)</f>
        <v>41487</v>
      </c>
      <c r="C151" s="9">
        <f>IFERROR(__xludf.DUMMYFUNCTION("""COMPUTED_VALUE"""),108.7683)</f>
        <v>108.7683</v>
      </c>
      <c r="E151" s="11"/>
      <c r="H151" s="17"/>
      <c r="K151" s="40">
        <f>IFERROR(__xludf.DUMMYFUNCTION("""COMPUTED_VALUE"""),41487.0)</f>
        <v>41487</v>
      </c>
      <c r="L151" s="9">
        <f>IFERROR(__xludf.DUMMYFUNCTION("""COMPUTED_VALUE"""),108.7683)</f>
        <v>108.7683</v>
      </c>
    </row>
    <row r="152">
      <c r="B152" s="11">
        <f>IFERROR(__xludf.DUMMYFUNCTION("""COMPUTED_VALUE"""),41456.0)</f>
        <v>41456</v>
      </c>
      <c r="C152" s="9">
        <f>IFERROR(__xludf.DUMMYFUNCTION("""COMPUTED_VALUE"""),108.4281)</f>
        <v>108.4281</v>
      </c>
      <c r="E152" s="11"/>
      <c r="H152" s="17"/>
      <c r="K152" s="40">
        <f>IFERROR(__xludf.DUMMYFUNCTION("""COMPUTED_VALUE"""),41456.0)</f>
        <v>41456</v>
      </c>
      <c r="L152" s="9">
        <f>IFERROR(__xludf.DUMMYFUNCTION("""COMPUTED_VALUE"""),108.4281)</f>
        <v>108.4281</v>
      </c>
    </row>
    <row r="153">
      <c r="B153" s="11">
        <f>IFERROR(__xludf.DUMMYFUNCTION("""COMPUTED_VALUE"""),41426.0)</f>
        <v>41426</v>
      </c>
      <c r="C153" s="9">
        <f>IFERROR(__xludf.DUMMYFUNCTION("""COMPUTED_VALUE"""),109.5473)</f>
        <v>109.5473</v>
      </c>
      <c r="E153" s="11"/>
      <c r="H153" s="17"/>
      <c r="K153" s="40">
        <f>IFERROR(__xludf.DUMMYFUNCTION("""COMPUTED_VALUE"""),41426.0)</f>
        <v>41426</v>
      </c>
      <c r="L153" s="9">
        <f>IFERROR(__xludf.DUMMYFUNCTION("""COMPUTED_VALUE"""),109.5473)</f>
        <v>109.5473</v>
      </c>
    </row>
    <row r="154">
      <c r="B154" s="11">
        <f>IFERROR(__xludf.DUMMYFUNCTION("""COMPUTED_VALUE"""),41395.0)</f>
        <v>41395</v>
      </c>
      <c r="C154" s="9">
        <f>IFERROR(__xludf.DUMMYFUNCTION("""COMPUTED_VALUE"""),109.3376)</f>
        <v>109.3376</v>
      </c>
      <c r="E154" s="11"/>
      <c r="H154" s="17"/>
      <c r="K154" s="40">
        <f>IFERROR(__xludf.DUMMYFUNCTION("""COMPUTED_VALUE"""),41395.0)</f>
        <v>41395</v>
      </c>
      <c r="L154" s="9">
        <f>IFERROR(__xludf.DUMMYFUNCTION("""COMPUTED_VALUE"""),109.3376)</f>
        <v>109.3376</v>
      </c>
    </row>
    <row r="155">
      <c r="B155" s="11">
        <f>IFERROR(__xludf.DUMMYFUNCTION("""COMPUTED_VALUE"""),41365.0)</f>
        <v>41365</v>
      </c>
      <c r="C155" s="9">
        <f>IFERROR(__xludf.DUMMYFUNCTION("""COMPUTED_VALUE"""),110.582)</f>
        <v>110.582</v>
      </c>
      <c r="E155" s="11"/>
      <c r="H155" s="17"/>
      <c r="K155" s="40">
        <f>IFERROR(__xludf.DUMMYFUNCTION("""COMPUTED_VALUE"""),41365.0)</f>
        <v>41365</v>
      </c>
      <c r="L155" s="9">
        <f>IFERROR(__xludf.DUMMYFUNCTION("""COMPUTED_VALUE"""),110.582)</f>
        <v>110.582</v>
      </c>
    </row>
    <row r="156">
      <c r="B156" s="11">
        <f>IFERROR(__xludf.DUMMYFUNCTION("""COMPUTED_VALUE"""),41334.0)</f>
        <v>41334</v>
      </c>
      <c r="C156" s="9">
        <f>IFERROR(__xludf.DUMMYFUNCTION("""COMPUTED_VALUE"""),110.9732)</f>
        <v>110.9732</v>
      </c>
      <c r="E156" s="11"/>
      <c r="H156" s="17"/>
      <c r="K156" s="40">
        <f>IFERROR(__xludf.DUMMYFUNCTION("""COMPUTED_VALUE"""),41334.0)</f>
        <v>41334</v>
      </c>
      <c r="L156" s="9">
        <f>IFERROR(__xludf.DUMMYFUNCTION("""COMPUTED_VALUE"""),110.9732)</f>
        <v>110.9732</v>
      </c>
    </row>
    <row r="157">
      <c r="B157" s="11">
        <f>IFERROR(__xludf.DUMMYFUNCTION("""COMPUTED_VALUE"""),41306.0)</f>
        <v>41306</v>
      </c>
      <c r="C157" s="9">
        <f>IFERROR(__xludf.DUMMYFUNCTION("""COMPUTED_VALUE"""),111.8817)</f>
        <v>111.8817</v>
      </c>
      <c r="E157" s="11"/>
      <c r="H157" s="17"/>
      <c r="K157" s="40">
        <f>IFERROR(__xludf.DUMMYFUNCTION("""COMPUTED_VALUE"""),41306.0)</f>
        <v>41306</v>
      </c>
      <c r="L157" s="9">
        <f>IFERROR(__xludf.DUMMYFUNCTION("""COMPUTED_VALUE"""),111.8817)</f>
        <v>111.8817</v>
      </c>
    </row>
    <row r="158">
      <c r="B158" s="11">
        <f>IFERROR(__xludf.DUMMYFUNCTION("""COMPUTED_VALUE"""),41275.0)</f>
        <v>41275</v>
      </c>
      <c r="C158" s="9">
        <f>IFERROR(__xludf.DUMMYFUNCTION("""COMPUTED_VALUE"""),112.1947)</f>
        <v>112.1947</v>
      </c>
      <c r="E158" s="11"/>
      <c r="H158" s="17"/>
      <c r="K158" s="40">
        <f>IFERROR(__xludf.DUMMYFUNCTION("""COMPUTED_VALUE"""),41275.0)</f>
        <v>41275</v>
      </c>
      <c r="L158" s="9">
        <f>IFERROR(__xludf.DUMMYFUNCTION("""COMPUTED_VALUE"""),112.1947)</f>
        <v>112.1947</v>
      </c>
    </row>
    <row r="159">
      <c r="B159" s="11">
        <f>IFERROR(__xludf.DUMMYFUNCTION("""COMPUTED_VALUE"""),41244.0)</f>
        <v>41244</v>
      </c>
      <c r="C159" s="9">
        <f>IFERROR(__xludf.DUMMYFUNCTION("""COMPUTED_VALUE"""),113.0027)</f>
        <v>113.0027</v>
      </c>
      <c r="E159" s="11"/>
      <c r="H159" s="17"/>
      <c r="K159" s="40">
        <f>IFERROR(__xludf.DUMMYFUNCTION("""COMPUTED_VALUE"""),41244.0)</f>
        <v>41244</v>
      </c>
      <c r="L159" s="9">
        <f>IFERROR(__xludf.DUMMYFUNCTION("""COMPUTED_VALUE"""),113.0027)</f>
        <v>113.0027</v>
      </c>
    </row>
    <row r="160">
      <c r="B160" s="11">
        <f>IFERROR(__xludf.DUMMYFUNCTION("""COMPUTED_VALUE"""),41214.0)</f>
        <v>41214</v>
      </c>
      <c r="C160" s="9">
        <f>IFERROR(__xludf.DUMMYFUNCTION("""COMPUTED_VALUE"""),113.3287)</f>
        <v>113.3287</v>
      </c>
      <c r="E160" s="11"/>
      <c r="H160" s="17"/>
      <c r="K160" s="40">
        <f>IFERROR(__xludf.DUMMYFUNCTION("""COMPUTED_VALUE"""),41214.0)</f>
        <v>41214</v>
      </c>
      <c r="L160" s="9">
        <f>IFERROR(__xludf.DUMMYFUNCTION("""COMPUTED_VALUE"""),113.3287)</f>
        <v>113.3287</v>
      </c>
    </row>
    <row r="161">
      <c r="B161" s="11">
        <f>IFERROR(__xludf.DUMMYFUNCTION("""COMPUTED_VALUE"""),41183.0)</f>
        <v>41183</v>
      </c>
      <c r="C161" s="9">
        <f>IFERROR(__xludf.DUMMYFUNCTION("""COMPUTED_VALUE"""),113.2662)</f>
        <v>113.2662</v>
      </c>
      <c r="E161" s="11"/>
      <c r="H161" s="17"/>
      <c r="K161" s="40">
        <f>IFERROR(__xludf.DUMMYFUNCTION("""COMPUTED_VALUE"""),41183.0)</f>
        <v>41183</v>
      </c>
      <c r="L161" s="9">
        <f>IFERROR(__xludf.DUMMYFUNCTION("""COMPUTED_VALUE"""),113.2662)</f>
        <v>113.2662</v>
      </c>
    </row>
    <row r="162">
      <c r="B162" s="11">
        <f>IFERROR(__xludf.DUMMYFUNCTION("""COMPUTED_VALUE"""),41153.0)</f>
        <v>41153</v>
      </c>
      <c r="C162" s="9">
        <f>IFERROR(__xludf.DUMMYFUNCTION("""COMPUTED_VALUE"""),112.5577)</f>
        <v>112.5577</v>
      </c>
      <c r="E162" s="11"/>
      <c r="H162" s="17"/>
      <c r="K162" s="40">
        <f>IFERROR(__xludf.DUMMYFUNCTION("""COMPUTED_VALUE"""),41153.0)</f>
        <v>41153</v>
      </c>
      <c r="L162" s="9">
        <f>IFERROR(__xludf.DUMMYFUNCTION("""COMPUTED_VALUE"""),112.5577)</f>
        <v>112.5577</v>
      </c>
    </row>
    <row r="163">
      <c r="B163" s="11">
        <f>IFERROR(__xludf.DUMMYFUNCTION("""COMPUTED_VALUE"""),41122.0)</f>
        <v>41122</v>
      </c>
      <c r="C163" s="9">
        <f>IFERROR(__xludf.DUMMYFUNCTION("""COMPUTED_VALUE"""),113.138)</f>
        <v>113.138</v>
      </c>
      <c r="E163" s="11"/>
      <c r="H163" s="17"/>
      <c r="K163" s="40">
        <f>IFERROR(__xludf.DUMMYFUNCTION("""COMPUTED_VALUE"""),41122.0)</f>
        <v>41122</v>
      </c>
      <c r="L163" s="9">
        <f>IFERROR(__xludf.DUMMYFUNCTION("""COMPUTED_VALUE"""),113.138)</f>
        <v>113.138</v>
      </c>
    </row>
    <row r="164">
      <c r="B164" s="11">
        <f>IFERROR(__xludf.DUMMYFUNCTION("""COMPUTED_VALUE"""),41091.0)</f>
        <v>41091</v>
      </c>
      <c r="C164" s="9">
        <f>IFERROR(__xludf.DUMMYFUNCTION("""COMPUTED_VALUE"""),113.3223)</f>
        <v>113.3223</v>
      </c>
      <c r="E164" s="11"/>
      <c r="H164" s="17"/>
      <c r="K164" s="40">
        <f>IFERROR(__xludf.DUMMYFUNCTION("""COMPUTED_VALUE"""),41091.0)</f>
        <v>41091</v>
      </c>
      <c r="L164" s="9">
        <f>IFERROR(__xludf.DUMMYFUNCTION("""COMPUTED_VALUE"""),113.3223)</f>
        <v>113.3223</v>
      </c>
    </row>
    <row r="165">
      <c r="B165" s="11">
        <f>IFERROR(__xludf.DUMMYFUNCTION("""COMPUTED_VALUE"""),41061.0)</f>
        <v>41061</v>
      </c>
      <c r="C165" s="9">
        <f>IFERROR(__xludf.DUMMYFUNCTION("""COMPUTED_VALUE"""),110.8786)</f>
        <v>110.8786</v>
      </c>
      <c r="E165" s="11"/>
      <c r="H165" s="17"/>
      <c r="K165" s="40">
        <f>IFERROR(__xludf.DUMMYFUNCTION("""COMPUTED_VALUE"""),41061.0)</f>
        <v>41061</v>
      </c>
      <c r="L165" s="9">
        <f>IFERROR(__xludf.DUMMYFUNCTION("""COMPUTED_VALUE"""),110.8786)</f>
        <v>110.8786</v>
      </c>
    </row>
    <row r="166">
      <c r="B166" s="11">
        <f>IFERROR(__xludf.DUMMYFUNCTION("""COMPUTED_VALUE"""),41030.0)</f>
        <v>41030</v>
      </c>
      <c r="C166" s="9">
        <f>IFERROR(__xludf.DUMMYFUNCTION("""COMPUTED_VALUE"""),111.8492)</f>
        <v>111.8492</v>
      </c>
      <c r="E166" s="11"/>
      <c r="H166" s="17"/>
      <c r="K166" s="40">
        <f>IFERROR(__xludf.DUMMYFUNCTION("""COMPUTED_VALUE"""),41030.0)</f>
        <v>41030</v>
      </c>
      <c r="L166" s="9">
        <f>IFERROR(__xludf.DUMMYFUNCTION("""COMPUTED_VALUE"""),111.8492)</f>
        <v>111.8492</v>
      </c>
    </row>
    <row r="167">
      <c r="B167" s="11">
        <f>IFERROR(__xludf.DUMMYFUNCTION("""COMPUTED_VALUE"""),41000.0)</f>
        <v>41000</v>
      </c>
      <c r="C167" s="9">
        <f>IFERROR(__xludf.DUMMYFUNCTION("""COMPUTED_VALUE"""),113.1165)</f>
        <v>113.1165</v>
      </c>
      <c r="E167" s="11"/>
      <c r="H167" s="17"/>
      <c r="K167" s="40">
        <f>IFERROR(__xludf.DUMMYFUNCTION("""COMPUTED_VALUE"""),41000.0)</f>
        <v>41000</v>
      </c>
      <c r="L167" s="9">
        <f>IFERROR(__xludf.DUMMYFUNCTION("""COMPUTED_VALUE"""),113.1165)</f>
        <v>113.1165</v>
      </c>
    </row>
    <row r="168">
      <c r="B168" s="11">
        <f>IFERROR(__xludf.DUMMYFUNCTION("""COMPUTED_VALUE"""),40969.0)</f>
        <v>40969</v>
      </c>
      <c r="C168" s="9">
        <f>IFERROR(__xludf.DUMMYFUNCTION("""COMPUTED_VALUE"""),114.5104)</f>
        <v>114.5104</v>
      </c>
      <c r="E168" s="11"/>
      <c r="H168" s="17"/>
      <c r="K168" s="40">
        <f>IFERROR(__xludf.DUMMYFUNCTION("""COMPUTED_VALUE"""),40969.0)</f>
        <v>40969</v>
      </c>
      <c r="L168" s="9">
        <f>IFERROR(__xludf.DUMMYFUNCTION("""COMPUTED_VALUE"""),114.5104)</f>
        <v>114.5104</v>
      </c>
    </row>
    <row r="169">
      <c r="B169" s="11">
        <f>IFERROR(__xludf.DUMMYFUNCTION("""COMPUTED_VALUE"""),40940.0)</f>
        <v>40940</v>
      </c>
      <c r="C169" s="9">
        <f>IFERROR(__xludf.DUMMYFUNCTION("""COMPUTED_VALUE"""),114.5249)</f>
        <v>114.5249</v>
      </c>
      <c r="E169" s="11"/>
      <c r="H169" s="17"/>
      <c r="K169" s="40">
        <f>IFERROR(__xludf.DUMMYFUNCTION("""COMPUTED_VALUE"""),40940.0)</f>
        <v>40940</v>
      </c>
      <c r="L169" s="9">
        <f>IFERROR(__xludf.DUMMYFUNCTION("""COMPUTED_VALUE"""),114.5249)</f>
        <v>114.5249</v>
      </c>
    </row>
    <row r="170">
      <c r="B170" s="11">
        <f>IFERROR(__xludf.DUMMYFUNCTION("""COMPUTED_VALUE"""),40909.0)</f>
        <v>40909</v>
      </c>
      <c r="C170" s="9">
        <f>IFERROR(__xludf.DUMMYFUNCTION("""COMPUTED_VALUE"""),113.1914)</f>
        <v>113.1914</v>
      </c>
      <c r="E170" s="11"/>
      <c r="H170" s="17"/>
      <c r="K170" s="40">
        <f>IFERROR(__xludf.DUMMYFUNCTION("""COMPUTED_VALUE"""),40909.0)</f>
        <v>40909</v>
      </c>
      <c r="L170" s="9">
        <f>IFERROR(__xludf.DUMMYFUNCTION("""COMPUTED_VALUE"""),113.1914)</f>
        <v>113.1914</v>
      </c>
    </row>
    <row r="171">
      <c r="B171" s="11">
        <f>IFERROR(__xludf.DUMMYFUNCTION("""COMPUTED_VALUE"""),40878.0)</f>
        <v>40878</v>
      </c>
      <c r="C171" s="9">
        <f>IFERROR(__xludf.DUMMYFUNCTION("""COMPUTED_VALUE"""),112.7905)</f>
        <v>112.7905</v>
      </c>
      <c r="E171" s="11"/>
      <c r="H171" s="17"/>
      <c r="K171" s="40">
        <f>IFERROR(__xludf.DUMMYFUNCTION("""COMPUTED_VALUE"""),40878.0)</f>
        <v>40878</v>
      </c>
      <c r="L171" s="9">
        <f>IFERROR(__xludf.DUMMYFUNCTION("""COMPUTED_VALUE"""),112.7905)</f>
        <v>112.7905</v>
      </c>
    </row>
    <row r="172">
      <c r="B172" s="11">
        <f>IFERROR(__xludf.DUMMYFUNCTION("""COMPUTED_VALUE"""),40848.0)</f>
        <v>40848</v>
      </c>
      <c r="C172" s="9">
        <f>IFERROR(__xludf.DUMMYFUNCTION("""COMPUTED_VALUE"""),113.165)</f>
        <v>113.165</v>
      </c>
      <c r="E172" s="11"/>
      <c r="H172" s="17"/>
      <c r="K172" s="40">
        <f>IFERROR(__xludf.DUMMYFUNCTION("""COMPUTED_VALUE"""),40848.0)</f>
        <v>40848</v>
      </c>
      <c r="L172" s="9">
        <f>IFERROR(__xludf.DUMMYFUNCTION("""COMPUTED_VALUE"""),113.165)</f>
        <v>113.165</v>
      </c>
    </row>
    <row r="173">
      <c r="B173" s="11">
        <f>IFERROR(__xludf.DUMMYFUNCTION("""COMPUTED_VALUE"""),40817.0)</f>
        <v>40817</v>
      </c>
      <c r="C173" s="9">
        <f>IFERROR(__xludf.DUMMYFUNCTION("""COMPUTED_VALUE"""),111.591)</f>
        <v>111.591</v>
      </c>
      <c r="E173" s="11"/>
      <c r="H173" s="17"/>
      <c r="K173" s="40">
        <f>IFERROR(__xludf.DUMMYFUNCTION("""COMPUTED_VALUE"""),40817.0)</f>
        <v>40817</v>
      </c>
      <c r="L173" s="9">
        <f>IFERROR(__xludf.DUMMYFUNCTION("""COMPUTED_VALUE"""),111.591)</f>
        <v>111.591</v>
      </c>
    </row>
    <row r="174">
      <c r="B174" s="11">
        <f>IFERROR(__xludf.DUMMYFUNCTION("""COMPUTED_VALUE"""),40787.0)</f>
        <v>40787</v>
      </c>
      <c r="C174" s="9">
        <f>IFERROR(__xludf.DUMMYFUNCTION("""COMPUTED_VALUE"""),110.4417)</f>
        <v>110.4417</v>
      </c>
      <c r="E174" s="11"/>
      <c r="H174" s="17"/>
      <c r="K174" s="40">
        <f>IFERROR(__xludf.DUMMYFUNCTION("""COMPUTED_VALUE"""),40787.0)</f>
        <v>40787</v>
      </c>
      <c r="L174" s="9">
        <f>IFERROR(__xludf.DUMMYFUNCTION("""COMPUTED_VALUE"""),110.4417)</f>
        <v>110.4417</v>
      </c>
    </row>
    <row r="175">
      <c r="B175" s="11">
        <f>IFERROR(__xludf.DUMMYFUNCTION("""COMPUTED_VALUE"""),40756.0)</f>
        <v>40756</v>
      </c>
      <c r="C175" s="9">
        <f>IFERROR(__xludf.DUMMYFUNCTION("""COMPUTED_VALUE"""),110.5732)</f>
        <v>110.5732</v>
      </c>
      <c r="E175" s="11"/>
      <c r="H175" s="17"/>
      <c r="K175" s="40">
        <f>IFERROR(__xludf.DUMMYFUNCTION("""COMPUTED_VALUE"""),40756.0)</f>
        <v>40756</v>
      </c>
      <c r="L175" s="9">
        <f>IFERROR(__xludf.DUMMYFUNCTION("""COMPUTED_VALUE"""),110.5732)</f>
        <v>110.5732</v>
      </c>
    </row>
    <row r="176">
      <c r="B176" s="11">
        <f>IFERROR(__xludf.DUMMYFUNCTION("""COMPUTED_VALUE"""),40725.0)</f>
        <v>40725</v>
      </c>
      <c r="C176" s="9">
        <f>IFERROR(__xludf.DUMMYFUNCTION("""COMPUTED_VALUE"""),109.8343)</f>
        <v>109.8343</v>
      </c>
      <c r="E176" s="11"/>
      <c r="H176" s="17"/>
      <c r="K176" s="40">
        <f>IFERROR(__xludf.DUMMYFUNCTION("""COMPUTED_VALUE"""),40725.0)</f>
        <v>40725</v>
      </c>
      <c r="L176" s="9">
        <f>IFERROR(__xludf.DUMMYFUNCTION("""COMPUTED_VALUE"""),109.8343)</f>
        <v>109.8343</v>
      </c>
    </row>
    <row r="177">
      <c r="B177" s="11">
        <f>IFERROR(__xludf.DUMMYFUNCTION("""COMPUTED_VALUE"""),40695.0)</f>
        <v>40695</v>
      </c>
      <c r="C177" s="9">
        <f>IFERROR(__xludf.DUMMYFUNCTION("""COMPUTED_VALUE"""),109.193)</f>
        <v>109.193</v>
      </c>
      <c r="E177" s="11"/>
      <c r="H177" s="17"/>
      <c r="K177" s="40">
        <f>IFERROR(__xludf.DUMMYFUNCTION("""COMPUTED_VALUE"""),40695.0)</f>
        <v>40695</v>
      </c>
      <c r="L177" s="9">
        <f>IFERROR(__xludf.DUMMYFUNCTION("""COMPUTED_VALUE"""),109.193)</f>
        <v>109.193</v>
      </c>
    </row>
    <row r="178">
      <c r="B178" s="11">
        <f>IFERROR(__xludf.DUMMYFUNCTION("""COMPUTED_VALUE"""),40664.0)</f>
        <v>40664</v>
      </c>
      <c r="C178" s="9">
        <f>IFERROR(__xludf.DUMMYFUNCTION("""COMPUTED_VALUE"""),109.9053)</f>
        <v>109.9053</v>
      </c>
      <c r="E178" s="11"/>
      <c r="H178" s="17"/>
      <c r="K178" s="40">
        <f>IFERROR(__xludf.DUMMYFUNCTION("""COMPUTED_VALUE"""),40664.0)</f>
        <v>40664</v>
      </c>
      <c r="L178" s="9">
        <f>IFERROR(__xludf.DUMMYFUNCTION("""COMPUTED_VALUE"""),109.9053)</f>
        <v>109.9053</v>
      </c>
    </row>
    <row r="179">
      <c r="B179" s="11">
        <f>IFERROR(__xludf.DUMMYFUNCTION("""COMPUTED_VALUE"""),40634.0)</f>
        <v>40634</v>
      </c>
      <c r="C179" s="9">
        <f>IFERROR(__xludf.DUMMYFUNCTION("""COMPUTED_VALUE"""),110.0297)</f>
        <v>110.0297</v>
      </c>
      <c r="E179" s="11"/>
      <c r="H179" s="17"/>
      <c r="K179" s="40">
        <f>IFERROR(__xludf.DUMMYFUNCTION("""COMPUTED_VALUE"""),40634.0)</f>
        <v>40634</v>
      </c>
      <c r="L179" s="9">
        <f>IFERROR(__xludf.DUMMYFUNCTION("""COMPUTED_VALUE"""),110.0297)</f>
        <v>110.0297</v>
      </c>
    </row>
    <row r="180">
      <c r="B180" s="11">
        <f>IFERROR(__xludf.DUMMYFUNCTION("""COMPUTED_VALUE"""),40603.0)</f>
        <v>40603</v>
      </c>
      <c r="C180" s="9">
        <f>IFERROR(__xludf.DUMMYFUNCTION("""COMPUTED_VALUE"""),110.6488)</f>
        <v>110.6488</v>
      </c>
      <c r="E180" s="11"/>
      <c r="H180" s="17"/>
      <c r="K180" s="40">
        <f>IFERROR(__xludf.DUMMYFUNCTION("""COMPUTED_VALUE"""),40603.0)</f>
        <v>40603</v>
      </c>
      <c r="L180" s="9">
        <f>IFERROR(__xludf.DUMMYFUNCTION("""COMPUTED_VALUE"""),110.6488)</f>
        <v>110.6488</v>
      </c>
    </row>
    <row r="181">
      <c r="B181" s="11">
        <f>IFERROR(__xludf.DUMMYFUNCTION("""COMPUTED_VALUE"""),40575.0)</f>
        <v>40575</v>
      </c>
      <c r="C181" s="9">
        <f>IFERROR(__xludf.DUMMYFUNCTION("""COMPUTED_VALUE"""),111.3092)</f>
        <v>111.3092</v>
      </c>
      <c r="E181" s="11"/>
      <c r="H181" s="17"/>
      <c r="K181" s="40">
        <f>IFERROR(__xludf.DUMMYFUNCTION("""COMPUTED_VALUE"""),40575.0)</f>
        <v>40575</v>
      </c>
      <c r="L181" s="9">
        <f>IFERROR(__xludf.DUMMYFUNCTION("""COMPUTED_VALUE"""),111.3092)</f>
        <v>111.3092</v>
      </c>
    </row>
    <row r="182">
      <c r="B182" s="11">
        <f>IFERROR(__xludf.DUMMYFUNCTION("""COMPUTED_VALUE"""),40544.0)</f>
        <v>40544</v>
      </c>
      <c r="C182" s="9">
        <f>IFERROR(__xludf.DUMMYFUNCTION("""COMPUTED_VALUE"""),112.085)</f>
        <v>112.085</v>
      </c>
      <c r="E182" s="11"/>
      <c r="H182" s="17"/>
      <c r="K182" s="40">
        <f>IFERROR(__xludf.DUMMYFUNCTION("""COMPUTED_VALUE"""),40544.0)</f>
        <v>40544</v>
      </c>
      <c r="L182" s="9">
        <f>IFERROR(__xludf.DUMMYFUNCTION("""COMPUTED_VALUE"""),112.085)</f>
        <v>112.085</v>
      </c>
    </row>
    <row r="183">
      <c r="B183" s="11">
        <f>IFERROR(__xludf.DUMMYFUNCTION("""COMPUTED_VALUE"""),40513.0)</f>
        <v>40513</v>
      </c>
      <c r="C183" s="9">
        <f>IFERROR(__xludf.DUMMYFUNCTION("""COMPUTED_VALUE"""),112.4577)</f>
        <v>112.4577</v>
      </c>
      <c r="E183" s="11"/>
      <c r="H183" s="17"/>
      <c r="K183" s="40">
        <f>IFERROR(__xludf.DUMMYFUNCTION("""COMPUTED_VALUE"""),40513.0)</f>
        <v>40513</v>
      </c>
      <c r="L183" s="9">
        <f>IFERROR(__xludf.DUMMYFUNCTION("""COMPUTED_VALUE"""),112.4577)</f>
        <v>112.4577</v>
      </c>
    </row>
    <row r="184">
      <c r="B184" s="11">
        <f>IFERROR(__xludf.DUMMYFUNCTION("""COMPUTED_VALUE"""),40483.0)</f>
        <v>40483</v>
      </c>
      <c r="C184" s="9">
        <f>IFERROR(__xludf.DUMMYFUNCTION("""COMPUTED_VALUE"""),113.0624)</f>
        <v>113.0624</v>
      </c>
      <c r="E184" s="11"/>
      <c r="H184" s="17"/>
      <c r="K184" s="40">
        <f>IFERROR(__xludf.DUMMYFUNCTION("""COMPUTED_VALUE"""),40483.0)</f>
        <v>40483</v>
      </c>
      <c r="L184" s="9">
        <f>IFERROR(__xludf.DUMMYFUNCTION("""COMPUTED_VALUE"""),113.0624)</f>
        <v>113.0624</v>
      </c>
    </row>
    <row r="185">
      <c r="B185" s="11">
        <f>IFERROR(__xludf.DUMMYFUNCTION("""COMPUTED_VALUE"""),40452.0)</f>
        <v>40452</v>
      </c>
      <c r="C185" s="9">
        <f>IFERROR(__xludf.DUMMYFUNCTION("""COMPUTED_VALUE"""),113.8311)</f>
        <v>113.8311</v>
      </c>
      <c r="E185" s="11"/>
      <c r="H185" s="17"/>
      <c r="K185" s="40">
        <f>IFERROR(__xludf.DUMMYFUNCTION("""COMPUTED_VALUE"""),40452.0)</f>
        <v>40452</v>
      </c>
      <c r="L185" s="9">
        <f>IFERROR(__xludf.DUMMYFUNCTION("""COMPUTED_VALUE"""),113.8311)</f>
        <v>113.8311</v>
      </c>
    </row>
    <row r="186">
      <c r="B186" s="11">
        <f>IFERROR(__xludf.DUMMYFUNCTION("""COMPUTED_VALUE"""),40422.0)</f>
        <v>40422</v>
      </c>
      <c r="C186" s="9">
        <f>IFERROR(__xludf.DUMMYFUNCTION("""COMPUTED_VALUE"""),115.7815)</f>
        <v>115.7815</v>
      </c>
      <c r="E186" s="11"/>
      <c r="H186" s="17"/>
      <c r="K186" s="40">
        <f>IFERROR(__xludf.DUMMYFUNCTION("""COMPUTED_VALUE"""),40422.0)</f>
        <v>40422</v>
      </c>
      <c r="L186" s="9">
        <f>IFERROR(__xludf.DUMMYFUNCTION("""COMPUTED_VALUE"""),115.7815)</f>
        <v>115.7815</v>
      </c>
    </row>
    <row r="187">
      <c r="B187" s="11">
        <f>IFERROR(__xludf.DUMMYFUNCTION("""COMPUTED_VALUE"""),40391.0)</f>
        <v>40391</v>
      </c>
      <c r="C187" s="9">
        <f>IFERROR(__xludf.DUMMYFUNCTION("""COMPUTED_VALUE"""),117.4454)</f>
        <v>117.4454</v>
      </c>
      <c r="E187" s="11"/>
      <c r="H187" s="17"/>
      <c r="K187" s="40">
        <f>IFERROR(__xludf.DUMMYFUNCTION("""COMPUTED_VALUE"""),40391.0)</f>
        <v>40391</v>
      </c>
      <c r="L187" s="9">
        <f>IFERROR(__xludf.DUMMYFUNCTION("""COMPUTED_VALUE"""),117.4454)</f>
        <v>117.4454</v>
      </c>
    </row>
    <row r="188">
      <c r="B188" s="11">
        <f>IFERROR(__xludf.DUMMYFUNCTION("""COMPUTED_VALUE"""),40360.0)</f>
        <v>40360</v>
      </c>
      <c r="C188" s="9">
        <f>IFERROR(__xludf.DUMMYFUNCTION("""COMPUTED_VALUE"""),117.3255)</f>
        <v>117.3255</v>
      </c>
      <c r="E188" s="11"/>
      <c r="H188" s="17"/>
      <c r="K188" s="40">
        <f>IFERROR(__xludf.DUMMYFUNCTION("""COMPUTED_VALUE"""),40360.0)</f>
        <v>40360</v>
      </c>
      <c r="L188" s="9">
        <f>IFERROR(__xludf.DUMMYFUNCTION("""COMPUTED_VALUE"""),117.3255)</f>
        <v>117.3255</v>
      </c>
    </row>
    <row r="189">
      <c r="B189" s="11">
        <f>IFERROR(__xludf.DUMMYFUNCTION("""COMPUTED_VALUE"""),40330.0)</f>
        <v>40330</v>
      </c>
      <c r="C189" s="9">
        <f>IFERROR(__xludf.DUMMYFUNCTION("""COMPUTED_VALUE"""),115.3352)</f>
        <v>115.3352</v>
      </c>
      <c r="E189" s="11"/>
      <c r="H189" s="17"/>
      <c r="K189" s="40">
        <f>IFERROR(__xludf.DUMMYFUNCTION("""COMPUTED_VALUE"""),40330.0)</f>
        <v>40330</v>
      </c>
      <c r="L189" s="9">
        <f>IFERROR(__xludf.DUMMYFUNCTION("""COMPUTED_VALUE"""),115.3352)</f>
        <v>115.3352</v>
      </c>
    </row>
    <row r="190">
      <c r="B190" s="11">
        <f>IFERROR(__xludf.DUMMYFUNCTION("""COMPUTED_VALUE"""),40299.0)</f>
        <v>40299</v>
      </c>
      <c r="C190" s="9">
        <f>IFERROR(__xludf.DUMMYFUNCTION("""COMPUTED_VALUE"""),115.4397)</f>
        <v>115.4397</v>
      </c>
      <c r="E190" s="11"/>
      <c r="H190" s="17"/>
      <c r="K190" s="40">
        <f>IFERROR(__xludf.DUMMYFUNCTION("""COMPUTED_VALUE"""),40299.0)</f>
        <v>40299</v>
      </c>
      <c r="L190" s="9">
        <f>IFERROR(__xludf.DUMMYFUNCTION("""COMPUTED_VALUE"""),115.4397)</f>
        <v>115.4397</v>
      </c>
    </row>
    <row r="191">
      <c r="B191" s="11">
        <f>IFERROR(__xludf.DUMMYFUNCTION("""COMPUTED_VALUE"""),40269.0)</f>
        <v>40269</v>
      </c>
      <c r="C191" s="9">
        <f>IFERROR(__xludf.DUMMYFUNCTION("""COMPUTED_VALUE"""),115.2268)</f>
        <v>115.2268</v>
      </c>
      <c r="E191" s="11"/>
      <c r="H191" s="17"/>
      <c r="K191" s="40">
        <f>IFERROR(__xludf.DUMMYFUNCTION("""COMPUTED_VALUE"""),40269.0)</f>
        <v>40269</v>
      </c>
      <c r="L191" s="9">
        <f>IFERROR(__xludf.DUMMYFUNCTION("""COMPUTED_VALUE"""),115.2268)</f>
        <v>115.2268</v>
      </c>
    </row>
    <row r="192">
      <c r="B192" s="11">
        <f>IFERROR(__xludf.DUMMYFUNCTION("""COMPUTED_VALUE"""),40238.0)</f>
        <v>40238</v>
      </c>
      <c r="C192" s="9">
        <f>IFERROR(__xludf.DUMMYFUNCTION("""COMPUTED_VALUE"""),114.1262)</f>
        <v>114.1262</v>
      </c>
      <c r="E192" s="11"/>
      <c r="H192" s="17"/>
      <c r="K192" s="40">
        <f>IFERROR(__xludf.DUMMYFUNCTION("""COMPUTED_VALUE"""),40238.0)</f>
        <v>40238</v>
      </c>
      <c r="L192" s="9">
        <f>IFERROR(__xludf.DUMMYFUNCTION("""COMPUTED_VALUE"""),114.1262)</f>
        <v>114.1262</v>
      </c>
    </row>
    <row r="193">
      <c r="B193" s="11">
        <f>IFERROR(__xludf.DUMMYFUNCTION("""COMPUTED_VALUE"""),40210.0)</f>
        <v>40210</v>
      </c>
      <c r="C193" s="9">
        <f>IFERROR(__xludf.DUMMYFUNCTION("""COMPUTED_VALUE"""),111.1719)</f>
        <v>111.1719</v>
      </c>
      <c r="E193" s="11"/>
      <c r="H193" s="17"/>
      <c r="K193" s="40">
        <f>IFERROR(__xludf.DUMMYFUNCTION("""COMPUTED_VALUE"""),40210.0)</f>
        <v>40210</v>
      </c>
      <c r="L193" s="9">
        <f>IFERROR(__xludf.DUMMYFUNCTION("""COMPUTED_VALUE"""),111.1719)</f>
        <v>111.1719</v>
      </c>
    </row>
    <row r="194">
      <c r="B194" s="11">
        <f>IFERROR(__xludf.DUMMYFUNCTION("""COMPUTED_VALUE"""),40179.0)</f>
        <v>40179</v>
      </c>
      <c r="C194" s="9">
        <f>IFERROR(__xludf.DUMMYFUNCTION("""COMPUTED_VALUE"""),110.1718)</f>
        <v>110.1718</v>
      </c>
      <c r="E194" s="11"/>
      <c r="H194" s="17"/>
      <c r="K194" s="40">
        <f>IFERROR(__xludf.DUMMYFUNCTION("""COMPUTED_VALUE"""),40179.0)</f>
        <v>40179</v>
      </c>
      <c r="L194" s="9">
        <f>IFERROR(__xludf.DUMMYFUNCTION("""COMPUTED_VALUE"""),110.1718)</f>
        <v>110.1718</v>
      </c>
    </row>
    <row r="195">
      <c r="B195" s="11">
        <f>IFERROR(__xludf.DUMMYFUNCTION("""COMPUTED_VALUE"""),40148.0)</f>
        <v>40148</v>
      </c>
      <c r="C195" s="9">
        <f>IFERROR(__xludf.DUMMYFUNCTION("""COMPUTED_VALUE"""),108.0429)</f>
        <v>108.0429</v>
      </c>
      <c r="E195" s="11"/>
      <c r="H195" s="17"/>
      <c r="K195" s="40">
        <f>IFERROR(__xludf.DUMMYFUNCTION("""COMPUTED_VALUE"""),40148.0)</f>
        <v>40148</v>
      </c>
      <c r="L195" s="9">
        <f>IFERROR(__xludf.DUMMYFUNCTION("""COMPUTED_VALUE"""),108.0429)</f>
        <v>108.0429</v>
      </c>
    </row>
    <row r="196">
      <c r="B196" s="11">
        <f>IFERROR(__xludf.DUMMYFUNCTION("""COMPUTED_VALUE"""),40118.0)</f>
        <v>40118</v>
      </c>
      <c r="C196" s="9">
        <f>IFERROR(__xludf.DUMMYFUNCTION("""COMPUTED_VALUE"""),107.5359)</f>
        <v>107.5359</v>
      </c>
      <c r="E196" s="11"/>
      <c r="H196" s="17"/>
      <c r="K196" s="40">
        <f>IFERROR(__xludf.DUMMYFUNCTION("""COMPUTED_VALUE"""),40118.0)</f>
        <v>40118</v>
      </c>
      <c r="L196" s="9">
        <f>IFERROR(__xludf.DUMMYFUNCTION("""COMPUTED_VALUE"""),107.5359)</f>
        <v>107.5359</v>
      </c>
    </row>
    <row r="197">
      <c r="B197" s="11">
        <f>IFERROR(__xludf.DUMMYFUNCTION("""COMPUTED_VALUE"""),40087.0)</f>
        <v>40087</v>
      </c>
      <c r="C197" s="9">
        <f>IFERROR(__xludf.DUMMYFUNCTION("""COMPUTED_VALUE"""),107.3209)</f>
        <v>107.3209</v>
      </c>
      <c r="E197" s="11"/>
      <c r="H197" s="17"/>
      <c r="K197" s="40">
        <f>IFERROR(__xludf.DUMMYFUNCTION("""COMPUTED_VALUE"""),40087.0)</f>
        <v>40087</v>
      </c>
      <c r="L197" s="9">
        <f>IFERROR(__xludf.DUMMYFUNCTION("""COMPUTED_VALUE"""),107.3209)</f>
        <v>107.3209</v>
      </c>
    </row>
    <row r="198">
      <c r="B198" s="11">
        <f>IFERROR(__xludf.DUMMYFUNCTION("""COMPUTED_VALUE"""),40057.0)</f>
        <v>40057</v>
      </c>
      <c r="C198" s="9">
        <f>IFERROR(__xludf.DUMMYFUNCTION("""COMPUTED_VALUE"""),108.1062)</f>
        <v>108.1062</v>
      </c>
      <c r="E198" s="11"/>
      <c r="H198" s="17"/>
      <c r="K198" s="40">
        <f>IFERROR(__xludf.DUMMYFUNCTION("""COMPUTED_VALUE"""),40057.0)</f>
        <v>40057</v>
      </c>
      <c r="L198" s="9">
        <f>IFERROR(__xludf.DUMMYFUNCTION("""COMPUTED_VALUE"""),108.1062)</f>
        <v>108.1062</v>
      </c>
    </row>
    <row r="199">
      <c r="B199" s="11">
        <f>IFERROR(__xludf.DUMMYFUNCTION("""COMPUTED_VALUE"""),40026.0)</f>
        <v>40026</v>
      </c>
      <c r="C199" s="9">
        <f>IFERROR(__xludf.DUMMYFUNCTION("""COMPUTED_VALUE"""),106.8922)</f>
        <v>106.8922</v>
      </c>
      <c r="E199" s="11"/>
      <c r="H199" s="17"/>
      <c r="K199" s="40">
        <f>IFERROR(__xludf.DUMMYFUNCTION("""COMPUTED_VALUE"""),40026.0)</f>
        <v>40026</v>
      </c>
      <c r="L199" s="9">
        <f>IFERROR(__xludf.DUMMYFUNCTION("""COMPUTED_VALUE"""),106.8922)</f>
        <v>106.8922</v>
      </c>
    </row>
    <row r="200">
      <c r="B200" s="11">
        <f>IFERROR(__xludf.DUMMYFUNCTION("""COMPUTED_VALUE"""),39995.0)</f>
        <v>39995</v>
      </c>
      <c r="C200" s="9">
        <f>IFERROR(__xludf.DUMMYFUNCTION("""COMPUTED_VALUE"""),105.9523)</f>
        <v>105.9523</v>
      </c>
      <c r="E200" s="11"/>
      <c r="H200" s="17"/>
      <c r="K200" s="40">
        <f>IFERROR(__xludf.DUMMYFUNCTION("""COMPUTED_VALUE"""),39995.0)</f>
        <v>39995</v>
      </c>
      <c r="L200" s="9">
        <f>IFERROR(__xludf.DUMMYFUNCTION("""COMPUTED_VALUE"""),105.9523)</f>
        <v>105.9523</v>
      </c>
    </row>
    <row r="201">
      <c r="B201" s="11">
        <f>IFERROR(__xludf.DUMMYFUNCTION("""COMPUTED_VALUE"""),39965.0)</f>
        <v>39965</v>
      </c>
      <c r="C201" s="9">
        <f>IFERROR(__xludf.DUMMYFUNCTION("""COMPUTED_VALUE"""),104.2872)</f>
        <v>104.2872</v>
      </c>
      <c r="E201" s="11"/>
      <c r="H201" s="17"/>
      <c r="K201" s="40">
        <f>IFERROR(__xludf.DUMMYFUNCTION("""COMPUTED_VALUE"""),39965.0)</f>
        <v>39965</v>
      </c>
      <c r="L201" s="9">
        <f>IFERROR(__xludf.DUMMYFUNCTION("""COMPUTED_VALUE"""),104.2872)</f>
        <v>104.2872</v>
      </c>
    </row>
    <row r="202">
      <c r="B202" s="11">
        <f>IFERROR(__xludf.DUMMYFUNCTION("""COMPUTED_VALUE"""),39934.0)</f>
        <v>39934</v>
      </c>
      <c r="C202" s="9">
        <f>IFERROR(__xludf.DUMMYFUNCTION("""COMPUTED_VALUE"""),103.9549)</f>
        <v>103.9549</v>
      </c>
      <c r="E202" s="11"/>
      <c r="H202" s="17"/>
      <c r="K202" s="40">
        <f>IFERROR(__xludf.DUMMYFUNCTION("""COMPUTED_VALUE"""),39934.0)</f>
        <v>39934</v>
      </c>
      <c r="L202" s="9">
        <f>IFERROR(__xludf.DUMMYFUNCTION("""COMPUTED_VALUE"""),103.9549)</f>
        <v>103.9549</v>
      </c>
    </row>
    <row r="203">
      <c r="B203" s="11">
        <f>IFERROR(__xludf.DUMMYFUNCTION("""COMPUTED_VALUE"""),39904.0)</f>
        <v>39904</v>
      </c>
      <c r="C203" s="9">
        <f>IFERROR(__xludf.DUMMYFUNCTION("""COMPUTED_VALUE"""),103.8735)</f>
        <v>103.8735</v>
      </c>
      <c r="E203" s="11"/>
      <c r="H203" s="17"/>
      <c r="K203" s="40">
        <f>IFERROR(__xludf.DUMMYFUNCTION("""COMPUTED_VALUE"""),39904.0)</f>
        <v>39904</v>
      </c>
      <c r="L203" s="9">
        <f>IFERROR(__xludf.DUMMYFUNCTION("""COMPUTED_VALUE"""),103.8735)</f>
        <v>103.8735</v>
      </c>
    </row>
    <row r="204">
      <c r="B204" s="11">
        <f>IFERROR(__xludf.DUMMYFUNCTION("""COMPUTED_VALUE"""),39873.0)</f>
        <v>39873</v>
      </c>
      <c r="C204" s="9">
        <f>IFERROR(__xludf.DUMMYFUNCTION("""COMPUTED_VALUE"""),104.603)</f>
        <v>104.603</v>
      </c>
      <c r="E204" s="11"/>
      <c r="H204" s="17"/>
      <c r="K204" s="40">
        <f>IFERROR(__xludf.DUMMYFUNCTION("""COMPUTED_VALUE"""),39873.0)</f>
        <v>39873</v>
      </c>
      <c r="L204" s="9">
        <f>IFERROR(__xludf.DUMMYFUNCTION("""COMPUTED_VALUE"""),104.603)</f>
        <v>104.603</v>
      </c>
    </row>
    <row r="205">
      <c r="B205" s="11">
        <f>IFERROR(__xludf.DUMMYFUNCTION("""COMPUTED_VALUE"""),39845.0)</f>
        <v>39845</v>
      </c>
      <c r="C205" s="9">
        <f>IFERROR(__xludf.DUMMYFUNCTION("""COMPUTED_VALUE"""),106.493)</f>
        <v>106.493</v>
      </c>
      <c r="E205" s="11"/>
      <c r="H205" s="17"/>
      <c r="K205" s="40">
        <f>IFERROR(__xludf.DUMMYFUNCTION("""COMPUTED_VALUE"""),39845.0)</f>
        <v>39845</v>
      </c>
      <c r="L205" s="9">
        <f>IFERROR(__xludf.DUMMYFUNCTION("""COMPUTED_VALUE"""),106.493)</f>
        <v>106.493</v>
      </c>
    </row>
    <row r="206">
      <c r="B206" s="11">
        <f>IFERROR(__xludf.DUMMYFUNCTION("""COMPUTED_VALUE"""),39814.0)</f>
        <v>39814</v>
      </c>
      <c r="C206" s="9">
        <f>IFERROR(__xludf.DUMMYFUNCTION("""COMPUTED_VALUE"""),107.2089)</f>
        <v>107.2089</v>
      </c>
      <c r="E206" s="11"/>
      <c r="H206" s="17"/>
      <c r="K206" s="40">
        <f>IFERROR(__xludf.DUMMYFUNCTION("""COMPUTED_VALUE"""),39814.0)</f>
        <v>39814</v>
      </c>
      <c r="L206" s="9">
        <f>IFERROR(__xludf.DUMMYFUNCTION("""COMPUTED_VALUE"""),107.2089)</f>
        <v>107.2089</v>
      </c>
    </row>
    <row r="207">
      <c r="B207" s="11">
        <f>IFERROR(__xludf.DUMMYFUNCTION("""COMPUTED_VALUE"""),39783.0)</f>
        <v>39783</v>
      </c>
      <c r="C207" s="9">
        <f>IFERROR(__xludf.DUMMYFUNCTION("""COMPUTED_VALUE"""),107.9088)</f>
        <v>107.9088</v>
      </c>
      <c r="E207" s="11"/>
      <c r="H207" s="17"/>
      <c r="K207" s="40">
        <f>IFERROR(__xludf.DUMMYFUNCTION("""COMPUTED_VALUE"""),39783.0)</f>
        <v>39783</v>
      </c>
      <c r="L207" s="9">
        <f>IFERROR(__xludf.DUMMYFUNCTION("""COMPUTED_VALUE"""),107.9088)</f>
        <v>107.9088</v>
      </c>
    </row>
    <row r="208">
      <c r="B208" s="11">
        <f>IFERROR(__xludf.DUMMYFUNCTION("""COMPUTED_VALUE"""),39753.0)</f>
        <v>39753</v>
      </c>
      <c r="C208" s="9">
        <f>IFERROR(__xludf.DUMMYFUNCTION("""COMPUTED_VALUE"""),108.6764)</f>
        <v>108.6764</v>
      </c>
      <c r="E208" s="11"/>
      <c r="H208" s="17"/>
      <c r="K208" s="40">
        <f>IFERROR(__xludf.DUMMYFUNCTION("""COMPUTED_VALUE"""),39753.0)</f>
        <v>39753</v>
      </c>
      <c r="L208" s="9">
        <f>IFERROR(__xludf.DUMMYFUNCTION("""COMPUTED_VALUE"""),108.6764)</f>
        <v>108.6764</v>
      </c>
    </row>
    <row r="209">
      <c r="B209" s="11">
        <f>IFERROR(__xludf.DUMMYFUNCTION("""COMPUTED_VALUE"""),39722.0)</f>
        <v>39722</v>
      </c>
      <c r="C209" s="9">
        <f>IFERROR(__xludf.DUMMYFUNCTION("""COMPUTED_VALUE"""),109.1933)</f>
        <v>109.1933</v>
      </c>
      <c r="E209" s="11"/>
      <c r="H209" s="17"/>
      <c r="K209" s="40">
        <f>IFERROR(__xludf.DUMMYFUNCTION("""COMPUTED_VALUE"""),39722.0)</f>
        <v>39722</v>
      </c>
      <c r="L209" s="9">
        <f>IFERROR(__xludf.DUMMYFUNCTION("""COMPUTED_VALUE"""),109.1933)</f>
        <v>109.1933</v>
      </c>
    </row>
    <row r="210">
      <c r="B210" s="11">
        <f>IFERROR(__xludf.DUMMYFUNCTION("""COMPUTED_VALUE"""),39692.0)</f>
        <v>39692</v>
      </c>
      <c r="C210" s="9">
        <f>IFERROR(__xludf.DUMMYFUNCTION("""COMPUTED_VALUE"""),109.0542)</f>
        <v>109.0542</v>
      </c>
      <c r="E210" s="11"/>
      <c r="H210" s="17"/>
      <c r="K210" s="40">
        <f>IFERROR(__xludf.DUMMYFUNCTION("""COMPUTED_VALUE"""),39692.0)</f>
        <v>39692</v>
      </c>
      <c r="L210" s="9">
        <f>IFERROR(__xludf.DUMMYFUNCTION("""COMPUTED_VALUE"""),109.0542)</f>
        <v>109.0542</v>
      </c>
    </row>
    <row r="211">
      <c r="B211" s="11">
        <f>IFERROR(__xludf.DUMMYFUNCTION("""COMPUTED_VALUE"""),39661.0)</f>
        <v>39661</v>
      </c>
      <c r="C211" s="9">
        <f>IFERROR(__xludf.DUMMYFUNCTION("""COMPUTED_VALUE"""),111.6868)</f>
        <v>111.6868</v>
      </c>
      <c r="E211" s="11"/>
      <c r="H211" s="17"/>
      <c r="K211" s="40">
        <f>IFERROR(__xludf.DUMMYFUNCTION("""COMPUTED_VALUE"""),39661.0)</f>
        <v>39661</v>
      </c>
      <c r="L211" s="9">
        <f>IFERROR(__xludf.DUMMYFUNCTION("""COMPUTED_VALUE"""),111.6868)</f>
        <v>111.6868</v>
      </c>
    </row>
    <row r="212">
      <c r="B212" s="11">
        <f>IFERROR(__xludf.DUMMYFUNCTION("""COMPUTED_VALUE"""),39630.0)</f>
        <v>39630</v>
      </c>
      <c r="C212" s="9">
        <f>IFERROR(__xludf.DUMMYFUNCTION("""COMPUTED_VALUE"""),112.0735)</f>
        <v>112.0735</v>
      </c>
      <c r="E212" s="11"/>
      <c r="H212" s="17"/>
      <c r="K212" s="40">
        <f>IFERROR(__xludf.DUMMYFUNCTION("""COMPUTED_VALUE"""),39630.0)</f>
        <v>39630</v>
      </c>
      <c r="L212" s="9">
        <f>IFERROR(__xludf.DUMMYFUNCTION("""COMPUTED_VALUE"""),112.0735)</f>
        <v>112.0735</v>
      </c>
    </row>
    <row r="213">
      <c r="B213" s="11">
        <f>IFERROR(__xludf.DUMMYFUNCTION("""COMPUTED_VALUE"""),39600.0)</f>
        <v>39600</v>
      </c>
      <c r="C213" s="9">
        <f>IFERROR(__xludf.DUMMYFUNCTION("""COMPUTED_VALUE"""),112.96)</f>
        <v>112.96</v>
      </c>
      <c r="E213" s="11"/>
      <c r="H213" s="17"/>
      <c r="K213" s="40">
        <f>IFERROR(__xludf.DUMMYFUNCTION("""COMPUTED_VALUE"""),39600.0)</f>
        <v>39600</v>
      </c>
      <c r="L213" s="9">
        <f>IFERROR(__xludf.DUMMYFUNCTION("""COMPUTED_VALUE"""),112.96)</f>
        <v>112.96</v>
      </c>
    </row>
    <row r="214">
      <c r="B214" s="11">
        <f>IFERROR(__xludf.DUMMYFUNCTION("""COMPUTED_VALUE"""),39569.0)</f>
        <v>39569</v>
      </c>
      <c r="C214" s="9">
        <f>IFERROR(__xludf.DUMMYFUNCTION("""COMPUTED_VALUE"""),111.9095)</f>
        <v>111.9095</v>
      </c>
      <c r="E214" s="11"/>
      <c r="H214" s="17"/>
      <c r="K214" s="40">
        <f>IFERROR(__xludf.DUMMYFUNCTION("""COMPUTED_VALUE"""),39569.0)</f>
        <v>39569</v>
      </c>
      <c r="L214" s="9">
        <f>IFERROR(__xludf.DUMMYFUNCTION("""COMPUTED_VALUE"""),111.9095)</f>
        <v>111.9095</v>
      </c>
    </row>
    <row r="215">
      <c r="B215" s="11">
        <f>IFERROR(__xludf.DUMMYFUNCTION("""COMPUTED_VALUE"""),39539.0)</f>
        <v>39539</v>
      </c>
      <c r="C215" s="9">
        <f>IFERROR(__xludf.DUMMYFUNCTION("""COMPUTED_VALUE"""),112.384)</f>
        <v>112.384</v>
      </c>
      <c r="E215" s="11"/>
      <c r="H215" s="17"/>
      <c r="K215" s="40">
        <f>IFERROR(__xludf.DUMMYFUNCTION("""COMPUTED_VALUE"""),39539.0)</f>
        <v>39539</v>
      </c>
      <c r="L215" s="9">
        <f>IFERROR(__xludf.DUMMYFUNCTION("""COMPUTED_VALUE"""),112.384)</f>
        <v>112.384</v>
      </c>
    </row>
    <row r="216">
      <c r="B216" s="11">
        <f>IFERROR(__xludf.DUMMYFUNCTION("""COMPUTED_VALUE"""),39508.0)</f>
        <v>39508</v>
      </c>
      <c r="C216" s="9">
        <f>IFERROR(__xludf.DUMMYFUNCTION("""COMPUTED_VALUE"""),112.3105)</f>
        <v>112.3105</v>
      </c>
      <c r="E216" s="11"/>
      <c r="H216" s="17"/>
      <c r="K216" s="40">
        <f>IFERROR(__xludf.DUMMYFUNCTION("""COMPUTED_VALUE"""),39508.0)</f>
        <v>39508</v>
      </c>
      <c r="L216" s="9">
        <f>IFERROR(__xludf.DUMMYFUNCTION("""COMPUTED_VALUE"""),112.3105)</f>
        <v>112.3105</v>
      </c>
    </row>
    <row r="217">
      <c r="B217" s="11">
        <f>IFERROR(__xludf.DUMMYFUNCTION("""COMPUTED_VALUE"""),39479.0)</f>
        <v>39479</v>
      </c>
      <c r="C217" s="9">
        <f>IFERROR(__xludf.DUMMYFUNCTION("""COMPUTED_VALUE"""),111.9979)</f>
        <v>111.9979</v>
      </c>
      <c r="E217" s="11"/>
      <c r="H217" s="17"/>
      <c r="K217" s="40">
        <f>IFERROR(__xludf.DUMMYFUNCTION("""COMPUTED_VALUE"""),39479.0)</f>
        <v>39479</v>
      </c>
      <c r="L217" s="9">
        <f>IFERROR(__xludf.DUMMYFUNCTION("""COMPUTED_VALUE"""),111.9979)</f>
        <v>111.9979</v>
      </c>
    </row>
    <row r="218">
      <c r="B218" s="11">
        <f>IFERROR(__xludf.DUMMYFUNCTION("""COMPUTED_VALUE"""),39448.0)</f>
        <v>39448</v>
      </c>
      <c r="C218" s="9">
        <f>IFERROR(__xludf.DUMMYFUNCTION("""COMPUTED_VALUE"""),112.3767)</f>
        <v>112.3767</v>
      </c>
      <c r="E218" s="11"/>
      <c r="H218" s="17"/>
      <c r="K218" s="40">
        <f>IFERROR(__xludf.DUMMYFUNCTION("""COMPUTED_VALUE"""),39448.0)</f>
        <v>39448</v>
      </c>
      <c r="L218" s="9">
        <f>IFERROR(__xludf.DUMMYFUNCTION("""COMPUTED_VALUE"""),112.3767)</f>
        <v>112.3767</v>
      </c>
    </row>
    <row r="219">
      <c r="B219" s="11">
        <f>IFERROR(__xludf.DUMMYFUNCTION("""COMPUTED_VALUE"""),39417.0)</f>
        <v>39417</v>
      </c>
      <c r="C219" s="9">
        <f>IFERROR(__xludf.DUMMYFUNCTION("""COMPUTED_VALUE"""),111.5536)</f>
        <v>111.5536</v>
      </c>
      <c r="E219" s="11"/>
      <c r="H219" s="17"/>
      <c r="K219" s="40">
        <f>IFERROR(__xludf.DUMMYFUNCTION("""COMPUTED_VALUE"""),39417.0)</f>
        <v>39417</v>
      </c>
      <c r="L219" s="9">
        <f>IFERROR(__xludf.DUMMYFUNCTION("""COMPUTED_VALUE"""),111.5536)</f>
        <v>111.5536</v>
      </c>
    </row>
    <row r="220">
      <c r="B220" s="11">
        <f>IFERROR(__xludf.DUMMYFUNCTION("""COMPUTED_VALUE"""),39387.0)</f>
        <v>39387</v>
      </c>
      <c r="C220" s="9">
        <f>IFERROR(__xludf.DUMMYFUNCTION("""COMPUTED_VALUE"""),110.951)</f>
        <v>110.951</v>
      </c>
      <c r="E220" s="11"/>
      <c r="H220" s="17"/>
      <c r="K220" s="40">
        <f>IFERROR(__xludf.DUMMYFUNCTION("""COMPUTED_VALUE"""),39387.0)</f>
        <v>39387</v>
      </c>
      <c r="L220" s="9">
        <f>IFERROR(__xludf.DUMMYFUNCTION("""COMPUTED_VALUE"""),110.951)</f>
        <v>110.951</v>
      </c>
    </row>
    <row r="221">
      <c r="B221" s="11">
        <f>IFERROR(__xludf.DUMMYFUNCTION("""COMPUTED_VALUE"""),39356.0)</f>
        <v>39356</v>
      </c>
      <c r="C221" s="9">
        <f>IFERROR(__xludf.DUMMYFUNCTION("""COMPUTED_VALUE"""),108.7813)</f>
        <v>108.7813</v>
      </c>
      <c r="E221" s="11"/>
      <c r="H221" s="17"/>
      <c r="K221" s="40">
        <f>IFERROR(__xludf.DUMMYFUNCTION("""COMPUTED_VALUE"""),39356.0)</f>
        <v>39356</v>
      </c>
      <c r="L221" s="9">
        <f>IFERROR(__xludf.DUMMYFUNCTION("""COMPUTED_VALUE"""),108.7813)</f>
        <v>108.7813</v>
      </c>
    </row>
    <row r="222">
      <c r="B222" s="11">
        <f>IFERROR(__xludf.DUMMYFUNCTION("""COMPUTED_VALUE"""),39326.0)</f>
        <v>39326</v>
      </c>
      <c r="C222" s="9">
        <f>IFERROR(__xludf.DUMMYFUNCTION("""COMPUTED_VALUE"""),108.2199)</f>
        <v>108.2199</v>
      </c>
      <c r="E222" s="11"/>
      <c r="H222" s="17"/>
      <c r="K222" s="40">
        <f>IFERROR(__xludf.DUMMYFUNCTION("""COMPUTED_VALUE"""),39326.0)</f>
        <v>39326</v>
      </c>
      <c r="L222" s="9">
        <f>IFERROR(__xludf.DUMMYFUNCTION("""COMPUTED_VALUE"""),108.2199)</f>
        <v>108.2199</v>
      </c>
    </row>
    <row r="223">
      <c r="B223" s="11">
        <f>IFERROR(__xludf.DUMMYFUNCTION("""COMPUTED_VALUE"""),39295.0)</f>
        <v>39295</v>
      </c>
      <c r="C223" s="9">
        <f>IFERROR(__xludf.DUMMYFUNCTION("""COMPUTED_VALUE"""),105.7156)</f>
        <v>105.7156</v>
      </c>
      <c r="E223" s="11"/>
      <c r="H223" s="17"/>
      <c r="K223" s="40">
        <f>IFERROR(__xludf.DUMMYFUNCTION("""COMPUTED_VALUE"""),39295.0)</f>
        <v>39295</v>
      </c>
      <c r="L223" s="9">
        <f>IFERROR(__xludf.DUMMYFUNCTION("""COMPUTED_VALUE"""),105.7156)</f>
        <v>105.7156</v>
      </c>
    </row>
    <row r="224">
      <c r="B224" s="11">
        <f>IFERROR(__xludf.DUMMYFUNCTION("""COMPUTED_VALUE"""),39264.0)</f>
        <v>39264</v>
      </c>
      <c r="C224" s="9">
        <f>IFERROR(__xludf.DUMMYFUNCTION("""COMPUTED_VALUE"""),103.983)</f>
        <v>103.983</v>
      </c>
      <c r="E224" s="11"/>
      <c r="H224" s="17"/>
      <c r="K224" s="40">
        <f>IFERROR(__xludf.DUMMYFUNCTION("""COMPUTED_VALUE"""),39264.0)</f>
        <v>39264</v>
      </c>
      <c r="L224" s="9">
        <f>IFERROR(__xludf.DUMMYFUNCTION("""COMPUTED_VALUE"""),103.983)</f>
        <v>103.983</v>
      </c>
    </row>
    <row r="225">
      <c r="B225" s="11">
        <f>IFERROR(__xludf.DUMMYFUNCTION("""COMPUTED_VALUE"""),39234.0)</f>
        <v>39234</v>
      </c>
      <c r="C225" s="9">
        <f>IFERROR(__xludf.DUMMYFUNCTION("""COMPUTED_VALUE"""),102.6352)</f>
        <v>102.6352</v>
      </c>
      <c r="E225" s="11"/>
      <c r="H225" s="17"/>
      <c r="K225" s="40">
        <f>IFERROR(__xludf.DUMMYFUNCTION("""COMPUTED_VALUE"""),39234.0)</f>
        <v>39234</v>
      </c>
      <c r="L225" s="9">
        <f>IFERROR(__xludf.DUMMYFUNCTION("""COMPUTED_VALUE"""),102.6352)</f>
        <v>102.6352</v>
      </c>
    </row>
    <row r="226">
      <c r="B226" s="11">
        <f>IFERROR(__xludf.DUMMYFUNCTION("""COMPUTED_VALUE"""),39203.0)</f>
        <v>39203</v>
      </c>
      <c r="C226" s="9">
        <f>IFERROR(__xludf.DUMMYFUNCTION("""COMPUTED_VALUE"""),99.2812)</f>
        <v>99.2812</v>
      </c>
      <c r="E226" s="11"/>
      <c r="H226" s="17"/>
      <c r="K226" s="40">
        <f>IFERROR(__xludf.DUMMYFUNCTION("""COMPUTED_VALUE"""),39203.0)</f>
        <v>39203</v>
      </c>
      <c r="L226" s="9">
        <f>IFERROR(__xludf.DUMMYFUNCTION("""COMPUTED_VALUE"""),99.2812)</f>
        <v>99.2812</v>
      </c>
    </row>
    <row r="227">
      <c r="B227" s="11">
        <f>IFERROR(__xludf.DUMMYFUNCTION("""COMPUTED_VALUE"""),39173.0)</f>
        <v>39173</v>
      </c>
      <c r="C227" s="9">
        <f>IFERROR(__xludf.DUMMYFUNCTION("""COMPUTED_VALUE"""),97.0306)</f>
        <v>97.0306</v>
      </c>
      <c r="E227" s="11"/>
      <c r="H227" s="17"/>
      <c r="K227" s="40">
        <f>IFERROR(__xludf.DUMMYFUNCTION("""COMPUTED_VALUE"""),39173.0)</f>
        <v>39173</v>
      </c>
      <c r="L227" s="9">
        <f>IFERROR(__xludf.DUMMYFUNCTION("""COMPUTED_VALUE"""),97.0306)</f>
        <v>97.0306</v>
      </c>
    </row>
    <row r="228">
      <c r="B228" s="11">
        <f>IFERROR(__xludf.DUMMYFUNCTION("""COMPUTED_VALUE"""),39142.0)</f>
        <v>39142</v>
      </c>
      <c r="C228" s="9">
        <f>IFERROR(__xludf.DUMMYFUNCTION("""COMPUTED_VALUE"""),94.5244)</f>
        <v>94.5244</v>
      </c>
      <c r="E228" s="11"/>
      <c r="H228" s="17"/>
      <c r="K228" s="40">
        <f>IFERROR(__xludf.DUMMYFUNCTION("""COMPUTED_VALUE"""),39142.0)</f>
        <v>39142</v>
      </c>
      <c r="L228" s="9">
        <f>IFERROR(__xludf.DUMMYFUNCTION("""COMPUTED_VALUE"""),94.5244)</f>
        <v>94.5244</v>
      </c>
    </row>
    <row r="229">
      <c r="B229" s="11">
        <f>IFERROR(__xludf.DUMMYFUNCTION("""COMPUTED_VALUE"""),39114.0)</f>
        <v>39114</v>
      </c>
      <c r="C229" s="9">
        <f>IFERROR(__xludf.DUMMYFUNCTION("""COMPUTED_VALUE"""),95.4596)</f>
        <v>95.4596</v>
      </c>
      <c r="E229" s="11"/>
      <c r="H229" s="17"/>
      <c r="K229" s="40">
        <f>IFERROR(__xludf.DUMMYFUNCTION("""COMPUTED_VALUE"""),39114.0)</f>
        <v>39114</v>
      </c>
      <c r="L229" s="9">
        <f>IFERROR(__xludf.DUMMYFUNCTION("""COMPUTED_VALUE"""),95.4596)</f>
        <v>95.4596</v>
      </c>
    </row>
    <row r="230">
      <c r="B230" s="11">
        <f>IFERROR(__xludf.DUMMYFUNCTION("""COMPUTED_VALUE"""),39083.0)</f>
        <v>39083</v>
      </c>
      <c r="C230" s="9">
        <f>IFERROR(__xludf.DUMMYFUNCTION("""COMPUTED_VALUE"""),94.4848)</f>
        <v>94.4848</v>
      </c>
      <c r="E230" s="11"/>
      <c r="H230" s="17"/>
      <c r="K230" s="40">
        <f>IFERROR(__xludf.DUMMYFUNCTION("""COMPUTED_VALUE"""),39083.0)</f>
        <v>39083</v>
      </c>
      <c r="L230" s="9">
        <f>IFERROR(__xludf.DUMMYFUNCTION("""COMPUTED_VALUE"""),94.4848)</f>
        <v>94.4848</v>
      </c>
    </row>
    <row r="231">
      <c r="B231" s="11">
        <f>IFERROR(__xludf.DUMMYFUNCTION("""COMPUTED_VALUE"""),39052.0)</f>
        <v>39052</v>
      </c>
      <c r="C231" s="9">
        <f>IFERROR(__xludf.DUMMYFUNCTION("""COMPUTED_VALUE"""),92.0973)</f>
        <v>92.0973</v>
      </c>
      <c r="E231" s="11"/>
      <c r="H231" s="17"/>
      <c r="K231" s="40">
        <f>IFERROR(__xludf.DUMMYFUNCTION("""COMPUTED_VALUE"""),39052.0)</f>
        <v>39052</v>
      </c>
      <c r="L231" s="9">
        <f>IFERROR(__xludf.DUMMYFUNCTION("""COMPUTED_VALUE"""),92.0973)</f>
        <v>92.0973</v>
      </c>
    </row>
    <row r="232">
      <c r="B232" s="11">
        <f>IFERROR(__xludf.DUMMYFUNCTION("""COMPUTED_VALUE"""),39022.0)</f>
        <v>39022</v>
      </c>
      <c r="C232" s="9">
        <f>IFERROR(__xludf.DUMMYFUNCTION("""COMPUTED_VALUE"""),90.2576)</f>
        <v>90.2576</v>
      </c>
      <c r="E232" s="11"/>
      <c r="H232" s="17"/>
      <c r="K232" s="40">
        <f>IFERROR(__xludf.DUMMYFUNCTION("""COMPUTED_VALUE"""),39022.0)</f>
        <v>39022</v>
      </c>
      <c r="L232" s="9">
        <f>IFERROR(__xludf.DUMMYFUNCTION("""COMPUTED_VALUE"""),90.2576)</f>
        <v>90.2576</v>
      </c>
    </row>
    <row r="233">
      <c r="B233" s="11">
        <f>IFERROR(__xludf.DUMMYFUNCTION("""COMPUTED_VALUE"""),38991.0)</f>
        <v>38991</v>
      </c>
      <c r="C233" s="9">
        <f>IFERROR(__xludf.DUMMYFUNCTION("""COMPUTED_VALUE"""),88.3942)</f>
        <v>88.3942</v>
      </c>
      <c r="E233" s="11"/>
      <c r="H233" s="17"/>
      <c r="K233" s="40">
        <f>IFERROR(__xludf.DUMMYFUNCTION("""COMPUTED_VALUE"""),38991.0)</f>
        <v>38991</v>
      </c>
      <c r="L233" s="9">
        <f>IFERROR(__xludf.DUMMYFUNCTION("""COMPUTED_VALUE"""),88.3942)</f>
        <v>88.3942</v>
      </c>
    </row>
    <row r="234">
      <c r="B234" s="11">
        <f>IFERROR(__xludf.DUMMYFUNCTION("""COMPUTED_VALUE"""),38961.0)</f>
        <v>38961</v>
      </c>
      <c r="C234" s="9">
        <f>IFERROR(__xludf.DUMMYFUNCTION("""COMPUTED_VALUE"""),87.1641)</f>
        <v>87.1641</v>
      </c>
      <c r="E234" s="11"/>
      <c r="H234" s="17"/>
      <c r="K234" s="40">
        <f>IFERROR(__xludf.DUMMYFUNCTION("""COMPUTED_VALUE"""),38961.0)</f>
        <v>38961</v>
      </c>
      <c r="L234" s="9">
        <f>IFERROR(__xludf.DUMMYFUNCTION("""COMPUTED_VALUE"""),87.1641)</f>
        <v>87.1641</v>
      </c>
    </row>
    <row r="235">
      <c r="B235" s="11">
        <f>IFERROR(__xludf.DUMMYFUNCTION("""COMPUTED_VALUE"""),38930.0)</f>
        <v>38930</v>
      </c>
      <c r="C235" s="9">
        <f>IFERROR(__xludf.DUMMYFUNCTION("""COMPUTED_VALUE"""),85.97)</f>
        <v>85.97</v>
      </c>
      <c r="E235" s="11"/>
      <c r="H235" s="17"/>
      <c r="K235" s="40">
        <f>IFERROR(__xludf.DUMMYFUNCTION("""COMPUTED_VALUE"""),38930.0)</f>
        <v>38930</v>
      </c>
      <c r="L235" s="9">
        <f>IFERROR(__xludf.DUMMYFUNCTION("""COMPUTED_VALUE"""),85.97)</f>
        <v>85.97</v>
      </c>
    </row>
    <row r="236">
      <c r="B236" s="11">
        <f>IFERROR(__xludf.DUMMYFUNCTION("""COMPUTED_VALUE"""),38899.0)</f>
        <v>38899</v>
      </c>
      <c r="C236" s="9">
        <f>IFERROR(__xludf.DUMMYFUNCTION("""COMPUTED_VALUE"""),85.7329)</f>
        <v>85.7329</v>
      </c>
      <c r="E236" s="11"/>
      <c r="H236" s="17"/>
      <c r="K236" s="40">
        <f>IFERROR(__xludf.DUMMYFUNCTION("""COMPUTED_VALUE"""),38899.0)</f>
        <v>38899</v>
      </c>
      <c r="L236" s="9">
        <f>IFERROR(__xludf.DUMMYFUNCTION("""COMPUTED_VALUE"""),85.7329)</f>
        <v>85.7329</v>
      </c>
    </row>
    <row r="237">
      <c r="B237" s="11">
        <f>IFERROR(__xludf.DUMMYFUNCTION("""COMPUTED_VALUE"""),38869.0)</f>
        <v>38869</v>
      </c>
      <c r="C237" s="9">
        <f>IFERROR(__xludf.DUMMYFUNCTION("""COMPUTED_VALUE"""),84.0647)</f>
        <v>84.0647</v>
      </c>
      <c r="E237" s="11"/>
      <c r="H237" s="17"/>
      <c r="K237" s="40">
        <f>IFERROR(__xludf.DUMMYFUNCTION("""COMPUTED_VALUE"""),38869.0)</f>
        <v>38869</v>
      </c>
      <c r="L237" s="9">
        <f>IFERROR(__xludf.DUMMYFUNCTION("""COMPUTED_VALUE"""),84.0647)</f>
        <v>84.0647</v>
      </c>
    </row>
    <row r="238">
      <c r="B238" s="11">
        <f>IFERROR(__xludf.DUMMYFUNCTION("""COMPUTED_VALUE"""),38838.0)</f>
        <v>38838</v>
      </c>
      <c r="C238" s="9">
        <f>IFERROR(__xludf.DUMMYFUNCTION("""COMPUTED_VALUE"""),83.2512)</f>
        <v>83.2512</v>
      </c>
      <c r="E238" s="11"/>
      <c r="H238" s="17"/>
      <c r="K238" s="40">
        <f>IFERROR(__xludf.DUMMYFUNCTION("""COMPUTED_VALUE"""),38838.0)</f>
        <v>38838</v>
      </c>
      <c r="L238" s="9">
        <f>IFERROR(__xludf.DUMMYFUNCTION("""COMPUTED_VALUE"""),83.2512)</f>
        <v>83.2512</v>
      </c>
    </row>
    <row r="239">
      <c r="B239" s="11">
        <f>IFERROR(__xludf.DUMMYFUNCTION("""COMPUTED_VALUE"""),38808.0)</f>
        <v>38808</v>
      </c>
      <c r="C239" s="9">
        <f>IFERROR(__xludf.DUMMYFUNCTION("""COMPUTED_VALUE"""),83.6854)</f>
        <v>83.6854</v>
      </c>
      <c r="E239" s="11"/>
      <c r="H239" s="17"/>
      <c r="K239" s="40">
        <f>IFERROR(__xludf.DUMMYFUNCTION("""COMPUTED_VALUE"""),38808.0)</f>
        <v>38808</v>
      </c>
      <c r="L239" s="9">
        <f>IFERROR(__xludf.DUMMYFUNCTION("""COMPUTED_VALUE"""),83.6854)</f>
        <v>83.6854</v>
      </c>
    </row>
    <row r="240">
      <c r="B240" s="11">
        <f>IFERROR(__xludf.DUMMYFUNCTION("""COMPUTED_VALUE"""),38777.0)</f>
        <v>38777</v>
      </c>
      <c r="C240" s="9">
        <f>IFERROR(__xludf.DUMMYFUNCTION("""COMPUTED_VALUE"""),83.2007)</f>
        <v>83.2007</v>
      </c>
      <c r="E240" s="11"/>
      <c r="H240" s="17"/>
      <c r="K240" s="40">
        <f>IFERROR(__xludf.DUMMYFUNCTION("""COMPUTED_VALUE"""),38777.0)</f>
        <v>38777</v>
      </c>
      <c r="L240" s="9">
        <f>IFERROR(__xludf.DUMMYFUNCTION("""COMPUTED_VALUE"""),83.2007)</f>
        <v>83.2007</v>
      </c>
    </row>
    <row r="241">
      <c r="B241" s="11">
        <f>IFERROR(__xludf.DUMMYFUNCTION("""COMPUTED_VALUE"""),38749.0)</f>
        <v>38749</v>
      </c>
      <c r="C241" s="9">
        <f>IFERROR(__xludf.DUMMYFUNCTION("""COMPUTED_VALUE"""),85.3576)</f>
        <v>85.3576</v>
      </c>
      <c r="E241" s="11"/>
      <c r="H241" s="17"/>
      <c r="K241" s="40">
        <f>IFERROR(__xludf.DUMMYFUNCTION("""COMPUTED_VALUE"""),38749.0)</f>
        <v>38749</v>
      </c>
      <c r="L241" s="9">
        <f>IFERROR(__xludf.DUMMYFUNCTION("""COMPUTED_VALUE"""),85.3576)</f>
        <v>85.3576</v>
      </c>
    </row>
    <row r="242">
      <c r="B242" s="11">
        <f>IFERROR(__xludf.DUMMYFUNCTION("""COMPUTED_VALUE"""),38718.0)</f>
        <v>38718</v>
      </c>
      <c r="C242" s="9">
        <f>IFERROR(__xludf.DUMMYFUNCTION("""COMPUTED_VALUE"""),84.3663)</f>
        <v>84.3663</v>
      </c>
      <c r="E242" s="11"/>
      <c r="H242" s="17"/>
      <c r="K242" s="40">
        <f>IFERROR(__xludf.DUMMYFUNCTION("""COMPUTED_VALUE"""),38718.0)</f>
        <v>38718</v>
      </c>
      <c r="L242" s="9">
        <f>IFERROR(__xludf.DUMMYFUNCTION("""COMPUTED_VALUE"""),84.3663)</f>
        <v>84.3663</v>
      </c>
    </row>
    <row r="243">
      <c r="B243" s="11">
        <f>IFERROR(__xludf.DUMMYFUNCTION("""COMPUTED_VALUE"""),38687.0)</f>
        <v>38687</v>
      </c>
      <c r="C243" s="9">
        <f>IFERROR(__xludf.DUMMYFUNCTION("""COMPUTED_VALUE"""),86.5093)</f>
        <v>86.5093</v>
      </c>
      <c r="E243" s="11"/>
      <c r="H243" s="17"/>
      <c r="K243" s="40">
        <f>IFERROR(__xludf.DUMMYFUNCTION("""COMPUTED_VALUE"""),38687.0)</f>
        <v>38687</v>
      </c>
      <c r="L243" s="9">
        <f>IFERROR(__xludf.DUMMYFUNCTION("""COMPUTED_VALUE"""),86.5093)</f>
        <v>86.5093</v>
      </c>
    </row>
    <row r="244">
      <c r="B244" s="11">
        <f>IFERROR(__xludf.DUMMYFUNCTION("""COMPUTED_VALUE"""),38657.0)</f>
        <v>38657</v>
      </c>
      <c r="C244" s="9">
        <f>IFERROR(__xludf.DUMMYFUNCTION("""COMPUTED_VALUE"""),86.1341)</f>
        <v>86.1341</v>
      </c>
      <c r="E244" s="11"/>
      <c r="H244" s="17"/>
      <c r="K244" s="40">
        <f>IFERROR(__xludf.DUMMYFUNCTION("""COMPUTED_VALUE"""),38657.0)</f>
        <v>38657</v>
      </c>
      <c r="L244" s="9">
        <f>IFERROR(__xludf.DUMMYFUNCTION("""COMPUTED_VALUE"""),86.1341)</f>
        <v>86.1341</v>
      </c>
    </row>
    <row r="245">
      <c r="B245" s="11">
        <f>IFERROR(__xludf.DUMMYFUNCTION("""COMPUTED_VALUE"""),38626.0)</f>
        <v>38626</v>
      </c>
      <c r="C245" s="9">
        <f>IFERROR(__xludf.DUMMYFUNCTION("""COMPUTED_VALUE"""),85.7274)</f>
        <v>85.7274</v>
      </c>
      <c r="E245" s="11"/>
      <c r="H245" s="17"/>
      <c r="K245" s="40">
        <f>IFERROR(__xludf.DUMMYFUNCTION("""COMPUTED_VALUE"""),38626.0)</f>
        <v>38626</v>
      </c>
      <c r="L245" s="9">
        <f>IFERROR(__xludf.DUMMYFUNCTION("""COMPUTED_VALUE"""),85.7274)</f>
        <v>85.7274</v>
      </c>
    </row>
    <row r="246">
      <c r="B246" s="11">
        <f>IFERROR(__xludf.DUMMYFUNCTION("""COMPUTED_VALUE"""),38596.0)</f>
        <v>38596</v>
      </c>
      <c r="C246" s="9">
        <f>IFERROR(__xludf.DUMMYFUNCTION("""COMPUTED_VALUE"""),85.4203)</f>
        <v>85.4203</v>
      </c>
      <c r="E246" s="11"/>
      <c r="H246" s="17"/>
      <c r="K246" s="40">
        <f>IFERROR(__xludf.DUMMYFUNCTION("""COMPUTED_VALUE"""),38596.0)</f>
        <v>38596</v>
      </c>
      <c r="L246" s="9">
        <f>IFERROR(__xludf.DUMMYFUNCTION("""COMPUTED_VALUE"""),85.4203)</f>
        <v>85.4203</v>
      </c>
    </row>
    <row r="247">
      <c r="B247" s="11">
        <f>IFERROR(__xludf.DUMMYFUNCTION("""COMPUTED_VALUE"""),38565.0)</f>
        <v>38565</v>
      </c>
      <c r="C247" s="9">
        <f>IFERROR(__xludf.DUMMYFUNCTION("""COMPUTED_VALUE"""),88.638)</f>
        <v>88.638</v>
      </c>
      <c r="E247" s="11"/>
      <c r="H247" s="17"/>
      <c r="K247" s="40">
        <f>IFERROR(__xludf.DUMMYFUNCTION("""COMPUTED_VALUE"""),38565.0)</f>
        <v>38565</v>
      </c>
      <c r="L247" s="9">
        <f>IFERROR(__xludf.DUMMYFUNCTION("""COMPUTED_VALUE"""),88.638)</f>
        <v>88.638</v>
      </c>
    </row>
    <row r="248">
      <c r="B248" s="11">
        <f>IFERROR(__xludf.DUMMYFUNCTION("""COMPUTED_VALUE"""),38534.0)</f>
        <v>38534</v>
      </c>
      <c r="C248" s="9">
        <f>IFERROR(__xludf.DUMMYFUNCTION("""COMPUTED_VALUE"""),87.6683)</f>
        <v>87.6683</v>
      </c>
      <c r="E248" s="11"/>
      <c r="H248" s="17"/>
      <c r="K248" s="40">
        <f>IFERROR(__xludf.DUMMYFUNCTION("""COMPUTED_VALUE"""),38534.0)</f>
        <v>38534</v>
      </c>
      <c r="L248" s="9">
        <f>IFERROR(__xludf.DUMMYFUNCTION("""COMPUTED_VALUE"""),87.6683)</f>
        <v>87.6683</v>
      </c>
    </row>
    <row r="249">
      <c r="B249" s="11">
        <f>IFERROR(__xludf.DUMMYFUNCTION("""COMPUTED_VALUE"""),38504.0)</f>
        <v>38504</v>
      </c>
      <c r="C249" s="9">
        <f>IFERROR(__xludf.DUMMYFUNCTION("""COMPUTED_VALUE"""),88.3059)</f>
        <v>88.3059</v>
      </c>
      <c r="E249" s="11"/>
      <c r="H249" s="17"/>
      <c r="K249" s="40">
        <f>IFERROR(__xludf.DUMMYFUNCTION("""COMPUTED_VALUE"""),38504.0)</f>
        <v>38504</v>
      </c>
      <c r="L249" s="9">
        <f>IFERROR(__xludf.DUMMYFUNCTION("""COMPUTED_VALUE"""),88.3059)</f>
        <v>88.3059</v>
      </c>
    </row>
    <row r="250">
      <c r="B250" s="11">
        <f>IFERROR(__xludf.DUMMYFUNCTION("""COMPUTED_VALUE"""),38473.0)</f>
        <v>38473</v>
      </c>
      <c r="C250" s="9">
        <f>IFERROR(__xludf.DUMMYFUNCTION("""COMPUTED_VALUE"""),87.584)</f>
        <v>87.584</v>
      </c>
      <c r="E250" s="11"/>
      <c r="H250" s="17"/>
      <c r="K250" s="40">
        <f>IFERROR(__xludf.DUMMYFUNCTION("""COMPUTED_VALUE"""),38473.0)</f>
        <v>38473</v>
      </c>
      <c r="L250" s="9">
        <f>IFERROR(__xludf.DUMMYFUNCTION("""COMPUTED_VALUE"""),87.584)</f>
        <v>87.584</v>
      </c>
    </row>
    <row r="251">
      <c r="B251" s="11">
        <f>IFERROR(__xludf.DUMMYFUNCTION("""COMPUTED_VALUE"""),38443.0)</f>
        <v>38443</v>
      </c>
      <c r="C251" s="9">
        <f>IFERROR(__xludf.DUMMYFUNCTION("""COMPUTED_VALUE"""),88.2395)</f>
        <v>88.2395</v>
      </c>
      <c r="E251" s="11"/>
      <c r="H251" s="17"/>
      <c r="K251" s="40">
        <f>IFERROR(__xludf.DUMMYFUNCTION("""COMPUTED_VALUE"""),38443.0)</f>
        <v>38443</v>
      </c>
      <c r="L251" s="9">
        <f>IFERROR(__xludf.DUMMYFUNCTION("""COMPUTED_VALUE"""),88.2395)</f>
        <v>88.2395</v>
      </c>
    </row>
    <row r="252">
      <c r="B252" s="11">
        <f>IFERROR(__xludf.DUMMYFUNCTION("""COMPUTED_VALUE"""),38412.0)</f>
        <v>38412</v>
      </c>
      <c r="C252" s="9">
        <f>IFERROR(__xludf.DUMMYFUNCTION("""COMPUTED_VALUE"""),86.888)</f>
        <v>86.888</v>
      </c>
      <c r="E252" s="11"/>
      <c r="H252" s="17"/>
      <c r="K252" s="40">
        <f>IFERROR(__xludf.DUMMYFUNCTION("""COMPUTED_VALUE"""),38412.0)</f>
        <v>38412</v>
      </c>
      <c r="L252" s="9">
        <f>IFERROR(__xludf.DUMMYFUNCTION("""COMPUTED_VALUE"""),86.888)</f>
        <v>86.888</v>
      </c>
    </row>
    <row r="253">
      <c r="B253" s="11">
        <f>IFERROR(__xludf.DUMMYFUNCTION("""COMPUTED_VALUE"""),38384.0)</f>
        <v>38384</v>
      </c>
      <c r="C253" s="9">
        <f>IFERROR(__xludf.DUMMYFUNCTION("""COMPUTED_VALUE"""),85.1807)</f>
        <v>85.1807</v>
      </c>
      <c r="E253" s="11"/>
      <c r="H253" s="17"/>
      <c r="K253" s="40">
        <f>IFERROR(__xludf.DUMMYFUNCTION("""COMPUTED_VALUE"""),38384.0)</f>
        <v>38384</v>
      </c>
      <c r="L253" s="9">
        <f>IFERROR(__xludf.DUMMYFUNCTION("""COMPUTED_VALUE"""),85.1807)</f>
        <v>85.1807</v>
      </c>
    </row>
    <row r="254">
      <c r="B254" s="11">
        <f>IFERROR(__xludf.DUMMYFUNCTION("""COMPUTED_VALUE"""),38353.0)</f>
        <v>38353</v>
      </c>
      <c r="C254" s="9">
        <f>IFERROR(__xludf.DUMMYFUNCTION("""COMPUTED_VALUE"""),82.1112)</f>
        <v>82.1112</v>
      </c>
      <c r="E254" s="11"/>
      <c r="H254" s="17"/>
      <c r="K254" s="40">
        <f>IFERROR(__xludf.DUMMYFUNCTION("""COMPUTED_VALUE"""),38353.0)</f>
        <v>38353</v>
      </c>
      <c r="L254" s="9">
        <f>IFERROR(__xludf.DUMMYFUNCTION("""COMPUTED_VALUE"""),82.1112)</f>
        <v>82.1112</v>
      </c>
    </row>
    <row r="255">
      <c r="B255" s="11">
        <f>IFERROR(__xludf.DUMMYFUNCTION("""COMPUTED_VALUE"""),38322.0)</f>
        <v>38322</v>
      </c>
      <c r="C255" s="9">
        <f>IFERROR(__xludf.DUMMYFUNCTION("""COMPUTED_VALUE"""),82.3078)</f>
        <v>82.3078</v>
      </c>
      <c r="E255" s="11"/>
      <c r="H255" s="17"/>
      <c r="K255" s="40">
        <f>IFERROR(__xludf.DUMMYFUNCTION("""COMPUTED_VALUE"""),38322.0)</f>
        <v>38322</v>
      </c>
      <c r="L255" s="9">
        <f>IFERROR(__xludf.DUMMYFUNCTION("""COMPUTED_VALUE"""),82.3078)</f>
        <v>82.3078</v>
      </c>
    </row>
    <row r="256">
      <c r="B256" s="11">
        <f>IFERROR(__xludf.DUMMYFUNCTION("""COMPUTED_VALUE"""),38292.0)</f>
        <v>38292</v>
      </c>
      <c r="C256" s="9">
        <f>IFERROR(__xludf.DUMMYFUNCTION("""COMPUTED_VALUE"""),81.3533)</f>
        <v>81.3533</v>
      </c>
      <c r="E256" s="11"/>
      <c r="H256" s="17"/>
      <c r="K256" s="40">
        <f>IFERROR(__xludf.DUMMYFUNCTION("""COMPUTED_VALUE"""),38292.0)</f>
        <v>38292</v>
      </c>
      <c r="L256" s="9">
        <f>IFERROR(__xludf.DUMMYFUNCTION("""COMPUTED_VALUE"""),81.3533)</f>
        <v>81.3533</v>
      </c>
    </row>
    <row r="257">
      <c r="B257" s="11">
        <f>IFERROR(__xludf.DUMMYFUNCTION("""COMPUTED_VALUE"""),38261.0)</f>
        <v>38261</v>
      </c>
      <c r="C257" s="9">
        <f>IFERROR(__xludf.DUMMYFUNCTION("""COMPUTED_VALUE"""),80.5931)</f>
        <v>80.5931</v>
      </c>
      <c r="E257" s="11"/>
      <c r="H257" s="17"/>
      <c r="K257" s="40">
        <f>IFERROR(__xludf.DUMMYFUNCTION("""COMPUTED_VALUE"""),38261.0)</f>
        <v>38261</v>
      </c>
      <c r="L257" s="9">
        <f>IFERROR(__xludf.DUMMYFUNCTION("""COMPUTED_VALUE"""),80.5931)</f>
        <v>80.5931</v>
      </c>
    </row>
    <row r="258">
      <c r="B258" s="11">
        <f>IFERROR(__xludf.DUMMYFUNCTION("""COMPUTED_VALUE"""),38231.0)</f>
        <v>38231</v>
      </c>
      <c r="C258" s="9">
        <f>IFERROR(__xludf.DUMMYFUNCTION("""COMPUTED_VALUE"""),80.8067)</f>
        <v>80.8067</v>
      </c>
      <c r="E258" s="11"/>
      <c r="H258" s="17"/>
      <c r="K258" s="40">
        <f>IFERROR(__xludf.DUMMYFUNCTION("""COMPUTED_VALUE"""),38231.0)</f>
        <v>38231</v>
      </c>
      <c r="L258" s="9">
        <f>IFERROR(__xludf.DUMMYFUNCTION("""COMPUTED_VALUE"""),80.8067)</f>
        <v>80.8067</v>
      </c>
    </row>
    <row r="259">
      <c r="B259" s="11">
        <f>IFERROR(__xludf.DUMMYFUNCTION("""COMPUTED_VALUE"""),38200.0)</f>
        <v>38200</v>
      </c>
      <c r="C259" s="9">
        <f>IFERROR(__xludf.DUMMYFUNCTION("""COMPUTED_VALUE"""),79.2631)</f>
        <v>79.2631</v>
      </c>
      <c r="E259" s="11"/>
      <c r="H259" s="17"/>
      <c r="K259" s="40">
        <f>IFERROR(__xludf.DUMMYFUNCTION("""COMPUTED_VALUE"""),38200.0)</f>
        <v>38200</v>
      </c>
      <c r="L259" s="9">
        <f>IFERROR(__xludf.DUMMYFUNCTION("""COMPUTED_VALUE"""),79.2631)</f>
        <v>79.2631</v>
      </c>
    </row>
    <row r="260">
      <c r="B260" s="11">
        <f>IFERROR(__xludf.DUMMYFUNCTION("""COMPUTED_VALUE"""),38169.0)</f>
        <v>38169</v>
      </c>
      <c r="C260" s="9">
        <f>IFERROR(__xludf.DUMMYFUNCTION("""COMPUTED_VALUE"""),78.6362)</f>
        <v>78.6362</v>
      </c>
      <c r="E260" s="11"/>
      <c r="H260" s="17"/>
      <c r="K260" s="40">
        <f>IFERROR(__xludf.DUMMYFUNCTION("""COMPUTED_VALUE"""),38169.0)</f>
        <v>38169</v>
      </c>
      <c r="L260" s="9">
        <f>IFERROR(__xludf.DUMMYFUNCTION("""COMPUTED_VALUE"""),78.6362)</f>
        <v>78.6362</v>
      </c>
    </row>
    <row r="261">
      <c r="B261" s="11">
        <f>IFERROR(__xludf.DUMMYFUNCTION("""COMPUTED_VALUE"""),38139.0)</f>
        <v>38139</v>
      </c>
      <c r="C261" s="9">
        <f>IFERROR(__xludf.DUMMYFUNCTION("""COMPUTED_VALUE"""),77.2584)</f>
        <v>77.2584</v>
      </c>
      <c r="E261" s="11"/>
      <c r="H261" s="17"/>
      <c r="K261" s="40">
        <f>IFERROR(__xludf.DUMMYFUNCTION("""COMPUTED_VALUE"""),38139.0)</f>
        <v>38139</v>
      </c>
      <c r="L261" s="9">
        <f>IFERROR(__xludf.DUMMYFUNCTION("""COMPUTED_VALUE"""),77.2584)</f>
        <v>77.2584</v>
      </c>
    </row>
    <row r="262">
      <c r="B262" s="11">
        <f>IFERROR(__xludf.DUMMYFUNCTION("""COMPUTED_VALUE"""),38108.0)</f>
        <v>38108</v>
      </c>
      <c r="C262" s="9">
        <f>IFERROR(__xludf.DUMMYFUNCTION("""COMPUTED_VALUE"""),78.137)</f>
        <v>78.137</v>
      </c>
      <c r="E262" s="11"/>
      <c r="H262" s="17"/>
      <c r="K262" s="40">
        <f>IFERROR(__xludf.DUMMYFUNCTION("""COMPUTED_VALUE"""),38108.0)</f>
        <v>38108</v>
      </c>
      <c r="L262" s="9">
        <f>IFERROR(__xludf.DUMMYFUNCTION("""COMPUTED_VALUE"""),78.137)</f>
        <v>78.137</v>
      </c>
    </row>
    <row r="263">
      <c r="B263" s="11">
        <f>IFERROR(__xludf.DUMMYFUNCTION("""COMPUTED_VALUE"""),38078.0)</f>
        <v>38078</v>
      </c>
      <c r="C263" s="9">
        <f>IFERROR(__xludf.DUMMYFUNCTION("""COMPUTED_VALUE"""),77.6133)</f>
        <v>77.6133</v>
      </c>
      <c r="E263" s="11"/>
      <c r="H263" s="17"/>
      <c r="K263" s="40">
        <f>IFERROR(__xludf.DUMMYFUNCTION("""COMPUTED_VALUE"""),38078.0)</f>
        <v>38078</v>
      </c>
      <c r="L263" s="9">
        <f>IFERROR(__xludf.DUMMYFUNCTION("""COMPUTED_VALUE"""),77.6133)</f>
        <v>77.6133</v>
      </c>
    </row>
    <row r="264">
      <c r="B264" s="11">
        <f>IFERROR(__xludf.DUMMYFUNCTION("""COMPUTED_VALUE"""),38047.0)</f>
        <v>38047</v>
      </c>
      <c r="C264" s="9">
        <f>IFERROR(__xludf.DUMMYFUNCTION("""COMPUTED_VALUE"""),77.6461)</f>
        <v>77.6461</v>
      </c>
      <c r="E264" s="11"/>
      <c r="H264" s="17"/>
      <c r="K264" s="40">
        <f>IFERROR(__xludf.DUMMYFUNCTION("""COMPUTED_VALUE"""),38047.0)</f>
        <v>38047</v>
      </c>
      <c r="L264" s="9">
        <f>IFERROR(__xludf.DUMMYFUNCTION("""COMPUTED_VALUE"""),77.6461)</f>
        <v>77.6461</v>
      </c>
    </row>
    <row r="265">
      <c r="B265" s="11">
        <f>IFERROR(__xludf.DUMMYFUNCTION("""COMPUTED_VALUE"""),38018.0)</f>
        <v>38018</v>
      </c>
      <c r="C265" s="9">
        <f>IFERROR(__xludf.DUMMYFUNCTION("""COMPUTED_VALUE"""),77.3544)</f>
        <v>77.3544</v>
      </c>
      <c r="E265" s="11"/>
      <c r="H265" s="17"/>
      <c r="K265" s="40">
        <f>IFERROR(__xludf.DUMMYFUNCTION("""COMPUTED_VALUE"""),38018.0)</f>
        <v>38018</v>
      </c>
      <c r="L265" s="9">
        <f>IFERROR(__xludf.DUMMYFUNCTION("""COMPUTED_VALUE"""),77.3544)</f>
        <v>77.3544</v>
      </c>
    </row>
    <row r="266">
      <c r="B266" s="11">
        <f>IFERROR(__xludf.DUMMYFUNCTION("""COMPUTED_VALUE"""),37987.0)</f>
        <v>37987</v>
      </c>
      <c r="C266" s="9">
        <f>IFERROR(__xludf.DUMMYFUNCTION("""COMPUTED_VALUE"""),75.9316)</f>
        <v>75.9316</v>
      </c>
      <c r="E266" s="11"/>
      <c r="H266" s="17"/>
      <c r="K266" s="40">
        <f>IFERROR(__xludf.DUMMYFUNCTION("""COMPUTED_VALUE"""),37987.0)</f>
        <v>37987</v>
      </c>
      <c r="L266" s="9">
        <f>IFERROR(__xludf.DUMMYFUNCTION("""COMPUTED_VALUE"""),75.9316)</f>
        <v>75.9316</v>
      </c>
    </row>
    <row r="267">
      <c r="B267" s="11">
        <f>IFERROR(__xludf.DUMMYFUNCTION("""COMPUTED_VALUE"""),37956.0)</f>
        <v>37956</v>
      </c>
      <c r="C267" s="9">
        <f>IFERROR(__xludf.DUMMYFUNCTION("""COMPUTED_VALUE"""),78.2466)</f>
        <v>78.2466</v>
      </c>
      <c r="E267" s="11"/>
      <c r="H267" s="17"/>
      <c r="K267" s="40">
        <f>IFERROR(__xludf.DUMMYFUNCTION("""COMPUTED_VALUE"""),37956.0)</f>
        <v>37956</v>
      </c>
      <c r="L267" s="9">
        <f>IFERROR(__xludf.DUMMYFUNCTION("""COMPUTED_VALUE"""),78.2466)</f>
        <v>78.2466</v>
      </c>
    </row>
    <row r="268">
      <c r="B268" s="11">
        <f>IFERROR(__xludf.DUMMYFUNCTION("""COMPUTED_VALUE"""),37926.0)</f>
        <v>37926</v>
      </c>
      <c r="C268" s="9">
        <f>IFERROR(__xludf.DUMMYFUNCTION("""COMPUTED_VALUE"""),80.1333)</f>
        <v>80.1333</v>
      </c>
      <c r="E268" s="11"/>
      <c r="H268" s="17"/>
      <c r="K268" s="40">
        <f>IFERROR(__xludf.DUMMYFUNCTION("""COMPUTED_VALUE"""),37926.0)</f>
        <v>37926</v>
      </c>
      <c r="L268" s="9">
        <f>IFERROR(__xludf.DUMMYFUNCTION("""COMPUTED_VALUE"""),80.1333)</f>
        <v>80.1333</v>
      </c>
    </row>
    <row r="269">
      <c r="B269" s="11">
        <f>IFERROR(__xludf.DUMMYFUNCTION("""COMPUTED_VALUE"""),37895.0)</f>
        <v>37895</v>
      </c>
      <c r="C269" s="9">
        <f>IFERROR(__xludf.DUMMYFUNCTION("""COMPUTED_VALUE"""),80.6847)</f>
        <v>80.6847</v>
      </c>
      <c r="E269" s="11"/>
      <c r="H269" s="17"/>
      <c r="K269" s="40">
        <f>IFERROR(__xludf.DUMMYFUNCTION("""COMPUTED_VALUE"""),37895.0)</f>
        <v>37895</v>
      </c>
      <c r="L269" s="9">
        <f>IFERROR(__xludf.DUMMYFUNCTION("""COMPUTED_VALUE"""),80.6847)</f>
        <v>80.6847</v>
      </c>
    </row>
    <row r="270">
      <c r="B270" s="11">
        <f>IFERROR(__xludf.DUMMYFUNCTION("""COMPUTED_VALUE"""),37865.0)</f>
        <v>37865</v>
      </c>
      <c r="C270" s="9">
        <f>IFERROR(__xludf.DUMMYFUNCTION("""COMPUTED_VALUE"""),80.8649)</f>
        <v>80.8649</v>
      </c>
      <c r="E270" s="11"/>
      <c r="H270" s="17"/>
      <c r="K270" s="40">
        <f>IFERROR(__xludf.DUMMYFUNCTION("""COMPUTED_VALUE"""),37865.0)</f>
        <v>37865</v>
      </c>
      <c r="L270" s="9">
        <f>IFERROR(__xludf.DUMMYFUNCTION("""COMPUTED_VALUE"""),80.8649)</f>
        <v>80.8649</v>
      </c>
    </row>
    <row r="271">
      <c r="B271" s="11">
        <f>IFERROR(__xludf.DUMMYFUNCTION("""COMPUTED_VALUE"""),37834.0)</f>
        <v>37834</v>
      </c>
      <c r="C271" s="9">
        <f>IFERROR(__xludf.DUMMYFUNCTION("""COMPUTED_VALUE"""),80.7072)</f>
        <v>80.7072</v>
      </c>
      <c r="E271" s="11"/>
      <c r="H271" s="17"/>
      <c r="K271" s="40">
        <f>IFERROR(__xludf.DUMMYFUNCTION("""COMPUTED_VALUE"""),37834.0)</f>
        <v>37834</v>
      </c>
      <c r="L271" s="9">
        <f>IFERROR(__xludf.DUMMYFUNCTION("""COMPUTED_VALUE"""),80.7072)</f>
        <v>80.7072</v>
      </c>
    </row>
    <row r="272">
      <c r="B272" s="11">
        <f>IFERROR(__xludf.DUMMYFUNCTION("""COMPUTED_VALUE"""),37803.0)</f>
        <v>37803</v>
      </c>
      <c r="C272" s="9">
        <f>IFERROR(__xludf.DUMMYFUNCTION("""COMPUTED_VALUE"""),80.4874)</f>
        <v>80.4874</v>
      </c>
      <c r="E272" s="11"/>
      <c r="H272" s="17"/>
      <c r="K272" s="40">
        <f>IFERROR(__xludf.DUMMYFUNCTION("""COMPUTED_VALUE"""),37803.0)</f>
        <v>37803</v>
      </c>
      <c r="L272" s="9">
        <f>IFERROR(__xludf.DUMMYFUNCTION("""COMPUTED_VALUE"""),80.4874)</f>
        <v>80.4874</v>
      </c>
    </row>
    <row r="273">
      <c r="B273" s="11">
        <f>IFERROR(__xludf.DUMMYFUNCTION("""COMPUTED_VALUE"""),37773.0)</f>
        <v>37773</v>
      </c>
      <c r="C273" s="9">
        <f>IFERROR(__xludf.DUMMYFUNCTION("""COMPUTED_VALUE"""),80.9166)</f>
        <v>80.9166</v>
      </c>
      <c r="E273" s="11"/>
      <c r="H273" s="17"/>
      <c r="K273" s="40">
        <f>IFERROR(__xludf.DUMMYFUNCTION("""COMPUTED_VALUE"""),37773.0)</f>
        <v>37773</v>
      </c>
      <c r="L273" s="9">
        <f>IFERROR(__xludf.DUMMYFUNCTION("""COMPUTED_VALUE"""),80.9166)</f>
        <v>80.9166</v>
      </c>
    </row>
    <row r="274">
      <c r="B274" s="11">
        <f>IFERROR(__xludf.DUMMYFUNCTION("""COMPUTED_VALUE"""),37742.0)</f>
        <v>37742</v>
      </c>
      <c r="C274" s="9">
        <f>IFERROR(__xludf.DUMMYFUNCTION("""COMPUTED_VALUE"""),81.0358)</f>
        <v>81.0358</v>
      </c>
      <c r="E274" s="11"/>
      <c r="H274" s="17"/>
      <c r="K274" s="40">
        <f>IFERROR(__xludf.DUMMYFUNCTION("""COMPUTED_VALUE"""),37742.0)</f>
        <v>37742</v>
      </c>
      <c r="L274" s="9">
        <f>IFERROR(__xludf.DUMMYFUNCTION("""COMPUTED_VALUE"""),81.0358)</f>
        <v>81.0358</v>
      </c>
    </row>
    <row r="275">
      <c r="B275" s="11">
        <f>IFERROR(__xludf.DUMMYFUNCTION("""COMPUTED_VALUE"""),37712.0)</f>
        <v>37712</v>
      </c>
      <c r="C275" s="9">
        <f>IFERROR(__xludf.DUMMYFUNCTION("""COMPUTED_VALUE"""),80.5212)</f>
        <v>80.5212</v>
      </c>
      <c r="E275" s="11"/>
      <c r="H275" s="17"/>
      <c r="K275" s="40">
        <f>IFERROR(__xludf.DUMMYFUNCTION("""COMPUTED_VALUE"""),37712.0)</f>
        <v>37712</v>
      </c>
      <c r="L275" s="9">
        <f>IFERROR(__xludf.DUMMYFUNCTION("""COMPUTED_VALUE"""),80.5212)</f>
        <v>80.5212</v>
      </c>
    </row>
    <row r="276">
      <c r="B276" s="11">
        <f>IFERROR(__xludf.DUMMYFUNCTION("""COMPUTED_VALUE"""),37681.0)</f>
        <v>37681</v>
      </c>
      <c r="C276" s="9">
        <f>IFERROR(__xludf.DUMMYFUNCTION("""COMPUTED_VALUE"""),80.8643)</f>
        <v>80.8643</v>
      </c>
      <c r="E276" s="11"/>
      <c r="H276" s="17"/>
      <c r="K276" s="40">
        <f>IFERROR(__xludf.DUMMYFUNCTION("""COMPUTED_VALUE"""),37681.0)</f>
        <v>37681</v>
      </c>
      <c r="L276" s="9">
        <f>IFERROR(__xludf.DUMMYFUNCTION("""COMPUTED_VALUE"""),80.8643)</f>
        <v>80.8643</v>
      </c>
    </row>
    <row r="277">
      <c r="B277" s="11">
        <f>IFERROR(__xludf.DUMMYFUNCTION("""COMPUTED_VALUE"""),37653.0)</f>
        <v>37653</v>
      </c>
      <c r="C277" s="9">
        <f>IFERROR(__xludf.DUMMYFUNCTION("""COMPUTED_VALUE"""),80.8998)</f>
        <v>80.8998</v>
      </c>
      <c r="E277" s="11"/>
      <c r="H277" s="17"/>
      <c r="K277" s="40">
        <f>IFERROR(__xludf.DUMMYFUNCTION("""COMPUTED_VALUE"""),37653.0)</f>
        <v>37653</v>
      </c>
      <c r="L277" s="9">
        <f>IFERROR(__xludf.DUMMYFUNCTION("""COMPUTED_VALUE"""),80.8998)</f>
        <v>80.8998</v>
      </c>
    </row>
    <row r="278">
      <c r="B278" s="11">
        <f>IFERROR(__xludf.DUMMYFUNCTION("""COMPUTED_VALUE"""),37622.0)</f>
        <v>37622</v>
      </c>
      <c r="C278" s="9">
        <f>IFERROR(__xludf.DUMMYFUNCTION("""COMPUTED_VALUE"""),79.6898)</f>
        <v>79.6898</v>
      </c>
      <c r="E278" s="11"/>
      <c r="H278" s="17"/>
      <c r="K278" s="40">
        <f>IFERROR(__xludf.DUMMYFUNCTION("""COMPUTED_VALUE"""),37622.0)</f>
        <v>37622</v>
      </c>
      <c r="L278" s="9">
        <f>IFERROR(__xludf.DUMMYFUNCTION("""COMPUTED_VALUE"""),79.6898)</f>
        <v>79.6898</v>
      </c>
    </row>
    <row r="279">
      <c r="B279" s="11">
        <f>IFERROR(__xludf.DUMMYFUNCTION("""COMPUTED_VALUE"""),37591.0)</f>
        <v>37591</v>
      </c>
      <c r="C279" s="9">
        <f>IFERROR(__xludf.DUMMYFUNCTION("""COMPUTED_VALUE"""),79.8112)</f>
        <v>79.8112</v>
      </c>
      <c r="E279" s="11"/>
      <c r="H279" s="17"/>
      <c r="K279" s="40">
        <f>IFERROR(__xludf.DUMMYFUNCTION("""COMPUTED_VALUE"""),37591.0)</f>
        <v>37591</v>
      </c>
      <c r="L279" s="9">
        <f>IFERROR(__xludf.DUMMYFUNCTION("""COMPUTED_VALUE"""),79.8112)</f>
        <v>79.8112</v>
      </c>
    </row>
    <row r="280">
      <c r="B280" s="11">
        <f>IFERROR(__xludf.DUMMYFUNCTION("""COMPUTED_VALUE"""),37561.0)</f>
        <v>37561</v>
      </c>
      <c r="C280" s="9">
        <f>IFERROR(__xludf.DUMMYFUNCTION("""COMPUTED_VALUE"""),77.0158)</f>
        <v>77.0158</v>
      </c>
      <c r="E280" s="11"/>
      <c r="H280" s="17"/>
      <c r="K280" s="40">
        <f>IFERROR(__xludf.DUMMYFUNCTION("""COMPUTED_VALUE"""),37561.0)</f>
        <v>37561</v>
      </c>
      <c r="L280" s="9">
        <f>IFERROR(__xludf.DUMMYFUNCTION("""COMPUTED_VALUE"""),77.0158)</f>
        <v>77.0158</v>
      </c>
    </row>
    <row r="281">
      <c r="B281" s="11">
        <f>IFERROR(__xludf.DUMMYFUNCTION("""COMPUTED_VALUE"""),37530.0)</f>
        <v>37530</v>
      </c>
      <c r="C281" s="9">
        <f>IFERROR(__xludf.DUMMYFUNCTION("""COMPUTED_VALUE"""),77.4374)</f>
        <v>77.4374</v>
      </c>
      <c r="E281" s="11"/>
      <c r="H281" s="17"/>
      <c r="K281" s="40">
        <f>IFERROR(__xludf.DUMMYFUNCTION("""COMPUTED_VALUE"""),37530.0)</f>
        <v>37530</v>
      </c>
      <c r="L281" s="9">
        <f>IFERROR(__xludf.DUMMYFUNCTION("""COMPUTED_VALUE"""),77.4374)</f>
        <v>77.4374</v>
      </c>
    </row>
    <row r="282">
      <c r="B282" s="11">
        <f>IFERROR(__xludf.DUMMYFUNCTION("""COMPUTED_VALUE"""),37500.0)</f>
        <v>37500</v>
      </c>
      <c r="C282" s="9">
        <f>IFERROR(__xludf.DUMMYFUNCTION("""COMPUTED_VALUE"""),76.3442)</f>
        <v>76.3442</v>
      </c>
      <c r="E282" s="11"/>
      <c r="H282" s="17"/>
      <c r="K282" s="40">
        <f>IFERROR(__xludf.DUMMYFUNCTION("""COMPUTED_VALUE"""),37500.0)</f>
        <v>37500</v>
      </c>
      <c r="L282" s="9">
        <f>IFERROR(__xludf.DUMMYFUNCTION("""COMPUTED_VALUE"""),76.3442)</f>
        <v>76.3442</v>
      </c>
    </row>
    <row r="283">
      <c r="B283" s="11">
        <f>IFERROR(__xludf.DUMMYFUNCTION("""COMPUTED_VALUE"""),37469.0)</f>
        <v>37469</v>
      </c>
      <c r="C283" s="9">
        <f>IFERROR(__xludf.DUMMYFUNCTION("""COMPUTED_VALUE"""),75.3224)</f>
        <v>75.3224</v>
      </c>
      <c r="E283" s="11"/>
      <c r="H283" s="17"/>
      <c r="K283" s="40">
        <f>IFERROR(__xludf.DUMMYFUNCTION("""COMPUTED_VALUE"""),37469.0)</f>
        <v>37469</v>
      </c>
      <c r="L283" s="9">
        <f>IFERROR(__xludf.DUMMYFUNCTION("""COMPUTED_VALUE"""),75.3224)</f>
        <v>75.3224</v>
      </c>
    </row>
    <row r="284">
      <c r="B284" s="11">
        <f>IFERROR(__xludf.DUMMYFUNCTION("""COMPUTED_VALUE"""),37438.0)</f>
        <v>37438</v>
      </c>
      <c r="C284" s="9">
        <f>IFERROR(__xludf.DUMMYFUNCTION("""COMPUTED_VALUE"""),75.0536)</f>
        <v>75.0536</v>
      </c>
      <c r="E284" s="11"/>
      <c r="H284" s="17"/>
      <c r="K284" s="40">
        <f>IFERROR(__xludf.DUMMYFUNCTION("""COMPUTED_VALUE"""),37438.0)</f>
        <v>37438</v>
      </c>
      <c r="L284" s="9">
        <f>IFERROR(__xludf.DUMMYFUNCTION("""COMPUTED_VALUE"""),75.0536)</f>
        <v>75.0536</v>
      </c>
    </row>
    <row r="285">
      <c r="B285" s="11">
        <f>IFERROR(__xludf.DUMMYFUNCTION("""COMPUTED_VALUE"""),37408.0)</f>
        <v>37408</v>
      </c>
      <c r="C285" s="9">
        <f>IFERROR(__xludf.DUMMYFUNCTION("""COMPUTED_VALUE"""),74.6793)</f>
        <v>74.6793</v>
      </c>
      <c r="E285" s="11"/>
      <c r="H285" s="17"/>
      <c r="K285" s="40">
        <f>IFERROR(__xludf.DUMMYFUNCTION("""COMPUTED_VALUE"""),37408.0)</f>
        <v>37408</v>
      </c>
      <c r="L285" s="9">
        <f>IFERROR(__xludf.DUMMYFUNCTION("""COMPUTED_VALUE"""),74.6793)</f>
        <v>74.6793</v>
      </c>
    </row>
    <row r="286">
      <c r="B286" s="11">
        <f>IFERROR(__xludf.DUMMYFUNCTION("""COMPUTED_VALUE"""),37377.0)</f>
        <v>37377</v>
      </c>
      <c r="C286" s="9">
        <f>IFERROR(__xludf.DUMMYFUNCTION("""COMPUTED_VALUE"""),73.87)</f>
        <v>73.87</v>
      </c>
      <c r="E286" s="11"/>
      <c r="H286" s="17"/>
      <c r="K286" s="40">
        <f>IFERROR(__xludf.DUMMYFUNCTION("""COMPUTED_VALUE"""),37377.0)</f>
        <v>37377</v>
      </c>
      <c r="L286" s="9">
        <f>IFERROR(__xludf.DUMMYFUNCTION("""COMPUTED_VALUE"""),73.87)</f>
        <v>73.87</v>
      </c>
    </row>
    <row r="287">
      <c r="B287" s="11">
        <f>IFERROR(__xludf.DUMMYFUNCTION("""COMPUTED_VALUE"""),37347.0)</f>
        <v>37347</v>
      </c>
      <c r="C287" s="9">
        <f>IFERROR(__xludf.DUMMYFUNCTION("""COMPUTED_VALUE"""),73.9999)</f>
        <v>73.9999</v>
      </c>
      <c r="E287" s="11"/>
      <c r="H287" s="17"/>
      <c r="K287" s="40">
        <f>IFERROR(__xludf.DUMMYFUNCTION("""COMPUTED_VALUE"""),37347.0)</f>
        <v>37347</v>
      </c>
      <c r="L287" s="9">
        <f>IFERROR(__xludf.DUMMYFUNCTION("""COMPUTED_VALUE"""),73.9999)</f>
        <v>73.9999</v>
      </c>
    </row>
    <row r="288">
      <c r="B288" s="11">
        <f>IFERROR(__xludf.DUMMYFUNCTION("""COMPUTED_VALUE"""),37316.0)</f>
        <v>37316</v>
      </c>
      <c r="C288" s="9">
        <f>IFERROR(__xludf.DUMMYFUNCTION("""COMPUTED_VALUE"""),73.8769)</f>
        <v>73.8769</v>
      </c>
      <c r="E288" s="11"/>
      <c r="H288" s="17"/>
      <c r="K288" s="40">
        <f>IFERROR(__xludf.DUMMYFUNCTION("""COMPUTED_VALUE"""),37316.0)</f>
        <v>37316</v>
      </c>
      <c r="L288" s="9">
        <f>IFERROR(__xludf.DUMMYFUNCTION("""COMPUTED_VALUE"""),73.8769)</f>
        <v>73.8769</v>
      </c>
    </row>
    <row r="289">
      <c r="B289" s="11">
        <f>IFERROR(__xludf.DUMMYFUNCTION("""COMPUTED_VALUE"""),37288.0)</f>
        <v>37288</v>
      </c>
      <c r="C289" s="9">
        <f>IFERROR(__xludf.DUMMYFUNCTION("""COMPUTED_VALUE"""),74.1653)</f>
        <v>74.1653</v>
      </c>
      <c r="E289" s="11"/>
      <c r="H289" s="17"/>
      <c r="K289" s="40">
        <f>IFERROR(__xludf.DUMMYFUNCTION("""COMPUTED_VALUE"""),37288.0)</f>
        <v>37288</v>
      </c>
      <c r="L289" s="9">
        <f>IFERROR(__xludf.DUMMYFUNCTION("""COMPUTED_VALUE"""),74.1653)</f>
        <v>74.1653</v>
      </c>
    </row>
    <row r="290">
      <c r="B290" s="11">
        <f>IFERROR(__xludf.DUMMYFUNCTION("""COMPUTED_VALUE"""),37257.0)</f>
        <v>37257</v>
      </c>
      <c r="C290" s="9">
        <f>IFERROR(__xludf.DUMMYFUNCTION("""COMPUTED_VALUE"""),74.6029)</f>
        <v>74.6029</v>
      </c>
      <c r="E290" s="11"/>
      <c r="H290" s="17"/>
      <c r="K290" s="40">
        <f>IFERROR(__xludf.DUMMYFUNCTION("""COMPUTED_VALUE"""),37257.0)</f>
        <v>37257</v>
      </c>
      <c r="L290" s="9">
        <f>IFERROR(__xludf.DUMMYFUNCTION("""COMPUTED_VALUE"""),74.6029)</f>
        <v>74.6029</v>
      </c>
    </row>
    <row r="291">
      <c r="B291" s="11">
        <f>IFERROR(__xludf.DUMMYFUNCTION("""COMPUTED_VALUE"""),37226.0)</f>
        <v>37226</v>
      </c>
      <c r="C291" s="9">
        <f>IFERROR(__xludf.DUMMYFUNCTION("""COMPUTED_VALUE"""),75.2143)</f>
        <v>75.2143</v>
      </c>
      <c r="E291" s="11"/>
      <c r="H291" s="17"/>
      <c r="K291" s="40">
        <f>IFERROR(__xludf.DUMMYFUNCTION("""COMPUTED_VALUE"""),37226.0)</f>
        <v>37226</v>
      </c>
      <c r="L291" s="9">
        <f>IFERROR(__xludf.DUMMYFUNCTION("""COMPUTED_VALUE"""),75.2143)</f>
        <v>75.2143</v>
      </c>
    </row>
    <row r="292">
      <c r="B292" s="11">
        <f>IFERROR(__xludf.DUMMYFUNCTION("""COMPUTED_VALUE"""),37196.0)</f>
        <v>37196</v>
      </c>
      <c r="C292" s="9">
        <f>IFERROR(__xludf.DUMMYFUNCTION("""COMPUTED_VALUE"""),75.2582)</f>
        <v>75.2582</v>
      </c>
      <c r="E292" s="11"/>
      <c r="H292" s="17"/>
      <c r="K292" s="40">
        <f>IFERROR(__xludf.DUMMYFUNCTION("""COMPUTED_VALUE"""),37196.0)</f>
        <v>37196</v>
      </c>
      <c r="L292" s="9">
        <f>IFERROR(__xludf.DUMMYFUNCTION("""COMPUTED_VALUE"""),75.2582)</f>
        <v>75.2582</v>
      </c>
    </row>
    <row r="293">
      <c r="B293" s="11">
        <f>IFERROR(__xludf.DUMMYFUNCTION("""COMPUTED_VALUE"""),37165.0)</f>
        <v>37165</v>
      </c>
      <c r="C293" s="9">
        <f>IFERROR(__xludf.DUMMYFUNCTION("""COMPUTED_VALUE"""),76.088)</f>
        <v>76.088</v>
      </c>
      <c r="E293" s="11"/>
      <c r="H293" s="17"/>
      <c r="K293" s="40">
        <f>IFERROR(__xludf.DUMMYFUNCTION("""COMPUTED_VALUE"""),37165.0)</f>
        <v>37165</v>
      </c>
      <c r="L293" s="9">
        <f>IFERROR(__xludf.DUMMYFUNCTION("""COMPUTED_VALUE"""),76.088)</f>
        <v>76.088</v>
      </c>
    </row>
    <row r="294">
      <c r="B294" s="11">
        <f>IFERROR(__xludf.DUMMYFUNCTION("""COMPUTED_VALUE"""),37135.0)</f>
        <v>37135</v>
      </c>
      <c r="C294" s="9">
        <f>IFERROR(__xludf.DUMMYFUNCTION("""COMPUTED_VALUE"""),76.0957)</f>
        <v>76.0957</v>
      </c>
      <c r="E294" s="11"/>
      <c r="H294" s="17"/>
      <c r="K294" s="40">
        <f>IFERROR(__xludf.DUMMYFUNCTION("""COMPUTED_VALUE"""),37135.0)</f>
        <v>37135</v>
      </c>
      <c r="L294" s="9">
        <f>IFERROR(__xludf.DUMMYFUNCTION("""COMPUTED_VALUE"""),76.0957)</f>
        <v>76.0957</v>
      </c>
    </row>
    <row r="295">
      <c r="B295" s="11">
        <f>IFERROR(__xludf.DUMMYFUNCTION("""COMPUTED_VALUE"""),37104.0)</f>
        <v>37104</v>
      </c>
      <c r="C295" s="9">
        <f>IFERROR(__xludf.DUMMYFUNCTION("""COMPUTED_VALUE"""),75.5899)</f>
        <v>75.5899</v>
      </c>
      <c r="E295" s="11"/>
      <c r="H295" s="17"/>
      <c r="K295" s="40">
        <f>IFERROR(__xludf.DUMMYFUNCTION("""COMPUTED_VALUE"""),37104.0)</f>
        <v>37104</v>
      </c>
      <c r="L295" s="9">
        <f>IFERROR(__xludf.DUMMYFUNCTION("""COMPUTED_VALUE"""),75.5899)</f>
        <v>75.5899</v>
      </c>
    </row>
    <row r="296">
      <c r="B296" s="11">
        <f>IFERROR(__xludf.DUMMYFUNCTION("""COMPUTED_VALUE"""),37073.0)</f>
        <v>37073</v>
      </c>
      <c r="C296" s="9">
        <f>IFERROR(__xludf.DUMMYFUNCTION("""COMPUTED_VALUE"""),76.6463)</f>
        <v>76.6463</v>
      </c>
      <c r="E296" s="11"/>
      <c r="H296" s="17"/>
      <c r="K296" s="40">
        <f>IFERROR(__xludf.DUMMYFUNCTION("""COMPUTED_VALUE"""),37073.0)</f>
        <v>37073</v>
      </c>
      <c r="L296" s="9">
        <f>IFERROR(__xludf.DUMMYFUNCTION("""COMPUTED_VALUE"""),76.6463)</f>
        <v>76.6463</v>
      </c>
    </row>
    <row r="297">
      <c r="B297" s="11">
        <f>IFERROR(__xludf.DUMMYFUNCTION("""COMPUTED_VALUE"""),37043.0)</f>
        <v>37043</v>
      </c>
      <c r="C297" s="9">
        <f>IFERROR(__xludf.DUMMYFUNCTION("""COMPUTED_VALUE"""),75.8183)</f>
        <v>75.8183</v>
      </c>
      <c r="E297" s="11"/>
      <c r="H297" s="17"/>
      <c r="K297" s="40">
        <f>IFERROR(__xludf.DUMMYFUNCTION("""COMPUTED_VALUE"""),37043.0)</f>
        <v>37043</v>
      </c>
      <c r="L297" s="9">
        <f>IFERROR(__xludf.DUMMYFUNCTION("""COMPUTED_VALUE"""),75.8183)</f>
        <v>75.8183</v>
      </c>
    </row>
    <row r="298">
      <c r="B298" s="11">
        <f>IFERROR(__xludf.DUMMYFUNCTION("""COMPUTED_VALUE"""),37012.0)</f>
        <v>37012</v>
      </c>
      <c r="C298" s="9">
        <f>IFERROR(__xludf.DUMMYFUNCTION("""COMPUTED_VALUE"""),74.5925)</f>
        <v>74.5925</v>
      </c>
      <c r="E298" s="11"/>
      <c r="H298" s="17"/>
      <c r="K298" s="40">
        <f>IFERROR(__xludf.DUMMYFUNCTION("""COMPUTED_VALUE"""),37012.0)</f>
        <v>37012</v>
      </c>
      <c r="L298" s="9">
        <f>IFERROR(__xludf.DUMMYFUNCTION("""COMPUTED_VALUE"""),74.5925)</f>
        <v>74.5925</v>
      </c>
    </row>
    <row r="299">
      <c r="B299" s="11">
        <f>IFERROR(__xludf.DUMMYFUNCTION("""COMPUTED_VALUE"""),36982.0)</f>
        <v>36982</v>
      </c>
      <c r="C299" s="9">
        <f>IFERROR(__xludf.DUMMYFUNCTION("""COMPUTED_VALUE"""),73.902)</f>
        <v>73.902</v>
      </c>
      <c r="E299" s="11"/>
      <c r="H299" s="17"/>
      <c r="K299" s="40">
        <f>IFERROR(__xludf.DUMMYFUNCTION("""COMPUTED_VALUE"""),36982.0)</f>
        <v>36982</v>
      </c>
      <c r="L299" s="9">
        <f>IFERROR(__xludf.DUMMYFUNCTION("""COMPUTED_VALUE"""),73.902)</f>
        <v>73.902</v>
      </c>
    </row>
    <row r="300">
      <c r="B300" s="11">
        <f>IFERROR(__xludf.DUMMYFUNCTION("""COMPUTED_VALUE"""),36951.0)</f>
        <v>36951</v>
      </c>
      <c r="C300" s="9">
        <f>IFERROR(__xludf.DUMMYFUNCTION("""COMPUTED_VALUE"""),73.5252)</f>
        <v>73.5252</v>
      </c>
      <c r="E300" s="11"/>
      <c r="H300" s="17"/>
      <c r="K300" s="40">
        <f>IFERROR(__xludf.DUMMYFUNCTION("""COMPUTED_VALUE"""),36951.0)</f>
        <v>36951</v>
      </c>
      <c r="L300" s="9">
        <f>IFERROR(__xludf.DUMMYFUNCTION("""COMPUTED_VALUE"""),73.5252)</f>
        <v>73.5252</v>
      </c>
    </row>
    <row r="301">
      <c r="B301" s="11">
        <f>IFERROR(__xludf.DUMMYFUNCTION("""COMPUTED_VALUE"""),36923.0)</f>
        <v>36923</v>
      </c>
      <c r="C301" s="9">
        <f>IFERROR(__xludf.DUMMYFUNCTION("""COMPUTED_VALUE"""),71.5565)</f>
        <v>71.5565</v>
      </c>
      <c r="E301" s="11"/>
      <c r="H301" s="17"/>
      <c r="K301" s="40">
        <f>IFERROR(__xludf.DUMMYFUNCTION("""COMPUTED_VALUE"""),36923.0)</f>
        <v>36923</v>
      </c>
      <c r="L301" s="9">
        <f>IFERROR(__xludf.DUMMYFUNCTION("""COMPUTED_VALUE"""),71.5565)</f>
        <v>71.5565</v>
      </c>
    </row>
    <row r="302">
      <c r="B302" s="11">
        <f>IFERROR(__xludf.DUMMYFUNCTION("""COMPUTED_VALUE"""),36892.0)</f>
        <v>36892</v>
      </c>
      <c r="C302" s="9">
        <f>IFERROR(__xludf.DUMMYFUNCTION("""COMPUTED_VALUE"""),71.6995)</f>
        <v>71.6995</v>
      </c>
      <c r="E302" s="11"/>
      <c r="H302" s="17"/>
      <c r="K302" s="40">
        <f>IFERROR(__xludf.DUMMYFUNCTION("""COMPUTED_VALUE"""),36892.0)</f>
        <v>36892</v>
      </c>
      <c r="L302" s="9">
        <f>IFERROR(__xludf.DUMMYFUNCTION("""COMPUTED_VALUE"""),71.6995)</f>
        <v>71.6995</v>
      </c>
    </row>
    <row r="303">
      <c r="B303" s="11">
        <f>IFERROR(__xludf.DUMMYFUNCTION("""COMPUTED_VALUE"""),36861.0)</f>
        <v>36861</v>
      </c>
      <c r="C303" s="9">
        <f>IFERROR(__xludf.DUMMYFUNCTION("""COMPUTED_VALUE"""),69.6651)</f>
        <v>69.6651</v>
      </c>
      <c r="E303" s="11"/>
      <c r="H303" s="17"/>
      <c r="K303" s="40">
        <f>IFERROR(__xludf.DUMMYFUNCTION("""COMPUTED_VALUE"""),36861.0)</f>
        <v>36861</v>
      </c>
      <c r="L303" s="9">
        <f>IFERROR(__xludf.DUMMYFUNCTION("""COMPUTED_VALUE"""),69.6651)</f>
        <v>69.6651</v>
      </c>
    </row>
    <row r="304">
      <c r="B304" s="11">
        <f>IFERROR(__xludf.DUMMYFUNCTION("""COMPUTED_VALUE"""),36831.0)</f>
        <v>36831</v>
      </c>
      <c r="C304" s="9">
        <f>IFERROR(__xludf.DUMMYFUNCTION("""COMPUTED_VALUE"""),69.1519)</f>
        <v>69.1519</v>
      </c>
      <c r="E304" s="11"/>
      <c r="H304" s="17"/>
      <c r="K304" s="40">
        <f>IFERROR(__xludf.DUMMYFUNCTION("""COMPUTED_VALUE"""),36831.0)</f>
        <v>36831</v>
      </c>
      <c r="L304" s="9">
        <f>IFERROR(__xludf.DUMMYFUNCTION("""COMPUTED_VALUE"""),69.1519)</f>
        <v>69.1519</v>
      </c>
    </row>
    <row r="305">
      <c r="B305" s="11">
        <f>IFERROR(__xludf.DUMMYFUNCTION("""COMPUTED_VALUE"""),36800.0)</f>
        <v>36800</v>
      </c>
      <c r="C305" s="9">
        <f>IFERROR(__xludf.DUMMYFUNCTION("""COMPUTED_VALUE"""),66.8635)</f>
        <v>66.8635</v>
      </c>
      <c r="E305" s="11"/>
      <c r="H305" s="17"/>
      <c r="K305" s="40">
        <f>IFERROR(__xludf.DUMMYFUNCTION("""COMPUTED_VALUE"""),36800.0)</f>
        <v>36800</v>
      </c>
      <c r="L305" s="9">
        <f>IFERROR(__xludf.DUMMYFUNCTION("""COMPUTED_VALUE"""),66.8635)</f>
        <v>66.8635</v>
      </c>
    </row>
    <row r="306">
      <c r="B306" s="11">
        <f>IFERROR(__xludf.DUMMYFUNCTION("""COMPUTED_VALUE"""),36770.0)</f>
        <v>36770</v>
      </c>
      <c r="C306" s="9">
        <f>IFERROR(__xludf.DUMMYFUNCTION("""COMPUTED_VALUE"""),64.6734)</f>
        <v>64.6734</v>
      </c>
      <c r="E306" s="11"/>
      <c r="H306" s="17"/>
      <c r="K306" s="40">
        <f>IFERROR(__xludf.DUMMYFUNCTION("""COMPUTED_VALUE"""),36770.0)</f>
        <v>36770</v>
      </c>
      <c r="L306" s="9">
        <f>IFERROR(__xludf.DUMMYFUNCTION("""COMPUTED_VALUE"""),64.6734)</f>
        <v>64.6734</v>
      </c>
    </row>
    <row r="307">
      <c r="B307" s="11">
        <f>IFERROR(__xludf.DUMMYFUNCTION("""COMPUTED_VALUE"""),36739.0)</f>
        <v>36739</v>
      </c>
      <c r="C307" s="9">
        <f>IFERROR(__xludf.DUMMYFUNCTION("""COMPUTED_VALUE"""),66.8047)</f>
        <v>66.8047</v>
      </c>
      <c r="E307" s="11"/>
      <c r="H307" s="17"/>
      <c r="K307" s="40">
        <f>IFERROR(__xludf.DUMMYFUNCTION("""COMPUTED_VALUE"""),36739.0)</f>
        <v>36739</v>
      </c>
      <c r="L307" s="9">
        <f>IFERROR(__xludf.DUMMYFUNCTION("""COMPUTED_VALUE"""),66.8047)</f>
        <v>66.8047</v>
      </c>
    </row>
    <row r="308">
      <c r="B308" s="11">
        <f>IFERROR(__xludf.DUMMYFUNCTION("""COMPUTED_VALUE"""),36708.0)</f>
        <v>36708</v>
      </c>
      <c r="C308" s="9">
        <f>IFERROR(__xludf.DUMMYFUNCTION("""COMPUTED_VALUE"""),68.4224)</f>
        <v>68.4224</v>
      </c>
      <c r="E308" s="11"/>
      <c r="H308" s="17"/>
      <c r="K308" s="40">
        <f>IFERROR(__xludf.DUMMYFUNCTION("""COMPUTED_VALUE"""),36708.0)</f>
        <v>36708</v>
      </c>
      <c r="L308" s="9">
        <f>IFERROR(__xludf.DUMMYFUNCTION("""COMPUTED_VALUE"""),68.4224)</f>
        <v>68.4224</v>
      </c>
    </row>
    <row r="309">
      <c r="B309" s="11">
        <f>IFERROR(__xludf.DUMMYFUNCTION("""COMPUTED_VALUE"""),36678.0)</f>
        <v>36678</v>
      </c>
      <c r="C309" s="9">
        <f>IFERROR(__xludf.DUMMYFUNCTION("""COMPUTED_VALUE"""),67.1028)</f>
        <v>67.1028</v>
      </c>
      <c r="E309" s="11"/>
      <c r="H309" s="17"/>
      <c r="K309" s="40">
        <f>IFERROR(__xludf.DUMMYFUNCTION("""COMPUTED_VALUE"""),36678.0)</f>
        <v>36678</v>
      </c>
      <c r="L309" s="9">
        <f>IFERROR(__xludf.DUMMYFUNCTION("""COMPUTED_VALUE"""),67.1028)</f>
        <v>67.1028</v>
      </c>
    </row>
    <row r="310">
      <c r="B310" s="11">
        <f>IFERROR(__xludf.DUMMYFUNCTION("""COMPUTED_VALUE"""),36647.0)</f>
        <v>36647</v>
      </c>
      <c r="C310" s="9">
        <f>IFERROR(__xludf.DUMMYFUNCTION("""COMPUTED_VALUE"""),66.5616)</f>
        <v>66.5616</v>
      </c>
      <c r="E310" s="11"/>
      <c r="H310" s="17"/>
      <c r="K310" s="40">
        <f>IFERROR(__xludf.DUMMYFUNCTION("""COMPUTED_VALUE"""),36647.0)</f>
        <v>36647</v>
      </c>
      <c r="L310" s="9">
        <f>IFERROR(__xludf.DUMMYFUNCTION("""COMPUTED_VALUE"""),66.5616)</f>
        <v>66.5616</v>
      </c>
    </row>
    <row r="311">
      <c r="B311" s="11">
        <f>IFERROR(__xludf.DUMMYFUNCTION("""COMPUTED_VALUE"""),36617.0)</f>
        <v>36617</v>
      </c>
      <c r="C311" s="9">
        <f>IFERROR(__xludf.DUMMYFUNCTION("""COMPUTED_VALUE"""),67.3689)</f>
        <v>67.3689</v>
      </c>
      <c r="E311" s="11"/>
      <c r="H311" s="17"/>
      <c r="K311" s="40">
        <f>IFERROR(__xludf.DUMMYFUNCTION("""COMPUTED_VALUE"""),36617.0)</f>
        <v>36617</v>
      </c>
      <c r="L311" s="9">
        <f>IFERROR(__xludf.DUMMYFUNCTION("""COMPUTED_VALUE"""),67.3689)</f>
        <v>67.3689</v>
      </c>
    </row>
    <row r="312">
      <c r="B312" s="11">
        <f>IFERROR(__xludf.DUMMYFUNCTION("""COMPUTED_VALUE"""),36586.0)</f>
        <v>36586</v>
      </c>
      <c r="C312" s="9">
        <f>IFERROR(__xludf.DUMMYFUNCTION("""COMPUTED_VALUE"""),68.6844)</f>
        <v>68.6844</v>
      </c>
      <c r="E312" s="11"/>
      <c r="H312" s="17"/>
      <c r="K312" s="40">
        <f>IFERROR(__xludf.DUMMYFUNCTION("""COMPUTED_VALUE"""),36586.0)</f>
        <v>36586</v>
      </c>
      <c r="L312" s="9">
        <f>IFERROR(__xludf.DUMMYFUNCTION("""COMPUTED_VALUE"""),68.6844)</f>
        <v>68.6844</v>
      </c>
    </row>
    <row r="313">
      <c r="B313" s="11">
        <f>IFERROR(__xludf.DUMMYFUNCTION("""COMPUTED_VALUE"""),36557.0)</f>
        <v>36557</v>
      </c>
      <c r="C313" s="9">
        <f>IFERROR(__xludf.DUMMYFUNCTION("""COMPUTED_VALUE"""),69.3458)</f>
        <v>69.3458</v>
      </c>
      <c r="E313" s="11"/>
      <c r="H313" s="17"/>
      <c r="K313" s="40">
        <f>IFERROR(__xludf.DUMMYFUNCTION("""COMPUTED_VALUE"""),36557.0)</f>
        <v>36557</v>
      </c>
      <c r="L313" s="9">
        <f>IFERROR(__xludf.DUMMYFUNCTION("""COMPUTED_VALUE"""),69.3458)</f>
        <v>69.3458</v>
      </c>
    </row>
    <row r="314">
      <c r="B314" s="11">
        <f>IFERROR(__xludf.DUMMYFUNCTION("""COMPUTED_VALUE"""),36526.0)</f>
        <v>36526</v>
      </c>
      <c r="C314" s="9">
        <f>IFERROR(__xludf.DUMMYFUNCTION("""COMPUTED_VALUE"""),71.0321)</f>
        <v>71.0321</v>
      </c>
      <c r="E314" s="11"/>
      <c r="H314" s="17"/>
      <c r="K314" s="40">
        <f>IFERROR(__xludf.DUMMYFUNCTION("""COMPUTED_VALUE"""),36526.0)</f>
        <v>36526</v>
      </c>
      <c r="L314" s="9">
        <f>IFERROR(__xludf.DUMMYFUNCTION("""COMPUTED_VALUE"""),71.0321)</f>
        <v>71.0321</v>
      </c>
    </row>
    <row r="315">
      <c r="B315" s="11">
        <f>IFERROR(__xludf.DUMMYFUNCTION("""COMPUTED_VALUE"""),36495.0)</f>
        <v>36495</v>
      </c>
      <c r="C315" s="9">
        <f>IFERROR(__xludf.DUMMYFUNCTION("""COMPUTED_VALUE"""),71.0347)</f>
        <v>71.0347</v>
      </c>
      <c r="E315" s="11"/>
      <c r="H315" s="17"/>
      <c r="K315" s="40">
        <f>IFERROR(__xludf.DUMMYFUNCTION("""COMPUTED_VALUE"""),36495.0)</f>
        <v>36495</v>
      </c>
      <c r="L315" s="9">
        <f>IFERROR(__xludf.DUMMYFUNCTION("""COMPUTED_VALUE"""),71.0347)</f>
        <v>71.0347</v>
      </c>
    </row>
    <row r="316">
      <c r="B316" s="11">
        <f>IFERROR(__xludf.DUMMYFUNCTION("""COMPUTED_VALUE"""),36465.0)</f>
        <v>36465</v>
      </c>
      <c r="C316" s="9">
        <f>IFERROR(__xludf.DUMMYFUNCTION("""COMPUTED_VALUE"""),72.049)</f>
        <v>72.049</v>
      </c>
      <c r="E316" s="11"/>
      <c r="H316" s="17"/>
      <c r="K316" s="40">
        <f>IFERROR(__xludf.DUMMYFUNCTION("""COMPUTED_VALUE"""),36465.0)</f>
        <v>36465</v>
      </c>
      <c r="L316" s="9">
        <f>IFERROR(__xludf.DUMMYFUNCTION("""COMPUTED_VALUE"""),72.049)</f>
        <v>72.049</v>
      </c>
    </row>
    <row r="317">
      <c r="B317" s="11">
        <f>IFERROR(__xludf.DUMMYFUNCTION("""COMPUTED_VALUE"""),36434.0)</f>
        <v>36434</v>
      </c>
      <c r="C317" s="9">
        <f>IFERROR(__xludf.DUMMYFUNCTION("""COMPUTED_VALUE"""),73.5965)</f>
        <v>73.5965</v>
      </c>
      <c r="E317" s="11"/>
      <c r="H317" s="17"/>
      <c r="K317" s="40">
        <f>IFERROR(__xludf.DUMMYFUNCTION("""COMPUTED_VALUE"""),36434.0)</f>
        <v>36434</v>
      </c>
      <c r="L317" s="9">
        <f>IFERROR(__xludf.DUMMYFUNCTION("""COMPUTED_VALUE"""),73.5965)</f>
        <v>73.5965</v>
      </c>
    </row>
    <row r="318">
      <c r="B318" s="11">
        <f>IFERROR(__xludf.DUMMYFUNCTION("""COMPUTED_VALUE"""),36404.0)</f>
        <v>36404</v>
      </c>
      <c r="C318" s="9">
        <f>IFERROR(__xludf.DUMMYFUNCTION("""COMPUTED_VALUE"""),74.4581)</f>
        <v>74.4581</v>
      </c>
      <c r="E318" s="11"/>
      <c r="H318" s="17"/>
      <c r="K318" s="40">
        <f>IFERROR(__xludf.DUMMYFUNCTION("""COMPUTED_VALUE"""),36404.0)</f>
        <v>36404</v>
      </c>
      <c r="L318" s="9">
        <f>IFERROR(__xludf.DUMMYFUNCTION("""COMPUTED_VALUE"""),74.4581)</f>
        <v>74.4581</v>
      </c>
    </row>
    <row r="319">
      <c r="B319" s="11">
        <f>IFERROR(__xludf.DUMMYFUNCTION("""COMPUTED_VALUE"""),36373.0)</f>
        <v>36373</v>
      </c>
      <c r="C319" s="9">
        <f>IFERROR(__xludf.DUMMYFUNCTION("""COMPUTED_VALUE"""),76.2425)</f>
        <v>76.2425</v>
      </c>
      <c r="E319" s="11"/>
      <c r="H319" s="17"/>
      <c r="K319" s="40">
        <f>IFERROR(__xludf.DUMMYFUNCTION("""COMPUTED_VALUE"""),36373.0)</f>
        <v>36373</v>
      </c>
      <c r="L319" s="9">
        <f>IFERROR(__xludf.DUMMYFUNCTION("""COMPUTED_VALUE"""),76.2425)</f>
        <v>76.2425</v>
      </c>
    </row>
    <row r="320">
      <c r="B320" s="11">
        <f>IFERROR(__xludf.DUMMYFUNCTION("""COMPUTED_VALUE"""),36342.0)</f>
        <v>36342</v>
      </c>
      <c r="C320" s="9">
        <f>IFERROR(__xludf.DUMMYFUNCTION("""COMPUTED_VALUE"""),76.7951)</f>
        <v>76.7951</v>
      </c>
      <c r="E320" s="11"/>
      <c r="H320" s="17"/>
      <c r="K320" s="40">
        <f>IFERROR(__xludf.DUMMYFUNCTION("""COMPUTED_VALUE"""),36342.0)</f>
        <v>36342</v>
      </c>
      <c r="L320" s="9">
        <f>IFERROR(__xludf.DUMMYFUNCTION("""COMPUTED_VALUE"""),76.7951)</f>
        <v>76.7951</v>
      </c>
    </row>
    <row r="321">
      <c r="B321" s="11">
        <f>IFERROR(__xludf.DUMMYFUNCTION("""COMPUTED_VALUE"""),36312.0)</f>
        <v>36312</v>
      </c>
      <c r="C321" s="9">
        <f>IFERROR(__xludf.DUMMYFUNCTION("""COMPUTED_VALUE"""),77.0549)</f>
        <v>77.0549</v>
      </c>
      <c r="E321" s="11"/>
      <c r="H321" s="17"/>
      <c r="K321" s="40">
        <f>IFERROR(__xludf.DUMMYFUNCTION("""COMPUTED_VALUE"""),36312.0)</f>
        <v>36312</v>
      </c>
      <c r="L321" s="9">
        <f>IFERROR(__xludf.DUMMYFUNCTION("""COMPUTED_VALUE"""),77.0549)</f>
        <v>77.0549</v>
      </c>
    </row>
    <row r="322">
      <c r="B322" s="11">
        <f>IFERROR(__xludf.DUMMYFUNCTION("""COMPUTED_VALUE"""),36281.0)</f>
        <v>36281</v>
      </c>
      <c r="C322" s="9">
        <f>IFERROR(__xludf.DUMMYFUNCTION("""COMPUTED_VALUE"""),78.1013)</f>
        <v>78.1013</v>
      </c>
      <c r="E322" s="11"/>
      <c r="H322" s="17"/>
      <c r="K322" s="40">
        <f>IFERROR(__xludf.DUMMYFUNCTION("""COMPUTED_VALUE"""),36281.0)</f>
        <v>36281</v>
      </c>
      <c r="L322" s="9">
        <f>IFERROR(__xludf.DUMMYFUNCTION("""COMPUTED_VALUE"""),78.1013)</f>
        <v>78.1013</v>
      </c>
    </row>
    <row r="323">
      <c r="B323" s="11">
        <f>IFERROR(__xludf.DUMMYFUNCTION("""COMPUTED_VALUE"""),36251.0)</f>
        <v>36251</v>
      </c>
      <c r="C323" s="9">
        <f>IFERROR(__xludf.DUMMYFUNCTION("""COMPUTED_VALUE"""),78.9883)</f>
        <v>78.9883</v>
      </c>
      <c r="E323" s="11"/>
      <c r="H323" s="17"/>
      <c r="K323" s="40">
        <f>IFERROR(__xludf.DUMMYFUNCTION("""COMPUTED_VALUE"""),36251.0)</f>
        <v>36251</v>
      </c>
      <c r="L323" s="9">
        <f>IFERROR(__xludf.DUMMYFUNCTION("""COMPUTED_VALUE"""),78.9883)</f>
        <v>78.9883</v>
      </c>
    </row>
    <row r="324">
      <c r="B324" s="11">
        <f>IFERROR(__xludf.DUMMYFUNCTION("""COMPUTED_VALUE"""),36220.0)</f>
        <v>36220</v>
      </c>
      <c r="C324" s="9">
        <f>IFERROR(__xludf.DUMMYFUNCTION("""COMPUTED_VALUE"""),80.0455)</f>
        <v>80.0455</v>
      </c>
      <c r="E324" s="11"/>
      <c r="H324" s="17"/>
      <c r="K324" s="40">
        <f>IFERROR(__xludf.DUMMYFUNCTION("""COMPUTED_VALUE"""),36220.0)</f>
        <v>36220</v>
      </c>
      <c r="L324" s="9">
        <f>IFERROR(__xludf.DUMMYFUNCTION("""COMPUTED_VALUE"""),80.0455)</f>
        <v>80.0455</v>
      </c>
    </row>
    <row r="325">
      <c r="B325" s="11">
        <f>IFERROR(__xludf.DUMMYFUNCTION("""COMPUTED_VALUE"""),36192.0)</f>
        <v>36192</v>
      </c>
      <c r="C325" s="9">
        <f>IFERROR(__xludf.DUMMYFUNCTION("""COMPUTED_VALUE"""),80.3062)</f>
        <v>80.3062</v>
      </c>
      <c r="E325" s="11"/>
      <c r="H325" s="17"/>
      <c r="K325" s="40">
        <f>IFERROR(__xludf.DUMMYFUNCTION("""COMPUTED_VALUE"""),36192.0)</f>
        <v>36192</v>
      </c>
      <c r="L325" s="9">
        <f>IFERROR(__xludf.DUMMYFUNCTION("""COMPUTED_VALUE"""),80.3062)</f>
        <v>80.3062</v>
      </c>
    </row>
    <row r="326">
      <c r="B326" s="11">
        <f>IFERROR(__xludf.DUMMYFUNCTION("""COMPUTED_VALUE"""),36161.0)</f>
        <v>36161</v>
      </c>
      <c r="C326" s="9">
        <f>IFERROR(__xludf.DUMMYFUNCTION("""COMPUTED_VALUE"""),79.6442)</f>
        <v>79.6442</v>
      </c>
      <c r="E326" s="11"/>
      <c r="H326" s="17"/>
      <c r="K326" s="40">
        <f>IFERROR(__xludf.DUMMYFUNCTION("""COMPUTED_VALUE"""),36161.0)</f>
        <v>36161</v>
      </c>
      <c r="L326" s="9">
        <f>IFERROR(__xludf.DUMMYFUNCTION("""COMPUTED_VALUE"""),79.6442)</f>
        <v>79.6442</v>
      </c>
    </row>
    <row r="327">
      <c r="B327" s="11">
        <f>IFERROR(__xludf.DUMMYFUNCTION("""COMPUTED_VALUE"""),36130.0)</f>
        <v>36130</v>
      </c>
      <c r="C327" s="9">
        <f>IFERROR(__xludf.DUMMYFUNCTION("""COMPUTED_VALUE"""),80.1464)</f>
        <v>80.1464</v>
      </c>
      <c r="E327" s="11"/>
      <c r="H327" s="17"/>
      <c r="K327" s="40">
        <f>IFERROR(__xludf.DUMMYFUNCTION("""COMPUTED_VALUE"""),36130.0)</f>
        <v>36130</v>
      </c>
      <c r="L327" s="9">
        <f>IFERROR(__xludf.DUMMYFUNCTION("""COMPUTED_VALUE"""),80.1464)</f>
        <v>80.1464</v>
      </c>
    </row>
    <row r="328">
      <c r="B328" s="11">
        <f>IFERROR(__xludf.DUMMYFUNCTION("""COMPUTED_VALUE"""),36100.0)</f>
        <v>36100</v>
      </c>
      <c r="C328" s="9">
        <f>IFERROR(__xludf.DUMMYFUNCTION("""COMPUTED_VALUE"""),80.5355)</f>
        <v>80.5355</v>
      </c>
      <c r="E328" s="11"/>
      <c r="H328" s="17"/>
      <c r="K328" s="40">
        <f>IFERROR(__xludf.DUMMYFUNCTION("""COMPUTED_VALUE"""),36100.0)</f>
        <v>36100</v>
      </c>
      <c r="L328" s="9">
        <f>IFERROR(__xludf.DUMMYFUNCTION("""COMPUTED_VALUE"""),80.5355)</f>
        <v>80.5355</v>
      </c>
    </row>
    <row r="329">
      <c r="B329" s="11">
        <f>IFERROR(__xludf.DUMMYFUNCTION("""COMPUTED_VALUE"""),36069.0)</f>
        <v>36069</v>
      </c>
      <c r="C329" s="9">
        <f>IFERROR(__xludf.DUMMYFUNCTION("""COMPUTED_VALUE"""),80.9204)</f>
        <v>80.9204</v>
      </c>
      <c r="E329" s="11"/>
      <c r="H329" s="17"/>
      <c r="K329" s="40">
        <f>IFERROR(__xludf.DUMMYFUNCTION("""COMPUTED_VALUE"""),36069.0)</f>
        <v>36069</v>
      </c>
      <c r="L329" s="9">
        <f>IFERROR(__xludf.DUMMYFUNCTION("""COMPUTED_VALUE"""),80.9204)</f>
        <v>80.9204</v>
      </c>
    </row>
    <row r="330">
      <c r="B330" s="11">
        <f>IFERROR(__xludf.DUMMYFUNCTION("""COMPUTED_VALUE"""),36039.0)</f>
        <v>36039</v>
      </c>
      <c r="C330" s="9">
        <f>IFERROR(__xludf.DUMMYFUNCTION("""COMPUTED_VALUE"""),79.4929)</f>
        <v>79.4929</v>
      </c>
      <c r="E330" s="11"/>
      <c r="H330" s="17"/>
      <c r="K330" s="40">
        <f>IFERROR(__xludf.DUMMYFUNCTION("""COMPUTED_VALUE"""),36039.0)</f>
        <v>36039</v>
      </c>
      <c r="L330" s="9">
        <f>IFERROR(__xludf.DUMMYFUNCTION("""COMPUTED_VALUE"""),79.4929)</f>
        <v>79.4929</v>
      </c>
    </row>
    <row r="331">
      <c r="B331" s="11">
        <f>IFERROR(__xludf.DUMMYFUNCTION("""COMPUTED_VALUE"""),36008.0)</f>
        <v>36008</v>
      </c>
      <c r="C331" s="9">
        <f>IFERROR(__xludf.DUMMYFUNCTION("""COMPUTED_VALUE"""),79.9061)</f>
        <v>79.9061</v>
      </c>
      <c r="E331" s="11"/>
      <c r="H331" s="17"/>
      <c r="K331" s="40">
        <f>IFERROR(__xludf.DUMMYFUNCTION("""COMPUTED_VALUE"""),36008.0)</f>
        <v>36008</v>
      </c>
      <c r="L331" s="9">
        <f>IFERROR(__xludf.DUMMYFUNCTION("""COMPUTED_VALUE"""),79.9061)</f>
        <v>79.9061</v>
      </c>
    </row>
    <row r="332">
      <c r="B332" s="11">
        <f>IFERROR(__xludf.DUMMYFUNCTION("""COMPUTED_VALUE"""),35977.0)</f>
        <v>35977</v>
      </c>
      <c r="C332" s="9">
        <f>IFERROR(__xludf.DUMMYFUNCTION("""COMPUTED_VALUE"""),79.5092)</f>
        <v>79.5092</v>
      </c>
      <c r="E332" s="11"/>
      <c r="H332" s="17"/>
      <c r="K332" s="40">
        <f>IFERROR(__xludf.DUMMYFUNCTION("""COMPUTED_VALUE"""),35977.0)</f>
        <v>35977</v>
      </c>
      <c r="L332" s="9">
        <f>IFERROR(__xludf.DUMMYFUNCTION("""COMPUTED_VALUE"""),79.5092)</f>
        <v>79.5092</v>
      </c>
    </row>
    <row r="333">
      <c r="B333" s="11">
        <f>IFERROR(__xludf.DUMMYFUNCTION("""COMPUTED_VALUE"""),35947.0)</f>
        <v>35947</v>
      </c>
      <c r="C333" s="9">
        <f>IFERROR(__xludf.DUMMYFUNCTION("""COMPUTED_VALUE"""),78.2885)</f>
        <v>78.2885</v>
      </c>
      <c r="E333" s="11"/>
      <c r="H333" s="17"/>
      <c r="K333" s="40">
        <f>IFERROR(__xludf.DUMMYFUNCTION("""COMPUTED_VALUE"""),35947.0)</f>
        <v>35947</v>
      </c>
      <c r="L333" s="9">
        <f>IFERROR(__xludf.DUMMYFUNCTION("""COMPUTED_VALUE"""),78.2885)</f>
        <v>78.2885</v>
      </c>
    </row>
    <row r="334">
      <c r="B334" s="11">
        <f>IFERROR(__xludf.DUMMYFUNCTION("""COMPUTED_VALUE"""),35916.0)</f>
        <v>35916</v>
      </c>
      <c r="C334" s="9">
        <f>IFERROR(__xludf.DUMMYFUNCTION("""COMPUTED_VALUE"""),78.0352)</f>
        <v>78.0352</v>
      </c>
      <c r="E334" s="11"/>
      <c r="H334" s="17"/>
      <c r="K334" s="40">
        <f>IFERROR(__xludf.DUMMYFUNCTION("""COMPUTED_VALUE"""),35916.0)</f>
        <v>35916</v>
      </c>
      <c r="L334" s="9">
        <f>IFERROR(__xludf.DUMMYFUNCTION("""COMPUTED_VALUE"""),78.0352)</f>
        <v>78.0352</v>
      </c>
    </row>
    <row r="335">
      <c r="B335" s="11">
        <f>IFERROR(__xludf.DUMMYFUNCTION("""COMPUTED_VALUE"""),35886.0)</f>
        <v>35886</v>
      </c>
      <c r="C335" s="9">
        <f>IFERROR(__xludf.DUMMYFUNCTION("""COMPUTED_VALUE"""),77.1256)</f>
        <v>77.1256</v>
      </c>
      <c r="E335" s="11"/>
      <c r="H335" s="17"/>
      <c r="K335" s="40">
        <f>IFERROR(__xludf.DUMMYFUNCTION("""COMPUTED_VALUE"""),35886.0)</f>
        <v>35886</v>
      </c>
      <c r="L335" s="9">
        <f>IFERROR(__xludf.DUMMYFUNCTION("""COMPUTED_VALUE"""),77.1256)</f>
        <v>77.1256</v>
      </c>
    </row>
    <row r="336">
      <c r="B336" s="11">
        <f>IFERROR(__xludf.DUMMYFUNCTION("""COMPUTED_VALUE"""),35855.0)</f>
        <v>35855</v>
      </c>
      <c r="C336" s="9">
        <f>IFERROR(__xludf.DUMMYFUNCTION("""COMPUTED_VALUE"""),77.0702)</f>
        <v>77.0702</v>
      </c>
      <c r="E336" s="11"/>
      <c r="H336" s="17"/>
      <c r="K336" s="40">
        <f>IFERROR(__xludf.DUMMYFUNCTION("""COMPUTED_VALUE"""),35855.0)</f>
        <v>35855</v>
      </c>
      <c r="L336" s="9">
        <f>IFERROR(__xludf.DUMMYFUNCTION("""COMPUTED_VALUE"""),77.0702)</f>
        <v>77.0702</v>
      </c>
    </row>
    <row r="337">
      <c r="B337" s="11">
        <f>IFERROR(__xludf.DUMMYFUNCTION("""COMPUTED_VALUE"""),35827.0)</f>
        <v>35827</v>
      </c>
      <c r="C337" s="9">
        <f>IFERROR(__xludf.DUMMYFUNCTION("""COMPUTED_VALUE"""),77.5349)</f>
        <v>77.5349</v>
      </c>
      <c r="E337" s="11"/>
      <c r="H337" s="17"/>
      <c r="K337" s="40">
        <f>IFERROR(__xludf.DUMMYFUNCTION("""COMPUTED_VALUE"""),35827.0)</f>
        <v>35827</v>
      </c>
      <c r="L337" s="9">
        <f>IFERROR(__xludf.DUMMYFUNCTION("""COMPUTED_VALUE"""),77.5349)</f>
        <v>77.5349</v>
      </c>
    </row>
    <row r="338">
      <c r="B338" s="11">
        <f>IFERROR(__xludf.DUMMYFUNCTION("""COMPUTED_VALUE"""),35796.0)</f>
        <v>35796</v>
      </c>
      <c r="C338" s="9">
        <f>IFERROR(__xludf.DUMMYFUNCTION("""COMPUTED_VALUE"""),77.1657)</f>
        <v>77.1657</v>
      </c>
      <c r="E338" s="11"/>
      <c r="H338" s="17"/>
      <c r="K338" s="40">
        <f>IFERROR(__xludf.DUMMYFUNCTION("""COMPUTED_VALUE"""),35796.0)</f>
        <v>35796</v>
      </c>
      <c r="L338" s="9">
        <f>IFERROR(__xludf.DUMMYFUNCTION("""COMPUTED_VALUE"""),77.1657)</f>
        <v>77.1657</v>
      </c>
    </row>
    <row r="339">
      <c r="B339" s="11">
        <f>IFERROR(__xludf.DUMMYFUNCTION("""COMPUTED_VALUE"""),35765.0)</f>
        <v>35765</v>
      </c>
      <c r="C339" s="9">
        <f>IFERROR(__xludf.DUMMYFUNCTION("""COMPUTED_VALUE"""),76.6165)</f>
        <v>76.6165</v>
      </c>
      <c r="E339" s="11"/>
      <c r="H339" s="17"/>
      <c r="K339" s="40">
        <f>IFERROR(__xludf.DUMMYFUNCTION("""COMPUTED_VALUE"""),35765.0)</f>
        <v>35765</v>
      </c>
      <c r="L339" s="9">
        <f>IFERROR(__xludf.DUMMYFUNCTION("""COMPUTED_VALUE"""),76.6165)</f>
        <v>76.6165</v>
      </c>
    </row>
    <row r="340">
      <c r="B340" s="11">
        <f>IFERROR(__xludf.DUMMYFUNCTION("""COMPUTED_VALUE"""),35735.0)</f>
        <v>35735</v>
      </c>
      <c r="C340" s="9">
        <f>IFERROR(__xludf.DUMMYFUNCTION("""COMPUTED_VALUE"""),75.4529)</f>
        <v>75.4529</v>
      </c>
      <c r="E340" s="11"/>
      <c r="H340" s="17"/>
      <c r="K340" s="40">
        <f>IFERROR(__xludf.DUMMYFUNCTION("""COMPUTED_VALUE"""),35735.0)</f>
        <v>35735</v>
      </c>
      <c r="L340" s="9">
        <f>IFERROR(__xludf.DUMMYFUNCTION("""COMPUTED_VALUE"""),75.4529)</f>
        <v>75.4529</v>
      </c>
    </row>
    <row r="341">
      <c r="B341" s="11">
        <f>IFERROR(__xludf.DUMMYFUNCTION("""COMPUTED_VALUE"""),35704.0)</f>
        <v>35704</v>
      </c>
      <c r="C341" s="9">
        <f>IFERROR(__xludf.DUMMYFUNCTION("""COMPUTED_VALUE"""),75.8001)</f>
        <v>75.8001</v>
      </c>
      <c r="E341" s="11"/>
      <c r="H341" s="17"/>
      <c r="K341" s="40">
        <f>IFERROR(__xludf.DUMMYFUNCTION("""COMPUTED_VALUE"""),35704.0)</f>
        <v>35704</v>
      </c>
      <c r="L341" s="9">
        <f>IFERROR(__xludf.DUMMYFUNCTION("""COMPUTED_VALUE"""),75.8001)</f>
        <v>75.8001</v>
      </c>
    </row>
    <row r="342">
      <c r="B342" s="11">
        <f>IFERROR(__xludf.DUMMYFUNCTION("""COMPUTED_VALUE"""),35674.0)</f>
        <v>35674</v>
      </c>
      <c r="C342" s="9">
        <f>IFERROR(__xludf.DUMMYFUNCTION("""COMPUTED_VALUE"""),75.5398)</f>
        <v>75.5398</v>
      </c>
      <c r="E342" s="11"/>
      <c r="H342" s="17"/>
      <c r="K342" s="40">
        <f>IFERROR(__xludf.DUMMYFUNCTION("""COMPUTED_VALUE"""),35674.0)</f>
        <v>35674</v>
      </c>
      <c r="L342" s="9">
        <f>IFERROR(__xludf.DUMMYFUNCTION("""COMPUTED_VALUE"""),75.5398)</f>
        <v>75.5398</v>
      </c>
    </row>
    <row r="343">
      <c r="B343" s="11">
        <f>IFERROR(__xludf.DUMMYFUNCTION("""COMPUTED_VALUE"""),35643.0)</f>
        <v>35643</v>
      </c>
      <c r="C343" s="9">
        <f>IFERROR(__xludf.DUMMYFUNCTION("""COMPUTED_VALUE"""),75.6838)</f>
        <v>75.6838</v>
      </c>
      <c r="E343" s="11"/>
      <c r="H343" s="17"/>
      <c r="K343" s="40">
        <f>IFERROR(__xludf.DUMMYFUNCTION("""COMPUTED_VALUE"""),35643.0)</f>
        <v>35643</v>
      </c>
      <c r="L343" s="9">
        <f>IFERROR(__xludf.DUMMYFUNCTION("""COMPUTED_VALUE"""),75.6838)</f>
        <v>75.6838</v>
      </c>
    </row>
    <row r="344">
      <c r="B344" s="11">
        <f>IFERROR(__xludf.DUMMYFUNCTION("""COMPUTED_VALUE"""),35612.0)</f>
        <v>35612</v>
      </c>
      <c r="C344" s="9">
        <f>IFERROR(__xludf.DUMMYFUNCTION("""COMPUTED_VALUE"""),75.4347)</f>
        <v>75.4347</v>
      </c>
      <c r="E344" s="11"/>
      <c r="H344" s="17"/>
      <c r="K344" s="40">
        <f>IFERROR(__xludf.DUMMYFUNCTION("""COMPUTED_VALUE"""),35612.0)</f>
        <v>35612</v>
      </c>
      <c r="L344" s="9">
        <f>IFERROR(__xludf.DUMMYFUNCTION("""COMPUTED_VALUE"""),75.4347)</f>
        <v>75.4347</v>
      </c>
    </row>
    <row r="345">
      <c r="B345" s="11">
        <f>IFERROR(__xludf.DUMMYFUNCTION("""COMPUTED_VALUE"""),35582.0)</f>
        <v>35582</v>
      </c>
      <c r="C345" s="9">
        <f>IFERROR(__xludf.DUMMYFUNCTION("""COMPUTED_VALUE"""),74.8648)</f>
        <v>74.8648</v>
      </c>
      <c r="E345" s="11"/>
      <c r="H345" s="17"/>
      <c r="K345" s="40">
        <f>IFERROR(__xludf.DUMMYFUNCTION("""COMPUTED_VALUE"""),35582.0)</f>
        <v>35582</v>
      </c>
      <c r="L345" s="9">
        <f>IFERROR(__xludf.DUMMYFUNCTION("""COMPUTED_VALUE"""),74.8648)</f>
        <v>74.8648</v>
      </c>
    </row>
    <row r="346">
      <c r="B346" s="11">
        <f>IFERROR(__xludf.DUMMYFUNCTION("""COMPUTED_VALUE"""),35551.0)</f>
        <v>35551</v>
      </c>
      <c r="C346" s="9">
        <f>IFERROR(__xludf.DUMMYFUNCTION("""COMPUTED_VALUE"""),75.2528)</f>
        <v>75.2528</v>
      </c>
      <c r="E346" s="11"/>
      <c r="H346" s="17"/>
      <c r="K346" s="40">
        <f>IFERROR(__xludf.DUMMYFUNCTION("""COMPUTED_VALUE"""),35551.0)</f>
        <v>35551</v>
      </c>
      <c r="L346" s="9">
        <f>IFERROR(__xludf.DUMMYFUNCTION("""COMPUTED_VALUE"""),75.2528)</f>
        <v>75.2528</v>
      </c>
    </row>
    <row r="347">
      <c r="B347" s="11">
        <f>IFERROR(__xludf.DUMMYFUNCTION("""COMPUTED_VALUE"""),35521.0)</f>
        <v>35521</v>
      </c>
      <c r="C347" s="9">
        <f>IFERROR(__xludf.DUMMYFUNCTION("""COMPUTED_VALUE"""),75.5161)</f>
        <v>75.5161</v>
      </c>
      <c r="E347" s="11"/>
      <c r="H347" s="17"/>
      <c r="K347" s="40">
        <f>IFERROR(__xludf.DUMMYFUNCTION("""COMPUTED_VALUE"""),35521.0)</f>
        <v>35521</v>
      </c>
      <c r="L347" s="9">
        <f>IFERROR(__xludf.DUMMYFUNCTION("""COMPUTED_VALUE"""),75.5161)</f>
        <v>75.5161</v>
      </c>
    </row>
    <row r="348">
      <c r="B348" s="11">
        <f>IFERROR(__xludf.DUMMYFUNCTION("""COMPUTED_VALUE"""),35490.0)</f>
        <v>35490</v>
      </c>
      <c r="C348" s="9">
        <f>IFERROR(__xludf.DUMMYFUNCTION("""COMPUTED_VALUE"""),75.2621)</f>
        <v>75.2621</v>
      </c>
      <c r="E348" s="11"/>
      <c r="H348" s="17"/>
      <c r="K348" s="40">
        <f>IFERROR(__xludf.DUMMYFUNCTION("""COMPUTED_VALUE"""),35490.0)</f>
        <v>35490</v>
      </c>
      <c r="L348" s="9">
        <f>IFERROR(__xludf.DUMMYFUNCTION("""COMPUTED_VALUE"""),75.2621)</f>
        <v>75.2621</v>
      </c>
    </row>
    <row r="349">
      <c r="B349" s="11">
        <f>IFERROR(__xludf.DUMMYFUNCTION("""COMPUTED_VALUE"""),35462.0)</f>
        <v>35462</v>
      </c>
      <c r="C349" s="9">
        <f>IFERROR(__xludf.DUMMYFUNCTION("""COMPUTED_VALUE"""),75.4777)</f>
        <v>75.4777</v>
      </c>
      <c r="E349" s="11"/>
      <c r="H349" s="17"/>
      <c r="K349" s="40">
        <f>IFERROR(__xludf.DUMMYFUNCTION("""COMPUTED_VALUE"""),35462.0)</f>
        <v>35462</v>
      </c>
      <c r="L349" s="9">
        <f>IFERROR(__xludf.DUMMYFUNCTION("""COMPUTED_VALUE"""),75.4777)</f>
        <v>75.4777</v>
      </c>
    </row>
    <row r="350">
      <c r="B350" s="11">
        <f>IFERROR(__xludf.DUMMYFUNCTION("""COMPUTED_VALUE"""),35431.0)</f>
        <v>35431</v>
      </c>
      <c r="C350" s="9">
        <f>IFERROR(__xludf.DUMMYFUNCTION("""COMPUTED_VALUE"""),74.9629)</f>
        <v>74.9629</v>
      </c>
      <c r="E350" s="11"/>
      <c r="H350" s="17"/>
      <c r="K350" s="40">
        <f>IFERROR(__xludf.DUMMYFUNCTION("""COMPUTED_VALUE"""),35431.0)</f>
        <v>35431</v>
      </c>
      <c r="L350" s="9">
        <f>IFERROR(__xludf.DUMMYFUNCTION("""COMPUTED_VALUE"""),74.9629)</f>
        <v>74.9629</v>
      </c>
    </row>
    <row r="351">
      <c r="B351" s="11">
        <f>IFERROR(__xludf.DUMMYFUNCTION("""COMPUTED_VALUE"""),35400.0)</f>
        <v>35400</v>
      </c>
      <c r="C351" s="9">
        <f>IFERROR(__xludf.DUMMYFUNCTION("""COMPUTED_VALUE"""),75.9381)</f>
        <v>75.9381</v>
      </c>
      <c r="E351" s="11"/>
      <c r="H351" s="17"/>
      <c r="K351" s="40">
        <f>IFERROR(__xludf.DUMMYFUNCTION("""COMPUTED_VALUE"""),35400.0)</f>
        <v>35400</v>
      </c>
      <c r="L351" s="9">
        <f>IFERROR(__xludf.DUMMYFUNCTION("""COMPUTED_VALUE"""),75.9381)</f>
        <v>75.9381</v>
      </c>
    </row>
    <row r="352">
      <c r="B352" s="11">
        <f>IFERROR(__xludf.DUMMYFUNCTION("""COMPUTED_VALUE"""),35370.0)</f>
        <v>35370</v>
      </c>
      <c r="C352" s="9">
        <f>IFERROR(__xludf.DUMMYFUNCTION("""COMPUTED_VALUE"""),76.1727)</f>
        <v>76.1727</v>
      </c>
      <c r="E352" s="11"/>
      <c r="H352" s="17"/>
      <c r="K352" s="40">
        <f>IFERROR(__xludf.DUMMYFUNCTION("""COMPUTED_VALUE"""),35370.0)</f>
        <v>35370</v>
      </c>
      <c r="L352" s="9">
        <f>IFERROR(__xludf.DUMMYFUNCTION("""COMPUTED_VALUE"""),76.1727)</f>
        <v>76.1727</v>
      </c>
    </row>
    <row r="353">
      <c r="B353" s="11">
        <f>IFERROR(__xludf.DUMMYFUNCTION("""COMPUTED_VALUE"""),35339.0)</f>
        <v>35339</v>
      </c>
      <c r="C353" s="9">
        <f>IFERROR(__xludf.DUMMYFUNCTION("""COMPUTED_VALUE"""),76.6935)</f>
        <v>76.6935</v>
      </c>
      <c r="E353" s="11"/>
      <c r="H353" s="17"/>
      <c r="K353" s="40">
        <f>IFERROR(__xludf.DUMMYFUNCTION("""COMPUTED_VALUE"""),35339.0)</f>
        <v>35339</v>
      </c>
      <c r="L353" s="9">
        <f>IFERROR(__xludf.DUMMYFUNCTION("""COMPUTED_VALUE"""),76.6935)</f>
        <v>76.6935</v>
      </c>
    </row>
    <row r="354">
      <c r="B354" s="11">
        <f>IFERROR(__xludf.DUMMYFUNCTION("""COMPUTED_VALUE"""),35309.0)</f>
        <v>35309</v>
      </c>
      <c r="C354" s="9">
        <f>IFERROR(__xludf.DUMMYFUNCTION("""COMPUTED_VALUE"""),76.4651)</f>
        <v>76.4651</v>
      </c>
      <c r="E354" s="11"/>
      <c r="H354" s="17"/>
      <c r="K354" s="40">
        <f>IFERROR(__xludf.DUMMYFUNCTION("""COMPUTED_VALUE"""),35309.0)</f>
        <v>35309</v>
      </c>
      <c r="L354" s="9">
        <f>IFERROR(__xludf.DUMMYFUNCTION("""COMPUTED_VALUE"""),76.4651)</f>
        <v>76.4651</v>
      </c>
    </row>
    <row r="355">
      <c r="B355" s="11">
        <f>IFERROR(__xludf.DUMMYFUNCTION("""COMPUTED_VALUE"""),35278.0)</f>
        <v>35278</v>
      </c>
      <c r="C355" s="9">
        <f>IFERROR(__xludf.DUMMYFUNCTION("""COMPUTED_VALUE"""),76.7943)</f>
        <v>76.7943</v>
      </c>
      <c r="E355" s="11"/>
      <c r="H355" s="17"/>
      <c r="K355" s="40">
        <f>IFERROR(__xludf.DUMMYFUNCTION("""COMPUTED_VALUE"""),35278.0)</f>
        <v>35278</v>
      </c>
      <c r="L355" s="9">
        <f>IFERROR(__xludf.DUMMYFUNCTION("""COMPUTED_VALUE"""),76.7943)</f>
        <v>76.7943</v>
      </c>
    </row>
    <row r="356">
      <c r="B356" s="11">
        <f>IFERROR(__xludf.DUMMYFUNCTION("""COMPUTED_VALUE"""),35247.0)</f>
        <v>35247</v>
      </c>
      <c r="C356" s="9">
        <f>IFERROR(__xludf.DUMMYFUNCTION("""COMPUTED_VALUE"""),76.9727)</f>
        <v>76.9727</v>
      </c>
      <c r="E356" s="11"/>
      <c r="H356" s="17"/>
      <c r="K356" s="40">
        <f>IFERROR(__xludf.DUMMYFUNCTION("""COMPUTED_VALUE"""),35247.0)</f>
        <v>35247</v>
      </c>
      <c r="L356" s="9">
        <f>IFERROR(__xludf.DUMMYFUNCTION("""COMPUTED_VALUE"""),76.9727)</f>
        <v>76.9727</v>
      </c>
    </row>
    <row r="357">
      <c r="B357" s="11">
        <f>IFERROR(__xludf.DUMMYFUNCTION("""COMPUTED_VALUE"""),35217.0)</f>
        <v>35217</v>
      </c>
      <c r="C357" s="9">
        <f>IFERROR(__xludf.DUMMYFUNCTION("""COMPUTED_VALUE"""),76.2882)</f>
        <v>76.2882</v>
      </c>
      <c r="E357" s="11"/>
      <c r="H357" s="17"/>
      <c r="K357" s="40">
        <f>IFERROR(__xludf.DUMMYFUNCTION("""COMPUTED_VALUE"""),35217.0)</f>
        <v>35217</v>
      </c>
      <c r="L357" s="9">
        <f>IFERROR(__xludf.DUMMYFUNCTION("""COMPUTED_VALUE"""),76.2882)</f>
        <v>76.2882</v>
      </c>
    </row>
    <row r="358">
      <c r="B358" s="11">
        <f>IFERROR(__xludf.DUMMYFUNCTION("""COMPUTED_VALUE"""),35186.0)</f>
        <v>35186</v>
      </c>
      <c r="C358" s="9">
        <f>IFERROR(__xludf.DUMMYFUNCTION("""COMPUTED_VALUE"""),76.9214)</f>
        <v>76.9214</v>
      </c>
      <c r="E358" s="11"/>
      <c r="H358" s="17"/>
      <c r="K358" s="40">
        <f>IFERROR(__xludf.DUMMYFUNCTION("""COMPUTED_VALUE"""),35186.0)</f>
        <v>35186</v>
      </c>
      <c r="L358" s="9">
        <f>IFERROR(__xludf.DUMMYFUNCTION("""COMPUTED_VALUE"""),76.9214)</f>
        <v>76.9214</v>
      </c>
    </row>
    <row r="359">
      <c r="B359" s="11">
        <f>IFERROR(__xludf.DUMMYFUNCTION("""COMPUTED_VALUE"""),35156.0)</f>
        <v>35156</v>
      </c>
      <c r="C359" s="9">
        <f>IFERROR(__xludf.DUMMYFUNCTION("""COMPUTED_VALUE"""),76.94)</f>
        <v>76.94</v>
      </c>
      <c r="E359" s="11"/>
      <c r="H359" s="17"/>
      <c r="K359" s="40">
        <f>IFERROR(__xludf.DUMMYFUNCTION("""COMPUTED_VALUE"""),35156.0)</f>
        <v>35156</v>
      </c>
      <c r="L359" s="9">
        <f>IFERROR(__xludf.DUMMYFUNCTION("""COMPUTED_VALUE"""),76.94)</f>
        <v>76.94</v>
      </c>
    </row>
    <row r="360">
      <c r="B360" s="11">
        <f>IFERROR(__xludf.DUMMYFUNCTION("""COMPUTED_VALUE"""),35125.0)</f>
        <v>35125</v>
      </c>
      <c r="C360" s="9">
        <f>IFERROR(__xludf.DUMMYFUNCTION("""COMPUTED_VALUE"""),76.9807)</f>
        <v>76.9807</v>
      </c>
      <c r="E360" s="11"/>
      <c r="H360" s="17"/>
      <c r="K360" s="40">
        <f>IFERROR(__xludf.DUMMYFUNCTION("""COMPUTED_VALUE"""),35125.0)</f>
        <v>35125</v>
      </c>
      <c r="L360" s="9">
        <f>IFERROR(__xludf.DUMMYFUNCTION("""COMPUTED_VALUE"""),76.9807)</f>
        <v>76.9807</v>
      </c>
    </row>
    <row r="361">
      <c r="B361" s="11">
        <f>IFERROR(__xludf.DUMMYFUNCTION("""COMPUTED_VALUE"""),35096.0)</f>
        <v>35096</v>
      </c>
      <c r="C361" s="9">
        <f>IFERROR(__xludf.DUMMYFUNCTION("""COMPUTED_VALUE"""),76.7802)</f>
        <v>76.7802</v>
      </c>
      <c r="E361" s="11"/>
      <c r="H361" s="17"/>
      <c r="K361" s="40">
        <f>IFERROR(__xludf.DUMMYFUNCTION("""COMPUTED_VALUE"""),35096.0)</f>
        <v>35096</v>
      </c>
      <c r="L361" s="9">
        <f>IFERROR(__xludf.DUMMYFUNCTION("""COMPUTED_VALUE"""),76.7802)</f>
        <v>76.7802</v>
      </c>
    </row>
    <row r="362">
      <c r="B362" s="11">
        <f>IFERROR(__xludf.DUMMYFUNCTION("""COMPUTED_VALUE"""),35065.0)</f>
        <v>35065</v>
      </c>
      <c r="C362" s="9">
        <f>IFERROR(__xludf.DUMMYFUNCTION("""COMPUTED_VALUE"""),74.7101)</f>
        <v>74.7101</v>
      </c>
      <c r="E362" s="11"/>
      <c r="H362" s="17"/>
    </row>
    <row r="363">
      <c r="B363" s="11">
        <f>IFERROR(__xludf.DUMMYFUNCTION("""COMPUTED_VALUE"""),35034.0)</f>
        <v>35034</v>
      </c>
      <c r="C363" s="9">
        <f>IFERROR(__xludf.DUMMYFUNCTION("""COMPUTED_VALUE"""),75.4354)</f>
        <v>75.4354</v>
      </c>
      <c r="E363" s="11"/>
      <c r="H363" s="17"/>
    </row>
    <row r="364">
      <c r="B364" s="11">
        <f>IFERROR(__xludf.DUMMYFUNCTION("""COMPUTED_VALUE"""),35004.0)</f>
        <v>35004</v>
      </c>
      <c r="C364" s="9">
        <f>IFERROR(__xludf.DUMMYFUNCTION("""COMPUTED_VALUE"""),75.5996)</f>
        <v>75.5996</v>
      </c>
      <c r="E364" s="11"/>
      <c r="H364" s="17"/>
    </row>
    <row r="365">
      <c r="B365" s="11">
        <f>IFERROR(__xludf.DUMMYFUNCTION("""COMPUTED_VALUE"""),34973.0)</f>
        <v>34973</v>
      </c>
      <c r="C365" s="9">
        <f>IFERROR(__xludf.DUMMYFUNCTION("""COMPUTED_VALUE"""),77.0216)</f>
        <v>77.0216</v>
      </c>
      <c r="E365" s="11"/>
      <c r="H365" s="17"/>
    </row>
    <row r="366">
      <c r="B366" s="11">
        <f>IFERROR(__xludf.DUMMYFUNCTION("""COMPUTED_VALUE"""),34943.0)</f>
        <v>34943</v>
      </c>
      <c r="C366" s="9">
        <f>IFERROR(__xludf.DUMMYFUNCTION("""COMPUTED_VALUE"""),78.3682)</f>
        <v>78.3682</v>
      </c>
      <c r="E366" s="11"/>
      <c r="H366" s="17"/>
    </row>
    <row r="367">
      <c r="B367" s="11">
        <f>IFERROR(__xludf.DUMMYFUNCTION("""COMPUTED_VALUE"""),34912.0)</f>
        <v>34912</v>
      </c>
      <c r="C367" s="9">
        <f>IFERROR(__xludf.DUMMYFUNCTION("""COMPUTED_VALUE"""),78.6504)</f>
        <v>78.6504</v>
      </c>
      <c r="E367" s="11"/>
      <c r="H367" s="17"/>
    </row>
    <row r="368">
      <c r="B368" s="11">
        <f>IFERROR(__xludf.DUMMYFUNCTION("""COMPUTED_VALUE"""),34881.0)</f>
        <v>34881</v>
      </c>
      <c r="C368" s="9">
        <f>IFERROR(__xludf.DUMMYFUNCTION("""COMPUTED_VALUE"""),78.7693)</f>
        <v>78.7693</v>
      </c>
      <c r="E368" s="11"/>
      <c r="H368" s="17"/>
    </row>
    <row r="369">
      <c r="B369" s="11">
        <f>IFERROR(__xludf.DUMMYFUNCTION("""COMPUTED_VALUE"""),34851.0)</f>
        <v>34851</v>
      </c>
      <c r="C369" s="9">
        <f>IFERROR(__xludf.DUMMYFUNCTION("""COMPUTED_VALUE"""),79.5193)</f>
        <v>79.5193</v>
      </c>
      <c r="E369" s="11"/>
      <c r="H369" s="17"/>
    </row>
    <row r="370">
      <c r="B370" s="11">
        <f>IFERROR(__xludf.DUMMYFUNCTION("""COMPUTED_VALUE"""),34820.0)</f>
        <v>34820</v>
      </c>
      <c r="C370" s="9">
        <f>IFERROR(__xludf.DUMMYFUNCTION("""COMPUTED_VALUE"""),79.1877)</f>
        <v>79.1877</v>
      </c>
      <c r="E370" s="11"/>
      <c r="H370" s="17"/>
    </row>
    <row r="371">
      <c r="B371" s="11">
        <f>IFERROR(__xludf.DUMMYFUNCTION("""COMPUTED_VALUE"""),34790.0)</f>
        <v>34790</v>
      </c>
      <c r="C371" s="9">
        <f>IFERROR(__xludf.DUMMYFUNCTION("""COMPUTED_VALUE"""),79.0087)</f>
        <v>79.0087</v>
      </c>
      <c r="E371" s="11"/>
      <c r="H371" s="17"/>
    </row>
    <row r="372">
      <c r="B372" s="11">
        <f>IFERROR(__xludf.DUMMYFUNCTION("""COMPUTED_VALUE"""),34759.0)</f>
        <v>34759</v>
      </c>
      <c r="C372" s="9">
        <f>IFERROR(__xludf.DUMMYFUNCTION("""COMPUTED_VALUE"""),79.6355)</f>
        <v>79.6355</v>
      </c>
      <c r="E372" s="11"/>
      <c r="H372" s="17"/>
    </row>
    <row r="373">
      <c r="B373" s="11">
        <f>IFERROR(__xludf.DUMMYFUNCTION("""COMPUTED_VALUE"""),34731.0)</f>
        <v>34731</v>
      </c>
      <c r="C373" s="9">
        <f>IFERROR(__xludf.DUMMYFUNCTION("""COMPUTED_VALUE"""),79.5204)</f>
        <v>79.5204</v>
      </c>
      <c r="E373" s="11"/>
      <c r="H373" s="17"/>
    </row>
    <row r="374">
      <c r="B374" s="11">
        <f>IFERROR(__xludf.DUMMYFUNCTION("""COMPUTED_VALUE"""),34700.0)</f>
        <v>34700</v>
      </c>
      <c r="C374" s="9">
        <f>IFERROR(__xludf.DUMMYFUNCTION("""COMPUTED_VALUE"""),80.8398)</f>
        <v>80.8398</v>
      </c>
      <c r="E374" s="11"/>
      <c r="H374" s="17"/>
    </row>
    <row r="375">
      <c r="B375" s="11">
        <f>IFERROR(__xludf.DUMMYFUNCTION("""COMPUTED_VALUE"""),34669.0)</f>
        <v>34669</v>
      </c>
      <c r="C375" s="9">
        <f>IFERROR(__xludf.DUMMYFUNCTION("""COMPUTED_VALUE"""),80.9833)</f>
        <v>80.9833</v>
      </c>
      <c r="E375" s="11"/>
      <c r="H375" s="17"/>
    </row>
    <row r="376">
      <c r="B376" s="11">
        <f>IFERROR(__xludf.DUMMYFUNCTION("""COMPUTED_VALUE"""),34639.0)</f>
        <v>34639</v>
      </c>
      <c r="C376" s="9">
        <f>IFERROR(__xludf.DUMMYFUNCTION("""COMPUTED_VALUE"""),80.807)</f>
        <v>80.807</v>
      </c>
      <c r="E376" s="11"/>
      <c r="H376" s="17"/>
    </row>
    <row r="377">
      <c r="B377" s="11">
        <f>IFERROR(__xludf.DUMMYFUNCTION("""COMPUTED_VALUE"""),34608.0)</f>
        <v>34608</v>
      </c>
      <c r="C377" s="9">
        <f>IFERROR(__xludf.DUMMYFUNCTION("""COMPUTED_VALUE"""),79.7873)</f>
        <v>79.7873</v>
      </c>
      <c r="E377" s="11"/>
      <c r="H377" s="17"/>
    </row>
    <row r="378">
      <c r="B378" s="11">
        <f>IFERROR(__xludf.DUMMYFUNCTION("""COMPUTED_VALUE"""),34578.0)</f>
        <v>34578</v>
      </c>
      <c r="C378" s="9">
        <f>IFERROR(__xludf.DUMMYFUNCTION("""COMPUTED_VALUE"""),80.206)</f>
        <v>80.206</v>
      </c>
      <c r="E378" s="11"/>
      <c r="H378" s="17"/>
    </row>
    <row r="379">
      <c r="B379" s="11">
        <f>IFERROR(__xludf.DUMMYFUNCTION("""COMPUTED_VALUE"""),34547.0)</f>
        <v>34547</v>
      </c>
      <c r="C379" s="9">
        <f>IFERROR(__xludf.DUMMYFUNCTION("""COMPUTED_VALUE"""),79.2987)</f>
        <v>79.2987</v>
      </c>
      <c r="E379" s="11"/>
      <c r="H379" s="17"/>
    </row>
    <row r="380">
      <c r="B380" s="11">
        <f>IFERROR(__xludf.DUMMYFUNCTION("""COMPUTED_VALUE"""),34516.0)</f>
        <v>34516</v>
      </c>
      <c r="C380" s="9">
        <f>IFERROR(__xludf.DUMMYFUNCTION("""COMPUTED_VALUE"""),80.372)</f>
        <v>80.372</v>
      </c>
      <c r="E380" s="11"/>
      <c r="H380" s="17"/>
    </row>
    <row r="381">
      <c r="B381" s="11">
        <f>IFERROR(__xludf.DUMMYFUNCTION("""COMPUTED_VALUE"""),34486.0)</f>
        <v>34486</v>
      </c>
      <c r="C381" s="9">
        <f>IFERROR(__xludf.DUMMYFUNCTION("""COMPUTED_VALUE"""),80.8935)</f>
        <v>80.8935</v>
      </c>
      <c r="E381" s="11"/>
      <c r="H381" s="17"/>
    </row>
    <row r="382">
      <c r="B382" s="11">
        <f>IFERROR(__xludf.DUMMYFUNCTION("""COMPUTED_VALUE"""),34455.0)</f>
        <v>34455</v>
      </c>
      <c r="C382" s="9">
        <f>IFERROR(__xludf.DUMMYFUNCTION("""COMPUTED_VALUE"""),81.8038)</f>
        <v>81.8038</v>
      </c>
      <c r="E382" s="11"/>
      <c r="H382" s="17"/>
    </row>
    <row r="383">
      <c r="B383" s="11">
        <f>IFERROR(__xludf.DUMMYFUNCTION("""COMPUTED_VALUE"""),34425.0)</f>
        <v>34425</v>
      </c>
      <c r="C383" s="9">
        <f>IFERROR(__xludf.DUMMYFUNCTION("""COMPUTED_VALUE"""),83.1317)</f>
        <v>83.1317</v>
      </c>
      <c r="E383" s="11"/>
      <c r="H383" s="17"/>
    </row>
    <row r="384">
      <c r="B384" s="11">
        <f>IFERROR(__xludf.DUMMYFUNCTION("""COMPUTED_VALUE"""),34394.0)</f>
        <v>34394</v>
      </c>
      <c r="C384" s="9">
        <f>IFERROR(__xludf.DUMMYFUNCTION("""COMPUTED_VALUE"""),82.956)</f>
        <v>82.956</v>
      </c>
      <c r="E384" s="11"/>
      <c r="H384" s="17"/>
    </row>
    <row r="385">
      <c r="B385" s="11">
        <f>IFERROR(__xludf.DUMMYFUNCTION("""COMPUTED_VALUE"""),34366.0)</f>
        <v>34366</v>
      </c>
      <c r="C385" s="9">
        <f>IFERROR(__xludf.DUMMYFUNCTION("""COMPUTED_VALUE"""),81.847)</f>
        <v>81.847</v>
      </c>
      <c r="E385" s="11"/>
      <c r="H385" s="17"/>
    </row>
    <row r="386">
      <c r="B386" s="11">
        <f>IFERROR(__xludf.DUMMYFUNCTION("""COMPUTED_VALUE"""),34335.0)</f>
        <v>34335</v>
      </c>
      <c r="C386" s="9">
        <f>IFERROR(__xludf.DUMMYFUNCTION("""COMPUTED_VALUE"""),83.352)</f>
        <v>83.352</v>
      </c>
      <c r="E386" s="11"/>
      <c r="H386" s="17"/>
    </row>
    <row r="387">
      <c r="B387" s="11">
        <f>IFERROR(__xludf.DUMMYFUNCTION("""COMPUTED_VALUE"""),34304.0)</f>
        <v>34304</v>
      </c>
      <c r="C387" s="9">
        <f>IFERROR(__xludf.DUMMYFUNCTION("""COMPUTED_VALUE"""),84.1562)</f>
        <v>84.1562</v>
      </c>
      <c r="E387" s="11"/>
      <c r="H387" s="17"/>
    </row>
    <row r="388">
      <c r="B388" s="11">
        <f>IFERROR(__xludf.DUMMYFUNCTION("""COMPUTED_VALUE"""),34274.0)</f>
        <v>34274</v>
      </c>
      <c r="C388" s="9">
        <f>IFERROR(__xludf.DUMMYFUNCTION("""COMPUTED_VALUE"""),84.8492)</f>
        <v>84.8492</v>
      </c>
      <c r="E388" s="11"/>
      <c r="H388" s="17"/>
    </row>
    <row r="389">
      <c r="B389" s="11">
        <f>IFERROR(__xludf.DUMMYFUNCTION("""COMPUTED_VALUE"""),34243.0)</f>
        <v>34243</v>
      </c>
      <c r="C389" s="9">
        <f>IFERROR(__xludf.DUMMYFUNCTION("""COMPUTED_VALUE"""),85.0299)</f>
        <v>85.0299</v>
      </c>
      <c r="E389" s="11"/>
      <c r="H389" s="17"/>
    </row>
    <row r="390">
      <c r="B390" s="11">
        <f>IFERROR(__xludf.DUMMYFUNCTION("""COMPUTED_VALUE"""),34213.0)</f>
        <v>34213</v>
      </c>
      <c r="C390" s="9">
        <f>IFERROR(__xludf.DUMMYFUNCTION("""COMPUTED_VALUE"""),86.0565)</f>
        <v>86.0565</v>
      </c>
      <c r="E390" s="11"/>
      <c r="H390" s="17"/>
    </row>
    <row r="391">
      <c r="B391" s="11">
        <f>IFERROR(__xludf.DUMMYFUNCTION("""COMPUTED_VALUE"""),34182.0)</f>
        <v>34182</v>
      </c>
      <c r="C391" s="9">
        <f>IFERROR(__xludf.DUMMYFUNCTION("""COMPUTED_VALUE"""),85.2778)</f>
        <v>85.2778</v>
      </c>
      <c r="E391" s="11"/>
      <c r="H391" s="17"/>
    </row>
    <row r="392">
      <c r="B392" s="11">
        <f>IFERROR(__xludf.DUMMYFUNCTION("""COMPUTED_VALUE"""),34151.0)</f>
        <v>34151</v>
      </c>
      <c r="C392" s="9">
        <f>IFERROR(__xludf.DUMMYFUNCTION("""COMPUTED_VALUE"""),86.964)</f>
        <v>86.964</v>
      </c>
      <c r="E392" s="11"/>
      <c r="H392" s="17"/>
    </row>
    <row r="393">
      <c r="B393" s="11">
        <f>IFERROR(__xludf.DUMMYFUNCTION("""COMPUTED_VALUE"""),34121.0)</f>
        <v>34121</v>
      </c>
      <c r="C393" s="9">
        <f>IFERROR(__xludf.DUMMYFUNCTION("""COMPUTED_VALUE"""),85.9897)</f>
        <v>85.9897</v>
      </c>
      <c r="E393" s="11"/>
      <c r="H393" s="17"/>
    </row>
    <row r="394">
      <c r="B394" s="11">
        <f>IFERROR(__xludf.DUMMYFUNCTION("""COMPUTED_VALUE"""),34090.0)</f>
        <v>34090</v>
      </c>
      <c r="C394" s="9">
        <f>IFERROR(__xludf.DUMMYFUNCTION("""COMPUTED_VALUE"""),86.562)</f>
        <v>86.562</v>
      </c>
      <c r="E394" s="11"/>
      <c r="H394" s="17"/>
    </row>
    <row r="395">
      <c r="B395" s="11">
        <f>IFERROR(__xludf.DUMMYFUNCTION("""COMPUTED_VALUE"""),34060.0)</f>
        <v>34060</v>
      </c>
      <c r="C395" s="9">
        <f>IFERROR(__xludf.DUMMYFUNCTION("""COMPUTED_VALUE"""),87.5151)</f>
        <v>87.5151</v>
      </c>
      <c r="E395" s="11"/>
      <c r="H395" s="17"/>
    </row>
    <row r="396">
      <c r="B396" s="11">
        <f>IFERROR(__xludf.DUMMYFUNCTION("""COMPUTED_VALUE"""),34029.0)</f>
        <v>34029</v>
      </c>
      <c r="C396" s="9">
        <f>IFERROR(__xludf.DUMMYFUNCTION("""COMPUTED_VALUE"""),87.5541)</f>
        <v>87.5541</v>
      </c>
      <c r="E396" s="11"/>
      <c r="H396" s="17"/>
    </row>
    <row r="397">
      <c r="B397" s="11">
        <f>IFERROR(__xludf.DUMMYFUNCTION("""COMPUTED_VALUE"""),34001.0)</f>
        <v>34001</v>
      </c>
      <c r="C397" s="9">
        <f>IFERROR(__xludf.DUMMYFUNCTION("""COMPUTED_VALUE"""),88.3962)</f>
        <v>88.3962</v>
      </c>
      <c r="E397" s="11"/>
      <c r="H397" s="17"/>
    </row>
    <row r="398">
      <c r="B398" s="11">
        <f>IFERROR(__xludf.DUMMYFUNCTION("""COMPUTED_VALUE"""),33970.0)</f>
        <v>33970</v>
      </c>
      <c r="C398" s="9">
        <f>IFERROR(__xludf.DUMMYFUNCTION("""COMPUTED_VALUE"""),89.0452)</f>
        <v>89.0452</v>
      </c>
      <c r="E398" s="11"/>
      <c r="H398" s="17"/>
    </row>
    <row r="399">
      <c r="B399" s="11">
        <f>IFERROR(__xludf.DUMMYFUNCTION("""COMPUTED_VALUE"""),33939.0)</f>
        <v>33939</v>
      </c>
      <c r="C399" s="9">
        <f>IFERROR(__xludf.DUMMYFUNCTION("""COMPUTED_VALUE"""),89.7759)</f>
        <v>89.7759</v>
      </c>
      <c r="E399" s="11"/>
      <c r="H399" s="17"/>
    </row>
    <row r="400">
      <c r="B400" s="11">
        <f>IFERROR(__xludf.DUMMYFUNCTION("""COMPUTED_VALUE"""),33909.0)</f>
        <v>33909</v>
      </c>
      <c r="C400" s="9">
        <f>IFERROR(__xludf.DUMMYFUNCTION("""COMPUTED_VALUE"""),89.6034)</f>
        <v>89.6034</v>
      </c>
      <c r="E400" s="11"/>
      <c r="H400" s="17"/>
    </row>
    <row r="401">
      <c r="B401" s="11">
        <f>IFERROR(__xludf.DUMMYFUNCTION("""COMPUTED_VALUE"""),33878.0)</f>
        <v>33878</v>
      </c>
      <c r="C401" s="9">
        <f>IFERROR(__xludf.DUMMYFUNCTION("""COMPUTED_VALUE"""),89.9076)</f>
        <v>89.9076</v>
      </c>
      <c r="E401" s="11"/>
      <c r="H401" s="17"/>
    </row>
    <row r="402">
      <c r="B402" s="11">
        <f>IFERROR(__xludf.DUMMYFUNCTION("""COMPUTED_VALUE"""),33848.0)</f>
        <v>33848</v>
      </c>
      <c r="C402" s="9">
        <f>IFERROR(__xludf.DUMMYFUNCTION("""COMPUTED_VALUE"""),90.2663)</f>
        <v>90.2663</v>
      </c>
      <c r="E402" s="11"/>
      <c r="H402" s="17"/>
    </row>
    <row r="403">
      <c r="B403" s="11">
        <f>IFERROR(__xludf.DUMMYFUNCTION("""COMPUTED_VALUE"""),33817.0)</f>
        <v>33817</v>
      </c>
      <c r="C403" s="9">
        <f>IFERROR(__xludf.DUMMYFUNCTION("""COMPUTED_VALUE"""),90.2327)</f>
        <v>90.2327</v>
      </c>
      <c r="E403" s="11"/>
      <c r="H403" s="17"/>
    </row>
    <row r="404">
      <c r="B404" s="11">
        <f>IFERROR(__xludf.DUMMYFUNCTION("""COMPUTED_VALUE"""),33786.0)</f>
        <v>33786</v>
      </c>
      <c r="C404" s="9">
        <f>IFERROR(__xludf.DUMMYFUNCTION("""COMPUTED_VALUE"""),90.4598)</f>
        <v>90.4598</v>
      </c>
      <c r="E404" s="11"/>
      <c r="H404" s="17"/>
    </row>
    <row r="405">
      <c r="B405" s="11">
        <f>IFERROR(__xludf.DUMMYFUNCTION("""COMPUTED_VALUE"""),33756.0)</f>
        <v>33756</v>
      </c>
      <c r="C405" s="9">
        <f>IFERROR(__xludf.DUMMYFUNCTION("""COMPUTED_VALUE"""),91.3069)</f>
        <v>91.3069</v>
      </c>
      <c r="E405" s="11"/>
      <c r="H405" s="17"/>
    </row>
    <row r="406">
      <c r="B406" s="11">
        <f>IFERROR(__xludf.DUMMYFUNCTION("""COMPUTED_VALUE"""),33725.0)</f>
        <v>33725</v>
      </c>
      <c r="C406" s="9">
        <f>IFERROR(__xludf.DUMMYFUNCTION("""COMPUTED_VALUE"""),91.5607)</f>
        <v>91.5607</v>
      </c>
      <c r="E406" s="11"/>
      <c r="H406" s="17"/>
    </row>
    <row r="407">
      <c r="B407" s="11">
        <f>IFERROR(__xludf.DUMMYFUNCTION("""COMPUTED_VALUE"""),33695.0)</f>
        <v>33695</v>
      </c>
      <c r="C407" s="9">
        <f>IFERROR(__xludf.DUMMYFUNCTION("""COMPUTED_VALUE"""),91.9812)</f>
        <v>91.9812</v>
      </c>
      <c r="E407" s="11"/>
      <c r="H407" s="17"/>
    </row>
    <row r="408">
      <c r="B408" s="11">
        <f>IFERROR(__xludf.DUMMYFUNCTION("""COMPUTED_VALUE"""),33664.0)</f>
        <v>33664</v>
      </c>
      <c r="C408" s="9">
        <f>IFERROR(__xludf.DUMMYFUNCTION("""COMPUTED_VALUE"""),93.5456)</f>
        <v>93.5456</v>
      </c>
      <c r="E408" s="11"/>
      <c r="H408" s="17"/>
    </row>
    <row r="409">
      <c r="B409" s="11">
        <f>IFERROR(__xludf.DUMMYFUNCTION("""COMPUTED_VALUE"""),33635.0)</f>
        <v>33635</v>
      </c>
      <c r="C409" s="9">
        <f>IFERROR(__xludf.DUMMYFUNCTION("""COMPUTED_VALUE"""),94.1836)</f>
        <v>94.1836</v>
      </c>
      <c r="E409" s="11"/>
      <c r="H409" s="17"/>
    </row>
    <row r="410">
      <c r="B410" s="11">
        <f>IFERROR(__xludf.DUMMYFUNCTION("""COMPUTED_VALUE"""),33604.0)</f>
        <v>33604</v>
      </c>
      <c r="C410" s="9">
        <f>IFERROR(__xludf.DUMMYFUNCTION("""COMPUTED_VALUE"""),94.6776)</f>
        <v>94.6776</v>
      </c>
      <c r="E410" s="11"/>
      <c r="H410" s="17"/>
    </row>
    <row r="411">
      <c r="B411" s="11">
        <f>IFERROR(__xludf.DUMMYFUNCTION("""COMPUTED_VALUE"""),33573.0)</f>
        <v>33573</v>
      </c>
      <c r="C411" s="9">
        <f>IFERROR(__xludf.DUMMYFUNCTION("""COMPUTED_VALUE"""),95.7795)</f>
        <v>95.7795</v>
      </c>
      <c r="E411" s="11"/>
      <c r="H411" s="17"/>
    </row>
    <row r="412">
      <c r="B412" s="11">
        <f>IFERROR(__xludf.DUMMYFUNCTION("""COMPUTED_VALUE"""),33543.0)</f>
        <v>33543</v>
      </c>
      <c r="C412" s="9">
        <f>IFERROR(__xludf.DUMMYFUNCTION("""COMPUTED_VALUE"""),96.9031)</f>
        <v>96.9031</v>
      </c>
      <c r="E412" s="11"/>
      <c r="H412" s="17"/>
    </row>
    <row r="413">
      <c r="B413" s="11">
        <f>IFERROR(__xludf.DUMMYFUNCTION("""COMPUTED_VALUE"""),33512.0)</f>
        <v>33512</v>
      </c>
      <c r="C413" s="9">
        <f>IFERROR(__xludf.DUMMYFUNCTION("""COMPUTED_VALUE"""),97.5595)</f>
        <v>97.5595</v>
      </c>
      <c r="E413" s="11"/>
      <c r="H413" s="17"/>
    </row>
    <row r="414">
      <c r="B414" s="11">
        <f>IFERROR(__xludf.DUMMYFUNCTION("""COMPUTED_VALUE"""),33482.0)</f>
        <v>33482</v>
      </c>
      <c r="C414" s="9">
        <f>IFERROR(__xludf.DUMMYFUNCTION("""COMPUTED_VALUE"""),96.7877)</f>
        <v>96.7877</v>
      </c>
      <c r="E414" s="11"/>
      <c r="H414" s="17"/>
    </row>
    <row r="415">
      <c r="B415" s="11">
        <f>IFERROR(__xludf.DUMMYFUNCTION("""COMPUTED_VALUE"""),33451.0)</f>
        <v>33451</v>
      </c>
      <c r="C415" s="9">
        <f>IFERROR(__xludf.DUMMYFUNCTION("""COMPUTED_VALUE"""),97.4633)</f>
        <v>97.4633</v>
      </c>
      <c r="E415" s="11"/>
      <c r="H415" s="17"/>
    </row>
    <row r="416">
      <c r="B416" s="11">
        <f>IFERROR(__xludf.DUMMYFUNCTION("""COMPUTED_VALUE"""),33420.0)</f>
        <v>33420</v>
      </c>
      <c r="C416" s="9">
        <f>IFERROR(__xludf.DUMMYFUNCTION("""COMPUTED_VALUE"""),96.9667)</f>
        <v>96.9667</v>
      </c>
      <c r="E416" s="11"/>
      <c r="H416" s="17"/>
    </row>
    <row r="417">
      <c r="B417" s="11">
        <f>IFERROR(__xludf.DUMMYFUNCTION("""COMPUTED_VALUE"""),33390.0)</f>
        <v>33390</v>
      </c>
      <c r="C417" s="9">
        <f>IFERROR(__xludf.DUMMYFUNCTION("""COMPUTED_VALUE"""),97.5393)</f>
        <v>97.5393</v>
      </c>
      <c r="E417" s="11"/>
      <c r="H417" s="17"/>
    </row>
    <row r="418">
      <c r="B418" s="11">
        <f>IFERROR(__xludf.DUMMYFUNCTION("""COMPUTED_VALUE"""),33359.0)</f>
        <v>33359</v>
      </c>
      <c r="C418" s="9">
        <f>IFERROR(__xludf.DUMMYFUNCTION("""COMPUTED_VALUE"""),97.101)</f>
        <v>97.101</v>
      </c>
      <c r="E418" s="11"/>
      <c r="H418" s="17"/>
    </row>
    <row r="419">
      <c r="B419" s="11">
        <f>IFERROR(__xludf.DUMMYFUNCTION("""COMPUTED_VALUE"""),33329.0)</f>
        <v>33329</v>
      </c>
      <c r="C419" s="9">
        <f>IFERROR(__xludf.DUMMYFUNCTION("""COMPUTED_VALUE"""),99.073)</f>
        <v>99.073</v>
      </c>
      <c r="E419" s="11"/>
      <c r="H419" s="17"/>
    </row>
    <row r="420">
      <c r="B420" s="11">
        <f>IFERROR(__xludf.DUMMYFUNCTION("""COMPUTED_VALUE"""),33298.0)</f>
        <v>33298</v>
      </c>
      <c r="C420" s="9">
        <f>IFERROR(__xludf.DUMMYFUNCTION("""COMPUTED_VALUE"""),101.7777)</f>
        <v>101.7777</v>
      </c>
      <c r="E420" s="11"/>
      <c r="H420" s="17"/>
    </row>
    <row r="421">
      <c r="B421" s="11">
        <f>IFERROR(__xludf.DUMMYFUNCTION("""COMPUTED_VALUE"""),33270.0)</f>
        <v>33270</v>
      </c>
      <c r="C421" s="9">
        <f>IFERROR(__xludf.DUMMYFUNCTION("""COMPUTED_VALUE"""),102.3363)</f>
        <v>102.3363</v>
      </c>
      <c r="E421" s="11"/>
      <c r="H421" s="17"/>
    </row>
    <row r="422">
      <c r="B422" s="11">
        <f>IFERROR(__xludf.DUMMYFUNCTION("""COMPUTED_VALUE"""),33239.0)</f>
        <v>33239</v>
      </c>
      <c r="C422" s="9">
        <f>IFERROR(__xludf.DUMMYFUNCTION("""COMPUTED_VALUE"""),103.5446)</f>
        <v>103.5446</v>
      </c>
      <c r="E422" s="11"/>
      <c r="H422" s="17"/>
    </row>
    <row r="423">
      <c r="B423" s="11">
        <f>IFERROR(__xludf.DUMMYFUNCTION("""COMPUTED_VALUE"""),33208.0)</f>
        <v>33208</v>
      </c>
      <c r="C423" s="9">
        <f>IFERROR(__xludf.DUMMYFUNCTION("""COMPUTED_VALUE"""),104.4975)</f>
        <v>104.4975</v>
      </c>
      <c r="E423" s="11"/>
      <c r="H423" s="17"/>
    </row>
    <row r="424">
      <c r="B424" s="11">
        <f>IFERROR(__xludf.DUMMYFUNCTION("""COMPUTED_VALUE"""),33178.0)</f>
        <v>33178</v>
      </c>
      <c r="C424" s="9">
        <f>IFERROR(__xludf.DUMMYFUNCTION("""COMPUTED_VALUE"""),103.3201)</f>
        <v>103.3201</v>
      </c>
      <c r="E424" s="11"/>
      <c r="H424" s="17"/>
    </row>
    <row r="425">
      <c r="B425" s="11">
        <f>IFERROR(__xludf.DUMMYFUNCTION("""COMPUTED_VALUE"""),33147.0)</f>
        <v>33147</v>
      </c>
      <c r="C425" s="9">
        <f>IFERROR(__xludf.DUMMYFUNCTION("""COMPUTED_VALUE"""),105.2917)</f>
        <v>105.2917</v>
      </c>
      <c r="E425" s="11"/>
      <c r="H425" s="17"/>
    </row>
    <row r="426">
      <c r="B426" s="11">
        <f>IFERROR(__xludf.DUMMYFUNCTION("""COMPUTED_VALUE"""),33117.0)</f>
        <v>33117</v>
      </c>
      <c r="C426" s="9">
        <f>IFERROR(__xludf.DUMMYFUNCTION("""COMPUTED_VALUE"""),104.6883)</f>
        <v>104.6883</v>
      </c>
      <c r="E426" s="11"/>
      <c r="H426" s="17"/>
    </row>
    <row r="427">
      <c r="B427" s="11">
        <f>IFERROR(__xludf.DUMMYFUNCTION("""COMPUTED_VALUE"""),33086.0)</f>
        <v>33086</v>
      </c>
      <c r="C427" s="9">
        <f>IFERROR(__xludf.DUMMYFUNCTION("""COMPUTED_VALUE"""),105.0849)</f>
        <v>105.0849</v>
      </c>
      <c r="E427" s="11"/>
      <c r="H427" s="17"/>
    </row>
    <row r="428">
      <c r="B428" s="11">
        <f>IFERROR(__xludf.DUMMYFUNCTION("""COMPUTED_VALUE"""),33055.0)</f>
        <v>33055</v>
      </c>
      <c r="C428" s="9">
        <f>IFERROR(__xludf.DUMMYFUNCTION("""COMPUTED_VALUE"""),106.6598)</f>
        <v>106.6598</v>
      </c>
      <c r="E428" s="11"/>
      <c r="H428" s="17"/>
    </row>
    <row r="429">
      <c r="B429" s="11">
        <f>IFERROR(__xludf.DUMMYFUNCTION("""COMPUTED_VALUE"""),33025.0)</f>
        <v>33025</v>
      </c>
      <c r="C429" s="9">
        <f>IFERROR(__xludf.DUMMYFUNCTION("""COMPUTED_VALUE"""),106.2709)</f>
        <v>106.2709</v>
      </c>
      <c r="E429" s="11"/>
      <c r="H429" s="17"/>
    </row>
    <row r="430">
      <c r="B430" s="11">
        <f>IFERROR(__xludf.DUMMYFUNCTION("""COMPUTED_VALUE"""),32994.0)</f>
        <v>32994</v>
      </c>
      <c r="C430" s="9">
        <f>IFERROR(__xludf.DUMMYFUNCTION("""COMPUTED_VALUE"""),106.5734)</f>
        <v>106.5734</v>
      </c>
      <c r="E430" s="11"/>
      <c r="H430" s="17"/>
    </row>
    <row r="431">
      <c r="B431" s="11">
        <f>IFERROR(__xludf.DUMMYFUNCTION("""COMPUTED_VALUE"""),32964.0)</f>
        <v>32964</v>
      </c>
      <c r="C431" s="9">
        <f>IFERROR(__xludf.DUMMYFUNCTION("""COMPUTED_VALUE"""),107.0512)</f>
        <v>107.0512</v>
      </c>
      <c r="E431" s="11"/>
      <c r="H431" s="17"/>
    </row>
    <row r="432">
      <c r="B432" s="11">
        <f>IFERROR(__xludf.DUMMYFUNCTION("""COMPUTED_VALUE"""),32933.0)</f>
        <v>32933</v>
      </c>
      <c r="C432" s="9">
        <f>IFERROR(__xludf.DUMMYFUNCTION("""COMPUTED_VALUE"""),108.3154)</f>
        <v>108.3154</v>
      </c>
      <c r="E432" s="11"/>
      <c r="H432" s="17"/>
    </row>
    <row r="433">
      <c r="B433" s="11">
        <f>IFERROR(__xludf.DUMMYFUNCTION("""COMPUTED_VALUE"""),32905.0)</f>
        <v>32905</v>
      </c>
      <c r="C433" s="9">
        <f>IFERROR(__xludf.DUMMYFUNCTION("""COMPUTED_VALUE"""),108.7567)</f>
        <v>108.7567</v>
      </c>
      <c r="E433" s="11"/>
      <c r="H433" s="17"/>
    </row>
    <row r="434">
      <c r="B434" s="11">
        <f>IFERROR(__xludf.DUMMYFUNCTION("""COMPUTED_VALUE"""),32874.0)</f>
        <v>32874</v>
      </c>
      <c r="C434" s="9">
        <f>IFERROR(__xludf.DUMMYFUNCTION("""COMPUTED_VALUE"""),109.1711)</f>
        <v>109.1711</v>
      </c>
      <c r="E434" s="11"/>
      <c r="H434" s="17"/>
    </row>
    <row r="435">
      <c r="B435" s="11">
        <f>IFERROR(__xludf.DUMMYFUNCTION("""COMPUTED_VALUE"""),32843.0)</f>
        <v>32843</v>
      </c>
      <c r="C435" s="9">
        <f>IFERROR(__xludf.DUMMYFUNCTION("""COMPUTED_VALUE"""),108.4284)</f>
        <v>108.4284</v>
      </c>
      <c r="E435" s="11"/>
      <c r="H435" s="17"/>
    </row>
    <row r="436">
      <c r="B436" s="11">
        <f>IFERROR(__xludf.DUMMYFUNCTION("""COMPUTED_VALUE"""),32813.0)</f>
        <v>32813</v>
      </c>
      <c r="C436" s="9">
        <f>IFERROR(__xludf.DUMMYFUNCTION("""COMPUTED_VALUE"""),106.2574)</f>
        <v>106.2574</v>
      </c>
      <c r="E436" s="11"/>
      <c r="H436" s="17"/>
    </row>
    <row r="437">
      <c r="B437" s="11">
        <f>IFERROR(__xludf.DUMMYFUNCTION("""COMPUTED_VALUE"""),32782.0)</f>
        <v>32782</v>
      </c>
      <c r="C437" s="9">
        <f>IFERROR(__xludf.DUMMYFUNCTION("""COMPUTED_VALUE"""),107.5632)</f>
        <v>107.5632</v>
      </c>
      <c r="E437" s="11"/>
      <c r="H437" s="17"/>
    </row>
    <row r="438">
      <c r="B438" s="11">
        <f>IFERROR(__xludf.DUMMYFUNCTION("""COMPUTED_VALUE"""),32752.0)</f>
        <v>32752</v>
      </c>
      <c r="C438" s="9">
        <f>IFERROR(__xludf.DUMMYFUNCTION("""COMPUTED_VALUE"""),112.0761)</f>
        <v>112.0761</v>
      </c>
      <c r="E438" s="11"/>
      <c r="H438" s="17"/>
    </row>
    <row r="439">
      <c r="B439" s="11">
        <f>IFERROR(__xludf.DUMMYFUNCTION("""COMPUTED_VALUE"""),32721.0)</f>
        <v>32721</v>
      </c>
      <c r="C439" s="9">
        <f>IFERROR(__xludf.DUMMYFUNCTION("""COMPUTED_VALUE"""),112.5628)</f>
        <v>112.5628</v>
      </c>
      <c r="E439" s="11"/>
      <c r="H439" s="17"/>
    </row>
    <row r="440">
      <c r="B440" s="11">
        <f>IFERROR(__xludf.DUMMYFUNCTION("""COMPUTED_VALUE"""),32690.0)</f>
        <v>32690</v>
      </c>
      <c r="C440" s="9">
        <f>IFERROR(__xludf.DUMMYFUNCTION("""COMPUTED_VALUE"""),111.9581)</f>
        <v>111.9581</v>
      </c>
      <c r="E440" s="11"/>
      <c r="H440" s="17"/>
    </row>
    <row r="441">
      <c r="B441" s="11">
        <f>IFERROR(__xludf.DUMMYFUNCTION("""COMPUTED_VALUE"""),32660.0)</f>
        <v>32660</v>
      </c>
      <c r="C441" s="9">
        <f>IFERROR(__xludf.DUMMYFUNCTION("""COMPUTED_VALUE"""),111.3322)</f>
        <v>111.3322</v>
      </c>
      <c r="E441" s="11"/>
      <c r="H441" s="17"/>
    </row>
    <row r="442">
      <c r="B442" s="11">
        <f>IFERROR(__xludf.DUMMYFUNCTION("""COMPUTED_VALUE"""),32629.0)</f>
        <v>32629</v>
      </c>
      <c r="C442" s="9">
        <f>IFERROR(__xludf.DUMMYFUNCTION("""COMPUTED_VALUE"""),111.6544)</f>
        <v>111.6544</v>
      </c>
      <c r="E442" s="11"/>
      <c r="H442" s="17"/>
    </row>
    <row r="443">
      <c r="B443" s="11">
        <f>IFERROR(__xludf.DUMMYFUNCTION("""COMPUTED_VALUE"""),32599.0)</f>
        <v>32599</v>
      </c>
      <c r="C443" s="9">
        <f>IFERROR(__xludf.DUMMYFUNCTION("""COMPUTED_VALUE"""),111.2001)</f>
        <v>111.2001</v>
      </c>
      <c r="E443" s="11"/>
      <c r="H443" s="17"/>
    </row>
    <row r="444">
      <c r="B444" s="11">
        <f>IFERROR(__xludf.DUMMYFUNCTION("""COMPUTED_VALUE"""),32568.0)</f>
        <v>32568</v>
      </c>
      <c r="C444" s="9">
        <f>IFERROR(__xludf.DUMMYFUNCTION("""COMPUTED_VALUE"""),109.539)</f>
        <v>109.539</v>
      </c>
      <c r="E444" s="11"/>
      <c r="H444" s="17"/>
    </row>
    <row r="445">
      <c r="B445" s="11">
        <f>IFERROR(__xludf.DUMMYFUNCTION("""COMPUTED_VALUE"""),32540.0)</f>
        <v>32540</v>
      </c>
      <c r="C445" s="9">
        <f>IFERROR(__xludf.DUMMYFUNCTION("""COMPUTED_VALUE"""),110.3289)</f>
        <v>110.3289</v>
      </c>
      <c r="E445" s="11"/>
      <c r="H445" s="17"/>
    </row>
    <row r="446">
      <c r="B446" s="11">
        <f>IFERROR(__xludf.DUMMYFUNCTION("""COMPUTED_VALUE"""),32509.0)</f>
        <v>32509</v>
      </c>
      <c r="C446" s="9">
        <f>IFERROR(__xludf.DUMMYFUNCTION("""COMPUTED_VALUE"""),110.2108)</f>
        <v>110.2108</v>
      </c>
      <c r="E446" s="11"/>
      <c r="H446" s="17"/>
    </row>
    <row r="447">
      <c r="B447" s="11">
        <f>IFERROR(__xludf.DUMMYFUNCTION("""COMPUTED_VALUE"""),32478.0)</f>
        <v>32478</v>
      </c>
      <c r="C447" s="9">
        <f>IFERROR(__xludf.DUMMYFUNCTION("""COMPUTED_VALUE"""),110.3429)</f>
        <v>110.3429</v>
      </c>
      <c r="E447" s="11"/>
      <c r="H447" s="17"/>
    </row>
    <row r="448">
      <c r="B448" s="11">
        <f>IFERROR(__xludf.DUMMYFUNCTION("""COMPUTED_VALUE"""),32448.0)</f>
        <v>32448</v>
      </c>
      <c r="C448" s="9">
        <f>IFERROR(__xludf.DUMMYFUNCTION("""COMPUTED_VALUE"""),109.728)</f>
        <v>109.728</v>
      </c>
      <c r="E448" s="11"/>
      <c r="H448" s="17"/>
    </row>
    <row r="449">
      <c r="B449" s="11">
        <f>IFERROR(__xludf.DUMMYFUNCTION("""COMPUTED_VALUE"""),32417.0)</f>
        <v>32417</v>
      </c>
      <c r="C449" s="9">
        <f>IFERROR(__xludf.DUMMYFUNCTION("""COMPUTED_VALUE"""),109.9201)</f>
        <v>109.9201</v>
      </c>
      <c r="E449" s="11"/>
      <c r="H449" s="17"/>
    </row>
    <row r="450">
      <c r="B450" s="11">
        <f>IFERROR(__xludf.DUMMYFUNCTION("""COMPUTED_VALUE"""),32387.0)</f>
        <v>32387</v>
      </c>
      <c r="C450" s="9">
        <f>IFERROR(__xludf.DUMMYFUNCTION("""COMPUTED_VALUE"""),109.8059)</f>
        <v>109.8059</v>
      </c>
      <c r="E450" s="11"/>
      <c r="H450" s="17"/>
    </row>
    <row r="451">
      <c r="B451" s="11">
        <f>IFERROR(__xludf.DUMMYFUNCTION("""COMPUTED_VALUE"""),32356.0)</f>
        <v>32356</v>
      </c>
      <c r="C451" s="9">
        <f>IFERROR(__xludf.DUMMYFUNCTION("""COMPUTED_VALUE"""),109.5151)</f>
        <v>109.5151</v>
      </c>
      <c r="E451" s="11"/>
      <c r="H451" s="17"/>
    </row>
    <row r="452">
      <c r="B452" s="11">
        <f>IFERROR(__xludf.DUMMYFUNCTION("""COMPUTED_VALUE"""),32325.0)</f>
        <v>32325</v>
      </c>
      <c r="C452" s="9">
        <f>IFERROR(__xludf.DUMMYFUNCTION("""COMPUTED_VALUE"""),109.7466)</f>
        <v>109.7466</v>
      </c>
      <c r="E452" s="11"/>
      <c r="H452" s="17"/>
    </row>
    <row r="453">
      <c r="B453" s="11">
        <f>IFERROR(__xludf.DUMMYFUNCTION("""COMPUTED_VALUE"""),32295.0)</f>
        <v>32295</v>
      </c>
      <c r="C453" s="9">
        <f>IFERROR(__xludf.DUMMYFUNCTION("""COMPUTED_VALUE"""),108.6451)</f>
        <v>108.6451</v>
      </c>
      <c r="E453" s="11"/>
      <c r="H453" s="17"/>
    </row>
    <row r="454">
      <c r="B454" s="11">
        <f>IFERROR(__xludf.DUMMYFUNCTION("""COMPUTED_VALUE"""),32264.0)</f>
        <v>32264</v>
      </c>
      <c r="C454" s="9">
        <f>IFERROR(__xludf.DUMMYFUNCTION("""COMPUTED_VALUE"""),109.1637)</f>
        <v>109.1637</v>
      </c>
      <c r="E454" s="11"/>
      <c r="H454" s="17"/>
    </row>
    <row r="455">
      <c r="B455" s="11">
        <f>IFERROR(__xludf.DUMMYFUNCTION("""COMPUTED_VALUE"""),32234.0)</f>
        <v>32234</v>
      </c>
      <c r="C455" s="9">
        <f>IFERROR(__xludf.DUMMYFUNCTION("""COMPUTED_VALUE"""),109.6104)</f>
        <v>109.6104</v>
      </c>
      <c r="E455" s="11"/>
      <c r="H455" s="17"/>
    </row>
    <row r="456">
      <c r="B456" s="11">
        <f>IFERROR(__xludf.DUMMYFUNCTION("""COMPUTED_VALUE"""),32203.0)</f>
        <v>32203</v>
      </c>
      <c r="C456" s="9">
        <f>IFERROR(__xludf.DUMMYFUNCTION("""COMPUTED_VALUE"""),110.6835)</f>
        <v>110.6835</v>
      </c>
      <c r="E456" s="11"/>
      <c r="H456" s="17"/>
    </row>
    <row r="457">
      <c r="B457" s="11">
        <f>IFERROR(__xludf.DUMMYFUNCTION("""COMPUTED_VALUE"""),32174.0)</f>
        <v>32174</v>
      </c>
      <c r="C457" s="9">
        <f>IFERROR(__xludf.DUMMYFUNCTION("""COMPUTED_VALUE"""),111.2695)</f>
        <v>111.2695</v>
      </c>
      <c r="E457" s="11"/>
      <c r="H457" s="17"/>
    </row>
    <row r="458">
      <c r="B458" s="11">
        <f>IFERROR(__xludf.DUMMYFUNCTION("""COMPUTED_VALUE"""),32143.0)</f>
        <v>32143</v>
      </c>
      <c r="C458" s="9">
        <f>IFERROR(__xludf.DUMMYFUNCTION("""COMPUTED_VALUE"""),112.951)</f>
        <v>112.951</v>
      </c>
      <c r="E458" s="11"/>
      <c r="H458" s="17"/>
    </row>
    <row r="459">
      <c r="B459" s="11">
        <f>IFERROR(__xludf.DUMMYFUNCTION("""COMPUTED_VALUE"""),32112.0)</f>
        <v>32112</v>
      </c>
      <c r="C459" s="9">
        <f>IFERROR(__xludf.DUMMYFUNCTION("""COMPUTED_VALUE"""),110.6801)</f>
        <v>110.6801</v>
      </c>
      <c r="E459" s="11"/>
      <c r="H459" s="17"/>
    </row>
    <row r="460">
      <c r="B460" s="11">
        <f>IFERROR(__xludf.DUMMYFUNCTION("""COMPUTED_VALUE"""),32082.0)</f>
        <v>32082</v>
      </c>
      <c r="C460" s="9">
        <f>IFERROR(__xludf.DUMMYFUNCTION("""COMPUTED_VALUE"""),109.3848)</f>
        <v>109.3848</v>
      </c>
      <c r="E460" s="11"/>
      <c r="H460" s="17"/>
    </row>
    <row r="461">
      <c r="B461" s="11">
        <f>IFERROR(__xludf.DUMMYFUNCTION("""COMPUTED_VALUE"""),32051.0)</f>
        <v>32051</v>
      </c>
      <c r="C461" s="9">
        <f>IFERROR(__xludf.DUMMYFUNCTION("""COMPUTED_VALUE"""),109.1971)</f>
        <v>109.1971</v>
      </c>
      <c r="E461" s="11"/>
      <c r="H461" s="17"/>
    </row>
    <row r="462">
      <c r="B462" s="11">
        <f>IFERROR(__xludf.DUMMYFUNCTION("""COMPUTED_VALUE"""),32021.0)</f>
        <v>32021</v>
      </c>
      <c r="C462" s="9">
        <f>IFERROR(__xludf.DUMMYFUNCTION("""COMPUTED_VALUE"""),109.6794)</f>
        <v>109.6794</v>
      </c>
      <c r="E462" s="11"/>
      <c r="H462" s="17"/>
    </row>
    <row r="463">
      <c r="B463" s="11">
        <f>IFERROR(__xludf.DUMMYFUNCTION("""COMPUTED_VALUE"""),31990.0)</f>
        <v>31990</v>
      </c>
      <c r="C463" s="9">
        <f>IFERROR(__xludf.DUMMYFUNCTION("""COMPUTED_VALUE"""),109.2531)</f>
        <v>109.2531</v>
      </c>
      <c r="E463" s="11"/>
      <c r="H463" s="17"/>
    </row>
    <row r="464">
      <c r="B464" s="11">
        <f>IFERROR(__xludf.DUMMYFUNCTION("""COMPUTED_VALUE"""),31959.0)</f>
        <v>31959</v>
      </c>
      <c r="C464" s="9">
        <f>IFERROR(__xludf.DUMMYFUNCTION("""COMPUTED_VALUE"""),108.0734)</f>
        <v>108.0734</v>
      </c>
      <c r="E464" s="11"/>
      <c r="H464" s="17"/>
    </row>
    <row r="465">
      <c r="B465" s="11">
        <f>IFERROR(__xludf.DUMMYFUNCTION("""COMPUTED_VALUE"""),31929.0)</f>
        <v>31929</v>
      </c>
      <c r="C465" s="9">
        <f>IFERROR(__xludf.DUMMYFUNCTION("""COMPUTED_VALUE"""),108.3847)</f>
        <v>108.3847</v>
      </c>
      <c r="E465" s="11"/>
      <c r="H465" s="17"/>
    </row>
    <row r="466">
      <c r="B466" s="11">
        <f>IFERROR(__xludf.DUMMYFUNCTION("""COMPUTED_VALUE"""),31898.0)</f>
        <v>31898</v>
      </c>
      <c r="C466" s="9">
        <f>IFERROR(__xludf.DUMMYFUNCTION("""COMPUTED_VALUE"""),108.9016)</f>
        <v>108.9016</v>
      </c>
      <c r="E466" s="11"/>
      <c r="H466" s="17"/>
    </row>
    <row r="467">
      <c r="B467" s="11">
        <f>IFERROR(__xludf.DUMMYFUNCTION("""COMPUTED_VALUE"""),31868.0)</f>
        <v>31868</v>
      </c>
      <c r="C467" s="9">
        <f>IFERROR(__xludf.DUMMYFUNCTION("""COMPUTED_VALUE"""),109.2404)</f>
        <v>109.2404</v>
      </c>
      <c r="E467" s="11"/>
      <c r="H467" s="17"/>
    </row>
    <row r="468">
      <c r="B468" s="11">
        <f>IFERROR(__xludf.DUMMYFUNCTION("""COMPUTED_VALUE"""),31837.0)</f>
        <v>31837</v>
      </c>
      <c r="C468" s="9">
        <f>IFERROR(__xludf.DUMMYFUNCTION("""COMPUTED_VALUE"""),109.0419)</f>
        <v>109.0419</v>
      </c>
      <c r="E468" s="11"/>
      <c r="H468" s="17"/>
    </row>
    <row r="469">
      <c r="B469" s="11">
        <f>IFERROR(__xludf.DUMMYFUNCTION("""COMPUTED_VALUE"""),31809.0)</f>
        <v>31809</v>
      </c>
      <c r="C469" s="9">
        <f>IFERROR(__xludf.DUMMYFUNCTION("""COMPUTED_VALUE"""),109.4064)</f>
        <v>109.4064</v>
      </c>
      <c r="E469" s="11"/>
      <c r="H469" s="17"/>
    </row>
    <row r="470">
      <c r="B470" s="11">
        <f>IFERROR(__xludf.DUMMYFUNCTION("""COMPUTED_VALUE"""),31778.0)</f>
        <v>31778</v>
      </c>
      <c r="C470" s="9">
        <f>IFERROR(__xludf.DUMMYFUNCTION("""COMPUTED_VALUE"""),108.8768)</f>
        <v>108.8768</v>
      </c>
      <c r="E470" s="11"/>
      <c r="H470" s="17"/>
    </row>
    <row r="471">
      <c r="B471" s="11">
        <f>IFERROR(__xludf.DUMMYFUNCTION("""COMPUTED_VALUE"""),31747.0)</f>
        <v>31747</v>
      </c>
      <c r="C471" s="9">
        <f>IFERROR(__xludf.DUMMYFUNCTION("""COMPUTED_VALUE"""),108.4291)</f>
        <v>108.4291</v>
      </c>
      <c r="E471" s="11"/>
      <c r="H471" s="17"/>
    </row>
    <row r="472">
      <c r="B472" s="11">
        <f>IFERROR(__xludf.DUMMYFUNCTION("""COMPUTED_VALUE"""),31717.0)</f>
        <v>31717</v>
      </c>
      <c r="C472" s="9">
        <f>IFERROR(__xludf.DUMMYFUNCTION("""COMPUTED_VALUE"""),108.2372)</f>
        <v>108.2372</v>
      </c>
      <c r="E472" s="11"/>
      <c r="H472" s="17"/>
    </row>
    <row r="473">
      <c r="B473" s="11">
        <f>IFERROR(__xludf.DUMMYFUNCTION("""COMPUTED_VALUE"""),31686.0)</f>
        <v>31686</v>
      </c>
      <c r="C473" s="9">
        <f>IFERROR(__xludf.DUMMYFUNCTION("""COMPUTED_VALUE"""),107.6069)</f>
        <v>107.6069</v>
      </c>
      <c r="E473" s="11"/>
      <c r="H473" s="17"/>
    </row>
    <row r="474">
      <c r="B474" s="11">
        <f>IFERROR(__xludf.DUMMYFUNCTION("""COMPUTED_VALUE"""),31656.0)</f>
        <v>31656</v>
      </c>
      <c r="C474" s="9">
        <f>IFERROR(__xludf.DUMMYFUNCTION("""COMPUTED_VALUE"""),107.1121)</f>
        <v>107.1121</v>
      </c>
      <c r="E474" s="11"/>
      <c r="H474" s="17"/>
    </row>
    <row r="475">
      <c r="B475" s="11">
        <f>IFERROR(__xludf.DUMMYFUNCTION("""COMPUTED_VALUE"""),31625.0)</f>
        <v>31625</v>
      </c>
      <c r="C475" s="9">
        <f>IFERROR(__xludf.DUMMYFUNCTION("""COMPUTED_VALUE"""),107.5983)</f>
        <v>107.5983</v>
      </c>
      <c r="E475" s="11"/>
      <c r="H475" s="17"/>
    </row>
    <row r="476">
      <c r="B476" s="11">
        <f>IFERROR(__xludf.DUMMYFUNCTION("""COMPUTED_VALUE"""),31594.0)</f>
        <v>31594</v>
      </c>
      <c r="C476" s="9">
        <f>IFERROR(__xludf.DUMMYFUNCTION("""COMPUTED_VALUE"""),107.5859)</f>
        <v>107.5859</v>
      </c>
      <c r="E476" s="11"/>
      <c r="H476" s="17"/>
    </row>
    <row r="477">
      <c r="B477" s="11">
        <f>IFERROR(__xludf.DUMMYFUNCTION("""COMPUTED_VALUE"""),31564.0)</f>
        <v>31564</v>
      </c>
      <c r="C477" s="9">
        <f>IFERROR(__xludf.DUMMYFUNCTION("""COMPUTED_VALUE"""),106.488)</f>
        <v>106.488</v>
      </c>
      <c r="E477" s="11"/>
      <c r="H477" s="17"/>
    </row>
    <row r="478">
      <c r="B478" s="11">
        <f>IFERROR(__xludf.DUMMYFUNCTION("""COMPUTED_VALUE"""),31533.0)</f>
        <v>31533</v>
      </c>
      <c r="C478" s="9">
        <f>IFERROR(__xludf.DUMMYFUNCTION("""COMPUTED_VALUE"""),106.4556)</f>
        <v>106.4556</v>
      </c>
      <c r="E478" s="11"/>
      <c r="H478" s="17"/>
    </row>
    <row r="479">
      <c r="B479" s="11">
        <f>IFERROR(__xludf.DUMMYFUNCTION("""COMPUTED_VALUE"""),31503.0)</f>
        <v>31503</v>
      </c>
      <c r="C479" s="9">
        <f>IFERROR(__xludf.DUMMYFUNCTION("""COMPUTED_VALUE"""),106.1683)</f>
        <v>106.1683</v>
      </c>
      <c r="E479" s="11"/>
      <c r="H479" s="17"/>
    </row>
    <row r="480">
      <c r="B480" s="11">
        <f>IFERROR(__xludf.DUMMYFUNCTION("""COMPUTED_VALUE"""),31472.0)</f>
        <v>31472</v>
      </c>
      <c r="C480" s="9">
        <f>IFERROR(__xludf.DUMMYFUNCTION("""COMPUTED_VALUE"""),105.8116)</f>
        <v>105.8116</v>
      </c>
      <c r="E480" s="11"/>
      <c r="H480" s="17"/>
    </row>
    <row r="481">
      <c r="B481" s="11">
        <f>IFERROR(__xludf.DUMMYFUNCTION("""COMPUTED_VALUE"""),31444.0)</f>
        <v>31444</v>
      </c>
      <c r="C481" s="9">
        <f>IFERROR(__xludf.DUMMYFUNCTION("""COMPUTED_VALUE"""),104.8918)</f>
        <v>104.8918</v>
      </c>
      <c r="E481" s="11"/>
      <c r="H481" s="17"/>
    </row>
    <row r="482">
      <c r="B482" s="11">
        <f>IFERROR(__xludf.DUMMYFUNCTION("""COMPUTED_VALUE"""),31413.0)</f>
        <v>31413</v>
      </c>
      <c r="C482" s="9">
        <f>IFERROR(__xludf.DUMMYFUNCTION("""COMPUTED_VALUE"""),106.3311)</f>
        <v>106.3311</v>
      </c>
      <c r="E482" s="11"/>
      <c r="H482" s="17"/>
    </row>
    <row r="483">
      <c r="B483" s="11">
        <f>IFERROR(__xludf.DUMMYFUNCTION("""COMPUTED_VALUE"""),31382.0)</f>
        <v>31382</v>
      </c>
      <c r="C483" s="9">
        <f>IFERROR(__xludf.DUMMYFUNCTION("""COMPUTED_VALUE"""),105.4931)</f>
        <v>105.4931</v>
      </c>
      <c r="E483" s="11"/>
      <c r="H483" s="17"/>
    </row>
    <row r="484">
      <c r="B484" s="11">
        <f>IFERROR(__xludf.DUMMYFUNCTION("""COMPUTED_VALUE"""),31352.0)</f>
        <v>31352</v>
      </c>
      <c r="C484" s="9">
        <f>IFERROR(__xludf.DUMMYFUNCTION("""COMPUTED_VALUE"""),104.8843)</f>
        <v>104.8843</v>
      </c>
      <c r="E484" s="11"/>
      <c r="H484" s="17"/>
    </row>
    <row r="485">
      <c r="B485" s="11">
        <f>IFERROR(__xludf.DUMMYFUNCTION("""COMPUTED_VALUE"""),31321.0)</f>
        <v>31321</v>
      </c>
      <c r="C485" s="9">
        <f>IFERROR(__xludf.DUMMYFUNCTION("""COMPUTED_VALUE"""),103.5518)</f>
        <v>103.5518</v>
      </c>
      <c r="E485" s="11"/>
      <c r="H485" s="17"/>
    </row>
    <row r="486">
      <c r="B486" s="11">
        <f>IFERROR(__xludf.DUMMYFUNCTION("""COMPUTED_VALUE"""),31291.0)</f>
        <v>31291</v>
      </c>
      <c r="C486" s="9">
        <f>IFERROR(__xludf.DUMMYFUNCTION("""COMPUTED_VALUE"""),101.7088)</f>
        <v>101.7088</v>
      </c>
      <c r="E486" s="11"/>
      <c r="H486" s="17"/>
    </row>
    <row r="487">
      <c r="B487" s="11">
        <f>IFERROR(__xludf.DUMMYFUNCTION("""COMPUTED_VALUE"""),31260.0)</f>
        <v>31260</v>
      </c>
      <c r="C487" s="9">
        <f>IFERROR(__xludf.DUMMYFUNCTION("""COMPUTED_VALUE"""),101.6357)</f>
        <v>101.6357</v>
      </c>
      <c r="E487" s="11"/>
      <c r="H487" s="17"/>
    </row>
    <row r="488">
      <c r="B488" s="11">
        <f>IFERROR(__xludf.DUMMYFUNCTION("""COMPUTED_VALUE"""),31229.0)</f>
        <v>31229</v>
      </c>
      <c r="C488" s="9">
        <f>IFERROR(__xludf.DUMMYFUNCTION("""COMPUTED_VALUE"""),100.1421)</f>
        <v>100.1421</v>
      </c>
      <c r="E488" s="11"/>
      <c r="H488" s="17"/>
    </row>
    <row r="489">
      <c r="B489" s="11">
        <f>IFERROR(__xludf.DUMMYFUNCTION("""COMPUTED_VALUE"""),31199.0)</f>
        <v>31199</v>
      </c>
      <c r="C489" s="9">
        <f>IFERROR(__xludf.DUMMYFUNCTION("""COMPUTED_VALUE"""),100.7482)</f>
        <v>100.7482</v>
      </c>
      <c r="E489" s="11"/>
      <c r="H489" s="17"/>
    </row>
    <row r="490">
      <c r="B490" s="11">
        <f>IFERROR(__xludf.DUMMYFUNCTION("""COMPUTED_VALUE"""),31168.0)</f>
        <v>31168</v>
      </c>
      <c r="C490" s="9">
        <f>IFERROR(__xludf.DUMMYFUNCTION("""COMPUTED_VALUE"""),99.4201)</f>
        <v>99.4201</v>
      </c>
      <c r="E490" s="11"/>
      <c r="H490" s="17"/>
    </row>
    <row r="491">
      <c r="B491" s="11">
        <f>IFERROR(__xludf.DUMMYFUNCTION("""COMPUTED_VALUE"""),31138.0)</f>
        <v>31138</v>
      </c>
      <c r="C491" s="9">
        <f>IFERROR(__xludf.DUMMYFUNCTION("""COMPUTED_VALUE"""),98.8877)</f>
        <v>98.8877</v>
      </c>
      <c r="E491" s="11"/>
      <c r="H491" s="17"/>
    </row>
    <row r="492">
      <c r="B492" s="11">
        <f>IFERROR(__xludf.DUMMYFUNCTION("""COMPUTED_VALUE"""),31107.0)</f>
        <v>31107</v>
      </c>
      <c r="C492" s="9">
        <f>IFERROR(__xludf.DUMMYFUNCTION("""COMPUTED_VALUE"""),98.5916)</f>
        <v>98.5916</v>
      </c>
      <c r="E492" s="11"/>
      <c r="H492" s="17"/>
    </row>
    <row r="493">
      <c r="B493" s="11">
        <f>IFERROR(__xludf.DUMMYFUNCTION("""COMPUTED_VALUE"""),31079.0)</f>
        <v>31079</v>
      </c>
      <c r="C493" s="9">
        <f>IFERROR(__xludf.DUMMYFUNCTION("""COMPUTED_VALUE"""),97.1373)</f>
        <v>97.1373</v>
      </c>
      <c r="E493" s="11"/>
      <c r="H493" s="17"/>
    </row>
    <row r="494">
      <c r="B494" s="11">
        <f>IFERROR(__xludf.DUMMYFUNCTION("""COMPUTED_VALUE"""),31048.0)</f>
        <v>31048</v>
      </c>
      <c r="C494" s="9">
        <f>IFERROR(__xludf.DUMMYFUNCTION("""COMPUTED_VALUE"""),96.3325)</f>
        <v>96.3325</v>
      </c>
      <c r="E494" s="11"/>
      <c r="H494" s="17"/>
    </row>
    <row r="495">
      <c r="B495" s="11">
        <f>IFERROR(__xludf.DUMMYFUNCTION("""COMPUTED_VALUE"""),31017.0)</f>
        <v>31017</v>
      </c>
      <c r="C495" s="9">
        <f>IFERROR(__xludf.DUMMYFUNCTION("""COMPUTED_VALUE"""),95.6552)</f>
        <v>95.6552</v>
      </c>
      <c r="E495" s="11"/>
      <c r="H495" s="17"/>
    </row>
    <row r="496">
      <c r="B496" s="11">
        <f>IFERROR(__xludf.DUMMYFUNCTION("""COMPUTED_VALUE"""),30987.0)</f>
        <v>30987</v>
      </c>
      <c r="C496" s="9">
        <f>IFERROR(__xludf.DUMMYFUNCTION("""COMPUTED_VALUE"""),93.9536)</f>
        <v>93.9536</v>
      </c>
      <c r="E496" s="11"/>
      <c r="H496" s="17"/>
    </row>
    <row r="497">
      <c r="B497" s="11">
        <f>IFERROR(__xludf.DUMMYFUNCTION("""COMPUTED_VALUE"""),30956.0)</f>
        <v>30956</v>
      </c>
      <c r="C497" s="9">
        <f>IFERROR(__xludf.DUMMYFUNCTION("""COMPUTED_VALUE"""),94.7054)</f>
        <v>94.7054</v>
      </c>
      <c r="E497" s="11"/>
      <c r="H497" s="17"/>
    </row>
    <row r="498">
      <c r="B498" s="11">
        <f>IFERROR(__xludf.DUMMYFUNCTION("""COMPUTED_VALUE"""),30926.0)</f>
        <v>30926</v>
      </c>
      <c r="C498" s="9">
        <f>IFERROR(__xludf.DUMMYFUNCTION("""COMPUTED_VALUE"""),93.5446)</f>
        <v>93.5446</v>
      </c>
      <c r="E498" s="11"/>
      <c r="H498" s="17"/>
    </row>
    <row r="499">
      <c r="B499" s="11">
        <f>IFERROR(__xludf.DUMMYFUNCTION("""COMPUTED_VALUE"""),30895.0)</f>
        <v>30895</v>
      </c>
      <c r="C499" s="9">
        <f>IFERROR(__xludf.DUMMYFUNCTION("""COMPUTED_VALUE"""),91.7619)</f>
        <v>91.7619</v>
      </c>
      <c r="E499" s="11"/>
      <c r="H499" s="17"/>
    </row>
    <row r="500">
      <c r="B500" s="11">
        <f>IFERROR(__xludf.DUMMYFUNCTION("""COMPUTED_VALUE"""),30864.0)</f>
        <v>30864</v>
      </c>
      <c r="C500" s="9">
        <f>IFERROR(__xludf.DUMMYFUNCTION("""COMPUTED_VALUE"""),88.868)</f>
        <v>88.868</v>
      </c>
      <c r="E500" s="11"/>
      <c r="H500" s="17"/>
    </row>
    <row r="501">
      <c r="B501" s="11">
        <f>IFERROR(__xludf.DUMMYFUNCTION("""COMPUTED_VALUE"""),30834.0)</f>
        <v>30834</v>
      </c>
      <c r="C501" s="9">
        <f>IFERROR(__xludf.DUMMYFUNCTION("""COMPUTED_VALUE"""),89.9596)</f>
        <v>89.9596</v>
      </c>
      <c r="E501" s="11"/>
      <c r="H501" s="17"/>
    </row>
    <row r="502">
      <c r="B502" s="11">
        <f>IFERROR(__xludf.DUMMYFUNCTION("""COMPUTED_VALUE"""),30803.0)</f>
        <v>30803</v>
      </c>
      <c r="C502" s="9">
        <f>IFERROR(__xludf.DUMMYFUNCTION("""COMPUTED_VALUE"""),88.7444)</f>
        <v>88.7444</v>
      </c>
      <c r="E502" s="11"/>
      <c r="H502" s="17"/>
    </row>
    <row r="503">
      <c r="B503" s="11">
        <f>IFERROR(__xludf.DUMMYFUNCTION("""COMPUTED_VALUE"""),30773.0)</f>
        <v>30773</v>
      </c>
      <c r="C503" s="9">
        <f>IFERROR(__xludf.DUMMYFUNCTION("""COMPUTED_VALUE"""),87.656)</f>
        <v>87.656</v>
      </c>
      <c r="E503" s="11"/>
      <c r="H503" s="17"/>
    </row>
    <row r="504">
      <c r="B504" s="11">
        <f>IFERROR(__xludf.DUMMYFUNCTION("""COMPUTED_VALUE"""),30742.0)</f>
        <v>30742</v>
      </c>
      <c r="C504" s="9">
        <f>IFERROR(__xludf.DUMMYFUNCTION("""COMPUTED_VALUE"""),85.792)</f>
        <v>85.792</v>
      </c>
      <c r="E504" s="11"/>
      <c r="H504" s="17"/>
    </row>
    <row r="505">
      <c r="B505" s="11">
        <f>IFERROR(__xludf.DUMMYFUNCTION("""COMPUTED_VALUE"""),30713.0)</f>
        <v>30713</v>
      </c>
      <c r="C505" s="9">
        <f>IFERROR(__xludf.DUMMYFUNCTION("""COMPUTED_VALUE"""),85.3472)</f>
        <v>85.3472</v>
      </c>
      <c r="E505" s="11"/>
      <c r="H505" s="17"/>
    </row>
    <row r="506">
      <c r="B506" s="11">
        <f>IFERROR(__xludf.DUMMYFUNCTION("""COMPUTED_VALUE"""),30682.0)</f>
        <v>30682</v>
      </c>
      <c r="C506" s="9">
        <f>IFERROR(__xludf.DUMMYFUNCTION("""COMPUTED_VALUE"""),83.4698)</f>
        <v>83.4698</v>
      </c>
      <c r="E506" s="11"/>
      <c r="H506" s="17"/>
    </row>
    <row r="507">
      <c r="B507" s="11">
        <f>IFERROR(__xludf.DUMMYFUNCTION("""COMPUTED_VALUE"""),30651.0)</f>
        <v>30651</v>
      </c>
      <c r="C507" s="9">
        <f>IFERROR(__xludf.DUMMYFUNCTION("""COMPUTED_VALUE"""),81.3314)</f>
        <v>81.3314</v>
      </c>
      <c r="E507" s="11"/>
      <c r="H507" s="17"/>
    </row>
    <row r="508">
      <c r="B508" s="11">
        <f>IFERROR(__xludf.DUMMYFUNCTION("""COMPUTED_VALUE"""),30621.0)</f>
        <v>30621</v>
      </c>
      <c r="C508" s="9">
        <f>IFERROR(__xludf.DUMMYFUNCTION("""COMPUTED_VALUE"""),80.4591)</f>
        <v>80.4591</v>
      </c>
      <c r="E508" s="11"/>
      <c r="H508" s="17"/>
    </row>
    <row r="509">
      <c r="B509" s="11">
        <f>IFERROR(__xludf.DUMMYFUNCTION("""COMPUTED_VALUE"""),30590.0)</f>
        <v>30590</v>
      </c>
      <c r="C509" s="9">
        <f>IFERROR(__xludf.DUMMYFUNCTION("""COMPUTED_VALUE"""),79.929)</f>
        <v>79.929</v>
      </c>
      <c r="E509" s="11"/>
      <c r="H509" s="17"/>
    </row>
    <row r="510">
      <c r="B510" s="11">
        <f>IFERROR(__xludf.DUMMYFUNCTION("""COMPUTED_VALUE"""),30560.0)</f>
        <v>30560</v>
      </c>
      <c r="C510" s="9">
        <f>IFERROR(__xludf.DUMMYFUNCTION("""COMPUTED_VALUE"""),79.0247)</f>
        <v>79.0247</v>
      </c>
      <c r="E510" s="11"/>
      <c r="H510" s="17"/>
    </row>
    <row r="511">
      <c r="B511" s="11">
        <f>IFERROR(__xludf.DUMMYFUNCTION("""COMPUTED_VALUE"""),30529.0)</f>
        <v>30529</v>
      </c>
      <c r="C511" s="9">
        <f>IFERROR(__xludf.DUMMYFUNCTION("""COMPUTED_VALUE"""),78.2061)</f>
        <v>78.2061</v>
      </c>
      <c r="E511" s="11"/>
      <c r="H511" s="17"/>
    </row>
    <row r="512">
      <c r="B512" s="11">
        <f>IFERROR(__xludf.DUMMYFUNCTION("""COMPUTED_VALUE"""),30498.0)</f>
        <v>30498</v>
      </c>
      <c r="C512" s="9">
        <f>IFERROR(__xludf.DUMMYFUNCTION("""COMPUTED_VALUE"""),77.5974)</f>
        <v>77.5974</v>
      </c>
      <c r="E512" s="11"/>
      <c r="H512" s="17"/>
    </row>
    <row r="513">
      <c r="B513" s="11">
        <f>IFERROR(__xludf.DUMMYFUNCTION("""COMPUTED_VALUE"""),30468.0)</f>
        <v>30468</v>
      </c>
      <c r="C513" s="9">
        <f>IFERROR(__xludf.DUMMYFUNCTION("""COMPUTED_VALUE"""),76.6762)</f>
        <v>76.6762</v>
      </c>
      <c r="E513" s="11"/>
      <c r="H513" s="17"/>
    </row>
    <row r="514">
      <c r="B514" s="11">
        <f>IFERROR(__xludf.DUMMYFUNCTION("""COMPUTED_VALUE"""),30437.0)</f>
        <v>30437</v>
      </c>
      <c r="C514" s="9">
        <f>IFERROR(__xludf.DUMMYFUNCTION("""COMPUTED_VALUE"""),77.0331)</f>
        <v>77.0331</v>
      </c>
      <c r="E514" s="11"/>
      <c r="H514" s="17"/>
    </row>
    <row r="515">
      <c r="B515" s="11">
        <f>IFERROR(__xludf.DUMMYFUNCTION("""COMPUTED_VALUE"""),30407.0)</f>
        <v>30407</v>
      </c>
      <c r="C515" s="9">
        <f>IFERROR(__xludf.DUMMYFUNCTION("""COMPUTED_VALUE"""),77.3151)</f>
        <v>77.3151</v>
      </c>
      <c r="E515" s="11"/>
      <c r="H515" s="17"/>
    </row>
    <row r="516">
      <c r="B516" s="11">
        <f>IFERROR(__xludf.DUMMYFUNCTION("""COMPUTED_VALUE"""),30376.0)</f>
        <v>30376</v>
      </c>
      <c r="C516" s="9">
        <f>IFERROR(__xludf.DUMMYFUNCTION("""COMPUTED_VALUE"""),78.005)</f>
        <v>78.005</v>
      </c>
      <c r="E516" s="11"/>
      <c r="H516" s="17"/>
    </row>
    <row r="517">
      <c r="B517" s="11">
        <f>IFERROR(__xludf.DUMMYFUNCTION("""COMPUTED_VALUE"""),30348.0)</f>
        <v>30348</v>
      </c>
      <c r="C517" s="9">
        <f>IFERROR(__xludf.DUMMYFUNCTION("""COMPUTED_VALUE"""),77.8211)</f>
        <v>77.8211</v>
      </c>
      <c r="E517" s="11"/>
      <c r="H517" s="17"/>
    </row>
    <row r="518">
      <c r="B518" s="11">
        <f>IFERROR(__xludf.DUMMYFUNCTION("""COMPUTED_VALUE"""),30317.0)</f>
        <v>30317</v>
      </c>
      <c r="C518" s="9">
        <f>IFERROR(__xludf.DUMMYFUNCTION("""COMPUTED_VALUE"""),79.0924)</f>
        <v>79.0924</v>
      </c>
      <c r="E518" s="11"/>
      <c r="H518" s="17"/>
    </row>
    <row r="519">
      <c r="B519" s="11">
        <f>IFERROR(__xludf.DUMMYFUNCTION("""COMPUTED_VALUE"""),30286.0)</f>
        <v>30286</v>
      </c>
      <c r="C519" s="9">
        <f>IFERROR(__xludf.DUMMYFUNCTION("""COMPUTED_VALUE"""),79.6178)</f>
        <v>79.6178</v>
      </c>
      <c r="E519" s="11"/>
      <c r="H519" s="17"/>
    </row>
    <row r="520">
      <c r="B520" s="11">
        <f>IFERROR(__xludf.DUMMYFUNCTION("""COMPUTED_VALUE"""),30256.0)</f>
        <v>30256</v>
      </c>
      <c r="C520" s="9">
        <f>IFERROR(__xludf.DUMMYFUNCTION("""COMPUTED_VALUE"""),80.113)</f>
        <v>80.113</v>
      </c>
      <c r="E520" s="11"/>
      <c r="H520" s="17"/>
    </row>
    <row r="521">
      <c r="B521" s="11">
        <f>IFERROR(__xludf.DUMMYFUNCTION("""COMPUTED_VALUE"""),30225.0)</f>
        <v>30225</v>
      </c>
      <c r="C521" s="9">
        <f>IFERROR(__xludf.DUMMYFUNCTION("""COMPUTED_VALUE"""),79.8678)</f>
        <v>79.8678</v>
      </c>
      <c r="E521" s="11"/>
      <c r="H521" s="17"/>
    </row>
    <row r="522">
      <c r="B522" s="11">
        <f>IFERROR(__xludf.DUMMYFUNCTION("""COMPUTED_VALUE"""),30195.0)</f>
        <v>30195</v>
      </c>
      <c r="C522" s="9">
        <f>IFERROR(__xludf.DUMMYFUNCTION("""COMPUTED_VALUE"""),80.4002)</f>
        <v>80.4002</v>
      </c>
      <c r="E522" s="11"/>
      <c r="H522" s="17"/>
    </row>
    <row r="523">
      <c r="B523" s="11">
        <f>IFERROR(__xludf.DUMMYFUNCTION("""COMPUTED_VALUE"""),30164.0)</f>
        <v>30164</v>
      </c>
      <c r="C523" s="9">
        <f>IFERROR(__xludf.DUMMYFUNCTION("""COMPUTED_VALUE"""),79.4661)</f>
        <v>79.4661</v>
      </c>
      <c r="E523" s="11"/>
      <c r="H523" s="17"/>
    </row>
    <row r="524">
      <c r="B524" s="11">
        <f>IFERROR(__xludf.DUMMYFUNCTION("""COMPUTED_VALUE"""),30133.0)</f>
        <v>30133</v>
      </c>
      <c r="C524" s="9">
        <f>IFERROR(__xludf.DUMMYFUNCTION("""COMPUTED_VALUE"""),79.6895)</f>
        <v>79.6895</v>
      </c>
      <c r="E524" s="11"/>
      <c r="H524" s="17"/>
    </row>
    <row r="525">
      <c r="B525" s="11">
        <f>IFERROR(__xludf.DUMMYFUNCTION("""COMPUTED_VALUE"""),30103.0)</f>
        <v>30103</v>
      </c>
      <c r="C525" s="9">
        <f>IFERROR(__xludf.DUMMYFUNCTION("""COMPUTED_VALUE"""),78.5973)</f>
        <v>78.5973</v>
      </c>
      <c r="E525" s="11"/>
      <c r="H525" s="17"/>
    </row>
    <row r="526">
      <c r="B526" s="11">
        <f>IFERROR(__xludf.DUMMYFUNCTION("""COMPUTED_VALUE"""),30072.0)</f>
        <v>30072</v>
      </c>
      <c r="C526" s="9">
        <f>IFERROR(__xludf.DUMMYFUNCTION("""COMPUTED_VALUE"""),78.3092)</f>
        <v>78.3092</v>
      </c>
      <c r="E526" s="11"/>
      <c r="H526" s="17"/>
    </row>
    <row r="527">
      <c r="B527" s="11">
        <f>IFERROR(__xludf.DUMMYFUNCTION("""COMPUTED_VALUE"""),30042.0)</f>
        <v>30042</v>
      </c>
      <c r="C527" s="9">
        <f>IFERROR(__xludf.DUMMYFUNCTION("""COMPUTED_VALUE"""),76.981)</f>
        <v>76.981</v>
      </c>
      <c r="E527" s="11"/>
      <c r="H527" s="17"/>
    </row>
    <row r="528">
      <c r="B528" s="11">
        <f>IFERROR(__xludf.DUMMYFUNCTION("""COMPUTED_VALUE"""),30011.0)</f>
        <v>30011</v>
      </c>
      <c r="C528" s="9">
        <f>IFERROR(__xludf.DUMMYFUNCTION("""COMPUTED_VALUE"""),76.177)</f>
        <v>76.177</v>
      </c>
      <c r="E528" s="11"/>
      <c r="H528" s="17"/>
    </row>
    <row r="529">
      <c r="B529" s="11">
        <f>IFERROR(__xludf.DUMMYFUNCTION("""COMPUTED_VALUE"""),29983.0)</f>
        <v>29983</v>
      </c>
      <c r="C529" s="9">
        <f>IFERROR(__xludf.DUMMYFUNCTION("""COMPUTED_VALUE"""),75.0424)</f>
        <v>75.0424</v>
      </c>
      <c r="E529" s="11"/>
      <c r="H529" s="17"/>
    </row>
    <row r="530">
      <c r="B530" s="11">
        <f>IFERROR(__xludf.DUMMYFUNCTION("""COMPUTED_VALUE"""),29952.0)</f>
        <v>29952</v>
      </c>
      <c r="C530" s="9">
        <f>IFERROR(__xludf.DUMMYFUNCTION("""COMPUTED_VALUE"""),71.0995)</f>
        <v>71.0995</v>
      </c>
      <c r="E530" s="11"/>
      <c r="H530" s="17"/>
    </row>
    <row r="531">
      <c r="B531" s="11">
        <f>IFERROR(__xludf.DUMMYFUNCTION("""COMPUTED_VALUE"""),29921.0)</f>
        <v>29921</v>
      </c>
      <c r="C531" s="9">
        <f>IFERROR(__xludf.DUMMYFUNCTION("""COMPUTED_VALUE"""),71.8965)</f>
        <v>71.8965</v>
      </c>
      <c r="E531" s="11"/>
      <c r="H531" s="17"/>
    </row>
    <row r="532">
      <c r="B532" s="11">
        <f>IFERROR(__xludf.DUMMYFUNCTION("""COMPUTED_VALUE"""),29891.0)</f>
        <v>29891</v>
      </c>
      <c r="C532" s="9">
        <f>IFERROR(__xludf.DUMMYFUNCTION("""COMPUTED_VALUE"""),69.8153)</f>
        <v>69.8153</v>
      </c>
      <c r="E532" s="11"/>
      <c r="H532" s="17"/>
    </row>
    <row r="533">
      <c r="B533" s="11">
        <f>IFERROR(__xludf.DUMMYFUNCTION("""COMPUTED_VALUE"""),29860.0)</f>
        <v>29860</v>
      </c>
      <c r="C533" s="9">
        <f>IFERROR(__xludf.DUMMYFUNCTION("""COMPUTED_VALUE"""),68.2127)</f>
        <v>68.2127</v>
      </c>
      <c r="E533" s="11"/>
      <c r="H533" s="17"/>
    </row>
    <row r="534">
      <c r="B534" s="11">
        <f>IFERROR(__xludf.DUMMYFUNCTION("""COMPUTED_VALUE"""),29830.0)</f>
        <v>29830</v>
      </c>
      <c r="C534" s="9">
        <f>IFERROR(__xludf.DUMMYFUNCTION("""COMPUTED_VALUE"""),66.6629)</f>
        <v>66.6629</v>
      </c>
      <c r="E534" s="11"/>
      <c r="H534" s="17"/>
    </row>
    <row r="535">
      <c r="B535" s="11">
        <f>IFERROR(__xludf.DUMMYFUNCTION("""COMPUTED_VALUE"""),29799.0)</f>
        <v>29799</v>
      </c>
      <c r="C535" s="9">
        <f>IFERROR(__xludf.DUMMYFUNCTION("""COMPUTED_VALUE"""),65.4901)</f>
        <v>65.4901</v>
      </c>
      <c r="E535" s="11"/>
      <c r="H535" s="17"/>
    </row>
    <row r="536">
      <c r="B536" s="11">
        <f>IFERROR(__xludf.DUMMYFUNCTION("""COMPUTED_VALUE"""),29768.0)</f>
        <v>29768</v>
      </c>
      <c r="C536" s="9">
        <f>IFERROR(__xludf.DUMMYFUNCTION("""COMPUTED_VALUE"""),64.4673)</f>
        <v>64.4673</v>
      </c>
      <c r="E536" s="11"/>
      <c r="H536" s="17"/>
    </row>
    <row r="537">
      <c r="B537" s="11">
        <f>IFERROR(__xludf.DUMMYFUNCTION("""COMPUTED_VALUE"""),29738.0)</f>
        <v>29738</v>
      </c>
      <c r="C537" s="9">
        <f>IFERROR(__xludf.DUMMYFUNCTION("""COMPUTED_VALUE"""),63.5637)</f>
        <v>63.5637</v>
      </c>
      <c r="E537" s="11"/>
      <c r="H537" s="17"/>
    </row>
    <row r="538">
      <c r="B538" s="11">
        <f>IFERROR(__xludf.DUMMYFUNCTION("""COMPUTED_VALUE"""),29707.0)</f>
        <v>29707</v>
      </c>
      <c r="C538" s="9">
        <f>IFERROR(__xludf.DUMMYFUNCTION("""COMPUTED_VALUE"""),63.1641)</f>
        <v>63.1641</v>
      </c>
      <c r="E538" s="11"/>
      <c r="H538" s="17"/>
    </row>
    <row r="539">
      <c r="B539" s="11">
        <f>IFERROR(__xludf.DUMMYFUNCTION("""COMPUTED_VALUE"""),29677.0)</f>
        <v>29677</v>
      </c>
      <c r="C539" s="9">
        <f>IFERROR(__xludf.DUMMYFUNCTION("""COMPUTED_VALUE"""),62.6021)</f>
        <v>62.6021</v>
      </c>
      <c r="E539" s="11"/>
      <c r="H539" s="17"/>
    </row>
    <row r="540">
      <c r="B540" s="11">
        <f>IFERROR(__xludf.DUMMYFUNCTION("""COMPUTED_VALUE"""),29646.0)</f>
        <v>29646</v>
      </c>
      <c r="C540" s="9">
        <f>IFERROR(__xludf.DUMMYFUNCTION("""COMPUTED_VALUE"""),62.4965)</f>
        <v>62.4965</v>
      </c>
      <c r="E540" s="11"/>
      <c r="H540" s="17"/>
    </row>
    <row r="541">
      <c r="B541" s="11">
        <f>IFERROR(__xludf.DUMMYFUNCTION("""COMPUTED_VALUE"""),29618.0)</f>
        <v>29618</v>
      </c>
      <c r="C541" s="9">
        <f>IFERROR(__xludf.DUMMYFUNCTION("""COMPUTED_VALUE"""),62.502)</f>
        <v>62.502</v>
      </c>
      <c r="E541" s="11"/>
      <c r="H541" s="17"/>
    </row>
    <row r="542">
      <c r="B542" s="11">
        <f>IFERROR(__xludf.DUMMYFUNCTION("""COMPUTED_VALUE"""),29587.0)</f>
        <v>29587</v>
      </c>
      <c r="C542" s="9">
        <f>IFERROR(__xludf.DUMMYFUNCTION("""COMPUTED_VALUE"""),62.6006)</f>
        <v>62.6006</v>
      </c>
      <c r="E542" s="11"/>
      <c r="H542" s="17"/>
    </row>
    <row r="543">
      <c r="B543" s="11">
        <f>IFERROR(__xludf.DUMMYFUNCTION("""COMPUTED_VALUE"""),29556.0)</f>
        <v>29556</v>
      </c>
      <c r="C543" s="9">
        <f>IFERROR(__xludf.DUMMYFUNCTION("""COMPUTED_VALUE"""),62.9727)</f>
        <v>62.9727</v>
      </c>
      <c r="E543" s="11"/>
      <c r="H543" s="17"/>
    </row>
    <row r="544">
      <c r="B544" s="11">
        <f>IFERROR(__xludf.DUMMYFUNCTION("""COMPUTED_VALUE"""),29526.0)</f>
        <v>29526</v>
      </c>
      <c r="C544" s="9">
        <f>IFERROR(__xludf.DUMMYFUNCTION("""COMPUTED_VALUE"""),62.6996)</f>
        <v>62.6996</v>
      </c>
      <c r="E544" s="11"/>
      <c r="H544" s="17"/>
    </row>
    <row r="545">
      <c r="B545" s="11">
        <f>IFERROR(__xludf.DUMMYFUNCTION("""COMPUTED_VALUE"""),29495.0)</f>
        <v>29495</v>
      </c>
      <c r="C545" s="9">
        <f>IFERROR(__xludf.DUMMYFUNCTION("""COMPUTED_VALUE"""),61.8849)</f>
        <v>61.8849</v>
      </c>
      <c r="E545" s="11"/>
      <c r="H545" s="17"/>
    </row>
    <row r="546">
      <c r="B546" s="11">
        <f>IFERROR(__xludf.DUMMYFUNCTION("""COMPUTED_VALUE"""),29465.0)</f>
        <v>29465</v>
      </c>
      <c r="C546" s="9">
        <f>IFERROR(__xludf.DUMMYFUNCTION("""COMPUTED_VALUE"""),60.7284)</f>
        <v>60.7284</v>
      </c>
      <c r="E546" s="11"/>
      <c r="H546" s="17"/>
    </row>
    <row r="547">
      <c r="B547" s="11">
        <f>IFERROR(__xludf.DUMMYFUNCTION("""COMPUTED_VALUE"""),29434.0)</f>
        <v>29434</v>
      </c>
      <c r="C547" s="9">
        <f>IFERROR(__xludf.DUMMYFUNCTION("""COMPUTED_VALUE"""),61.0016)</f>
        <v>61.0016</v>
      </c>
      <c r="E547" s="11"/>
      <c r="H547" s="17"/>
    </row>
    <row r="548">
      <c r="B548" s="11">
        <f>IFERROR(__xludf.DUMMYFUNCTION("""COMPUTED_VALUE"""),29403.0)</f>
        <v>29403</v>
      </c>
      <c r="C548" s="9">
        <f>IFERROR(__xludf.DUMMYFUNCTION("""COMPUTED_VALUE"""),60.7455)</f>
        <v>60.7455</v>
      </c>
      <c r="E548" s="11"/>
      <c r="H548" s="17"/>
    </row>
    <row r="549">
      <c r="B549" s="11">
        <f>IFERROR(__xludf.DUMMYFUNCTION("""COMPUTED_VALUE"""),29373.0)</f>
        <v>29373</v>
      </c>
      <c r="C549" s="9">
        <f>IFERROR(__xludf.DUMMYFUNCTION("""COMPUTED_VALUE"""),60.2264)</f>
        <v>60.2264</v>
      </c>
      <c r="E549" s="11"/>
      <c r="H549" s="17"/>
    </row>
    <row r="550">
      <c r="B550" s="11">
        <f>IFERROR(__xludf.DUMMYFUNCTION("""COMPUTED_VALUE"""),29342.0)</f>
        <v>29342</v>
      </c>
      <c r="C550" s="9">
        <f>IFERROR(__xludf.DUMMYFUNCTION("""COMPUTED_VALUE"""),59.8824)</f>
        <v>59.8824</v>
      </c>
      <c r="E550" s="11"/>
      <c r="H550" s="17"/>
    </row>
    <row r="551">
      <c r="B551" s="11">
        <f>IFERROR(__xludf.DUMMYFUNCTION("""COMPUTED_VALUE"""),29312.0)</f>
        <v>29312</v>
      </c>
      <c r="C551" s="9">
        <f>IFERROR(__xludf.DUMMYFUNCTION("""COMPUTED_VALUE"""),59.7209)</f>
        <v>59.7209</v>
      </c>
      <c r="E551" s="11"/>
      <c r="H551" s="17"/>
    </row>
    <row r="552">
      <c r="B552" s="11">
        <f>IFERROR(__xludf.DUMMYFUNCTION("""COMPUTED_VALUE"""),29281.0)</f>
        <v>29281</v>
      </c>
      <c r="C552" s="9">
        <f>IFERROR(__xludf.DUMMYFUNCTION("""COMPUTED_VALUE"""),59.0304)</f>
        <v>59.0304</v>
      </c>
      <c r="E552" s="11"/>
      <c r="H552" s="17"/>
    </row>
    <row r="553">
      <c r="B553" s="11">
        <f>IFERROR(__xludf.DUMMYFUNCTION("""COMPUTED_VALUE"""),29252.0)</f>
        <v>29252</v>
      </c>
      <c r="C553" s="9">
        <f>IFERROR(__xludf.DUMMYFUNCTION("""COMPUTED_VALUE"""),58.4682)</f>
        <v>58.4682</v>
      </c>
      <c r="E553" s="11"/>
      <c r="H553" s="17"/>
    </row>
    <row r="554">
      <c r="B554" s="11">
        <f>IFERROR(__xludf.DUMMYFUNCTION("""COMPUTED_VALUE"""),29221.0)</f>
        <v>29221</v>
      </c>
      <c r="C554" s="9">
        <f>IFERROR(__xludf.DUMMYFUNCTION("""COMPUTED_VALUE"""),56.3124)</f>
        <v>56.3124</v>
      </c>
      <c r="E554" s="11"/>
      <c r="H554" s="17"/>
    </row>
    <row r="555">
      <c r="B555" s="11">
        <f>IFERROR(__xludf.DUMMYFUNCTION("""COMPUTED_VALUE"""),29190.0)</f>
        <v>29190</v>
      </c>
      <c r="C555" s="9">
        <f>IFERROR(__xludf.DUMMYFUNCTION("""COMPUTED_VALUE"""),55.5607)</f>
        <v>55.5607</v>
      </c>
      <c r="E555" s="11"/>
      <c r="H555" s="17"/>
    </row>
    <row r="556">
      <c r="B556" s="11">
        <f>IFERROR(__xludf.DUMMYFUNCTION("""COMPUTED_VALUE"""),29160.0)</f>
        <v>29160</v>
      </c>
      <c r="C556" s="9">
        <f>IFERROR(__xludf.DUMMYFUNCTION("""COMPUTED_VALUE"""),54.3964)</f>
        <v>54.3964</v>
      </c>
      <c r="E556" s="11"/>
      <c r="H556" s="17"/>
    </row>
    <row r="557">
      <c r="B557" s="11">
        <f>IFERROR(__xludf.DUMMYFUNCTION("""COMPUTED_VALUE"""),29129.0)</f>
        <v>29129</v>
      </c>
      <c r="C557" s="9">
        <f>IFERROR(__xludf.DUMMYFUNCTION("""COMPUTED_VALUE"""),53.2774)</f>
        <v>53.2774</v>
      </c>
      <c r="E557" s="11"/>
      <c r="H557" s="17"/>
    </row>
    <row r="558">
      <c r="B558" s="11">
        <f>IFERROR(__xludf.DUMMYFUNCTION("""COMPUTED_VALUE"""),29099.0)</f>
        <v>29099</v>
      </c>
      <c r="C558" s="9">
        <f>IFERROR(__xludf.DUMMYFUNCTION("""COMPUTED_VALUE"""),51.2595)</f>
        <v>51.2595</v>
      </c>
      <c r="E558" s="11"/>
      <c r="H558" s="17"/>
    </row>
    <row r="559">
      <c r="B559" s="11">
        <f>IFERROR(__xludf.DUMMYFUNCTION("""COMPUTED_VALUE"""),29068.0)</f>
        <v>29068</v>
      </c>
      <c r="C559" s="9">
        <f>IFERROR(__xludf.DUMMYFUNCTION("""COMPUTED_VALUE"""),50.967)</f>
        <v>50.967</v>
      </c>
      <c r="E559" s="11"/>
      <c r="H559" s="17"/>
    </row>
    <row r="560">
      <c r="B560" s="11">
        <f>IFERROR(__xludf.DUMMYFUNCTION("""COMPUTED_VALUE"""),29037.0)</f>
        <v>29037</v>
      </c>
      <c r="C560" s="9">
        <f>IFERROR(__xludf.DUMMYFUNCTION("""COMPUTED_VALUE"""),50.2421)</f>
        <v>50.2421</v>
      </c>
      <c r="E560" s="11"/>
      <c r="H560" s="17"/>
    </row>
    <row r="561">
      <c r="B561" s="11">
        <f>IFERROR(__xludf.DUMMYFUNCTION("""COMPUTED_VALUE"""),29007.0)</f>
        <v>29007</v>
      </c>
      <c r="C561" s="9">
        <f>IFERROR(__xludf.DUMMYFUNCTION("""COMPUTED_VALUE"""),49.4145)</f>
        <v>49.4145</v>
      </c>
      <c r="E561" s="11"/>
      <c r="H561" s="17"/>
    </row>
    <row r="562">
      <c r="B562" s="11">
        <f>IFERROR(__xludf.DUMMYFUNCTION("""COMPUTED_VALUE"""),28976.0)</f>
        <v>28976</v>
      </c>
      <c r="C562" s="9">
        <f>IFERROR(__xludf.DUMMYFUNCTION("""COMPUTED_VALUE"""),48.9534)</f>
        <v>48.9534</v>
      </c>
      <c r="E562" s="11"/>
      <c r="H562" s="17"/>
    </row>
    <row r="563">
      <c r="B563" s="11">
        <f>IFERROR(__xludf.DUMMYFUNCTION("""COMPUTED_VALUE"""),28946.0)</f>
        <v>28946</v>
      </c>
      <c r="C563" s="9">
        <f>IFERROR(__xludf.DUMMYFUNCTION("""COMPUTED_VALUE"""),47.8833)</f>
        <v>47.8833</v>
      </c>
      <c r="E563" s="11"/>
      <c r="H563" s="17"/>
    </row>
    <row r="564">
      <c r="B564" s="11">
        <f>IFERROR(__xludf.DUMMYFUNCTION("""COMPUTED_VALUE"""),28915.0)</f>
        <v>28915</v>
      </c>
      <c r="C564" s="9">
        <f>IFERROR(__xludf.DUMMYFUNCTION("""COMPUTED_VALUE"""),49.2383)</f>
        <v>49.2383</v>
      </c>
      <c r="E564" s="11"/>
      <c r="H564" s="17"/>
    </row>
    <row r="565">
      <c r="B565" s="11">
        <f>IFERROR(__xludf.DUMMYFUNCTION("""COMPUTED_VALUE"""),28887.0)</f>
        <v>28887</v>
      </c>
      <c r="C565" s="9">
        <f>IFERROR(__xludf.DUMMYFUNCTION("""COMPUTED_VALUE"""),49.6305)</f>
        <v>49.6305</v>
      </c>
      <c r="E565" s="11"/>
      <c r="H565" s="17"/>
    </row>
    <row r="566">
      <c r="B566" s="11">
        <f>IFERROR(__xludf.DUMMYFUNCTION("""COMPUTED_VALUE"""),28856.0)</f>
        <v>28856</v>
      </c>
      <c r="C566" s="9">
        <f>IFERROR(__xludf.DUMMYFUNCTION("""COMPUTED_VALUE"""),48.6093)</f>
        <v>48.6093</v>
      </c>
      <c r="E566" s="11"/>
      <c r="H566" s="17"/>
    </row>
    <row r="567">
      <c r="B567" s="11">
        <f>IFERROR(__xludf.DUMMYFUNCTION("""COMPUTED_VALUE"""),28825.0)</f>
        <v>28825</v>
      </c>
      <c r="C567" s="9">
        <f>IFERROR(__xludf.DUMMYFUNCTION("""COMPUTED_VALUE"""),48.2287)</f>
        <v>48.2287</v>
      </c>
      <c r="E567" s="11"/>
      <c r="H567" s="17"/>
    </row>
    <row r="568">
      <c r="B568" s="11">
        <f>IFERROR(__xludf.DUMMYFUNCTION("""COMPUTED_VALUE"""),28795.0)</f>
        <v>28795</v>
      </c>
      <c r="C568" s="9">
        <f>IFERROR(__xludf.DUMMYFUNCTION("""COMPUTED_VALUE"""),47.637)</f>
        <v>47.637</v>
      </c>
      <c r="E568" s="11"/>
      <c r="H568" s="17"/>
    </row>
    <row r="569">
      <c r="B569" s="11">
        <f>IFERROR(__xludf.DUMMYFUNCTION("""COMPUTED_VALUE"""),28764.0)</f>
        <v>28764</v>
      </c>
      <c r="C569" s="9">
        <f>IFERROR(__xludf.DUMMYFUNCTION("""COMPUTED_VALUE"""),47.8524)</f>
        <v>47.8524</v>
      </c>
      <c r="E569" s="11"/>
      <c r="H569" s="17"/>
    </row>
    <row r="570">
      <c r="B570" s="11">
        <f>IFERROR(__xludf.DUMMYFUNCTION("""COMPUTED_VALUE"""),28734.0)</f>
        <v>28734</v>
      </c>
      <c r="C570" s="9">
        <f>IFERROR(__xludf.DUMMYFUNCTION("""COMPUTED_VALUE"""),48.4019)</f>
        <v>48.4019</v>
      </c>
      <c r="E570" s="11"/>
      <c r="H570" s="17"/>
    </row>
    <row r="571">
      <c r="B571" s="11">
        <f>IFERROR(__xludf.DUMMYFUNCTION("""COMPUTED_VALUE"""),28703.0)</f>
        <v>28703</v>
      </c>
      <c r="C571" s="9">
        <f>IFERROR(__xludf.DUMMYFUNCTION("""COMPUTED_VALUE"""),48.4274)</f>
        <v>48.4274</v>
      </c>
      <c r="E571" s="11"/>
      <c r="H571" s="17"/>
    </row>
    <row r="572">
      <c r="B572" s="11">
        <f>IFERROR(__xludf.DUMMYFUNCTION("""COMPUTED_VALUE"""),28672.0)</f>
        <v>28672</v>
      </c>
      <c r="C572" s="9">
        <f>IFERROR(__xludf.DUMMYFUNCTION("""COMPUTED_VALUE"""),47.8103)</f>
        <v>47.8103</v>
      </c>
      <c r="E572" s="11"/>
      <c r="H572" s="17"/>
    </row>
    <row r="573">
      <c r="B573" s="11">
        <f>IFERROR(__xludf.DUMMYFUNCTION("""COMPUTED_VALUE"""),28642.0)</f>
        <v>28642</v>
      </c>
      <c r="C573" s="9">
        <f>IFERROR(__xludf.DUMMYFUNCTION("""COMPUTED_VALUE"""),47.8647)</f>
        <v>47.8647</v>
      </c>
      <c r="E573" s="11"/>
      <c r="H573" s="17"/>
    </row>
    <row r="574">
      <c r="B574" s="11">
        <f>IFERROR(__xludf.DUMMYFUNCTION("""COMPUTED_VALUE"""),28611.0)</f>
        <v>28611</v>
      </c>
      <c r="C574" s="9">
        <f>IFERROR(__xludf.DUMMYFUNCTION("""COMPUTED_VALUE"""),47.3905)</f>
        <v>47.3905</v>
      </c>
      <c r="E574" s="11"/>
      <c r="H574" s="17"/>
    </row>
    <row r="575">
      <c r="B575" s="11">
        <f>IFERROR(__xludf.DUMMYFUNCTION("""COMPUTED_VALUE"""),28581.0)</f>
        <v>28581</v>
      </c>
      <c r="C575" s="9">
        <f>IFERROR(__xludf.DUMMYFUNCTION("""COMPUTED_VALUE"""),47.1863)</f>
        <v>47.1863</v>
      </c>
      <c r="E575" s="11"/>
      <c r="H575" s="17"/>
    </row>
    <row r="576">
      <c r="B576" s="11">
        <f>IFERROR(__xludf.DUMMYFUNCTION("""COMPUTED_VALUE"""),28550.0)</f>
        <v>28550</v>
      </c>
      <c r="C576" s="9">
        <f>IFERROR(__xludf.DUMMYFUNCTION("""COMPUTED_VALUE"""),47.3996)</f>
        <v>47.3996</v>
      </c>
      <c r="E576" s="11"/>
      <c r="H576" s="17"/>
    </row>
    <row r="577">
      <c r="B577" s="11">
        <f>IFERROR(__xludf.DUMMYFUNCTION("""COMPUTED_VALUE"""),28522.0)</f>
        <v>28522</v>
      </c>
      <c r="C577" s="9">
        <f>IFERROR(__xludf.DUMMYFUNCTION("""COMPUTED_VALUE"""),43.5086)</f>
        <v>43.5086</v>
      </c>
      <c r="E577" s="11"/>
      <c r="H577" s="17"/>
    </row>
    <row r="578">
      <c r="B578" s="11">
        <f>IFERROR(__xludf.DUMMYFUNCTION("""COMPUTED_VALUE"""),28491.0)</f>
        <v>28491</v>
      </c>
      <c r="C578" s="9">
        <f>IFERROR(__xludf.DUMMYFUNCTION("""COMPUTED_VALUE"""),45.8245)</f>
        <v>45.8245</v>
      </c>
      <c r="E578" s="11"/>
      <c r="H578" s="17"/>
    </row>
    <row r="579">
      <c r="B579" s="11">
        <f>IFERROR(__xludf.DUMMYFUNCTION("""COMPUTED_VALUE"""),28460.0)</f>
        <v>28460</v>
      </c>
      <c r="C579" s="9">
        <f>IFERROR(__xludf.DUMMYFUNCTION("""COMPUTED_VALUE"""),45.4087)</f>
        <v>45.4087</v>
      </c>
      <c r="E579" s="11"/>
      <c r="H579" s="17"/>
    </row>
    <row r="580">
      <c r="B580" s="11">
        <f>IFERROR(__xludf.DUMMYFUNCTION("""COMPUTED_VALUE"""),28430.0)</f>
        <v>28430</v>
      </c>
      <c r="C580" s="9">
        <f>IFERROR(__xludf.DUMMYFUNCTION("""COMPUTED_VALUE"""),42.4697)</f>
        <v>42.4697</v>
      </c>
      <c r="E580" s="11"/>
      <c r="H580" s="17"/>
    </row>
    <row r="581">
      <c r="B581" s="11">
        <f>IFERROR(__xludf.DUMMYFUNCTION("""COMPUTED_VALUE"""),28399.0)</f>
        <v>28399</v>
      </c>
      <c r="C581" s="9">
        <f>IFERROR(__xludf.DUMMYFUNCTION("""COMPUTED_VALUE"""),42.9311)</f>
        <v>42.9311</v>
      </c>
      <c r="E581" s="11"/>
      <c r="H581" s="17"/>
    </row>
    <row r="582">
      <c r="B582" s="11">
        <f>IFERROR(__xludf.DUMMYFUNCTION("""COMPUTED_VALUE"""),28369.0)</f>
        <v>28369</v>
      </c>
      <c r="C582" s="9">
        <f>IFERROR(__xludf.DUMMYFUNCTION("""COMPUTED_VALUE"""),47.0999)</f>
        <v>47.0999</v>
      </c>
      <c r="E582" s="11"/>
      <c r="H582" s="17"/>
    </row>
    <row r="583">
      <c r="B583" s="11">
        <f>IFERROR(__xludf.DUMMYFUNCTION("""COMPUTED_VALUE"""),28338.0)</f>
        <v>28338</v>
      </c>
      <c r="C583" s="9">
        <f>IFERROR(__xludf.DUMMYFUNCTION("""COMPUTED_VALUE"""),47.0653)</f>
        <v>47.0653</v>
      </c>
      <c r="E583" s="11"/>
      <c r="H583" s="17"/>
    </row>
    <row r="584">
      <c r="B584" s="11">
        <f>IFERROR(__xludf.DUMMYFUNCTION("""COMPUTED_VALUE"""),28307.0)</f>
        <v>28307</v>
      </c>
      <c r="C584" s="9">
        <f>IFERROR(__xludf.DUMMYFUNCTION("""COMPUTED_VALUE"""),47.3599)</f>
        <v>47.3599</v>
      </c>
      <c r="E584" s="11"/>
      <c r="H584" s="17"/>
    </row>
    <row r="585">
      <c r="B585" s="11">
        <f>IFERROR(__xludf.DUMMYFUNCTION("""COMPUTED_VALUE"""),28277.0)</f>
        <v>28277</v>
      </c>
      <c r="C585" s="9">
        <f>IFERROR(__xludf.DUMMYFUNCTION("""COMPUTED_VALUE"""),47.55)</f>
        <v>47.55</v>
      </c>
      <c r="E585" s="11"/>
      <c r="H585" s="17"/>
    </row>
    <row r="586">
      <c r="B586" s="11">
        <f>IFERROR(__xludf.DUMMYFUNCTION("""COMPUTED_VALUE"""),28246.0)</f>
        <v>28246</v>
      </c>
      <c r="C586" s="9">
        <f>IFERROR(__xludf.DUMMYFUNCTION("""COMPUTED_VALUE"""),47.4548)</f>
        <v>47.4548</v>
      </c>
      <c r="E586" s="11"/>
      <c r="H586" s="17"/>
    </row>
    <row r="587">
      <c r="B587" s="11">
        <f>IFERROR(__xludf.DUMMYFUNCTION("""COMPUTED_VALUE"""),28216.0)</f>
        <v>28216</v>
      </c>
      <c r="C587" s="9">
        <f>IFERROR(__xludf.DUMMYFUNCTION("""COMPUTED_VALUE"""),47.7295)</f>
        <v>47.7295</v>
      </c>
      <c r="E587" s="11"/>
      <c r="H587" s="17"/>
    </row>
    <row r="588">
      <c r="B588" s="11">
        <f>IFERROR(__xludf.DUMMYFUNCTION("""COMPUTED_VALUE"""),28185.0)</f>
        <v>28185</v>
      </c>
      <c r="C588" s="9">
        <f>IFERROR(__xludf.DUMMYFUNCTION("""COMPUTED_VALUE"""),47.4074)</f>
        <v>47.4074</v>
      </c>
      <c r="E588" s="11"/>
      <c r="H588" s="17"/>
    </row>
    <row r="589">
      <c r="B589" s="11">
        <f>IFERROR(__xludf.DUMMYFUNCTION("""COMPUTED_VALUE"""),28157.0)</f>
        <v>28157</v>
      </c>
      <c r="C589" s="9">
        <f>IFERROR(__xludf.DUMMYFUNCTION("""COMPUTED_VALUE"""),48.3631)</f>
        <v>48.3631</v>
      </c>
      <c r="E589" s="11"/>
      <c r="H589" s="17"/>
    </row>
    <row r="590">
      <c r="B590" s="11">
        <f>IFERROR(__xludf.DUMMYFUNCTION("""COMPUTED_VALUE"""),28126.0)</f>
        <v>28126</v>
      </c>
      <c r="C590" s="9">
        <f>IFERROR(__xludf.DUMMYFUNCTION("""COMPUTED_VALUE"""),48.4905)</f>
        <v>48.4905</v>
      </c>
      <c r="E590" s="11"/>
      <c r="H590" s="17"/>
    </row>
    <row r="591">
      <c r="B591" s="11">
        <f>IFERROR(__xludf.DUMMYFUNCTION("""COMPUTED_VALUE"""),28095.0)</f>
        <v>28095</v>
      </c>
      <c r="C591" s="9">
        <f>IFERROR(__xludf.DUMMYFUNCTION("""COMPUTED_VALUE"""),49.1939)</f>
        <v>49.1939</v>
      </c>
      <c r="E591" s="11"/>
      <c r="H591" s="17"/>
    </row>
    <row r="592">
      <c r="B592" s="11">
        <f>IFERROR(__xludf.DUMMYFUNCTION("""COMPUTED_VALUE"""),28065.0)</f>
        <v>28065</v>
      </c>
      <c r="C592" s="9">
        <f>IFERROR(__xludf.DUMMYFUNCTION("""COMPUTED_VALUE"""),49.993)</f>
        <v>49.993</v>
      </c>
      <c r="E592" s="11"/>
      <c r="H592" s="17"/>
    </row>
    <row r="593">
      <c r="B593" s="11">
        <f>IFERROR(__xludf.DUMMYFUNCTION("""COMPUTED_VALUE"""),28034.0)</f>
        <v>28034</v>
      </c>
      <c r="C593" s="9">
        <f>IFERROR(__xludf.DUMMYFUNCTION("""COMPUTED_VALUE"""),50.4213)</f>
        <v>50.4213</v>
      </c>
      <c r="E593" s="11"/>
      <c r="H593" s="17"/>
    </row>
    <row r="594">
      <c r="B594" s="11">
        <f>IFERROR(__xludf.DUMMYFUNCTION("""COMPUTED_VALUE"""),28004.0)</f>
        <v>28004</v>
      </c>
      <c r="C594" s="9">
        <f>IFERROR(__xludf.DUMMYFUNCTION("""COMPUTED_VALUE"""),50.5191)</f>
        <v>50.5191</v>
      </c>
      <c r="E594" s="11"/>
      <c r="H594" s="17"/>
    </row>
    <row r="595">
      <c r="B595" s="11">
        <f>IFERROR(__xludf.DUMMYFUNCTION("""COMPUTED_VALUE"""),27973.0)</f>
        <v>27973</v>
      </c>
      <c r="C595" s="9">
        <f>IFERROR(__xludf.DUMMYFUNCTION("""COMPUTED_VALUE"""),50.8308)</f>
        <v>50.8308</v>
      </c>
      <c r="E595" s="11"/>
      <c r="H595" s="17"/>
    </row>
    <row r="596">
      <c r="B596" s="11">
        <f>IFERROR(__xludf.DUMMYFUNCTION("""COMPUTED_VALUE"""),27942.0)</f>
        <v>27942</v>
      </c>
      <c r="C596" s="9">
        <f>IFERROR(__xludf.DUMMYFUNCTION("""COMPUTED_VALUE"""),50.8153)</f>
        <v>50.8153</v>
      </c>
      <c r="E596" s="11"/>
      <c r="H596" s="17"/>
    </row>
    <row r="597">
      <c r="B597" s="11">
        <f>IFERROR(__xludf.DUMMYFUNCTION("""COMPUTED_VALUE"""),27912.0)</f>
        <v>27912</v>
      </c>
      <c r="C597" s="9">
        <f>IFERROR(__xludf.DUMMYFUNCTION("""COMPUTED_VALUE"""),52.2531)</f>
        <v>52.2531</v>
      </c>
      <c r="E597" s="11"/>
      <c r="H597" s="17"/>
    </row>
    <row r="598">
      <c r="B598" s="11">
        <f>IFERROR(__xludf.DUMMYFUNCTION("""COMPUTED_VALUE"""),27881.0)</f>
        <v>27881</v>
      </c>
      <c r="C598" s="9">
        <f>IFERROR(__xludf.DUMMYFUNCTION("""COMPUTED_VALUE"""),52.818)</f>
        <v>52.818</v>
      </c>
      <c r="E598" s="11"/>
      <c r="H598" s="17"/>
    </row>
    <row r="599">
      <c r="B599" s="11">
        <f>IFERROR(__xludf.DUMMYFUNCTION("""COMPUTED_VALUE"""),27851.0)</f>
        <v>27851</v>
      </c>
      <c r="C599" s="9">
        <f>IFERROR(__xludf.DUMMYFUNCTION("""COMPUTED_VALUE"""),53.255)</f>
        <v>53.255</v>
      </c>
      <c r="E599" s="11"/>
      <c r="H599" s="17"/>
    </row>
    <row r="600">
      <c r="B600" s="11">
        <f>IFERROR(__xludf.DUMMYFUNCTION("""COMPUTED_VALUE"""),27820.0)</f>
        <v>27820</v>
      </c>
      <c r="C600" s="9">
        <f>IFERROR(__xludf.DUMMYFUNCTION("""COMPUTED_VALUE"""),54.532)</f>
        <v>54.532</v>
      </c>
      <c r="E600" s="11"/>
      <c r="H600" s="17"/>
    </row>
    <row r="601">
      <c r="B601" s="11">
        <f>IFERROR(__xludf.DUMMYFUNCTION("""COMPUTED_VALUE"""),27791.0)</f>
        <v>27791</v>
      </c>
      <c r="C601" s="9">
        <f>IFERROR(__xludf.DUMMYFUNCTION("""COMPUTED_VALUE"""),54.4563)</f>
        <v>54.4563</v>
      </c>
      <c r="E601" s="11"/>
      <c r="H601" s="17"/>
    </row>
    <row r="602">
      <c r="B602" s="11">
        <f>IFERROR(__xludf.DUMMYFUNCTION("""COMPUTED_VALUE"""),27760.0)</f>
        <v>27760</v>
      </c>
      <c r="C602" s="9">
        <f>IFERROR(__xludf.DUMMYFUNCTION("""COMPUTED_VALUE"""),54.5017)</f>
        <v>54.5017</v>
      </c>
      <c r="E602" s="11"/>
      <c r="H602" s="17"/>
    </row>
    <row r="603">
      <c r="B603" s="11">
        <f>IFERROR(__xludf.DUMMYFUNCTION("""COMPUTED_VALUE"""),27729.0)</f>
        <v>27729</v>
      </c>
      <c r="C603" s="9">
        <f>IFERROR(__xludf.DUMMYFUNCTION("""COMPUTED_VALUE"""),54.6564)</f>
        <v>54.6564</v>
      </c>
      <c r="E603" s="11"/>
      <c r="H603" s="17"/>
    </row>
    <row r="604">
      <c r="B604" s="11">
        <f>IFERROR(__xludf.DUMMYFUNCTION("""COMPUTED_VALUE"""),27699.0)</f>
        <v>27699</v>
      </c>
      <c r="C604" s="9">
        <f>IFERROR(__xludf.DUMMYFUNCTION("""COMPUTED_VALUE"""),52.9731)</f>
        <v>52.9731</v>
      </c>
      <c r="E604" s="11"/>
      <c r="H604" s="17"/>
    </row>
    <row r="605">
      <c r="B605" s="11">
        <f>IFERROR(__xludf.DUMMYFUNCTION("""COMPUTED_VALUE"""),27668.0)</f>
        <v>27668</v>
      </c>
      <c r="C605" s="9">
        <f>IFERROR(__xludf.DUMMYFUNCTION("""COMPUTED_VALUE"""),55.2419)</f>
        <v>55.2419</v>
      </c>
      <c r="E605" s="11"/>
      <c r="H605" s="17"/>
    </row>
    <row r="606">
      <c r="B606" s="11">
        <f>IFERROR(__xludf.DUMMYFUNCTION("""COMPUTED_VALUE"""),27638.0)</f>
        <v>27638</v>
      </c>
      <c r="C606" s="9">
        <f>IFERROR(__xludf.DUMMYFUNCTION("""COMPUTED_VALUE"""),55.1578)</f>
        <v>55.1578</v>
      </c>
      <c r="E606" s="11"/>
      <c r="H606" s="17"/>
    </row>
    <row r="607">
      <c r="B607" s="11">
        <f>IFERROR(__xludf.DUMMYFUNCTION("""COMPUTED_VALUE"""),27607.0)</f>
        <v>27607</v>
      </c>
      <c r="C607" s="9">
        <f>IFERROR(__xludf.DUMMYFUNCTION("""COMPUTED_VALUE"""),53.6991)</f>
        <v>53.6991</v>
      </c>
      <c r="E607" s="11"/>
      <c r="H607" s="17"/>
    </row>
    <row r="608">
      <c r="B608" s="11">
        <f>IFERROR(__xludf.DUMMYFUNCTION("""COMPUTED_VALUE"""),27576.0)</f>
        <v>27576</v>
      </c>
      <c r="C608" s="9">
        <f>IFERROR(__xludf.DUMMYFUNCTION("""COMPUTED_VALUE"""),53.954)</f>
        <v>53.954</v>
      </c>
      <c r="E608" s="11"/>
      <c r="H608" s="17"/>
    </row>
    <row r="609">
      <c r="B609" s="11">
        <f>IFERROR(__xludf.DUMMYFUNCTION("""COMPUTED_VALUE"""),27546.0)</f>
        <v>27546</v>
      </c>
      <c r="C609" s="9">
        <f>IFERROR(__xludf.DUMMYFUNCTION("""COMPUTED_VALUE"""),54.6664)</f>
        <v>54.6664</v>
      </c>
      <c r="E609" s="11"/>
      <c r="H609" s="17"/>
    </row>
    <row r="610">
      <c r="B610" s="11">
        <f>IFERROR(__xludf.DUMMYFUNCTION("""COMPUTED_VALUE"""),27515.0)</f>
        <v>27515</v>
      </c>
      <c r="C610" s="9">
        <f>IFERROR(__xludf.DUMMYFUNCTION("""COMPUTED_VALUE"""),54.0613)</f>
        <v>54.0613</v>
      </c>
      <c r="E610" s="11"/>
      <c r="H610" s="17"/>
    </row>
    <row r="611">
      <c r="B611" s="11">
        <f>IFERROR(__xludf.DUMMYFUNCTION("""COMPUTED_VALUE"""),27485.0)</f>
        <v>27485</v>
      </c>
      <c r="C611" s="9">
        <f>IFERROR(__xludf.DUMMYFUNCTION("""COMPUTED_VALUE"""),51.7098)</f>
        <v>51.7098</v>
      </c>
      <c r="E611" s="11"/>
      <c r="H611" s="17"/>
    </row>
    <row r="612">
      <c r="B612" s="11">
        <f>IFERROR(__xludf.DUMMYFUNCTION("""COMPUTED_VALUE"""),27454.0)</f>
        <v>27454</v>
      </c>
      <c r="C612" s="9">
        <f>IFERROR(__xludf.DUMMYFUNCTION("""COMPUTED_VALUE"""),51.8514)</f>
        <v>51.8514</v>
      </c>
      <c r="E612" s="11"/>
      <c r="H612" s="17"/>
    </row>
    <row r="613">
      <c r="B613" s="11">
        <f>IFERROR(__xludf.DUMMYFUNCTION("""COMPUTED_VALUE"""),27426.0)</f>
        <v>27426</v>
      </c>
      <c r="C613" s="9">
        <f>IFERROR(__xludf.DUMMYFUNCTION("""COMPUTED_VALUE"""),51.3679)</f>
        <v>51.3679</v>
      </c>
      <c r="E613" s="11"/>
      <c r="H613" s="17"/>
    </row>
    <row r="614">
      <c r="B614" s="11">
        <f>IFERROR(__xludf.DUMMYFUNCTION("""COMPUTED_VALUE"""),27395.0)</f>
        <v>27395</v>
      </c>
      <c r="C614" s="9">
        <f>IFERROR(__xludf.DUMMYFUNCTION("""COMPUTED_VALUE"""),54.0004)</f>
        <v>54.0004</v>
      </c>
      <c r="E614" s="11"/>
      <c r="H614" s="17"/>
    </row>
    <row r="615">
      <c r="B615" s="11">
        <f>IFERROR(__xludf.DUMMYFUNCTION("""COMPUTED_VALUE"""),27364.0)</f>
        <v>27364</v>
      </c>
      <c r="C615" s="9">
        <f>IFERROR(__xludf.DUMMYFUNCTION("""COMPUTED_VALUE"""),53.6504)</f>
        <v>53.6504</v>
      </c>
      <c r="E615" s="11"/>
      <c r="H615" s="17"/>
    </row>
    <row r="616">
      <c r="B616" s="11">
        <f>IFERROR(__xludf.DUMMYFUNCTION("""COMPUTED_VALUE"""),27334.0)</f>
        <v>27334</v>
      </c>
      <c r="C616" s="9">
        <f>IFERROR(__xludf.DUMMYFUNCTION("""COMPUTED_VALUE"""),54.3432)</f>
        <v>54.3432</v>
      </c>
      <c r="E616" s="11"/>
      <c r="H616" s="17"/>
    </row>
    <row r="617">
      <c r="B617" s="11">
        <f>IFERROR(__xludf.DUMMYFUNCTION("""COMPUTED_VALUE"""),27303.0)</f>
        <v>27303</v>
      </c>
      <c r="C617" s="9">
        <f>IFERROR(__xludf.DUMMYFUNCTION("""COMPUTED_VALUE"""),54.7462)</f>
        <v>54.7462</v>
      </c>
      <c r="E617" s="11"/>
      <c r="H617" s="17"/>
    </row>
    <row r="618">
      <c r="B618" s="11">
        <f>IFERROR(__xludf.DUMMYFUNCTION("""COMPUTED_VALUE"""),27273.0)</f>
        <v>27273</v>
      </c>
      <c r="C618" s="9">
        <f>IFERROR(__xludf.DUMMYFUNCTION("""COMPUTED_VALUE"""),53.4477)</f>
        <v>53.4477</v>
      </c>
      <c r="E618" s="11"/>
      <c r="H618" s="17"/>
    </row>
    <row r="619">
      <c r="B619" s="11">
        <f>IFERROR(__xludf.DUMMYFUNCTION("""COMPUTED_VALUE"""),27242.0)</f>
        <v>27242</v>
      </c>
      <c r="C619" s="9">
        <f>IFERROR(__xludf.DUMMYFUNCTION("""COMPUTED_VALUE"""),53.6218)</f>
        <v>53.6218</v>
      </c>
      <c r="E619" s="11"/>
      <c r="H619" s="17"/>
    </row>
    <row r="620">
      <c r="B620" s="11">
        <f>IFERROR(__xludf.DUMMYFUNCTION("""COMPUTED_VALUE"""),27211.0)</f>
        <v>27211</v>
      </c>
      <c r="C620" s="9">
        <f>IFERROR(__xludf.DUMMYFUNCTION("""COMPUTED_VALUE"""),52.702)</f>
        <v>52.702</v>
      </c>
      <c r="E620" s="11"/>
      <c r="H620" s="17"/>
    </row>
    <row r="621">
      <c r="B621" s="11">
        <f>IFERROR(__xludf.DUMMYFUNCTION("""COMPUTED_VALUE"""),27181.0)</f>
        <v>27181</v>
      </c>
      <c r="C621" s="9">
        <f>IFERROR(__xludf.DUMMYFUNCTION("""COMPUTED_VALUE"""),51.9947)</f>
        <v>51.9947</v>
      </c>
      <c r="E621" s="11"/>
      <c r="H621" s="17"/>
    </row>
    <row r="622">
      <c r="B622" s="11">
        <f>IFERROR(__xludf.DUMMYFUNCTION("""COMPUTED_VALUE"""),27150.0)</f>
        <v>27150</v>
      </c>
      <c r="C622" s="9">
        <f>IFERROR(__xludf.DUMMYFUNCTION("""COMPUTED_VALUE"""),52.7678)</f>
        <v>52.7678</v>
      </c>
      <c r="E622" s="11"/>
      <c r="H622" s="17"/>
    </row>
    <row r="623">
      <c r="B623" s="11">
        <f>IFERROR(__xludf.DUMMYFUNCTION("""COMPUTED_VALUE"""),27120.0)</f>
        <v>27120</v>
      </c>
      <c r="C623" s="9">
        <f>IFERROR(__xludf.DUMMYFUNCTION("""COMPUTED_VALUE"""),52.5843)</f>
        <v>52.5843</v>
      </c>
      <c r="E623" s="11"/>
      <c r="H623" s="17"/>
    </row>
    <row r="624">
      <c r="B624" s="11">
        <f>IFERROR(__xludf.DUMMYFUNCTION("""COMPUTED_VALUE"""),27089.0)</f>
        <v>27089</v>
      </c>
      <c r="C624" s="9">
        <f>IFERROR(__xludf.DUMMYFUNCTION("""COMPUTED_VALUE"""),52.7394)</f>
        <v>52.7394</v>
      </c>
      <c r="E624" s="11"/>
      <c r="H624" s="17"/>
    </row>
    <row r="625">
      <c r="B625" s="11">
        <f>IFERROR(__xludf.DUMMYFUNCTION("""COMPUTED_VALUE"""),27061.0)</f>
        <v>27061</v>
      </c>
      <c r="C625" s="9">
        <f>IFERROR(__xludf.DUMMYFUNCTION("""COMPUTED_VALUE"""),52.7941)</f>
        <v>52.7941</v>
      </c>
      <c r="E625" s="11"/>
      <c r="H625" s="17"/>
    </row>
    <row r="626">
      <c r="B626" s="11">
        <f>IFERROR(__xludf.DUMMYFUNCTION("""COMPUTED_VALUE"""),27030.0)</f>
        <v>27030</v>
      </c>
      <c r="C626" s="9">
        <f>IFERROR(__xludf.DUMMYFUNCTION("""COMPUTED_VALUE"""),52.3012)</f>
        <v>52.3012</v>
      </c>
      <c r="E626" s="11"/>
      <c r="H626" s="17"/>
    </row>
    <row r="627">
      <c r="B627" s="11">
        <f>IFERROR(__xludf.DUMMYFUNCTION("""COMPUTED_VALUE"""),26999.0)</f>
        <v>26999</v>
      </c>
      <c r="C627" s="9">
        <f>IFERROR(__xludf.DUMMYFUNCTION("""COMPUTED_VALUE"""),52.4551)</f>
        <v>52.4551</v>
      </c>
      <c r="E627" s="11"/>
      <c r="H627" s="17"/>
    </row>
    <row r="628">
      <c r="B628" s="11">
        <f>IFERROR(__xludf.DUMMYFUNCTION("""COMPUTED_VALUE"""),26969.0)</f>
        <v>26969</v>
      </c>
      <c r="C628" s="9">
        <f>IFERROR(__xludf.DUMMYFUNCTION("""COMPUTED_VALUE"""),52.7984)</f>
        <v>52.7984</v>
      </c>
      <c r="E628" s="11"/>
      <c r="H628" s="17"/>
    </row>
    <row r="629">
      <c r="B629" s="11">
        <f>IFERROR(__xludf.DUMMYFUNCTION("""COMPUTED_VALUE"""),26938.0)</f>
        <v>26938</v>
      </c>
      <c r="C629" s="9">
        <f>IFERROR(__xludf.DUMMYFUNCTION("""COMPUTED_VALUE"""),53.4061)</f>
        <v>53.4061</v>
      </c>
      <c r="E629" s="11"/>
      <c r="H629" s="17"/>
    </row>
    <row r="630">
      <c r="B630" s="11">
        <f>IFERROR(__xludf.DUMMYFUNCTION("""COMPUTED_VALUE"""),26908.0)</f>
        <v>26908</v>
      </c>
      <c r="C630" s="9">
        <f>IFERROR(__xludf.DUMMYFUNCTION("""COMPUTED_VALUE"""),51.9472)</f>
        <v>51.9472</v>
      </c>
      <c r="E630" s="11"/>
      <c r="H630" s="17"/>
    </row>
    <row r="631">
      <c r="B631" s="11">
        <f>IFERROR(__xludf.DUMMYFUNCTION("""COMPUTED_VALUE"""),26877.0)</f>
        <v>26877</v>
      </c>
      <c r="C631" s="9">
        <f>IFERROR(__xludf.DUMMYFUNCTION("""COMPUTED_VALUE"""),52.0181)</f>
        <v>52.0181</v>
      </c>
      <c r="E631" s="11"/>
      <c r="H631" s="17"/>
    </row>
    <row r="632">
      <c r="B632" s="11">
        <f>IFERROR(__xludf.DUMMYFUNCTION("""COMPUTED_VALUE"""),26846.0)</f>
        <v>26846</v>
      </c>
      <c r="C632" s="9">
        <f>IFERROR(__xludf.DUMMYFUNCTION("""COMPUTED_VALUE"""),52.0508)</f>
        <v>52.0508</v>
      </c>
      <c r="E632" s="11"/>
      <c r="H632" s="17"/>
    </row>
    <row r="633">
      <c r="B633" s="11">
        <f>IFERROR(__xludf.DUMMYFUNCTION("""COMPUTED_VALUE"""),26816.0)</f>
        <v>26816</v>
      </c>
      <c r="C633" s="9">
        <f>IFERROR(__xludf.DUMMYFUNCTION("""COMPUTED_VALUE"""),51.1141)</f>
        <v>51.1141</v>
      </c>
      <c r="E633" s="11"/>
      <c r="H633" s="17"/>
    </row>
    <row r="634">
      <c r="B634" s="11">
        <f>IFERROR(__xludf.DUMMYFUNCTION("""COMPUTED_VALUE"""),26785.0)</f>
        <v>26785</v>
      </c>
      <c r="C634" s="9">
        <f>IFERROR(__xludf.DUMMYFUNCTION("""COMPUTED_VALUE"""),50.5402)</f>
        <v>50.5402</v>
      </c>
      <c r="E634" s="11"/>
      <c r="H634" s="17"/>
    </row>
    <row r="635">
      <c r="B635" s="11">
        <f>IFERROR(__xludf.DUMMYFUNCTION("""COMPUTED_VALUE"""),26755.0)</f>
        <v>26755</v>
      </c>
      <c r="C635" s="9">
        <f>IFERROR(__xludf.DUMMYFUNCTION("""COMPUTED_VALUE"""),50.1001)</f>
        <v>50.1001</v>
      </c>
      <c r="E635" s="11"/>
      <c r="H635" s="17"/>
    </row>
    <row r="636">
      <c r="B636" s="11">
        <f>IFERROR(__xludf.DUMMYFUNCTION("""COMPUTED_VALUE"""),26724.0)</f>
        <v>26724</v>
      </c>
      <c r="C636" s="9">
        <f>IFERROR(__xludf.DUMMYFUNCTION("""COMPUTED_VALUE"""),50.4667)</f>
        <v>50.4667</v>
      </c>
      <c r="E636" s="11"/>
      <c r="H636" s="17"/>
    </row>
    <row r="637">
      <c r="B637" s="11">
        <f>IFERROR(__xludf.DUMMYFUNCTION("""COMPUTED_VALUE"""),26696.0)</f>
        <v>26696</v>
      </c>
      <c r="C637" s="9">
        <f>IFERROR(__xludf.DUMMYFUNCTION("""COMPUTED_VALUE"""),50.6152)</f>
        <v>50.6152</v>
      </c>
      <c r="E637" s="11"/>
      <c r="H637" s="17"/>
    </row>
    <row r="638">
      <c r="B638" s="11">
        <f>IFERROR(__xludf.DUMMYFUNCTION("""COMPUTED_VALUE"""),26665.0)</f>
        <v>26665</v>
      </c>
      <c r="C638" s="9">
        <f>IFERROR(__xludf.DUMMYFUNCTION("""COMPUTED_VALUE"""),49.5478)</f>
        <v>49.5478</v>
      </c>
      <c r="E638" s="11"/>
      <c r="H638" s="17"/>
    </row>
    <row r="639">
      <c r="B639" s="11">
        <f>IFERROR(__xludf.DUMMYFUNCTION("""COMPUTED_VALUE"""),26634.0)</f>
        <v>26634</v>
      </c>
      <c r="C639" s="9">
        <f>IFERROR(__xludf.DUMMYFUNCTION("""COMPUTED_VALUE"""),48.8554)</f>
        <v>48.8554</v>
      </c>
      <c r="E639" s="11"/>
      <c r="H639" s="17"/>
    </row>
    <row r="640">
      <c r="B640" s="11">
        <f>IFERROR(__xludf.DUMMYFUNCTION("""COMPUTED_VALUE"""),26604.0)</f>
        <v>26604</v>
      </c>
      <c r="C640" s="9">
        <f>IFERROR(__xludf.DUMMYFUNCTION("""COMPUTED_VALUE"""),48.1157)</f>
        <v>48.1157</v>
      </c>
      <c r="E640" s="11"/>
      <c r="H640" s="17"/>
    </row>
    <row r="641">
      <c r="B641" s="11">
        <f>IFERROR(__xludf.DUMMYFUNCTION("""COMPUTED_VALUE"""),26573.0)</f>
        <v>26573</v>
      </c>
      <c r="C641" s="9">
        <f>IFERROR(__xludf.DUMMYFUNCTION("""COMPUTED_VALUE"""),46.7863)</f>
        <v>46.7863</v>
      </c>
      <c r="E641" s="11"/>
      <c r="H641" s="17"/>
    </row>
    <row r="642">
      <c r="B642" s="11">
        <f>IFERROR(__xludf.DUMMYFUNCTION("""COMPUTED_VALUE"""),26543.0)</f>
        <v>26543</v>
      </c>
      <c r="C642" s="9">
        <f>IFERROR(__xludf.DUMMYFUNCTION("""COMPUTED_VALUE"""),46.8725)</f>
        <v>46.8725</v>
      </c>
      <c r="E642" s="11"/>
      <c r="H642" s="17"/>
    </row>
    <row r="643">
      <c r="B643" s="11">
        <f>IFERROR(__xludf.DUMMYFUNCTION("""COMPUTED_VALUE"""),26512.0)</f>
        <v>26512</v>
      </c>
      <c r="C643" s="9">
        <f>IFERROR(__xludf.DUMMYFUNCTION("""COMPUTED_VALUE"""),46.4718)</f>
        <v>46.4718</v>
      </c>
      <c r="E643" s="11"/>
      <c r="H643" s="17"/>
    </row>
    <row r="644">
      <c r="B644" s="11">
        <f>IFERROR(__xludf.DUMMYFUNCTION("""COMPUTED_VALUE"""),26481.0)</f>
        <v>26481</v>
      </c>
      <c r="C644" s="9">
        <f>IFERROR(__xludf.DUMMYFUNCTION("""COMPUTED_VALUE"""),46.4485)</f>
        <v>46.4485</v>
      </c>
      <c r="E644" s="11"/>
      <c r="H644" s="17"/>
    </row>
    <row r="645">
      <c r="B645" s="11">
        <f>IFERROR(__xludf.DUMMYFUNCTION("""COMPUTED_VALUE"""),26451.0)</f>
        <v>26451</v>
      </c>
      <c r="C645" s="9">
        <f>IFERROR(__xludf.DUMMYFUNCTION("""COMPUTED_VALUE"""),46.4413)</f>
        <v>46.4413</v>
      </c>
      <c r="E645" s="11"/>
      <c r="H645" s="17"/>
    </row>
    <row r="646">
      <c r="B646" s="11">
        <f>IFERROR(__xludf.DUMMYFUNCTION("""COMPUTED_VALUE"""),26420.0)</f>
        <v>26420</v>
      </c>
      <c r="C646" s="9">
        <f>IFERROR(__xludf.DUMMYFUNCTION("""COMPUTED_VALUE"""),46.5274)</f>
        <v>46.5274</v>
      </c>
      <c r="E646" s="11"/>
      <c r="H646" s="17"/>
    </row>
    <row r="647">
      <c r="B647" s="11">
        <f>IFERROR(__xludf.DUMMYFUNCTION("""COMPUTED_VALUE"""),26390.0)</f>
        <v>26390</v>
      </c>
      <c r="C647" s="9">
        <f>IFERROR(__xludf.DUMMYFUNCTION("""COMPUTED_VALUE"""),47.0497)</f>
        <v>47.0497</v>
      </c>
      <c r="E647" s="11"/>
      <c r="H647" s="17"/>
    </row>
    <row r="648">
      <c r="B648" s="11">
        <f>IFERROR(__xludf.DUMMYFUNCTION("""COMPUTED_VALUE"""),26359.0)</f>
        <v>26359</v>
      </c>
      <c r="C648" s="9">
        <f>IFERROR(__xludf.DUMMYFUNCTION("""COMPUTED_VALUE"""),46.8066)</f>
        <v>46.8066</v>
      </c>
      <c r="E648" s="11"/>
      <c r="H648" s="17"/>
    </row>
    <row r="649">
      <c r="B649" s="11">
        <f>IFERROR(__xludf.DUMMYFUNCTION("""COMPUTED_VALUE"""),26330.0)</f>
        <v>26330</v>
      </c>
      <c r="C649" s="9">
        <f>IFERROR(__xludf.DUMMYFUNCTION("""COMPUTED_VALUE"""),46.4446)</f>
        <v>46.4446</v>
      </c>
      <c r="E649" s="11"/>
      <c r="H649" s="17"/>
    </row>
    <row r="650">
      <c r="B650" s="11">
        <f>IFERROR(__xludf.DUMMYFUNCTION("""COMPUTED_VALUE"""),26299.0)</f>
        <v>26299</v>
      </c>
      <c r="C650" s="9">
        <f>IFERROR(__xludf.DUMMYFUNCTION("""COMPUTED_VALUE"""),46.2512)</f>
        <v>46.2512</v>
      </c>
      <c r="E650" s="11"/>
      <c r="H650" s="17"/>
    </row>
    <row r="651">
      <c r="B651" s="11">
        <f>IFERROR(__xludf.DUMMYFUNCTION("""COMPUTED_VALUE"""),26268.0)</f>
        <v>26268</v>
      </c>
      <c r="C651" s="9">
        <f>IFERROR(__xludf.DUMMYFUNCTION("""COMPUTED_VALUE"""),46.2594)</f>
        <v>46.2594</v>
      </c>
      <c r="E651" s="11"/>
      <c r="H651" s="17"/>
    </row>
    <row r="652">
      <c r="B652" s="11">
        <f>IFERROR(__xludf.DUMMYFUNCTION("""COMPUTED_VALUE"""),26238.0)</f>
        <v>26238</v>
      </c>
      <c r="C652" s="9">
        <f>IFERROR(__xludf.DUMMYFUNCTION("""COMPUTED_VALUE"""),46.9713)</f>
        <v>46.9713</v>
      </c>
      <c r="E652" s="11"/>
      <c r="H652" s="17"/>
    </row>
    <row r="653">
      <c r="B653" s="11">
        <f>IFERROR(__xludf.DUMMYFUNCTION("""COMPUTED_VALUE"""),26207.0)</f>
        <v>26207</v>
      </c>
      <c r="C653" s="9">
        <f>IFERROR(__xludf.DUMMYFUNCTION("""COMPUTED_VALUE"""),47.3609)</f>
        <v>47.3609</v>
      </c>
      <c r="E653" s="11"/>
      <c r="H653" s="17"/>
    </row>
    <row r="654">
      <c r="B654" s="11">
        <f>IFERROR(__xludf.DUMMYFUNCTION("""COMPUTED_VALUE"""),26177.0)</f>
        <v>26177</v>
      </c>
      <c r="C654" s="9">
        <f>IFERROR(__xludf.DUMMYFUNCTION("""COMPUTED_VALUE"""),47.6664)</f>
        <v>47.6664</v>
      </c>
      <c r="E654" s="11"/>
      <c r="H654" s="17"/>
    </row>
    <row r="655">
      <c r="B655" s="11">
        <f>IFERROR(__xludf.DUMMYFUNCTION("""COMPUTED_VALUE"""),26146.0)</f>
        <v>26146</v>
      </c>
      <c r="C655" s="9">
        <f>IFERROR(__xludf.DUMMYFUNCTION("""COMPUTED_VALUE"""),48.1371)</f>
        <v>48.1371</v>
      </c>
      <c r="E655" s="11"/>
      <c r="H655" s="17"/>
    </row>
    <row r="656">
      <c r="B656" s="11">
        <f>IFERROR(__xludf.DUMMYFUNCTION("""COMPUTED_VALUE"""),26115.0)</f>
        <v>26115</v>
      </c>
      <c r="C656" s="9">
        <f>IFERROR(__xludf.DUMMYFUNCTION("""COMPUTED_VALUE"""),48.1359)</f>
        <v>48.1359</v>
      </c>
      <c r="E656" s="11"/>
      <c r="H656" s="17"/>
    </row>
    <row r="657">
      <c r="B657" s="11">
        <f>IFERROR(__xludf.DUMMYFUNCTION("""COMPUTED_VALUE"""),26085.0)</f>
        <v>26085</v>
      </c>
      <c r="C657" s="9">
        <f>IFERROR(__xludf.DUMMYFUNCTION("""COMPUTED_VALUE"""),48.5033)</f>
        <v>48.5033</v>
      </c>
      <c r="E657" s="11"/>
      <c r="H657" s="17"/>
    </row>
    <row r="658">
      <c r="B658" s="11">
        <f>IFERROR(__xludf.DUMMYFUNCTION("""COMPUTED_VALUE"""),26054.0)</f>
        <v>26054</v>
      </c>
      <c r="C658" s="9">
        <f>IFERROR(__xludf.DUMMYFUNCTION("""COMPUTED_VALUE"""),49.2709)</f>
        <v>49.2709</v>
      </c>
      <c r="E658" s="11"/>
      <c r="H658" s="17"/>
    </row>
    <row r="659">
      <c r="B659" s="11">
        <f>IFERROR(__xludf.DUMMYFUNCTION("""COMPUTED_VALUE"""),26024.0)</f>
        <v>26024</v>
      </c>
      <c r="C659" s="9">
        <f>IFERROR(__xludf.DUMMYFUNCTION("""COMPUTED_VALUE"""),48.6757)</f>
        <v>48.6757</v>
      </c>
      <c r="E659" s="11"/>
      <c r="H659" s="17"/>
    </row>
    <row r="660">
      <c r="B660" s="11">
        <f>IFERROR(__xludf.DUMMYFUNCTION("""COMPUTED_VALUE"""),25993.0)</f>
        <v>25993</v>
      </c>
      <c r="C660" s="9">
        <f>IFERROR(__xludf.DUMMYFUNCTION("""COMPUTED_VALUE"""),48.6222)</f>
        <v>48.6222</v>
      </c>
      <c r="E660" s="11"/>
      <c r="H660" s="17"/>
    </row>
    <row r="661">
      <c r="B661" s="11">
        <f>IFERROR(__xludf.DUMMYFUNCTION("""COMPUTED_VALUE"""),25965.0)</f>
        <v>25965</v>
      </c>
      <c r="C661" s="9">
        <f>IFERROR(__xludf.DUMMYFUNCTION("""COMPUTED_VALUE"""),49.0432)</f>
        <v>49.0432</v>
      </c>
      <c r="E661" s="11"/>
      <c r="H661" s="17"/>
    </row>
    <row r="662">
      <c r="B662" s="11">
        <f>IFERROR(__xludf.DUMMYFUNCTION("""COMPUTED_VALUE"""),25934.0)</f>
        <v>25934</v>
      </c>
      <c r="C662" s="9">
        <f>IFERROR(__xludf.DUMMYFUNCTION("""COMPUTED_VALUE"""),50.2466)</f>
        <v>50.2466</v>
      </c>
      <c r="E662" s="11"/>
      <c r="H662" s="17"/>
    </row>
    <row r="663">
      <c r="B663" s="11">
        <f>IFERROR(__xludf.DUMMYFUNCTION("""COMPUTED_VALUE"""),25903.0)</f>
        <v>25903</v>
      </c>
      <c r="C663" s="9">
        <f>IFERROR(__xludf.DUMMYFUNCTION("""COMPUTED_VALUE"""),49.8765)</f>
        <v>49.8765</v>
      </c>
      <c r="E663" s="11"/>
      <c r="H663" s="17"/>
    </row>
    <row r="664">
      <c r="B664" s="11">
        <f>IFERROR(__xludf.DUMMYFUNCTION("""COMPUTED_VALUE"""),25873.0)</f>
        <v>25873</v>
      </c>
      <c r="C664" s="9">
        <f>IFERROR(__xludf.DUMMYFUNCTION("""COMPUTED_VALUE"""),50.434)</f>
        <v>50.434</v>
      </c>
      <c r="E664" s="11"/>
      <c r="H664" s="17"/>
    </row>
    <row r="665">
      <c r="B665" s="11">
        <f>IFERROR(__xludf.DUMMYFUNCTION("""COMPUTED_VALUE"""),25842.0)</f>
        <v>25842</v>
      </c>
      <c r="C665" s="9">
        <f>IFERROR(__xludf.DUMMYFUNCTION("""COMPUTED_VALUE"""),50.8088)</f>
        <v>50.8088</v>
      </c>
      <c r="E665" s="11"/>
      <c r="H665" s="17"/>
    </row>
    <row r="666">
      <c r="B666" s="11">
        <f>IFERROR(__xludf.DUMMYFUNCTION("""COMPUTED_VALUE"""),25812.0)</f>
        <v>25812</v>
      </c>
      <c r="C666" s="9">
        <f>IFERROR(__xludf.DUMMYFUNCTION("""COMPUTED_VALUE"""),51.5405)</f>
        <v>51.5405</v>
      </c>
      <c r="E666" s="11"/>
      <c r="H666" s="17"/>
    </row>
    <row r="667">
      <c r="B667" s="11">
        <f>IFERROR(__xludf.DUMMYFUNCTION("""COMPUTED_VALUE"""),25781.0)</f>
        <v>25781</v>
      </c>
      <c r="C667" s="9">
        <f>IFERROR(__xludf.DUMMYFUNCTION("""COMPUTED_VALUE"""),52.0666)</f>
        <v>52.0666</v>
      </c>
      <c r="E667" s="11"/>
      <c r="H667" s="17"/>
    </row>
    <row r="668">
      <c r="B668" s="11">
        <f>IFERROR(__xludf.DUMMYFUNCTION("""COMPUTED_VALUE"""),25750.0)</f>
        <v>25750</v>
      </c>
      <c r="C668" s="9">
        <f>IFERROR(__xludf.DUMMYFUNCTION("""COMPUTED_VALUE"""),52.4845)</f>
        <v>52.4845</v>
      </c>
      <c r="E668" s="11"/>
      <c r="H668" s="17"/>
    </row>
    <row r="669">
      <c r="B669" s="11">
        <f>IFERROR(__xludf.DUMMYFUNCTION("""COMPUTED_VALUE"""),25720.0)</f>
        <v>25720</v>
      </c>
      <c r="C669" s="9">
        <f>IFERROR(__xludf.DUMMYFUNCTION("""COMPUTED_VALUE"""),53.3508)</f>
        <v>53.3508</v>
      </c>
      <c r="E669" s="11"/>
      <c r="H669" s="17"/>
    </row>
    <row r="670">
      <c r="B670" s="11">
        <f>IFERROR(__xludf.DUMMYFUNCTION("""COMPUTED_VALUE"""),25689.0)</f>
        <v>25689</v>
      </c>
      <c r="C670" s="9">
        <f>IFERROR(__xludf.DUMMYFUNCTION("""COMPUTED_VALUE"""),54.2999)</f>
        <v>54.2999</v>
      </c>
      <c r="E670" s="11"/>
      <c r="H670" s="17"/>
    </row>
    <row r="671">
      <c r="B671" s="11">
        <f>IFERROR(__xludf.DUMMYFUNCTION("""COMPUTED_VALUE"""),25659.0)</f>
        <v>25659</v>
      </c>
      <c r="C671" s="9">
        <f>IFERROR(__xludf.DUMMYFUNCTION("""COMPUTED_VALUE"""),55.5143)</f>
        <v>55.5143</v>
      </c>
      <c r="E671" s="11"/>
      <c r="H671" s="17"/>
    </row>
    <row r="672">
      <c r="B672" s="11">
        <f>IFERROR(__xludf.DUMMYFUNCTION("""COMPUTED_VALUE"""),25628.0)</f>
        <v>25628</v>
      </c>
      <c r="C672" s="9">
        <f>IFERROR(__xludf.DUMMYFUNCTION("""COMPUTED_VALUE"""),56.7893)</f>
        <v>56.7893</v>
      </c>
      <c r="E672" s="11"/>
      <c r="H672" s="17"/>
    </row>
    <row r="673">
      <c r="B673" s="11">
        <f>IFERROR(__xludf.DUMMYFUNCTION("""COMPUTED_VALUE"""),25600.0)</f>
        <v>25600</v>
      </c>
      <c r="C673" s="9">
        <f>IFERROR(__xludf.DUMMYFUNCTION("""COMPUTED_VALUE"""),58.0724)</f>
        <v>58.0724</v>
      </c>
      <c r="E673" s="11"/>
      <c r="H673" s="17"/>
    </row>
    <row r="674">
      <c r="B674" s="11">
        <f>IFERROR(__xludf.DUMMYFUNCTION("""COMPUTED_VALUE"""),25569.0)</f>
        <v>25569</v>
      </c>
      <c r="C674" s="9">
        <f>IFERROR(__xludf.DUMMYFUNCTION("""COMPUTED_VALUE"""),59.0409)</f>
        <v>59.0409</v>
      </c>
      <c r="E674" s="11"/>
      <c r="H674" s="17"/>
    </row>
    <row r="675">
      <c r="B675" s="11">
        <f>IFERROR(__xludf.DUMMYFUNCTION("""COMPUTED_VALUE"""),25538.0)</f>
        <v>25538</v>
      </c>
      <c r="C675" s="9">
        <f>IFERROR(__xludf.DUMMYFUNCTION("""COMPUTED_VALUE"""),59.8792)</f>
        <v>59.8792</v>
      </c>
      <c r="E675" s="11"/>
      <c r="H675" s="17"/>
    </row>
    <row r="676">
      <c r="B676" s="11">
        <f>IFERROR(__xludf.DUMMYFUNCTION("""COMPUTED_VALUE"""),25508.0)</f>
        <v>25508</v>
      </c>
      <c r="C676" s="9">
        <f>IFERROR(__xludf.DUMMYFUNCTION("""COMPUTED_VALUE"""),60.621)</f>
        <v>60.621</v>
      </c>
      <c r="E676" s="11"/>
      <c r="H676" s="17"/>
    </row>
    <row r="677">
      <c r="B677" s="11">
        <f>IFERROR(__xludf.DUMMYFUNCTION("""COMPUTED_VALUE"""),25477.0)</f>
        <v>25477</v>
      </c>
      <c r="C677" s="9">
        <f>IFERROR(__xludf.DUMMYFUNCTION("""COMPUTED_VALUE"""),61.7336)</f>
        <v>61.7336</v>
      </c>
      <c r="E677" s="11"/>
      <c r="H677" s="17"/>
    </row>
    <row r="678">
      <c r="B678" s="11">
        <f>IFERROR(__xludf.DUMMYFUNCTION("""COMPUTED_VALUE"""),25447.0)</f>
        <v>25447</v>
      </c>
      <c r="C678" s="9">
        <f>IFERROR(__xludf.DUMMYFUNCTION("""COMPUTED_VALUE"""),62.3415)</f>
        <v>62.3415</v>
      </c>
      <c r="E678" s="11"/>
      <c r="H678" s="17"/>
    </row>
    <row r="679">
      <c r="B679" s="11">
        <f>IFERROR(__xludf.DUMMYFUNCTION("""COMPUTED_VALUE"""),25416.0)</f>
        <v>25416</v>
      </c>
      <c r="C679" s="9">
        <f>IFERROR(__xludf.DUMMYFUNCTION("""COMPUTED_VALUE"""),62.697)</f>
        <v>62.697</v>
      </c>
      <c r="E679" s="11"/>
      <c r="H679" s="17"/>
    </row>
    <row r="680">
      <c r="B680" s="11">
        <f>IFERROR(__xludf.DUMMYFUNCTION("""COMPUTED_VALUE"""),25385.0)</f>
        <v>25385</v>
      </c>
      <c r="C680" s="9">
        <f>IFERROR(__xludf.DUMMYFUNCTION("""COMPUTED_VALUE"""),63.6301)</f>
        <v>63.6301</v>
      </c>
      <c r="E680" s="11"/>
      <c r="H680" s="17"/>
    </row>
    <row r="681">
      <c r="B681" s="11">
        <f>IFERROR(__xludf.DUMMYFUNCTION("""COMPUTED_VALUE"""),25355.0)</f>
        <v>25355</v>
      </c>
      <c r="C681" s="9">
        <f>IFERROR(__xludf.DUMMYFUNCTION("""COMPUTED_VALUE"""),63.8528)</f>
        <v>63.8528</v>
      </c>
      <c r="E681" s="11"/>
      <c r="H681" s="17"/>
    </row>
    <row r="682">
      <c r="B682" s="11">
        <f>IFERROR(__xludf.DUMMYFUNCTION("""COMPUTED_VALUE"""),25324.0)</f>
        <v>25324</v>
      </c>
      <c r="C682" s="9">
        <f>IFERROR(__xludf.DUMMYFUNCTION("""COMPUTED_VALUE"""),64.7579)</f>
        <v>64.7579</v>
      </c>
      <c r="E682" s="11"/>
      <c r="H682" s="17"/>
    </row>
    <row r="683">
      <c r="B683" s="11">
        <f>IFERROR(__xludf.DUMMYFUNCTION("""COMPUTED_VALUE"""),25294.0)</f>
        <v>25294</v>
      </c>
      <c r="C683" s="9">
        <f>IFERROR(__xludf.DUMMYFUNCTION("""COMPUTED_VALUE"""),64.8925)</f>
        <v>64.8925</v>
      </c>
      <c r="E683" s="11"/>
      <c r="H683" s="17"/>
    </row>
    <row r="684">
      <c r="B684" s="11">
        <f>IFERROR(__xludf.DUMMYFUNCTION("""COMPUTED_VALUE"""),25263.0)</f>
        <v>25263</v>
      </c>
      <c r="C684" s="9">
        <f>IFERROR(__xludf.DUMMYFUNCTION("""COMPUTED_VALUE"""),65.4017)</f>
        <v>65.4017</v>
      </c>
      <c r="E684" s="11"/>
      <c r="H684" s="17"/>
    </row>
    <row r="685">
      <c r="B685" s="11">
        <f>IFERROR(__xludf.DUMMYFUNCTION("""COMPUTED_VALUE"""),25235.0)</f>
        <v>25235</v>
      </c>
      <c r="C685" s="9">
        <f>IFERROR(__xludf.DUMMYFUNCTION("""COMPUTED_VALUE"""),65.1692)</f>
        <v>65.1692</v>
      </c>
      <c r="E685" s="11"/>
      <c r="H685" s="17"/>
    </row>
    <row r="686">
      <c r="B686" s="11">
        <f>IFERROR(__xludf.DUMMYFUNCTION("""COMPUTED_VALUE"""),25204.0)</f>
        <v>25204</v>
      </c>
      <c r="C686" s="9">
        <f>IFERROR(__xludf.DUMMYFUNCTION("""COMPUTED_VALUE"""),65.6158)</f>
        <v>65.6158</v>
      </c>
      <c r="E686" s="11"/>
      <c r="H686" s="17"/>
    </row>
    <row r="687">
      <c r="B687" s="11">
        <f>IFERROR(__xludf.DUMMYFUNCTION("""COMPUTED_VALUE"""),25173.0)</f>
        <v>25173</v>
      </c>
      <c r="C687" s="9">
        <f>IFERROR(__xludf.DUMMYFUNCTION("""COMPUTED_VALUE"""),65.5232)</f>
        <v>65.5232</v>
      </c>
      <c r="E687" s="11"/>
      <c r="H687" s="17"/>
    </row>
    <row r="688">
      <c r="B688" s="11">
        <f>IFERROR(__xludf.DUMMYFUNCTION("""COMPUTED_VALUE"""),25143.0)</f>
        <v>25143</v>
      </c>
      <c r="C688" s="9">
        <f>IFERROR(__xludf.DUMMYFUNCTION("""COMPUTED_VALUE"""),65.8922)</f>
        <v>65.8922</v>
      </c>
      <c r="E688" s="11"/>
      <c r="H688" s="17"/>
    </row>
    <row r="689">
      <c r="B689" s="11">
        <f>IFERROR(__xludf.DUMMYFUNCTION("""COMPUTED_VALUE"""),25112.0)</f>
        <v>25112</v>
      </c>
      <c r="C689" s="9">
        <f>IFERROR(__xludf.DUMMYFUNCTION("""COMPUTED_VALUE"""),65.1969)</f>
        <v>65.1969</v>
      </c>
      <c r="E689" s="11"/>
      <c r="H689" s="17"/>
    </row>
    <row r="690">
      <c r="B690" s="11">
        <f>IFERROR(__xludf.DUMMYFUNCTION("""COMPUTED_VALUE"""),25082.0)</f>
        <v>25082</v>
      </c>
      <c r="C690" s="9">
        <f>IFERROR(__xludf.DUMMYFUNCTION("""COMPUTED_VALUE"""),66.9582)</f>
        <v>66.9582</v>
      </c>
      <c r="E690" s="11"/>
      <c r="H690" s="17"/>
    </row>
    <row r="691">
      <c r="B691" s="11">
        <f>IFERROR(__xludf.DUMMYFUNCTION("""COMPUTED_VALUE"""),25051.0)</f>
        <v>25051</v>
      </c>
      <c r="C691" s="9">
        <f>IFERROR(__xludf.DUMMYFUNCTION("""COMPUTED_VALUE"""),67.0095)</f>
        <v>67.0095</v>
      </c>
      <c r="E691" s="11"/>
      <c r="H691" s="17"/>
    </row>
    <row r="692">
      <c r="B692" s="11">
        <f>IFERROR(__xludf.DUMMYFUNCTION("""COMPUTED_VALUE"""),25020.0)</f>
        <v>25020</v>
      </c>
      <c r="C692" s="9">
        <f>IFERROR(__xludf.DUMMYFUNCTION("""COMPUTED_VALUE"""),66.8583)</f>
        <v>66.8583</v>
      </c>
      <c r="E692" s="11"/>
      <c r="H692" s="17"/>
    </row>
    <row r="693">
      <c r="B693" s="11">
        <f>IFERROR(__xludf.DUMMYFUNCTION("""COMPUTED_VALUE"""),24990.0)</f>
        <v>24990</v>
      </c>
      <c r="C693" s="9">
        <f>IFERROR(__xludf.DUMMYFUNCTION("""COMPUTED_VALUE"""),66.8504)</f>
        <v>66.8504</v>
      </c>
      <c r="E693" s="11"/>
      <c r="H693" s="17"/>
    </row>
    <row r="694">
      <c r="B694" s="11">
        <f>IFERROR(__xludf.DUMMYFUNCTION("""COMPUTED_VALUE"""),24959.0)</f>
        <v>24959</v>
      </c>
      <c r="C694" s="9">
        <f>IFERROR(__xludf.DUMMYFUNCTION("""COMPUTED_VALUE"""),66.4843)</f>
        <v>66.4843</v>
      </c>
      <c r="E694" s="11"/>
      <c r="H694" s="17"/>
    </row>
    <row r="695">
      <c r="B695" s="11">
        <f>IFERROR(__xludf.DUMMYFUNCTION("""COMPUTED_VALUE"""),24929.0)</f>
        <v>24929</v>
      </c>
      <c r="C695" s="9">
        <f>IFERROR(__xludf.DUMMYFUNCTION("""COMPUTED_VALUE"""),65.5814)</f>
        <v>65.5814</v>
      </c>
      <c r="E695" s="11"/>
      <c r="H695" s="17"/>
    </row>
    <row r="696">
      <c r="B696" s="11">
        <f>IFERROR(__xludf.DUMMYFUNCTION("""COMPUTED_VALUE"""),24898.0)</f>
        <v>24898</v>
      </c>
      <c r="C696" s="9">
        <f>IFERROR(__xludf.DUMMYFUNCTION("""COMPUTED_VALUE"""),66.9158)</f>
        <v>66.9158</v>
      </c>
      <c r="E696" s="11"/>
      <c r="H696" s="17"/>
    </row>
    <row r="697">
      <c r="B697" s="11">
        <f>IFERROR(__xludf.DUMMYFUNCTION("""COMPUTED_VALUE"""),24869.0)</f>
        <v>24869</v>
      </c>
      <c r="C697" s="9">
        <f>IFERROR(__xludf.DUMMYFUNCTION("""COMPUTED_VALUE"""),68.2603)</f>
        <v>68.2603</v>
      </c>
      <c r="E697" s="11"/>
      <c r="H697" s="17"/>
    </row>
    <row r="698">
      <c r="B698" s="11">
        <f>IFERROR(__xludf.DUMMYFUNCTION("""COMPUTED_VALUE"""),24838.0)</f>
        <v>24838</v>
      </c>
      <c r="C698" s="9">
        <f>IFERROR(__xludf.DUMMYFUNCTION("""COMPUTED_VALUE"""),67.4799)</f>
        <v>67.4799</v>
      </c>
      <c r="E698" s="11"/>
      <c r="H698" s="17"/>
    </row>
    <row r="699">
      <c r="B699" s="11">
        <f>IFERROR(__xludf.DUMMYFUNCTION("""COMPUTED_VALUE"""),24807.0)</f>
        <v>24807</v>
      </c>
      <c r="C699" s="9">
        <f>IFERROR(__xludf.DUMMYFUNCTION("""COMPUTED_VALUE"""),67.738)</f>
        <v>67.738</v>
      </c>
      <c r="E699" s="11"/>
      <c r="H699" s="17"/>
    </row>
    <row r="700">
      <c r="B700" s="11">
        <f>IFERROR(__xludf.DUMMYFUNCTION("""COMPUTED_VALUE"""),24777.0)</f>
        <v>24777</v>
      </c>
      <c r="C700" s="9">
        <f>IFERROR(__xludf.DUMMYFUNCTION("""COMPUTED_VALUE"""),67.7619)</f>
        <v>67.7619</v>
      </c>
      <c r="E700" s="11"/>
      <c r="H700" s="17"/>
    </row>
    <row r="701">
      <c r="B701" s="11">
        <f>IFERROR(__xludf.DUMMYFUNCTION("""COMPUTED_VALUE"""),24746.0)</f>
        <v>24746</v>
      </c>
      <c r="C701" s="9">
        <f>IFERROR(__xludf.DUMMYFUNCTION("""COMPUTED_VALUE"""),67.6515)</f>
        <v>67.6515</v>
      </c>
      <c r="E701" s="11"/>
      <c r="H701" s="17"/>
    </row>
    <row r="702">
      <c r="B702" s="11">
        <f>IFERROR(__xludf.DUMMYFUNCTION("""COMPUTED_VALUE"""),24716.0)</f>
        <v>24716</v>
      </c>
      <c r="C702" s="9">
        <f>IFERROR(__xludf.DUMMYFUNCTION("""COMPUTED_VALUE"""),67.1294)</f>
        <v>67.1294</v>
      </c>
      <c r="E702" s="11"/>
      <c r="H702" s="17"/>
    </row>
    <row r="703">
      <c r="B703" s="11">
        <f>IFERROR(__xludf.DUMMYFUNCTION("""COMPUTED_VALUE"""),24685.0)</f>
        <v>24685</v>
      </c>
      <c r="C703" s="9">
        <f>IFERROR(__xludf.DUMMYFUNCTION("""COMPUTED_VALUE"""),66.9143)</f>
        <v>66.9143</v>
      </c>
      <c r="E703" s="11"/>
      <c r="H703" s="17"/>
    </row>
    <row r="704">
      <c r="B704" s="11">
        <f>IFERROR(__xludf.DUMMYFUNCTION("""COMPUTED_VALUE"""),24654.0)</f>
        <v>24654</v>
      </c>
      <c r="C704" s="9">
        <f>IFERROR(__xludf.DUMMYFUNCTION("""COMPUTED_VALUE"""),66.7929)</f>
        <v>66.7929</v>
      </c>
      <c r="E704" s="11"/>
      <c r="H704" s="17"/>
    </row>
    <row r="705">
      <c r="B705" s="11">
        <f>IFERROR(__xludf.DUMMYFUNCTION("""COMPUTED_VALUE"""),24624.0)</f>
        <v>24624</v>
      </c>
      <c r="C705" s="9">
        <f>IFERROR(__xludf.DUMMYFUNCTION("""COMPUTED_VALUE"""),66.4282)</f>
        <v>66.4282</v>
      </c>
      <c r="E705" s="11"/>
      <c r="H705" s="17"/>
    </row>
    <row r="706">
      <c r="B706" s="11">
        <f>IFERROR(__xludf.DUMMYFUNCTION("""COMPUTED_VALUE"""),24593.0)</f>
        <v>24593</v>
      </c>
      <c r="C706" s="9">
        <f>IFERROR(__xludf.DUMMYFUNCTION("""COMPUTED_VALUE"""),66.5784)</f>
        <v>66.5784</v>
      </c>
      <c r="E706" s="11"/>
      <c r="H706" s="17"/>
    </row>
    <row r="707">
      <c r="B707" s="11">
        <f>IFERROR(__xludf.DUMMYFUNCTION("""COMPUTED_VALUE"""),24563.0)</f>
        <v>24563</v>
      </c>
      <c r="C707" s="9">
        <f>IFERROR(__xludf.DUMMYFUNCTION("""COMPUTED_VALUE"""),66.1178)</f>
        <v>66.1178</v>
      </c>
      <c r="E707" s="11"/>
      <c r="H707" s="17"/>
    </row>
    <row r="708">
      <c r="B708" s="11">
        <f>IFERROR(__xludf.DUMMYFUNCTION("""COMPUTED_VALUE"""),24532.0)</f>
        <v>24532</v>
      </c>
      <c r="C708" s="9">
        <f>IFERROR(__xludf.DUMMYFUNCTION("""COMPUTED_VALUE"""),65.4675)</f>
        <v>65.4675</v>
      </c>
      <c r="E708" s="11"/>
      <c r="H708" s="17"/>
    </row>
    <row r="709">
      <c r="B709" s="11">
        <f>IFERROR(__xludf.DUMMYFUNCTION("""COMPUTED_VALUE"""),24504.0)</f>
        <v>24504</v>
      </c>
      <c r="C709" s="9">
        <f>IFERROR(__xludf.DUMMYFUNCTION("""COMPUTED_VALUE"""),64.7983)</f>
        <v>64.7983</v>
      </c>
      <c r="E709" s="11"/>
      <c r="H709" s="17"/>
    </row>
    <row r="710">
      <c r="B710" s="11">
        <f>IFERROR(__xludf.DUMMYFUNCTION("""COMPUTED_VALUE"""),24473.0)</f>
        <v>24473</v>
      </c>
      <c r="C710" s="9">
        <f>IFERROR(__xludf.DUMMYFUNCTION("""COMPUTED_VALUE"""),64.0444)</f>
        <v>64.0444</v>
      </c>
      <c r="E710" s="11"/>
      <c r="H710" s="17"/>
    </row>
    <row r="711">
      <c r="B711" s="11">
        <f>IFERROR(__xludf.DUMMYFUNCTION("""COMPUTED_VALUE"""),24442.0)</f>
        <v>24442</v>
      </c>
      <c r="C711" s="9">
        <f>IFERROR(__xludf.DUMMYFUNCTION("""COMPUTED_VALUE"""),62.9699)</f>
        <v>62.9699</v>
      </c>
      <c r="E711" s="11"/>
      <c r="H711" s="17"/>
    </row>
    <row r="712">
      <c r="B712" s="11">
        <f>IFERROR(__xludf.DUMMYFUNCTION("""COMPUTED_VALUE"""),24412.0)</f>
        <v>24412</v>
      </c>
      <c r="C712" s="9">
        <f>IFERROR(__xludf.DUMMYFUNCTION("""COMPUTED_VALUE"""),62.3221)</f>
        <v>62.3221</v>
      </c>
      <c r="E712" s="11"/>
      <c r="H712" s="17"/>
    </row>
    <row r="713">
      <c r="B713" s="11">
        <f>IFERROR(__xludf.DUMMYFUNCTION("""COMPUTED_VALUE"""),24381.0)</f>
        <v>24381</v>
      </c>
      <c r="C713" s="9">
        <f>IFERROR(__xludf.DUMMYFUNCTION("""COMPUTED_VALUE"""),61.2117)</f>
        <v>61.2117</v>
      </c>
      <c r="E713" s="11"/>
      <c r="H713" s="17"/>
    </row>
    <row r="714">
      <c r="B714" s="11">
        <f>IFERROR(__xludf.DUMMYFUNCTION("""COMPUTED_VALUE"""),24351.0)</f>
        <v>24351</v>
      </c>
      <c r="C714" s="9">
        <f>IFERROR(__xludf.DUMMYFUNCTION("""COMPUTED_VALUE"""),60.2863)</f>
        <v>60.2863</v>
      </c>
      <c r="E714" s="11"/>
      <c r="H714" s="17"/>
    </row>
    <row r="715">
      <c r="B715" s="11">
        <f>IFERROR(__xludf.DUMMYFUNCTION("""COMPUTED_VALUE"""),24320.0)</f>
        <v>24320</v>
      </c>
      <c r="C715" s="9">
        <f>IFERROR(__xludf.DUMMYFUNCTION("""COMPUTED_VALUE"""),59.4998)</f>
        <v>59.4998</v>
      </c>
      <c r="E715" s="11"/>
      <c r="H715" s="17"/>
    </row>
    <row r="716">
      <c r="B716" s="11">
        <f>IFERROR(__xludf.DUMMYFUNCTION("""COMPUTED_VALUE"""),24289.0)</f>
        <v>24289</v>
      </c>
      <c r="C716" s="9">
        <f>IFERROR(__xludf.DUMMYFUNCTION("""COMPUTED_VALUE"""),58.7132)</f>
        <v>58.7132</v>
      </c>
      <c r="E716" s="11"/>
      <c r="H716" s="17"/>
    </row>
    <row r="717">
      <c r="B717" s="11">
        <f>IFERROR(__xludf.DUMMYFUNCTION("""COMPUTED_VALUE"""),24259.0)</f>
        <v>24259</v>
      </c>
      <c r="C717" s="9">
        <f>IFERROR(__xludf.DUMMYFUNCTION("""COMPUTED_VALUE"""),57.9267)</f>
        <v>57.9267</v>
      </c>
      <c r="E717" s="11"/>
      <c r="H717" s="17"/>
    </row>
    <row r="718">
      <c r="B718" s="11">
        <f>IFERROR(__xludf.DUMMYFUNCTION("""COMPUTED_VALUE"""),24228.0)</f>
        <v>24228</v>
      </c>
      <c r="C718" s="9">
        <f>IFERROR(__xludf.DUMMYFUNCTION("""COMPUTED_VALUE"""),57.0939)</f>
        <v>57.0939</v>
      </c>
      <c r="E718" s="11"/>
      <c r="H718" s="17"/>
    </row>
    <row r="719">
      <c r="B719" s="11">
        <f>IFERROR(__xludf.DUMMYFUNCTION("""COMPUTED_VALUE"""),24198.0)</f>
        <v>24198</v>
      </c>
      <c r="C719" s="9">
        <f>IFERROR(__xludf.DUMMYFUNCTION("""COMPUTED_VALUE"""),56.076)</f>
        <v>56.076</v>
      </c>
      <c r="E719" s="11"/>
      <c r="H719" s="17"/>
    </row>
    <row r="720">
      <c r="B720" s="11">
        <f>IFERROR(__xludf.DUMMYFUNCTION("""COMPUTED_VALUE"""),24167.0)</f>
        <v>24167</v>
      </c>
      <c r="C720" s="9">
        <f>IFERROR(__xludf.DUMMYFUNCTION("""COMPUTED_VALUE"""),54.9193)</f>
        <v>54.9193</v>
      </c>
      <c r="E720" s="11"/>
      <c r="H720" s="17"/>
    </row>
    <row r="721">
      <c r="B721" s="11">
        <f>IFERROR(__xludf.DUMMYFUNCTION("""COMPUTED_VALUE"""),24139.0)</f>
        <v>24139</v>
      </c>
      <c r="C721" s="9">
        <f>IFERROR(__xludf.DUMMYFUNCTION("""COMPUTED_VALUE"""),54.4567)</f>
        <v>54.4567</v>
      </c>
      <c r="E721" s="11"/>
      <c r="H721" s="17"/>
    </row>
    <row r="722">
      <c r="B722" s="11">
        <f>IFERROR(__xludf.DUMMYFUNCTION("""COMPUTED_VALUE"""),24108.0)</f>
        <v>24108</v>
      </c>
      <c r="C722" s="9">
        <f>IFERROR(__xludf.DUMMYFUNCTION("""COMPUTED_VALUE"""),53.6238)</f>
        <v>53.6238</v>
      </c>
      <c r="E722" s="11"/>
      <c r="H722" s="17"/>
    </row>
    <row r="723">
      <c r="B723" s="11">
        <f>IFERROR(__xludf.DUMMYFUNCTION("""COMPUTED_VALUE"""),24077.0)</f>
        <v>24077</v>
      </c>
      <c r="C723" s="9">
        <f>IFERROR(__xludf.DUMMYFUNCTION("""COMPUTED_VALUE"""),52.5134)</f>
        <v>52.5134</v>
      </c>
      <c r="E723" s="11"/>
      <c r="H723" s="17"/>
    </row>
    <row r="724">
      <c r="B724" s="11">
        <f>IFERROR(__xludf.DUMMYFUNCTION("""COMPUTED_VALUE"""),24047.0)</f>
        <v>24047</v>
      </c>
      <c r="C724" s="9">
        <f>IFERROR(__xludf.DUMMYFUNCTION("""COMPUTED_VALUE"""),52.0045)</f>
        <v>52.0045</v>
      </c>
      <c r="E724" s="11"/>
      <c r="H724" s="17"/>
    </row>
    <row r="725">
      <c r="B725" s="11">
        <f>IFERROR(__xludf.DUMMYFUNCTION("""COMPUTED_VALUE"""),24016.0)</f>
        <v>24016</v>
      </c>
      <c r="C725" s="9">
        <f>IFERROR(__xludf.DUMMYFUNCTION("""COMPUTED_VALUE"""),51.5418)</f>
        <v>51.5418</v>
      </c>
      <c r="E725" s="11"/>
      <c r="H725" s="17"/>
    </row>
    <row r="726">
      <c r="B726" s="11">
        <f>IFERROR(__xludf.DUMMYFUNCTION("""COMPUTED_VALUE"""),23986.0)</f>
        <v>23986</v>
      </c>
      <c r="C726" s="9">
        <f>IFERROR(__xludf.DUMMYFUNCTION("""COMPUTED_VALUE"""),50.894)</f>
        <v>50.894</v>
      </c>
      <c r="E726" s="11"/>
      <c r="H726" s="17"/>
    </row>
    <row r="727">
      <c r="B727" s="11">
        <f>IFERROR(__xludf.DUMMYFUNCTION("""COMPUTED_VALUE"""),23955.0)</f>
        <v>23955</v>
      </c>
      <c r="C727" s="9">
        <f>IFERROR(__xludf.DUMMYFUNCTION("""COMPUTED_VALUE"""),50.8015)</f>
        <v>50.8015</v>
      </c>
      <c r="E727" s="11"/>
      <c r="H727" s="17"/>
    </row>
    <row r="728">
      <c r="B728" s="11">
        <f>IFERROR(__xludf.DUMMYFUNCTION("""COMPUTED_VALUE"""),23924.0)</f>
        <v>23924</v>
      </c>
      <c r="C728" s="9">
        <f>IFERROR(__xludf.DUMMYFUNCTION("""COMPUTED_VALUE"""),50.3851)</f>
        <v>50.3851</v>
      </c>
      <c r="E728" s="11"/>
      <c r="H728" s="17"/>
    </row>
    <row r="729">
      <c r="B729" s="11">
        <f>IFERROR(__xludf.DUMMYFUNCTION("""COMPUTED_VALUE"""),23894.0)</f>
        <v>23894</v>
      </c>
      <c r="C729" s="9">
        <f>IFERROR(__xludf.DUMMYFUNCTION("""COMPUTED_VALUE"""),49.5986)</f>
        <v>49.5986</v>
      </c>
      <c r="E729" s="11"/>
      <c r="H729" s="17"/>
    </row>
    <row r="730">
      <c r="B730" s="11">
        <f>IFERROR(__xludf.DUMMYFUNCTION("""COMPUTED_VALUE"""),23863.0)</f>
        <v>23863</v>
      </c>
      <c r="C730" s="9">
        <f>IFERROR(__xludf.DUMMYFUNCTION("""COMPUTED_VALUE"""),48.9971)</f>
        <v>48.9971</v>
      </c>
      <c r="E730" s="11"/>
      <c r="H730" s="17"/>
    </row>
    <row r="731">
      <c r="B731" s="11">
        <f>IFERROR(__xludf.DUMMYFUNCTION("""COMPUTED_VALUE"""),23833.0)</f>
        <v>23833</v>
      </c>
      <c r="C731" s="9">
        <f>IFERROR(__xludf.DUMMYFUNCTION("""COMPUTED_VALUE"""),47.9792)</f>
        <v>47.9792</v>
      </c>
      <c r="E731" s="11"/>
      <c r="H731" s="17"/>
    </row>
    <row r="732">
      <c r="B732" s="11">
        <f>IFERROR(__xludf.DUMMYFUNCTION("""COMPUTED_VALUE"""),23802.0)</f>
        <v>23802</v>
      </c>
      <c r="C732" s="9">
        <f>IFERROR(__xludf.DUMMYFUNCTION("""COMPUTED_VALUE"""),47.3777)</f>
        <v>47.3777</v>
      </c>
      <c r="E732" s="11"/>
      <c r="H732" s="17"/>
    </row>
    <row r="733">
      <c r="B733" s="11">
        <f>IFERROR(__xludf.DUMMYFUNCTION("""COMPUTED_VALUE"""),23774.0)</f>
        <v>23774</v>
      </c>
      <c r="C733" s="9">
        <f>IFERROR(__xludf.DUMMYFUNCTION("""COMPUTED_VALUE"""),46.545)</f>
        <v>46.545</v>
      </c>
      <c r="E733" s="11"/>
      <c r="H733" s="17"/>
    </row>
    <row r="734">
      <c r="B734" s="11">
        <f>IFERROR(__xludf.DUMMYFUNCTION("""COMPUTED_VALUE"""),23743.0)</f>
        <v>23743</v>
      </c>
      <c r="C734" s="9">
        <f>IFERROR(__xludf.DUMMYFUNCTION("""COMPUTED_VALUE"""),46.036)</f>
        <v>46.036</v>
      </c>
      <c r="E734" s="11"/>
      <c r="H734" s="17"/>
    </row>
    <row r="735">
      <c r="B735" s="11">
        <f>IFERROR(__xludf.DUMMYFUNCTION("""COMPUTED_VALUE"""),23712.0)</f>
        <v>23712</v>
      </c>
      <c r="C735" s="9">
        <f>IFERROR(__xludf.DUMMYFUNCTION("""COMPUTED_VALUE"""),45.5271)</f>
        <v>45.5271</v>
      </c>
      <c r="E735" s="11"/>
      <c r="H735" s="17"/>
    </row>
    <row r="736">
      <c r="B736" s="11">
        <f>IFERROR(__xludf.DUMMYFUNCTION("""COMPUTED_VALUE"""),23682.0)</f>
        <v>23682</v>
      </c>
      <c r="C736" s="9">
        <f>IFERROR(__xludf.DUMMYFUNCTION("""COMPUTED_VALUE"""),45.2032)</f>
        <v>45.2032</v>
      </c>
      <c r="E736" s="11"/>
      <c r="H736" s="17"/>
    </row>
    <row r="737">
      <c r="B737" s="11">
        <f>IFERROR(__xludf.DUMMYFUNCTION("""COMPUTED_VALUE"""),23651.0)</f>
        <v>23651</v>
      </c>
      <c r="C737" s="9">
        <f>IFERROR(__xludf.DUMMYFUNCTION("""COMPUTED_VALUE"""),44.7405)</f>
        <v>44.7405</v>
      </c>
      <c r="E737" s="11"/>
      <c r="H737" s="17"/>
    </row>
    <row r="738">
      <c r="B738" s="11">
        <f>IFERROR(__xludf.DUMMYFUNCTION("""COMPUTED_VALUE"""),23621.0)</f>
        <v>23621</v>
      </c>
      <c r="C738" s="9">
        <f>IFERROR(__xludf.DUMMYFUNCTION("""COMPUTED_VALUE"""),44.4166)</f>
        <v>44.4166</v>
      </c>
      <c r="E738" s="11"/>
      <c r="H738" s="17"/>
    </row>
    <row r="739">
      <c r="B739" s="11">
        <f>IFERROR(__xludf.DUMMYFUNCTION("""COMPUTED_VALUE"""),23590.0)</f>
        <v>23590</v>
      </c>
      <c r="C739" s="9">
        <f>IFERROR(__xludf.DUMMYFUNCTION("""COMPUTED_VALUE"""),44.139)</f>
        <v>44.139</v>
      </c>
      <c r="E739" s="11"/>
      <c r="H739" s="17"/>
    </row>
    <row r="740">
      <c r="B740" s="11">
        <f>IFERROR(__xludf.DUMMYFUNCTION("""COMPUTED_VALUE"""),23559.0)</f>
        <v>23559</v>
      </c>
      <c r="C740" s="9">
        <f>IFERROR(__xludf.DUMMYFUNCTION("""COMPUTED_VALUE"""),43.9077)</f>
        <v>43.9077</v>
      </c>
      <c r="E740" s="11"/>
      <c r="H740" s="17"/>
    </row>
    <row r="741">
      <c r="B741" s="11">
        <f>IFERROR(__xludf.DUMMYFUNCTION("""COMPUTED_VALUE"""),23529.0)</f>
        <v>23529</v>
      </c>
      <c r="C741" s="9">
        <f>IFERROR(__xludf.DUMMYFUNCTION("""COMPUTED_VALUE"""),44.0002)</f>
        <v>44.0002</v>
      </c>
      <c r="E741" s="11"/>
      <c r="H741" s="17"/>
    </row>
    <row r="742">
      <c r="B742" s="11">
        <f>IFERROR(__xludf.DUMMYFUNCTION("""COMPUTED_VALUE"""),23498.0)</f>
        <v>23498</v>
      </c>
      <c r="C742" s="9">
        <f>IFERROR(__xludf.DUMMYFUNCTION("""COMPUTED_VALUE"""),44.2778)</f>
        <v>44.2778</v>
      </c>
      <c r="E742" s="11"/>
      <c r="H742" s="17"/>
    </row>
    <row r="743">
      <c r="B743" s="11">
        <f>IFERROR(__xludf.DUMMYFUNCTION("""COMPUTED_VALUE"""),23468.0)</f>
        <v>23468</v>
      </c>
      <c r="C743" s="9">
        <f>IFERROR(__xludf.DUMMYFUNCTION("""COMPUTED_VALUE"""),45.0644)</f>
        <v>45.0644</v>
      </c>
      <c r="E743" s="11"/>
      <c r="H743" s="17"/>
    </row>
    <row r="744">
      <c r="B744" s="11">
        <f>IFERROR(__xludf.DUMMYFUNCTION("""COMPUTED_VALUE"""),23437.0)</f>
        <v>23437</v>
      </c>
      <c r="C744" s="9">
        <f>IFERROR(__xludf.DUMMYFUNCTION("""COMPUTED_VALUE"""),45.1569)</f>
        <v>45.1569</v>
      </c>
      <c r="E744" s="11"/>
      <c r="H744" s="17"/>
    </row>
    <row r="745">
      <c r="B745" s="11">
        <f>IFERROR(__xludf.DUMMYFUNCTION("""COMPUTED_VALUE"""),23408.0)</f>
        <v>23408</v>
      </c>
      <c r="C745" s="9">
        <f>IFERROR(__xludf.DUMMYFUNCTION("""COMPUTED_VALUE"""),45.2495)</f>
        <v>45.2495</v>
      </c>
      <c r="E745" s="11"/>
      <c r="H745" s="17"/>
    </row>
    <row r="746">
      <c r="B746" s="11">
        <f>IFERROR(__xludf.DUMMYFUNCTION("""COMPUTED_VALUE"""),23377.0)</f>
        <v>23377</v>
      </c>
      <c r="C746" s="9">
        <f>IFERROR(__xludf.DUMMYFUNCTION("""COMPUTED_VALUE"""),45.6659)</f>
        <v>45.6659</v>
      </c>
      <c r="E746" s="11"/>
      <c r="H746" s="17"/>
    </row>
    <row r="747">
      <c r="B747" s="11">
        <f>IFERROR(__xludf.DUMMYFUNCTION("""COMPUTED_VALUE"""),23346.0)</f>
        <v>23346</v>
      </c>
      <c r="C747" s="9">
        <f>IFERROR(__xludf.DUMMYFUNCTION("""COMPUTED_VALUE"""),46.1285)</f>
        <v>46.1285</v>
      </c>
      <c r="E747" s="11"/>
      <c r="H747" s="17"/>
    </row>
    <row r="748">
      <c r="B748" s="11">
        <f>IFERROR(__xludf.DUMMYFUNCTION("""COMPUTED_VALUE"""),23316.0)</f>
        <v>23316</v>
      </c>
      <c r="C748" s="9">
        <f>IFERROR(__xludf.DUMMYFUNCTION("""COMPUTED_VALUE"""),45.9897)</f>
        <v>45.9897</v>
      </c>
      <c r="E748" s="11"/>
      <c r="H748" s="17"/>
    </row>
    <row r="749">
      <c r="B749" s="11">
        <f>IFERROR(__xludf.DUMMYFUNCTION("""COMPUTED_VALUE"""),23285.0)</f>
        <v>23285</v>
      </c>
      <c r="C749" s="9">
        <f>IFERROR(__xludf.DUMMYFUNCTION("""COMPUTED_VALUE"""),46.1748)</f>
        <v>46.1748</v>
      </c>
      <c r="E749" s="11"/>
      <c r="H749" s="17"/>
    </row>
    <row r="750">
      <c r="B750" s="11">
        <f>IFERROR(__xludf.DUMMYFUNCTION("""COMPUTED_VALUE"""),23255.0)</f>
        <v>23255</v>
      </c>
      <c r="C750" s="9">
        <f>IFERROR(__xludf.DUMMYFUNCTION("""COMPUTED_VALUE"""),46.1748)</f>
        <v>46.1748</v>
      </c>
      <c r="E750" s="11"/>
      <c r="H750" s="17"/>
    </row>
    <row r="751">
      <c r="B751" s="11">
        <f>IFERROR(__xludf.DUMMYFUNCTION("""COMPUTED_VALUE"""),23224.0)</f>
        <v>23224</v>
      </c>
      <c r="C751" s="9">
        <f>IFERROR(__xludf.DUMMYFUNCTION("""COMPUTED_VALUE"""),45.9897)</f>
        <v>45.9897</v>
      </c>
      <c r="E751" s="11"/>
      <c r="H751" s="17"/>
    </row>
    <row r="752">
      <c r="B752" s="11">
        <f>IFERROR(__xludf.DUMMYFUNCTION("""COMPUTED_VALUE"""),23193.0)</f>
        <v>23193</v>
      </c>
      <c r="C752" s="9">
        <f>IFERROR(__xludf.DUMMYFUNCTION("""COMPUTED_VALUE"""),45.8046)</f>
        <v>45.8046</v>
      </c>
      <c r="E752" s="11"/>
      <c r="H752" s="17"/>
    </row>
    <row r="753">
      <c r="B753" s="11">
        <f>IFERROR(__xludf.DUMMYFUNCTION("""COMPUTED_VALUE"""),23163.0)</f>
        <v>23163</v>
      </c>
      <c r="C753" s="9">
        <f>IFERROR(__xludf.DUMMYFUNCTION("""COMPUTED_VALUE"""),46.2673)</f>
        <v>46.2673</v>
      </c>
      <c r="E753" s="11"/>
      <c r="H753" s="17"/>
    </row>
    <row r="754">
      <c r="B754" s="11">
        <f>IFERROR(__xludf.DUMMYFUNCTION("""COMPUTED_VALUE"""),23132.0)</f>
        <v>23132</v>
      </c>
      <c r="C754" s="9">
        <f>IFERROR(__xludf.DUMMYFUNCTION("""COMPUTED_VALUE"""),46.3136)</f>
        <v>46.3136</v>
      </c>
      <c r="E754" s="11"/>
      <c r="H754" s="17"/>
    </row>
    <row r="755">
      <c r="B755" s="11">
        <f>IFERROR(__xludf.DUMMYFUNCTION("""COMPUTED_VALUE"""),23102.0)</f>
        <v>23102</v>
      </c>
      <c r="C755" s="9">
        <f>IFERROR(__xludf.DUMMYFUNCTION("""COMPUTED_VALUE"""),46.3136)</f>
        <v>46.3136</v>
      </c>
      <c r="E755" s="11"/>
      <c r="H755" s="17"/>
    </row>
    <row r="756">
      <c r="B756" s="11">
        <f>IFERROR(__xludf.DUMMYFUNCTION("""COMPUTED_VALUE"""),23071.0)</f>
        <v>23071</v>
      </c>
      <c r="C756" s="9">
        <f>IFERROR(__xludf.DUMMYFUNCTION("""COMPUTED_VALUE"""),46.3598)</f>
        <v>46.3598</v>
      </c>
      <c r="E756" s="11"/>
      <c r="H756" s="17"/>
    </row>
    <row r="757">
      <c r="B757" s="11">
        <f>IFERROR(__xludf.DUMMYFUNCTION("""COMPUTED_VALUE"""),23043.0)</f>
        <v>23043</v>
      </c>
      <c r="C757" s="9">
        <f>IFERROR(__xludf.DUMMYFUNCTION("""COMPUTED_VALUE"""),46.6375)</f>
        <v>46.6375</v>
      </c>
      <c r="E757" s="11"/>
      <c r="H757" s="17"/>
    </row>
    <row r="758">
      <c r="B758" s="11">
        <f>IFERROR(__xludf.DUMMYFUNCTION("""COMPUTED_VALUE"""),23012.0)</f>
        <v>23012</v>
      </c>
      <c r="C758" s="9">
        <f>IFERROR(__xludf.DUMMYFUNCTION("""COMPUTED_VALUE"""),46.9614)</f>
        <v>46.9614</v>
      </c>
      <c r="E758" s="11"/>
      <c r="H758" s="17"/>
    </row>
    <row r="759">
      <c r="B759" s="11">
        <f>IFERROR(__xludf.DUMMYFUNCTION("""COMPUTED_VALUE"""),22981.0)</f>
        <v>22981</v>
      </c>
      <c r="C759" s="9">
        <f>IFERROR(__xludf.DUMMYFUNCTION("""COMPUTED_VALUE"""),44.8793)</f>
        <v>44.8793</v>
      </c>
      <c r="E759" s="11"/>
      <c r="H759" s="17"/>
    </row>
    <row r="760">
      <c r="B760" s="11">
        <f>IFERROR(__xludf.DUMMYFUNCTION("""COMPUTED_VALUE"""),22951.0)</f>
        <v>22951</v>
      </c>
      <c r="C760" s="9">
        <f>IFERROR(__xludf.DUMMYFUNCTION("""COMPUTED_VALUE"""),44.6942)</f>
        <v>44.6942</v>
      </c>
      <c r="E760" s="11"/>
      <c r="H760" s="17"/>
    </row>
    <row r="761">
      <c r="B761" s="11">
        <f>IFERROR(__xludf.DUMMYFUNCTION("""COMPUTED_VALUE"""),22920.0)</f>
        <v>22920</v>
      </c>
      <c r="C761" s="9">
        <f>IFERROR(__xludf.DUMMYFUNCTION("""COMPUTED_VALUE"""),44.2316)</f>
        <v>44.2316</v>
      </c>
      <c r="E761" s="11"/>
      <c r="H761" s="17"/>
    </row>
    <row r="762">
      <c r="B762" s="11">
        <f>IFERROR(__xludf.DUMMYFUNCTION("""COMPUTED_VALUE"""),22890.0)</f>
        <v>22890</v>
      </c>
      <c r="C762" s="9">
        <f>IFERROR(__xludf.DUMMYFUNCTION("""COMPUTED_VALUE"""),44.0928)</f>
        <v>44.0928</v>
      </c>
      <c r="E762" s="11"/>
      <c r="H762" s="17"/>
    </row>
    <row r="763">
      <c r="B763" s="11">
        <f>IFERROR(__xludf.DUMMYFUNCTION("""COMPUTED_VALUE"""),22859.0)</f>
        <v>22859</v>
      </c>
      <c r="C763" s="9">
        <f>IFERROR(__xludf.DUMMYFUNCTION("""COMPUTED_VALUE"""),44.0002)</f>
        <v>44.0002</v>
      </c>
      <c r="E763" s="11"/>
      <c r="H763" s="17"/>
    </row>
    <row r="764">
      <c r="B764" s="11">
        <f>IFERROR(__xludf.DUMMYFUNCTION("""COMPUTED_VALUE"""),22828.0)</f>
        <v>22828</v>
      </c>
      <c r="C764" s="9">
        <f>IFERROR(__xludf.DUMMYFUNCTION("""COMPUTED_VALUE"""),43.3988)</f>
        <v>43.3988</v>
      </c>
      <c r="E764" s="11"/>
      <c r="H764" s="17"/>
    </row>
    <row r="765">
      <c r="B765" s="11">
        <f>IFERROR(__xludf.DUMMYFUNCTION("""COMPUTED_VALUE"""),22798.0)</f>
        <v>22798</v>
      </c>
      <c r="C765" s="9">
        <f>IFERROR(__xludf.DUMMYFUNCTION("""COMPUTED_VALUE"""),42.5659)</f>
        <v>42.5659</v>
      </c>
      <c r="E765" s="11"/>
      <c r="H765" s="17"/>
    </row>
    <row r="766">
      <c r="B766" s="11">
        <f>IFERROR(__xludf.DUMMYFUNCTION("""COMPUTED_VALUE"""),22767.0)</f>
        <v>22767</v>
      </c>
      <c r="C766" s="9">
        <f>IFERROR(__xludf.DUMMYFUNCTION("""COMPUTED_VALUE"""),42.1495)</f>
        <v>42.1495</v>
      </c>
      <c r="E766" s="11"/>
      <c r="H766" s="17"/>
    </row>
    <row r="767">
      <c r="B767" s="11">
        <f>IFERROR(__xludf.DUMMYFUNCTION("""COMPUTED_VALUE"""),22737.0)</f>
        <v>22737</v>
      </c>
      <c r="C767" s="9">
        <f>IFERROR(__xludf.DUMMYFUNCTION("""COMPUTED_VALUE"""),41.8719)</f>
        <v>41.8719</v>
      </c>
      <c r="E767" s="11"/>
      <c r="H767" s="17"/>
    </row>
    <row r="768">
      <c r="B768" s="11">
        <f>IFERROR(__xludf.DUMMYFUNCTION("""COMPUTED_VALUE"""),22706.0)</f>
        <v>22706</v>
      </c>
      <c r="C768" s="9">
        <f>IFERROR(__xludf.DUMMYFUNCTION("""COMPUTED_VALUE"""),41.5018)</f>
        <v>41.5018</v>
      </c>
      <c r="E768" s="11"/>
      <c r="H768" s="17"/>
    </row>
    <row r="769">
      <c r="B769" s="11">
        <f>IFERROR(__xludf.DUMMYFUNCTION("""COMPUTED_VALUE"""),22678.0)</f>
        <v>22678</v>
      </c>
      <c r="C769" s="9">
        <f>IFERROR(__xludf.DUMMYFUNCTION("""COMPUTED_VALUE"""),40.9466)</f>
        <v>40.9466</v>
      </c>
      <c r="E769" s="11"/>
      <c r="H769" s="17"/>
    </row>
    <row r="770">
      <c r="B770" s="11">
        <f>IFERROR(__xludf.DUMMYFUNCTION("""COMPUTED_VALUE"""),22647.0)</f>
        <v>22647</v>
      </c>
      <c r="C770" s="9">
        <f>IFERROR(__xludf.DUMMYFUNCTION("""COMPUTED_VALUE"""),40.2526)</f>
        <v>40.2526</v>
      </c>
      <c r="E770" s="11"/>
      <c r="H770" s="17"/>
    </row>
    <row r="771">
      <c r="B771" s="11">
        <f>IFERROR(__xludf.DUMMYFUNCTION("""COMPUTED_VALUE"""),22616.0)</f>
        <v>22616</v>
      </c>
      <c r="C771" s="9">
        <f>IFERROR(__xludf.DUMMYFUNCTION("""COMPUTED_VALUE"""),39.7899)</f>
        <v>39.7899</v>
      </c>
      <c r="E771" s="11"/>
      <c r="H771" s="17"/>
    </row>
    <row r="772">
      <c r="B772" s="11">
        <f>IFERROR(__xludf.DUMMYFUNCTION("""COMPUTED_VALUE"""),22586.0)</f>
        <v>22586</v>
      </c>
      <c r="C772" s="9">
        <f>IFERROR(__xludf.DUMMYFUNCTION("""COMPUTED_VALUE"""),39.0959)</f>
        <v>39.0959</v>
      </c>
      <c r="E772" s="11"/>
      <c r="H772" s="17"/>
    </row>
    <row r="773">
      <c r="B773" s="11">
        <f>IFERROR(__xludf.DUMMYFUNCTION("""COMPUTED_VALUE"""),22555.0)</f>
        <v>22555</v>
      </c>
      <c r="C773" s="9">
        <f>IFERROR(__xludf.DUMMYFUNCTION("""COMPUTED_VALUE"""),38.1705)</f>
        <v>38.1705</v>
      </c>
      <c r="E773" s="11"/>
      <c r="H773" s="17"/>
    </row>
    <row r="774">
      <c r="B774" s="11">
        <f>IFERROR(__xludf.DUMMYFUNCTION("""COMPUTED_VALUE"""),22525.0)</f>
        <v>22525</v>
      </c>
      <c r="C774" s="9">
        <f>IFERROR(__xludf.DUMMYFUNCTION("""COMPUTED_VALUE"""),37.3377)</f>
        <v>37.3377</v>
      </c>
      <c r="E774" s="11"/>
      <c r="H774" s="17"/>
    </row>
    <row r="775">
      <c r="B775" s="11">
        <f>IFERROR(__xludf.DUMMYFUNCTION("""COMPUTED_VALUE"""),22494.0)</f>
        <v>22494</v>
      </c>
      <c r="C775" s="9">
        <f>IFERROR(__xludf.DUMMYFUNCTION("""COMPUTED_VALUE"""),36.5512)</f>
        <v>36.5512</v>
      </c>
      <c r="E775" s="11"/>
      <c r="H775" s="17"/>
    </row>
    <row r="776">
      <c r="B776" s="11">
        <f>IFERROR(__xludf.DUMMYFUNCTION("""COMPUTED_VALUE"""),22463.0)</f>
        <v>22463</v>
      </c>
      <c r="C776" s="9">
        <f>IFERROR(__xludf.DUMMYFUNCTION("""COMPUTED_VALUE"""),36.3661)</f>
        <v>36.3661</v>
      </c>
      <c r="E776" s="11"/>
      <c r="H776" s="17"/>
    </row>
    <row r="777">
      <c r="B777" s="11">
        <f>IFERROR(__xludf.DUMMYFUNCTION("""COMPUTED_VALUE"""),22433.0)</f>
        <v>22433</v>
      </c>
      <c r="C777" s="9">
        <f>IFERROR(__xludf.DUMMYFUNCTION("""COMPUTED_VALUE"""),36.1348)</f>
        <v>36.1348</v>
      </c>
      <c r="E777" s="11"/>
      <c r="H777" s="17"/>
    </row>
    <row r="778">
      <c r="B778" s="11">
        <f>IFERROR(__xludf.DUMMYFUNCTION("""COMPUTED_VALUE"""),22402.0)</f>
        <v>22402</v>
      </c>
      <c r="C778" s="9">
        <f>IFERROR(__xludf.DUMMYFUNCTION("""COMPUTED_VALUE"""),36.1348)</f>
        <v>36.1348</v>
      </c>
      <c r="E778" s="11"/>
      <c r="H778" s="17"/>
    </row>
    <row r="779">
      <c r="B779" s="11">
        <f>IFERROR(__xludf.DUMMYFUNCTION("""COMPUTED_VALUE"""),22372.0)</f>
        <v>22372</v>
      </c>
      <c r="C779" s="9">
        <f>IFERROR(__xludf.DUMMYFUNCTION("""COMPUTED_VALUE"""),36.1348)</f>
        <v>36.1348</v>
      </c>
      <c r="E779" s="11"/>
      <c r="H779" s="17"/>
    </row>
    <row r="780">
      <c r="B780" s="11">
        <f>IFERROR(__xludf.DUMMYFUNCTION("""COMPUTED_VALUE"""),22341.0)</f>
        <v>22341</v>
      </c>
      <c r="C780" s="9">
        <f>IFERROR(__xludf.DUMMYFUNCTION("""COMPUTED_VALUE"""),36.0422)</f>
        <v>36.0422</v>
      </c>
      <c r="E780" s="11"/>
      <c r="H780" s="17"/>
    </row>
    <row r="781">
      <c r="B781" s="11">
        <f>IFERROR(__xludf.DUMMYFUNCTION("""COMPUTED_VALUE"""),22313.0)</f>
        <v>22313</v>
      </c>
      <c r="C781" s="9">
        <f>IFERROR(__xludf.DUMMYFUNCTION("""COMPUTED_VALUE"""),36.0885)</f>
        <v>36.0885</v>
      </c>
      <c r="E781" s="11"/>
      <c r="H781" s="17"/>
    </row>
    <row r="782">
      <c r="B782" s="11">
        <f>IFERROR(__xludf.DUMMYFUNCTION("""COMPUTED_VALUE"""),22282.0)</f>
        <v>22282</v>
      </c>
      <c r="C782" s="9">
        <f>IFERROR(__xludf.DUMMYFUNCTION("""COMPUTED_VALUE"""),36.3661)</f>
        <v>36.3661</v>
      </c>
      <c r="E782" s="11"/>
      <c r="H782" s="17"/>
    </row>
    <row r="783">
      <c r="B783" s="11">
        <f>IFERROR(__xludf.DUMMYFUNCTION("""COMPUTED_VALUE"""),22251.0)</f>
        <v>22251</v>
      </c>
      <c r="C783" s="9">
        <f>IFERROR(__xludf.DUMMYFUNCTION("""COMPUTED_VALUE"""),35.996)</f>
        <v>35.996</v>
      </c>
      <c r="E783" s="11"/>
      <c r="H783" s="17"/>
    </row>
    <row r="784">
      <c r="B784" s="11">
        <f>IFERROR(__xludf.DUMMYFUNCTION("""COMPUTED_VALUE"""),22221.0)</f>
        <v>22221</v>
      </c>
      <c r="C784" s="9">
        <f>IFERROR(__xludf.DUMMYFUNCTION("""COMPUTED_VALUE"""),36.5512)</f>
        <v>36.5512</v>
      </c>
      <c r="E784" s="11"/>
      <c r="H784" s="17"/>
    </row>
    <row r="785">
      <c r="B785" s="11">
        <f>IFERROR(__xludf.DUMMYFUNCTION("""COMPUTED_VALUE"""),22190.0)</f>
        <v>22190</v>
      </c>
      <c r="C785" s="9">
        <f>IFERROR(__xludf.DUMMYFUNCTION("""COMPUTED_VALUE"""),36.4124)</f>
        <v>36.4124</v>
      </c>
      <c r="E785" s="11"/>
      <c r="H785" s="17"/>
    </row>
    <row r="786">
      <c r="B786" s="11">
        <f>IFERROR(__xludf.DUMMYFUNCTION("""COMPUTED_VALUE"""),22160.0)</f>
        <v>22160</v>
      </c>
      <c r="C786" s="9">
        <f>IFERROR(__xludf.DUMMYFUNCTION("""COMPUTED_VALUE"""),36.7826)</f>
        <v>36.7826</v>
      </c>
      <c r="E786" s="11"/>
      <c r="H786" s="17"/>
    </row>
    <row r="787">
      <c r="B787" s="11">
        <f>IFERROR(__xludf.DUMMYFUNCTION("""COMPUTED_VALUE"""),22129.0)</f>
        <v>22129</v>
      </c>
      <c r="C787" s="9">
        <f>IFERROR(__xludf.DUMMYFUNCTION("""COMPUTED_VALUE"""),36.875)</f>
        <v>36.875</v>
      </c>
      <c r="E787" s="11"/>
      <c r="H787" s="17"/>
    </row>
    <row r="788">
      <c r="B788" s="11">
        <f>IFERROR(__xludf.DUMMYFUNCTION("""COMPUTED_VALUE"""),22098.0)</f>
        <v>22098</v>
      </c>
      <c r="C788" s="9">
        <f>IFERROR(__xludf.DUMMYFUNCTION("""COMPUTED_VALUE"""),36.69)</f>
        <v>36.69</v>
      </c>
      <c r="E788" s="11"/>
      <c r="H788" s="17"/>
    </row>
    <row r="789">
      <c r="B789" s="11">
        <f>IFERROR(__xludf.DUMMYFUNCTION("""COMPUTED_VALUE"""),22068.0)</f>
        <v>22068</v>
      </c>
      <c r="C789" s="9">
        <f>IFERROR(__xludf.DUMMYFUNCTION("""COMPUTED_VALUE"""),35.8109)</f>
        <v>35.8109</v>
      </c>
      <c r="E789" s="11"/>
      <c r="H789" s="17"/>
    </row>
    <row r="790">
      <c r="B790" s="11">
        <f>IFERROR(__xludf.DUMMYFUNCTION("""COMPUTED_VALUE"""),22037.0)</f>
        <v>22037</v>
      </c>
      <c r="C790" s="9">
        <f>IFERROR(__xludf.DUMMYFUNCTION("""COMPUTED_VALUE"""),36.7362)</f>
        <v>36.7362</v>
      </c>
      <c r="E790" s="11"/>
      <c r="H790" s="17"/>
    </row>
    <row r="791">
      <c r="B791" s="11">
        <f>IFERROR(__xludf.DUMMYFUNCTION("""COMPUTED_VALUE"""),22007.0)</f>
        <v>22007</v>
      </c>
      <c r="C791" s="9">
        <f>IFERROR(__xludf.DUMMYFUNCTION("""COMPUTED_VALUE"""),36.3199)</f>
        <v>36.3199</v>
      </c>
      <c r="E791" s="11"/>
      <c r="H791" s="17"/>
    </row>
    <row r="792">
      <c r="B792" s="11">
        <f>IFERROR(__xludf.DUMMYFUNCTION("""COMPUTED_VALUE"""),21976.0)</f>
        <v>21976</v>
      </c>
      <c r="C792" s="9">
        <f>IFERROR(__xludf.DUMMYFUNCTION("""COMPUTED_VALUE"""),36.5512)</f>
        <v>36.5512</v>
      </c>
      <c r="E792" s="11"/>
      <c r="H792" s="17"/>
    </row>
    <row r="793">
      <c r="B793" s="11">
        <f>IFERROR(__xludf.DUMMYFUNCTION("""COMPUTED_VALUE"""),21947.0)</f>
        <v>21947</v>
      </c>
      <c r="C793" s="9">
        <f>IFERROR(__xludf.DUMMYFUNCTION("""COMPUTED_VALUE"""),36.3661)</f>
        <v>36.3661</v>
      </c>
      <c r="E793" s="11"/>
      <c r="H793" s="17"/>
    </row>
    <row r="794">
      <c r="B794" s="11">
        <f>IFERROR(__xludf.DUMMYFUNCTION("""COMPUTED_VALUE"""),21916.0)</f>
        <v>21916</v>
      </c>
      <c r="C794" s="9">
        <f>IFERROR(__xludf.DUMMYFUNCTION("""COMPUTED_VALUE"""),36.181)</f>
        <v>36.181</v>
      </c>
      <c r="E794" s="11"/>
      <c r="H794" s="17"/>
    </row>
    <row r="795">
      <c r="B795" s="11">
        <f>IFERROR(__xludf.DUMMYFUNCTION("""COMPUTED_VALUE"""),21885.0)</f>
        <v>21885</v>
      </c>
      <c r="C795" s="9">
        <f>IFERROR(__xludf.DUMMYFUNCTION("""COMPUTED_VALUE"""),35.9035)</f>
        <v>35.9035</v>
      </c>
      <c r="E795" s="11"/>
      <c r="H795" s="17"/>
    </row>
    <row r="796">
      <c r="B796" s="11">
        <f>IFERROR(__xludf.DUMMYFUNCTION("""COMPUTED_VALUE"""),21855.0)</f>
        <v>21855</v>
      </c>
      <c r="C796" s="9">
        <f>IFERROR(__xludf.DUMMYFUNCTION("""COMPUTED_VALUE"""),35.6259)</f>
        <v>35.6259</v>
      </c>
      <c r="E796" s="11"/>
      <c r="H796" s="17"/>
    </row>
    <row r="797">
      <c r="B797" s="11">
        <f>IFERROR(__xludf.DUMMYFUNCTION("""COMPUTED_VALUE"""),21824.0)</f>
        <v>21824</v>
      </c>
      <c r="C797" s="9">
        <f>IFERROR(__xludf.DUMMYFUNCTION("""COMPUTED_VALUE"""),35.6721)</f>
        <v>35.6721</v>
      </c>
      <c r="E797" s="11"/>
      <c r="H797" s="17"/>
    </row>
    <row r="798">
      <c r="B798" s="11">
        <f>IFERROR(__xludf.DUMMYFUNCTION("""COMPUTED_VALUE"""),21794.0)</f>
        <v>21794</v>
      </c>
      <c r="C798" s="9">
        <f>IFERROR(__xludf.DUMMYFUNCTION("""COMPUTED_VALUE"""),35.7184)</f>
        <v>35.7184</v>
      </c>
      <c r="E798" s="11"/>
      <c r="H798" s="17"/>
    </row>
    <row r="799">
      <c r="B799" s="11">
        <f>IFERROR(__xludf.DUMMYFUNCTION("""COMPUTED_VALUE"""),21763.0)</f>
        <v>21763</v>
      </c>
      <c r="C799" s="9">
        <f>IFERROR(__xludf.DUMMYFUNCTION("""COMPUTED_VALUE"""),35.5333)</f>
        <v>35.5333</v>
      </c>
      <c r="E799" s="11"/>
      <c r="H799" s="17"/>
    </row>
    <row r="800">
      <c r="B800" s="11">
        <f>IFERROR(__xludf.DUMMYFUNCTION("""COMPUTED_VALUE"""),21732.0)</f>
        <v>21732</v>
      </c>
      <c r="C800" s="9">
        <f>IFERROR(__xludf.DUMMYFUNCTION("""COMPUTED_VALUE"""),35.7184)</f>
        <v>35.7184</v>
      </c>
      <c r="E800" s="11"/>
      <c r="H800" s="17"/>
    </row>
    <row r="801">
      <c r="B801" s="11">
        <f>IFERROR(__xludf.DUMMYFUNCTION("""COMPUTED_VALUE"""),21702.0)</f>
        <v>21702</v>
      </c>
      <c r="C801" s="9">
        <f>IFERROR(__xludf.DUMMYFUNCTION("""COMPUTED_VALUE"""),35.5796)</f>
        <v>35.5796</v>
      </c>
      <c r="E801" s="11"/>
      <c r="H801" s="17"/>
    </row>
    <row r="802">
      <c r="B802" s="11">
        <f>IFERROR(__xludf.DUMMYFUNCTION("""COMPUTED_VALUE"""),21671.0)</f>
        <v>21671</v>
      </c>
      <c r="C802" s="9">
        <f>IFERROR(__xludf.DUMMYFUNCTION("""COMPUTED_VALUE"""),35.487)</f>
        <v>35.487</v>
      </c>
      <c r="E802" s="11"/>
      <c r="H802" s="17"/>
    </row>
    <row r="803">
      <c r="B803" s="11">
        <f>IFERROR(__xludf.DUMMYFUNCTION("""COMPUTED_VALUE"""),21641.0)</f>
        <v>21641</v>
      </c>
      <c r="C803" s="9">
        <f>IFERROR(__xludf.DUMMYFUNCTION("""COMPUTED_VALUE"""),35.2094)</f>
        <v>35.2094</v>
      </c>
      <c r="E803" s="11"/>
      <c r="H803" s="17"/>
    </row>
    <row r="804">
      <c r="B804" s="11">
        <f>IFERROR(__xludf.DUMMYFUNCTION("""COMPUTED_VALUE"""),21610.0)</f>
        <v>21610</v>
      </c>
      <c r="C804" s="9">
        <f>IFERROR(__xludf.DUMMYFUNCTION("""COMPUTED_VALUE"""),34.9781)</f>
        <v>34.9781</v>
      </c>
      <c r="E804" s="11"/>
      <c r="H804" s="17"/>
    </row>
    <row r="805">
      <c r="B805" s="11">
        <f>IFERROR(__xludf.DUMMYFUNCTION("""COMPUTED_VALUE"""),21582.0)</f>
        <v>21582</v>
      </c>
      <c r="C805" s="9">
        <f>IFERROR(__xludf.DUMMYFUNCTION("""COMPUTED_VALUE"""),34.8393)</f>
        <v>34.8393</v>
      </c>
      <c r="E805" s="11"/>
      <c r="H805" s="17"/>
    </row>
    <row r="806">
      <c r="B806" s="11">
        <f>IFERROR(__xludf.DUMMYFUNCTION("""COMPUTED_VALUE"""),21551.0)</f>
        <v>21551</v>
      </c>
      <c r="C806" s="9">
        <f>IFERROR(__xludf.DUMMYFUNCTION("""COMPUTED_VALUE"""),35.1632)</f>
        <v>35.1632</v>
      </c>
      <c r="E806" s="11"/>
      <c r="H806" s="17"/>
    </row>
    <row r="807">
      <c r="B807" s="11">
        <f>IFERROR(__xludf.DUMMYFUNCTION("""COMPUTED_VALUE"""),21520.0)</f>
        <v>21520</v>
      </c>
      <c r="C807" s="9">
        <f>IFERROR(__xludf.DUMMYFUNCTION("""COMPUTED_VALUE"""),35.0244)</f>
        <v>35.0244</v>
      </c>
      <c r="E807" s="11"/>
      <c r="H807" s="17"/>
    </row>
    <row r="808">
      <c r="B808" s="11">
        <f>IFERROR(__xludf.DUMMYFUNCTION("""COMPUTED_VALUE"""),21490.0)</f>
        <v>21490</v>
      </c>
      <c r="C808" s="9">
        <f>IFERROR(__xludf.DUMMYFUNCTION("""COMPUTED_VALUE"""),34.9781)</f>
        <v>34.9781</v>
      </c>
      <c r="E808" s="11"/>
      <c r="H808" s="17"/>
    </row>
    <row r="809">
      <c r="B809" s="11">
        <f>IFERROR(__xludf.DUMMYFUNCTION("""COMPUTED_VALUE"""),21459.0)</f>
        <v>21459</v>
      </c>
      <c r="C809" s="9">
        <f>IFERROR(__xludf.DUMMYFUNCTION("""COMPUTED_VALUE"""),34.7005)</f>
        <v>34.7005</v>
      </c>
      <c r="E809" s="11"/>
      <c r="H809" s="17"/>
    </row>
    <row r="810">
      <c r="B810" s="11">
        <f>IFERROR(__xludf.DUMMYFUNCTION("""COMPUTED_VALUE"""),21429.0)</f>
        <v>21429</v>
      </c>
      <c r="C810" s="9">
        <f>IFERROR(__xludf.DUMMYFUNCTION("""COMPUTED_VALUE"""),34.7468)</f>
        <v>34.7468</v>
      </c>
      <c r="E810" s="11"/>
      <c r="H810" s="17"/>
    </row>
    <row r="811">
      <c r="B811" s="11">
        <f>IFERROR(__xludf.DUMMYFUNCTION("""COMPUTED_VALUE"""),21398.0)</f>
        <v>21398</v>
      </c>
      <c r="C811" s="9">
        <f>IFERROR(__xludf.DUMMYFUNCTION("""COMPUTED_VALUE"""),34.5154)</f>
        <v>34.5154</v>
      </c>
      <c r="E811" s="11"/>
      <c r="H811" s="17"/>
    </row>
    <row r="812">
      <c r="B812" s="11">
        <f>IFERROR(__xludf.DUMMYFUNCTION("""COMPUTED_VALUE"""),21367.0)</f>
        <v>21367</v>
      </c>
      <c r="C812" s="9">
        <f>IFERROR(__xludf.DUMMYFUNCTION("""COMPUTED_VALUE"""),34.1916)</f>
        <v>34.1916</v>
      </c>
      <c r="E812" s="11"/>
      <c r="H812" s="17"/>
    </row>
    <row r="813">
      <c r="B813" s="11">
        <f>IFERROR(__xludf.DUMMYFUNCTION("""COMPUTED_VALUE"""),21337.0)</f>
        <v>21337</v>
      </c>
      <c r="C813" s="9">
        <f>IFERROR(__xludf.DUMMYFUNCTION("""COMPUTED_VALUE"""),34.1453)</f>
        <v>34.1453</v>
      </c>
      <c r="E813" s="11"/>
      <c r="H813" s="17"/>
    </row>
    <row r="814">
      <c r="B814" s="11">
        <f>IFERROR(__xludf.DUMMYFUNCTION("""COMPUTED_VALUE"""),21306.0)</f>
        <v>21306</v>
      </c>
      <c r="C814" s="9">
        <f>IFERROR(__xludf.DUMMYFUNCTION("""COMPUTED_VALUE"""),33.2199)</f>
        <v>33.2199</v>
      </c>
      <c r="E814" s="11"/>
      <c r="H814" s="17"/>
    </row>
    <row r="815">
      <c r="B815" s="11">
        <f>IFERROR(__xludf.DUMMYFUNCTION("""COMPUTED_VALUE"""),21276.0)</f>
        <v>21276</v>
      </c>
      <c r="C815" s="9">
        <f>IFERROR(__xludf.DUMMYFUNCTION("""COMPUTED_VALUE"""),32.8498)</f>
        <v>32.8498</v>
      </c>
      <c r="E815" s="11"/>
      <c r="H815" s="17"/>
    </row>
    <row r="816">
      <c r="B816" s="11">
        <f>IFERROR(__xludf.DUMMYFUNCTION("""COMPUTED_VALUE"""),21245.0)</f>
        <v>21245</v>
      </c>
      <c r="C816" s="9">
        <f>IFERROR(__xludf.DUMMYFUNCTION("""COMPUTED_VALUE"""),32.3409)</f>
        <v>32.3409</v>
      </c>
      <c r="E816" s="11"/>
      <c r="H816" s="17"/>
    </row>
    <row r="817">
      <c r="B817" s="11">
        <f>IFERROR(__xludf.DUMMYFUNCTION("""COMPUTED_VALUE"""),21217.0)</f>
        <v>21217</v>
      </c>
      <c r="C817" s="9">
        <f>IFERROR(__xludf.DUMMYFUNCTION("""COMPUTED_VALUE"""),31.6931)</f>
        <v>31.6931</v>
      </c>
      <c r="E817" s="11"/>
      <c r="H817" s="17"/>
    </row>
    <row r="818">
      <c r="B818" s="11">
        <f>IFERROR(__xludf.DUMMYFUNCTION("""COMPUTED_VALUE"""),21186.0)</f>
        <v>21186</v>
      </c>
      <c r="C818" s="9">
        <f>IFERROR(__xludf.DUMMYFUNCTION("""COMPUTED_VALUE"""),31.4618)</f>
        <v>31.4618</v>
      </c>
      <c r="E818" s="11"/>
      <c r="H818" s="17"/>
    </row>
    <row r="819">
      <c r="B819" s="11">
        <f>IFERROR(__xludf.DUMMYFUNCTION("""COMPUTED_VALUE"""),21155.0)</f>
        <v>21155</v>
      </c>
      <c r="C819" s="9">
        <f>IFERROR(__xludf.DUMMYFUNCTION("""COMPUTED_VALUE"""),31.0916)</f>
        <v>31.0916</v>
      </c>
      <c r="E819" s="11"/>
      <c r="H819" s="17"/>
    </row>
    <row r="820">
      <c r="B820" s="11">
        <f>IFERROR(__xludf.DUMMYFUNCTION("""COMPUTED_VALUE"""),21125.0)</f>
        <v>21125</v>
      </c>
      <c r="C820" s="9">
        <f>IFERROR(__xludf.DUMMYFUNCTION("""COMPUTED_VALUE"""),31.323)</f>
        <v>31.323</v>
      </c>
      <c r="E820" s="11"/>
      <c r="H820" s="17"/>
    </row>
    <row r="821">
      <c r="B821" s="11">
        <f>IFERROR(__xludf.DUMMYFUNCTION("""COMPUTED_VALUE"""),21094.0)</f>
        <v>21094</v>
      </c>
      <c r="C821" s="9">
        <f>IFERROR(__xludf.DUMMYFUNCTION("""COMPUTED_VALUE"""),32.4334)</f>
        <v>32.4334</v>
      </c>
      <c r="E821" s="11"/>
      <c r="H821" s="17"/>
    </row>
    <row r="822">
      <c r="B822" s="11">
        <f>IFERROR(__xludf.DUMMYFUNCTION("""COMPUTED_VALUE"""),21064.0)</f>
        <v>21064</v>
      </c>
      <c r="C822" s="9">
        <f>IFERROR(__xludf.DUMMYFUNCTION("""COMPUTED_VALUE"""),33.2199)</f>
        <v>33.2199</v>
      </c>
      <c r="E822" s="11"/>
      <c r="H822" s="17"/>
    </row>
    <row r="823">
      <c r="B823" s="11">
        <f>IFERROR(__xludf.DUMMYFUNCTION("""COMPUTED_VALUE"""),21033.0)</f>
        <v>21033</v>
      </c>
      <c r="C823" s="9">
        <f>IFERROR(__xludf.DUMMYFUNCTION("""COMPUTED_VALUE"""),33.9139)</f>
        <v>33.9139</v>
      </c>
      <c r="E823" s="11"/>
      <c r="H823" s="17"/>
    </row>
    <row r="824">
      <c r="B824" s="11">
        <f>IFERROR(__xludf.DUMMYFUNCTION("""COMPUTED_VALUE"""),21002.0)</f>
        <v>21002</v>
      </c>
      <c r="C824" s="9">
        <f>IFERROR(__xludf.DUMMYFUNCTION("""COMPUTED_VALUE"""),33.8677)</f>
        <v>33.8677</v>
      </c>
      <c r="E824" s="11"/>
      <c r="H824" s="17"/>
    </row>
    <row r="825">
      <c r="B825" s="11">
        <f>IFERROR(__xludf.DUMMYFUNCTION("""COMPUTED_VALUE"""),20972.0)</f>
        <v>20972</v>
      </c>
      <c r="C825" s="9">
        <f>IFERROR(__xludf.DUMMYFUNCTION("""COMPUTED_VALUE"""),34.2378)</f>
        <v>34.2378</v>
      </c>
      <c r="E825" s="11"/>
      <c r="H825" s="17"/>
    </row>
    <row r="826">
      <c r="B826" s="11">
        <f>IFERROR(__xludf.DUMMYFUNCTION("""COMPUTED_VALUE"""),20941.0)</f>
        <v>20941</v>
      </c>
      <c r="C826" s="9">
        <f>IFERROR(__xludf.DUMMYFUNCTION("""COMPUTED_VALUE"""),34.0527)</f>
        <v>34.0527</v>
      </c>
      <c r="E826" s="11"/>
      <c r="H826" s="17"/>
    </row>
    <row r="827">
      <c r="B827" s="11">
        <f>IFERROR(__xludf.DUMMYFUNCTION("""COMPUTED_VALUE"""),20911.0)</f>
        <v>20911</v>
      </c>
      <c r="C827" s="9">
        <f>IFERROR(__xludf.DUMMYFUNCTION("""COMPUTED_VALUE"""),34.5617)</f>
        <v>34.5617</v>
      </c>
      <c r="E827" s="11"/>
      <c r="H827" s="17"/>
    </row>
    <row r="828">
      <c r="B828" s="11">
        <f>IFERROR(__xludf.DUMMYFUNCTION("""COMPUTED_VALUE"""),20880.0)</f>
        <v>20880</v>
      </c>
      <c r="C828" s="9">
        <f>IFERROR(__xludf.DUMMYFUNCTION("""COMPUTED_VALUE"""),34.4692)</f>
        <v>34.4692</v>
      </c>
      <c r="E828" s="11"/>
      <c r="H828" s="17"/>
    </row>
    <row r="829">
      <c r="B829" s="11">
        <f>IFERROR(__xludf.DUMMYFUNCTION("""COMPUTED_VALUE"""),20852.0)</f>
        <v>20852</v>
      </c>
      <c r="C829" s="9">
        <f>IFERROR(__xludf.DUMMYFUNCTION("""COMPUTED_VALUE"""),34.5154)</f>
        <v>34.5154</v>
      </c>
      <c r="E829" s="11"/>
      <c r="H829" s="17"/>
    </row>
    <row r="830">
      <c r="B830" s="11">
        <f>IFERROR(__xludf.DUMMYFUNCTION("""COMPUTED_VALUE"""),20821.0)</f>
        <v>20821</v>
      </c>
      <c r="C830" s="9">
        <f>IFERROR(__xludf.DUMMYFUNCTION("""COMPUTED_VALUE"""),34.3304)</f>
        <v>34.3304</v>
      </c>
      <c r="E830" s="11"/>
      <c r="H830" s="17"/>
    </row>
    <row r="831">
      <c r="B831" s="11">
        <f>IFERROR(__xludf.DUMMYFUNCTION("""COMPUTED_VALUE"""),20790.0)</f>
        <v>20790</v>
      </c>
      <c r="C831" s="9">
        <f>IFERROR(__xludf.DUMMYFUNCTION("""COMPUTED_VALUE"""),34.1916)</f>
        <v>34.1916</v>
      </c>
      <c r="E831" s="11"/>
      <c r="H831" s="17"/>
    </row>
    <row r="832">
      <c r="B832" s="11">
        <f>IFERROR(__xludf.DUMMYFUNCTION("""COMPUTED_VALUE"""),20760.0)</f>
        <v>20760</v>
      </c>
      <c r="C832" s="9">
        <f>IFERROR(__xludf.DUMMYFUNCTION("""COMPUTED_VALUE"""),33.4513)</f>
        <v>33.4513</v>
      </c>
      <c r="E832" s="11"/>
      <c r="H832" s="17"/>
    </row>
    <row r="833">
      <c r="B833" s="11">
        <f>IFERROR(__xludf.DUMMYFUNCTION("""COMPUTED_VALUE"""),20729.0)</f>
        <v>20729</v>
      </c>
      <c r="C833" s="9">
        <f>IFERROR(__xludf.DUMMYFUNCTION("""COMPUTED_VALUE"""),32.9423)</f>
        <v>32.9423</v>
      </c>
      <c r="E833" s="11"/>
      <c r="H833" s="17"/>
    </row>
    <row r="834">
      <c r="B834" s="11">
        <f>IFERROR(__xludf.DUMMYFUNCTION("""COMPUTED_VALUE"""),20699.0)</f>
        <v>20699</v>
      </c>
      <c r="C834" s="9">
        <f>IFERROR(__xludf.DUMMYFUNCTION("""COMPUTED_VALUE"""),32.1095)</f>
        <v>32.1095</v>
      </c>
      <c r="E834" s="11"/>
      <c r="H834" s="17"/>
    </row>
    <row r="835">
      <c r="B835" s="11">
        <f>IFERROR(__xludf.DUMMYFUNCTION("""COMPUTED_VALUE"""),20668.0)</f>
        <v>20668</v>
      </c>
      <c r="C835" s="9">
        <f>IFERROR(__xludf.DUMMYFUNCTION("""COMPUTED_VALUE"""),31.7856)</f>
        <v>31.7856</v>
      </c>
      <c r="E835" s="11"/>
      <c r="H835" s="17"/>
    </row>
    <row r="836">
      <c r="B836" s="11">
        <f>IFERROR(__xludf.DUMMYFUNCTION("""COMPUTED_VALUE"""),20637.0)</f>
        <v>20637</v>
      </c>
      <c r="C836" s="9">
        <f>IFERROR(__xludf.DUMMYFUNCTION("""COMPUTED_VALUE"""),31.4155)</f>
        <v>31.4155</v>
      </c>
      <c r="E836" s="11"/>
      <c r="H836" s="17"/>
    </row>
    <row r="837">
      <c r="B837" s="11">
        <f>IFERROR(__xludf.DUMMYFUNCTION("""COMPUTED_VALUE"""),20607.0)</f>
        <v>20607</v>
      </c>
      <c r="C837" s="9">
        <f>IFERROR(__xludf.DUMMYFUNCTION("""COMPUTED_VALUE"""),31.4155)</f>
        <v>31.4155</v>
      </c>
      <c r="E837" s="11"/>
      <c r="H837" s="17"/>
    </row>
    <row r="838">
      <c r="B838" s="11">
        <f>IFERROR(__xludf.DUMMYFUNCTION("""COMPUTED_VALUE"""),20576.0)</f>
        <v>20576</v>
      </c>
      <c r="C838" s="9">
        <f>IFERROR(__xludf.DUMMYFUNCTION("""COMPUTED_VALUE"""),31.4155)</f>
        <v>31.4155</v>
      </c>
      <c r="E838" s="11"/>
      <c r="H838" s="17"/>
    </row>
    <row r="839">
      <c r="B839" s="11">
        <f>IFERROR(__xludf.DUMMYFUNCTION("""COMPUTED_VALUE"""),20546.0)</f>
        <v>20546</v>
      </c>
      <c r="C839" s="9">
        <f>IFERROR(__xludf.DUMMYFUNCTION("""COMPUTED_VALUE"""),31.323)</f>
        <v>31.323</v>
      </c>
      <c r="E839" s="11"/>
      <c r="H839" s="17"/>
    </row>
    <row r="840">
      <c r="B840" s="11">
        <f>IFERROR(__xludf.DUMMYFUNCTION("""COMPUTED_VALUE"""),20515.0)</f>
        <v>20515</v>
      </c>
      <c r="C840" s="9">
        <f>IFERROR(__xludf.DUMMYFUNCTION("""COMPUTED_VALUE"""),31.1379)</f>
        <v>31.1379</v>
      </c>
      <c r="E840" s="11"/>
      <c r="H840" s="17"/>
    </row>
    <row r="841">
      <c r="B841" s="11">
        <f>IFERROR(__xludf.DUMMYFUNCTION("""COMPUTED_VALUE"""),20486.0)</f>
        <v>20486</v>
      </c>
      <c r="C841" s="9">
        <f>IFERROR(__xludf.DUMMYFUNCTION("""COMPUTED_VALUE"""),31.7856)</f>
        <v>31.7856</v>
      </c>
      <c r="E841" s="11"/>
      <c r="H841" s="17"/>
    </row>
    <row r="842">
      <c r="B842" s="11">
        <f>IFERROR(__xludf.DUMMYFUNCTION("""COMPUTED_VALUE"""),20455.0)</f>
        <v>20455</v>
      </c>
      <c r="C842" s="9">
        <f>IFERROR(__xludf.DUMMYFUNCTION("""COMPUTED_VALUE"""),32.1095)</f>
        <v>32.1095</v>
      </c>
      <c r="E842" s="11"/>
      <c r="H842" s="17"/>
    </row>
    <row r="843">
      <c r="B843" s="11">
        <f>IFERROR(__xludf.DUMMYFUNCTION("""COMPUTED_VALUE"""),20424.0)</f>
        <v>20424</v>
      </c>
      <c r="C843" s="9">
        <f>IFERROR(__xludf.DUMMYFUNCTION("""COMPUTED_VALUE"""),32.4797)</f>
        <v>32.4797</v>
      </c>
      <c r="E843" s="11"/>
      <c r="H843" s="17"/>
    </row>
    <row r="844">
      <c r="B844" s="11">
        <f>IFERROR(__xludf.DUMMYFUNCTION("""COMPUTED_VALUE"""),20394.0)</f>
        <v>20394</v>
      </c>
      <c r="C844" s="9">
        <f>IFERROR(__xludf.DUMMYFUNCTION("""COMPUTED_VALUE"""),32.3871)</f>
        <v>32.3871</v>
      </c>
      <c r="E844" s="11"/>
      <c r="H844" s="17"/>
    </row>
    <row r="845">
      <c r="B845" s="11">
        <f>IFERROR(__xludf.DUMMYFUNCTION("""COMPUTED_VALUE"""),20363.0)</f>
        <v>20363</v>
      </c>
      <c r="C845" s="9">
        <f>IFERROR(__xludf.DUMMYFUNCTION("""COMPUTED_VALUE"""),32.4334)</f>
        <v>32.4334</v>
      </c>
      <c r="E845" s="11"/>
      <c r="H845" s="17"/>
    </row>
    <row r="846">
      <c r="B846" s="11">
        <f>IFERROR(__xludf.DUMMYFUNCTION("""COMPUTED_VALUE"""),20333.0)</f>
        <v>20333</v>
      </c>
      <c r="C846" s="9">
        <f>IFERROR(__xludf.DUMMYFUNCTION("""COMPUTED_VALUE"""),32.5722)</f>
        <v>32.5722</v>
      </c>
      <c r="E846" s="11"/>
      <c r="H846" s="17"/>
    </row>
    <row r="847">
      <c r="B847" s="11">
        <f>IFERROR(__xludf.DUMMYFUNCTION("""COMPUTED_VALUE"""),20302.0)</f>
        <v>20302</v>
      </c>
      <c r="C847" s="9">
        <f>IFERROR(__xludf.DUMMYFUNCTION("""COMPUTED_VALUE"""),32.4796)</f>
        <v>32.4796</v>
      </c>
      <c r="E847" s="11"/>
      <c r="H847" s="17"/>
    </row>
    <row r="848">
      <c r="B848" s="11">
        <f>IFERROR(__xludf.DUMMYFUNCTION("""COMPUTED_VALUE"""),20271.0)</f>
        <v>20271</v>
      </c>
      <c r="C848" s="9">
        <f>IFERROR(__xludf.DUMMYFUNCTION("""COMPUTED_VALUE"""),32.711)</f>
        <v>32.711</v>
      </c>
      <c r="E848" s="11"/>
      <c r="H848" s="17"/>
    </row>
    <row r="849">
      <c r="B849" s="11">
        <f>IFERROR(__xludf.DUMMYFUNCTION("""COMPUTED_VALUE"""),20241.0)</f>
        <v>20241</v>
      </c>
      <c r="C849" s="9">
        <f>IFERROR(__xludf.DUMMYFUNCTION("""COMPUTED_VALUE"""),32.7573)</f>
        <v>32.7573</v>
      </c>
      <c r="E849" s="11"/>
      <c r="H849" s="17"/>
    </row>
    <row r="850">
      <c r="B850" s="11">
        <f>IFERROR(__xludf.DUMMYFUNCTION("""COMPUTED_VALUE"""),20210.0)</f>
        <v>20210</v>
      </c>
      <c r="C850" s="9">
        <f>IFERROR(__xludf.DUMMYFUNCTION("""COMPUTED_VALUE"""),33.0811)</f>
        <v>33.0811</v>
      </c>
      <c r="E850" s="11"/>
      <c r="H850" s="17"/>
    </row>
    <row r="851">
      <c r="B851" s="11">
        <f>IFERROR(__xludf.DUMMYFUNCTION("""COMPUTED_VALUE"""),20180.0)</f>
        <v>20180</v>
      </c>
      <c r="C851" s="9">
        <f>IFERROR(__xludf.DUMMYFUNCTION("""COMPUTED_VALUE"""),33.0811)</f>
        <v>33.0811</v>
      </c>
      <c r="E851" s="11"/>
      <c r="H851" s="17"/>
    </row>
    <row r="852">
      <c r="B852" s="11">
        <f>IFERROR(__xludf.DUMMYFUNCTION("""COMPUTED_VALUE"""),20149.0)</f>
        <v>20149</v>
      </c>
      <c r="C852" s="9">
        <f>IFERROR(__xludf.DUMMYFUNCTION("""COMPUTED_VALUE"""),33.1274)</f>
        <v>33.1274</v>
      </c>
      <c r="E852" s="11"/>
      <c r="H852" s="17"/>
    </row>
    <row r="853">
      <c r="B853" s="11">
        <f>IFERROR(__xludf.DUMMYFUNCTION("""COMPUTED_VALUE"""),20121.0)</f>
        <v>20121</v>
      </c>
      <c r="C853" s="9">
        <f>IFERROR(__xludf.DUMMYFUNCTION("""COMPUTED_VALUE"""),33.3125)</f>
        <v>33.3125</v>
      </c>
      <c r="E853" s="11"/>
      <c r="H853" s="17"/>
    </row>
    <row r="854">
      <c r="B854" s="11">
        <f>IFERROR(__xludf.DUMMYFUNCTION("""COMPUTED_VALUE"""),20090.0)</f>
        <v>20090</v>
      </c>
      <c r="C854" s="9">
        <f>IFERROR(__xludf.DUMMYFUNCTION("""COMPUTED_VALUE"""),33.3125)</f>
        <v>33.3125</v>
      </c>
      <c r="E854" s="11"/>
      <c r="H854" s="17"/>
    </row>
    <row r="855">
      <c r="B855" s="11">
        <f>IFERROR(__xludf.DUMMYFUNCTION("""COMPUTED_VALUE"""),20059.0)</f>
        <v>20059</v>
      </c>
      <c r="C855" s="9">
        <f>IFERROR(__xludf.DUMMYFUNCTION("""COMPUTED_VALUE"""),33.5438)</f>
        <v>33.5438</v>
      </c>
      <c r="E855" s="11"/>
      <c r="H855" s="17"/>
    </row>
    <row r="856">
      <c r="B856" s="11">
        <f>IFERROR(__xludf.DUMMYFUNCTION("""COMPUTED_VALUE"""),20029.0)</f>
        <v>20029</v>
      </c>
      <c r="C856" s="9">
        <f>IFERROR(__xludf.DUMMYFUNCTION("""COMPUTED_VALUE"""),34.0527)</f>
        <v>34.0527</v>
      </c>
      <c r="E856" s="11"/>
      <c r="H856" s="17"/>
    </row>
    <row r="857">
      <c r="B857" s="11">
        <f>IFERROR(__xludf.DUMMYFUNCTION("""COMPUTED_VALUE"""),19998.0)</f>
        <v>19998</v>
      </c>
      <c r="C857" s="9">
        <f>IFERROR(__xludf.DUMMYFUNCTION("""COMPUTED_VALUE"""),34.2378)</f>
        <v>34.2378</v>
      </c>
      <c r="E857" s="11"/>
      <c r="H857" s="17"/>
    </row>
    <row r="858">
      <c r="B858" s="11">
        <f>IFERROR(__xludf.DUMMYFUNCTION("""COMPUTED_VALUE"""),19968.0)</f>
        <v>19968</v>
      </c>
      <c r="C858" s="9">
        <f>IFERROR(__xludf.DUMMYFUNCTION("""COMPUTED_VALUE"""),34.5617)</f>
        <v>34.5617</v>
      </c>
      <c r="E858" s="11"/>
      <c r="H858" s="17"/>
    </row>
    <row r="859">
      <c r="B859" s="11">
        <f>IFERROR(__xludf.DUMMYFUNCTION("""COMPUTED_VALUE"""),19937.0)</f>
        <v>19937</v>
      </c>
      <c r="C859" s="9">
        <f>IFERROR(__xludf.DUMMYFUNCTION("""COMPUTED_VALUE"""),34.9318)</f>
        <v>34.9318</v>
      </c>
      <c r="E859" s="11"/>
      <c r="H859" s="17"/>
    </row>
    <row r="860">
      <c r="B860" s="11">
        <f>IFERROR(__xludf.DUMMYFUNCTION("""COMPUTED_VALUE"""),19906.0)</f>
        <v>19906</v>
      </c>
      <c r="C860" s="9">
        <f>IFERROR(__xludf.DUMMYFUNCTION("""COMPUTED_VALUE"""),35.6721)</f>
        <v>35.6721</v>
      </c>
      <c r="E860" s="11"/>
      <c r="H860" s="17"/>
    </row>
    <row r="861">
      <c r="B861" s="11">
        <f>IFERROR(__xludf.DUMMYFUNCTION("""COMPUTED_VALUE"""),19876.0)</f>
        <v>19876</v>
      </c>
      <c r="C861" s="9">
        <f>IFERROR(__xludf.DUMMYFUNCTION("""COMPUTED_VALUE"""),35.8109)</f>
        <v>35.8109</v>
      </c>
      <c r="E861" s="11"/>
      <c r="H861" s="17"/>
    </row>
    <row r="862">
      <c r="B862" s="11">
        <f>IFERROR(__xludf.DUMMYFUNCTION("""COMPUTED_VALUE"""),19845.0)</f>
        <v>19845</v>
      </c>
      <c r="C862" s="9">
        <f>IFERROR(__xludf.DUMMYFUNCTION("""COMPUTED_VALUE"""),36.3661)</f>
        <v>36.3661</v>
      </c>
      <c r="E862" s="11"/>
      <c r="H862" s="17"/>
    </row>
    <row r="863">
      <c r="B863" s="11">
        <f>IFERROR(__xludf.DUMMYFUNCTION("""COMPUTED_VALUE"""),19815.0)</f>
        <v>19815</v>
      </c>
      <c r="C863" s="9">
        <f>IFERROR(__xludf.DUMMYFUNCTION("""COMPUTED_VALUE"""),36.9213)</f>
        <v>36.9213</v>
      </c>
      <c r="E863" s="11"/>
      <c r="H863" s="17"/>
    </row>
    <row r="864">
      <c r="B864" s="11">
        <f>IFERROR(__xludf.DUMMYFUNCTION("""COMPUTED_VALUE"""),19784.0)</f>
        <v>19784</v>
      </c>
      <c r="C864" s="9">
        <f>IFERROR(__xludf.DUMMYFUNCTION("""COMPUTED_VALUE"""),37.5691)</f>
        <v>37.5691</v>
      </c>
      <c r="E864" s="11"/>
      <c r="H864" s="17"/>
    </row>
    <row r="865">
      <c r="B865" s="11">
        <f>IFERROR(__xludf.DUMMYFUNCTION("""COMPUTED_VALUE"""),19756.0)</f>
        <v>19756</v>
      </c>
      <c r="C865" s="9">
        <f>IFERROR(__xludf.DUMMYFUNCTION("""COMPUTED_VALUE"""),38.078)</f>
        <v>38.078</v>
      </c>
      <c r="E865" s="11"/>
      <c r="H865" s="17"/>
    </row>
    <row r="866">
      <c r="B866" s="11">
        <f>IFERROR(__xludf.DUMMYFUNCTION("""COMPUTED_VALUE"""),19725.0)</f>
        <v>19725</v>
      </c>
      <c r="C866" s="9">
        <f>IFERROR(__xludf.DUMMYFUNCTION("""COMPUTED_VALUE"""),38.3556)</f>
        <v>38.3556</v>
      </c>
      <c r="E866" s="11"/>
      <c r="H866" s="17"/>
    </row>
    <row r="867">
      <c r="B867" s="11">
        <f>IFERROR(__xludf.DUMMYFUNCTION("""COMPUTED_VALUE"""),19694.0)</f>
        <v>19694</v>
      </c>
      <c r="C867" s="9">
        <f>IFERROR(__xludf.DUMMYFUNCTION("""COMPUTED_VALUE"""),39.1422)</f>
        <v>39.1422</v>
      </c>
      <c r="E867" s="11"/>
      <c r="H867" s="17"/>
    </row>
    <row r="868">
      <c r="B868" s="11">
        <f>IFERROR(__xludf.DUMMYFUNCTION("""COMPUTED_VALUE"""),19664.0)</f>
        <v>19664</v>
      </c>
      <c r="C868" s="9">
        <f>IFERROR(__xludf.DUMMYFUNCTION("""COMPUTED_VALUE"""),38.8183)</f>
        <v>38.8183</v>
      </c>
      <c r="E868" s="11"/>
      <c r="H868" s="17"/>
    </row>
    <row r="869">
      <c r="B869" s="11">
        <f>IFERROR(__xludf.DUMMYFUNCTION("""COMPUTED_VALUE"""),19633.0)</f>
        <v>19633</v>
      </c>
      <c r="C869" s="9">
        <f>IFERROR(__xludf.DUMMYFUNCTION("""COMPUTED_VALUE"""),41.5018)</f>
        <v>41.5018</v>
      </c>
      <c r="E869" s="11"/>
      <c r="H869" s="17"/>
    </row>
    <row r="870">
      <c r="B870" s="11">
        <f>IFERROR(__xludf.DUMMYFUNCTION("""COMPUTED_VALUE"""),19603.0)</f>
        <v>19603</v>
      </c>
      <c r="C870" s="9">
        <f>IFERROR(__xludf.DUMMYFUNCTION("""COMPUTED_VALUE"""),41.9182)</f>
        <v>41.9182</v>
      </c>
      <c r="E870" s="11"/>
      <c r="H870" s="17"/>
    </row>
    <row r="871">
      <c r="B871" s="11">
        <f>IFERROR(__xludf.DUMMYFUNCTION("""COMPUTED_VALUE"""),19572.0)</f>
        <v>19572</v>
      </c>
      <c r="C871" s="9">
        <f>IFERROR(__xludf.DUMMYFUNCTION("""COMPUTED_VALUE"""),41.9645)</f>
        <v>41.9645</v>
      </c>
      <c r="E871" s="11"/>
      <c r="H871" s="17"/>
    </row>
    <row r="872">
      <c r="B872" s="11">
        <f>IFERROR(__xludf.DUMMYFUNCTION("""COMPUTED_VALUE"""),19541.0)</f>
        <v>19541</v>
      </c>
      <c r="C872" s="9">
        <f>IFERROR(__xludf.DUMMYFUNCTION("""COMPUTED_VALUE"""),42.2421)</f>
        <v>42.2421</v>
      </c>
      <c r="E872" s="11"/>
      <c r="H872" s="17"/>
    </row>
    <row r="873">
      <c r="B873" s="11">
        <f>IFERROR(__xludf.DUMMYFUNCTION("""COMPUTED_VALUE"""),19511.0)</f>
        <v>19511</v>
      </c>
      <c r="C873" s="9">
        <f>IFERROR(__xludf.DUMMYFUNCTION("""COMPUTED_VALUE"""),41.9182)</f>
        <v>41.9182</v>
      </c>
      <c r="E873" s="11"/>
      <c r="H873" s="17"/>
    </row>
    <row r="874">
      <c r="B874" s="11">
        <f>IFERROR(__xludf.DUMMYFUNCTION("""COMPUTED_VALUE"""),19480.0)</f>
        <v>19480</v>
      </c>
      <c r="C874" s="9">
        <f>IFERROR(__xludf.DUMMYFUNCTION("""COMPUTED_VALUE"""),41.6406)</f>
        <v>41.6406</v>
      </c>
      <c r="E874" s="11"/>
      <c r="H874" s="17"/>
    </row>
    <row r="875">
      <c r="B875" s="11">
        <f>IFERROR(__xludf.DUMMYFUNCTION("""COMPUTED_VALUE"""),19450.0)</f>
        <v>19450</v>
      </c>
      <c r="C875" s="9">
        <f>IFERROR(__xludf.DUMMYFUNCTION("""COMPUTED_VALUE"""),40.9466)</f>
        <v>40.9466</v>
      </c>
      <c r="E875" s="11"/>
      <c r="H875" s="17"/>
    </row>
    <row r="876">
      <c r="B876" s="11">
        <f>IFERROR(__xludf.DUMMYFUNCTION("""COMPUTED_VALUE"""),19419.0)</f>
        <v>19419</v>
      </c>
      <c r="C876" s="9">
        <f>IFERROR(__xludf.DUMMYFUNCTION("""COMPUTED_VALUE"""),40.3914)</f>
        <v>40.3914</v>
      </c>
      <c r="E876" s="11"/>
      <c r="H876" s="17"/>
    </row>
    <row r="877">
      <c r="B877" s="11">
        <f>IFERROR(__xludf.DUMMYFUNCTION("""COMPUTED_VALUE"""),19391.0)</f>
        <v>19391</v>
      </c>
      <c r="C877" s="9">
        <f>IFERROR(__xludf.DUMMYFUNCTION("""COMPUTED_VALUE"""),39.6511)</f>
        <v>39.6511</v>
      </c>
      <c r="E877" s="11"/>
      <c r="H877" s="17"/>
    </row>
    <row r="878">
      <c r="B878" s="11">
        <f>IFERROR(__xludf.DUMMYFUNCTION("""COMPUTED_VALUE"""),19360.0)</f>
        <v>19360</v>
      </c>
      <c r="C878" s="9">
        <f>IFERROR(__xludf.DUMMYFUNCTION("""COMPUTED_VALUE"""),38.8183)</f>
        <v>38.8183</v>
      </c>
      <c r="E878" s="11"/>
      <c r="H878" s="17"/>
    </row>
    <row r="879">
      <c r="B879" s="11">
        <f>IFERROR(__xludf.DUMMYFUNCTION("""COMPUTED_VALUE"""),19329.0)</f>
        <v>19329</v>
      </c>
      <c r="C879" s="9">
        <f>IFERROR(__xludf.DUMMYFUNCTION("""COMPUTED_VALUE"""),38.2631)</f>
        <v>38.2631</v>
      </c>
      <c r="E879" s="11"/>
      <c r="H879" s="17"/>
    </row>
    <row r="880">
      <c r="B880" s="11">
        <f>IFERROR(__xludf.DUMMYFUNCTION("""COMPUTED_VALUE"""),19299.0)</f>
        <v>19299</v>
      </c>
      <c r="C880" s="9">
        <f>IFERROR(__xludf.DUMMYFUNCTION("""COMPUTED_VALUE"""),37.1064)</f>
        <v>37.1064</v>
      </c>
      <c r="E880" s="11"/>
      <c r="H880" s="17"/>
    </row>
    <row r="881">
      <c r="B881" s="11">
        <f>IFERROR(__xludf.DUMMYFUNCTION("""COMPUTED_VALUE"""),19268.0)</f>
        <v>19268</v>
      </c>
      <c r="C881" s="9">
        <f>IFERROR(__xludf.DUMMYFUNCTION("""COMPUTED_VALUE"""),36.3661)</f>
        <v>36.3661</v>
      </c>
      <c r="E881" s="11"/>
      <c r="H881" s="17"/>
    </row>
    <row r="882">
      <c r="B882" s="11">
        <f>IFERROR(__xludf.DUMMYFUNCTION("""COMPUTED_VALUE"""),19238.0)</f>
        <v>19238</v>
      </c>
      <c r="C882" s="9">
        <f>IFERROR(__xludf.DUMMYFUNCTION("""COMPUTED_VALUE"""),35.2094)</f>
        <v>35.2094</v>
      </c>
      <c r="E882" s="11"/>
      <c r="H882" s="17"/>
    </row>
    <row r="883">
      <c r="B883" s="11">
        <f>IFERROR(__xludf.DUMMYFUNCTION("""COMPUTED_VALUE"""),19207.0)</f>
        <v>19207</v>
      </c>
      <c r="C883" s="9">
        <f>IFERROR(__xludf.DUMMYFUNCTION("""COMPUTED_VALUE"""),34.6542)</f>
        <v>34.6542</v>
      </c>
      <c r="E883" s="11"/>
      <c r="H883" s="17"/>
    </row>
    <row r="884">
      <c r="B884" s="11">
        <f>IFERROR(__xludf.DUMMYFUNCTION("""COMPUTED_VALUE"""),19176.0)</f>
        <v>19176</v>
      </c>
      <c r="C884" s="9">
        <f>IFERROR(__xludf.DUMMYFUNCTION("""COMPUTED_VALUE"""),34.099)</f>
        <v>34.099</v>
      </c>
      <c r="E884" s="11"/>
      <c r="H884" s="17"/>
    </row>
    <row r="885">
      <c r="B885" s="11">
        <f>IFERROR(__xludf.DUMMYFUNCTION("""COMPUTED_VALUE"""),19146.0)</f>
        <v>19146</v>
      </c>
      <c r="C885" s="9">
        <f>IFERROR(__xludf.DUMMYFUNCTION("""COMPUTED_VALUE"""),33.9139)</f>
        <v>33.9139</v>
      </c>
      <c r="E885" s="11"/>
      <c r="H885" s="17"/>
    </row>
    <row r="886">
      <c r="B886" s="11">
        <f>IFERROR(__xludf.DUMMYFUNCTION("""COMPUTED_VALUE"""),19115.0)</f>
        <v>19115</v>
      </c>
      <c r="C886" s="9">
        <f>IFERROR(__xludf.DUMMYFUNCTION("""COMPUTED_VALUE"""),32.8961)</f>
        <v>32.8961</v>
      </c>
      <c r="E886" s="11"/>
      <c r="H886" s="17"/>
    </row>
    <row r="887">
      <c r="B887" s="11">
        <f>IFERROR(__xludf.DUMMYFUNCTION("""COMPUTED_VALUE"""),19085.0)</f>
        <v>19085</v>
      </c>
      <c r="C887" s="9">
        <f>IFERROR(__xludf.DUMMYFUNCTION("""COMPUTED_VALUE"""),31.8782)</f>
        <v>31.8782</v>
      </c>
      <c r="E887" s="11"/>
      <c r="H887" s="17"/>
    </row>
    <row r="888">
      <c r="B888" s="11">
        <f>IFERROR(__xludf.DUMMYFUNCTION("""COMPUTED_VALUE"""),19054.0)</f>
        <v>19054</v>
      </c>
      <c r="C888" s="9">
        <f>IFERROR(__xludf.DUMMYFUNCTION("""COMPUTED_VALUE"""),31.5081)</f>
        <v>31.5081</v>
      </c>
      <c r="E888" s="11"/>
      <c r="H888" s="17"/>
    </row>
    <row r="889">
      <c r="B889" s="11">
        <f>IFERROR(__xludf.DUMMYFUNCTION("""COMPUTED_VALUE"""),19025.0)</f>
        <v>19025</v>
      </c>
      <c r="C889" s="9">
        <f>IFERROR(__xludf.DUMMYFUNCTION("""COMPUTED_VALUE"""),31.4155)</f>
        <v>31.4155</v>
      </c>
      <c r="E889" s="11"/>
      <c r="H889" s="17"/>
    </row>
    <row r="890">
      <c r="B890" s="11">
        <f>IFERROR(__xludf.DUMMYFUNCTION("""COMPUTED_VALUE"""),18994.0)</f>
        <v>18994</v>
      </c>
      <c r="C890" s="9">
        <f>IFERROR(__xludf.DUMMYFUNCTION("""COMPUTED_VALUE"""),31.0917)</f>
        <v>31.0917</v>
      </c>
      <c r="E890" s="11"/>
      <c r="H890" s="17"/>
    </row>
    <row r="891">
      <c r="B891" s="11">
        <f>IFERROR(__xludf.DUMMYFUNCTION("""COMPUTED_VALUE"""),18963.0)</f>
        <v>18963</v>
      </c>
      <c r="C891" s="9">
        <f>IFERROR(__xludf.DUMMYFUNCTION("""COMPUTED_VALUE"""),30.5827)</f>
        <v>30.5827</v>
      </c>
      <c r="E891" s="11"/>
      <c r="H891" s="17"/>
    </row>
    <row r="892">
      <c r="B892" s="11">
        <f>IFERROR(__xludf.DUMMYFUNCTION("""COMPUTED_VALUE"""),18933.0)</f>
        <v>18933</v>
      </c>
      <c r="C892" s="9">
        <f>IFERROR(__xludf.DUMMYFUNCTION("""COMPUTED_VALUE"""),29.935)</f>
        <v>29.935</v>
      </c>
      <c r="E892" s="11"/>
      <c r="H892" s="17"/>
    </row>
    <row r="893">
      <c r="B893" s="11">
        <f>IFERROR(__xludf.DUMMYFUNCTION("""COMPUTED_VALUE"""),18902.0)</f>
        <v>18902</v>
      </c>
      <c r="C893" s="9">
        <f>IFERROR(__xludf.DUMMYFUNCTION("""COMPUTED_VALUE"""),28.3156)</f>
        <v>28.3156</v>
      </c>
      <c r="E893" s="11"/>
      <c r="H893" s="17"/>
    </row>
    <row r="894">
      <c r="B894" s="11">
        <f>IFERROR(__xludf.DUMMYFUNCTION("""COMPUTED_VALUE"""),18872.0)</f>
        <v>18872</v>
      </c>
      <c r="C894" s="9">
        <f>IFERROR(__xludf.DUMMYFUNCTION("""COMPUTED_VALUE"""),27.1589)</f>
        <v>27.1589</v>
      </c>
      <c r="E894" s="11"/>
      <c r="H894" s="17"/>
    </row>
    <row r="895">
      <c r="B895" s="11">
        <f>IFERROR(__xludf.DUMMYFUNCTION("""COMPUTED_VALUE"""),18841.0)</f>
        <v>18841</v>
      </c>
      <c r="C895" s="9">
        <f>IFERROR(__xludf.DUMMYFUNCTION("""COMPUTED_VALUE"""),26.3261)</f>
        <v>26.3261</v>
      </c>
      <c r="E895" s="11"/>
      <c r="H895" s="17"/>
    </row>
    <row r="896">
      <c r="B896" s="11">
        <f>IFERROR(__xludf.DUMMYFUNCTION("""COMPUTED_VALUE"""),18810.0)</f>
        <v>18810</v>
      </c>
      <c r="C896" s="9">
        <f>IFERROR(__xludf.DUMMYFUNCTION("""COMPUTED_VALUE"""),25.4933)</f>
        <v>25.4933</v>
      </c>
      <c r="E896" s="11"/>
      <c r="H896" s="17"/>
    </row>
    <row r="897">
      <c r="B897" s="11">
        <f>IFERROR(__xludf.DUMMYFUNCTION("""COMPUTED_VALUE"""),18780.0)</f>
        <v>18780</v>
      </c>
      <c r="C897" s="9">
        <f>IFERROR(__xludf.DUMMYFUNCTION("""COMPUTED_VALUE"""),24.1053)</f>
        <v>24.1053</v>
      </c>
      <c r="E897" s="11"/>
      <c r="H897" s="17"/>
    </row>
    <row r="898">
      <c r="B898" s="11">
        <f>IFERROR(__xludf.DUMMYFUNCTION("""COMPUTED_VALUE"""),18749.0)</f>
        <v>18749</v>
      </c>
      <c r="C898" s="9">
        <f>IFERROR(__xludf.DUMMYFUNCTION("""COMPUTED_VALUE"""),22.9023)</f>
        <v>22.9023</v>
      </c>
      <c r="E898" s="11"/>
      <c r="H898" s="17"/>
    </row>
    <row r="899">
      <c r="B899" s="11">
        <f>IFERROR(__xludf.DUMMYFUNCTION("""COMPUTED_VALUE"""),18719.0)</f>
        <v>18719</v>
      </c>
      <c r="C899" s="9">
        <f>IFERROR(__xludf.DUMMYFUNCTION("""COMPUTED_VALUE"""),22.162)</f>
        <v>22.162</v>
      </c>
      <c r="E899" s="11"/>
      <c r="H899" s="17"/>
    </row>
    <row r="900">
      <c r="B900" s="11">
        <f>IFERROR(__xludf.DUMMYFUNCTION("""COMPUTED_VALUE"""),18688.0)</f>
        <v>18688</v>
      </c>
      <c r="C900" s="9">
        <f>IFERROR(__xludf.DUMMYFUNCTION("""COMPUTED_VALUE"""),20.2188)</f>
        <v>20.2188</v>
      </c>
      <c r="E900" s="11"/>
      <c r="H900" s="17"/>
    </row>
    <row r="901">
      <c r="B901" s="11">
        <f>IFERROR(__xludf.DUMMYFUNCTION("""COMPUTED_VALUE"""),18660.0)</f>
        <v>18660</v>
      </c>
      <c r="C901" s="9">
        <f>IFERROR(__xludf.DUMMYFUNCTION("""COMPUTED_VALUE"""),17.8129)</f>
        <v>17.8129</v>
      </c>
      <c r="E901" s="11"/>
      <c r="H901" s="17"/>
    </row>
    <row r="902">
      <c r="B902" s="11">
        <f>IFERROR(__xludf.DUMMYFUNCTION("""COMPUTED_VALUE"""),18629.0)</f>
        <v>18629</v>
      </c>
      <c r="C902" s="9">
        <f>IFERROR(__xludf.DUMMYFUNCTION("""COMPUTED_VALUE"""),15.407)</f>
        <v>15.407</v>
      </c>
      <c r="E902" s="11"/>
      <c r="H902" s="17"/>
    </row>
    <row r="903">
      <c r="B903" s="11">
        <f>IFERROR(__xludf.DUMMYFUNCTION("""COMPUTED_VALUE"""),18598.0)</f>
        <v>18598</v>
      </c>
      <c r="C903" s="9">
        <f>IFERROR(__xludf.DUMMYFUNCTION("""COMPUTED_VALUE"""),13.8802)</f>
        <v>13.8802</v>
      </c>
      <c r="E903" s="11"/>
      <c r="H903" s="17"/>
    </row>
    <row r="904">
      <c r="B904" s="11">
        <f>IFERROR(__xludf.DUMMYFUNCTION("""COMPUTED_VALUE"""),18568.0)</f>
        <v>18568</v>
      </c>
      <c r="C904" s="9">
        <f>IFERROR(__xludf.DUMMYFUNCTION("""COMPUTED_VALUE"""),12.816)</f>
        <v>12.816</v>
      </c>
      <c r="E904" s="11"/>
      <c r="H904" s="17"/>
    </row>
    <row r="905">
      <c r="B905" s="11">
        <f>IFERROR(__xludf.DUMMYFUNCTION("""COMPUTED_VALUE"""),18537.0)</f>
        <v>18537</v>
      </c>
      <c r="C905" s="9">
        <f>IFERROR(__xludf.DUMMYFUNCTION("""COMPUTED_VALUE"""),11.9832)</f>
        <v>11.9832</v>
      </c>
      <c r="E905" s="11"/>
      <c r="H905" s="17"/>
    </row>
    <row r="906">
      <c r="B906" s="11">
        <f>IFERROR(__xludf.DUMMYFUNCTION("""COMPUTED_VALUE"""),18507.0)</f>
        <v>18507</v>
      </c>
      <c r="C906" s="9">
        <f>IFERROR(__xludf.DUMMYFUNCTION("""COMPUTED_VALUE"""),11.1041)</f>
        <v>11.1041</v>
      </c>
      <c r="E906" s="11"/>
      <c r="H906" s="17"/>
    </row>
    <row r="907">
      <c r="B907" s="11">
        <f>IFERROR(__xludf.DUMMYFUNCTION("""COMPUTED_VALUE"""),18476.0)</f>
        <v>18476</v>
      </c>
      <c r="C907" s="9">
        <f>IFERROR(__xludf.DUMMYFUNCTION("""COMPUTED_VALUE"""),10.0863)</f>
        <v>10.0863</v>
      </c>
      <c r="E907" s="11"/>
      <c r="H907" s="17"/>
    </row>
    <row r="908">
      <c r="B908" s="11">
        <f>IFERROR(__xludf.DUMMYFUNCTION("""COMPUTED_VALUE"""),18445.0)</f>
        <v>18445</v>
      </c>
      <c r="C908" s="9">
        <f>IFERROR(__xludf.DUMMYFUNCTION("""COMPUTED_VALUE"""),9.1609)</f>
        <v>9.1609</v>
      </c>
      <c r="E908" s="11"/>
      <c r="H908" s="17"/>
    </row>
    <row r="909">
      <c r="B909" s="11">
        <f>IFERROR(__xludf.DUMMYFUNCTION("""COMPUTED_VALUE"""),18415.0)</f>
        <v>18415</v>
      </c>
      <c r="C909" s="9">
        <f>IFERROR(__xludf.DUMMYFUNCTION("""COMPUTED_VALUE"""),8.6983)</f>
        <v>8.6983</v>
      </c>
      <c r="E909" s="11"/>
      <c r="H909" s="17"/>
    </row>
    <row r="910">
      <c r="B910" s="11">
        <f>IFERROR(__xludf.DUMMYFUNCTION("""COMPUTED_VALUE"""),18384.0)</f>
        <v>18384</v>
      </c>
      <c r="C910" s="9">
        <f>IFERROR(__xludf.DUMMYFUNCTION("""COMPUTED_VALUE"""),8.4207)</f>
        <v>8.4207</v>
      </c>
      <c r="E910" s="11"/>
      <c r="H910" s="17"/>
    </row>
    <row r="911">
      <c r="B911" s="11">
        <f>IFERROR(__xludf.DUMMYFUNCTION("""COMPUTED_VALUE"""),18354.0)</f>
        <v>18354</v>
      </c>
      <c r="C911" s="9">
        <f>IFERROR(__xludf.DUMMYFUNCTION("""COMPUTED_VALUE"""),8.143)</f>
        <v>8.143</v>
      </c>
      <c r="E911" s="11"/>
      <c r="H911" s="17"/>
    </row>
    <row r="912">
      <c r="B912" s="11">
        <f>IFERROR(__xludf.DUMMYFUNCTION("""COMPUTED_VALUE"""),18323.0)</f>
        <v>18323</v>
      </c>
      <c r="C912" s="9">
        <f>IFERROR(__xludf.DUMMYFUNCTION("""COMPUTED_VALUE"""),7.958)</f>
        <v>7.958</v>
      </c>
      <c r="E912" s="11"/>
      <c r="H912" s="17"/>
    </row>
    <row r="913">
      <c r="B913" s="11">
        <f>IFERROR(__xludf.DUMMYFUNCTION("""COMPUTED_VALUE"""),18295.0)</f>
        <v>18295</v>
      </c>
      <c r="C913" s="9">
        <f>IFERROR(__xludf.DUMMYFUNCTION("""COMPUTED_VALUE"""),7.8654)</f>
        <v>7.8654</v>
      </c>
      <c r="E913" s="11"/>
      <c r="H913" s="17"/>
    </row>
    <row r="914">
      <c r="B914" s="11">
        <f>IFERROR(__xludf.DUMMYFUNCTION("""COMPUTED_VALUE"""),18264.0)</f>
        <v>18264</v>
      </c>
      <c r="C914" s="9">
        <f>IFERROR(__xludf.DUMMYFUNCTION("""COMPUTED_VALUE"""),7.8654)</f>
        <v>7.8654</v>
      </c>
      <c r="E914" s="11"/>
      <c r="H914" s="17"/>
    </row>
    <row r="915">
      <c r="B915" s="11">
        <f>IFERROR(__xludf.DUMMYFUNCTION("""COMPUTED_VALUE"""),18233.0)</f>
        <v>18233</v>
      </c>
      <c r="C915" s="9">
        <f>IFERROR(__xludf.DUMMYFUNCTION("""COMPUTED_VALUE"""),7.9117)</f>
        <v>7.9117</v>
      </c>
      <c r="E915" s="11"/>
      <c r="H915" s="17"/>
    </row>
    <row r="916">
      <c r="B916" s="11">
        <f>IFERROR(__xludf.DUMMYFUNCTION("""COMPUTED_VALUE"""),18203.0)</f>
        <v>18203</v>
      </c>
      <c r="C916" s="9">
        <f>IFERROR(__xludf.DUMMYFUNCTION("""COMPUTED_VALUE"""),8.0042)</f>
        <v>8.0042</v>
      </c>
      <c r="E916" s="11"/>
      <c r="H916" s="17"/>
    </row>
    <row r="917">
      <c r="B917" s="11">
        <f>IFERROR(__xludf.DUMMYFUNCTION("""COMPUTED_VALUE"""),18172.0)</f>
        <v>18172</v>
      </c>
      <c r="C917" s="9">
        <f>IFERROR(__xludf.DUMMYFUNCTION("""COMPUTED_VALUE"""),8.0505)</f>
        <v>8.0505</v>
      </c>
      <c r="E917" s="11"/>
      <c r="H917" s="17"/>
    </row>
    <row r="918">
      <c r="B918" s="11">
        <f>IFERROR(__xludf.DUMMYFUNCTION("""COMPUTED_VALUE"""),18142.0)</f>
        <v>18142</v>
      </c>
      <c r="C918" s="9">
        <f>IFERROR(__xludf.DUMMYFUNCTION("""COMPUTED_VALUE"""),8.2818)</f>
        <v>8.2818</v>
      </c>
      <c r="E918" s="11"/>
      <c r="H918" s="17"/>
    </row>
    <row r="919">
      <c r="B919" s="11">
        <f>IFERROR(__xludf.DUMMYFUNCTION("""COMPUTED_VALUE"""),18111.0)</f>
        <v>18111</v>
      </c>
      <c r="C919" s="9">
        <f>IFERROR(__xludf.DUMMYFUNCTION("""COMPUTED_VALUE"""),8.4207)</f>
        <v>8.4207</v>
      </c>
      <c r="E919" s="11"/>
      <c r="H919" s="17"/>
    </row>
    <row r="920">
      <c r="B920" s="11">
        <f>IFERROR(__xludf.DUMMYFUNCTION("""COMPUTED_VALUE"""),18080.0)</f>
        <v>18080</v>
      </c>
      <c r="C920" s="9">
        <f>IFERROR(__xludf.DUMMYFUNCTION("""COMPUTED_VALUE"""),8.5595)</f>
        <v>8.5595</v>
      </c>
      <c r="E920" s="11"/>
      <c r="H920" s="17"/>
    </row>
    <row r="921">
      <c r="B921" s="11">
        <f>IFERROR(__xludf.DUMMYFUNCTION("""COMPUTED_VALUE"""),18050.0)</f>
        <v>18050</v>
      </c>
      <c r="C921" s="9">
        <f>IFERROR(__xludf.DUMMYFUNCTION("""COMPUTED_VALUE"""),8.6057)</f>
        <v>8.6057</v>
      </c>
      <c r="E921" s="11"/>
      <c r="H921" s="17"/>
    </row>
    <row r="922">
      <c r="B922" s="11">
        <f>IFERROR(__xludf.DUMMYFUNCTION("""COMPUTED_VALUE"""),18019.0)</f>
        <v>18019</v>
      </c>
      <c r="C922" s="9">
        <f>IFERROR(__xludf.DUMMYFUNCTION("""COMPUTED_VALUE"""),8.5595)</f>
        <v>8.5595</v>
      </c>
      <c r="E922" s="11"/>
      <c r="H922" s="17"/>
    </row>
    <row r="923">
      <c r="B923" s="11">
        <f>IFERROR(__xludf.DUMMYFUNCTION("""COMPUTED_VALUE"""),17989.0)</f>
        <v>17989</v>
      </c>
      <c r="C923" s="9">
        <f>IFERROR(__xludf.DUMMYFUNCTION("""COMPUTED_VALUE"""),8.4207)</f>
        <v>8.4207</v>
      </c>
      <c r="E923" s="11"/>
      <c r="H923" s="17"/>
    </row>
    <row r="924">
      <c r="B924" s="11">
        <f>IFERROR(__xludf.DUMMYFUNCTION("""COMPUTED_VALUE"""),17958.0)</f>
        <v>17958</v>
      </c>
      <c r="C924" s="9">
        <f>IFERROR(__xludf.DUMMYFUNCTION("""COMPUTED_VALUE"""),8.5595)</f>
        <v>8.5595</v>
      </c>
      <c r="E924" s="11"/>
      <c r="H924" s="17"/>
    </row>
    <row r="925">
      <c r="B925" s="11">
        <f>IFERROR(__xludf.DUMMYFUNCTION("""COMPUTED_VALUE"""),17930.0)</f>
        <v>17930</v>
      </c>
      <c r="C925" s="9">
        <f>IFERROR(__xludf.DUMMYFUNCTION("""COMPUTED_VALUE"""),8.6057)</f>
        <v>8.6057</v>
      </c>
      <c r="E925" s="11"/>
      <c r="H925" s="17"/>
    </row>
    <row r="926">
      <c r="B926" s="11">
        <f>IFERROR(__xludf.DUMMYFUNCTION("""COMPUTED_VALUE"""),17899.0)</f>
        <v>17899</v>
      </c>
      <c r="C926" s="9">
        <f>IFERROR(__xludf.DUMMYFUNCTION("""COMPUTED_VALUE"""),8.6057)</f>
        <v>8.6057</v>
      </c>
      <c r="E926" s="11"/>
      <c r="H926" s="17"/>
    </row>
    <row r="927">
      <c r="B927" s="11">
        <f>IFERROR(__xludf.DUMMYFUNCTION("""COMPUTED_VALUE"""),17868.0)</f>
        <v>17868</v>
      </c>
      <c r="C927" s="9">
        <f>IFERROR(__xludf.DUMMYFUNCTION("""COMPUTED_VALUE"""),8.7445)</f>
        <v>8.7445</v>
      </c>
      <c r="E927" s="11"/>
      <c r="H927" s="17"/>
    </row>
    <row r="928">
      <c r="B928" s="11">
        <f>IFERROR(__xludf.DUMMYFUNCTION("""COMPUTED_VALUE"""),17838.0)</f>
        <v>17838</v>
      </c>
      <c r="C928" s="9">
        <f>IFERROR(__xludf.DUMMYFUNCTION("""COMPUTED_VALUE"""),8.7445)</f>
        <v>8.7445</v>
      </c>
      <c r="E928" s="11"/>
      <c r="H928" s="17"/>
    </row>
    <row r="929">
      <c r="B929" s="11">
        <f>IFERROR(__xludf.DUMMYFUNCTION("""COMPUTED_VALUE"""),17807.0)</f>
        <v>17807</v>
      </c>
      <c r="C929" s="9">
        <f>IFERROR(__xludf.DUMMYFUNCTION("""COMPUTED_VALUE"""),8.5595)</f>
        <v>8.5595</v>
      </c>
      <c r="E929" s="11"/>
      <c r="H929" s="17"/>
    </row>
    <row r="930">
      <c r="B930" s="11">
        <f>IFERROR(__xludf.DUMMYFUNCTION("""COMPUTED_VALUE"""),17777.0)</f>
        <v>17777</v>
      </c>
      <c r="C930" s="9">
        <f>IFERROR(__xludf.DUMMYFUNCTION("""COMPUTED_VALUE"""),8.4207)</f>
        <v>8.4207</v>
      </c>
      <c r="E930" s="11"/>
      <c r="H930" s="17"/>
    </row>
    <row r="931">
      <c r="B931" s="11">
        <f>IFERROR(__xludf.DUMMYFUNCTION("""COMPUTED_VALUE"""),17746.0)</f>
        <v>17746</v>
      </c>
      <c r="C931" s="9">
        <f>IFERROR(__xludf.DUMMYFUNCTION("""COMPUTED_VALUE"""),8.1893)</f>
        <v>8.1893</v>
      </c>
      <c r="E931" s="11"/>
      <c r="H931" s="17"/>
    </row>
    <row r="932">
      <c r="B932" s="11">
        <f>IFERROR(__xludf.DUMMYFUNCTION("""COMPUTED_VALUE"""),17715.0)</f>
        <v>17715</v>
      </c>
      <c r="C932" s="9">
        <f>IFERROR(__xludf.DUMMYFUNCTION("""COMPUTED_VALUE"""),8.0505)</f>
        <v>8.0505</v>
      </c>
      <c r="E932" s="11"/>
      <c r="H932" s="17"/>
    </row>
    <row r="933">
      <c r="B933" s="11">
        <f>IFERROR(__xludf.DUMMYFUNCTION("""COMPUTED_VALUE"""),17685.0)</f>
        <v>17685</v>
      </c>
      <c r="C933" s="9">
        <f>IFERROR(__xludf.DUMMYFUNCTION("""COMPUTED_VALUE"""),7.8654)</f>
        <v>7.8654</v>
      </c>
      <c r="E933" s="11"/>
      <c r="H933" s="17"/>
    </row>
    <row r="934">
      <c r="B934" s="11">
        <f>IFERROR(__xludf.DUMMYFUNCTION("""COMPUTED_VALUE"""),17654.0)</f>
        <v>17654</v>
      </c>
      <c r="C934" s="9">
        <f>IFERROR(__xludf.DUMMYFUNCTION("""COMPUTED_VALUE"""),7.5878)</f>
        <v>7.5878</v>
      </c>
      <c r="E934" s="11"/>
      <c r="H934" s="17"/>
    </row>
    <row r="935">
      <c r="B935" s="11">
        <f>IFERROR(__xludf.DUMMYFUNCTION("""COMPUTED_VALUE"""),17624.0)</f>
        <v>17624</v>
      </c>
      <c r="C935" s="9">
        <f>IFERROR(__xludf.DUMMYFUNCTION("""COMPUTED_VALUE"""),7.7729)</f>
        <v>7.7729</v>
      </c>
      <c r="E935" s="11"/>
      <c r="H935" s="17"/>
    </row>
    <row r="936">
      <c r="B936" s="11">
        <f>IFERROR(__xludf.DUMMYFUNCTION("""COMPUTED_VALUE"""),17593.0)</f>
        <v>17593</v>
      </c>
      <c r="C936" s="9">
        <f>IFERROR(__xludf.DUMMYFUNCTION("""COMPUTED_VALUE"""),7.5878)</f>
        <v>7.5878</v>
      </c>
      <c r="E936" s="11"/>
      <c r="H936" s="17"/>
    </row>
    <row r="937">
      <c r="B937" s="11">
        <f>IFERROR(__xludf.DUMMYFUNCTION("""COMPUTED_VALUE"""),17564.0)</f>
        <v>17564</v>
      </c>
      <c r="C937" s="9">
        <f>IFERROR(__xludf.DUMMYFUNCTION("""COMPUTED_VALUE"""),7.449)</f>
        <v>7.449</v>
      </c>
      <c r="E937" s="11"/>
      <c r="H937" s="17"/>
    </row>
    <row r="938">
      <c r="B938" s="11">
        <f>IFERROR(__xludf.DUMMYFUNCTION("""COMPUTED_VALUE"""),17533.0)</f>
        <v>17533</v>
      </c>
      <c r="C938" s="9">
        <f>IFERROR(__xludf.DUMMYFUNCTION("""COMPUTED_VALUE"""),7.1714)</f>
        <v>7.1714</v>
      </c>
      <c r="E938" s="11"/>
      <c r="H938" s="17"/>
    </row>
    <row r="939">
      <c r="B939" s="11">
        <f>IFERROR(__xludf.DUMMYFUNCTION("""COMPUTED_VALUE"""),17502.0)</f>
        <v>17502</v>
      </c>
      <c r="C939" s="9">
        <f>IFERROR(__xludf.DUMMYFUNCTION("""COMPUTED_VALUE"""),7.0789)</f>
        <v>7.0789</v>
      </c>
      <c r="E939" s="11"/>
      <c r="H939" s="17"/>
    </row>
    <row r="940">
      <c r="B940" s="11">
        <f>IFERROR(__xludf.DUMMYFUNCTION("""COMPUTED_VALUE"""),17472.0)</f>
        <v>17472</v>
      </c>
      <c r="C940" s="9">
        <f>IFERROR(__xludf.DUMMYFUNCTION("""COMPUTED_VALUE"""),6.9401)</f>
        <v>6.9401</v>
      </c>
      <c r="E940" s="11"/>
      <c r="H940" s="17"/>
    </row>
    <row r="941">
      <c r="B941" s="11">
        <f>IFERROR(__xludf.DUMMYFUNCTION("""COMPUTED_VALUE"""),17441.0)</f>
        <v>17441</v>
      </c>
      <c r="C941" s="9">
        <f>IFERROR(__xludf.DUMMYFUNCTION("""COMPUTED_VALUE"""),6.8476)</f>
        <v>6.8476</v>
      </c>
      <c r="E941" s="11"/>
      <c r="H941" s="17"/>
    </row>
    <row r="942">
      <c r="B942" s="11">
        <f>IFERROR(__xludf.DUMMYFUNCTION("""COMPUTED_VALUE"""),17411.0)</f>
        <v>17411</v>
      </c>
      <c r="C942" s="9">
        <f>IFERROR(__xludf.DUMMYFUNCTION("""COMPUTED_VALUE"""),6.6162)</f>
        <v>6.6162</v>
      </c>
      <c r="E942" s="11"/>
      <c r="H942" s="17"/>
    </row>
    <row r="943">
      <c r="B943" s="11">
        <f>IFERROR(__xludf.DUMMYFUNCTION("""COMPUTED_VALUE"""),17380.0)</f>
        <v>17380</v>
      </c>
      <c r="C943" s="9">
        <f>IFERROR(__xludf.DUMMYFUNCTION("""COMPUTED_VALUE"""),6.6162)</f>
        <v>6.6162</v>
      </c>
      <c r="E943" s="11"/>
      <c r="H943" s="17"/>
    </row>
    <row r="944">
      <c r="B944" s="11">
        <f>IFERROR(__xludf.DUMMYFUNCTION("""COMPUTED_VALUE"""),17349.0)</f>
        <v>17349</v>
      </c>
      <c r="C944" s="9">
        <f>IFERROR(__xludf.DUMMYFUNCTION("""COMPUTED_VALUE"""),6.6625)</f>
        <v>6.6625</v>
      </c>
      <c r="E944" s="11"/>
      <c r="H944" s="17"/>
    </row>
    <row r="945">
      <c r="B945" s="11">
        <f>IFERROR(__xludf.DUMMYFUNCTION("""COMPUTED_VALUE"""),17319.0)</f>
        <v>17319</v>
      </c>
      <c r="C945" s="9">
        <f>IFERROR(__xludf.DUMMYFUNCTION("""COMPUTED_VALUE"""),6.7088)</f>
        <v>6.7088</v>
      </c>
      <c r="E945" s="11"/>
      <c r="H945" s="17"/>
    </row>
    <row r="946">
      <c r="B946" s="11">
        <f>IFERROR(__xludf.DUMMYFUNCTION("""COMPUTED_VALUE"""),17288.0)</f>
        <v>17288</v>
      </c>
      <c r="C946" s="9">
        <f>IFERROR(__xludf.DUMMYFUNCTION("""COMPUTED_VALUE"""),6.755)</f>
        <v>6.755</v>
      </c>
      <c r="E946" s="11"/>
      <c r="H946" s="17"/>
    </row>
    <row r="947">
      <c r="B947" s="11">
        <f>IFERROR(__xludf.DUMMYFUNCTION("""COMPUTED_VALUE"""),17258.0)</f>
        <v>17258</v>
      </c>
      <c r="C947" s="9">
        <f>IFERROR(__xludf.DUMMYFUNCTION("""COMPUTED_VALUE"""),6.8476)</f>
        <v>6.8476</v>
      </c>
      <c r="E947" s="11"/>
      <c r="H947" s="17"/>
    </row>
    <row r="948">
      <c r="B948" s="11">
        <f>IFERROR(__xludf.DUMMYFUNCTION("""COMPUTED_VALUE"""),17227.0)</f>
        <v>17227</v>
      </c>
      <c r="C948" s="9">
        <f>IFERROR(__xludf.DUMMYFUNCTION("""COMPUTED_VALUE"""),6.8013)</f>
        <v>6.8013</v>
      </c>
      <c r="E948" s="11"/>
      <c r="H948" s="17"/>
    </row>
    <row r="949">
      <c r="B949" s="11">
        <f>IFERROR(__xludf.DUMMYFUNCTION("""COMPUTED_VALUE"""),17199.0)</f>
        <v>17199</v>
      </c>
      <c r="C949" s="9">
        <f>IFERROR(__xludf.DUMMYFUNCTION("""COMPUTED_VALUE"""),6.9401)</f>
        <v>6.9401</v>
      </c>
      <c r="E949" s="11"/>
      <c r="H949" s="17"/>
    </row>
    <row r="950">
      <c r="B950" s="11">
        <f>IFERROR(__xludf.DUMMYFUNCTION("""COMPUTED_VALUE"""),17168.0)</f>
        <v>17168</v>
      </c>
      <c r="C950" s="9">
        <f>IFERROR(__xludf.DUMMYFUNCTION("""COMPUTED_VALUE"""),7.0326)</f>
        <v>7.0326</v>
      </c>
      <c r="E950" s="11"/>
      <c r="H950" s="17"/>
    </row>
    <row r="951">
      <c r="B951" s="11"/>
      <c r="E951" s="11"/>
      <c r="H951" s="17"/>
    </row>
    <row r="952">
      <c r="B952" s="11"/>
      <c r="E952" s="11"/>
      <c r="H952" s="17"/>
    </row>
    <row r="953">
      <c r="B953" s="11"/>
      <c r="E953" s="11"/>
      <c r="H953" s="17"/>
    </row>
    <row r="954">
      <c r="B954" s="11"/>
      <c r="E954" s="11"/>
      <c r="H954" s="17"/>
    </row>
    <row r="955">
      <c r="B955" s="11"/>
      <c r="E955" s="11"/>
      <c r="H955" s="17"/>
    </row>
    <row r="956">
      <c r="B956" s="11"/>
      <c r="E956" s="11"/>
      <c r="H956" s="17"/>
    </row>
    <row r="957">
      <c r="B957" s="11"/>
      <c r="E957" s="11"/>
      <c r="H957" s="17"/>
    </row>
    <row r="958">
      <c r="B958" s="11"/>
      <c r="E958" s="11"/>
      <c r="H958" s="17"/>
    </row>
    <row r="959">
      <c r="B959" s="11"/>
      <c r="E959" s="11"/>
      <c r="H959" s="17"/>
    </row>
    <row r="960">
      <c r="B960" s="11"/>
      <c r="E960" s="11"/>
      <c r="H960" s="17"/>
    </row>
    <row r="961">
      <c r="B961" s="11"/>
      <c r="E961" s="11"/>
      <c r="H961" s="17"/>
    </row>
    <row r="962">
      <c r="B962" s="11"/>
      <c r="E962" s="11"/>
      <c r="H962" s="17"/>
    </row>
    <row r="963">
      <c r="B963" s="11"/>
      <c r="E963" s="11"/>
      <c r="H963" s="17"/>
    </row>
    <row r="964">
      <c r="B964" s="11"/>
      <c r="E964" s="11"/>
      <c r="H964" s="17"/>
    </row>
    <row r="965">
      <c r="B965" s="11"/>
      <c r="E965" s="11"/>
      <c r="H965" s="17"/>
    </row>
    <row r="966">
      <c r="B966" s="11"/>
      <c r="E966" s="11"/>
      <c r="H966" s="17"/>
    </row>
    <row r="967">
      <c r="B967" s="11"/>
      <c r="E967" s="11"/>
      <c r="H967" s="17"/>
    </row>
    <row r="968">
      <c r="B968" s="11"/>
      <c r="E968" s="11"/>
      <c r="H968" s="17"/>
    </row>
    <row r="969">
      <c r="B969" s="11"/>
      <c r="E969" s="11"/>
      <c r="H969" s="17"/>
    </row>
    <row r="970">
      <c r="B970" s="11"/>
      <c r="E970" s="11"/>
      <c r="H970" s="17"/>
    </row>
    <row r="971">
      <c r="B971" s="11"/>
      <c r="E971" s="11"/>
      <c r="H971" s="17"/>
    </row>
    <row r="972">
      <c r="B972" s="11"/>
      <c r="E972" s="11"/>
      <c r="H972" s="17"/>
    </row>
    <row r="973">
      <c r="B973" s="11"/>
      <c r="E973" s="11"/>
      <c r="H973" s="17"/>
    </row>
    <row r="974">
      <c r="B974" s="11"/>
      <c r="E974" s="11"/>
      <c r="H974" s="17"/>
    </row>
    <row r="975">
      <c r="B975" s="11"/>
      <c r="E975" s="11"/>
      <c r="H975" s="17"/>
    </row>
    <row r="976">
      <c r="B976" s="11"/>
      <c r="E976" s="11"/>
      <c r="H976" s="17"/>
    </row>
    <row r="977">
      <c r="B977" s="11"/>
      <c r="E977" s="11"/>
      <c r="H977" s="17"/>
    </row>
    <row r="978">
      <c r="B978" s="11"/>
      <c r="E978" s="11"/>
      <c r="H978" s="17"/>
    </row>
    <row r="979">
      <c r="B979" s="11"/>
      <c r="E979" s="11"/>
      <c r="H979" s="17"/>
    </row>
    <row r="980">
      <c r="B980" s="11"/>
      <c r="E980" s="11"/>
      <c r="H980" s="17"/>
    </row>
    <row r="981">
      <c r="B981" s="11"/>
      <c r="E981" s="11"/>
      <c r="H981" s="17"/>
    </row>
    <row r="982">
      <c r="B982" s="11"/>
      <c r="E982" s="11"/>
      <c r="H982" s="17"/>
    </row>
    <row r="983">
      <c r="B983" s="11"/>
      <c r="E983" s="11"/>
      <c r="H983" s="17"/>
    </row>
    <row r="984">
      <c r="B984" s="11"/>
      <c r="E984" s="11"/>
      <c r="H984" s="17"/>
    </row>
    <row r="985">
      <c r="B985" s="11"/>
      <c r="E985" s="11"/>
      <c r="H985" s="17"/>
    </row>
    <row r="986">
      <c r="B986" s="11"/>
      <c r="E986" s="11"/>
      <c r="H986" s="17"/>
    </row>
    <row r="987">
      <c r="B987" s="11"/>
      <c r="E987" s="11"/>
      <c r="H987" s="17"/>
    </row>
    <row r="988">
      <c r="B988" s="11"/>
      <c r="E988" s="11"/>
      <c r="H988" s="17"/>
    </row>
    <row r="989">
      <c r="B989" s="11"/>
      <c r="E989" s="11"/>
      <c r="H989" s="17"/>
    </row>
    <row r="990">
      <c r="B990" s="11"/>
      <c r="E990" s="11"/>
      <c r="H990" s="17"/>
    </row>
    <row r="991">
      <c r="B991" s="11"/>
      <c r="E991" s="11"/>
      <c r="H991" s="17"/>
    </row>
    <row r="992">
      <c r="B992" s="11"/>
      <c r="E992" s="11"/>
      <c r="H992" s="17"/>
    </row>
    <row r="993">
      <c r="B993" s="11"/>
      <c r="E993" s="11"/>
      <c r="H993" s="17"/>
    </row>
    <row r="994">
      <c r="B994" s="11"/>
      <c r="E994" s="11"/>
      <c r="H994" s="17"/>
    </row>
    <row r="995">
      <c r="B995" s="11"/>
      <c r="E995" s="11"/>
      <c r="H995" s="17"/>
    </row>
    <row r="996">
      <c r="B996" s="11"/>
      <c r="E996" s="11"/>
      <c r="H996" s="17"/>
    </row>
    <row r="997">
      <c r="B997" s="11"/>
      <c r="E997" s="11"/>
      <c r="H997" s="17"/>
    </row>
    <row r="998">
      <c r="B998" s="11"/>
      <c r="E998" s="11"/>
      <c r="H998" s="17"/>
    </row>
    <row r="999">
      <c r="B999" s="11"/>
      <c r="E999" s="11"/>
      <c r="H999" s="17"/>
    </row>
    <row r="1000">
      <c r="B1000" s="11"/>
      <c r="E1000" s="11"/>
      <c r="H1000" s="17"/>
    </row>
  </sheetData>
  <hyperlinks>
    <hyperlink r:id="rId1" ref="A1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103</v>
      </c>
      <c r="B1" s="11"/>
      <c r="C1" s="52" t="s">
        <v>104</v>
      </c>
      <c r="H1" s="17"/>
    </row>
    <row r="2">
      <c r="B2" s="11"/>
      <c r="C2" s="32"/>
      <c r="H2" s="17"/>
    </row>
    <row r="3">
      <c r="B3" s="11"/>
      <c r="C3" s="32"/>
      <c r="E3" s="53" t="s">
        <v>67</v>
      </c>
      <c r="H3" s="49" t="s">
        <v>97</v>
      </c>
    </row>
    <row r="4">
      <c r="B4" s="11" t="str">
        <f>IFERROR(__xludf.DUMMYFUNCTION("SORT(IMPORTDATA(""https://fred.stlouisfed.org/graph/fredgraph.csv?id=ADAPNO""),1,FALSE)"),"observation_date")</f>
        <v>observation_date</v>
      </c>
      <c r="C4" s="32" t="str">
        <f>IFERROR(__xludf.DUMMYFUNCTION("""COMPUTED_VALUE"""),"ADAPNO")</f>
        <v>ADAPNO</v>
      </c>
      <c r="E4" s="23" t="str">
        <f>IFERROR(__xludf.DUMMYFUNCTION("QUERY(B:C, ""SELECT B, C WHERE B &gt;= DATE '"" &amp; TEXT(TODAY()-365*5, ""yyyy-MM-dd"") &amp; ""' ORDER BY B DESC"", 1)"),"")</f>
        <v/>
      </c>
      <c r="F4" s="9" t="str">
        <f>IFERROR(__xludf.DUMMYFUNCTION("""COMPUTED_VALUE"""),"Manufacturers' New Orders: Defense Aircraft and Parts")</f>
        <v>Manufacturers' New Orders: Defense Aircraft and Parts</v>
      </c>
      <c r="H4" s="39" t="str">
        <f>IFERROR(__xludf.DUMMYFUNCTION("QUERY(B:C, ""SELECT B, C WHERE B &gt;= DATE '"" &amp; TEXT(TODAY()-365, ""yyyy-MM-dd"") &amp; ""' ORDER BY B DESC"", 1)"),"")</f>
        <v/>
      </c>
      <c r="I4" s="9" t="str">
        <f>IFERROR(__xludf.DUMMYFUNCTION("""COMPUTED_VALUE"""),"Manufacturers' New Orders: Defense Aircraft and Parts")</f>
        <v>Manufacturers' New Orders: Defense Aircraft and Parts</v>
      </c>
    </row>
    <row r="5">
      <c r="B5" s="11">
        <f>IFERROR(__xludf.DUMMYFUNCTION("""COMPUTED_VALUE"""),45931.0)</f>
        <v>45931</v>
      </c>
      <c r="C5" s="32">
        <f>IFERROR(__xludf.DUMMYFUNCTION("""COMPUTED_VALUE"""),6086.0)</f>
        <v>6086</v>
      </c>
      <c r="E5" s="40">
        <f>IFERROR(__xludf.DUMMYFUNCTION("""COMPUTED_VALUE"""),45931.0)</f>
        <v>45931</v>
      </c>
      <c r="F5" s="32">
        <f>IFERROR(__xludf.DUMMYFUNCTION("""COMPUTED_VALUE"""),6086.0)</f>
        <v>6086</v>
      </c>
      <c r="H5" s="17">
        <f>IFERROR(__xludf.DUMMYFUNCTION("""COMPUTED_VALUE"""),45931.0)</f>
        <v>45931</v>
      </c>
      <c r="I5" s="32">
        <f>IFERROR(__xludf.DUMMYFUNCTION("""COMPUTED_VALUE"""),6086.0)</f>
        <v>6086</v>
      </c>
    </row>
    <row r="6">
      <c r="B6" s="11">
        <f>IFERROR(__xludf.DUMMYFUNCTION("""COMPUTED_VALUE"""),45901.0)</f>
        <v>45901</v>
      </c>
      <c r="C6" s="32">
        <f>IFERROR(__xludf.DUMMYFUNCTION("""COMPUTED_VALUE"""),8999.0)</f>
        <v>8999</v>
      </c>
      <c r="E6" s="40">
        <f>IFERROR(__xludf.DUMMYFUNCTION("""COMPUTED_VALUE"""),45901.0)</f>
        <v>45901</v>
      </c>
      <c r="F6" s="32">
        <f>IFERROR(__xludf.DUMMYFUNCTION("""COMPUTED_VALUE"""),8999.0)</f>
        <v>8999</v>
      </c>
      <c r="H6" s="17">
        <f>IFERROR(__xludf.DUMMYFUNCTION("""COMPUTED_VALUE"""),45901.0)</f>
        <v>45901</v>
      </c>
      <c r="I6" s="32">
        <f>IFERROR(__xludf.DUMMYFUNCTION("""COMPUTED_VALUE"""),8999.0)</f>
        <v>8999</v>
      </c>
    </row>
    <row r="7">
      <c r="B7" s="11">
        <f>IFERROR(__xludf.DUMMYFUNCTION("""COMPUTED_VALUE"""),45870.0)</f>
        <v>45870</v>
      </c>
      <c r="C7" s="32">
        <f>IFERROR(__xludf.DUMMYFUNCTION("""COMPUTED_VALUE"""),6706.0)</f>
        <v>6706</v>
      </c>
      <c r="E7" s="40">
        <f>IFERROR(__xludf.DUMMYFUNCTION("""COMPUTED_VALUE"""),45870.0)</f>
        <v>45870</v>
      </c>
      <c r="F7" s="32">
        <f>IFERROR(__xludf.DUMMYFUNCTION("""COMPUTED_VALUE"""),6706.0)</f>
        <v>6706</v>
      </c>
      <c r="H7" s="17">
        <f>IFERROR(__xludf.DUMMYFUNCTION("""COMPUTED_VALUE"""),45870.0)</f>
        <v>45870</v>
      </c>
      <c r="I7" s="32">
        <f>IFERROR(__xludf.DUMMYFUNCTION("""COMPUTED_VALUE"""),6706.0)</f>
        <v>6706</v>
      </c>
    </row>
    <row r="8">
      <c r="B8" s="11">
        <f>IFERROR(__xludf.DUMMYFUNCTION("""COMPUTED_VALUE"""),45839.0)</f>
        <v>45839</v>
      </c>
      <c r="C8" s="32">
        <f>IFERROR(__xludf.DUMMYFUNCTION("""COMPUTED_VALUE"""),4521.0)</f>
        <v>4521</v>
      </c>
      <c r="E8" s="40">
        <f>IFERROR(__xludf.DUMMYFUNCTION("""COMPUTED_VALUE"""),45839.0)</f>
        <v>45839</v>
      </c>
      <c r="F8" s="32">
        <f>IFERROR(__xludf.DUMMYFUNCTION("""COMPUTED_VALUE"""),4521.0)</f>
        <v>4521</v>
      </c>
      <c r="H8" s="17">
        <f>IFERROR(__xludf.DUMMYFUNCTION("""COMPUTED_VALUE"""),45839.0)</f>
        <v>45839</v>
      </c>
      <c r="I8" s="32">
        <f>IFERROR(__xludf.DUMMYFUNCTION("""COMPUTED_VALUE"""),4521.0)</f>
        <v>4521</v>
      </c>
    </row>
    <row r="9">
      <c r="B9" s="11">
        <f>IFERROR(__xludf.DUMMYFUNCTION("""COMPUTED_VALUE"""),45809.0)</f>
        <v>45809</v>
      </c>
      <c r="C9" s="32">
        <f>IFERROR(__xludf.DUMMYFUNCTION("""COMPUTED_VALUE"""),4494.0)</f>
        <v>4494</v>
      </c>
      <c r="E9" s="40">
        <f>IFERROR(__xludf.DUMMYFUNCTION("""COMPUTED_VALUE"""),45809.0)</f>
        <v>45809</v>
      </c>
      <c r="F9" s="32">
        <f>IFERROR(__xludf.DUMMYFUNCTION("""COMPUTED_VALUE"""),4494.0)</f>
        <v>4494</v>
      </c>
      <c r="H9" s="17">
        <f>IFERROR(__xludf.DUMMYFUNCTION("""COMPUTED_VALUE"""),45809.0)</f>
        <v>45809</v>
      </c>
      <c r="I9" s="32">
        <f>IFERROR(__xludf.DUMMYFUNCTION("""COMPUTED_VALUE"""),4494.0)</f>
        <v>4494</v>
      </c>
    </row>
    <row r="10">
      <c r="B10" s="11">
        <f>IFERROR(__xludf.DUMMYFUNCTION("""COMPUTED_VALUE"""),45778.0)</f>
        <v>45778</v>
      </c>
      <c r="C10" s="32">
        <f>IFERROR(__xludf.DUMMYFUNCTION("""COMPUTED_VALUE"""),4309.0)</f>
        <v>4309</v>
      </c>
      <c r="E10" s="40">
        <f>IFERROR(__xludf.DUMMYFUNCTION("""COMPUTED_VALUE"""),45778.0)</f>
        <v>45778</v>
      </c>
      <c r="F10" s="32">
        <f>IFERROR(__xludf.DUMMYFUNCTION("""COMPUTED_VALUE"""),4309.0)</f>
        <v>4309</v>
      </c>
      <c r="H10" s="17">
        <f>IFERROR(__xludf.DUMMYFUNCTION("""COMPUTED_VALUE"""),45778.0)</f>
        <v>45778</v>
      </c>
      <c r="I10" s="32">
        <f>IFERROR(__xludf.DUMMYFUNCTION("""COMPUTED_VALUE"""),4309.0)</f>
        <v>4309</v>
      </c>
    </row>
    <row r="11">
      <c r="B11" s="11">
        <f>IFERROR(__xludf.DUMMYFUNCTION("""COMPUTED_VALUE"""),45748.0)</f>
        <v>45748</v>
      </c>
      <c r="C11" s="32">
        <f>IFERROR(__xludf.DUMMYFUNCTION("""COMPUTED_VALUE"""),4794.0)</f>
        <v>4794</v>
      </c>
      <c r="E11" s="40">
        <f>IFERROR(__xludf.DUMMYFUNCTION("""COMPUTED_VALUE"""),45748.0)</f>
        <v>45748</v>
      </c>
      <c r="F11" s="32">
        <f>IFERROR(__xludf.DUMMYFUNCTION("""COMPUTED_VALUE"""),4794.0)</f>
        <v>4794</v>
      </c>
      <c r="H11" s="17">
        <f>IFERROR(__xludf.DUMMYFUNCTION("""COMPUTED_VALUE"""),45748.0)</f>
        <v>45748</v>
      </c>
      <c r="I11" s="32">
        <f>IFERROR(__xludf.DUMMYFUNCTION("""COMPUTED_VALUE"""),4794.0)</f>
        <v>4794</v>
      </c>
    </row>
    <row r="12">
      <c r="B12" s="11">
        <f>IFERROR(__xludf.DUMMYFUNCTION("""COMPUTED_VALUE"""),45717.0)</f>
        <v>45717</v>
      </c>
      <c r="C12" s="32">
        <f>IFERROR(__xludf.DUMMYFUNCTION("""COMPUTED_VALUE"""),5322.0)</f>
        <v>5322</v>
      </c>
      <c r="E12" s="40">
        <f>IFERROR(__xludf.DUMMYFUNCTION("""COMPUTED_VALUE"""),45717.0)</f>
        <v>45717</v>
      </c>
      <c r="F12" s="32">
        <f>IFERROR(__xludf.DUMMYFUNCTION("""COMPUTED_VALUE"""),5322.0)</f>
        <v>5322</v>
      </c>
      <c r="H12" s="17">
        <f>IFERROR(__xludf.DUMMYFUNCTION("""COMPUTED_VALUE"""),45717.0)</f>
        <v>45717</v>
      </c>
      <c r="I12" s="32">
        <f>IFERROR(__xludf.DUMMYFUNCTION("""COMPUTED_VALUE"""),5322.0)</f>
        <v>5322</v>
      </c>
    </row>
    <row r="13">
      <c r="B13" s="11">
        <f>IFERROR(__xludf.DUMMYFUNCTION("""COMPUTED_VALUE"""),45689.0)</f>
        <v>45689</v>
      </c>
      <c r="C13" s="32">
        <f>IFERROR(__xludf.DUMMYFUNCTION("""COMPUTED_VALUE"""),6340.0)</f>
        <v>6340</v>
      </c>
      <c r="E13" s="40">
        <f>IFERROR(__xludf.DUMMYFUNCTION("""COMPUTED_VALUE"""),45689.0)</f>
        <v>45689</v>
      </c>
      <c r="F13" s="32">
        <f>IFERROR(__xludf.DUMMYFUNCTION("""COMPUTED_VALUE"""),6340.0)</f>
        <v>6340</v>
      </c>
      <c r="H13" s="17">
        <f>IFERROR(__xludf.DUMMYFUNCTION("""COMPUTED_VALUE"""),45689.0)</f>
        <v>45689</v>
      </c>
      <c r="I13" s="32">
        <f>IFERROR(__xludf.DUMMYFUNCTION("""COMPUTED_VALUE"""),6340.0)</f>
        <v>6340</v>
      </c>
    </row>
    <row r="14">
      <c r="B14" s="11">
        <f>IFERROR(__xludf.DUMMYFUNCTION("""COMPUTED_VALUE"""),45658.0)</f>
        <v>45658</v>
      </c>
      <c r="C14" s="32">
        <f>IFERROR(__xludf.DUMMYFUNCTION("""COMPUTED_VALUE"""),5336.0)</f>
        <v>5336</v>
      </c>
      <c r="E14" s="40">
        <f>IFERROR(__xludf.DUMMYFUNCTION("""COMPUTED_VALUE"""),45658.0)</f>
        <v>45658</v>
      </c>
      <c r="F14" s="32">
        <f>IFERROR(__xludf.DUMMYFUNCTION("""COMPUTED_VALUE"""),5336.0)</f>
        <v>5336</v>
      </c>
      <c r="H14" s="17"/>
    </row>
    <row r="15">
      <c r="B15" s="11">
        <f>IFERROR(__xludf.DUMMYFUNCTION("""COMPUTED_VALUE"""),45627.0)</f>
        <v>45627</v>
      </c>
      <c r="C15" s="32">
        <f>IFERROR(__xludf.DUMMYFUNCTION("""COMPUTED_VALUE"""),5575.0)</f>
        <v>5575</v>
      </c>
      <c r="E15" s="40">
        <f>IFERROR(__xludf.DUMMYFUNCTION("""COMPUTED_VALUE"""),45627.0)</f>
        <v>45627</v>
      </c>
      <c r="F15" s="32">
        <f>IFERROR(__xludf.DUMMYFUNCTION("""COMPUTED_VALUE"""),5575.0)</f>
        <v>5575</v>
      </c>
      <c r="H15" s="17"/>
    </row>
    <row r="16">
      <c r="B16" s="11">
        <f>IFERROR(__xludf.DUMMYFUNCTION("""COMPUTED_VALUE"""),45597.0)</f>
        <v>45597</v>
      </c>
      <c r="C16" s="32">
        <f>IFERROR(__xludf.DUMMYFUNCTION("""COMPUTED_VALUE"""),4982.0)</f>
        <v>4982</v>
      </c>
      <c r="E16" s="40">
        <f>IFERROR(__xludf.DUMMYFUNCTION("""COMPUTED_VALUE"""),45597.0)</f>
        <v>45597</v>
      </c>
      <c r="F16" s="32">
        <f>IFERROR(__xludf.DUMMYFUNCTION("""COMPUTED_VALUE"""),4982.0)</f>
        <v>4982</v>
      </c>
      <c r="H16" s="17"/>
    </row>
    <row r="17">
      <c r="B17" s="11">
        <f>IFERROR(__xludf.DUMMYFUNCTION("""COMPUTED_VALUE"""),45566.0)</f>
        <v>45566</v>
      </c>
      <c r="C17" s="32">
        <f>IFERROR(__xludf.DUMMYFUNCTION("""COMPUTED_VALUE"""),5234.0)</f>
        <v>5234</v>
      </c>
      <c r="E17" s="40">
        <f>IFERROR(__xludf.DUMMYFUNCTION("""COMPUTED_VALUE"""),45566.0)</f>
        <v>45566</v>
      </c>
      <c r="F17" s="32">
        <f>IFERROR(__xludf.DUMMYFUNCTION("""COMPUTED_VALUE"""),5234.0)</f>
        <v>5234</v>
      </c>
      <c r="H17" s="17"/>
    </row>
    <row r="18">
      <c r="B18" s="11">
        <f>IFERROR(__xludf.DUMMYFUNCTION("""COMPUTED_VALUE"""),45536.0)</f>
        <v>45536</v>
      </c>
      <c r="C18" s="32">
        <f>IFERROR(__xludf.DUMMYFUNCTION("""COMPUTED_VALUE"""),4405.0)</f>
        <v>4405</v>
      </c>
      <c r="E18" s="40">
        <f>IFERROR(__xludf.DUMMYFUNCTION("""COMPUTED_VALUE"""),45536.0)</f>
        <v>45536</v>
      </c>
      <c r="F18" s="32">
        <f>IFERROR(__xludf.DUMMYFUNCTION("""COMPUTED_VALUE"""),4405.0)</f>
        <v>4405</v>
      </c>
      <c r="H18" s="17"/>
    </row>
    <row r="19">
      <c r="B19" s="11">
        <f>IFERROR(__xludf.DUMMYFUNCTION("""COMPUTED_VALUE"""),45505.0)</f>
        <v>45505</v>
      </c>
      <c r="C19" s="32">
        <f>IFERROR(__xludf.DUMMYFUNCTION("""COMPUTED_VALUE"""),5546.0)</f>
        <v>5546</v>
      </c>
      <c r="E19" s="40">
        <f>IFERROR(__xludf.DUMMYFUNCTION("""COMPUTED_VALUE"""),45505.0)</f>
        <v>45505</v>
      </c>
      <c r="F19" s="32">
        <f>IFERROR(__xludf.DUMMYFUNCTION("""COMPUTED_VALUE"""),5546.0)</f>
        <v>5546</v>
      </c>
      <c r="H19" s="17"/>
    </row>
    <row r="20">
      <c r="B20" s="11">
        <f>IFERROR(__xludf.DUMMYFUNCTION("""COMPUTED_VALUE"""),45474.0)</f>
        <v>45474</v>
      </c>
      <c r="C20" s="32">
        <f>IFERROR(__xludf.DUMMYFUNCTION("""COMPUTED_VALUE"""),5375.0)</f>
        <v>5375</v>
      </c>
      <c r="E20" s="40">
        <f>IFERROR(__xludf.DUMMYFUNCTION("""COMPUTED_VALUE"""),45474.0)</f>
        <v>45474</v>
      </c>
      <c r="F20" s="32">
        <f>IFERROR(__xludf.DUMMYFUNCTION("""COMPUTED_VALUE"""),5375.0)</f>
        <v>5375</v>
      </c>
      <c r="H20" s="17"/>
    </row>
    <row r="21">
      <c r="B21" s="11">
        <f>IFERROR(__xludf.DUMMYFUNCTION("""COMPUTED_VALUE"""),45444.0)</f>
        <v>45444</v>
      </c>
      <c r="C21" s="32">
        <f>IFERROR(__xludf.DUMMYFUNCTION("""COMPUTED_VALUE"""),4376.0)</f>
        <v>4376</v>
      </c>
      <c r="E21" s="40">
        <f>IFERROR(__xludf.DUMMYFUNCTION("""COMPUTED_VALUE"""),45444.0)</f>
        <v>45444</v>
      </c>
      <c r="F21" s="32">
        <f>IFERROR(__xludf.DUMMYFUNCTION("""COMPUTED_VALUE"""),4376.0)</f>
        <v>4376</v>
      </c>
      <c r="H21" s="17"/>
    </row>
    <row r="22">
      <c r="B22" s="11">
        <f>IFERROR(__xludf.DUMMYFUNCTION("""COMPUTED_VALUE"""),45413.0)</f>
        <v>45413</v>
      </c>
      <c r="C22" s="32">
        <f>IFERROR(__xludf.DUMMYFUNCTION("""COMPUTED_VALUE"""),5312.0)</f>
        <v>5312</v>
      </c>
      <c r="E22" s="40">
        <f>IFERROR(__xludf.DUMMYFUNCTION("""COMPUTED_VALUE"""),45413.0)</f>
        <v>45413</v>
      </c>
      <c r="F22" s="32">
        <f>IFERROR(__xludf.DUMMYFUNCTION("""COMPUTED_VALUE"""),5312.0)</f>
        <v>5312</v>
      </c>
      <c r="H22" s="17"/>
    </row>
    <row r="23">
      <c r="B23" s="11">
        <f>IFERROR(__xludf.DUMMYFUNCTION("""COMPUTED_VALUE"""),45383.0)</f>
        <v>45383</v>
      </c>
      <c r="C23" s="32">
        <f>IFERROR(__xludf.DUMMYFUNCTION("""COMPUTED_VALUE"""),4531.0)</f>
        <v>4531</v>
      </c>
      <c r="E23" s="40">
        <f>IFERROR(__xludf.DUMMYFUNCTION("""COMPUTED_VALUE"""),45383.0)</f>
        <v>45383</v>
      </c>
      <c r="F23" s="32">
        <f>IFERROR(__xludf.DUMMYFUNCTION("""COMPUTED_VALUE"""),4531.0)</f>
        <v>4531</v>
      </c>
      <c r="H23" s="17"/>
    </row>
    <row r="24">
      <c r="B24" s="11">
        <f>IFERROR(__xludf.DUMMYFUNCTION("""COMPUTED_VALUE"""),45352.0)</f>
        <v>45352</v>
      </c>
      <c r="C24" s="32">
        <f>IFERROR(__xludf.DUMMYFUNCTION("""COMPUTED_VALUE"""),4596.0)</f>
        <v>4596</v>
      </c>
      <c r="E24" s="40">
        <f>IFERROR(__xludf.DUMMYFUNCTION("""COMPUTED_VALUE"""),45352.0)</f>
        <v>45352</v>
      </c>
      <c r="F24" s="32">
        <f>IFERROR(__xludf.DUMMYFUNCTION("""COMPUTED_VALUE"""),4596.0)</f>
        <v>4596</v>
      </c>
      <c r="H24" s="17"/>
    </row>
    <row r="25">
      <c r="B25" s="11">
        <f>IFERROR(__xludf.DUMMYFUNCTION("""COMPUTED_VALUE"""),45323.0)</f>
        <v>45323</v>
      </c>
      <c r="C25" s="32">
        <f>IFERROR(__xludf.DUMMYFUNCTION("""COMPUTED_VALUE"""),4435.0)</f>
        <v>4435</v>
      </c>
      <c r="E25" s="40">
        <f>IFERROR(__xludf.DUMMYFUNCTION("""COMPUTED_VALUE"""),45323.0)</f>
        <v>45323</v>
      </c>
      <c r="F25" s="32">
        <f>IFERROR(__xludf.DUMMYFUNCTION("""COMPUTED_VALUE"""),4435.0)</f>
        <v>4435</v>
      </c>
      <c r="H25" s="17"/>
    </row>
    <row r="26">
      <c r="B26" s="11">
        <f>IFERROR(__xludf.DUMMYFUNCTION("""COMPUTED_VALUE"""),45292.0)</f>
        <v>45292</v>
      </c>
      <c r="C26" s="32">
        <f>IFERROR(__xludf.DUMMYFUNCTION("""COMPUTED_VALUE"""),4189.0)</f>
        <v>4189</v>
      </c>
      <c r="E26" s="40">
        <f>IFERROR(__xludf.DUMMYFUNCTION("""COMPUTED_VALUE"""),45292.0)</f>
        <v>45292</v>
      </c>
      <c r="F26" s="32">
        <f>IFERROR(__xludf.DUMMYFUNCTION("""COMPUTED_VALUE"""),4189.0)</f>
        <v>4189</v>
      </c>
      <c r="H26" s="17"/>
    </row>
    <row r="27">
      <c r="B27" s="11">
        <f>IFERROR(__xludf.DUMMYFUNCTION("""COMPUTED_VALUE"""),45261.0)</f>
        <v>45261</v>
      </c>
      <c r="C27" s="32">
        <f>IFERROR(__xludf.DUMMYFUNCTION("""COMPUTED_VALUE"""),4238.0)</f>
        <v>4238</v>
      </c>
      <c r="E27" s="40">
        <f>IFERROR(__xludf.DUMMYFUNCTION("""COMPUTED_VALUE"""),45261.0)</f>
        <v>45261</v>
      </c>
      <c r="F27" s="32">
        <f>IFERROR(__xludf.DUMMYFUNCTION("""COMPUTED_VALUE"""),4238.0)</f>
        <v>4238</v>
      </c>
      <c r="H27" s="17"/>
    </row>
    <row r="28">
      <c r="B28" s="11">
        <f>IFERROR(__xludf.DUMMYFUNCTION("""COMPUTED_VALUE"""),45231.0)</f>
        <v>45231</v>
      </c>
      <c r="C28" s="32">
        <f>IFERROR(__xludf.DUMMYFUNCTION("""COMPUTED_VALUE"""),4542.0)</f>
        <v>4542</v>
      </c>
      <c r="E28" s="40">
        <f>IFERROR(__xludf.DUMMYFUNCTION("""COMPUTED_VALUE"""),45231.0)</f>
        <v>45231</v>
      </c>
      <c r="F28" s="32">
        <f>IFERROR(__xludf.DUMMYFUNCTION("""COMPUTED_VALUE"""),4542.0)</f>
        <v>4542</v>
      </c>
      <c r="H28" s="17"/>
    </row>
    <row r="29">
      <c r="B29" s="11">
        <f>IFERROR(__xludf.DUMMYFUNCTION("""COMPUTED_VALUE"""),45200.0)</f>
        <v>45200</v>
      </c>
      <c r="C29" s="32">
        <f>IFERROR(__xludf.DUMMYFUNCTION("""COMPUTED_VALUE"""),4504.0)</f>
        <v>4504</v>
      </c>
      <c r="E29" s="40">
        <f>IFERROR(__xludf.DUMMYFUNCTION("""COMPUTED_VALUE"""),45200.0)</f>
        <v>45200</v>
      </c>
      <c r="F29" s="32">
        <f>IFERROR(__xludf.DUMMYFUNCTION("""COMPUTED_VALUE"""),4504.0)</f>
        <v>4504</v>
      </c>
      <c r="H29" s="17"/>
    </row>
    <row r="30">
      <c r="B30" s="11">
        <f>IFERROR(__xludf.DUMMYFUNCTION("""COMPUTED_VALUE"""),45170.0)</f>
        <v>45170</v>
      </c>
      <c r="C30" s="32">
        <f>IFERROR(__xludf.DUMMYFUNCTION("""COMPUTED_VALUE"""),4621.0)</f>
        <v>4621</v>
      </c>
      <c r="E30" s="40">
        <f>IFERROR(__xludf.DUMMYFUNCTION("""COMPUTED_VALUE"""),45170.0)</f>
        <v>45170</v>
      </c>
      <c r="F30" s="32">
        <f>IFERROR(__xludf.DUMMYFUNCTION("""COMPUTED_VALUE"""),4621.0)</f>
        <v>4621</v>
      </c>
      <c r="H30" s="17"/>
    </row>
    <row r="31">
      <c r="B31" s="11">
        <f>IFERROR(__xludf.DUMMYFUNCTION("""COMPUTED_VALUE"""),45139.0)</f>
        <v>45139</v>
      </c>
      <c r="C31" s="32">
        <f>IFERROR(__xludf.DUMMYFUNCTION("""COMPUTED_VALUE"""),4945.0)</f>
        <v>4945</v>
      </c>
      <c r="E31" s="40">
        <f>IFERROR(__xludf.DUMMYFUNCTION("""COMPUTED_VALUE"""),45139.0)</f>
        <v>45139</v>
      </c>
      <c r="F31" s="32">
        <f>IFERROR(__xludf.DUMMYFUNCTION("""COMPUTED_VALUE"""),4945.0)</f>
        <v>4945</v>
      </c>
      <c r="H31" s="17"/>
    </row>
    <row r="32">
      <c r="B32" s="11">
        <f>IFERROR(__xludf.DUMMYFUNCTION("""COMPUTED_VALUE"""),45108.0)</f>
        <v>45108</v>
      </c>
      <c r="C32" s="32">
        <f>IFERROR(__xludf.DUMMYFUNCTION("""COMPUTED_VALUE"""),4392.0)</f>
        <v>4392</v>
      </c>
      <c r="E32" s="40">
        <f>IFERROR(__xludf.DUMMYFUNCTION("""COMPUTED_VALUE"""),45108.0)</f>
        <v>45108</v>
      </c>
      <c r="F32" s="32">
        <f>IFERROR(__xludf.DUMMYFUNCTION("""COMPUTED_VALUE"""),4392.0)</f>
        <v>4392</v>
      </c>
      <c r="H32" s="17"/>
    </row>
    <row r="33">
      <c r="B33" s="11">
        <f>IFERROR(__xludf.DUMMYFUNCTION("""COMPUTED_VALUE"""),45078.0)</f>
        <v>45078</v>
      </c>
      <c r="C33" s="32">
        <f>IFERROR(__xludf.DUMMYFUNCTION("""COMPUTED_VALUE"""),5546.0)</f>
        <v>5546</v>
      </c>
      <c r="E33" s="40">
        <f>IFERROR(__xludf.DUMMYFUNCTION("""COMPUTED_VALUE"""),45078.0)</f>
        <v>45078</v>
      </c>
      <c r="F33" s="32">
        <f>IFERROR(__xludf.DUMMYFUNCTION("""COMPUTED_VALUE"""),5546.0)</f>
        <v>5546</v>
      </c>
      <c r="H33" s="17"/>
    </row>
    <row r="34">
      <c r="B34" s="11">
        <f>IFERROR(__xludf.DUMMYFUNCTION("""COMPUTED_VALUE"""),45047.0)</f>
        <v>45047</v>
      </c>
      <c r="C34" s="32">
        <f>IFERROR(__xludf.DUMMYFUNCTION("""COMPUTED_VALUE"""),4630.0)</f>
        <v>4630</v>
      </c>
      <c r="E34" s="40">
        <f>IFERROR(__xludf.DUMMYFUNCTION("""COMPUTED_VALUE"""),45047.0)</f>
        <v>45047</v>
      </c>
      <c r="F34" s="32">
        <f>IFERROR(__xludf.DUMMYFUNCTION("""COMPUTED_VALUE"""),4630.0)</f>
        <v>4630</v>
      </c>
      <c r="H34" s="17"/>
    </row>
    <row r="35">
      <c r="B35" s="11">
        <f>IFERROR(__xludf.DUMMYFUNCTION("""COMPUTED_VALUE"""),45017.0)</f>
        <v>45017</v>
      </c>
      <c r="C35" s="32">
        <f>IFERROR(__xludf.DUMMYFUNCTION("""COMPUTED_VALUE"""),7694.0)</f>
        <v>7694</v>
      </c>
      <c r="E35" s="40">
        <f>IFERROR(__xludf.DUMMYFUNCTION("""COMPUTED_VALUE"""),45017.0)</f>
        <v>45017</v>
      </c>
      <c r="F35" s="32">
        <f>IFERROR(__xludf.DUMMYFUNCTION("""COMPUTED_VALUE"""),7694.0)</f>
        <v>7694</v>
      </c>
      <c r="H35" s="17"/>
    </row>
    <row r="36">
      <c r="B36" s="11">
        <f>IFERROR(__xludf.DUMMYFUNCTION("""COMPUTED_VALUE"""),44986.0)</f>
        <v>44986</v>
      </c>
      <c r="C36" s="32">
        <f>IFERROR(__xludf.DUMMYFUNCTION("""COMPUTED_VALUE"""),5442.0)</f>
        <v>5442</v>
      </c>
      <c r="E36" s="40">
        <f>IFERROR(__xludf.DUMMYFUNCTION("""COMPUTED_VALUE"""),44986.0)</f>
        <v>44986</v>
      </c>
      <c r="F36" s="32">
        <f>IFERROR(__xludf.DUMMYFUNCTION("""COMPUTED_VALUE"""),5442.0)</f>
        <v>5442</v>
      </c>
      <c r="H36" s="17"/>
    </row>
    <row r="37">
      <c r="B37" s="11">
        <f>IFERROR(__xludf.DUMMYFUNCTION("""COMPUTED_VALUE"""),44958.0)</f>
        <v>44958</v>
      </c>
      <c r="C37" s="32">
        <f>IFERROR(__xludf.DUMMYFUNCTION("""COMPUTED_VALUE"""),4407.0)</f>
        <v>4407</v>
      </c>
      <c r="E37" s="40">
        <f>IFERROR(__xludf.DUMMYFUNCTION("""COMPUTED_VALUE"""),44958.0)</f>
        <v>44958</v>
      </c>
      <c r="F37" s="32">
        <f>IFERROR(__xludf.DUMMYFUNCTION("""COMPUTED_VALUE"""),4407.0)</f>
        <v>4407</v>
      </c>
      <c r="H37" s="17"/>
    </row>
    <row r="38">
      <c r="B38" s="11">
        <f>IFERROR(__xludf.DUMMYFUNCTION("""COMPUTED_VALUE"""),44927.0)</f>
        <v>44927</v>
      </c>
      <c r="C38" s="32">
        <f>IFERROR(__xludf.DUMMYFUNCTION("""COMPUTED_VALUE"""),5315.0)</f>
        <v>5315</v>
      </c>
      <c r="E38" s="40">
        <f>IFERROR(__xludf.DUMMYFUNCTION("""COMPUTED_VALUE"""),44927.0)</f>
        <v>44927</v>
      </c>
      <c r="F38" s="32">
        <f>IFERROR(__xludf.DUMMYFUNCTION("""COMPUTED_VALUE"""),5315.0)</f>
        <v>5315</v>
      </c>
      <c r="H38" s="17"/>
    </row>
    <row r="39">
      <c r="B39" s="11">
        <f>IFERROR(__xludf.DUMMYFUNCTION("""COMPUTED_VALUE"""),44896.0)</f>
        <v>44896</v>
      </c>
      <c r="C39" s="32">
        <f>IFERROR(__xludf.DUMMYFUNCTION("""COMPUTED_VALUE"""),4778.0)</f>
        <v>4778</v>
      </c>
      <c r="E39" s="40">
        <f>IFERROR(__xludf.DUMMYFUNCTION("""COMPUTED_VALUE"""),44896.0)</f>
        <v>44896</v>
      </c>
      <c r="F39" s="32">
        <f>IFERROR(__xludf.DUMMYFUNCTION("""COMPUTED_VALUE"""),4778.0)</f>
        <v>4778</v>
      </c>
      <c r="H39" s="17"/>
    </row>
    <row r="40">
      <c r="B40" s="11">
        <f>IFERROR(__xludf.DUMMYFUNCTION("""COMPUTED_VALUE"""),44866.0)</f>
        <v>44866</v>
      </c>
      <c r="C40" s="32">
        <f>IFERROR(__xludf.DUMMYFUNCTION("""COMPUTED_VALUE"""),3865.0)</f>
        <v>3865</v>
      </c>
      <c r="E40" s="40">
        <f>IFERROR(__xludf.DUMMYFUNCTION("""COMPUTED_VALUE"""),44866.0)</f>
        <v>44866</v>
      </c>
      <c r="F40" s="32">
        <f>IFERROR(__xludf.DUMMYFUNCTION("""COMPUTED_VALUE"""),3865.0)</f>
        <v>3865</v>
      </c>
      <c r="H40" s="17"/>
    </row>
    <row r="41">
      <c r="B41" s="11">
        <f>IFERROR(__xludf.DUMMYFUNCTION("""COMPUTED_VALUE"""),44835.0)</f>
        <v>44835</v>
      </c>
      <c r="C41" s="32">
        <f>IFERROR(__xludf.DUMMYFUNCTION("""COMPUTED_VALUE"""),4202.0)</f>
        <v>4202</v>
      </c>
      <c r="E41" s="40">
        <f>IFERROR(__xludf.DUMMYFUNCTION("""COMPUTED_VALUE"""),44835.0)</f>
        <v>44835</v>
      </c>
      <c r="F41" s="32">
        <f>IFERROR(__xludf.DUMMYFUNCTION("""COMPUTED_VALUE"""),4202.0)</f>
        <v>4202</v>
      </c>
      <c r="H41" s="17"/>
    </row>
    <row r="42">
      <c r="B42" s="11">
        <f>IFERROR(__xludf.DUMMYFUNCTION("""COMPUTED_VALUE"""),44805.0)</f>
        <v>44805</v>
      </c>
      <c r="C42" s="32">
        <f>IFERROR(__xludf.DUMMYFUNCTION("""COMPUTED_VALUE"""),2904.0)</f>
        <v>2904</v>
      </c>
      <c r="E42" s="40">
        <f>IFERROR(__xludf.DUMMYFUNCTION("""COMPUTED_VALUE"""),44805.0)</f>
        <v>44805</v>
      </c>
      <c r="F42" s="32">
        <f>IFERROR(__xludf.DUMMYFUNCTION("""COMPUTED_VALUE"""),2904.0)</f>
        <v>2904</v>
      </c>
      <c r="H42" s="17"/>
    </row>
    <row r="43">
      <c r="B43" s="11">
        <f>IFERROR(__xludf.DUMMYFUNCTION("""COMPUTED_VALUE"""),44774.0)</f>
        <v>44774</v>
      </c>
      <c r="C43" s="32">
        <f>IFERROR(__xludf.DUMMYFUNCTION("""COMPUTED_VALUE"""),5582.0)</f>
        <v>5582</v>
      </c>
      <c r="E43" s="40">
        <f>IFERROR(__xludf.DUMMYFUNCTION("""COMPUTED_VALUE"""),44774.0)</f>
        <v>44774</v>
      </c>
      <c r="F43" s="32">
        <f>IFERROR(__xludf.DUMMYFUNCTION("""COMPUTED_VALUE"""),5582.0)</f>
        <v>5582</v>
      </c>
      <c r="H43" s="17"/>
    </row>
    <row r="44">
      <c r="B44" s="11">
        <f>IFERROR(__xludf.DUMMYFUNCTION("""COMPUTED_VALUE"""),44743.0)</f>
        <v>44743</v>
      </c>
      <c r="C44" s="32">
        <f>IFERROR(__xludf.DUMMYFUNCTION("""COMPUTED_VALUE"""),3722.0)</f>
        <v>3722</v>
      </c>
      <c r="E44" s="40">
        <f>IFERROR(__xludf.DUMMYFUNCTION("""COMPUTED_VALUE"""),44743.0)</f>
        <v>44743</v>
      </c>
      <c r="F44" s="32">
        <f>IFERROR(__xludf.DUMMYFUNCTION("""COMPUTED_VALUE"""),3722.0)</f>
        <v>3722</v>
      </c>
      <c r="H44" s="17"/>
    </row>
    <row r="45">
      <c r="B45" s="11">
        <f>IFERROR(__xludf.DUMMYFUNCTION("""COMPUTED_VALUE"""),44713.0)</f>
        <v>44713</v>
      </c>
      <c r="C45" s="32">
        <f>IFERROR(__xludf.DUMMYFUNCTION("""COMPUTED_VALUE"""),9168.0)</f>
        <v>9168</v>
      </c>
      <c r="E45" s="40">
        <f>IFERROR(__xludf.DUMMYFUNCTION("""COMPUTED_VALUE"""),44713.0)</f>
        <v>44713</v>
      </c>
      <c r="F45" s="32">
        <f>IFERROR(__xludf.DUMMYFUNCTION("""COMPUTED_VALUE"""),9168.0)</f>
        <v>9168</v>
      </c>
      <c r="H45" s="17"/>
    </row>
    <row r="46">
      <c r="B46" s="11">
        <f>IFERROR(__xludf.DUMMYFUNCTION("""COMPUTED_VALUE"""),44682.0)</f>
        <v>44682</v>
      </c>
      <c r="C46" s="32">
        <f>IFERROR(__xludf.DUMMYFUNCTION("""COMPUTED_VALUE"""),4110.0)</f>
        <v>4110</v>
      </c>
      <c r="E46" s="40">
        <f>IFERROR(__xludf.DUMMYFUNCTION("""COMPUTED_VALUE"""),44682.0)</f>
        <v>44682</v>
      </c>
      <c r="F46" s="32">
        <f>IFERROR(__xludf.DUMMYFUNCTION("""COMPUTED_VALUE"""),4110.0)</f>
        <v>4110</v>
      </c>
      <c r="H46" s="17"/>
    </row>
    <row r="47">
      <c r="B47" s="11">
        <f>IFERROR(__xludf.DUMMYFUNCTION("""COMPUTED_VALUE"""),44652.0)</f>
        <v>44652</v>
      </c>
      <c r="C47" s="32">
        <f>IFERROR(__xludf.DUMMYFUNCTION("""COMPUTED_VALUE"""),3792.0)</f>
        <v>3792</v>
      </c>
      <c r="E47" s="40">
        <f>IFERROR(__xludf.DUMMYFUNCTION("""COMPUTED_VALUE"""),44652.0)</f>
        <v>44652</v>
      </c>
      <c r="F47" s="32">
        <f>IFERROR(__xludf.DUMMYFUNCTION("""COMPUTED_VALUE"""),3792.0)</f>
        <v>3792</v>
      </c>
      <c r="H47" s="17"/>
    </row>
    <row r="48">
      <c r="B48" s="11">
        <f>IFERROR(__xludf.DUMMYFUNCTION("""COMPUTED_VALUE"""),44621.0)</f>
        <v>44621</v>
      </c>
      <c r="C48" s="32">
        <f>IFERROR(__xludf.DUMMYFUNCTION("""COMPUTED_VALUE"""),3760.0)</f>
        <v>3760</v>
      </c>
      <c r="E48" s="40">
        <f>IFERROR(__xludf.DUMMYFUNCTION("""COMPUTED_VALUE"""),44621.0)</f>
        <v>44621</v>
      </c>
      <c r="F48" s="32">
        <f>IFERROR(__xludf.DUMMYFUNCTION("""COMPUTED_VALUE"""),3760.0)</f>
        <v>3760</v>
      </c>
      <c r="H48" s="17"/>
    </row>
    <row r="49">
      <c r="B49" s="11">
        <f>IFERROR(__xludf.DUMMYFUNCTION("""COMPUTED_VALUE"""),44593.0)</f>
        <v>44593</v>
      </c>
      <c r="C49" s="32">
        <f>IFERROR(__xludf.DUMMYFUNCTION("""COMPUTED_VALUE"""),4819.0)</f>
        <v>4819</v>
      </c>
      <c r="E49" s="40">
        <f>IFERROR(__xludf.DUMMYFUNCTION("""COMPUTED_VALUE"""),44593.0)</f>
        <v>44593</v>
      </c>
      <c r="F49" s="32">
        <f>IFERROR(__xludf.DUMMYFUNCTION("""COMPUTED_VALUE"""),4819.0)</f>
        <v>4819</v>
      </c>
      <c r="H49" s="17"/>
    </row>
    <row r="50">
      <c r="B50" s="11">
        <f>IFERROR(__xludf.DUMMYFUNCTION("""COMPUTED_VALUE"""),44562.0)</f>
        <v>44562</v>
      </c>
      <c r="C50" s="32">
        <f>IFERROR(__xludf.DUMMYFUNCTION("""COMPUTED_VALUE"""),2639.0)</f>
        <v>2639</v>
      </c>
      <c r="E50" s="40">
        <f>IFERROR(__xludf.DUMMYFUNCTION("""COMPUTED_VALUE"""),44562.0)</f>
        <v>44562</v>
      </c>
      <c r="F50" s="32">
        <f>IFERROR(__xludf.DUMMYFUNCTION("""COMPUTED_VALUE"""),2639.0)</f>
        <v>2639</v>
      </c>
      <c r="H50" s="17"/>
    </row>
    <row r="51">
      <c r="B51" s="11">
        <f>IFERROR(__xludf.DUMMYFUNCTION("""COMPUTED_VALUE"""),44531.0)</f>
        <v>44531</v>
      </c>
      <c r="C51" s="32">
        <f>IFERROR(__xludf.DUMMYFUNCTION("""COMPUTED_VALUE"""),5502.0)</f>
        <v>5502</v>
      </c>
      <c r="E51" s="40">
        <f>IFERROR(__xludf.DUMMYFUNCTION("""COMPUTED_VALUE"""),44531.0)</f>
        <v>44531</v>
      </c>
      <c r="F51" s="32">
        <f>IFERROR(__xludf.DUMMYFUNCTION("""COMPUTED_VALUE"""),5502.0)</f>
        <v>5502</v>
      </c>
      <c r="H51" s="17"/>
    </row>
    <row r="52">
      <c r="B52" s="11">
        <f>IFERROR(__xludf.DUMMYFUNCTION("""COMPUTED_VALUE"""),44501.0)</f>
        <v>44501</v>
      </c>
      <c r="C52" s="32">
        <f>IFERROR(__xludf.DUMMYFUNCTION("""COMPUTED_VALUE"""),3888.0)</f>
        <v>3888</v>
      </c>
      <c r="E52" s="40">
        <f>IFERROR(__xludf.DUMMYFUNCTION("""COMPUTED_VALUE"""),44501.0)</f>
        <v>44501</v>
      </c>
      <c r="F52" s="32">
        <f>IFERROR(__xludf.DUMMYFUNCTION("""COMPUTED_VALUE"""),3888.0)</f>
        <v>3888</v>
      </c>
      <c r="H52" s="17"/>
    </row>
    <row r="53">
      <c r="B53" s="11">
        <f>IFERROR(__xludf.DUMMYFUNCTION("""COMPUTED_VALUE"""),44470.0)</f>
        <v>44470</v>
      </c>
      <c r="C53" s="32">
        <f>IFERROR(__xludf.DUMMYFUNCTION("""COMPUTED_VALUE"""),4863.0)</f>
        <v>4863</v>
      </c>
      <c r="E53" s="40">
        <f>IFERROR(__xludf.DUMMYFUNCTION("""COMPUTED_VALUE"""),44470.0)</f>
        <v>44470</v>
      </c>
      <c r="F53" s="32">
        <f>IFERROR(__xludf.DUMMYFUNCTION("""COMPUTED_VALUE"""),4863.0)</f>
        <v>4863</v>
      </c>
      <c r="H53" s="17"/>
    </row>
    <row r="54">
      <c r="B54" s="11">
        <f>IFERROR(__xludf.DUMMYFUNCTION("""COMPUTED_VALUE"""),44440.0)</f>
        <v>44440</v>
      </c>
      <c r="C54" s="32">
        <f>IFERROR(__xludf.DUMMYFUNCTION("""COMPUTED_VALUE"""),5463.0)</f>
        <v>5463</v>
      </c>
      <c r="E54" s="40">
        <f>IFERROR(__xludf.DUMMYFUNCTION("""COMPUTED_VALUE"""),44440.0)</f>
        <v>44440</v>
      </c>
      <c r="F54" s="32">
        <f>IFERROR(__xludf.DUMMYFUNCTION("""COMPUTED_VALUE"""),5463.0)</f>
        <v>5463</v>
      </c>
      <c r="H54" s="17"/>
    </row>
    <row r="55">
      <c r="B55" s="11">
        <f>IFERROR(__xludf.DUMMYFUNCTION("""COMPUTED_VALUE"""),44409.0)</f>
        <v>44409</v>
      </c>
      <c r="C55" s="32">
        <f>IFERROR(__xludf.DUMMYFUNCTION("""COMPUTED_VALUE"""),3517.0)</f>
        <v>3517</v>
      </c>
      <c r="E55" s="40">
        <f>IFERROR(__xludf.DUMMYFUNCTION("""COMPUTED_VALUE"""),44409.0)</f>
        <v>44409</v>
      </c>
      <c r="F55" s="32">
        <f>IFERROR(__xludf.DUMMYFUNCTION("""COMPUTED_VALUE"""),3517.0)</f>
        <v>3517</v>
      </c>
      <c r="H55" s="17"/>
    </row>
    <row r="56">
      <c r="B56" s="11">
        <f>IFERROR(__xludf.DUMMYFUNCTION("""COMPUTED_VALUE"""),44378.0)</f>
        <v>44378</v>
      </c>
      <c r="C56" s="32">
        <f>IFERROR(__xludf.DUMMYFUNCTION("""COMPUTED_VALUE"""),4528.0)</f>
        <v>4528</v>
      </c>
      <c r="E56" s="40">
        <f>IFERROR(__xludf.DUMMYFUNCTION("""COMPUTED_VALUE"""),44378.0)</f>
        <v>44378</v>
      </c>
      <c r="F56" s="32">
        <f>IFERROR(__xludf.DUMMYFUNCTION("""COMPUTED_VALUE"""),4528.0)</f>
        <v>4528</v>
      </c>
      <c r="H56" s="17"/>
    </row>
    <row r="57">
      <c r="B57" s="11">
        <f>IFERROR(__xludf.DUMMYFUNCTION("""COMPUTED_VALUE"""),44348.0)</f>
        <v>44348</v>
      </c>
      <c r="C57" s="32">
        <f>IFERROR(__xludf.DUMMYFUNCTION("""COMPUTED_VALUE"""),4093.0)</f>
        <v>4093</v>
      </c>
      <c r="E57" s="40">
        <f>IFERROR(__xludf.DUMMYFUNCTION("""COMPUTED_VALUE"""),44348.0)</f>
        <v>44348</v>
      </c>
      <c r="F57" s="32">
        <f>IFERROR(__xludf.DUMMYFUNCTION("""COMPUTED_VALUE"""),4093.0)</f>
        <v>4093</v>
      </c>
      <c r="H57" s="17"/>
    </row>
    <row r="58">
      <c r="B58" s="11">
        <f>IFERROR(__xludf.DUMMYFUNCTION("""COMPUTED_VALUE"""),44317.0)</f>
        <v>44317</v>
      </c>
      <c r="C58" s="32">
        <f>IFERROR(__xludf.DUMMYFUNCTION("""COMPUTED_VALUE"""),4275.0)</f>
        <v>4275</v>
      </c>
      <c r="E58" s="40">
        <f>IFERROR(__xludf.DUMMYFUNCTION("""COMPUTED_VALUE"""),44317.0)</f>
        <v>44317</v>
      </c>
      <c r="F58" s="32">
        <f>IFERROR(__xludf.DUMMYFUNCTION("""COMPUTED_VALUE"""),4275.0)</f>
        <v>4275</v>
      </c>
      <c r="H58" s="17"/>
    </row>
    <row r="59">
      <c r="B59" s="11">
        <f>IFERROR(__xludf.DUMMYFUNCTION("""COMPUTED_VALUE"""),44287.0)</f>
        <v>44287</v>
      </c>
      <c r="C59" s="32">
        <f>IFERROR(__xludf.DUMMYFUNCTION("""COMPUTED_VALUE"""),4648.0)</f>
        <v>4648</v>
      </c>
      <c r="E59" s="40">
        <f>IFERROR(__xludf.DUMMYFUNCTION("""COMPUTED_VALUE"""),44287.0)</f>
        <v>44287</v>
      </c>
      <c r="F59" s="32">
        <f>IFERROR(__xludf.DUMMYFUNCTION("""COMPUTED_VALUE"""),4648.0)</f>
        <v>4648</v>
      </c>
      <c r="H59" s="17"/>
    </row>
    <row r="60">
      <c r="B60" s="11">
        <f>IFERROR(__xludf.DUMMYFUNCTION("""COMPUTED_VALUE"""),44256.0)</f>
        <v>44256</v>
      </c>
      <c r="C60" s="32">
        <f>IFERROR(__xludf.DUMMYFUNCTION("""COMPUTED_VALUE"""),5337.0)</f>
        <v>5337</v>
      </c>
      <c r="E60" s="40">
        <f>IFERROR(__xludf.DUMMYFUNCTION("""COMPUTED_VALUE"""),44256.0)</f>
        <v>44256</v>
      </c>
      <c r="F60" s="32">
        <f>IFERROR(__xludf.DUMMYFUNCTION("""COMPUTED_VALUE"""),5337.0)</f>
        <v>5337</v>
      </c>
      <c r="H60" s="17"/>
    </row>
    <row r="61">
      <c r="B61" s="11">
        <f>IFERROR(__xludf.DUMMYFUNCTION("""COMPUTED_VALUE"""),44228.0)</f>
        <v>44228</v>
      </c>
      <c r="C61" s="32">
        <f>IFERROR(__xludf.DUMMYFUNCTION("""COMPUTED_VALUE"""),5884.0)</f>
        <v>5884</v>
      </c>
      <c r="E61" s="40">
        <f>IFERROR(__xludf.DUMMYFUNCTION("""COMPUTED_VALUE"""),44228.0)</f>
        <v>44228</v>
      </c>
      <c r="F61" s="32">
        <f>IFERROR(__xludf.DUMMYFUNCTION("""COMPUTED_VALUE"""),5884.0)</f>
        <v>5884</v>
      </c>
      <c r="H61" s="17"/>
    </row>
    <row r="62">
      <c r="B62" s="11">
        <f>IFERROR(__xludf.DUMMYFUNCTION("""COMPUTED_VALUE"""),44197.0)</f>
        <v>44197</v>
      </c>
      <c r="C62" s="32">
        <f>IFERROR(__xludf.DUMMYFUNCTION("""COMPUTED_VALUE"""),6386.0)</f>
        <v>6386</v>
      </c>
      <c r="H62" s="17"/>
    </row>
    <row r="63">
      <c r="B63" s="11">
        <f>IFERROR(__xludf.DUMMYFUNCTION("""COMPUTED_VALUE"""),44166.0)</f>
        <v>44166</v>
      </c>
      <c r="C63" s="32">
        <f>IFERROR(__xludf.DUMMYFUNCTION("""COMPUTED_VALUE"""),4547.0)</f>
        <v>4547</v>
      </c>
      <c r="H63" s="17"/>
    </row>
    <row r="64">
      <c r="B64" s="11">
        <f>IFERROR(__xludf.DUMMYFUNCTION("""COMPUTED_VALUE"""),44136.0)</f>
        <v>44136</v>
      </c>
      <c r="C64" s="32">
        <f>IFERROR(__xludf.DUMMYFUNCTION("""COMPUTED_VALUE"""),4503.0)</f>
        <v>4503</v>
      </c>
      <c r="H64" s="17"/>
    </row>
    <row r="65">
      <c r="B65" s="11">
        <f>IFERROR(__xludf.DUMMYFUNCTION("""COMPUTED_VALUE"""),44105.0)</f>
        <v>44105</v>
      </c>
      <c r="C65" s="32">
        <f>IFERROR(__xludf.DUMMYFUNCTION("""COMPUTED_VALUE"""),4651.0)</f>
        <v>4651</v>
      </c>
      <c r="H65" s="17"/>
    </row>
    <row r="66">
      <c r="B66" s="11">
        <f>IFERROR(__xludf.DUMMYFUNCTION("""COMPUTED_VALUE"""),44075.0)</f>
        <v>44075</v>
      </c>
      <c r="C66" s="32">
        <f>IFERROR(__xludf.DUMMYFUNCTION("""COMPUTED_VALUE"""),3457.0)</f>
        <v>3457</v>
      </c>
      <c r="H66" s="17"/>
    </row>
    <row r="67">
      <c r="B67" s="11">
        <f>IFERROR(__xludf.DUMMYFUNCTION("""COMPUTED_VALUE"""),44044.0)</f>
        <v>44044</v>
      </c>
      <c r="C67" s="32">
        <f>IFERROR(__xludf.DUMMYFUNCTION("""COMPUTED_VALUE"""),5485.0)</f>
        <v>5485</v>
      </c>
      <c r="H67" s="17"/>
    </row>
    <row r="68">
      <c r="B68" s="11">
        <f>IFERROR(__xludf.DUMMYFUNCTION("""COMPUTED_VALUE"""),44013.0)</f>
        <v>44013</v>
      </c>
      <c r="C68" s="32">
        <f>IFERROR(__xludf.DUMMYFUNCTION("""COMPUTED_VALUE"""),6245.0)</f>
        <v>6245</v>
      </c>
      <c r="H68" s="17"/>
    </row>
    <row r="69">
      <c r="B69" s="11">
        <f>IFERROR(__xludf.DUMMYFUNCTION("""COMPUTED_VALUE"""),43983.0)</f>
        <v>43983</v>
      </c>
      <c r="C69" s="32">
        <f>IFERROR(__xludf.DUMMYFUNCTION("""COMPUTED_VALUE"""),4586.0)</f>
        <v>4586</v>
      </c>
      <c r="H69" s="17"/>
    </row>
    <row r="70">
      <c r="B70" s="11">
        <f>IFERROR(__xludf.DUMMYFUNCTION("""COMPUTED_VALUE"""),43952.0)</f>
        <v>43952</v>
      </c>
      <c r="C70" s="32">
        <f>IFERROR(__xludf.DUMMYFUNCTION("""COMPUTED_VALUE"""),5125.0)</f>
        <v>5125</v>
      </c>
      <c r="H70" s="17"/>
    </row>
    <row r="71">
      <c r="B71" s="11">
        <f>IFERROR(__xludf.DUMMYFUNCTION("""COMPUTED_VALUE"""),43922.0)</f>
        <v>43922</v>
      </c>
      <c r="C71" s="32">
        <f>IFERROR(__xludf.DUMMYFUNCTION("""COMPUTED_VALUE"""),5481.0)</f>
        <v>5481</v>
      </c>
      <c r="H71" s="17"/>
    </row>
    <row r="72">
      <c r="B72" s="11">
        <f>IFERROR(__xludf.DUMMYFUNCTION("""COMPUTED_VALUE"""),43891.0)</f>
        <v>43891</v>
      </c>
      <c r="C72" s="32">
        <f>IFERROR(__xludf.DUMMYFUNCTION("""COMPUTED_VALUE"""),7406.0)</f>
        <v>7406</v>
      </c>
      <c r="H72" s="17"/>
    </row>
    <row r="73">
      <c r="B73" s="11">
        <f>IFERROR(__xludf.DUMMYFUNCTION("""COMPUTED_VALUE"""),43862.0)</f>
        <v>43862</v>
      </c>
      <c r="C73" s="32">
        <f>IFERROR(__xludf.DUMMYFUNCTION("""COMPUTED_VALUE"""),5122.0)</f>
        <v>5122</v>
      </c>
      <c r="H73" s="17"/>
    </row>
    <row r="74">
      <c r="B74" s="11">
        <f>IFERROR(__xludf.DUMMYFUNCTION("""COMPUTED_VALUE"""),43831.0)</f>
        <v>43831</v>
      </c>
      <c r="C74" s="32">
        <f>IFERROR(__xludf.DUMMYFUNCTION("""COMPUTED_VALUE"""),4515.0)</f>
        <v>4515</v>
      </c>
      <c r="H74" s="17"/>
    </row>
    <row r="75">
      <c r="B75" s="11">
        <f>IFERROR(__xludf.DUMMYFUNCTION("""COMPUTED_VALUE"""),43800.0)</f>
        <v>43800</v>
      </c>
      <c r="C75" s="32">
        <f>IFERROR(__xludf.DUMMYFUNCTION("""COMPUTED_VALUE"""),5619.0)</f>
        <v>5619</v>
      </c>
      <c r="H75" s="17"/>
    </row>
    <row r="76">
      <c r="B76" s="11">
        <f>IFERROR(__xludf.DUMMYFUNCTION("""COMPUTED_VALUE"""),43770.0)</f>
        <v>43770</v>
      </c>
      <c r="C76" s="32">
        <f>IFERROR(__xludf.DUMMYFUNCTION("""COMPUTED_VALUE"""),1185.0)</f>
        <v>1185</v>
      </c>
      <c r="H76" s="17"/>
    </row>
    <row r="77">
      <c r="B77" s="11">
        <f>IFERROR(__xludf.DUMMYFUNCTION("""COMPUTED_VALUE"""),43739.0)</f>
        <v>43739</v>
      </c>
      <c r="C77" s="32">
        <f>IFERROR(__xludf.DUMMYFUNCTION("""COMPUTED_VALUE"""),7145.0)</f>
        <v>7145</v>
      </c>
      <c r="H77" s="17"/>
    </row>
    <row r="78">
      <c r="B78" s="11">
        <f>IFERROR(__xludf.DUMMYFUNCTION("""COMPUTED_VALUE"""),43709.0)</f>
        <v>43709</v>
      </c>
      <c r="C78" s="32">
        <f>IFERROR(__xludf.DUMMYFUNCTION("""COMPUTED_VALUE"""),5430.0)</f>
        <v>5430</v>
      </c>
      <c r="H78" s="17"/>
    </row>
    <row r="79">
      <c r="B79" s="11">
        <f>IFERROR(__xludf.DUMMYFUNCTION("""COMPUTED_VALUE"""),43678.0)</f>
        <v>43678</v>
      </c>
      <c r="C79" s="32">
        <f>IFERROR(__xludf.DUMMYFUNCTION("""COMPUTED_VALUE"""),4018.0)</f>
        <v>4018</v>
      </c>
      <c r="H79" s="17"/>
    </row>
    <row r="80">
      <c r="B80" s="11">
        <f>IFERROR(__xludf.DUMMYFUNCTION("""COMPUTED_VALUE"""),43647.0)</f>
        <v>43647</v>
      </c>
      <c r="C80" s="32">
        <f>IFERROR(__xludf.DUMMYFUNCTION("""COMPUTED_VALUE"""),2951.0)</f>
        <v>2951</v>
      </c>
      <c r="H80" s="17"/>
    </row>
    <row r="81">
      <c r="B81" s="11">
        <f>IFERROR(__xludf.DUMMYFUNCTION("""COMPUTED_VALUE"""),43617.0)</f>
        <v>43617</v>
      </c>
      <c r="C81" s="32">
        <f>IFERROR(__xludf.DUMMYFUNCTION("""COMPUTED_VALUE"""),3481.0)</f>
        <v>3481</v>
      </c>
      <c r="H81" s="17"/>
    </row>
    <row r="82">
      <c r="B82" s="11">
        <f>IFERROR(__xludf.DUMMYFUNCTION("""COMPUTED_VALUE"""),43586.0)</f>
        <v>43586</v>
      </c>
      <c r="C82" s="32">
        <f>IFERROR(__xludf.DUMMYFUNCTION("""COMPUTED_VALUE"""),3268.0)</f>
        <v>3268</v>
      </c>
      <c r="H82" s="17"/>
    </row>
    <row r="83">
      <c r="B83" s="11">
        <f>IFERROR(__xludf.DUMMYFUNCTION("""COMPUTED_VALUE"""),43556.0)</f>
        <v>43556</v>
      </c>
      <c r="C83" s="32">
        <f>IFERROR(__xludf.DUMMYFUNCTION("""COMPUTED_VALUE"""),4670.0)</f>
        <v>4670</v>
      </c>
      <c r="H83" s="17"/>
    </row>
    <row r="84">
      <c r="B84" s="11">
        <f>IFERROR(__xludf.DUMMYFUNCTION("""COMPUTED_VALUE"""),43525.0)</f>
        <v>43525</v>
      </c>
      <c r="C84" s="32">
        <f>IFERROR(__xludf.DUMMYFUNCTION("""COMPUTED_VALUE"""),4695.0)</f>
        <v>4695</v>
      </c>
      <c r="H84" s="17"/>
    </row>
    <row r="85">
      <c r="B85" s="11">
        <f>IFERROR(__xludf.DUMMYFUNCTION("""COMPUTED_VALUE"""),43497.0)</f>
        <v>43497</v>
      </c>
      <c r="C85" s="32">
        <f>IFERROR(__xludf.DUMMYFUNCTION("""COMPUTED_VALUE"""),3949.0)</f>
        <v>3949</v>
      </c>
      <c r="H85" s="17"/>
    </row>
    <row r="86">
      <c r="B86" s="11">
        <f>IFERROR(__xludf.DUMMYFUNCTION("""COMPUTED_VALUE"""),43466.0)</f>
        <v>43466</v>
      </c>
      <c r="C86" s="32">
        <f>IFERROR(__xludf.DUMMYFUNCTION("""COMPUTED_VALUE"""),4465.0)</f>
        <v>4465</v>
      </c>
      <c r="H86" s="17"/>
    </row>
    <row r="87">
      <c r="B87" s="11">
        <f>IFERROR(__xludf.DUMMYFUNCTION("""COMPUTED_VALUE"""),43435.0)</f>
        <v>43435</v>
      </c>
      <c r="C87" s="32">
        <f>IFERROR(__xludf.DUMMYFUNCTION("""COMPUTED_VALUE"""),4331.0)</f>
        <v>4331</v>
      </c>
      <c r="H87" s="17"/>
    </row>
    <row r="88">
      <c r="B88" s="11">
        <f>IFERROR(__xludf.DUMMYFUNCTION("""COMPUTED_VALUE"""),43405.0)</f>
        <v>43405</v>
      </c>
      <c r="C88" s="32">
        <f>IFERROR(__xludf.DUMMYFUNCTION("""COMPUTED_VALUE"""),4836.0)</f>
        <v>4836</v>
      </c>
      <c r="H88" s="17"/>
    </row>
    <row r="89">
      <c r="B89" s="11">
        <f>IFERROR(__xludf.DUMMYFUNCTION("""COMPUTED_VALUE"""),43374.0)</f>
        <v>43374</v>
      </c>
      <c r="C89" s="32">
        <f>IFERROR(__xludf.DUMMYFUNCTION("""COMPUTED_VALUE"""),4673.0)</f>
        <v>4673</v>
      </c>
      <c r="H89" s="17"/>
    </row>
    <row r="90">
      <c r="B90" s="11">
        <f>IFERROR(__xludf.DUMMYFUNCTION("""COMPUTED_VALUE"""),43344.0)</f>
        <v>43344</v>
      </c>
      <c r="C90" s="32">
        <f>IFERROR(__xludf.DUMMYFUNCTION("""COMPUTED_VALUE"""),9431.0)</f>
        <v>9431</v>
      </c>
      <c r="H90" s="17"/>
    </row>
    <row r="91">
      <c r="B91" s="11">
        <f>IFERROR(__xludf.DUMMYFUNCTION("""COMPUTED_VALUE"""),43313.0)</f>
        <v>43313</v>
      </c>
      <c r="C91" s="32">
        <f>IFERROR(__xludf.DUMMYFUNCTION("""COMPUTED_VALUE"""),4433.0)</f>
        <v>4433</v>
      </c>
      <c r="H91" s="17"/>
    </row>
    <row r="92">
      <c r="B92" s="11">
        <f>IFERROR(__xludf.DUMMYFUNCTION("""COMPUTED_VALUE"""),43282.0)</f>
        <v>43282</v>
      </c>
      <c r="C92" s="32">
        <f>IFERROR(__xludf.DUMMYFUNCTION("""COMPUTED_VALUE"""),4259.0)</f>
        <v>4259</v>
      </c>
      <c r="H92" s="17"/>
    </row>
    <row r="93">
      <c r="B93" s="11">
        <f>IFERROR(__xludf.DUMMYFUNCTION("""COMPUTED_VALUE"""),43252.0)</f>
        <v>43252</v>
      </c>
      <c r="C93" s="32">
        <f>IFERROR(__xludf.DUMMYFUNCTION("""COMPUTED_VALUE"""),7071.0)</f>
        <v>7071</v>
      </c>
      <c r="H93" s="17"/>
    </row>
    <row r="94">
      <c r="B94" s="11">
        <f>IFERROR(__xludf.DUMMYFUNCTION("""COMPUTED_VALUE"""),43221.0)</f>
        <v>43221</v>
      </c>
      <c r="C94" s="32">
        <f>IFERROR(__xludf.DUMMYFUNCTION("""COMPUTED_VALUE"""),5085.0)</f>
        <v>5085</v>
      </c>
      <c r="H94" s="17"/>
    </row>
    <row r="95">
      <c r="B95" s="11">
        <f>IFERROR(__xludf.DUMMYFUNCTION("""COMPUTED_VALUE"""),43191.0)</f>
        <v>43191</v>
      </c>
      <c r="C95" s="32">
        <f>IFERROR(__xludf.DUMMYFUNCTION("""COMPUTED_VALUE"""),3900.0)</f>
        <v>3900</v>
      </c>
      <c r="H95" s="17"/>
    </row>
    <row r="96">
      <c r="B96" s="11">
        <f>IFERROR(__xludf.DUMMYFUNCTION("""COMPUTED_VALUE"""),43160.0)</f>
        <v>43160</v>
      </c>
      <c r="C96" s="32">
        <f>IFERROR(__xludf.DUMMYFUNCTION("""COMPUTED_VALUE"""),3483.0)</f>
        <v>3483</v>
      </c>
      <c r="H96" s="17"/>
    </row>
    <row r="97">
      <c r="B97" s="11">
        <f>IFERROR(__xludf.DUMMYFUNCTION("""COMPUTED_VALUE"""),43132.0)</f>
        <v>43132</v>
      </c>
      <c r="C97" s="32">
        <f>IFERROR(__xludf.DUMMYFUNCTION("""COMPUTED_VALUE"""),4032.0)</f>
        <v>4032</v>
      </c>
      <c r="H97" s="17"/>
    </row>
    <row r="98">
      <c r="B98" s="11">
        <f>IFERROR(__xludf.DUMMYFUNCTION("""COMPUTED_VALUE"""),43101.0)</f>
        <v>43101</v>
      </c>
      <c r="C98" s="32">
        <f>IFERROR(__xludf.DUMMYFUNCTION("""COMPUTED_VALUE"""),3182.0)</f>
        <v>3182</v>
      </c>
      <c r="H98" s="17"/>
    </row>
    <row r="99">
      <c r="B99" s="11">
        <f>IFERROR(__xludf.DUMMYFUNCTION("""COMPUTED_VALUE"""),43070.0)</f>
        <v>43070</v>
      </c>
      <c r="C99" s="32">
        <f>IFERROR(__xludf.DUMMYFUNCTION("""COMPUTED_VALUE"""),6636.0)</f>
        <v>6636</v>
      </c>
      <c r="H99" s="17"/>
    </row>
    <row r="100">
      <c r="B100" s="11">
        <f>IFERROR(__xludf.DUMMYFUNCTION("""COMPUTED_VALUE"""),43040.0)</f>
        <v>43040</v>
      </c>
      <c r="C100" s="32">
        <f>IFERROR(__xludf.DUMMYFUNCTION("""COMPUTED_VALUE"""),704.0)</f>
        <v>704</v>
      </c>
      <c r="H100" s="17"/>
    </row>
    <row r="101">
      <c r="B101" s="11">
        <f>IFERROR(__xludf.DUMMYFUNCTION("""COMPUTED_VALUE"""),43009.0)</f>
        <v>43009</v>
      </c>
      <c r="C101" s="32">
        <f>IFERROR(__xludf.DUMMYFUNCTION("""COMPUTED_VALUE"""),3698.0)</f>
        <v>3698</v>
      </c>
      <c r="H101" s="17"/>
    </row>
    <row r="102">
      <c r="B102" s="11">
        <f>IFERROR(__xludf.DUMMYFUNCTION("""COMPUTED_VALUE"""),42979.0)</f>
        <v>42979</v>
      </c>
      <c r="C102" s="32">
        <f>IFERROR(__xludf.DUMMYFUNCTION("""COMPUTED_VALUE"""),3265.0)</f>
        <v>3265</v>
      </c>
      <c r="H102" s="17"/>
    </row>
    <row r="103">
      <c r="B103" s="11">
        <f>IFERROR(__xludf.DUMMYFUNCTION("""COMPUTED_VALUE"""),42948.0)</f>
        <v>42948</v>
      </c>
      <c r="C103" s="32">
        <f>IFERROR(__xludf.DUMMYFUNCTION("""COMPUTED_VALUE"""),3927.0)</f>
        <v>3927</v>
      </c>
      <c r="H103" s="17"/>
    </row>
    <row r="104">
      <c r="B104" s="11">
        <f>IFERROR(__xludf.DUMMYFUNCTION("""COMPUTED_VALUE"""),42917.0)</f>
        <v>42917</v>
      </c>
      <c r="C104" s="32">
        <f>IFERROR(__xludf.DUMMYFUNCTION("""COMPUTED_VALUE"""),5531.0)</f>
        <v>5531</v>
      </c>
      <c r="H104" s="17"/>
    </row>
    <row r="105">
      <c r="B105" s="11">
        <f>IFERROR(__xludf.DUMMYFUNCTION("""COMPUTED_VALUE"""),42887.0)</f>
        <v>42887</v>
      </c>
      <c r="C105" s="32">
        <f>IFERROR(__xludf.DUMMYFUNCTION("""COMPUTED_VALUE"""),2999.0)</f>
        <v>2999</v>
      </c>
      <c r="H105" s="17"/>
    </row>
    <row r="106">
      <c r="B106" s="11">
        <f>IFERROR(__xludf.DUMMYFUNCTION("""COMPUTED_VALUE"""),42856.0)</f>
        <v>42856</v>
      </c>
      <c r="C106" s="32">
        <f>IFERROR(__xludf.DUMMYFUNCTION("""COMPUTED_VALUE"""),3714.0)</f>
        <v>3714</v>
      </c>
      <c r="H106" s="17"/>
    </row>
    <row r="107">
      <c r="B107" s="11">
        <f>IFERROR(__xludf.DUMMYFUNCTION("""COMPUTED_VALUE"""),42826.0)</f>
        <v>42826</v>
      </c>
      <c r="C107" s="32">
        <f>IFERROR(__xludf.DUMMYFUNCTION("""COMPUTED_VALUE"""),5737.0)</f>
        <v>5737</v>
      </c>
      <c r="H107" s="17"/>
    </row>
    <row r="108">
      <c r="B108" s="11">
        <f>IFERROR(__xludf.DUMMYFUNCTION("""COMPUTED_VALUE"""),42795.0)</f>
        <v>42795</v>
      </c>
      <c r="C108" s="32">
        <f>IFERROR(__xludf.DUMMYFUNCTION("""COMPUTED_VALUE"""),4543.0)</f>
        <v>4543</v>
      </c>
      <c r="H108" s="17"/>
    </row>
    <row r="109">
      <c r="B109" s="11">
        <f>IFERROR(__xludf.DUMMYFUNCTION("""COMPUTED_VALUE"""),42767.0)</f>
        <v>42767</v>
      </c>
      <c r="C109" s="32">
        <f>IFERROR(__xludf.DUMMYFUNCTION("""COMPUTED_VALUE"""),3782.0)</f>
        <v>3782</v>
      </c>
      <c r="H109" s="17"/>
    </row>
    <row r="110">
      <c r="B110" s="11">
        <f>IFERROR(__xludf.DUMMYFUNCTION("""COMPUTED_VALUE"""),42736.0)</f>
        <v>42736</v>
      </c>
      <c r="C110" s="32">
        <f>IFERROR(__xludf.DUMMYFUNCTION("""COMPUTED_VALUE"""),4013.0)</f>
        <v>4013</v>
      </c>
      <c r="H110" s="17"/>
    </row>
    <row r="111">
      <c r="B111" s="11">
        <f>IFERROR(__xludf.DUMMYFUNCTION("""COMPUTED_VALUE"""),42705.0)</f>
        <v>42705</v>
      </c>
      <c r="C111" s="32">
        <f>IFERROR(__xludf.DUMMYFUNCTION("""COMPUTED_VALUE"""),2949.0)</f>
        <v>2949</v>
      </c>
      <c r="H111" s="17"/>
    </row>
    <row r="112">
      <c r="B112" s="11">
        <f>IFERROR(__xludf.DUMMYFUNCTION("""COMPUTED_VALUE"""),42675.0)</f>
        <v>42675</v>
      </c>
      <c r="C112" s="32">
        <f>IFERROR(__xludf.DUMMYFUNCTION("""COMPUTED_VALUE"""),6068.0)</f>
        <v>6068</v>
      </c>
      <c r="H112" s="17"/>
    </row>
    <row r="113">
      <c r="B113" s="11">
        <f>IFERROR(__xludf.DUMMYFUNCTION("""COMPUTED_VALUE"""),42644.0)</f>
        <v>42644</v>
      </c>
      <c r="C113" s="32">
        <f>IFERROR(__xludf.DUMMYFUNCTION("""COMPUTED_VALUE"""),4392.0)</f>
        <v>4392</v>
      </c>
      <c r="H113" s="17"/>
    </row>
    <row r="114">
      <c r="B114" s="11">
        <f>IFERROR(__xludf.DUMMYFUNCTION("""COMPUTED_VALUE"""),42614.0)</f>
        <v>42614</v>
      </c>
      <c r="C114" s="32">
        <f>IFERROR(__xludf.DUMMYFUNCTION("""COMPUTED_VALUE"""),2669.0)</f>
        <v>2669</v>
      </c>
      <c r="H114" s="17"/>
    </row>
    <row r="115">
      <c r="B115" s="11">
        <f>IFERROR(__xludf.DUMMYFUNCTION("""COMPUTED_VALUE"""),42583.0)</f>
        <v>42583</v>
      </c>
      <c r="C115" s="32">
        <f>IFERROR(__xludf.DUMMYFUNCTION("""COMPUTED_VALUE"""),5298.0)</f>
        <v>5298</v>
      </c>
      <c r="H115" s="17"/>
    </row>
    <row r="116">
      <c r="B116" s="11">
        <f>IFERROR(__xludf.DUMMYFUNCTION("""COMPUTED_VALUE"""),42552.0)</f>
        <v>42552</v>
      </c>
      <c r="C116" s="32">
        <f>IFERROR(__xludf.DUMMYFUNCTION("""COMPUTED_VALUE"""),3861.0)</f>
        <v>3861</v>
      </c>
      <c r="H116" s="17"/>
    </row>
    <row r="117">
      <c r="B117" s="11">
        <f>IFERROR(__xludf.DUMMYFUNCTION("""COMPUTED_VALUE"""),42522.0)</f>
        <v>42522</v>
      </c>
      <c r="C117" s="32">
        <f>IFERROR(__xludf.DUMMYFUNCTION("""COMPUTED_VALUE"""),3232.0)</f>
        <v>3232</v>
      </c>
      <c r="H117" s="17"/>
    </row>
    <row r="118">
      <c r="B118" s="11">
        <f>IFERROR(__xludf.DUMMYFUNCTION("""COMPUTED_VALUE"""),42491.0)</f>
        <v>42491</v>
      </c>
      <c r="C118" s="32">
        <f>IFERROR(__xludf.DUMMYFUNCTION("""COMPUTED_VALUE"""),3371.0)</f>
        <v>3371</v>
      </c>
      <c r="H118" s="17"/>
    </row>
    <row r="119">
      <c r="B119" s="11">
        <f>IFERROR(__xludf.DUMMYFUNCTION("""COMPUTED_VALUE"""),42461.0)</f>
        <v>42461</v>
      </c>
      <c r="C119" s="32">
        <f>IFERROR(__xludf.DUMMYFUNCTION("""COMPUTED_VALUE"""),5935.0)</f>
        <v>5935</v>
      </c>
      <c r="H119" s="17"/>
    </row>
    <row r="120">
      <c r="B120" s="11">
        <f>IFERROR(__xludf.DUMMYFUNCTION("""COMPUTED_VALUE"""),42430.0)</f>
        <v>42430</v>
      </c>
      <c r="C120" s="32">
        <f>IFERROR(__xludf.DUMMYFUNCTION("""COMPUTED_VALUE"""),5738.0)</f>
        <v>5738</v>
      </c>
      <c r="H120" s="17"/>
    </row>
    <row r="121">
      <c r="B121" s="11">
        <f>IFERROR(__xludf.DUMMYFUNCTION("""COMPUTED_VALUE"""),42401.0)</f>
        <v>42401</v>
      </c>
      <c r="C121" s="32">
        <f>IFERROR(__xludf.DUMMYFUNCTION("""COMPUTED_VALUE"""),3799.0)</f>
        <v>3799</v>
      </c>
      <c r="H121" s="17"/>
    </row>
    <row r="122">
      <c r="B122" s="11">
        <f>IFERROR(__xludf.DUMMYFUNCTION("""COMPUTED_VALUE"""),42370.0)</f>
        <v>42370</v>
      </c>
      <c r="C122" s="32">
        <f>IFERROR(__xludf.DUMMYFUNCTION("""COMPUTED_VALUE"""),4928.0)</f>
        <v>4928</v>
      </c>
      <c r="H122" s="17"/>
    </row>
    <row r="123">
      <c r="B123" s="11">
        <f>IFERROR(__xludf.DUMMYFUNCTION("""COMPUTED_VALUE"""),42339.0)</f>
        <v>42339</v>
      </c>
      <c r="C123" s="32">
        <f>IFERROR(__xludf.DUMMYFUNCTION("""COMPUTED_VALUE"""),2530.0)</f>
        <v>2530</v>
      </c>
      <c r="H123" s="17"/>
    </row>
    <row r="124">
      <c r="B124" s="11">
        <f>IFERROR(__xludf.DUMMYFUNCTION("""COMPUTED_VALUE"""),42309.0)</f>
        <v>42309</v>
      </c>
      <c r="C124" s="32">
        <f>IFERROR(__xludf.DUMMYFUNCTION("""COMPUTED_VALUE"""),6292.0)</f>
        <v>6292</v>
      </c>
      <c r="H124" s="17"/>
    </row>
    <row r="125">
      <c r="B125" s="11">
        <f>IFERROR(__xludf.DUMMYFUNCTION("""COMPUTED_VALUE"""),42278.0)</f>
        <v>42278</v>
      </c>
      <c r="C125" s="32">
        <f>IFERROR(__xludf.DUMMYFUNCTION("""COMPUTED_VALUE"""),5520.0)</f>
        <v>5520</v>
      </c>
      <c r="H125" s="17"/>
    </row>
    <row r="126">
      <c r="B126" s="11">
        <f>IFERROR(__xludf.DUMMYFUNCTION("""COMPUTED_VALUE"""),42248.0)</f>
        <v>42248</v>
      </c>
      <c r="C126" s="32">
        <f>IFERROR(__xludf.DUMMYFUNCTION("""COMPUTED_VALUE"""),6484.0)</f>
        <v>6484</v>
      </c>
      <c r="H126" s="17"/>
    </row>
    <row r="127">
      <c r="B127" s="11">
        <f>IFERROR(__xludf.DUMMYFUNCTION("""COMPUTED_VALUE"""),42217.0)</f>
        <v>42217</v>
      </c>
      <c r="C127" s="32">
        <f>IFERROR(__xludf.DUMMYFUNCTION("""COMPUTED_VALUE"""),3890.0)</f>
        <v>3890</v>
      </c>
      <c r="H127" s="17"/>
    </row>
    <row r="128">
      <c r="B128" s="11">
        <f>IFERROR(__xludf.DUMMYFUNCTION("""COMPUTED_VALUE"""),42186.0)</f>
        <v>42186</v>
      </c>
      <c r="C128" s="32">
        <f>IFERROR(__xludf.DUMMYFUNCTION("""COMPUTED_VALUE"""),3501.0)</f>
        <v>3501</v>
      </c>
      <c r="H128" s="17"/>
    </row>
    <row r="129">
      <c r="B129" s="11">
        <f>IFERROR(__xludf.DUMMYFUNCTION("""COMPUTED_VALUE"""),42156.0)</f>
        <v>42156</v>
      </c>
      <c r="C129" s="32">
        <f>IFERROR(__xludf.DUMMYFUNCTION("""COMPUTED_VALUE"""),4377.0)</f>
        <v>4377</v>
      </c>
      <c r="H129" s="17"/>
    </row>
    <row r="130">
      <c r="B130" s="11">
        <f>IFERROR(__xludf.DUMMYFUNCTION("""COMPUTED_VALUE"""),42125.0)</f>
        <v>42125</v>
      </c>
      <c r="C130" s="32">
        <f>IFERROR(__xludf.DUMMYFUNCTION("""COMPUTED_VALUE"""),3687.0)</f>
        <v>3687</v>
      </c>
      <c r="H130" s="17"/>
    </row>
    <row r="131">
      <c r="B131" s="11">
        <f>IFERROR(__xludf.DUMMYFUNCTION("""COMPUTED_VALUE"""),42095.0)</f>
        <v>42095</v>
      </c>
      <c r="C131" s="32">
        <f>IFERROR(__xludf.DUMMYFUNCTION("""COMPUTED_VALUE"""),3867.0)</f>
        <v>3867</v>
      </c>
      <c r="H131" s="17"/>
    </row>
    <row r="132">
      <c r="B132" s="11">
        <f>IFERROR(__xludf.DUMMYFUNCTION("""COMPUTED_VALUE"""),42064.0)</f>
        <v>42064</v>
      </c>
      <c r="C132" s="32">
        <f>IFERROR(__xludf.DUMMYFUNCTION("""COMPUTED_VALUE"""),4188.0)</f>
        <v>4188</v>
      </c>
      <c r="H132" s="17"/>
    </row>
    <row r="133">
      <c r="B133" s="11">
        <f>IFERROR(__xludf.DUMMYFUNCTION("""COMPUTED_VALUE"""),42036.0)</f>
        <v>42036</v>
      </c>
      <c r="C133" s="32">
        <f>IFERROR(__xludf.DUMMYFUNCTION("""COMPUTED_VALUE"""),1914.0)</f>
        <v>1914</v>
      </c>
      <c r="H133" s="17"/>
    </row>
    <row r="134">
      <c r="B134" s="11">
        <f>IFERROR(__xludf.DUMMYFUNCTION("""COMPUTED_VALUE"""),42005.0)</f>
        <v>42005</v>
      </c>
      <c r="C134" s="32">
        <f>IFERROR(__xludf.DUMMYFUNCTION("""COMPUTED_VALUE"""),3579.0)</f>
        <v>3579</v>
      </c>
      <c r="H134" s="17"/>
    </row>
    <row r="135">
      <c r="B135" s="11">
        <f>IFERROR(__xludf.DUMMYFUNCTION("""COMPUTED_VALUE"""),41974.0)</f>
        <v>41974</v>
      </c>
      <c r="C135" s="32">
        <f>IFERROR(__xludf.DUMMYFUNCTION("""COMPUTED_VALUE"""),4367.0)</f>
        <v>4367</v>
      </c>
      <c r="H135" s="17"/>
    </row>
    <row r="136">
      <c r="B136" s="11">
        <f>IFERROR(__xludf.DUMMYFUNCTION("""COMPUTED_VALUE"""),41944.0)</f>
        <v>41944</v>
      </c>
      <c r="C136" s="32">
        <f>IFERROR(__xludf.DUMMYFUNCTION("""COMPUTED_VALUE"""),3825.0)</f>
        <v>3825</v>
      </c>
      <c r="H136" s="17"/>
    </row>
    <row r="137">
      <c r="B137" s="11">
        <f>IFERROR(__xludf.DUMMYFUNCTION("""COMPUTED_VALUE"""),41913.0)</f>
        <v>41913</v>
      </c>
      <c r="C137" s="32">
        <f>IFERROR(__xludf.DUMMYFUNCTION("""COMPUTED_VALUE"""),5544.0)</f>
        <v>5544</v>
      </c>
      <c r="H137" s="17"/>
    </row>
    <row r="138">
      <c r="B138" s="11">
        <f>IFERROR(__xludf.DUMMYFUNCTION("""COMPUTED_VALUE"""),41883.0)</f>
        <v>41883</v>
      </c>
      <c r="C138" s="32">
        <f>IFERROR(__xludf.DUMMYFUNCTION("""COMPUTED_VALUE"""),3241.0)</f>
        <v>3241</v>
      </c>
      <c r="H138" s="17"/>
    </row>
    <row r="139">
      <c r="B139" s="11">
        <f>IFERROR(__xludf.DUMMYFUNCTION("""COMPUTED_VALUE"""),41852.0)</f>
        <v>41852</v>
      </c>
      <c r="C139" s="32">
        <f>IFERROR(__xludf.DUMMYFUNCTION("""COMPUTED_VALUE"""),4331.0)</f>
        <v>4331</v>
      </c>
      <c r="H139" s="17"/>
    </row>
    <row r="140">
      <c r="B140" s="11">
        <f>IFERROR(__xludf.DUMMYFUNCTION("""COMPUTED_VALUE"""),41821.0)</f>
        <v>41821</v>
      </c>
      <c r="C140" s="32">
        <f>IFERROR(__xludf.DUMMYFUNCTION("""COMPUTED_VALUE"""),4337.0)</f>
        <v>4337</v>
      </c>
      <c r="H140" s="17"/>
    </row>
    <row r="141">
      <c r="B141" s="11">
        <f>IFERROR(__xludf.DUMMYFUNCTION("""COMPUTED_VALUE"""),41791.0)</f>
        <v>41791</v>
      </c>
      <c r="C141" s="32">
        <f>IFERROR(__xludf.DUMMYFUNCTION("""COMPUTED_VALUE"""),6508.0)</f>
        <v>6508</v>
      </c>
      <c r="H141" s="17"/>
    </row>
    <row r="142">
      <c r="B142" s="11">
        <f>IFERROR(__xludf.DUMMYFUNCTION("""COMPUTED_VALUE"""),41760.0)</f>
        <v>41760</v>
      </c>
      <c r="C142" s="32">
        <f>IFERROR(__xludf.DUMMYFUNCTION("""COMPUTED_VALUE"""),5552.0)</f>
        <v>5552</v>
      </c>
      <c r="H142" s="17"/>
    </row>
    <row r="143">
      <c r="B143" s="11">
        <f>IFERROR(__xludf.DUMMYFUNCTION("""COMPUTED_VALUE"""),41730.0)</f>
        <v>41730</v>
      </c>
      <c r="C143" s="32">
        <f>IFERROR(__xludf.DUMMYFUNCTION("""COMPUTED_VALUE"""),4564.0)</f>
        <v>4564</v>
      </c>
      <c r="H143" s="17"/>
    </row>
    <row r="144">
      <c r="B144" s="11">
        <f>IFERROR(__xludf.DUMMYFUNCTION("""COMPUTED_VALUE"""),41699.0)</f>
        <v>41699</v>
      </c>
      <c r="C144" s="32">
        <f>IFERROR(__xludf.DUMMYFUNCTION("""COMPUTED_VALUE"""),4364.0)</f>
        <v>4364</v>
      </c>
      <c r="H144" s="17"/>
    </row>
    <row r="145">
      <c r="B145" s="11">
        <f>IFERROR(__xludf.DUMMYFUNCTION("""COMPUTED_VALUE"""),41671.0)</f>
        <v>41671</v>
      </c>
      <c r="C145" s="32">
        <f>IFERROR(__xludf.DUMMYFUNCTION("""COMPUTED_VALUE"""),5524.0)</f>
        <v>5524</v>
      </c>
      <c r="H145" s="17"/>
    </row>
    <row r="146">
      <c r="B146" s="11">
        <f>IFERROR(__xludf.DUMMYFUNCTION("""COMPUTED_VALUE"""),41640.0)</f>
        <v>41640</v>
      </c>
      <c r="C146" s="32">
        <f>IFERROR(__xludf.DUMMYFUNCTION("""COMPUTED_VALUE"""),4012.0)</f>
        <v>4012</v>
      </c>
      <c r="H146" s="17"/>
    </row>
    <row r="147">
      <c r="B147" s="11">
        <f>IFERROR(__xludf.DUMMYFUNCTION("""COMPUTED_VALUE"""),41609.0)</f>
        <v>41609</v>
      </c>
      <c r="C147" s="32">
        <f>IFERROR(__xludf.DUMMYFUNCTION("""COMPUTED_VALUE"""),4863.0)</f>
        <v>4863</v>
      </c>
      <c r="H147" s="17"/>
    </row>
    <row r="148">
      <c r="B148" s="11">
        <f>IFERROR(__xludf.DUMMYFUNCTION("""COMPUTED_VALUE"""),41579.0)</f>
        <v>41579</v>
      </c>
      <c r="C148" s="32">
        <f>IFERROR(__xludf.DUMMYFUNCTION("""COMPUTED_VALUE"""),3723.0)</f>
        <v>3723</v>
      </c>
      <c r="H148" s="17"/>
    </row>
    <row r="149">
      <c r="B149" s="11">
        <f>IFERROR(__xludf.DUMMYFUNCTION("""COMPUTED_VALUE"""),41548.0)</f>
        <v>41548</v>
      </c>
      <c r="C149" s="32">
        <f>IFERROR(__xludf.DUMMYFUNCTION("""COMPUTED_VALUE"""),4836.0)</f>
        <v>4836</v>
      </c>
      <c r="H149" s="17"/>
    </row>
    <row r="150">
      <c r="B150" s="11">
        <f>IFERROR(__xludf.DUMMYFUNCTION("""COMPUTED_VALUE"""),41518.0)</f>
        <v>41518</v>
      </c>
      <c r="C150" s="32">
        <f>IFERROR(__xludf.DUMMYFUNCTION("""COMPUTED_VALUE"""),6223.0)</f>
        <v>6223</v>
      </c>
      <c r="H150" s="17"/>
    </row>
    <row r="151">
      <c r="B151" s="11">
        <f>IFERROR(__xludf.DUMMYFUNCTION("""COMPUTED_VALUE"""),41487.0)</f>
        <v>41487</v>
      </c>
      <c r="C151" s="32">
        <f>IFERROR(__xludf.DUMMYFUNCTION("""COMPUTED_VALUE"""),5519.0)</f>
        <v>5519</v>
      </c>
      <c r="H151" s="17"/>
    </row>
    <row r="152">
      <c r="B152" s="11">
        <f>IFERROR(__xludf.DUMMYFUNCTION("""COMPUTED_VALUE"""),41456.0)</f>
        <v>41456</v>
      </c>
      <c r="C152" s="32">
        <f>IFERROR(__xludf.DUMMYFUNCTION("""COMPUTED_VALUE"""),5829.0)</f>
        <v>5829</v>
      </c>
      <c r="H152" s="17"/>
    </row>
    <row r="153">
      <c r="B153" s="11">
        <f>IFERROR(__xludf.DUMMYFUNCTION("""COMPUTED_VALUE"""),41426.0)</f>
        <v>41426</v>
      </c>
      <c r="C153" s="32">
        <f>IFERROR(__xludf.DUMMYFUNCTION("""COMPUTED_VALUE"""),5320.0)</f>
        <v>5320</v>
      </c>
      <c r="H153" s="17"/>
    </row>
    <row r="154">
      <c r="B154" s="11">
        <f>IFERROR(__xludf.DUMMYFUNCTION("""COMPUTED_VALUE"""),41395.0)</f>
        <v>41395</v>
      </c>
      <c r="C154" s="32">
        <f>IFERROR(__xludf.DUMMYFUNCTION("""COMPUTED_VALUE"""),4896.0)</f>
        <v>4896</v>
      </c>
      <c r="H154" s="17"/>
    </row>
    <row r="155">
      <c r="B155" s="11">
        <f>IFERROR(__xludf.DUMMYFUNCTION("""COMPUTED_VALUE"""),41365.0)</f>
        <v>41365</v>
      </c>
      <c r="C155" s="32">
        <f>IFERROR(__xludf.DUMMYFUNCTION("""COMPUTED_VALUE"""),4873.0)</f>
        <v>4873</v>
      </c>
      <c r="H155" s="17"/>
    </row>
    <row r="156">
      <c r="B156" s="11">
        <f>IFERROR(__xludf.DUMMYFUNCTION("""COMPUTED_VALUE"""),41334.0)</f>
        <v>41334</v>
      </c>
      <c r="C156" s="32">
        <f>IFERROR(__xludf.DUMMYFUNCTION("""COMPUTED_VALUE"""),3604.0)</f>
        <v>3604</v>
      </c>
      <c r="H156" s="17"/>
    </row>
    <row r="157">
      <c r="B157" s="11">
        <f>IFERROR(__xludf.DUMMYFUNCTION("""COMPUTED_VALUE"""),41306.0)</f>
        <v>41306</v>
      </c>
      <c r="C157" s="32">
        <f>IFERROR(__xludf.DUMMYFUNCTION("""COMPUTED_VALUE"""),3979.0)</f>
        <v>3979</v>
      </c>
      <c r="H157" s="17"/>
    </row>
    <row r="158">
      <c r="B158" s="11">
        <f>IFERROR(__xludf.DUMMYFUNCTION("""COMPUTED_VALUE"""),41275.0)</f>
        <v>41275</v>
      </c>
      <c r="C158" s="32">
        <f>IFERROR(__xludf.DUMMYFUNCTION("""COMPUTED_VALUE"""),5069.0)</f>
        <v>5069</v>
      </c>
      <c r="H158" s="17"/>
    </row>
    <row r="159">
      <c r="B159" s="11">
        <f>IFERROR(__xludf.DUMMYFUNCTION("""COMPUTED_VALUE"""),41244.0)</f>
        <v>41244</v>
      </c>
      <c r="C159" s="32">
        <f>IFERROR(__xludf.DUMMYFUNCTION("""COMPUTED_VALUE"""),8121.0)</f>
        <v>8121</v>
      </c>
      <c r="H159" s="17"/>
    </row>
    <row r="160">
      <c r="B160" s="11">
        <f>IFERROR(__xludf.DUMMYFUNCTION("""COMPUTED_VALUE"""),41214.0)</f>
        <v>41214</v>
      </c>
      <c r="C160" s="32">
        <f>IFERROR(__xludf.DUMMYFUNCTION("""COMPUTED_VALUE"""),5668.0)</f>
        <v>5668</v>
      </c>
      <c r="H160" s="17"/>
    </row>
    <row r="161">
      <c r="B161" s="11">
        <f>IFERROR(__xludf.DUMMYFUNCTION("""COMPUTED_VALUE"""),41183.0)</f>
        <v>41183</v>
      </c>
      <c r="C161" s="32">
        <f>IFERROR(__xludf.DUMMYFUNCTION("""COMPUTED_VALUE"""),5789.0)</f>
        <v>5789</v>
      </c>
      <c r="H161" s="17"/>
    </row>
    <row r="162">
      <c r="B162" s="11">
        <f>IFERROR(__xludf.DUMMYFUNCTION("""COMPUTED_VALUE"""),41153.0)</f>
        <v>41153</v>
      </c>
      <c r="C162" s="32">
        <f>IFERROR(__xludf.DUMMYFUNCTION("""COMPUTED_VALUE"""),6141.0)</f>
        <v>6141</v>
      </c>
      <c r="H162" s="17"/>
    </row>
    <row r="163">
      <c r="B163" s="11">
        <f>IFERROR(__xludf.DUMMYFUNCTION("""COMPUTED_VALUE"""),41122.0)</f>
        <v>41122</v>
      </c>
      <c r="C163" s="32">
        <f>IFERROR(__xludf.DUMMYFUNCTION("""COMPUTED_VALUE"""),4861.0)</f>
        <v>4861</v>
      </c>
      <c r="H163" s="17"/>
    </row>
    <row r="164">
      <c r="B164" s="11">
        <f>IFERROR(__xludf.DUMMYFUNCTION("""COMPUTED_VALUE"""),41091.0)</f>
        <v>41091</v>
      </c>
      <c r="C164" s="32">
        <f>IFERROR(__xludf.DUMMYFUNCTION("""COMPUTED_VALUE"""),4977.0)</f>
        <v>4977</v>
      </c>
      <c r="H164" s="17"/>
    </row>
    <row r="165">
      <c r="B165" s="11">
        <f>IFERROR(__xludf.DUMMYFUNCTION("""COMPUTED_VALUE"""),41061.0)</f>
        <v>41061</v>
      </c>
      <c r="C165" s="32">
        <f>IFERROR(__xludf.DUMMYFUNCTION("""COMPUTED_VALUE"""),5004.0)</f>
        <v>5004</v>
      </c>
      <c r="H165" s="17"/>
    </row>
    <row r="166">
      <c r="B166" s="11">
        <f>IFERROR(__xludf.DUMMYFUNCTION("""COMPUTED_VALUE"""),41030.0)</f>
        <v>41030</v>
      </c>
      <c r="C166" s="32">
        <f>IFERROR(__xludf.DUMMYFUNCTION("""COMPUTED_VALUE"""),4843.0)</f>
        <v>4843</v>
      </c>
      <c r="H166" s="17"/>
    </row>
    <row r="167">
      <c r="B167" s="11">
        <f>IFERROR(__xludf.DUMMYFUNCTION("""COMPUTED_VALUE"""),41000.0)</f>
        <v>41000</v>
      </c>
      <c r="C167" s="32">
        <f>IFERROR(__xludf.DUMMYFUNCTION("""COMPUTED_VALUE"""),4781.0)</f>
        <v>4781</v>
      </c>
      <c r="H167" s="17"/>
    </row>
    <row r="168">
      <c r="B168" s="11">
        <f>IFERROR(__xludf.DUMMYFUNCTION("""COMPUTED_VALUE"""),40969.0)</f>
        <v>40969</v>
      </c>
      <c r="C168" s="32">
        <f>IFERROR(__xludf.DUMMYFUNCTION("""COMPUTED_VALUE"""),7022.0)</f>
        <v>7022</v>
      </c>
      <c r="H168" s="17"/>
    </row>
    <row r="169">
      <c r="B169" s="11">
        <f>IFERROR(__xludf.DUMMYFUNCTION("""COMPUTED_VALUE"""),40940.0)</f>
        <v>40940</v>
      </c>
      <c r="C169" s="32">
        <f>IFERROR(__xludf.DUMMYFUNCTION("""COMPUTED_VALUE"""),5715.0)</f>
        <v>5715</v>
      </c>
      <c r="H169" s="17"/>
    </row>
    <row r="170">
      <c r="B170" s="11">
        <f>IFERROR(__xludf.DUMMYFUNCTION("""COMPUTED_VALUE"""),40909.0)</f>
        <v>40909</v>
      </c>
      <c r="C170" s="32">
        <f>IFERROR(__xludf.DUMMYFUNCTION("""COMPUTED_VALUE"""),4769.0)</f>
        <v>4769</v>
      </c>
      <c r="H170" s="17"/>
    </row>
    <row r="171">
      <c r="B171" s="11">
        <f>IFERROR(__xludf.DUMMYFUNCTION("""COMPUTED_VALUE"""),40878.0)</f>
        <v>40878</v>
      </c>
      <c r="C171" s="32">
        <f>IFERROR(__xludf.DUMMYFUNCTION("""COMPUTED_VALUE"""),4238.0)</f>
        <v>4238</v>
      </c>
      <c r="H171" s="17"/>
    </row>
    <row r="172">
      <c r="B172" s="11">
        <f>IFERROR(__xludf.DUMMYFUNCTION("""COMPUTED_VALUE"""),40848.0)</f>
        <v>40848</v>
      </c>
      <c r="C172" s="32">
        <f>IFERROR(__xludf.DUMMYFUNCTION("""COMPUTED_VALUE"""),4844.0)</f>
        <v>4844</v>
      </c>
      <c r="H172" s="17"/>
    </row>
    <row r="173">
      <c r="B173" s="11">
        <f>IFERROR(__xludf.DUMMYFUNCTION("""COMPUTED_VALUE"""),40817.0)</f>
        <v>40817</v>
      </c>
      <c r="C173" s="32">
        <f>IFERROR(__xludf.DUMMYFUNCTION("""COMPUTED_VALUE"""),3755.0)</f>
        <v>3755</v>
      </c>
      <c r="H173" s="17"/>
    </row>
    <row r="174">
      <c r="B174" s="11">
        <f>IFERROR(__xludf.DUMMYFUNCTION("""COMPUTED_VALUE"""),40787.0)</f>
        <v>40787</v>
      </c>
      <c r="C174" s="32">
        <f>IFERROR(__xludf.DUMMYFUNCTION("""COMPUTED_VALUE"""),3520.0)</f>
        <v>3520</v>
      </c>
      <c r="H174" s="17"/>
    </row>
    <row r="175">
      <c r="B175" s="11">
        <f>IFERROR(__xludf.DUMMYFUNCTION("""COMPUTED_VALUE"""),40756.0)</f>
        <v>40756</v>
      </c>
      <c r="C175" s="32">
        <f>IFERROR(__xludf.DUMMYFUNCTION("""COMPUTED_VALUE"""),6227.0)</f>
        <v>6227</v>
      </c>
      <c r="H175" s="17"/>
    </row>
    <row r="176">
      <c r="B176" s="11">
        <f>IFERROR(__xludf.DUMMYFUNCTION("""COMPUTED_VALUE"""),40725.0)</f>
        <v>40725</v>
      </c>
      <c r="C176" s="32">
        <f>IFERROR(__xludf.DUMMYFUNCTION("""COMPUTED_VALUE"""),3899.0)</f>
        <v>3899</v>
      </c>
      <c r="H176" s="17"/>
    </row>
    <row r="177">
      <c r="B177" s="11">
        <f>IFERROR(__xludf.DUMMYFUNCTION("""COMPUTED_VALUE"""),40695.0)</f>
        <v>40695</v>
      </c>
      <c r="C177" s="32">
        <f>IFERROR(__xludf.DUMMYFUNCTION("""COMPUTED_VALUE"""),4550.0)</f>
        <v>4550</v>
      </c>
      <c r="H177" s="17"/>
    </row>
    <row r="178">
      <c r="B178" s="11">
        <f>IFERROR(__xludf.DUMMYFUNCTION("""COMPUTED_VALUE"""),40664.0)</f>
        <v>40664</v>
      </c>
      <c r="C178" s="32">
        <f>IFERROR(__xludf.DUMMYFUNCTION("""COMPUTED_VALUE"""),6108.0)</f>
        <v>6108</v>
      </c>
      <c r="H178" s="17"/>
    </row>
    <row r="179">
      <c r="B179" s="11">
        <f>IFERROR(__xludf.DUMMYFUNCTION("""COMPUTED_VALUE"""),40634.0)</f>
        <v>40634</v>
      </c>
      <c r="C179" s="32">
        <f>IFERROR(__xludf.DUMMYFUNCTION("""COMPUTED_VALUE"""),5161.0)</f>
        <v>5161</v>
      </c>
      <c r="H179" s="17"/>
    </row>
    <row r="180">
      <c r="B180" s="11">
        <f>IFERROR(__xludf.DUMMYFUNCTION("""COMPUTED_VALUE"""),40603.0)</f>
        <v>40603</v>
      </c>
      <c r="C180" s="32">
        <f>IFERROR(__xludf.DUMMYFUNCTION("""COMPUTED_VALUE"""),5298.0)</f>
        <v>5298</v>
      </c>
      <c r="H180" s="17"/>
    </row>
    <row r="181">
      <c r="B181" s="11">
        <f>IFERROR(__xludf.DUMMYFUNCTION("""COMPUTED_VALUE"""),40575.0)</f>
        <v>40575</v>
      </c>
      <c r="C181" s="32">
        <f>IFERROR(__xludf.DUMMYFUNCTION("""COMPUTED_VALUE"""),5167.0)</f>
        <v>5167</v>
      </c>
      <c r="H181" s="17"/>
    </row>
    <row r="182">
      <c r="B182" s="11">
        <f>IFERROR(__xludf.DUMMYFUNCTION("""COMPUTED_VALUE"""),40544.0)</f>
        <v>40544</v>
      </c>
      <c r="C182" s="32">
        <f>IFERROR(__xludf.DUMMYFUNCTION("""COMPUTED_VALUE"""),5722.0)</f>
        <v>5722</v>
      </c>
      <c r="H182" s="17"/>
    </row>
    <row r="183">
      <c r="B183" s="11">
        <f>IFERROR(__xludf.DUMMYFUNCTION("""COMPUTED_VALUE"""),40513.0)</f>
        <v>40513</v>
      </c>
      <c r="C183" s="32">
        <f>IFERROR(__xludf.DUMMYFUNCTION("""COMPUTED_VALUE"""),4464.0)</f>
        <v>4464</v>
      </c>
      <c r="H183" s="17"/>
    </row>
    <row r="184">
      <c r="B184" s="11">
        <f>IFERROR(__xludf.DUMMYFUNCTION("""COMPUTED_VALUE"""),40483.0)</f>
        <v>40483</v>
      </c>
      <c r="C184" s="32">
        <f>IFERROR(__xludf.DUMMYFUNCTION("""COMPUTED_VALUE"""),5706.0)</f>
        <v>5706</v>
      </c>
      <c r="H184" s="17"/>
    </row>
    <row r="185">
      <c r="B185" s="11">
        <f>IFERROR(__xludf.DUMMYFUNCTION("""COMPUTED_VALUE"""),40452.0)</f>
        <v>40452</v>
      </c>
      <c r="C185" s="32">
        <f>IFERROR(__xludf.DUMMYFUNCTION("""COMPUTED_VALUE"""),4258.0)</f>
        <v>4258</v>
      </c>
      <c r="H185" s="17"/>
    </row>
    <row r="186">
      <c r="B186" s="11">
        <f>IFERROR(__xludf.DUMMYFUNCTION("""COMPUTED_VALUE"""),40422.0)</f>
        <v>40422</v>
      </c>
      <c r="C186" s="32">
        <f>IFERROR(__xludf.DUMMYFUNCTION("""COMPUTED_VALUE"""),6669.0)</f>
        <v>6669</v>
      </c>
      <c r="H186" s="17"/>
    </row>
    <row r="187">
      <c r="B187" s="11">
        <f>IFERROR(__xludf.DUMMYFUNCTION("""COMPUTED_VALUE"""),40391.0)</f>
        <v>40391</v>
      </c>
      <c r="C187" s="32">
        <f>IFERROR(__xludf.DUMMYFUNCTION("""COMPUTED_VALUE"""),3877.0)</f>
        <v>3877</v>
      </c>
      <c r="H187" s="17"/>
    </row>
    <row r="188">
      <c r="B188" s="11">
        <f>IFERROR(__xludf.DUMMYFUNCTION("""COMPUTED_VALUE"""),40360.0)</f>
        <v>40360</v>
      </c>
      <c r="C188" s="32">
        <f>IFERROR(__xludf.DUMMYFUNCTION("""COMPUTED_VALUE"""),5245.0)</f>
        <v>5245</v>
      </c>
      <c r="H188" s="17"/>
    </row>
    <row r="189">
      <c r="B189" s="11">
        <f>IFERROR(__xludf.DUMMYFUNCTION("""COMPUTED_VALUE"""),40330.0)</f>
        <v>40330</v>
      </c>
      <c r="C189" s="32">
        <f>IFERROR(__xludf.DUMMYFUNCTION("""COMPUTED_VALUE"""),4877.0)</f>
        <v>4877</v>
      </c>
      <c r="H189" s="17"/>
    </row>
    <row r="190">
      <c r="B190" s="11">
        <f>IFERROR(__xludf.DUMMYFUNCTION("""COMPUTED_VALUE"""),40299.0)</f>
        <v>40299</v>
      </c>
      <c r="C190" s="32">
        <f>IFERROR(__xludf.DUMMYFUNCTION("""COMPUTED_VALUE"""),4753.0)</f>
        <v>4753</v>
      </c>
      <c r="H190" s="17"/>
    </row>
    <row r="191">
      <c r="B191" s="11">
        <f>IFERROR(__xludf.DUMMYFUNCTION("""COMPUTED_VALUE"""),40269.0)</f>
        <v>40269</v>
      </c>
      <c r="C191" s="32">
        <f>IFERROR(__xludf.DUMMYFUNCTION("""COMPUTED_VALUE"""),5311.0)</f>
        <v>5311</v>
      </c>
      <c r="H191" s="17"/>
    </row>
    <row r="192">
      <c r="B192" s="11">
        <f>IFERROR(__xludf.DUMMYFUNCTION("""COMPUTED_VALUE"""),40238.0)</f>
        <v>40238</v>
      </c>
      <c r="C192" s="32">
        <f>IFERROR(__xludf.DUMMYFUNCTION("""COMPUTED_VALUE"""),5196.0)</f>
        <v>5196</v>
      </c>
      <c r="H192" s="17"/>
    </row>
    <row r="193">
      <c r="B193" s="11">
        <f>IFERROR(__xludf.DUMMYFUNCTION("""COMPUTED_VALUE"""),40210.0)</f>
        <v>40210</v>
      </c>
      <c r="C193" s="32">
        <f>IFERROR(__xludf.DUMMYFUNCTION("""COMPUTED_VALUE"""),5704.0)</f>
        <v>5704</v>
      </c>
      <c r="H193" s="17"/>
    </row>
    <row r="194">
      <c r="B194" s="11">
        <f>IFERROR(__xludf.DUMMYFUNCTION("""COMPUTED_VALUE"""),40179.0)</f>
        <v>40179</v>
      </c>
      <c r="C194" s="32">
        <f>IFERROR(__xludf.DUMMYFUNCTION("""COMPUTED_VALUE"""),7921.0)</f>
        <v>7921</v>
      </c>
      <c r="H194" s="17"/>
    </row>
    <row r="195">
      <c r="B195" s="11">
        <f>IFERROR(__xludf.DUMMYFUNCTION("""COMPUTED_VALUE"""),40148.0)</f>
        <v>40148</v>
      </c>
      <c r="C195" s="32">
        <f>IFERROR(__xludf.DUMMYFUNCTION("""COMPUTED_VALUE"""),4163.0)</f>
        <v>4163</v>
      </c>
      <c r="H195" s="17"/>
    </row>
    <row r="196">
      <c r="B196" s="11">
        <f>IFERROR(__xludf.DUMMYFUNCTION("""COMPUTED_VALUE"""),40118.0)</f>
        <v>40118</v>
      </c>
      <c r="C196" s="32">
        <f>IFERROR(__xludf.DUMMYFUNCTION("""COMPUTED_VALUE"""),2845.0)</f>
        <v>2845</v>
      </c>
      <c r="H196" s="17"/>
    </row>
    <row r="197">
      <c r="B197" s="11">
        <f>IFERROR(__xludf.DUMMYFUNCTION("""COMPUTED_VALUE"""),40087.0)</f>
        <v>40087</v>
      </c>
      <c r="C197" s="32">
        <f>IFERROR(__xludf.DUMMYFUNCTION("""COMPUTED_VALUE"""),4476.0)</f>
        <v>4476</v>
      </c>
      <c r="H197" s="17"/>
    </row>
    <row r="198">
      <c r="B198" s="11">
        <f>IFERROR(__xludf.DUMMYFUNCTION("""COMPUTED_VALUE"""),40057.0)</f>
        <v>40057</v>
      </c>
      <c r="C198" s="32">
        <f>IFERROR(__xludf.DUMMYFUNCTION("""COMPUTED_VALUE"""),3249.0)</f>
        <v>3249</v>
      </c>
      <c r="H198" s="17"/>
    </row>
    <row r="199">
      <c r="B199" s="11">
        <f>IFERROR(__xludf.DUMMYFUNCTION("""COMPUTED_VALUE"""),40026.0)</f>
        <v>40026</v>
      </c>
      <c r="C199" s="32">
        <f>IFERROR(__xludf.DUMMYFUNCTION("""COMPUTED_VALUE"""),3970.0)</f>
        <v>3970</v>
      </c>
      <c r="H199" s="17"/>
    </row>
    <row r="200">
      <c r="B200" s="11">
        <f>IFERROR(__xludf.DUMMYFUNCTION("""COMPUTED_VALUE"""),39995.0)</f>
        <v>39995</v>
      </c>
      <c r="C200" s="32">
        <f>IFERROR(__xludf.DUMMYFUNCTION("""COMPUTED_VALUE"""),4815.0)</f>
        <v>4815</v>
      </c>
      <c r="H200" s="17"/>
    </row>
    <row r="201">
      <c r="B201" s="11">
        <f>IFERROR(__xludf.DUMMYFUNCTION("""COMPUTED_VALUE"""),39965.0)</f>
        <v>39965</v>
      </c>
      <c r="C201" s="32">
        <f>IFERROR(__xludf.DUMMYFUNCTION("""COMPUTED_VALUE"""),6056.0)</f>
        <v>6056</v>
      </c>
      <c r="H201" s="17"/>
    </row>
    <row r="202">
      <c r="B202" s="11">
        <f>IFERROR(__xludf.DUMMYFUNCTION("""COMPUTED_VALUE"""),39934.0)</f>
        <v>39934</v>
      </c>
      <c r="C202" s="32">
        <f>IFERROR(__xludf.DUMMYFUNCTION("""COMPUTED_VALUE"""),3924.0)</f>
        <v>3924</v>
      </c>
      <c r="H202" s="17"/>
    </row>
    <row r="203">
      <c r="B203" s="11">
        <f>IFERROR(__xludf.DUMMYFUNCTION("""COMPUTED_VALUE"""),39904.0)</f>
        <v>39904</v>
      </c>
      <c r="C203" s="32">
        <f>IFERROR(__xludf.DUMMYFUNCTION("""COMPUTED_VALUE"""),5525.0)</f>
        <v>5525</v>
      </c>
      <c r="H203" s="17"/>
    </row>
    <row r="204">
      <c r="B204" s="11">
        <f>IFERROR(__xludf.DUMMYFUNCTION("""COMPUTED_VALUE"""),39873.0)</f>
        <v>39873</v>
      </c>
      <c r="C204" s="32">
        <f>IFERROR(__xludf.DUMMYFUNCTION("""COMPUTED_VALUE"""),4845.0)</f>
        <v>4845</v>
      </c>
      <c r="H204" s="17"/>
    </row>
    <row r="205">
      <c r="B205" s="11">
        <f>IFERROR(__xludf.DUMMYFUNCTION("""COMPUTED_VALUE"""),39845.0)</f>
        <v>39845</v>
      </c>
      <c r="C205" s="32">
        <f>IFERROR(__xludf.DUMMYFUNCTION("""COMPUTED_VALUE"""),3540.0)</f>
        <v>3540</v>
      </c>
      <c r="H205" s="17"/>
    </row>
    <row r="206">
      <c r="B206" s="11">
        <f>IFERROR(__xludf.DUMMYFUNCTION("""COMPUTED_VALUE"""),39814.0)</f>
        <v>39814</v>
      </c>
      <c r="C206" s="32">
        <f>IFERROR(__xludf.DUMMYFUNCTION("""COMPUTED_VALUE"""),3374.0)</f>
        <v>3374</v>
      </c>
      <c r="H206" s="17"/>
    </row>
    <row r="207">
      <c r="B207" s="11">
        <f>IFERROR(__xludf.DUMMYFUNCTION("""COMPUTED_VALUE"""),39783.0)</f>
        <v>39783</v>
      </c>
      <c r="C207" s="32">
        <f>IFERROR(__xludf.DUMMYFUNCTION("""COMPUTED_VALUE"""),4771.0)</f>
        <v>4771</v>
      </c>
      <c r="H207" s="17"/>
    </row>
    <row r="208">
      <c r="B208" s="11">
        <f>IFERROR(__xludf.DUMMYFUNCTION("""COMPUTED_VALUE"""),39753.0)</f>
        <v>39753</v>
      </c>
      <c r="C208" s="32">
        <f>IFERROR(__xludf.DUMMYFUNCTION("""COMPUTED_VALUE"""),5009.0)</f>
        <v>5009</v>
      </c>
      <c r="H208" s="17"/>
    </row>
    <row r="209">
      <c r="B209" s="11">
        <f>IFERROR(__xludf.DUMMYFUNCTION("""COMPUTED_VALUE"""),39722.0)</f>
        <v>39722</v>
      </c>
      <c r="C209" s="32">
        <f>IFERROR(__xludf.DUMMYFUNCTION("""COMPUTED_VALUE"""),6084.0)</f>
        <v>6084</v>
      </c>
      <c r="H209" s="17"/>
    </row>
    <row r="210">
      <c r="B210" s="11">
        <f>IFERROR(__xludf.DUMMYFUNCTION("""COMPUTED_VALUE"""),39692.0)</f>
        <v>39692</v>
      </c>
      <c r="C210" s="32">
        <f>IFERROR(__xludf.DUMMYFUNCTION("""COMPUTED_VALUE"""),6366.0)</f>
        <v>6366</v>
      </c>
      <c r="H210" s="17"/>
    </row>
    <row r="211">
      <c r="B211" s="11">
        <f>IFERROR(__xludf.DUMMYFUNCTION("""COMPUTED_VALUE"""),39661.0)</f>
        <v>39661</v>
      </c>
      <c r="C211" s="32">
        <f>IFERROR(__xludf.DUMMYFUNCTION("""COMPUTED_VALUE"""),5629.0)</f>
        <v>5629</v>
      </c>
      <c r="H211" s="17"/>
    </row>
    <row r="212">
      <c r="B212" s="11">
        <f>IFERROR(__xludf.DUMMYFUNCTION("""COMPUTED_VALUE"""),39630.0)</f>
        <v>39630</v>
      </c>
      <c r="C212" s="32">
        <f>IFERROR(__xludf.DUMMYFUNCTION("""COMPUTED_VALUE"""),6221.0)</f>
        <v>6221</v>
      </c>
      <c r="H212" s="17"/>
    </row>
    <row r="213">
      <c r="B213" s="11">
        <f>IFERROR(__xludf.DUMMYFUNCTION("""COMPUTED_VALUE"""),39600.0)</f>
        <v>39600</v>
      </c>
      <c r="C213" s="32">
        <f>IFERROR(__xludf.DUMMYFUNCTION("""COMPUTED_VALUE"""),4399.0)</f>
        <v>4399</v>
      </c>
      <c r="H213" s="17"/>
    </row>
    <row r="214">
      <c r="B214" s="11">
        <f>IFERROR(__xludf.DUMMYFUNCTION("""COMPUTED_VALUE"""),39569.0)</f>
        <v>39569</v>
      </c>
      <c r="C214" s="32">
        <f>IFERROR(__xludf.DUMMYFUNCTION("""COMPUTED_VALUE"""),6320.0)</f>
        <v>6320</v>
      </c>
      <c r="H214" s="17"/>
    </row>
    <row r="215">
      <c r="B215" s="11">
        <f>IFERROR(__xludf.DUMMYFUNCTION("""COMPUTED_VALUE"""),39539.0)</f>
        <v>39539</v>
      </c>
      <c r="C215" s="32">
        <f>IFERROR(__xludf.DUMMYFUNCTION("""COMPUTED_VALUE"""),5420.0)</f>
        <v>5420</v>
      </c>
      <c r="H215" s="17"/>
    </row>
    <row r="216">
      <c r="B216" s="11">
        <f>IFERROR(__xludf.DUMMYFUNCTION("""COMPUTED_VALUE"""),39508.0)</f>
        <v>39508</v>
      </c>
      <c r="C216" s="32">
        <f>IFERROR(__xludf.DUMMYFUNCTION("""COMPUTED_VALUE"""),6382.0)</f>
        <v>6382</v>
      </c>
      <c r="H216" s="17"/>
    </row>
    <row r="217">
      <c r="B217" s="11">
        <f>IFERROR(__xludf.DUMMYFUNCTION("""COMPUTED_VALUE"""),39479.0)</f>
        <v>39479</v>
      </c>
      <c r="C217" s="32">
        <f>IFERROR(__xludf.DUMMYFUNCTION("""COMPUTED_VALUE"""),4817.0)</f>
        <v>4817</v>
      </c>
      <c r="H217" s="17"/>
    </row>
    <row r="218">
      <c r="B218" s="11">
        <f>IFERROR(__xludf.DUMMYFUNCTION("""COMPUTED_VALUE"""),39448.0)</f>
        <v>39448</v>
      </c>
      <c r="C218" s="32">
        <f>IFERROR(__xludf.DUMMYFUNCTION("""COMPUTED_VALUE"""),5312.0)</f>
        <v>5312</v>
      </c>
      <c r="H218" s="17"/>
    </row>
    <row r="219">
      <c r="B219" s="11">
        <f>IFERROR(__xludf.DUMMYFUNCTION("""COMPUTED_VALUE"""),39417.0)</f>
        <v>39417</v>
      </c>
      <c r="C219" s="32">
        <f>IFERROR(__xludf.DUMMYFUNCTION("""COMPUTED_VALUE"""),5537.0)</f>
        <v>5537</v>
      </c>
      <c r="H219" s="17"/>
    </row>
    <row r="220">
      <c r="B220" s="11">
        <f>IFERROR(__xludf.DUMMYFUNCTION("""COMPUTED_VALUE"""),39387.0)</f>
        <v>39387</v>
      </c>
      <c r="C220" s="32">
        <f>IFERROR(__xludf.DUMMYFUNCTION("""COMPUTED_VALUE"""),3098.0)</f>
        <v>3098</v>
      </c>
      <c r="H220" s="17"/>
    </row>
    <row r="221">
      <c r="B221" s="11">
        <f>IFERROR(__xludf.DUMMYFUNCTION("""COMPUTED_VALUE"""),39356.0)</f>
        <v>39356</v>
      </c>
      <c r="C221" s="32">
        <f>IFERROR(__xludf.DUMMYFUNCTION("""COMPUTED_VALUE"""),4109.0)</f>
        <v>4109</v>
      </c>
      <c r="H221" s="17"/>
    </row>
    <row r="222">
      <c r="B222" s="11">
        <f>IFERROR(__xludf.DUMMYFUNCTION("""COMPUTED_VALUE"""),39326.0)</f>
        <v>39326</v>
      </c>
      <c r="C222" s="32">
        <f>IFERROR(__xludf.DUMMYFUNCTION("""COMPUTED_VALUE"""),4680.0)</f>
        <v>4680</v>
      </c>
      <c r="H222" s="17"/>
    </row>
    <row r="223">
      <c r="B223" s="11">
        <f>IFERROR(__xludf.DUMMYFUNCTION("""COMPUTED_VALUE"""),39295.0)</f>
        <v>39295</v>
      </c>
      <c r="C223" s="32">
        <f>IFERROR(__xludf.DUMMYFUNCTION("""COMPUTED_VALUE"""),8273.0)</f>
        <v>8273</v>
      </c>
      <c r="H223" s="17"/>
    </row>
    <row r="224">
      <c r="B224" s="11">
        <f>IFERROR(__xludf.DUMMYFUNCTION("""COMPUTED_VALUE"""),39264.0)</f>
        <v>39264</v>
      </c>
      <c r="C224" s="32">
        <f>IFERROR(__xludf.DUMMYFUNCTION("""COMPUTED_VALUE"""),3446.0)</f>
        <v>3446</v>
      </c>
      <c r="H224" s="17"/>
    </row>
    <row r="225">
      <c r="B225" s="11">
        <f>IFERROR(__xludf.DUMMYFUNCTION("""COMPUTED_VALUE"""),39234.0)</f>
        <v>39234</v>
      </c>
      <c r="C225" s="32">
        <f>IFERROR(__xludf.DUMMYFUNCTION("""COMPUTED_VALUE"""),3229.0)</f>
        <v>3229</v>
      </c>
      <c r="H225" s="17"/>
    </row>
    <row r="226">
      <c r="B226" s="11">
        <f>IFERROR(__xludf.DUMMYFUNCTION("""COMPUTED_VALUE"""),39203.0)</f>
        <v>39203</v>
      </c>
      <c r="C226" s="32">
        <f>IFERROR(__xludf.DUMMYFUNCTION("""COMPUTED_VALUE"""),3259.0)</f>
        <v>3259</v>
      </c>
      <c r="H226" s="17"/>
    </row>
    <row r="227">
      <c r="B227" s="11">
        <f>IFERROR(__xludf.DUMMYFUNCTION("""COMPUTED_VALUE"""),39173.0)</f>
        <v>39173</v>
      </c>
      <c r="C227" s="32">
        <f>IFERROR(__xludf.DUMMYFUNCTION("""COMPUTED_VALUE"""),2382.0)</f>
        <v>2382</v>
      </c>
      <c r="H227" s="17"/>
    </row>
    <row r="228">
      <c r="B228" s="11">
        <f>IFERROR(__xludf.DUMMYFUNCTION("""COMPUTED_VALUE"""),39142.0)</f>
        <v>39142</v>
      </c>
      <c r="C228" s="32">
        <f>IFERROR(__xludf.DUMMYFUNCTION("""COMPUTED_VALUE"""),2364.0)</f>
        <v>2364</v>
      </c>
      <c r="H228" s="17"/>
    </row>
    <row r="229">
      <c r="B229" s="11">
        <f>IFERROR(__xludf.DUMMYFUNCTION("""COMPUTED_VALUE"""),39114.0)</f>
        <v>39114</v>
      </c>
      <c r="C229" s="32">
        <f>IFERROR(__xludf.DUMMYFUNCTION("""COMPUTED_VALUE"""),3795.0)</f>
        <v>3795</v>
      </c>
      <c r="H229" s="17"/>
    </row>
    <row r="230">
      <c r="B230" s="11">
        <f>IFERROR(__xludf.DUMMYFUNCTION("""COMPUTED_VALUE"""),39083.0)</f>
        <v>39083</v>
      </c>
      <c r="C230" s="32">
        <f>IFERROR(__xludf.DUMMYFUNCTION("""COMPUTED_VALUE"""),3274.0)</f>
        <v>3274</v>
      </c>
      <c r="H230" s="17"/>
    </row>
    <row r="231">
      <c r="B231" s="11">
        <f>IFERROR(__xludf.DUMMYFUNCTION("""COMPUTED_VALUE"""),39052.0)</f>
        <v>39052</v>
      </c>
      <c r="C231" s="32">
        <f>IFERROR(__xludf.DUMMYFUNCTION("""COMPUTED_VALUE"""),5581.0)</f>
        <v>5581</v>
      </c>
      <c r="H231" s="17"/>
    </row>
    <row r="232">
      <c r="B232" s="11">
        <f>IFERROR(__xludf.DUMMYFUNCTION("""COMPUTED_VALUE"""),39022.0)</f>
        <v>39022</v>
      </c>
      <c r="C232" s="32">
        <f>IFERROR(__xludf.DUMMYFUNCTION("""COMPUTED_VALUE"""),5814.0)</f>
        <v>5814</v>
      </c>
      <c r="H232" s="17"/>
    </row>
    <row r="233">
      <c r="B233" s="11">
        <f>IFERROR(__xludf.DUMMYFUNCTION("""COMPUTED_VALUE"""),38991.0)</f>
        <v>38991</v>
      </c>
      <c r="C233" s="32">
        <f>IFERROR(__xludf.DUMMYFUNCTION("""COMPUTED_VALUE"""),2974.0)</f>
        <v>2974</v>
      </c>
      <c r="H233" s="17"/>
    </row>
    <row r="234">
      <c r="B234" s="11">
        <f>IFERROR(__xludf.DUMMYFUNCTION("""COMPUTED_VALUE"""),38961.0)</f>
        <v>38961</v>
      </c>
      <c r="C234" s="32">
        <f>IFERROR(__xludf.DUMMYFUNCTION("""COMPUTED_VALUE"""),3028.0)</f>
        <v>3028</v>
      </c>
      <c r="H234" s="17"/>
    </row>
    <row r="235">
      <c r="B235" s="11">
        <f>IFERROR(__xludf.DUMMYFUNCTION("""COMPUTED_VALUE"""),38930.0)</f>
        <v>38930</v>
      </c>
      <c r="C235" s="32">
        <f>IFERROR(__xludf.DUMMYFUNCTION("""COMPUTED_VALUE"""),2945.0)</f>
        <v>2945</v>
      </c>
      <c r="H235" s="17"/>
    </row>
    <row r="236">
      <c r="B236" s="11">
        <f>IFERROR(__xludf.DUMMYFUNCTION("""COMPUTED_VALUE"""),38899.0)</f>
        <v>38899</v>
      </c>
      <c r="C236" s="32">
        <f>IFERROR(__xludf.DUMMYFUNCTION("""COMPUTED_VALUE"""),2561.0)</f>
        <v>2561</v>
      </c>
      <c r="H236" s="17"/>
    </row>
    <row r="237">
      <c r="B237" s="11">
        <f>IFERROR(__xludf.DUMMYFUNCTION("""COMPUTED_VALUE"""),38869.0)</f>
        <v>38869</v>
      </c>
      <c r="C237" s="32">
        <f>IFERROR(__xludf.DUMMYFUNCTION("""COMPUTED_VALUE"""),3129.0)</f>
        <v>3129</v>
      </c>
      <c r="H237" s="17"/>
    </row>
    <row r="238">
      <c r="B238" s="11">
        <f>IFERROR(__xludf.DUMMYFUNCTION("""COMPUTED_VALUE"""),38838.0)</f>
        <v>38838</v>
      </c>
      <c r="C238" s="32">
        <f>IFERROR(__xludf.DUMMYFUNCTION("""COMPUTED_VALUE"""),2586.0)</f>
        <v>2586</v>
      </c>
      <c r="H238" s="17"/>
    </row>
    <row r="239">
      <c r="B239" s="11">
        <f>IFERROR(__xludf.DUMMYFUNCTION("""COMPUTED_VALUE"""),38808.0)</f>
        <v>38808</v>
      </c>
      <c r="C239" s="32">
        <f>IFERROR(__xludf.DUMMYFUNCTION("""COMPUTED_VALUE"""),2270.0)</f>
        <v>2270</v>
      </c>
      <c r="H239" s="17"/>
    </row>
    <row r="240">
      <c r="B240" s="11">
        <f>IFERROR(__xludf.DUMMYFUNCTION("""COMPUTED_VALUE"""),38777.0)</f>
        <v>38777</v>
      </c>
      <c r="C240" s="32">
        <f>IFERROR(__xludf.DUMMYFUNCTION("""COMPUTED_VALUE"""),3447.0)</f>
        <v>3447</v>
      </c>
      <c r="H240" s="17"/>
    </row>
    <row r="241">
      <c r="B241" s="11">
        <f>IFERROR(__xludf.DUMMYFUNCTION("""COMPUTED_VALUE"""),38749.0)</f>
        <v>38749</v>
      </c>
      <c r="C241" s="32">
        <f>IFERROR(__xludf.DUMMYFUNCTION("""COMPUTED_VALUE"""),4700.0)</f>
        <v>4700</v>
      </c>
      <c r="H241" s="17"/>
    </row>
    <row r="242">
      <c r="B242" s="11">
        <f>IFERROR(__xludf.DUMMYFUNCTION("""COMPUTED_VALUE"""),38718.0)</f>
        <v>38718</v>
      </c>
      <c r="C242" s="32">
        <f>IFERROR(__xludf.DUMMYFUNCTION("""COMPUTED_VALUE"""),4234.0)</f>
        <v>4234</v>
      </c>
      <c r="H242" s="17"/>
    </row>
    <row r="243">
      <c r="B243" s="11">
        <f>IFERROR(__xludf.DUMMYFUNCTION("""COMPUTED_VALUE"""),38687.0)</f>
        <v>38687</v>
      </c>
      <c r="C243" s="32">
        <f>IFERROR(__xludf.DUMMYFUNCTION("""COMPUTED_VALUE"""),4624.0)</f>
        <v>4624</v>
      </c>
      <c r="H243" s="17"/>
    </row>
    <row r="244">
      <c r="B244" s="11">
        <f>IFERROR(__xludf.DUMMYFUNCTION("""COMPUTED_VALUE"""),38657.0)</f>
        <v>38657</v>
      </c>
      <c r="C244" s="32">
        <f>IFERROR(__xludf.DUMMYFUNCTION("""COMPUTED_VALUE"""),2820.0)</f>
        <v>2820</v>
      </c>
      <c r="H244" s="17"/>
    </row>
    <row r="245">
      <c r="B245" s="11">
        <f>IFERROR(__xludf.DUMMYFUNCTION("""COMPUTED_VALUE"""),38626.0)</f>
        <v>38626</v>
      </c>
      <c r="C245" s="32">
        <f>IFERROR(__xludf.DUMMYFUNCTION("""COMPUTED_VALUE"""),5429.0)</f>
        <v>5429</v>
      </c>
      <c r="H245" s="17"/>
    </row>
    <row r="246">
      <c r="B246" s="11">
        <f>IFERROR(__xludf.DUMMYFUNCTION("""COMPUTED_VALUE"""),38596.0)</f>
        <v>38596</v>
      </c>
      <c r="C246" s="32">
        <f>IFERROR(__xludf.DUMMYFUNCTION("""COMPUTED_VALUE"""),2901.0)</f>
        <v>2901</v>
      </c>
      <c r="H246" s="17"/>
    </row>
    <row r="247">
      <c r="B247" s="11">
        <f>IFERROR(__xludf.DUMMYFUNCTION("""COMPUTED_VALUE"""),38565.0)</f>
        <v>38565</v>
      </c>
      <c r="C247" s="32">
        <f>IFERROR(__xludf.DUMMYFUNCTION("""COMPUTED_VALUE"""),2157.0)</f>
        <v>2157</v>
      </c>
      <c r="H247" s="17"/>
    </row>
    <row r="248">
      <c r="B248" s="11">
        <f>IFERROR(__xludf.DUMMYFUNCTION("""COMPUTED_VALUE"""),38534.0)</f>
        <v>38534</v>
      </c>
      <c r="C248" s="32">
        <f>IFERROR(__xludf.DUMMYFUNCTION("""COMPUTED_VALUE"""),2159.0)</f>
        <v>2159</v>
      </c>
      <c r="H248" s="17"/>
    </row>
    <row r="249">
      <c r="B249" s="11">
        <f>IFERROR(__xludf.DUMMYFUNCTION("""COMPUTED_VALUE"""),38504.0)</f>
        <v>38504</v>
      </c>
      <c r="C249" s="32">
        <f>IFERROR(__xludf.DUMMYFUNCTION("""COMPUTED_VALUE"""),2868.0)</f>
        <v>2868</v>
      </c>
      <c r="H249" s="17"/>
    </row>
    <row r="250">
      <c r="B250" s="11">
        <f>IFERROR(__xludf.DUMMYFUNCTION("""COMPUTED_VALUE"""),38473.0)</f>
        <v>38473</v>
      </c>
      <c r="C250" s="32">
        <f>IFERROR(__xludf.DUMMYFUNCTION("""COMPUTED_VALUE"""),2265.0)</f>
        <v>2265</v>
      </c>
      <c r="H250" s="17"/>
    </row>
    <row r="251">
      <c r="B251" s="11">
        <f>IFERROR(__xludf.DUMMYFUNCTION("""COMPUTED_VALUE"""),38443.0)</f>
        <v>38443</v>
      </c>
      <c r="C251" s="32">
        <f>IFERROR(__xludf.DUMMYFUNCTION("""COMPUTED_VALUE"""),3290.0)</f>
        <v>3290</v>
      </c>
      <c r="H251" s="17"/>
    </row>
    <row r="252">
      <c r="B252" s="11">
        <f>IFERROR(__xludf.DUMMYFUNCTION("""COMPUTED_VALUE"""),38412.0)</f>
        <v>38412</v>
      </c>
      <c r="C252" s="32">
        <f>IFERROR(__xludf.DUMMYFUNCTION("""COMPUTED_VALUE"""),1635.0)</f>
        <v>1635</v>
      </c>
      <c r="H252" s="17"/>
    </row>
    <row r="253">
      <c r="B253" s="11">
        <f>IFERROR(__xludf.DUMMYFUNCTION("""COMPUTED_VALUE"""),38384.0)</f>
        <v>38384</v>
      </c>
      <c r="C253" s="32">
        <f>IFERROR(__xludf.DUMMYFUNCTION("""COMPUTED_VALUE"""),2659.0)</f>
        <v>2659</v>
      </c>
      <c r="H253" s="17"/>
    </row>
    <row r="254">
      <c r="B254" s="11">
        <f>IFERROR(__xludf.DUMMYFUNCTION("""COMPUTED_VALUE"""),38353.0)</f>
        <v>38353</v>
      </c>
      <c r="C254" s="32">
        <f>IFERROR(__xludf.DUMMYFUNCTION("""COMPUTED_VALUE"""),2452.0)</f>
        <v>2452</v>
      </c>
      <c r="H254" s="17"/>
    </row>
    <row r="255">
      <c r="B255" s="11">
        <f>IFERROR(__xludf.DUMMYFUNCTION("""COMPUTED_VALUE"""),38322.0)</f>
        <v>38322</v>
      </c>
      <c r="C255" s="32">
        <f>IFERROR(__xludf.DUMMYFUNCTION("""COMPUTED_VALUE"""),1167.0)</f>
        <v>1167</v>
      </c>
      <c r="H255" s="17"/>
    </row>
    <row r="256">
      <c r="B256" s="11">
        <f>IFERROR(__xludf.DUMMYFUNCTION("""COMPUTED_VALUE"""),38292.0)</f>
        <v>38292</v>
      </c>
      <c r="C256" s="32">
        <f>IFERROR(__xludf.DUMMYFUNCTION("""COMPUTED_VALUE"""),2071.0)</f>
        <v>2071</v>
      </c>
      <c r="H256" s="17"/>
    </row>
    <row r="257">
      <c r="B257" s="11">
        <f>IFERROR(__xludf.DUMMYFUNCTION("""COMPUTED_VALUE"""),38261.0)</f>
        <v>38261</v>
      </c>
      <c r="C257" s="32">
        <f>IFERROR(__xludf.DUMMYFUNCTION("""COMPUTED_VALUE"""),2207.0)</f>
        <v>2207</v>
      </c>
      <c r="H257" s="17"/>
    </row>
    <row r="258">
      <c r="B258" s="11">
        <f>IFERROR(__xludf.DUMMYFUNCTION("""COMPUTED_VALUE"""),38231.0)</f>
        <v>38231</v>
      </c>
      <c r="C258" s="32">
        <f>IFERROR(__xludf.DUMMYFUNCTION("""COMPUTED_VALUE"""),2787.0)</f>
        <v>2787</v>
      </c>
      <c r="H258" s="17"/>
    </row>
    <row r="259">
      <c r="B259" s="11">
        <f>IFERROR(__xludf.DUMMYFUNCTION("""COMPUTED_VALUE"""),38200.0)</f>
        <v>38200</v>
      </c>
      <c r="C259" s="32">
        <f>IFERROR(__xludf.DUMMYFUNCTION("""COMPUTED_VALUE"""),2024.0)</f>
        <v>2024</v>
      </c>
      <c r="H259" s="17"/>
    </row>
    <row r="260">
      <c r="B260" s="11">
        <f>IFERROR(__xludf.DUMMYFUNCTION("""COMPUTED_VALUE"""),38169.0)</f>
        <v>38169</v>
      </c>
      <c r="C260" s="32">
        <f>IFERROR(__xludf.DUMMYFUNCTION("""COMPUTED_VALUE"""),3824.0)</f>
        <v>3824</v>
      </c>
      <c r="H260" s="17"/>
    </row>
    <row r="261">
      <c r="B261" s="11">
        <f>IFERROR(__xludf.DUMMYFUNCTION("""COMPUTED_VALUE"""),38139.0)</f>
        <v>38139</v>
      </c>
      <c r="C261" s="32">
        <f>IFERROR(__xludf.DUMMYFUNCTION("""COMPUTED_VALUE"""),5026.0)</f>
        <v>5026</v>
      </c>
      <c r="H261" s="17"/>
    </row>
    <row r="262">
      <c r="B262" s="11">
        <f>IFERROR(__xludf.DUMMYFUNCTION("""COMPUTED_VALUE"""),38108.0)</f>
        <v>38108</v>
      </c>
      <c r="C262" s="32">
        <f>IFERROR(__xludf.DUMMYFUNCTION("""COMPUTED_VALUE"""),2382.0)</f>
        <v>2382</v>
      </c>
      <c r="H262" s="17"/>
    </row>
    <row r="263">
      <c r="B263" s="11">
        <f>IFERROR(__xludf.DUMMYFUNCTION("""COMPUTED_VALUE"""),38078.0)</f>
        <v>38078</v>
      </c>
      <c r="C263" s="32">
        <f>IFERROR(__xludf.DUMMYFUNCTION("""COMPUTED_VALUE"""),3792.0)</f>
        <v>3792</v>
      </c>
      <c r="H263" s="17"/>
    </row>
    <row r="264">
      <c r="B264" s="11">
        <f>IFERROR(__xludf.DUMMYFUNCTION("""COMPUTED_VALUE"""),38047.0)</f>
        <v>38047</v>
      </c>
      <c r="C264" s="32">
        <f>IFERROR(__xludf.DUMMYFUNCTION("""COMPUTED_VALUE"""),2510.0)</f>
        <v>2510</v>
      </c>
      <c r="H264" s="17"/>
    </row>
    <row r="265">
      <c r="B265" s="11">
        <f>IFERROR(__xludf.DUMMYFUNCTION("""COMPUTED_VALUE"""),38018.0)</f>
        <v>38018</v>
      </c>
      <c r="C265" s="32">
        <f>IFERROR(__xludf.DUMMYFUNCTION("""COMPUTED_VALUE"""),3646.0)</f>
        <v>3646</v>
      </c>
      <c r="H265" s="17"/>
    </row>
    <row r="266">
      <c r="B266" s="11">
        <f>IFERROR(__xludf.DUMMYFUNCTION("""COMPUTED_VALUE"""),37987.0)</f>
        <v>37987</v>
      </c>
      <c r="C266" s="32">
        <f>IFERROR(__xludf.DUMMYFUNCTION("""COMPUTED_VALUE"""),3551.0)</f>
        <v>3551</v>
      </c>
      <c r="H266" s="17"/>
    </row>
    <row r="267">
      <c r="B267" s="11">
        <f>IFERROR(__xludf.DUMMYFUNCTION("""COMPUTED_VALUE"""),37956.0)</f>
        <v>37956</v>
      </c>
      <c r="C267" s="32">
        <f>IFERROR(__xludf.DUMMYFUNCTION("""COMPUTED_VALUE"""),3023.0)</f>
        <v>3023</v>
      </c>
      <c r="H267" s="17"/>
    </row>
    <row r="268">
      <c r="B268" s="11">
        <f>IFERROR(__xludf.DUMMYFUNCTION("""COMPUTED_VALUE"""),37926.0)</f>
        <v>37926</v>
      </c>
      <c r="C268" s="32">
        <f>IFERROR(__xludf.DUMMYFUNCTION("""COMPUTED_VALUE"""),2361.0)</f>
        <v>2361</v>
      </c>
      <c r="H268" s="17"/>
    </row>
    <row r="269">
      <c r="B269" s="11">
        <f>IFERROR(__xludf.DUMMYFUNCTION("""COMPUTED_VALUE"""),37895.0)</f>
        <v>37895</v>
      </c>
      <c r="C269" s="32">
        <f>IFERROR(__xludf.DUMMYFUNCTION("""COMPUTED_VALUE"""),4276.0)</f>
        <v>4276</v>
      </c>
      <c r="H269" s="17"/>
    </row>
    <row r="270">
      <c r="B270" s="11">
        <f>IFERROR(__xludf.DUMMYFUNCTION("""COMPUTED_VALUE"""),37865.0)</f>
        <v>37865</v>
      </c>
      <c r="C270" s="32">
        <f>IFERROR(__xludf.DUMMYFUNCTION("""COMPUTED_VALUE"""),3233.0)</f>
        <v>3233</v>
      </c>
      <c r="H270" s="17"/>
    </row>
    <row r="271">
      <c r="B271" s="11">
        <f>IFERROR(__xludf.DUMMYFUNCTION("""COMPUTED_VALUE"""),37834.0)</f>
        <v>37834</v>
      </c>
      <c r="C271" s="32">
        <f>IFERROR(__xludf.DUMMYFUNCTION("""COMPUTED_VALUE"""),3886.0)</f>
        <v>3886</v>
      </c>
      <c r="H271" s="17"/>
    </row>
    <row r="272">
      <c r="B272" s="11">
        <f>IFERROR(__xludf.DUMMYFUNCTION("""COMPUTED_VALUE"""),37803.0)</f>
        <v>37803</v>
      </c>
      <c r="C272" s="32">
        <f>IFERROR(__xludf.DUMMYFUNCTION("""COMPUTED_VALUE"""),3307.0)</f>
        <v>3307</v>
      </c>
      <c r="H272" s="17"/>
    </row>
    <row r="273">
      <c r="B273" s="11">
        <f>IFERROR(__xludf.DUMMYFUNCTION("""COMPUTED_VALUE"""),37773.0)</f>
        <v>37773</v>
      </c>
      <c r="C273" s="32">
        <f>IFERROR(__xludf.DUMMYFUNCTION("""COMPUTED_VALUE"""),3364.0)</f>
        <v>3364</v>
      </c>
      <c r="H273" s="17"/>
    </row>
    <row r="274">
      <c r="B274" s="11">
        <f>IFERROR(__xludf.DUMMYFUNCTION("""COMPUTED_VALUE"""),37742.0)</f>
        <v>37742</v>
      </c>
      <c r="C274" s="32">
        <f>IFERROR(__xludf.DUMMYFUNCTION("""COMPUTED_VALUE"""),5175.0)</f>
        <v>5175</v>
      </c>
      <c r="H274" s="17"/>
    </row>
    <row r="275">
      <c r="B275" s="11">
        <f>IFERROR(__xludf.DUMMYFUNCTION("""COMPUTED_VALUE"""),37712.0)</f>
        <v>37712</v>
      </c>
      <c r="C275" s="32">
        <f>IFERROR(__xludf.DUMMYFUNCTION("""COMPUTED_VALUE"""),5266.0)</f>
        <v>5266</v>
      </c>
      <c r="H275" s="17"/>
    </row>
    <row r="276">
      <c r="B276" s="11">
        <f>IFERROR(__xludf.DUMMYFUNCTION("""COMPUTED_VALUE"""),37681.0)</f>
        <v>37681</v>
      </c>
      <c r="C276" s="32">
        <f>IFERROR(__xludf.DUMMYFUNCTION("""COMPUTED_VALUE"""),4680.0)</f>
        <v>4680</v>
      </c>
      <c r="H276" s="17"/>
    </row>
    <row r="277">
      <c r="B277" s="11">
        <f>IFERROR(__xludf.DUMMYFUNCTION("""COMPUTED_VALUE"""),37653.0)</f>
        <v>37653</v>
      </c>
      <c r="C277" s="32">
        <f>IFERROR(__xludf.DUMMYFUNCTION("""COMPUTED_VALUE"""),2861.0)</f>
        <v>2861</v>
      </c>
      <c r="H277" s="17"/>
    </row>
    <row r="278">
      <c r="B278" s="11">
        <f>IFERROR(__xludf.DUMMYFUNCTION("""COMPUTED_VALUE"""),37622.0)</f>
        <v>37622</v>
      </c>
      <c r="C278" s="32">
        <f>IFERROR(__xludf.DUMMYFUNCTION("""COMPUTED_VALUE"""),3476.0)</f>
        <v>3476</v>
      </c>
      <c r="H278" s="17"/>
    </row>
    <row r="279">
      <c r="B279" s="11">
        <f>IFERROR(__xludf.DUMMYFUNCTION("""COMPUTED_VALUE"""),37591.0)</f>
        <v>37591</v>
      </c>
      <c r="C279" s="32">
        <f>IFERROR(__xludf.DUMMYFUNCTION("""COMPUTED_VALUE"""),2298.0)</f>
        <v>2298</v>
      </c>
      <c r="H279" s="17"/>
    </row>
    <row r="280">
      <c r="B280" s="11">
        <f>IFERROR(__xludf.DUMMYFUNCTION("""COMPUTED_VALUE"""),37561.0)</f>
        <v>37561</v>
      </c>
      <c r="C280" s="32">
        <f>IFERROR(__xludf.DUMMYFUNCTION("""COMPUTED_VALUE"""),2920.0)</f>
        <v>2920</v>
      </c>
      <c r="H280" s="17"/>
    </row>
    <row r="281">
      <c r="B281" s="11">
        <f>IFERROR(__xludf.DUMMYFUNCTION("""COMPUTED_VALUE"""),37530.0)</f>
        <v>37530</v>
      </c>
      <c r="C281" s="32">
        <f>IFERROR(__xludf.DUMMYFUNCTION("""COMPUTED_VALUE"""),2199.0)</f>
        <v>2199</v>
      </c>
      <c r="H281" s="17"/>
    </row>
    <row r="282">
      <c r="B282" s="11">
        <f>IFERROR(__xludf.DUMMYFUNCTION("""COMPUTED_VALUE"""),37500.0)</f>
        <v>37500</v>
      </c>
      <c r="C282" s="32">
        <f>IFERROR(__xludf.DUMMYFUNCTION("""COMPUTED_VALUE"""),2499.0)</f>
        <v>2499</v>
      </c>
      <c r="H282" s="17"/>
    </row>
    <row r="283">
      <c r="B283" s="11">
        <f>IFERROR(__xludf.DUMMYFUNCTION("""COMPUTED_VALUE"""),37469.0)</f>
        <v>37469</v>
      </c>
      <c r="C283" s="32">
        <f>IFERROR(__xludf.DUMMYFUNCTION("""COMPUTED_VALUE"""),3494.0)</f>
        <v>3494</v>
      </c>
      <c r="H283" s="17"/>
    </row>
    <row r="284">
      <c r="B284" s="11">
        <f>IFERROR(__xludf.DUMMYFUNCTION("""COMPUTED_VALUE"""),37438.0)</f>
        <v>37438</v>
      </c>
      <c r="C284" s="32">
        <f>IFERROR(__xludf.DUMMYFUNCTION("""COMPUTED_VALUE"""),6298.0)</f>
        <v>6298</v>
      </c>
      <c r="H284" s="17"/>
    </row>
    <row r="285">
      <c r="B285" s="11">
        <f>IFERROR(__xludf.DUMMYFUNCTION("""COMPUTED_VALUE"""),37408.0)</f>
        <v>37408</v>
      </c>
      <c r="C285" s="32">
        <f>IFERROR(__xludf.DUMMYFUNCTION("""COMPUTED_VALUE"""),2266.0)</f>
        <v>2266</v>
      </c>
      <c r="H285" s="17"/>
    </row>
    <row r="286">
      <c r="B286" s="11">
        <f>IFERROR(__xludf.DUMMYFUNCTION("""COMPUTED_VALUE"""),37377.0)</f>
        <v>37377</v>
      </c>
      <c r="C286" s="32">
        <f>IFERROR(__xludf.DUMMYFUNCTION("""COMPUTED_VALUE"""),2234.0)</f>
        <v>2234</v>
      </c>
      <c r="H286" s="17"/>
    </row>
    <row r="287">
      <c r="B287" s="11">
        <f>IFERROR(__xludf.DUMMYFUNCTION("""COMPUTED_VALUE"""),37347.0)</f>
        <v>37347</v>
      </c>
      <c r="C287" s="32">
        <f>IFERROR(__xludf.DUMMYFUNCTION("""COMPUTED_VALUE"""),2375.0)</f>
        <v>2375</v>
      </c>
      <c r="H287" s="17"/>
    </row>
    <row r="288">
      <c r="B288" s="11">
        <f>IFERROR(__xludf.DUMMYFUNCTION("""COMPUTED_VALUE"""),37316.0)</f>
        <v>37316</v>
      </c>
      <c r="C288" s="32">
        <f>IFERROR(__xludf.DUMMYFUNCTION("""COMPUTED_VALUE"""),5361.0)</f>
        <v>5361</v>
      </c>
      <c r="H288" s="17"/>
    </row>
    <row r="289">
      <c r="B289" s="11">
        <f>IFERROR(__xludf.DUMMYFUNCTION("""COMPUTED_VALUE"""),37288.0)</f>
        <v>37288</v>
      </c>
      <c r="C289" s="32">
        <f>IFERROR(__xludf.DUMMYFUNCTION("""COMPUTED_VALUE"""),4819.0)</f>
        <v>4819</v>
      </c>
      <c r="H289" s="17"/>
    </row>
    <row r="290">
      <c r="B290" s="11">
        <f>IFERROR(__xludf.DUMMYFUNCTION("""COMPUTED_VALUE"""),37257.0)</f>
        <v>37257</v>
      </c>
      <c r="C290" s="32">
        <f>IFERROR(__xludf.DUMMYFUNCTION("""COMPUTED_VALUE"""),2832.0)</f>
        <v>2832</v>
      </c>
      <c r="H290" s="17"/>
    </row>
    <row r="291">
      <c r="B291" s="11">
        <f>IFERROR(__xludf.DUMMYFUNCTION("""COMPUTED_VALUE"""),37226.0)</f>
        <v>37226</v>
      </c>
      <c r="C291" s="32">
        <f>IFERROR(__xludf.DUMMYFUNCTION("""COMPUTED_VALUE"""),1662.0)</f>
        <v>1662</v>
      </c>
      <c r="H291" s="17"/>
    </row>
    <row r="292">
      <c r="B292" s="11">
        <f>IFERROR(__xludf.DUMMYFUNCTION("""COMPUTED_VALUE"""),37196.0)</f>
        <v>37196</v>
      </c>
      <c r="C292" s="32">
        <f>IFERROR(__xludf.DUMMYFUNCTION("""COMPUTED_VALUE"""),2462.0)</f>
        <v>2462</v>
      </c>
      <c r="H292" s="17"/>
    </row>
    <row r="293">
      <c r="B293" s="11">
        <f>IFERROR(__xludf.DUMMYFUNCTION("""COMPUTED_VALUE"""),37165.0)</f>
        <v>37165</v>
      </c>
      <c r="C293" s="32">
        <f>IFERROR(__xludf.DUMMYFUNCTION("""COMPUTED_VALUE"""),14385.0)</f>
        <v>14385</v>
      </c>
      <c r="H293" s="17"/>
    </row>
    <row r="294">
      <c r="B294" s="11">
        <f>IFERROR(__xludf.DUMMYFUNCTION("""COMPUTED_VALUE"""),37135.0)</f>
        <v>37135</v>
      </c>
      <c r="C294" s="32">
        <f>IFERROR(__xludf.DUMMYFUNCTION("""COMPUTED_VALUE"""),2466.0)</f>
        <v>2466</v>
      </c>
      <c r="H294" s="17"/>
    </row>
    <row r="295">
      <c r="B295" s="11">
        <f>IFERROR(__xludf.DUMMYFUNCTION("""COMPUTED_VALUE"""),37104.0)</f>
        <v>37104</v>
      </c>
      <c r="C295" s="32">
        <f>IFERROR(__xludf.DUMMYFUNCTION("""COMPUTED_VALUE"""),1701.0)</f>
        <v>1701</v>
      </c>
      <c r="H295" s="17"/>
    </row>
    <row r="296">
      <c r="B296" s="11">
        <f>IFERROR(__xludf.DUMMYFUNCTION("""COMPUTED_VALUE"""),37073.0)</f>
        <v>37073</v>
      </c>
      <c r="C296" s="32">
        <f>IFERROR(__xludf.DUMMYFUNCTION("""COMPUTED_VALUE"""),2451.0)</f>
        <v>2451</v>
      </c>
      <c r="H296" s="17"/>
    </row>
    <row r="297">
      <c r="B297" s="11">
        <f>IFERROR(__xludf.DUMMYFUNCTION("""COMPUTED_VALUE"""),37043.0)</f>
        <v>37043</v>
      </c>
      <c r="C297" s="32">
        <f>IFERROR(__xludf.DUMMYFUNCTION("""COMPUTED_VALUE"""),2097.0)</f>
        <v>2097</v>
      </c>
      <c r="H297" s="17"/>
    </row>
    <row r="298">
      <c r="B298" s="11">
        <f>IFERROR(__xludf.DUMMYFUNCTION("""COMPUTED_VALUE"""),37012.0)</f>
        <v>37012</v>
      </c>
      <c r="C298" s="32">
        <f>IFERROR(__xludf.DUMMYFUNCTION("""COMPUTED_VALUE"""),3109.0)</f>
        <v>3109</v>
      </c>
      <c r="H298" s="17"/>
    </row>
    <row r="299">
      <c r="B299" s="11">
        <f>IFERROR(__xludf.DUMMYFUNCTION("""COMPUTED_VALUE"""),36982.0)</f>
        <v>36982</v>
      </c>
      <c r="C299" s="32">
        <f>IFERROR(__xludf.DUMMYFUNCTION("""COMPUTED_VALUE"""),1852.0)</f>
        <v>1852</v>
      </c>
      <c r="H299" s="17"/>
    </row>
    <row r="300">
      <c r="B300" s="11">
        <f>IFERROR(__xludf.DUMMYFUNCTION("""COMPUTED_VALUE"""),36951.0)</f>
        <v>36951</v>
      </c>
      <c r="C300" s="32">
        <f>IFERROR(__xludf.DUMMYFUNCTION("""COMPUTED_VALUE"""),1759.0)</f>
        <v>1759</v>
      </c>
      <c r="H300" s="17"/>
    </row>
    <row r="301">
      <c r="B301" s="11">
        <f>IFERROR(__xludf.DUMMYFUNCTION("""COMPUTED_VALUE"""),36923.0)</f>
        <v>36923</v>
      </c>
      <c r="C301" s="32">
        <f>IFERROR(__xludf.DUMMYFUNCTION("""COMPUTED_VALUE"""),1641.0)</f>
        <v>1641</v>
      </c>
      <c r="H301" s="17"/>
    </row>
    <row r="302">
      <c r="B302" s="11">
        <f>IFERROR(__xludf.DUMMYFUNCTION("""COMPUTED_VALUE"""),36892.0)</f>
        <v>36892</v>
      </c>
      <c r="C302" s="32">
        <f>IFERROR(__xludf.DUMMYFUNCTION("""COMPUTED_VALUE"""),1633.0)</f>
        <v>1633</v>
      </c>
      <c r="H302" s="17"/>
    </row>
    <row r="303">
      <c r="B303" s="11">
        <f>IFERROR(__xludf.DUMMYFUNCTION("""COMPUTED_VALUE"""),36861.0)</f>
        <v>36861</v>
      </c>
      <c r="C303" s="32">
        <f>IFERROR(__xludf.DUMMYFUNCTION("""COMPUTED_VALUE"""),1341.0)</f>
        <v>1341</v>
      </c>
      <c r="H303" s="17"/>
    </row>
    <row r="304">
      <c r="B304" s="11">
        <f>IFERROR(__xludf.DUMMYFUNCTION("""COMPUTED_VALUE"""),36831.0)</f>
        <v>36831</v>
      </c>
      <c r="C304" s="32">
        <f>IFERROR(__xludf.DUMMYFUNCTION("""COMPUTED_VALUE"""),2306.0)</f>
        <v>2306</v>
      </c>
      <c r="H304" s="17"/>
    </row>
    <row r="305">
      <c r="B305" s="11">
        <f>IFERROR(__xludf.DUMMYFUNCTION("""COMPUTED_VALUE"""),36800.0)</f>
        <v>36800</v>
      </c>
      <c r="C305" s="32">
        <f>IFERROR(__xludf.DUMMYFUNCTION("""COMPUTED_VALUE"""),2165.0)</f>
        <v>2165</v>
      </c>
      <c r="H305" s="17"/>
    </row>
    <row r="306">
      <c r="B306" s="11">
        <f>IFERROR(__xludf.DUMMYFUNCTION("""COMPUTED_VALUE"""),36770.0)</f>
        <v>36770</v>
      </c>
      <c r="C306" s="32">
        <f>IFERROR(__xludf.DUMMYFUNCTION("""COMPUTED_VALUE"""),2340.0)</f>
        <v>2340</v>
      </c>
      <c r="H306" s="17"/>
    </row>
    <row r="307">
      <c r="B307" s="11">
        <f>IFERROR(__xludf.DUMMYFUNCTION("""COMPUTED_VALUE"""),36739.0)</f>
        <v>36739</v>
      </c>
      <c r="C307" s="32">
        <f>IFERROR(__xludf.DUMMYFUNCTION("""COMPUTED_VALUE"""),2670.0)</f>
        <v>2670</v>
      </c>
      <c r="H307" s="17"/>
    </row>
    <row r="308">
      <c r="B308" s="11">
        <f>IFERROR(__xludf.DUMMYFUNCTION("""COMPUTED_VALUE"""),36708.0)</f>
        <v>36708</v>
      </c>
      <c r="C308" s="32">
        <f>IFERROR(__xludf.DUMMYFUNCTION("""COMPUTED_VALUE"""),1761.0)</f>
        <v>1761</v>
      </c>
      <c r="H308" s="17"/>
    </row>
    <row r="309">
      <c r="B309" s="11">
        <f>IFERROR(__xludf.DUMMYFUNCTION("""COMPUTED_VALUE"""),36678.0)</f>
        <v>36678</v>
      </c>
      <c r="C309" s="32">
        <f>IFERROR(__xludf.DUMMYFUNCTION("""COMPUTED_VALUE"""),9167.0)</f>
        <v>9167</v>
      </c>
      <c r="H309" s="17"/>
    </row>
    <row r="310">
      <c r="B310" s="11">
        <f>IFERROR(__xludf.DUMMYFUNCTION("""COMPUTED_VALUE"""),36647.0)</f>
        <v>36647</v>
      </c>
      <c r="C310" s="32">
        <f>IFERROR(__xludf.DUMMYFUNCTION("""COMPUTED_VALUE"""),960.0)</f>
        <v>960</v>
      </c>
      <c r="H310" s="17"/>
    </row>
    <row r="311">
      <c r="B311" s="11">
        <f>IFERROR(__xludf.DUMMYFUNCTION("""COMPUTED_VALUE"""),36617.0)</f>
        <v>36617</v>
      </c>
      <c r="C311" s="32">
        <f>IFERROR(__xludf.DUMMYFUNCTION("""COMPUTED_VALUE"""),2193.0)</f>
        <v>2193</v>
      </c>
      <c r="H311" s="17"/>
    </row>
    <row r="312">
      <c r="B312" s="11">
        <f>IFERROR(__xludf.DUMMYFUNCTION("""COMPUTED_VALUE"""),36586.0)</f>
        <v>36586</v>
      </c>
      <c r="C312" s="32">
        <f>IFERROR(__xludf.DUMMYFUNCTION("""COMPUTED_VALUE"""),2315.0)</f>
        <v>2315</v>
      </c>
      <c r="H312" s="17"/>
    </row>
    <row r="313">
      <c r="B313" s="11">
        <f>IFERROR(__xludf.DUMMYFUNCTION("""COMPUTED_VALUE"""),36557.0)</f>
        <v>36557</v>
      </c>
      <c r="C313" s="32">
        <f>IFERROR(__xludf.DUMMYFUNCTION("""COMPUTED_VALUE"""),957.0)</f>
        <v>957</v>
      </c>
      <c r="H313" s="17"/>
    </row>
    <row r="314">
      <c r="B314" s="11">
        <f>IFERROR(__xludf.DUMMYFUNCTION("""COMPUTED_VALUE"""),36526.0)</f>
        <v>36526</v>
      </c>
      <c r="C314" s="32">
        <f>IFERROR(__xludf.DUMMYFUNCTION("""COMPUTED_VALUE"""),3040.0)</f>
        <v>3040</v>
      </c>
      <c r="H314" s="17"/>
    </row>
    <row r="315">
      <c r="B315" s="11">
        <f>IFERROR(__xludf.DUMMYFUNCTION("""COMPUTED_VALUE"""),36495.0)</f>
        <v>36495</v>
      </c>
      <c r="C315" s="32">
        <f>IFERROR(__xludf.DUMMYFUNCTION("""COMPUTED_VALUE"""),3031.0)</f>
        <v>3031</v>
      </c>
      <c r="H315" s="17"/>
    </row>
    <row r="316">
      <c r="B316" s="11">
        <f>IFERROR(__xludf.DUMMYFUNCTION("""COMPUTED_VALUE"""),36465.0)</f>
        <v>36465</v>
      </c>
      <c r="C316" s="32">
        <f>IFERROR(__xludf.DUMMYFUNCTION("""COMPUTED_VALUE"""),1951.0)</f>
        <v>1951</v>
      </c>
      <c r="H316" s="17"/>
    </row>
    <row r="317">
      <c r="B317" s="11">
        <f>IFERROR(__xludf.DUMMYFUNCTION("""COMPUTED_VALUE"""),36434.0)</f>
        <v>36434</v>
      </c>
      <c r="C317" s="32">
        <f>IFERROR(__xludf.DUMMYFUNCTION("""COMPUTED_VALUE"""),2061.0)</f>
        <v>2061</v>
      </c>
      <c r="H317" s="17"/>
    </row>
    <row r="318">
      <c r="B318" s="11">
        <f>IFERROR(__xludf.DUMMYFUNCTION("""COMPUTED_VALUE"""),36404.0)</f>
        <v>36404</v>
      </c>
      <c r="C318" s="32">
        <f>IFERROR(__xludf.DUMMYFUNCTION("""COMPUTED_VALUE"""),1409.0)</f>
        <v>1409</v>
      </c>
      <c r="H318" s="17"/>
    </row>
    <row r="319">
      <c r="B319" s="11">
        <f>IFERROR(__xludf.DUMMYFUNCTION("""COMPUTED_VALUE"""),36373.0)</f>
        <v>36373</v>
      </c>
      <c r="C319" s="32">
        <f>IFERROR(__xludf.DUMMYFUNCTION("""COMPUTED_VALUE"""),1840.0)</f>
        <v>1840</v>
      </c>
      <c r="H319" s="17"/>
    </row>
    <row r="320">
      <c r="B320" s="11">
        <f>IFERROR(__xludf.DUMMYFUNCTION("""COMPUTED_VALUE"""),36342.0)</f>
        <v>36342</v>
      </c>
      <c r="C320" s="32">
        <f>IFERROR(__xludf.DUMMYFUNCTION("""COMPUTED_VALUE"""),2329.0)</f>
        <v>2329</v>
      </c>
      <c r="H320" s="17"/>
    </row>
    <row r="321">
      <c r="B321" s="11">
        <f>IFERROR(__xludf.DUMMYFUNCTION("""COMPUTED_VALUE"""),36312.0)</f>
        <v>36312</v>
      </c>
      <c r="C321" s="32">
        <f>IFERROR(__xludf.DUMMYFUNCTION("""COMPUTED_VALUE"""),1485.0)</f>
        <v>1485</v>
      </c>
      <c r="H321" s="17"/>
    </row>
    <row r="322">
      <c r="B322" s="11">
        <f>IFERROR(__xludf.DUMMYFUNCTION("""COMPUTED_VALUE"""),36281.0)</f>
        <v>36281</v>
      </c>
      <c r="C322" s="32">
        <f>IFERROR(__xludf.DUMMYFUNCTION("""COMPUTED_VALUE"""),2167.0)</f>
        <v>2167</v>
      </c>
      <c r="H322" s="17"/>
    </row>
    <row r="323">
      <c r="B323" s="11">
        <f>IFERROR(__xludf.DUMMYFUNCTION("""COMPUTED_VALUE"""),36251.0)</f>
        <v>36251</v>
      </c>
      <c r="C323" s="32">
        <f>IFERROR(__xludf.DUMMYFUNCTION("""COMPUTED_VALUE"""),1524.0)</f>
        <v>1524</v>
      </c>
      <c r="H323" s="17"/>
    </row>
    <row r="324">
      <c r="B324" s="11">
        <f>IFERROR(__xludf.DUMMYFUNCTION("""COMPUTED_VALUE"""),36220.0)</f>
        <v>36220</v>
      </c>
      <c r="C324" s="32">
        <f>IFERROR(__xludf.DUMMYFUNCTION("""COMPUTED_VALUE"""),3063.0)</f>
        <v>3063</v>
      </c>
      <c r="H324" s="17"/>
    </row>
    <row r="325">
      <c r="B325" s="11">
        <f>IFERROR(__xludf.DUMMYFUNCTION("""COMPUTED_VALUE"""),36192.0)</f>
        <v>36192</v>
      </c>
      <c r="C325" s="32">
        <f>IFERROR(__xludf.DUMMYFUNCTION("""COMPUTED_VALUE"""),1557.0)</f>
        <v>1557</v>
      </c>
      <c r="H325" s="17"/>
    </row>
    <row r="326">
      <c r="B326" s="11">
        <f>IFERROR(__xludf.DUMMYFUNCTION("""COMPUTED_VALUE"""),36161.0)</f>
        <v>36161</v>
      </c>
      <c r="C326" s="32">
        <f>IFERROR(__xludf.DUMMYFUNCTION("""COMPUTED_VALUE"""),3309.0)</f>
        <v>3309</v>
      </c>
      <c r="H326" s="17"/>
    </row>
    <row r="327">
      <c r="B327" s="11">
        <f>IFERROR(__xludf.DUMMYFUNCTION("""COMPUTED_VALUE"""),36130.0)</f>
        <v>36130</v>
      </c>
      <c r="C327" s="32">
        <f>IFERROR(__xludf.DUMMYFUNCTION("""COMPUTED_VALUE"""),1335.0)</f>
        <v>1335</v>
      </c>
      <c r="H327" s="17"/>
    </row>
    <row r="328">
      <c r="B328" s="11">
        <f>IFERROR(__xludf.DUMMYFUNCTION("""COMPUTED_VALUE"""),36100.0)</f>
        <v>36100</v>
      </c>
      <c r="C328" s="32">
        <f>IFERROR(__xludf.DUMMYFUNCTION("""COMPUTED_VALUE"""),2514.0)</f>
        <v>2514</v>
      </c>
      <c r="H328" s="17"/>
    </row>
    <row r="329">
      <c r="B329" s="11">
        <f>IFERROR(__xludf.DUMMYFUNCTION("""COMPUTED_VALUE"""),36069.0)</f>
        <v>36069</v>
      </c>
      <c r="C329" s="32">
        <f>IFERROR(__xludf.DUMMYFUNCTION("""COMPUTED_VALUE"""),1593.0)</f>
        <v>1593</v>
      </c>
      <c r="H329" s="17"/>
    </row>
    <row r="330">
      <c r="B330" s="11">
        <f>IFERROR(__xludf.DUMMYFUNCTION("""COMPUTED_VALUE"""),36039.0)</f>
        <v>36039</v>
      </c>
      <c r="C330" s="32">
        <f>IFERROR(__xludf.DUMMYFUNCTION("""COMPUTED_VALUE"""),2279.0)</f>
        <v>2279</v>
      </c>
      <c r="H330" s="17"/>
    </row>
    <row r="331">
      <c r="B331" s="11">
        <f>IFERROR(__xludf.DUMMYFUNCTION("""COMPUTED_VALUE"""),36008.0)</f>
        <v>36008</v>
      </c>
      <c r="C331" s="32">
        <f>IFERROR(__xludf.DUMMYFUNCTION("""COMPUTED_VALUE"""),1393.0)</f>
        <v>1393</v>
      </c>
      <c r="H331" s="17"/>
    </row>
    <row r="332">
      <c r="B332" s="11">
        <f>IFERROR(__xludf.DUMMYFUNCTION("""COMPUTED_VALUE"""),35977.0)</f>
        <v>35977</v>
      </c>
      <c r="C332" s="32">
        <f>IFERROR(__xludf.DUMMYFUNCTION("""COMPUTED_VALUE"""),1796.0)</f>
        <v>1796</v>
      </c>
      <c r="H332" s="17"/>
    </row>
    <row r="333">
      <c r="B333" s="11">
        <f>IFERROR(__xludf.DUMMYFUNCTION("""COMPUTED_VALUE"""),35947.0)</f>
        <v>35947</v>
      </c>
      <c r="C333" s="32">
        <f>IFERROR(__xludf.DUMMYFUNCTION("""COMPUTED_VALUE"""),669.0)</f>
        <v>669</v>
      </c>
      <c r="H333" s="17"/>
    </row>
    <row r="334">
      <c r="B334" s="11">
        <f>IFERROR(__xludf.DUMMYFUNCTION("""COMPUTED_VALUE"""),35916.0)</f>
        <v>35916</v>
      </c>
      <c r="C334" s="32">
        <f>IFERROR(__xludf.DUMMYFUNCTION("""COMPUTED_VALUE"""),2261.0)</f>
        <v>2261</v>
      </c>
      <c r="H334" s="17"/>
    </row>
    <row r="335">
      <c r="B335" s="11">
        <f>IFERROR(__xludf.DUMMYFUNCTION("""COMPUTED_VALUE"""),35886.0)</f>
        <v>35886</v>
      </c>
      <c r="C335" s="32">
        <f>IFERROR(__xludf.DUMMYFUNCTION("""COMPUTED_VALUE"""),3046.0)</f>
        <v>3046</v>
      </c>
      <c r="H335" s="17"/>
    </row>
    <row r="336">
      <c r="B336" s="11">
        <f>IFERROR(__xludf.DUMMYFUNCTION("""COMPUTED_VALUE"""),35855.0)</f>
        <v>35855</v>
      </c>
      <c r="C336" s="32">
        <f>IFERROR(__xludf.DUMMYFUNCTION("""COMPUTED_VALUE"""),1340.0)</f>
        <v>1340</v>
      </c>
      <c r="H336" s="17"/>
    </row>
    <row r="337">
      <c r="B337" s="11">
        <f>IFERROR(__xludf.DUMMYFUNCTION("""COMPUTED_VALUE"""),35827.0)</f>
        <v>35827</v>
      </c>
      <c r="C337" s="32">
        <f>IFERROR(__xludf.DUMMYFUNCTION("""COMPUTED_VALUE"""),2668.0)</f>
        <v>2668</v>
      </c>
      <c r="H337" s="17"/>
    </row>
    <row r="338">
      <c r="B338" s="11">
        <f>IFERROR(__xludf.DUMMYFUNCTION("""COMPUTED_VALUE"""),35796.0)</f>
        <v>35796</v>
      </c>
      <c r="C338" s="32">
        <f>IFERROR(__xludf.DUMMYFUNCTION("""COMPUTED_VALUE"""),2906.0)</f>
        <v>2906</v>
      </c>
      <c r="H338" s="17"/>
    </row>
    <row r="339">
      <c r="B339" s="11">
        <f>IFERROR(__xludf.DUMMYFUNCTION("""COMPUTED_VALUE"""),35765.0)</f>
        <v>35765</v>
      </c>
      <c r="C339" s="32">
        <f>IFERROR(__xludf.DUMMYFUNCTION("""COMPUTED_VALUE"""),1608.0)</f>
        <v>1608</v>
      </c>
      <c r="H339" s="17"/>
    </row>
    <row r="340">
      <c r="B340" s="11">
        <f>IFERROR(__xludf.DUMMYFUNCTION("""COMPUTED_VALUE"""),35735.0)</f>
        <v>35735</v>
      </c>
      <c r="C340" s="32">
        <f>IFERROR(__xludf.DUMMYFUNCTION("""COMPUTED_VALUE"""),2660.0)</f>
        <v>2660</v>
      </c>
      <c r="H340" s="17"/>
    </row>
    <row r="341">
      <c r="B341" s="11">
        <f>IFERROR(__xludf.DUMMYFUNCTION("""COMPUTED_VALUE"""),35704.0)</f>
        <v>35704</v>
      </c>
      <c r="C341" s="32">
        <f>IFERROR(__xludf.DUMMYFUNCTION("""COMPUTED_VALUE"""),1954.0)</f>
        <v>1954</v>
      </c>
      <c r="H341" s="17"/>
    </row>
    <row r="342">
      <c r="B342" s="11">
        <f>IFERROR(__xludf.DUMMYFUNCTION("""COMPUTED_VALUE"""),35674.0)</f>
        <v>35674</v>
      </c>
      <c r="C342" s="32">
        <f>IFERROR(__xludf.DUMMYFUNCTION("""COMPUTED_VALUE"""),1726.0)</f>
        <v>1726</v>
      </c>
      <c r="H342" s="17"/>
    </row>
    <row r="343">
      <c r="B343" s="11">
        <f>IFERROR(__xludf.DUMMYFUNCTION("""COMPUTED_VALUE"""),35643.0)</f>
        <v>35643</v>
      </c>
      <c r="C343" s="32">
        <f>IFERROR(__xludf.DUMMYFUNCTION("""COMPUTED_VALUE"""),2096.0)</f>
        <v>2096</v>
      </c>
      <c r="H343" s="17"/>
    </row>
    <row r="344">
      <c r="B344" s="11">
        <f>IFERROR(__xludf.DUMMYFUNCTION("""COMPUTED_VALUE"""),35612.0)</f>
        <v>35612</v>
      </c>
      <c r="C344" s="32">
        <f>IFERROR(__xludf.DUMMYFUNCTION("""COMPUTED_VALUE"""),1962.0)</f>
        <v>1962</v>
      </c>
      <c r="H344" s="17"/>
    </row>
    <row r="345">
      <c r="B345" s="11">
        <f>IFERROR(__xludf.DUMMYFUNCTION("""COMPUTED_VALUE"""),35582.0)</f>
        <v>35582</v>
      </c>
      <c r="C345" s="32">
        <f>IFERROR(__xludf.DUMMYFUNCTION("""COMPUTED_VALUE"""),2221.0)</f>
        <v>2221</v>
      </c>
      <c r="H345" s="17"/>
    </row>
    <row r="346">
      <c r="B346" s="11">
        <f>IFERROR(__xludf.DUMMYFUNCTION("""COMPUTED_VALUE"""),35551.0)</f>
        <v>35551</v>
      </c>
      <c r="C346" s="32">
        <f>IFERROR(__xludf.DUMMYFUNCTION("""COMPUTED_VALUE"""),1822.0)</f>
        <v>1822</v>
      </c>
      <c r="H346" s="17"/>
    </row>
    <row r="347">
      <c r="B347" s="11">
        <f>IFERROR(__xludf.DUMMYFUNCTION("""COMPUTED_VALUE"""),35521.0)</f>
        <v>35521</v>
      </c>
      <c r="C347" s="32">
        <f>IFERROR(__xludf.DUMMYFUNCTION("""COMPUTED_VALUE"""),1683.0)</f>
        <v>1683</v>
      </c>
      <c r="H347" s="17"/>
    </row>
    <row r="348">
      <c r="B348" s="11">
        <f>IFERROR(__xludf.DUMMYFUNCTION("""COMPUTED_VALUE"""),35490.0)</f>
        <v>35490</v>
      </c>
      <c r="C348" s="32">
        <f>IFERROR(__xludf.DUMMYFUNCTION("""COMPUTED_VALUE"""),1709.0)</f>
        <v>1709</v>
      </c>
      <c r="H348" s="17"/>
    </row>
    <row r="349">
      <c r="B349" s="11">
        <f>IFERROR(__xludf.DUMMYFUNCTION("""COMPUTED_VALUE"""),35462.0)</f>
        <v>35462</v>
      </c>
      <c r="C349" s="32">
        <f>IFERROR(__xludf.DUMMYFUNCTION("""COMPUTED_VALUE"""),2137.0)</f>
        <v>2137</v>
      </c>
      <c r="H349" s="17"/>
    </row>
    <row r="350">
      <c r="B350" s="11">
        <f>IFERROR(__xludf.DUMMYFUNCTION("""COMPUTED_VALUE"""),35431.0)</f>
        <v>35431</v>
      </c>
      <c r="C350" s="32">
        <f>IFERROR(__xludf.DUMMYFUNCTION("""COMPUTED_VALUE"""),1629.0)</f>
        <v>1629</v>
      </c>
      <c r="H350" s="17"/>
    </row>
    <row r="351">
      <c r="B351" s="11">
        <f>IFERROR(__xludf.DUMMYFUNCTION("""COMPUTED_VALUE"""),35400.0)</f>
        <v>35400</v>
      </c>
      <c r="C351" s="32">
        <f>IFERROR(__xludf.DUMMYFUNCTION("""COMPUTED_VALUE"""),3230.0)</f>
        <v>3230</v>
      </c>
      <c r="H351" s="17"/>
    </row>
    <row r="352">
      <c r="B352" s="11">
        <f>IFERROR(__xludf.DUMMYFUNCTION("""COMPUTED_VALUE"""),35370.0)</f>
        <v>35370</v>
      </c>
      <c r="C352" s="32">
        <f>IFERROR(__xludf.DUMMYFUNCTION("""COMPUTED_VALUE"""),2005.0)</f>
        <v>2005</v>
      </c>
      <c r="H352" s="17"/>
    </row>
    <row r="353">
      <c r="B353" s="11">
        <f>IFERROR(__xludf.DUMMYFUNCTION("""COMPUTED_VALUE"""),35339.0)</f>
        <v>35339</v>
      </c>
      <c r="C353" s="32">
        <f>IFERROR(__xludf.DUMMYFUNCTION("""COMPUTED_VALUE"""),2885.0)</f>
        <v>2885</v>
      </c>
      <c r="H353" s="17"/>
    </row>
    <row r="354">
      <c r="B354" s="11">
        <f>IFERROR(__xludf.DUMMYFUNCTION("""COMPUTED_VALUE"""),35309.0)</f>
        <v>35309</v>
      </c>
      <c r="C354" s="32">
        <f>IFERROR(__xludf.DUMMYFUNCTION("""COMPUTED_VALUE"""),2301.0)</f>
        <v>2301</v>
      </c>
      <c r="H354" s="17"/>
    </row>
    <row r="355">
      <c r="B355" s="11">
        <f>IFERROR(__xludf.DUMMYFUNCTION("""COMPUTED_VALUE"""),35278.0)</f>
        <v>35278</v>
      </c>
      <c r="C355" s="32">
        <f>IFERROR(__xludf.DUMMYFUNCTION("""COMPUTED_VALUE"""),2088.0)</f>
        <v>2088</v>
      </c>
      <c r="H355" s="17"/>
    </row>
    <row r="356">
      <c r="B356" s="11">
        <f>IFERROR(__xludf.DUMMYFUNCTION("""COMPUTED_VALUE"""),35247.0)</f>
        <v>35247</v>
      </c>
      <c r="C356" s="32">
        <f>IFERROR(__xludf.DUMMYFUNCTION("""COMPUTED_VALUE"""),2492.0)</f>
        <v>2492</v>
      </c>
      <c r="H356" s="17"/>
    </row>
    <row r="357">
      <c r="B357" s="11">
        <f>IFERROR(__xludf.DUMMYFUNCTION("""COMPUTED_VALUE"""),35217.0)</f>
        <v>35217</v>
      </c>
      <c r="C357" s="32">
        <f>IFERROR(__xludf.DUMMYFUNCTION("""COMPUTED_VALUE"""),3224.0)</f>
        <v>3224</v>
      </c>
      <c r="H357" s="17"/>
    </row>
    <row r="358">
      <c r="B358" s="11">
        <f>IFERROR(__xludf.DUMMYFUNCTION("""COMPUTED_VALUE"""),35186.0)</f>
        <v>35186</v>
      </c>
      <c r="C358" s="32">
        <f>IFERROR(__xludf.DUMMYFUNCTION("""COMPUTED_VALUE"""),2967.0)</f>
        <v>2967</v>
      </c>
      <c r="H358" s="17"/>
    </row>
    <row r="359">
      <c r="B359" s="11">
        <f>IFERROR(__xludf.DUMMYFUNCTION("""COMPUTED_VALUE"""),35156.0)</f>
        <v>35156</v>
      </c>
      <c r="C359" s="32">
        <f>IFERROR(__xludf.DUMMYFUNCTION("""COMPUTED_VALUE"""),2356.0)</f>
        <v>2356</v>
      </c>
      <c r="H359" s="17"/>
    </row>
    <row r="360">
      <c r="B360" s="11">
        <f>IFERROR(__xludf.DUMMYFUNCTION("""COMPUTED_VALUE"""),35125.0)</f>
        <v>35125</v>
      </c>
      <c r="C360" s="32">
        <f>IFERROR(__xludf.DUMMYFUNCTION("""COMPUTED_VALUE"""),4946.0)</f>
        <v>4946</v>
      </c>
      <c r="H360" s="17"/>
    </row>
    <row r="361">
      <c r="B361" s="11">
        <f>IFERROR(__xludf.DUMMYFUNCTION("""COMPUTED_VALUE"""),35096.0)</f>
        <v>35096</v>
      </c>
      <c r="C361" s="32">
        <f>IFERROR(__xludf.DUMMYFUNCTION("""COMPUTED_VALUE"""),1547.0)</f>
        <v>1547</v>
      </c>
      <c r="H361" s="17"/>
    </row>
    <row r="362">
      <c r="B362" s="11">
        <f>IFERROR(__xludf.DUMMYFUNCTION("""COMPUTED_VALUE"""),35065.0)</f>
        <v>35065</v>
      </c>
      <c r="C362" s="32">
        <f>IFERROR(__xludf.DUMMYFUNCTION("""COMPUTED_VALUE"""),2428.0)</f>
        <v>2428</v>
      </c>
      <c r="H362" s="17"/>
    </row>
    <row r="363">
      <c r="B363" s="11">
        <f>IFERROR(__xludf.DUMMYFUNCTION("""COMPUTED_VALUE"""),35034.0)</f>
        <v>35034</v>
      </c>
      <c r="C363" s="32">
        <f>IFERROR(__xludf.DUMMYFUNCTION("""COMPUTED_VALUE"""),2310.0)</f>
        <v>2310</v>
      </c>
      <c r="H363" s="17"/>
    </row>
    <row r="364">
      <c r="B364" s="11">
        <f>IFERROR(__xludf.DUMMYFUNCTION("""COMPUTED_VALUE"""),35004.0)</f>
        <v>35004</v>
      </c>
      <c r="C364" s="32">
        <f>IFERROR(__xludf.DUMMYFUNCTION("""COMPUTED_VALUE"""),2328.0)</f>
        <v>2328</v>
      </c>
      <c r="H364" s="17"/>
    </row>
    <row r="365">
      <c r="B365" s="11">
        <f>IFERROR(__xludf.DUMMYFUNCTION("""COMPUTED_VALUE"""),34973.0)</f>
        <v>34973</v>
      </c>
      <c r="C365" s="32">
        <f>IFERROR(__xludf.DUMMYFUNCTION("""COMPUTED_VALUE"""),2220.0)</f>
        <v>2220</v>
      </c>
      <c r="H365" s="17"/>
    </row>
    <row r="366">
      <c r="B366" s="11">
        <f>IFERROR(__xludf.DUMMYFUNCTION("""COMPUTED_VALUE"""),34943.0)</f>
        <v>34943</v>
      </c>
      <c r="C366" s="32">
        <f>IFERROR(__xludf.DUMMYFUNCTION("""COMPUTED_VALUE"""),2578.0)</f>
        <v>2578</v>
      </c>
      <c r="H366" s="17"/>
    </row>
    <row r="367">
      <c r="B367" s="11">
        <f>IFERROR(__xludf.DUMMYFUNCTION("""COMPUTED_VALUE"""),34912.0)</f>
        <v>34912</v>
      </c>
      <c r="C367" s="32">
        <f>IFERROR(__xludf.DUMMYFUNCTION("""COMPUTED_VALUE"""),3283.0)</f>
        <v>3283</v>
      </c>
      <c r="H367" s="17"/>
    </row>
    <row r="368">
      <c r="B368" s="11">
        <f>IFERROR(__xludf.DUMMYFUNCTION("""COMPUTED_VALUE"""),34881.0)</f>
        <v>34881</v>
      </c>
      <c r="C368" s="32">
        <f>IFERROR(__xludf.DUMMYFUNCTION("""COMPUTED_VALUE"""),2770.0)</f>
        <v>2770</v>
      </c>
      <c r="H368" s="17"/>
    </row>
    <row r="369">
      <c r="B369" s="11">
        <f>IFERROR(__xludf.DUMMYFUNCTION("""COMPUTED_VALUE"""),34851.0)</f>
        <v>34851</v>
      </c>
      <c r="C369" s="32">
        <f>IFERROR(__xludf.DUMMYFUNCTION("""COMPUTED_VALUE"""),1409.0)</f>
        <v>1409</v>
      </c>
      <c r="H369" s="17"/>
    </row>
    <row r="370">
      <c r="B370" s="11">
        <f>IFERROR(__xludf.DUMMYFUNCTION("""COMPUTED_VALUE"""),34820.0)</f>
        <v>34820</v>
      </c>
      <c r="C370" s="32">
        <f>IFERROR(__xludf.DUMMYFUNCTION("""COMPUTED_VALUE"""),2513.0)</f>
        <v>2513</v>
      </c>
      <c r="H370" s="17"/>
    </row>
    <row r="371">
      <c r="B371" s="11">
        <f>IFERROR(__xludf.DUMMYFUNCTION("""COMPUTED_VALUE"""),34790.0)</f>
        <v>34790</v>
      </c>
      <c r="C371" s="32">
        <f>IFERROR(__xludf.DUMMYFUNCTION("""COMPUTED_VALUE"""),1514.0)</f>
        <v>1514</v>
      </c>
      <c r="H371" s="17"/>
    </row>
    <row r="372">
      <c r="B372" s="11">
        <f>IFERROR(__xludf.DUMMYFUNCTION("""COMPUTED_VALUE"""),34759.0)</f>
        <v>34759</v>
      </c>
      <c r="C372" s="32">
        <f>IFERROR(__xludf.DUMMYFUNCTION("""COMPUTED_VALUE"""),2517.0)</f>
        <v>2517</v>
      </c>
      <c r="H372" s="17"/>
    </row>
    <row r="373">
      <c r="B373" s="11">
        <f>IFERROR(__xludf.DUMMYFUNCTION("""COMPUTED_VALUE"""),34731.0)</f>
        <v>34731</v>
      </c>
      <c r="C373" s="32">
        <f>IFERROR(__xludf.DUMMYFUNCTION("""COMPUTED_VALUE"""),3285.0)</f>
        <v>3285</v>
      </c>
      <c r="H373" s="17"/>
    </row>
    <row r="374">
      <c r="B374" s="11">
        <f>IFERROR(__xludf.DUMMYFUNCTION("""COMPUTED_VALUE"""),34700.0)</f>
        <v>34700</v>
      </c>
      <c r="C374" s="32">
        <f>IFERROR(__xludf.DUMMYFUNCTION("""COMPUTED_VALUE"""),1007.0)</f>
        <v>1007</v>
      </c>
      <c r="H374" s="17"/>
    </row>
    <row r="375">
      <c r="B375" s="11">
        <f>IFERROR(__xludf.DUMMYFUNCTION("""COMPUTED_VALUE"""),34669.0)</f>
        <v>34669</v>
      </c>
      <c r="C375" s="32">
        <f>IFERROR(__xludf.DUMMYFUNCTION("""COMPUTED_VALUE"""),1921.0)</f>
        <v>1921</v>
      </c>
      <c r="H375" s="17"/>
    </row>
    <row r="376">
      <c r="B376" s="11">
        <f>IFERROR(__xludf.DUMMYFUNCTION("""COMPUTED_VALUE"""),34639.0)</f>
        <v>34639</v>
      </c>
      <c r="C376" s="32">
        <f>IFERROR(__xludf.DUMMYFUNCTION("""COMPUTED_VALUE"""),2802.0)</f>
        <v>2802</v>
      </c>
      <c r="H376" s="17"/>
    </row>
    <row r="377">
      <c r="B377" s="11">
        <f>IFERROR(__xludf.DUMMYFUNCTION("""COMPUTED_VALUE"""),34608.0)</f>
        <v>34608</v>
      </c>
      <c r="C377" s="32">
        <f>IFERROR(__xludf.DUMMYFUNCTION("""COMPUTED_VALUE"""),2430.0)</f>
        <v>2430</v>
      </c>
      <c r="H377" s="17"/>
    </row>
    <row r="378">
      <c r="B378" s="11">
        <f>IFERROR(__xludf.DUMMYFUNCTION("""COMPUTED_VALUE"""),34578.0)</f>
        <v>34578</v>
      </c>
      <c r="C378" s="32">
        <f>IFERROR(__xludf.DUMMYFUNCTION("""COMPUTED_VALUE"""),2625.0)</f>
        <v>2625</v>
      </c>
      <c r="H378" s="17"/>
    </row>
    <row r="379">
      <c r="B379" s="11">
        <f>IFERROR(__xludf.DUMMYFUNCTION("""COMPUTED_VALUE"""),34547.0)</f>
        <v>34547</v>
      </c>
      <c r="C379" s="32">
        <f>IFERROR(__xludf.DUMMYFUNCTION("""COMPUTED_VALUE"""),2841.0)</f>
        <v>2841</v>
      </c>
      <c r="H379" s="17"/>
    </row>
    <row r="380">
      <c r="B380" s="11">
        <f>IFERROR(__xludf.DUMMYFUNCTION("""COMPUTED_VALUE"""),34516.0)</f>
        <v>34516</v>
      </c>
      <c r="C380" s="32">
        <f>IFERROR(__xludf.DUMMYFUNCTION("""COMPUTED_VALUE"""),2119.0)</f>
        <v>2119</v>
      </c>
      <c r="H380" s="17"/>
    </row>
    <row r="381">
      <c r="B381" s="11">
        <f>IFERROR(__xludf.DUMMYFUNCTION("""COMPUTED_VALUE"""),34486.0)</f>
        <v>34486</v>
      </c>
      <c r="C381" s="32">
        <f>IFERROR(__xludf.DUMMYFUNCTION("""COMPUTED_VALUE"""),3172.0)</f>
        <v>3172</v>
      </c>
      <c r="H381" s="17"/>
    </row>
    <row r="382">
      <c r="B382" s="11">
        <f>IFERROR(__xludf.DUMMYFUNCTION("""COMPUTED_VALUE"""),34455.0)</f>
        <v>34455</v>
      </c>
      <c r="C382" s="32">
        <f>IFERROR(__xludf.DUMMYFUNCTION("""COMPUTED_VALUE"""),3569.0)</f>
        <v>3569</v>
      </c>
      <c r="H382" s="17"/>
    </row>
    <row r="383">
      <c r="B383" s="11">
        <f>IFERROR(__xludf.DUMMYFUNCTION("""COMPUTED_VALUE"""),34425.0)</f>
        <v>34425</v>
      </c>
      <c r="C383" s="32">
        <f>IFERROR(__xludf.DUMMYFUNCTION("""COMPUTED_VALUE"""),2343.0)</f>
        <v>2343</v>
      </c>
      <c r="H383" s="17"/>
    </row>
    <row r="384">
      <c r="B384" s="11">
        <f>IFERROR(__xludf.DUMMYFUNCTION("""COMPUTED_VALUE"""),34394.0)</f>
        <v>34394</v>
      </c>
      <c r="C384" s="32">
        <f>IFERROR(__xludf.DUMMYFUNCTION("""COMPUTED_VALUE"""),2222.0)</f>
        <v>2222</v>
      </c>
      <c r="H384" s="17"/>
    </row>
    <row r="385">
      <c r="B385" s="11">
        <f>IFERROR(__xludf.DUMMYFUNCTION("""COMPUTED_VALUE"""),34366.0)</f>
        <v>34366</v>
      </c>
      <c r="C385" s="32">
        <f>IFERROR(__xludf.DUMMYFUNCTION("""COMPUTED_VALUE"""),2317.0)</f>
        <v>2317</v>
      </c>
      <c r="H385" s="17"/>
    </row>
    <row r="386">
      <c r="B386" s="11">
        <f>IFERROR(__xludf.DUMMYFUNCTION("""COMPUTED_VALUE"""),34335.0)</f>
        <v>34335</v>
      </c>
      <c r="C386" s="32">
        <f>IFERROR(__xludf.DUMMYFUNCTION("""COMPUTED_VALUE"""),3226.0)</f>
        <v>3226</v>
      </c>
      <c r="H386" s="17"/>
    </row>
    <row r="387">
      <c r="B387" s="11">
        <f>IFERROR(__xludf.DUMMYFUNCTION("""COMPUTED_VALUE"""),34304.0)</f>
        <v>34304</v>
      </c>
      <c r="C387" s="32">
        <f>IFERROR(__xludf.DUMMYFUNCTION("""COMPUTED_VALUE"""),3192.0)</f>
        <v>3192</v>
      </c>
      <c r="H387" s="17"/>
    </row>
    <row r="388">
      <c r="B388" s="11">
        <f>IFERROR(__xludf.DUMMYFUNCTION("""COMPUTED_VALUE"""),34274.0)</f>
        <v>34274</v>
      </c>
      <c r="C388" s="32">
        <f>IFERROR(__xludf.DUMMYFUNCTION("""COMPUTED_VALUE"""),2737.0)</f>
        <v>2737</v>
      </c>
      <c r="H388" s="17"/>
    </row>
    <row r="389">
      <c r="B389" s="11">
        <f>IFERROR(__xludf.DUMMYFUNCTION("""COMPUTED_VALUE"""),34243.0)</f>
        <v>34243</v>
      </c>
      <c r="C389" s="32">
        <f>IFERROR(__xludf.DUMMYFUNCTION("""COMPUTED_VALUE"""),2665.0)</f>
        <v>2665</v>
      </c>
      <c r="H389" s="17"/>
    </row>
    <row r="390">
      <c r="B390" s="11">
        <f>IFERROR(__xludf.DUMMYFUNCTION("""COMPUTED_VALUE"""),34213.0)</f>
        <v>34213</v>
      </c>
      <c r="C390" s="32">
        <f>IFERROR(__xludf.DUMMYFUNCTION("""COMPUTED_VALUE"""),2200.0)</f>
        <v>2200</v>
      </c>
      <c r="H390" s="17"/>
    </row>
    <row r="391">
      <c r="B391" s="11">
        <f>IFERROR(__xludf.DUMMYFUNCTION("""COMPUTED_VALUE"""),34182.0)</f>
        <v>34182</v>
      </c>
      <c r="C391" s="32">
        <f>IFERROR(__xludf.DUMMYFUNCTION("""COMPUTED_VALUE"""),2877.0)</f>
        <v>2877</v>
      </c>
      <c r="H391" s="17"/>
    </row>
    <row r="392">
      <c r="B392" s="11">
        <f>IFERROR(__xludf.DUMMYFUNCTION("""COMPUTED_VALUE"""),34151.0)</f>
        <v>34151</v>
      </c>
      <c r="C392" s="32">
        <f>IFERROR(__xludf.DUMMYFUNCTION("""COMPUTED_VALUE"""),3249.0)</f>
        <v>3249</v>
      </c>
      <c r="H392" s="17"/>
    </row>
    <row r="393">
      <c r="B393" s="11">
        <f>IFERROR(__xludf.DUMMYFUNCTION("""COMPUTED_VALUE"""),34121.0)</f>
        <v>34121</v>
      </c>
      <c r="C393" s="32">
        <f>IFERROR(__xludf.DUMMYFUNCTION("""COMPUTED_VALUE"""),2607.0)</f>
        <v>2607</v>
      </c>
      <c r="H393" s="17"/>
    </row>
    <row r="394">
      <c r="B394" s="11">
        <f>IFERROR(__xludf.DUMMYFUNCTION("""COMPUTED_VALUE"""),34090.0)</f>
        <v>34090</v>
      </c>
      <c r="C394" s="32">
        <f>IFERROR(__xludf.DUMMYFUNCTION("""COMPUTED_VALUE"""),2577.0)</f>
        <v>2577</v>
      </c>
      <c r="H394" s="17"/>
    </row>
    <row r="395">
      <c r="B395" s="11">
        <f>IFERROR(__xludf.DUMMYFUNCTION("""COMPUTED_VALUE"""),34060.0)</f>
        <v>34060</v>
      </c>
      <c r="C395" s="32">
        <f>IFERROR(__xludf.DUMMYFUNCTION("""COMPUTED_VALUE"""),3103.0)</f>
        <v>3103</v>
      </c>
      <c r="H395" s="17"/>
    </row>
    <row r="396">
      <c r="B396" s="11">
        <f>IFERROR(__xludf.DUMMYFUNCTION("""COMPUTED_VALUE"""),34029.0)</f>
        <v>34029</v>
      </c>
      <c r="C396" s="32">
        <f>IFERROR(__xludf.DUMMYFUNCTION("""COMPUTED_VALUE"""),3173.0)</f>
        <v>3173</v>
      </c>
      <c r="H396" s="17"/>
    </row>
    <row r="397">
      <c r="B397" s="11">
        <f>IFERROR(__xludf.DUMMYFUNCTION("""COMPUTED_VALUE"""),34001.0)</f>
        <v>34001</v>
      </c>
      <c r="C397" s="32">
        <f>IFERROR(__xludf.DUMMYFUNCTION("""COMPUTED_VALUE"""),2783.0)</f>
        <v>2783</v>
      </c>
      <c r="H397" s="17"/>
    </row>
    <row r="398">
      <c r="B398" s="11">
        <f>IFERROR(__xludf.DUMMYFUNCTION("""COMPUTED_VALUE"""),33970.0)</f>
        <v>33970</v>
      </c>
      <c r="C398" s="32">
        <f>IFERROR(__xludf.DUMMYFUNCTION("""COMPUTED_VALUE"""),1506.0)</f>
        <v>1506</v>
      </c>
      <c r="H398" s="17"/>
    </row>
    <row r="399">
      <c r="B399" s="11">
        <f>IFERROR(__xludf.DUMMYFUNCTION("""COMPUTED_VALUE"""),33939.0)</f>
        <v>33939</v>
      </c>
      <c r="C399" s="32">
        <f>IFERROR(__xludf.DUMMYFUNCTION("""COMPUTED_VALUE"""),3298.0)</f>
        <v>3298</v>
      </c>
      <c r="H399" s="17"/>
    </row>
    <row r="400">
      <c r="B400" s="11">
        <f>IFERROR(__xludf.DUMMYFUNCTION("""COMPUTED_VALUE"""),33909.0)</f>
        <v>33909</v>
      </c>
      <c r="C400" s="32">
        <f>IFERROR(__xludf.DUMMYFUNCTION("""COMPUTED_VALUE"""),2809.0)</f>
        <v>2809</v>
      </c>
      <c r="H400" s="17"/>
    </row>
    <row r="401">
      <c r="B401" s="11">
        <f>IFERROR(__xludf.DUMMYFUNCTION("""COMPUTED_VALUE"""),33878.0)</f>
        <v>33878</v>
      </c>
      <c r="C401" s="32">
        <f>IFERROR(__xludf.DUMMYFUNCTION("""COMPUTED_VALUE"""),3334.0)</f>
        <v>3334</v>
      </c>
      <c r="H401" s="17"/>
    </row>
    <row r="402">
      <c r="B402" s="11">
        <f>IFERROR(__xludf.DUMMYFUNCTION("""COMPUTED_VALUE"""),33848.0)</f>
        <v>33848</v>
      </c>
      <c r="C402" s="32">
        <f>IFERROR(__xludf.DUMMYFUNCTION("""COMPUTED_VALUE"""),3067.0)</f>
        <v>3067</v>
      </c>
      <c r="H402" s="17"/>
    </row>
    <row r="403">
      <c r="B403" s="11">
        <f>IFERROR(__xludf.DUMMYFUNCTION("""COMPUTED_VALUE"""),33817.0)</f>
        <v>33817</v>
      </c>
      <c r="C403" s="32">
        <f>IFERROR(__xludf.DUMMYFUNCTION("""COMPUTED_VALUE"""),2080.0)</f>
        <v>2080</v>
      </c>
      <c r="H403" s="17"/>
    </row>
    <row r="404">
      <c r="B404" s="11">
        <f>IFERROR(__xludf.DUMMYFUNCTION("""COMPUTED_VALUE"""),33786.0)</f>
        <v>33786</v>
      </c>
      <c r="C404" s="32">
        <f>IFERROR(__xludf.DUMMYFUNCTION("""COMPUTED_VALUE"""),2717.0)</f>
        <v>2717</v>
      </c>
      <c r="H404" s="17"/>
    </row>
    <row r="405">
      <c r="B405" s="11">
        <f>IFERROR(__xludf.DUMMYFUNCTION("""COMPUTED_VALUE"""),33756.0)</f>
        <v>33756</v>
      </c>
      <c r="C405" s="32">
        <f>IFERROR(__xludf.DUMMYFUNCTION("""COMPUTED_VALUE"""),2621.0)</f>
        <v>2621</v>
      </c>
      <c r="H405" s="17"/>
    </row>
    <row r="406">
      <c r="B406" s="11">
        <f>IFERROR(__xludf.DUMMYFUNCTION("""COMPUTED_VALUE"""),33725.0)</f>
        <v>33725</v>
      </c>
      <c r="C406" s="32">
        <f>IFERROR(__xludf.DUMMYFUNCTION("""COMPUTED_VALUE"""),2402.0)</f>
        <v>2402</v>
      </c>
      <c r="H406" s="17"/>
    </row>
    <row r="407">
      <c r="B407" s="11">
        <f>IFERROR(__xludf.DUMMYFUNCTION("""COMPUTED_VALUE"""),33695.0)</f>
        <v>33695</v>
      </c>
      <c r="C407" s="32">
        <f>IFERROR(__xludf.DUMMYFUNCTION("""COMPUTED_VALUE"""),3508.0)</f>
        <v>3508</v>
      </c>
      <c r="H407" s="17"/>
    </row>
    <row r="408">
      <c r="B408" s="11">
        <f>IFERROR(__xludf.DUMMYFUNCTION("""COMPUTED_VALUE"""),33664.0)</f>
        <v>33664</v>
      </c>
      <c r="C408" s="32">
        <f>IFERROR(__xludf.DUMMYFUNCTION("""COMPUTED_VALUE"""),1662.0)</f>
        <v>1662</v>
      </c>
      <c r="H408" s="17"/>
    </row>
    <row r="409">
      <c r="B409" s="11">
        <f>IFERROR(__xludf.DUMMYFUNCTION("""COMPUTED_VALUE"""),33635.0)</f>
        <v>33635</v>
      </c>
      <c r="C409" s="32">
        <f>IFERROR(__xludf.DUMMYFUNCTION("""COMPUTED_VALUE"""),2794.0)</f>
        <v>2794</v>
      </c>
      <c r="H409" s="17"/>
    </row>
    <row r="410">
      <c r="B410" s="11"/>
      <c r="C410" s="32"/>
      <c r="H410" s="17"/>
    </row>
    <row r="411">
      <c r="B411" s="11"/>
      <c r="C411" s="32"/>
      <c r="H411" s="17"/>
    </row>
    <row r="412">
      <c r="B412" s="11"/>
      <c r="C412" s="32"/>
      <c r="H412" s="17"/>
    </row>
    <row r="413">
      <c r="B413" s="11"/>
      <c r="C413" s="32"/>
      <c r="H413" s="17"/>
    </row>
    <row r="414">
      <c r="B414" s="11"/>
      <c r="C414" s="32"/>
      <c r="H414" s="17"/>
    </row>
    <row r="415">
      <c r="B415" s="11"/>
      <c r="C415" s="32"/>
      <c r="H415" s="17"/>
    </row>
    <row r="416">
      <c r="B416" s="11"/>
      <c r="C416" s="32"/>
      <c r="H416" s="17"/>
    </row>
    <row r="417">
      <c r="B417" s="11"/>
      <c r="C417" s="32"/>
      <c r="H417" s="17"/>
    </row>
    <row r="418">
      <c r="B418" s="11"/>
      <c r="C418" s="32"/>
      <c r="H418" s="17"/>
    </row>
    <row r="419">
      <c r="B419" s="11"/>
      <c r="C419" s="32"/>
      <c r="H419" s="17"/>
    </row>
    <row r="420">
      <c r="B420" s="11"/>
      <c r="C420" s="32"/>
      <c r="H420" s="17"/>
    </row>
    <row r="421">
      <c r="B421" s="11"/>
      <c r="C421" s="32"/>
      <c r="H421" s="17"/>
    </row>
    <row r="422">
      <c r="B422" s="11"/>
      <c r="C422" s="32"/>
      <c r="H422" s="17"/>
    </row>
    <row r="423">
      <c r="B423" s="11"/>
      <c r="C423" s="32"/>
      <c r="H423" s="17"/>
    </row>
    <row r="424">
      <c r="B424" s="11"/>
      <c r="C424" s="32"/>
      <c r="H424" s="17"/>
    </row>
    <row r="425">
      <c r="B425" s="11"/>
      <c r="C425" s="32"/>
      <c r="H425" s="17"/>
    </row>
    <row r="426">
      <c r="B426" s="11"/>
      <c r="C426" s="32"/>
      <c r="H426" s="17"/>
    </row>
    <row r="427">
      <c r="B427" s="11"/>
      <c r="C427" s="32"/>
      <c r="H427" s="17"/>
    </row>
    <row r="428">
      <c r="B428" s="11"/>
      <c r="C428" s="32"/>
      <c r="H428" s="17"/>
    </row>
    <row r="429">
      <c r="B429" s="11"/>
      <c r="C429" s="32"/>
      <c r="H429" s="17"/>
    </row>
    <row r="430">
      <c r="B430" s="11"/>
      <c r="C430" s="32"/>
      <c r="H430" s="17"/>
    </row>
    <row r="431">
      <c r="B431" s="11"/>
      <c r="C431" s="32"/>
      <c r="H431" s="17"/>
    </row>
    <row r="432">
      <c r="B432" s="11"/>
      <c r="C432" s="32"/>
      <c r="H432" s="17"/>
    </row>
    <row r="433">
      <c r="B433" s="11"/>
      <c r="C433" s="32"/>
      <c r="H433" s="17"/>
    </row>
    <row r="434">
      <c r="B434" s="11"/>
      <c r="C434" s="32"/>
      <c r="H434" s="17"/>
    </row>
    <row r="435">
      <c r="B435" s="11"/>
      <c r="C435" s="32"/>
      <c r="H435" s="17"/>
    </row>
    <row r="436">
      <c r="B436" s="11"/>
      <c r="C436" s="32"/>
      <c r="H436" s="17"/>
    </row>
    <row r="437">
      <c r="B437" s="11"/>
      <c r="C437" s="32"/>
      <c r="H437" s="17"/>
    </row>
    <row r="438">
      <c r="B438" s="11"/>
      <c r="C438" s="32"/>
      <c r="H438" s="17"/>
    </row>
    <row r="439">
      <c r="B439" s="11"/>
      <c r="C439" s="32"/>
      <c r="H439" s="17"/>
    </row>
    <row r="440">
      <c r="B440" s="11"/>
      <c r="C440" s="32"/>
      <c r="H440" s="17"/>
    </row>
    <row r="441">
      <c r="B441" s="11"/>
      <c r="C441" s="32"/>
      <c r="H441" s="17"/>
    </row>
    <row r="442">
      <c r="B442" s="11"/>
      <c r="C442" s="32"/>
      <c r="H442" s="17"/>
    </row>
    <row r="443">
      <c r="B443" s="11"/>
      <c r="C443" s="32"/>
      <c r="H443" s="17"/>
    </row>
    <row r="444">
      <c r="B444" s="11"/>
      <c r="C444" s="32"/>
      <c r="H444" s="17"/>
    </row>
    <row r="445">
      <c r="B445" s="11"/>
      <c r="C445" s="32"/>
      <c r="H445" s="17"/>
    </row>
    <row r="446">
      <c r="B446" s="11"/>
      <c r="C446" s="32"/>
      <c r="H446" s="17"/>
    </row>
    <row r="447">
      <c r="B447" s="11"/>
      <c r="C447" s="32"/>
      <c r="H447" s="17"/>
    </row>
    <row r="448">
      <c r="B448" s="11"/>
      <c r="C448" s="32"/>
      <c r="H448" s="17"/>
    </row>
    <row r="449">
      <c r="B449" s="11"/>
      <c r="C449" s="32"/>
      <c r="H449" s="17"/>
    </row>
    <row r="450">
      <c r="B450" s="11"/>
      <c r="C450" s="32"/>
      <c r="H450" s="17"/>
    </row>
    <row r="451">
      <c r="B451" s="11"/>
      <c r="C451" s="32"/>
      <c r="H451" s="17"/>
    </row>
    <row r="452">
      <c r="B452" s="11"/>
      <c r="C452" s="32"/>
      <c r="H452" s="17"/>
    </row>
    <row r="453">
      <c r="B453" s="11"/>
      <c r="C453" s="32"/>
      <c r="H453" s="17"/>
    </row>
    <row r="454">
      <c r="B454" s="11"/>
      <c r="C454" s="32"/>
      <c r="H454" s="17"/>
    </row>
    <row r="455">
      <c r="B455" s="11"/>
      <c r="C455" s="32"/>
      <c r="H455" s="17"/>
    </row>
    <row r="456">
      <c r="B456" s="11"/>
      <c r="C456" s="32"/>
      <c r="H456" s="17"/>
    </row>
    <row r="457">
      <c r="B457" s="11"/>
      <c r="C457" s="32"/>
      <c r="H457" s="17"/>
    </row>
    <row r="458">
      <c r="B458" s="11"/>
      <c r="C458" s="32"/>
      <c r="H458" s="17"/>
    </row>
    <row r="459">
      <c r="B459" s="11"/>
      <c r="C459" s="32"/>
      <c r="H459" s="17"/>
    </row>
    <row r="460">
      <c r="B460" s="11"/>
      <c r="C460" s="32"/>
      <c r="H460" s="17"/>
    </row>
    <row r="461">
      <c r="B461" s="11"/>
      <c r="C461" s="32"/>
      <c r="H461" s="17"/>
    </row>
    <row r="462">
      <c r="B462" s="11"/>
      <c r="C462" s="32"/>
      <c r="H462" s="17"/>
    </row>
    <row r="463">
      <c r="B463" s="11"/>
      <c r="C463" s="32"/>
      <c r="H463" s="17"/>
    </row>
    <row r="464">
      <c r="B464" s="11"/>
      <c r="C464" s="32"/>
      <c r="H464" s="17"/>
    </row>
    <row r="465">
      <c r="B465" s="11"/>
      <c r="C465" s="32"/>
      <c r="H465" s="17"/>
    </row>
    <row r="466">
      <c r="B466" s="11"/>
      <c r="C466" s="32"/>
      <c r="H466" s="17"/>
    </row>
    <row r="467">
      <c r="B467" s="11"/>
      <c r="C467" s="32"/>
      <c r="H467" s="17"/>
    </row>
    <row r="468">
      <c r="B468" s="11"/>
      <c r="C468" s="32"/>
      <c r="H468" s="17"/>
    </row>
    <row r="469">
      <c r="B469" s="11"/>
      <c r="C469" s="32"/>
      <c r="H469" s="17"/>
    </row>
    <row r="470">
      <c r="B470" s="11"/>
      <c r="C470" s="32"/>
      <c r="H470" s="17"/>
    </row>
    <row r="471">
      <c r="B471" s="11"/>
      <c r="C471" s="32"/>
      <c r="H471" s="17"/>
    </row>
    <row r="472">
      <c r="B472" s="11"/>
      <c r="C472" s="32"/>
      <c r="H472" s="17"/>
    </row>
    <row r="473">
      <c r="B473" s="11"/>
      <c r="C473" s="32"/>
      <c r="H473" s="17"/>
    </row>
    <row r="474">
      <c r="B474" s="11"/>
      <c r="C474" s="32"/>
      <c r="H474" s="17"/>
    </row>
    <row r="475">
      <c r="B475" s="11"/>
      <c r="C475" s="32"/>
      <c r="H475" s="17"/>
    </row>
    <row r="476">
      <c r="B476" s="11"/>
      <c r="C476" s="32"/>
      <c r="H476" s="17"/>
    </row>
    <row r="477">
      <c r="B477" s="11"/>
      <c r="C477" s="32"/>
      <c r="H477" s="17"/>
    </row>
    <row r="478">
      <c r="B478" s="11"/>
      <c r="C478" s="32"/>
      <c r="H478" s="17"/>
    </row>
    <row r="479">
      <c r="B479" s="11"/>
      <c r="C479" s="32"/>
      <c r="H479" s="17"/>
    </row>
    <row r="480">
      <c r="B480" s="11"/>
      <c r="C480" s="32"/>
      <c r="H480" s="17"/>
    </row>
    <row r="481">
      <c r="B481" s="11"/>
      <c r="C481" s="32"/>
      <c r="H481" s="17"/>
    </row>
    <row r="482">
      <c r="B482" s="11"/>
      <c r="C482" s="32"/>
      <c r="H482" s="17"/>
    </row>
    <row r="483">
      <c r="B483" s="11"/>
      <c r="C483" s="32"/>
      <c r="H483" s="17"/>
    </row>
    <row r="484">
      <c r="B484" s="11"/>
      <c r="C484" s="32"/>
      <c r="H484" s="17"/>
    </row>
    <row r="485">
      <c r="B485" s="11"/>
      <c r="C485" s="32"/>
      <c r="H485" s="17"/>
    </row>
    <row r="486">
      <c r="B486" s="11"/>
      <c r="C486" s="32"/>
      <c r="H486" s="17"/>
    </row>
    <row r="487">
      <c r="B487" s="11"/>
      <c r="C487" s="32"/>
      <c r="H487" s="17"/>
    </row>
    <row r="488">
      <c r="B488" s="11"/>
      <c r="C488" s="32"/>
      <c r="H488" s="17"/>
    </row>
    <row r="489">
      <c r="B489" s="11"/>
      <c r="C489" s="32"/>
      <c r="H489" s="17"/>
    </row>
    <row r="490">
      <c r="B490" s="11"/>
      <c r="C490" s="32"/>
      <c r="H490" s="17"/>
    </row>
    <row r="491">
      <c r="B491" s="11"/>
      <c r="C491" s="32"/>
      <c r="H491" s="17"/>
    </row>
    <row r="492">
      <c r="B492" s="11"/>
      <c r="C492" s="32"/>
      <c r="H492" s="17"/>
    </row>
    <row r="493">
      <c r="B493" s="11"/>
      <c r="C493" s="32"/>
      <c r="H493" s="17"/>
    </row>
    <row r="494">
      <c r="B494" s="11"/>
      <c r="C494" s="32"/>
      <c r="H494" s="17"/>
    </row>
    <row r="495">
      <c r="B495" s="11"/>
      <c r="C495" s="32"/>
      <c r="H495" s="17"/>
    </row>
    <row r="496">
      <c r="B496" s="11"/>
      <c r="C496" s="32"/>
      <c r="H496" s="17"/>
    </row>
    <row r="497">
      <c r="B497" s="11"/>
      <c r="C497" s="32"/>
      <c r="H497" s="17"/>
    </row>
    <row r="498">
      <c r="B498" s="11"/>
      <c r="C498" s="32"/>
      <c r="H498" s="17"/>
    </row>
    <row r="499">
      <c r="B499" s="11"/>
      <c r="C499" s="32"/>
      <c r="H499" s="17"/>
    </row>
    <row r="500">
      <c r="B500" s="11"/>
      <c r="C500" s="32"/>
      <c r="H500" s="17"/>
    </row>
    <row r="501">
      <c r="B501" s="11"/>
      <c r="C501" s="32"/>
      <c r="H501" s="17"/>
    </row>
    <row r="502">
      <c r="B502" s="11"/>
      <c r="C502" s="32"/>
      <c r="H502" s="17"/>
    </row>
    <row r="503">
      <c r="B503" s="11"/>
      <c r="C503" s="32"/>
      <c r="H503" s="17"/>
    </row>
    <row r="504">
      <c r="B504" s="11"/>
      <c r="C504" s="32"/>
      <c r="H504" s="17"/>
    </row>
    <row r="505">
      <c r="B505" s="11"/>
      <c r="C505" s="32"/>
      <c r="H505" s="17"/>
    </row>
    <row r="506">
      <c r="B506" s="11"/>
      <c r="C506" s="32"/>
      <c r="H506" s="17"/>
    </row>
    <row r="507">
      <c r="B507" s="11"/>
      <c r="C507" s="32"/>
      <c r="H507" s="17"/>
    </row>
    <row r="508">
      <c r="B508" s="11"/>
      <c r="C508" s="32"/>
      <c r="H508" s="17"/>
    </row>
    <row r="509">
      <c r="B509" s="11"/>
      <c r="C509" s="32"/>
      <c r="H509" s="17"/>
    </row>
    <row r="510">
      <c r="B510" s="11"/>
      <c r="C510" s="32"/>
      <c r="H510" s="17"/>
    </row>
    <row r="511">
      <c r="B511" s="11"/>
      <c r="C511" s="32"/>
      <c r="H511" s="17"/>
    </row>
    <row r="512">
      <c r="B512" s="11"/>
      <c r="C512" s="32"/>
      <c r="H512" s="17"/>
    </row>
    <row r="513">
      <c r="B513" s="11"/>
      <c r="C513" s="32"/>
      <c r="H513" s="17"/>
    </row>
    <row r="514">
      <c r="B514" s="11"/>
      <c r="C514" s="32"/>
      <c r="H514" s="17"/>
    </row>
    <row r="515">
      <c r="B515" s="11"/>
      <c r="C515" s="32"/>
      <c r="H515" s="17"/>
    </row>
    <row r="516">
      <c r="B516" s="11"/>
      <c r="C516" s="32"/>
      <c r="H516" s="17"/>
    </row>
    <row r="517">
      <c r="B517" s="11"/>
      <c r="C517" s="32"/>
      <c r="H517" s="17"/>
    </row>
    <row r="518">
      <c r="B518" s="11"/>
      <c r="C518" s="32"/>
      <c r="H518" s="17"/>
    </row>
    <row r="519">
      <c r="B519" s="11"/>
      <c r="C519" s="32"/>
      <c r="H519" s="17"/>
    </row>
    <row r="520">
      <c r="B520" s="11"/>
      <c r="C520" s="32"/>
      <c r="H520" s="17"/>
    </row>
    <row r="521">
      <c r="B521" s="11"/>
      <c r="C521" s="32"/>
      <c r="H521" s="17"/>
    </row>
    <row r="522">
      <c r="B522" s="11"/>
      <c r="C522" s="32"/>
      <c r="H522" s="17"/>
    </row>
    <row r="523">
      <c r="B523" s="11"/>
      <c r="C523" s="32"/>
      <c r="H523" s="17"/>
    </row>
    <row r="524">
      <c r="B524" s="11"/>
      <c r="C524" s="32"/>
      <c r="H524" s="17"/>
    </row>
    <row r="525">
      <c r="B525" s="11"/>
      <c r="C525" s="32"/>
      <c r="H525" s="17"/>
    </row>
    <row r="526">
      <c r="B526" s="11"/>
      <c r="C526" s="32"/>
      <c r="H526" s="17"/>
    </row>
    <row r="527">
      <c r="B527" s="11"/>
      <c r="C527" s="32"/>
      <c r="H527" s="17"/>
    </row>
    <row r="528">
      <c r="B528" s="11"/>
      <c r="C528" s="32"/>
      <c r="H528" s="17"/>
    </row>
    <row r="529">
      <c r="B529" s="11"/>
      <c r="C529" s="32"/>
      <c r="H529" s="17"/>
    </row>
    <row r="530">
      <c r="B530" s="11"/>
      <c r="C530" s="32"/>
      <c r="H530" s="17"/>
    </row>
    <row r="531">
      <c r="B531" s="11"/>
      <c r="C531" s="32"/>
      <c r="H531" s="17"/>
    </row>
    <row r="532">
      <c r="B532" s="11"/>
      <c r="C532" s="32"/>
      <c r="H532" s="17"/>
    </row>
    <row r="533">
      <c r="B533" s="11"/>
      <c r="C533" s="32"/>
      <c r="H533" s="17"/>
    </row>
    <row r="534">
      <c r="B534" s="11"/>
      <c r="C534" s="32"/>
      <c r="H534" s="17"/>
    </row>
    <row r="535">
      <c r="B535" s="11"/>
      <c r="C535" s="32"/>
      <c r="H535" s="17"/>
    </row>
    <row r="536">
      <c r="B536" s="11"/>
      <c r="C536" s="32"/>
      <c r="H536" s="17"/>
    </row>
    <row r="537">
      <c r="B537" s="11"/>
      <c r="C537" s="32"/>
      <c r="H537" s="17"/>
    </row>
    <row r="538">
      <c r="B538" s="11"/>
      <c r="C538" s="32"/>
      <c r="H538" s="17"/>
    </row>
    <row r="539">
      <c r="B539" s="11"/>
      <c r="C539" s="32"/>
      <c r="H539" s="17"/>
    </row>
    <row r="540">
      <c r="B540" s="11"/>
      <c r="C540" s="32"/>
      <c r="H540" s="17"/>
    </row>
    <row r="541">
      <c r="B541" s="11"/>
      <c r="C541" s="32"/>
      <c r="H541" s="17"/>
    </row>
    <row r="542">
      <c r="B542" s="11"/>
      <c r="C542" s="32"/>
      <c r="H542" s="17"/>
    </row>
    <row r="543">
      <c r="B543" s="11"/>
      <c r="C543" s="32"/>
      <c r="H543" s="17"/>
    </row>
    <row r="544">
      <c r="B544" s="11"/>
      <c r="C544" s="32"/>
      <c r="H544" s="17"/>
    </row>
    <row r="545">
      <c r="B545" s="11"/>
      <c r="C545" s="32"/>
      <c r="H545" s="17"/>
    </row>
    <row r="546">
      <c r="B546" s="11"/>
      <c r="C546" s="32"/>
      <c r="H546" s="17"/>
    </row>
    <row r="547">
      <c r="B547" s="11"/>
      <c r="C547" s="32"/>
      <c r="H547" s="17"/>
    </row>
    <row r="548">
      <c r="B548" s="11"/>
      <c r="C548" s="32"/>
      <c r="H548" s="17"/>
    </row>
    <row r="549">
      <c r="B549" s="11"/>
      <c r="C549" s="32"/>
      <c r="H549" s="17"/>
    </row>
    <row r="550">
      <c r="B550" s="11"/>
      <c r="C550" s="32"/>
      <c r="H550" s="17"/>
    </row>
    <row r="551">
      <c r="B551" s="11"/>
      <c r="C551" s="32"/>
      <c r="H551" s="17"/>
    </row>
    <row r="552">
      <c r="B552" s="11"/>
      <c r="C552" s="32"/>
      <c r="H552" s="17"/>
    </row>
    <row r="553">
      <c r="B553" s="11"/>
      <c r="C553" s="32"/>
      <c r="H553" s="17"/>
    </row>
    <row r="554">
      <c r="B554" s="11"/>
      <c r="C554" s="32"/>
      <c r="H554" s="17"/>
    </row>
    <row r="555">
      <c r="B555" s="11"/>
      <c r="C555" s="32"/>
      <c r="H555" s="17"/>
    </row>
    <row r="556">
      <c r="B556" s="11"/>
      <c r="C556" s="32"/>
      <c r="H556" s="17"/>
    </row>
    <row r="557">
      <c r="B557" s="11"/>
      <c r="C557" s="32"/>
      <c r="H557" s="17"/>
    </row>
    <row r="558">
      <c r="B558" s="11"/>
      <c r="C558" s="32"/>
      <c r="H558" s="17"/>
    </row>
    <row r="559">
      <c r="B559" s="11"/>
      <c r="C559" s="32"/>
      <c r="H559" s="17"/>
    </row>
    <row r="560">
      <c r="B560" s="11"/>
      <c r="C560" s="32"/>
      <c r="H560" s="17"/>
    </row>
    <row r="561">
      <c r="B561" s="11"/>
      <c r="C561" s="32"/>
      <c r="H561" s="17"/>
    </row>
    <row r="562">
      <c r="B562" s="11"/>
      <c r="C562" s="32"/>
      <c r="H562" s="17"/>
    </row>
    <row r="563">
      <c r="B563" s="11"/>
      <c r="C563" s="32"/>
      <c r="H563" s="17"/>
    </row>
    <row r="564">
      <c r="B564" s="11"/>
      <c r="C564" s="32"/>
      <c r="H564" s="17"/>
    </row>
    <row r="565">
      <c r="B565" s="11"/>
      <c r="C565" s="32"/>
      <c r="H565" s="17"/>
    </row>
    <row r="566">
      <c r="B566" s="11"/>
      <c r="C566" s="32"/>
      <c r="H566" s="17"/>
    </row>
    <row r="567">
      <c r="B567" s="11"/>
      <c r="C567" s="32"/>
      <c r="H567" s="17"/>
    </row>
    <row r="568">
      <c r="B568" s="11"/>
      <c r="C568" s="32"/>
      <c r="H568" s="17"/>
    </row>
    <row r="569">
      <c r="B569" s="11"/>
      <c r="C569" s="32"/>
      <c r="H569" s="17"/>
    </row>
    <row r="570">
      <c r="B570" s="11"/>
      <c r="C570" s="32"/>
      <c r="H570" s="17"/>
    </row>
    <row r="571">
      <c r="B571" s="11"/>
      <c r="C571" s="32"/>
      <c r="H571" s="17"/>
    </row>
    <row r="572">
      <c r="B572" s="11"/>
      <c r="C572" s="32"/>
      <c r="H572" s="17"/>
    </row>
    <row r="573">
      <c r="B573" s="11"/>
      <c r="C573" s="32"/>
      <c r="H573" s="17"/>
    </row>
    <row r="574">
      <c r="B574" s="11"/>
      <c r="C574" s="32"/>
      <c r="H574" s="17"/>
    </row>
    <row r="575">
      <c r="B575" s="11"/>
      <c r="C575" s="32"/>
      <c r="H575" s="17"/>
    </row>
    <row r="576">
      <c r="B576" s="11"/>
      <c r="C576" s="32"/>
      <c r="H576" s="17"/>
    </row>
    <row r="577">
      <c r="B577" s="11"/>
      <c r="C577" s="32"/>
      <c r="H577" s="17"/>
    </row>
    <row r="578">
      <c r="B578" s="11"/>
      <c r="C578" s="32"/>
      <c r="H578" s="17"/>
    </row>
    <row r="579">
      <c r="B579" s="11"/>
      <c r="C579" s="32"/>
      <c r="H579" s="17"/>
    </row>
    <row r="580">
      <c r="B580" s="11"/>
      <c r="C580" s="32"/>
      <c r="H580" s="17"/>
    </row>
    <row r="581">
      <c r="B581" s="11"/>
      <c r="C581" s="32"/>
      <c r="H581" s="17"/>
    </row>
    <row r="582">
      <c r="B582" s="11"/>
      <c r="C582" s="32"/>
      <c r="H582" s="17"/>
    </row>
    <row r="583">
      <c r="B583" s="11"/>
      <c r="C583" s="32"/>
      <c r="H583" s="17"/>
    </row>
    <row r="584">
      <c r="B584" s="11"/>
      <c r="C584" s="32"/>
      <c r="H584" s="17"/>
    </row>
    <row r="585">
      <c r="B585" s="11"/>
      <c r="C585" s="32"/>
      <c r="H585" s="17"/>
    </row>
    <row r="586">
      <c r="B586" s="11"/>
      <c r="C586" s="32"/>
      <c r="H586" s="17"/>
    </row>
    <row r="587">
      <c r="B587" s="11"/>
      <c r="C587" s="32"/>
      <c r="H587" s="17"/>
    </row>
    <row r="588">
      <c r="B588" s="11"/>
      <c r="C588" s="32"/>
      <c r="H588" s="17"/>
    </row>
    <row r="589">
      <c r="B589" s="11"/>
      <c r="C589" s="32"/>
      <c r="H589" s="17"/>
    </row>
    <row r="590">
      <c r="B590" s="11"/>
      <c r="C590" s="32"/>
      <c r="H590" s="17"/>
    </row>
    <row r="591">
      <c r="B591" s="11"/>
      <c r="C591" s="32"/>
      <c r="H591" s="17"/>
    </row>
    <row r="592">
      <c r="B592" s="11"/>
      <c r="C592" s="32"/>
      <c r="H592" s="17"/>
    </row>
    <row r="593">
      <c r="B593" s="11"/>
      <c r="C593" s="32"/>
      <c r="H593" s="17"/>
    </row>
    <row r="594">
      <c r="B594" s="11"/>
      <c r="C594" s="32"/>
      <c r="H594" s="17"/>
    </row>
    <row r="595">
      <c r="B595" s="11"/>
      <c r="C595" s="32"/>
      <c r="H595" s="17"/>
    </row>
    <row r="596">
      <c r="B596" s="11"/>
      <c r="C596" s="32"/>
      <c r="H596" s="17"/>
    </row>
    <row r="597">
      <c r="B597" s="11"/>
      <c r="C597" s="32"/>
      <c r="H597" s="17"/>
    </row>
    <row r="598">
      <c r="B598" s="11"/>
      <c r="C598" s="32"/>
      <c r="H598" s="17"/>
    </row>
    <row r="599">
      <c r="B599" s="11"/>
      <c r="C599" s="32"/>
      <c r="H599" s="17"/>
    </row>
    <row r="600">
      <c r="B600" s="11"/>
      <c r="C600" s="32"/>
      <c r="H600" s="17"/>
    </row>
    <row r="601">
      <c r="B601" s="11"/>
      <c r="C601" s="32"/>
      <c r="H601" s="17"/>
    </row>
    <row r="602">
      <c r="B602" s="11"/>
      <c r="C602" s="32"/>
      <c r="H602" s="17"/>
    </row>
    <row r="603">
      <c r="B603" s="11"/>
      <c r="C603" s="32"/>
      <c r="H603" s="17"/>
    </row>
    <row r="604">
      <c r="B604" s="11"/>
      <c r="C604" s="32"/>
      <c r="H604" s="17"/>
    </row>
    <row r="605">
      <c r="B605" s="11"/>
      <c r="C605" s="32"/>
      <c r="H605" s="17"/>
    </row>
    <row r="606">
      <c r="B606" s="11"/>
      <c r="C606" s="32"/>
      <c r="H606" s="17"/>
    </row>
    <row r="607">
      <c r="B607" s="11"/>
      <c r="C607" s="32"/>
      <c r="H607" s="17"/>
    </row>
    <row r="608">
      <c r="B608" s="11"/>
      <c r="C608" s="32"/>
      <c r="H608" s="17"/>
    </row>
    <row r="609">
      <c r="B609" s="11"/>
      <c r="C609" s="32"/>
      <c r="H609" s="17"/>
    </row>
    <row r="610">
      <c r="B610" s="11"/>
      <c r="C610" s="32"/>
      <c r="H610" s="17"/>
    </row>
    <row r="611">
      <c r="B611" s="11"/>
      <c r="C611" s="32"/>
      <c r="H611" s="17"/>
    </row>
    <row r="612">
      <c r="B612" s="11"/>
      <c r="C612" s="32"/>
      <c r="H612" s="17"/>
    </row>
    <row r="613">
      <c r="B613" s="11"/>
      <c r="C613" s="32"/>
      <c r="H613" s="17"/>
    </row>
    <row r="614">
      <c r="B614" s="11"/>
      <c r="C614" s="32"/>
      <c r="H614" s="17"/>
    </row>
    <row r="615">
      <c r="B615" s="11"/>
      <c r="C615" s="32"/>
      <c r="H615" s="17"/>
    </row>
    <row r="616">
      <c r="B616" s="11"/>
      <c r="C616" s="32"/>
      <c r="H616" s="17"/>
    </row>
    <row r="617">
      <c r="B617" s="11"/>
      <c r="C617" s="32"/>
      <c r="H617" s="17"/>
    </row>
    <row r="618">
      <c r="B618" s="11"/>
      <c r="C618" s="32"/>
      <c r="H618" s="17"/>
    </row>
    <row r="619">
      <c r="B619" s="11"/>
      <c r="C619" s="32"/>
      <c r="H619" s="17"/>
    </row>
    <row r="620">
      <c r="B620" s="11"/>
      <c r="C620" s="32"/>
      <c r="H620" s="17"/>
    </row>
    <row r="621">
      <c r="B621" s="11"/>
      <c r="C621" s="32"/>
      <c r="H621" s="17"/>
    </row>
    <row r="622">
      <c r="B622" s="11"/>
      <c r="C622" s="32"/>
      <c r="H622" s="17"/>
    </row>
    <row r="623">
      <c r="B623" s="11"/>
      <c r="C623" s="32"/>
      <c r="H623" s="17"/>
    </row>
    <row r="624">
      <c r="B624" s="11"/>
      <c r="C624" s="32"/>
      <c r="H624" s="17"/>
    </row>
    <row r="625">
      <c r="B625" s="11"/>
      <c r="C625" s="32"/>
      <c r="H625" s="17"/>
    </row>
    <row r="626">
      <c r="B626" s="11"/>
      <c r="C626" s="32"/>
      <c r="H626" s="17"/>
    </row>
    <row r="627">
      <c r="B627" s="11"/>
      <c r="C627" s="32"/>
      <c r="H627" s="17"/>
    </row>
    <row r="628">
      <c r="B628" s="11"/>
      <c r="C628" s="32"/>
      <c r="H628" s="17"/>
    </row>
    <row r="629">
      <c r="B629" s="11"/>
      <c r="C629" s="32"/>
      <c r="H629" s="17"/>
    </row>
    <row r="630">
      <c r="B630" s="11"/>
      <c r="C630" s="32"/>
      <c r="H630" s="17"/>
    </row>
    <row r="631">
      <c r="B631" s="11"/>
      <c r="C631" s="32"/>
      <c r="H631" s="17"/>
    </row>
    <row r="632">
      <c r="B632" s="11"/>
      <c r="C632" s="32"/>
      <c r="H632" s="17"/>
    </row>
    <row r="633">
      <c r="B633" s="11"/>
      <c r="C633" s="32"/>
      <c r="H633" s="17"/>
    </row>
    <row r="634">
      <c r="B634" s="11"/>
      <c r="C634" s="32"/>
      <c r="H634" s="17"/>
    </row>
    <row r="635">
      <c r="B635" s="11"/>
      <c r="C635" s="32"/>
      <c r="H635" s="17"/>
    </row>
    <row r="636">
      <c r="B636" s="11"/>
      <c r="C636" s="32"/>
      <c r="H636" s="17"/>
    </row>
    <row r="637">
      <c r="B637" s="11"/>
      <c r="C637" s="32"/>
      <c r="H637" s="17"/>
    </row>
    <row r="638">
      <c r="B638" s="11"/>
      <c r="C638" s="32"/>
      <c r="H638" s="17"/>
    </row>
    <row r="639">
      <c r="B639" s="11"/>
      <c r="C639" s="32"/>
      <c r="H639" s="17"/>
    </row>
    <row r="640">
      <c r="B640" s="11"/>
      <c r="C640" s="32"/>
      <c r="H640" s="17"/>
    </row>
    <row r="641">
      <c r="B641" s="11"/>
      <c r="C641" s="32"/>
      <c r="H641" s="17"/>
    </row>
    <row r="642">
      <c r="B642" s="11"/>
      <c r="C642" s="32"/>
      <c r="H642" s="17"/>
    </row>
    <row r="643">
      <c r="B643" s="11"/>
      <c r="C643" s="32"/>
      <c r="H643" s="17"/>
    </row>
    <row r="644">
      <c r="B644" s="11"/>
      <c r="C644" s="32"/>
      <c r="H644" s="17"/>
    </row>
    <row r="645">
      <c r="B645" s="11"/>
      <c r="C645" s="32"/>
      <c r="H645" s="17"/>
    </row>
    <row r="646">
      <c r="B646" s="11"/>
      <c r="C646" s="32"/>
      <c r="H646" s="17"/>
    </row>
    <row r="647">
      <c r="B647" s="11"/>
      <c r="C647" s="32"/>
      <c r="H647" s="17"/>
    </row>
    <row r="648">
      <c r="B648" s="11"/>
      <c r="C648" s="32"/>
      <c r="H648" s="17"/>
    </row>
    <row r="649">
      <c r="B649" s="11"/>
      <c r="C649" s="32"/>
      <c r="H649" s="17"/>
    </row>
    <row r="650">
      <c r="B650" s="11"/>
      <c r="C650" s="32"/>
      <c r="H650" s="17"/>
    </row>
    <row r="651">
      <c r="B651" s="11"/>
      <c r="C651" s="32"/>
      <c r="H651" s="17"/>
    </row>
    <row r="652">
      <c r="B652" s="11"/>
      <c r="C652" s="32"/>
      <c r="H652" s="17"/>
    </row>
    <row r="653">
      <c r="B653" s="11"/>
      <c r="C653" s="32"/>
      <c r="H653" s="17"/>
    </row>
    <row r="654">
      <c r="B654" s="11"/>
      <c r="C654" s="32"/>
      <c r="H654" s="17"/>
    </row>
    <row r="655">
      <c r="B655" s="11"/>
      <c r="C655" s="32"/>
      <c r="H655" s="17"/>
    </row>
    <row r="656">
      <c r="B656" s="11"/>
      <c r="C656" s="32"/>
      <c r="H656" s="17"/>
    </row>
    <row r="657">
      <c r="B657" s="11"/>
      <c r="C657" s="32"/>
      <c r="H657" s="17"/>
    </row>
    <row r="658">
      <c r="B658" s="11"/>
      <c r="C658" s="32"/>
      <c r="H658" s="17"/>
    </row>
    <row r="659">
      <c r="B659" s="11"/>
      <c r="C659" s="32"/>
      <c r="H659" s="17"/>
    </row>
    <row r="660">
      <c r="B660" s="11"/>
      <c r="C660" s="32"/>
      <c r="H660" s="17"/>
    </row>
    <row r="661">
      <c r="B661" s="11"/>
      <c r="C661" s="32"/>
      <c r="H661" s="17"/>
    </row>
    <row r="662">
      <c r="B662" s="11"/>
      <c r="C662" s="32"/>
      <c r="H662" s="17"/>
    </row>
    <row r="663">
      <c r="B663" s="11"/>
      <c r="C663" s="32"/>
      <c r="H663" s="17"/>
    </row>
    <row r="664">
      <c r="B664" s="11"/>
      <c r="C664" s="32"/>
      <c r="H664" s="17"/>
    </row>
    <row r="665">
      <c r="B665" s="11"/>
      <c r="C665" s="32"/>
      <c r="H665" s="17"/>
    </row>
    <row r="666">
      <c r="B666" s="11"/>
      <c r="C666" s="32"/>
      <c r="H666" s="17"/>
    </row>
    <row r="667">
      <c r="B667" s="11"/>
      <c r="C667" s="32"/>
      <c r="H667" s="17"/>
    </row>
    <row r="668">
      <c r="B668" s="11"/>
      <c r="C668" s="32"/>
      <c r="H668" s="17"/>
    </row>
    <row r="669">
      <c r="B669" s="11"/>
      <c r="C669" s="32"/>
      <c r="H669" s="17"/>
    </row>
    <row r="670">
      <c r="B670" s="11"/>
      <c r="C670" s="32"/>
      <c r="H670" s="17"/>
    </row>
    <row r="671">
      <c r="B671" s="11"/>
      <c r="C671" s="32"/>
      <c r="H671" s="17"/>
    </row>
    <row r="672">
      <c r="B672" s="11"/>
      <c r="C672" s="32"/>
      <c r="H672" s="17"/>
    </row>
    <row r="673">
      <c r="B673" s="11"/>
      <c r="C673" s="32"/>
      <c r="H673" s="17"/>
    </row>
    <row r="674">
      <c r="B674" s="11"/>
      <c r="C674" s="32"/>
      <c r="H674" s="17"/>
    </row>
    <row r="675">
      <c r="B675" s="11"/>
      <c r="C675" s="32"/>
      <c r="H675" s="17"/>
    </row>
    <row r="676">
      <c r="B676" s="11"/>
      <c r="C676" s="32"/>
      <c r="H676" s="17"/>
    </row>
    <row r="677">
      <c r="B677" s="11"/>
      <c r="C677" s="32"/>
      <c r="H677" s="17"/>
    </row>
    <row r="678">
      <c r="B678" s="11"/>
      <c r="C678" s="32"/>
      <c r="H678" s="17"/>
    </row>
    <row r="679">
      <c r="B679" s="11"/>
      <c r="C679" s="32"/>
      <c r="H679" s="17"/>
    </row>
    <row r="680">
      <c r="B680" s="11"/>
      <c r="C680" s="32"/>
      <c r="H680" s="17"/>
    </row>
    <row r="681">
      <c r="B681" s="11"/>
      <c r="C681" s="32"/>
      <c r="H681" s="17"/>
    </row>
    <row r="682">
      <c r="B682" s="11"/>
      <c r="C682" s="32"/>
      <c r="H682" s="17"/>
    </row>
    <row r="683">
      <c r="B683" s="11"/>
      <c r="C683" s="32"/>
      <c r="H683" s="17"/>
    </row>
    <row r="684">
      <c r="B684" s="11"/>
      <c r="C684" s="32"/>
      <c r="H684" s="17"/>
    </row>
    <row r="685">
      <c r="B685" s="11"/>
      <c r="C685" s="32"/>
      <c r="H685" s="17"/>
    </row>
    <row r="686">
      <c r="B686" s="11"/>
      <c r="C686" s="32"/>
      <c r="H686" s="17"/>
    </row>
    <row r="687">
      <c r="B687" s="11"/>
      <c r="C687" s="32"/>
      <c r="H687" s="17"/>
    </row>
    <row r="688">
      <c r="B688" s="11"/>
      <c r="C688" s="32"/>
      <c r="H688" s="17"/>
    </row>
    <row r="689">
      <c r="B689" s="11"/>
      <c r="C689" s="32"/>
      <c r="H689" s="17"/>
    </row>
    <row r="690">
      <c r="B690" s="11"/>
      <c r="C690" s="32"/>
      <c r="H690" s="17"/>
    </row>
    <row r="691">
      <c r="B691" s="11"/>
      <c r="C691" s="32"/>
      <c r="H691" s="17"/>
    </row>
    <row r="692">
      <c r="B692" s="11"/>
      <c r="C692" s="32"/>
      <c r="H692" s="17"/>
    </row>
    <row r="693">
      <c r="B693" s="11"/>
      <c r="C693" s="32"/>
      <c r="H693" s="17"/>
    </row>
    <row r="694">
      <c r="B694" s="11"/>
      <c r="C694" s="32"/>
      <c r="H694" s="17"/>
    </row>
    <row r="695">
      <c r="B695" s="11"/>
      <c r="C695" s="32"/>
      <c r="H695" s="17"/>
    </row>
    <row r="696">
      <c r="B696" s="11"/>
      <c r="C696" s="32"/>
      <c r="H696" s="17"/>
    </row>
    <row r="697">
      <c r="B697" s="11"/>
      <c r="C697" s="32"/>
      <c r="H697" s="17"/>
    </row>
    <row r="698">
      <c r="B698" s="11"/>
      <c r="C698" s="32"/>
      <c r="H698" s="17"/>
    </row>
    <row r="699">
      <c r="B699" s="11"/>
      <c r="C699" s="32"/>
      <c r="H699" s="17"/>
    </row>
    <row r="700">
      <c r="B700" s="11"/>
      <c r="C700" s="32"/>
      <c r="H700" s="17"/>
    </row>
    <row r="701">
      <c r="B701" s="11"/>
      <c r="C701" s="32"/>
      <c r="H701" s="17"/>
    </row>
    <row r="702">
      <c r="B702" s="11"/>
      <c r="C702" s="32"/>
      <c r="H702" s="17"/>
    </row>
    <row r="703">
      <c r="B703" s="11"/>
      <c r="C703" s="32"/>
      <c r="H703" s="17"/>
    </row>
    <row r="704">
      <c r="B704" s="11"/>
      <c r="C704" s="32"/>
      <c r="H704" s="17"/>
    </row>
    <row r="705">
      <c r="B705" s="11"/>
      <c r="C705" s="32"/>
      <c r="H705" s="17"/>
    </row>
    <row r="706">
      <c r="B706" s="11"/>
      <c r="C706" s="32"/>
      <c r="H706" s="17"/>
    </row>
    <row r="707">
      <c r="B707" s="11"/>
      <c r="C707" s="32"/>
      <c r="H707" s="17"/>
    </row>
    <row r="708">
      <c r="B708" s="11"/>
      <c r="C708" s="32"/>
      <c r="H708" s="17"/>
    </row>
    <row r="709">
      <c r="B709" s="11"/>
      <c r="C709" s="32"/>
      <c r="H709" s="17"/>
    </row>
    <row r="710">
      <c r="B710" s="11"/>
      <c r="C710" s="32"/>
      <c r="H710" s="17"/>
    </row>
    <row r="711">
      <c r="B711" s="11"/>
      <c r="C711" s="32"/>
      <c r="H711" s="17"/>
    </row>
    <row r="712">
      <c r="B712" s="11"/>
      <c r="C712" s="32"/>
      <c r="H712" s="17"/>
    </row>
    <row r="713">
      <c r="B713" s="11"/>
      <c r="C713" s="32"/>
      <c r="H713" s="17"/>
    </row>
    <row r="714">
      <c r="B714" s="11"/>
      <c r="C714" s="32"/>
      <c r="H714" s="17"/>
    </row>
    <row r="715">
      <c r="B715" s="11"/>
      <c r="C715" s="32"/>
      <c r="H715" s="17"/>
    </row>
    <row r="716">
      <c r="B716" s="11"/>
      <c r="C716" s="32"/>
      <c r="H716" s="17"/>
    </row>
    <row r="717">
      <c r="B717" s="11"/>
      <c r="C717" s="32"/>
      <c r="H717" s="17"/>
    </row>
    <row r="718">
      <c r="B718" s="11"/>
      <c r="C718" s="32"/>
      <c r="H718" s="17"/>
    </row>
    <row r="719">
      <c r="B719" s="11"/>
      <c r="C719" s="32"/>
      <c r="H719" s="17"/>
    </row>
    <row r="720">
      <c r="B720" s="11"/>
      <c r="C720" s="32"/>
      <c r="H720" s="17"/>
    </row>
    <row r="721">
      <c r="B721" s="11"/>
      <c r="C721" s="32"/>
      <c r="H721" s="17"/>
    </row>
    <row r="722">
      <c r="B722" s="11"/>
      <c r="C722" s="32"/>
      <c r="H722" s="17"/>
    </row>
    <row r="723">
      <c r="B723" s="11"/>
      <c r="C723" s="32"/>
      <c r="H723" s="17"/>
    </row>
    <row r="724">
      <c r="B724" s="11"/>
      <c r="C724" s="32"/>
      <c r="H724" s="17"/>
    </row>
    <row r="725">
      <c r="B725" s="11"/>
      <c r="C725" s="32"/>
      <c r="H725" s="17"/>
    </row>
    <row r="726">
      <c r="B726" s="11"/>
      <c r="C726" s="32"/>
      <c r="H726" s="17"/>
    </row>
    <row r="727">
      <c r="B727" s="11"/>
      <c r="C727" s="32"/>
      <c r="H727" s="17"/>
    </row>
    <row r="728">
      <c r="B728" s="11"/>
      <c r="C728" s="32"/>
      <c r="H728" s="17"/>
    </row>
    <row r="729">
      <c r="B729" s="11"/>
      <c r="C729" s="32"/>
      <c r="H729" s="17"/>
    </row>
    <row r="730">
      <c r="B730" s="11"/>
      <c r="C730" s="32"/>
      <c r="H730" s="17"/>
    </row>
    <row r="731">
      <c r="B731" s="11"/>
      <c r="C731" s="32"/>
      <c r="H731" s="17"/>
    </row>
    <row r="732">
      <c r="B732" s="11"/>
      <c r="C732" s="32"/>
      <c r="H732" s="17"/>
    </row>
    <row r="733">
      <c r="B733" s="11"/>
      <c r="C733" s="32"/>
      <c r="H733" s="17"/>
    </row>
    <row r="734">
      <c r="B734" s="11"/>
      <c r="C734" s="32"/>
      <c r="H734" s="17"/>
    </row>
    <row r="735">
      <c r="B735" s="11"/>
      <c r="C735" s="32"/>
      <c r="H735" s="17"/>
    </row>
    <row r="736">
      <c r="B736" s="11"/>
      <c r="C736" s="32"/>
      <c r="H736" s="17"/>
    </row>
    <row r="737">
      <c r="B737" s="11"/>
      <c r="C737" s="32"/>
      <c r="H737" s="17"/>
    </row>
    <row r="738">
      <c r="B738" s="11"/>
      <c r="C738" s="32"/>
      <c r="H738" s="17"/>
    </row>
    <row r="739">
      <c r="B739" s="11"/>
      <c r="C739" s="32"/>
      <c r="H739" s="17"/>
    </row>
    <row r="740">
      <c r="B740" s="11"/>
      <c r="C740" s="32"/>
      <c r="H740" s="17"/>
    </row>
    <row r="741">
      <c r="B741" s="11"/>
      <c r="C741" s="32"/>
      <c r="H741" s="17"/>
    </row>
    <row r="742">
      <c r="B742" s="11"/>
      <c r="C742" s="32"/>
      <c r="H742" s="17"/>
    </row>
    <row r="743">
      <c r="B743" s="11"/>
      <c r="C743" s="32"/>
      <c r="H743" s="17"/>
    </row>
    <row r="744">
      <c r="B744" s="11"/>
      <c r="C744" s="32"/>
      <c r="H744" s="17"/>
    </row>
    <row r="745">
      <c r="B745" s="11"/>
      <c r="C745" s="32"/>
      <c r="H745" s="17"/>
    </row>
    <row r="746">
      <c r="B746" s="11"/>
      <c r="C746" s="32"/>
      <c r="H746" s="17"/>
    </row>
    <row r="747">
      <c r="B747" s="11"/>
      <c r="C747" s="32"/>
      <c r="H747" s="17"/>
    </row>
    <row r="748">
      <c r="B748" s="11"/>
      <c r="C748" s="32"/>
      <c r="H748" s="17"/>
    </row>
    <row r="749">
      <c r="B749" s="11"/>
      <c r="C749" s="32"/>
      <c r="H749" s="17"/>
    </row>
    <row r="750">
      <c r="B750" s="11"/>
      <c r="C750" s="32"/>
      <c r="H750" s="17"/>
    </row>
    <row r="751">
      <c r="B751" s="11"/>
      <c r="C751" s="32"/>
      <c r="H751" s="17"/>
    </row>
    <row r="752">
      <c r="B752" s="11"/>
      <c r="C752" s="32"/>
      <c r="H752" s="17"/>
    </row>
    <row r="753">
      <c r="B753" s="11"/>
      <c r="C753" s="32"/>
      <c r="H753" s="17"/>
    </row>
    <row r="754">
      <c r="B754" s="11"/>
      <c r="C754" s="32"/>
      <c r="H754" s="17"/>
    </row>
    <row r="755">
      <c r="B755" s="11"/>
      <c r="C755" s="32"/>
      <c r="H755" s="17"/>
    </row>
    <row r="756">
      <c r="B756" s="11"/>
      <c r="C756" s="32"/>
      <c r="H756" s="17"/>
    </row>
    <row r="757">
      <c r="B757" s="11"/>
      <c r="C757" s="32"/>
      <c r="H757" s="17"/>
    </row>
    <row r="758">
      <c r="B758" s="11"/>
      <c r="C758" s="32"/>
      <c r="H758" s="17"/>
    </row>
    <row r="759">
      <c r="B759" s="11"/>
      <c r="C759" s="32"/>
      <c r="H759" s="17"/>
    </row>
    <row r="760">
      <c r="B760" s="11"/>
      <c r="C760" s="32"/>
      <c r="H760" s="17"/>
    </row>
    <row r="761">
      <c r="B761" s="11"/>
      <c r="C761" s="32"/>
      <c r="H761" s="17"/>
    </row>
    <row r="762">
      <c r="B762" s="11"/>
      <c r="C762" s="32"/>
      <c r="H762" s="17"/>
    </row>
    <row r="763">
      <c r="B763" s="11"/>
      <c r="C763" s="32"/>
      <c r="H763" s="17"/>
    </row>
    <row r="764">
      <c r="B764" s="11"/>
      <c r="C764" s="32"/>
      <c r="H764" s="17"/>
    </row>
    <row r="765">
      <c r="B765" s="11"/>
      <c r="C765" s="32"/>
      <c r="H765" s="17"/>
    </row>
    <row r="766">
      <c r="B766" s="11"/>
      <c r="C766" s="32"/>
      <c r="H766" s="17"/>
    </row>
    <row r="767">
      <c r="B767" s="11"/>
      <c r="C767" s="32"/>
      <c r="H767" s="17"/>
    </row>
    <row r="768">
      <c r="B768" s="11"/>
      <c r="C768" s="32"/>
      <c r="H768" s="17"/>
    </row>
    <row r="769">
      <c r="B769" s="11"/>
      <c r="C769" s="32"/>
      <c r="H769" s="17"/>
    </row>
    <row r="770">
      <c r="B770" s="11"/>
      <c r="C770" s="32"/>
      <c r="H770" s="17"/>
    </row>
    <row r="771">
      <c r="B771" s="11"/>
      <c r="C771" s="32"/>
      <c r="H771" s="17"/>
    </row>
    <row r="772">
      <c r="B772" s="11"/>
      <c r="C772" s="32"/>
      <c r="H772" s="17"/>
    </row>
    <row r="773">
      <c r="B773" s="11"/>
      <c r="C773" s="32"/>
      <c r="H773" s="17"/>
    </row>
    <row r="774">
      <c r="B774" s="11"/>
      <c r="C774" s="32"/>
      <c r="H774" s="17"/>
    </row>
    <row r="775">
      <c r="B775" s="11"/>
      <c r="C775" s="32"/>
      <c r="H775" s="17"/>
    </row>
    <row r="776">
      <c r="B776" s="11"/>
      <c r="C776" s="32"/>
      <c r="H776" s="17"/>
    </row>
    <row r="777">
      <c r="B777" s="11"/>
      <c r="C777" s="32"/>
      <c r="H777" s="17"/>
    </row>
    <row r="778">
      <c r="B778" s="11"/>
      <c r="C778" s="32"/>
      <c r="H778" s="17"/>
    </row>
    <row r="779">
      <c r="B779" s="11"/>
      <c r="C779" s="32"/>
      <c r="H779" s="17"/>
    </row>
    <row r="780">
      <c r="B780" s="11"/>
      <c r="C780" s="32"/>
      <c r="H780" s="17"/>
    </row>
    <row r="781">
      <c r="B781" s="11"/>
      <c r="C781" s="32"/>
      <c r="H781" s="17"/>
    </row>
    <row r="782">
      <c r="B782" s="11"/>
      <c r="C782" s="32"/>
      <c r="H782" s="17"/>
    </row>
    <row r="783">
      <c r="B783" s="11"/>
      <c r="C783" s="32"/>
      <c r="H783" s="17"/>
    </row>
    <row r="784">
      <c r="B784" s="11"/>
      <c r="C784" s="32"/>
      <c r="H784" s="17"/>
    </row>
    <row r="785">
      <c r="B785" s="11"/>
      <c r="C785" s="32"/>
      <c r="H785" s="17"/>
    </row>
    <row r="786">
      <c r="B786" s="11"/>
      <c r="C786" s="32"/>
      <c r="H786" s="17"/>
    </row>
    <row r="787">
      <c r="B787" s="11"/>
      <c r="C787" s="32"/>
      <c r="H787" s="17"/>
    </row>
    <row r="788">
      <c r="B788" s="11"/>
      <c r="C788" s="32"/>
      <c r="H788" s="17"/>
    </row>
    <row r="789">
      <c r="B789" s="11"/>
      <c r="C789" s="32"/>
      <c r="H789" s="17"/>
    </row>
    <row r="790">
      <c r="B790" s="11"/>
      <c r="C790" s="32"/>
      <c r="H790" s="17"/>
    </row>
    <row r="791">
      <c r="B791" s="11"/>
      <c r="C791" s="32"/>
      <c r="H791" s="17"/>
    </row>
    <row r="792">
      <c r="B792" s="11"/>
      <c r="C792" s="32"/>
      <c r="H792" s="17"/>
    </row>
    <row r="793">
      <c r="B793" s="11"/>
      <c r="C793" s="32"/>
      <c r="H793" s="17"/>
    </row>
    <row r="794">
      <c r="B794" s="11"/>
      <c r="C794" s="32"/>
      <c r="H794" s="17"/>
    </row>
    <row r="795">
      <c r="B795" s="11"/>
      <c r="C795" s="32"/>
      <c r="H795" s="17"/>
    </row>
    <row r="796">
      <c r="B796" s="11"/>
      <c r="C796" s="32"/>
      <c r="H796" s="17"/>
    </row>
    <row r="797">
      <c r="B797" s="11"/>
      <c r="C797" s="32"/>
      <c r="H797" s="17"/>
    </row>
    <row r="798">
      <c r="B798" s="11"/>
      <c r="C798" s="32"/>
      <c r="H798" s="17"/>
    </row>
    <row r="799">
      <c r="B799" s="11"/>
      <c r="C799" s="32"/>
      <c r="H799" s="17"/>
    </row>
    <row r="800">
      <c r="B800" s="11"/>
      <c r="C800" s="32"/>
      <c r="H800" s="17"/>
    </row>
    <row r="801">
      <c r="B801" s="11"/>
      <c r="C801" s="32"/>
      <c r="H801" s="17"/>
    </row>
    <row r="802">
      <c r="B802" s="11"/>
      <c r="C802" s="32"/>
      <c r="H802" s="17"/>
    </row>
    <row r="803">
      <c r="B803" s="11"/>
      <c r="C803" s="32"/>
      <c r="H803" s="17"/>
    </row>
    <row r="804">
      <c r="B804" s="11"/>
      <c r="C804" s="32"/>
      <c r="H804" s="17"/>
    </row>
    <row r="805">
      <c r="B805" s="11"/>
      <c r="C805" s="32"/>
      <c r="H805" s="17"/>
    </row>
    <row r="806">
      <c r="B806" s="11"/>
      <c r="C806" s="32"/>
      <c r="H806" s="17"/>
    </row>
    <row r="807">
      <c r="B807" s="11"/>
      <c r="C807" s="32"/>
      <c r="H807" s="17"/>
    </row>
    <row r="808">
      <c r="B808" s="11"/>
      <c r="C808" s="32"/>
      <c r="H808" s="17"/>
    </row>
    <row r="809">
      <c r="B809" s="11"/>
      <c r="C809" s="32"/>
      <c r="H809" s="17"/>
    </row>
    <row r="810">
      <c r="B810" s="11"/>
      <c r="C810" s="32"/>
      <c r="H810" s="17"/>
    </row>
    <row r="811">
      <c r="B811" s="11"/>
      <c r="C811" s="32"/>
      <c r="H811" s="17"/>
    </row>
    <row r="812">
      <c r="B812" s="11"/>
      <c r="C812" s="32"/>
      <c r="H812" s="17"/>
    </row>
    <row r="813">
      <c r="B813" s="11"/>
      <c r="C813" s="32"/>
      <c r="H813" s="17"/>
    </row>
    <row r="814">
      <c r="B814" s="11"/>
      <c r="C814" s="32"/>
      <c r="H814" s="17"/>
    </row>
    <row r="815">
      <c r="B815" s="11"/>
      <c r="C815" s="32"/>
      <c r="H815" s="17"/>
    </row>
    <row r="816">
      <c r="B816" s="11"/>
      <c r="C816" s="32"/>
      <c r="H816" s="17"/>
    </row>
    <row r="817">
      <c r="B817" s="11"/>
      <c r="C817" s="32"/>
      <c r="H817" s="17"/>
    </row>
    <row r="818">
      <c r="B818" s="11"/>
      <c r="C818" s="32"/>
      <c r="H818" s="17"/>
    </row>
    <row r="819">
      <c r="B819" s="11"/>
      <c r="C819" s="32"/>
      <c r="H819" s="17"/>
    </row>
    <row r="820">
      <c r="B820" s="11"/>
      <c r="C820" s="32"/>
      <c r="H820" s="17"/>
    </row>
    <row r="821">
      <c r="B821" s="11"/>
      <c r="C821" s="32"/>
      <c r="H821" s="17"/>
    </row>
    <row r="822">
      <c r="B822" s="11"/>
      <c r="C822" s="32"/>
      <c r="H822" s="17"/>
    </row>
    <row r="823">
      <c r="B823" s="11"/>
      <c r="C823" s="32"/>
      <c r="H823" s="17"/>
    </row>
    <row r="824">
      <c r="B824" s="11"/>
      <c r="C824" s="32"/>
      <c r="H824" s="17"/>
    </row>
    <row r="825">
      <c r="B825" s="11"/>
      <c r="C825" s="32"/>
      <c r="H825" s="17"/>
    </row>
    <row r="826">
      <c r="B826" s="11"/>
      <c r="C826" s="32"/>
      <c r="H826" s="17"/>
    </row>
    <row r="827">
      <c r="B827" s="11"/>
      <c r="C827" s="32"/>
      <c r="H827" s="17"/>
    </row>
    <row r="828">
      <c r="B828" s="11"/>
      <c r="C828" s="32"/>
      <c r="H828" s="17"/>
    </row>
    <row r="829">
      <c r="B829" s="11"/>
      <c r="C829" s="32"/>
      <c r="H829" s="17"/>
    </row>
    <row r="830">
      <c r="B830" s="11"/>
      <c r="C830" s="32"/>
      <c r="H830" s="17"/>
    </row>
    <row r="831">
      <c r="B831" s="11"/>
      <c r="C831" s="32"/>
      <c r="H831" s="17"/>
    </row>
    <row r="832">
      <c r="B832" s="11"/>
      <c r="C832" s="32"/>
      <c r="H832" s="17"/>
    </row>
    <row r="833">
      <c r="B833" s="11"/>
      <c r="C833" s="32"/>
      <c r="H833" s="17"/>
    </row>
    <row r="834">
      <c r="B834" s="11"/>
      <c r="C834" s="32"/>
      <c r="H834" s="17"/>
    </row>
    <row r="835">
      <c r="B835" s="11"/>
      <c r="C835" s="32"/>
      <c r="H835" s="17"/>
    </row>
    <row r="836">
      <c r="B836" s="11"/>
      <c r="C836" s="32"/>
      <c r="H836" s="17"/>
    </row>
    <row r="837">
      <c r="B837" s="11"/>
      <c r="C837" s="32"/>
      <c r="H837" s="17"/>
    </row>
    <row r="838">
      <c r="B838" s="11"/>
      <c r="C838" s="32"/>
      <c r="H838" s="17"/>
    </row>
    <row r="839">
      <c r="B839" s="11"/>
      <c r="C839" s="32"/>
      <c r="H839" s="17"/>
    </row>
    <row r="840">
      <c r="B840" s="11"/>
      <c r="C840" s="32"/>
      <c r="H840" s="17"/>
    </row>
    <row r="841">
      <c r="B841" s="11"/>
      <c r="C841" s="32"/>
      <c r="H841" s="17"/>
    </row>
    <row r="842">
      <c r="B842" s="11"/>
      <c r="C842" s="32"/>
      <c r="H842" s="17"/>
    </row>
    <row r="843">
      <c r="B843" s="11"/>
      <c r="C843" s="32"/>
      <c r="H843" s="17"/>
    </row>
    <row r="844">
      <c r="B844" s="11"/>
      <c r="C844" s="32"/>
      <c r="H844" s="17"/>
    </row>
    <row r="845">
      <c r="B845" s="11"/>
      <c r="C845" s="32"/>
      <c r="H845" s="17"/>
    </row>
    <row r="846">
      <c r="B846" s="11"/>
      <c r="C846" s="32"/>
      <c r="H846" s="17"/>
    </row>
    <row r="847">
      <c r="B847" s="11"/>
      <c r="C847" s="32"/>
      <c r="H847" s="17"/>
    </row>
    <row r="848">
      <c r="B848" s="11"/>
      <c r="C848" s="32"/>
      <c r="H848" s="17"/>
    </row>
    <row r="849">
      <c r="B849" s="11"/>
      <c r="C849" s="32"/>
      <c r="H849" s="17"/>
    </row>
    <row r="850">
      <c r="B850" s="11"/>
      <c r="C850" s="32"/>
      <c r="H850" s="17"/>
    </row>
    <row r="851">
      <c r="B851" s="11"/>
      <c r="C851" s="32"/>
      <c r="H851" s="17"/>
    </row>
    <row r="852">
      <c r="B852" s="11"/>
      <c r="C852" s="32"/>
      <c r="H852" s="17"/>
    </row>
    <row r="853">
      <c r="B853" s="11"/>
      <c r="C853" s="32"/>
      <c r="H853" s="17"/>
    </row>
    <row r="854">
      <c r="B854" s="11"/>
      <c r="C854" s="32"/>
      <c r="H854" s="17"/>
    </row>
    <row r="855">
      <c r="B855" s="11"/>
      <c r="C855" s="32"/>
      <c r="H855" s="17"/>
    </row>
    <row r="856">
      <c r="B856" s="11"/>
      <c r="C856" s="32"/>
      <c r="H856" s="17"/>
    </row>
    <row r="857">
      <c r="B857" s="11"/>
      <c r="C857" s="32"/>
      <c r="H857" s="17"/>
    </row>
    <row r="858">
      <c r="B858" s="11"/>
      <c r="C858" s="32"/>
      <c r="H858" s="17"/>
    </row>
    <row r="859">
      <c r="B859" s="11"/>
      <c r="C859" s="32"/>
      <c r="H859" s="17"/>
    </row>
    <row r="860">
      <c r="B860" s="11"/>
      <c r="C860" s="32"/>
      <c r="H860" s="17"/>
    </row>
    <row r="861">
      <c r="B861" s="11"/>
      <c r="C861" s="32"/>
      <c r="H861" s="17"/>
    </row>
    <row r="862">
      <c r="B862" s="11"/>
      <c r="C862" s="32"/>
      <c r="H862" s="17"/>
    </row>
    <row r="863">
      <c r="B863" s="11"/>
      <c r="C863" s="32"/>
      <c r="H863" s="17"/>
    </row>
    <row r="864">
      <c r="B864" s="11"/>
      <c r="C864" s="32"/>
      <c r="H864" s="17"/>
    </row>
    <row r="865">
      <c r="B865" s="11"/>
      <c r="C865" s="32"/>
      <c r="H865" s="17"/>
    </row>
    <row r="866">
      <c r="B866" s="11"/>
      <c r="C866" s="32"/>
      <c r="H866" s="17"/>
    </row>
    <row r="867">
      <c r="B867" s="11"/>
      <c r="C867" s="32"/>
      <c r="H867" s="17"/>
    </row>
    <row r="868">
      <c r="B868" s="11"/>
      <c r="C868" s="32"/>
      <c r="H868" s="17"/>
    </row>
    <row r="869">
      <c r="B869" s="11"/>
      <c r="C869" s="32"/>
      <c r="H869" s="17"/>
    </row>
    <row r="870">
      <c r="B870" s="11"/>
      <c r="C870" s="32"/>
      <c r="H870" s="17"/>
    </row>
    <row r="871">
      <c r="B871" s="11"/>
      <c r="C871" s="32"/>
      <c r="H871" s="17"/>
    </row>
    <row r="872">
      <c r="B872" s="11"/>
      <c r="C872" s="32"/>
      <c r="H872" s="17"/>
    </row>
    <row r="873">
      <c r="B873" s="11"/>
      <c r="C873" s="32"/>
      <c r="H873" s="17"/>
    </row>
    <row r="874">
      <c r="B874" s="11"/>
      <c r="C874" s="32"/>
      <c r="H874" s="17"/>
    </row>
    <row r="875">
      <c r="B875" s="11"/>
      <c r="C875" s="32"/>
      <c r="H875" s="17"/>
    </row>
    <row r="876">
      <c r="B876" s="11"/>
      <c r="C876" s="32"/>
      <c r="H876" s="17"/>
    </row>
    <row r="877">
      <c r="B877" s="11"/>
      <c r="C877" s="32"/>
      <c r="H877" s="17"/>
    </row>
    <row r="878">
      <c r="B878" s="11"/>
      <c r="C878" s="32"/>
      <c r="H878" s="17"/>
    </row>
    <row r="879">
      <c r="B879" s="11"/>
      <c r="C879" s="32"/>
      <c r="H879" s="17"/>
    </row>
    <row r="880">
      <c r="B880" s="11"/>
      <c r="C880" s="32"/>
      <c r="H880" s="17"/>
    </row>
    <row r="881">
      <c r="B881" s="11"/>
      <c r="C881" s="32"/>
      <c r="H881" s="17"/>
    </row>
    <row r="882">
      <c r="B882" s="11"/>
      <c r="C882" s="32"/>
      <c r="H882" s="17"/>
    </row>
    <row r="883">
      <c r="B883" s="11"/>
      <c r="C883" s="32"/>
      <c r="H883" s="17"/>
    </row>
    <row r="884">
      <c r="B884" s="11"/>
      <c r="C884" s="32"/>
      <c r="H884" s="17"/>
    </row>
    <row r="885">
      <c r="B885" s="11"/>
      <c r="C885" s="32"/>
      <c r="H885" s="17"/>
    </row>
    <row r="886">
      <c r="B886" s="11"/>
      <c r="C886" s="32"/>
      <c r="H886" s="17"/>
    </row>
    <row r="887">
      <c r="B887" s="11"/>
      <c r="C887" s="32"/>
      <c r="H887" s="17"/>
    </row>
    <row r="888">
      <c r="B888" s="11"/>
      <c r="C888" s="32"/>
      <c r="H888" s="17"/>
    </row>
    <row r="889">
      <c r="B889" s="11"/>
      <c r="C889" s="32"/>
      <c r="H889" s="17"/>
    </row>
    <row r="890">
      <c r="B890" s="11"/>
      <c r="C890" s="32"/>
      <c r="H890" s="17"/>
    </row>
    <row r="891">
      <c r="B891" s="11"/>
      <c r="C891" s="32"/>
      <c r="H891" s="17"/>
    </row>
    <row r="892">
      <c r="B892" s="11"/>
      <c r="C892" s="32"/>
      <c r="H892" s="17"/>
    </row>
    <row r="893">
      <c r="B893" s="11"/>
      <c r="C893" s="32"/>
      <c r="H893" s="17"/>
    </row>
    <row r="894">
      <c r="B894" s="11"/>
      <c r="C894" s="32"/>
      <c r="H894" s="17"/>
    </row>
    <row r="895">
      <c r="B895" s="11"/>
      <c r="C895" s="32"/>
      <c r="H895" s="17"/>
    </row>
    <row r="896">
      <c r="B896" s="11"/>
      <c r="C896" s="32"/>
      <c r="H896" s="17"/>
    </row>
    <row r="897">
      <c r="B897" s="11"/>
      <c r="C897" s="32"/>
      <c r="H897" s="17"/>
    </row>
    <row r="898">
      <c r="B898" s="11"/>
      <c r="C898" s="32"/>
      <c r="H898" s="17"/>
    </row>
    <row r="899">
      <c r="B899" s="11"/>
      <c r="C899" s="32"/>
      <c r="H899" s="17"/>
    </row>
    <row r="900">
      <c r="B900" s="11"/>
      <c r="C900" s="32"/>
      <c r="H900" s="17"/>
    </row>
    <row r="901">
      <c r="B901" s="11"/>
      <c r="C901" s="32"/>
      <c r="H901" s="17"/>
    </row>
    <row r="902">
      <c r="B902" s="11"/>
      <c r="C902" s="32"/>
      <c r="H902" s="17"/>
    </row>
    <row r="903">
      <c r="B903" s="11"/>
      <c r="C903" s="32"/>
      <c r="H903" s="17"/>
    </row>
    <row r="904">
      <c r="B904" s="11"/>
      <c r="C904" s="32"/>
      <c r="H904" s="17"/>
    </row>
    <row r="905">
      <c r="B905" s="11"/>
      <c r="C905" s="32"/>
      <c r="H905" s="17"/>
    </row>
    <row r="906">
      <c r="B906" s="11"/>
      <c r="C906" s="32"/>
      <c r="H906" s="17"/>
    </row>
    <row r="907">
      <c r="B907" s="11"/>
      <c r="C907" s="32"/>
      <c r="H907" s="17"/>
    </row>
    <row r="908">
      <c r="B908" s="11"/>
      <c r="C908" s="32"/>
      <c r="H908" s="17"/>
    </row>
    <row r="909">
      <c r="B909" s="11"/>
      <c r="C909" s="32"/>
      <c r="H909" s="17"/>
    </row>
    <row r="910">
      <c r="B910" s="11"/>
      <c r="C910" s="32"/>
      <c r="H910" s="17"/>
    </row>
    <row r="911">
      <c r="B911" s="11"/>
      <c r="C911" s="32"/>
      <c r="H911" s="17"/>
    </row>
    <row r="912">
      <c r="B912" s="11"/>
      <c r="C912" s="32"/>
      <c r="H912" s="17"/>
    </row>
    <row r="913">
      <c r="B913" s="11"/>
      <c r="C913" s="32"/>
      <c r="H913" s="17"/>
    </row>
    <row r="914">
      <c r="B914" s="11"/>
      <c r="C914" s="32"/>
      <c r="H914" s="17"/>
    </row>
    <row r="915">
      <c r="B915" s="11"/>
      <c r="C915" s="32"/>
      <c r="H915" s="17"/>
    </row>
    <row r="916">
      <c r="B916" s="11"/>
      <c r="C916" s="32"/>
      <c r="H916" s="17"/>
    </row>
    <row r="917">
      <c r="B917" s="11"/>
      <c r="C917" s="32"/>
      <c r="H917" s="17"/>
    </row>
    <row r="918">
      <c r="B918" s="11"/>
      <c r="C918" s="32"/>
      <c r="H918" s="17"/>
    </row>
    <row r="919">
      <c r="B919" s="11"/>
      <c r="C919" s="32"/>
      <c r="H919" s="17"/>
    </row>
    <row r="920">
      <c r="B920" s="11"/>
      <c r="C920" s="32"/>
      <c r="H920" s="17"/>
    </row>
    <row r="921">
      <c r="B921" s="11"/>
      <c r="C921" s="32"/>
      <c r="H921" s="17"/>
    </row>
    <row r="922">
      <c r="B922" s="11"/>
      <c r="C922" s="32"/>
      <c r="H922" s="17"/>
    </row>
    <row r="923">
      <c r="B923" s="11"/>
      <c r="C923" s="32"/>
      <c r="H923" s="17"/>
    </row>
    <row r="924">
      <c r="B924" s="11"/>
      <c r="C924" s="32"/>
      <c r="H924" s="17"/>
    </row>
    <row r="925">
      <c r="B925" s="11"/>
      <c r="C925" s="32"/>
      <c r="H925" s="17"/>
    </row>
    <row r="926">
      <c r="B926" s="11"/>
      <c r="C926" s="32"/>
      <c r="H926" s="17"/>
    </row>
    <row r="927">
      <c r="B927" s="11"/>
      <c r="C927" s="32"/>
      <c r="H927" s="17"/>
    </row>
    <row r="928">
      <c r="B928" s="11"/>
      <c r="C928" s="32"/>
      <c r="H928" s="17"/>
    </row>
    <row r="929">
      <c r="B929" s="11"/>
      <c r="C929" s="32"/>
      <c r="H929" s="17"/>
    </row>
    <row r="930">
      <c r="B930" s="11"/>
      <c r="C930" s="32"/>
      <c r="H930" s="17"/>
    </row>
    <row r="931">
      <c r="B931" s="11"/>
      <c r="C931" s="32"/>
      <c r="H931" s="17"/>
    </row>
    <row r="932">
      <c r="B932" s="11"/>
      <c r="C932" s="32"/>
      <c r="H932" s="17"/>
    </row>
    <row r="933">
      <c r="B933" s="11"/>
      <c r="C933" s="32"/>
      <c r="H933" s="17"/>
    </row>
    <row r="934">
      <c r="B934" s="11"/>
      <c r="C934" s="32"/>
      <c r="H934" s="17"/>
    </row>
    <row r="935">
      <c r="B935" s="11"/>
      <c r="C935" s="32"/>
      <c r="H935" s="17"/>
    </row>
    <row r="936">
      <c r="B936" s="11"/>
      <c r="C936" s="32"/>
      <c r="H936" s="17"/>
    </row>
    <row r="937">
      <c r="B937" s="11"/>
      <c r="C937" s="32"/>
      <c r="H937" s="17"/>
    </row>
    <row r="938">
      <c r="B938" s="11"/>
      <c r="C938" s="32"/>
      <c r="H938" s="17"/>
    </row>
    <row r="939">
      <c r="B939" s="11"/>
      <c r="C939" s="32"/>
      <c r="H939" s="17"/>
    </row>
    <row r="940">
      <c r="B940" s="11"/>
      <c r="C940" s="32"/>
      <c r="H940" s="17"/>
    </row>
    <row r="941">
      <c r="B941" s="11"/>
      <c r="C941" s="32"/>
      <c r="H941" s="17"/>
    </row>
    <row r="942">
      <c r="B942" s="11"/>
      <c r="C942" s="32"/>
      <c r="H942" s="17"/>
    </row>
    <row r="943">
      <c r="B943" s="11"/>
      <c r="C943" s="32"/>
      <c r="H943" s="17"/>
    </row>
    <row r="944">
      <c r="B944" s="11"/>
      <c r="C944" s="32"/>
      <c r="H944" s="17"/>
    </row>
    <row r="945">
      <c r="B945" s="11"/>
      <c r="C945" s="32"/>
      <c r="H945" s="17"/>
    </row>
    <row r="946">
      <c r="B946" s="11"/>
      <c r="C946" s="32"/>
      <c r="H946" s="17"/>
    </row>
    <row r="947">
      <c r="B947" s="11"/>
      <c r="C947" s="32"/>
      <c r="H947" s="17"/>
    </row>
    <row r="948">
      <c r="B948" s="11"/>
      <c r="C948" s="32"/>
      <c r="H948" s="17"/>
    </row>
    <row r="949">
      <c r="B949" s="11"/>
      <c r="C949" s="32"/>
      <c r="H949" s="17"/>
    </row>
    <row r="950">
      <c r="B950" s="11"/>
      <c r="C950" s="32"/>
      <c r="H950" s="17"/>
    </row>
    <row r="951">
      <c r="B951" s="11"/>
      <c r="C951" s="32"/>
      <c r="H951" s="17"/>
    </row>
    <row r="952">
      <c r="B952" s="11"/>
      <c r="C952" s="32"/>
      <c r="H952" s="17"/>
    </row>
    <row r="953">
      <c r="B953" s="11"/>
      <c r="C953" s="32"/>
      <c r="H953" s="17"/>
    </row>
    <row r="954">
      <c r="B954" s="11"/>
      <c r="C954" s="32"/>
      <c r="H954" s="17"/>
    </row>
    <row r="955">
      <c r="B955" s="11"/>
      <c r="C955" s="32"/>
      <c r="H955" s="17"/>
    </row>
    <row r="956">
      <c r="B956" s="11"/>
      <c r="C956" s="32"/>
      <c r="H956" s="17"/>
    </row>
    <row r="957">
      <c r="B957" s="11"/>
      <c r="C957" s="32"/>
      <c r="H957" s="17"/>
    </row>
    <row r="958">
      <c r="B958" s="11"/>
      <c r="C958" s="32"/>
      <c r="H958" s="17"/>
    </row>
    <row r="959">
      <c r="B959" s="11"/>
      <c r="C959" s="32"/>
      <c r="H959" s="17"/>
    </row>
    <row r="960">
      <c r="B960" s="11"/>
      <c r="C960" s="32"/>
      <c r="H960" s="17"/>
    </row>
    <row r="961">
      <c r="B961" s="11"/>
      <c r="C961" s="32"/>
      <c r="H961" s="17"/>
    </row>
    <row r="962">
      <c r="B962" s="11"/>
      <c r="C962" s="32"/>
      <c r="H962" s="17"/>
    </row>
    <row r="963">
      <c r="B963" s="11"/>
      <c r="C963" s="32"/>
      <c r="H963" s="17"/>
    </row>
    <row r="964">
      <c r="B964" s="11"/>
      <c r="C964" s="32"/>
      <c r="H964" s="17"/>
    </row>
    <row r="965">
      <c r="B965" s="11"/>
      <c r="C965" s="32"/>
      <c r="H965" s="17"/>
    </row>
    <row r="966">
      <c r="B966" s="11"/>
      <c r="C966" s="32"/>
      <c r="H966" s="17"/>
    </row>
    <row r="967">
      <c r="B967" s="11"/>
      <c r="C967" s="32"/>
      <c r="H967" s="17"/>
    </row>
    <row r="968">
      <c r="B968" s="11"/>
      <c r="C968" s="32"/>
      <c r="H968" s="17"/>
    </row>
    <row r="969">
      <c r="B969" s="11"/>
      <c r="C969" s="32"/>
      <c r="H969" s="17"/>
    </row>
    <row r="970">
      <c r="B970" s="11"/>
      <c r="C970" s="32"/>
      <c r="H970" s="17"/>
    </row>
    <row r="971">
      <c r="B971" s="11"/>
      <c r="C971" s="32"/>
      <c r="H971" s="17"/>
    </row>
    <row r="972">
      <c r="B972" s="11"/>
      <c r="C972" s="32"/>
      <c r="H972" s="17"/>
    </row>
    <row r="973">
      <c r="B973" s="11"/>
      <c r="C973" s="32"/>
      <c r="H973" s="17"/>
    </row>
    <row r="974">
      <c r="B974" s="11"/>
      <c r="C974" s="32"/>
      <c r="H974" s="17"/>
    </row>
    <row r="975">
      <c r="B975" s="11"/>
      <c r="C975" s="32"/>
      <c r="H975" s="17"/>
    </row>
    <row r="976">
      <c r="B976" s="11"/>
      <c r="C976" s="32"/>
      <c r="H976" s="17"/>
    </row>
    <row r="977">
      <c r="B977" s="11"/>
      <c r="C977" s="32"/>
      <c r="H977" s="17"/>
    </row>
    <row r="978">
      <c r="B978" s="11"/>
      <c r="C978" s="32"/>
      <c r="H978" s="17"/>
    </row>
    <row r="979">
      <c r="B979" s="11"/>
      <c r="C979" s="32"/>
      <c r="H979" s="17"/>
    </row>
    <row r="980">
      <c r="B980" s="11"/>
      <c r="C980" s="32"/>
      <c r="H980" s="17"/>
    </row>
    <row r="981">
      <c r="B981" s="11"/>
      <c r="C981" s="32"/>
      <c r="H981" s="17"/>
    </row>
    <row r="982">
      <c r="B982" s="11"/>
      <c r="C982" s="32"/>
      <c r="H982" s="17"/>
    </row>
    <row r="983">
      <c r="B983" s="11"/>
      <c r="C983" s="32"/>
      <c r="H983" s="17"/>
    </row>
    <row r="984">
      <c r="B984" s="11"/>
      <c r="C984" s="32"/>
      <c r="H984" s="17"/>
    </row>
    <row r="985">
      <c r="B985" s="11"/>
      <c r="C985" s="32"/>
      <c r="H985" s="17"/>
    </row>
    <row r="986">
      <c r="B986" s="11"/>
      <c r="C986" s="32"/>
      <c r="H986" s="17"/>
    </row>
    <row r="987">
      <c r="B987" s="11"/>
      <c r="C987" s="32"/>
      <c r="H987" s="17"/>
    </row>
    <row r="988">
      <c r="B988" s="11"/>
      <c r="C988" s="32"/>
      <c r="H988" s="17"/>
    </row>
    <row r="989">
      <c r="B989" s="11"/>
      <c r="C989" s="32"/>
      <c r="H989" s="17"/>
    </row>
    <row r="990">
      <c r="B990" s="11"/>
      <c r="C990" s="32"/>
      <c r="H990" s="17"/>
    </row>
    <row r="991">
      <c r="B991" s="11"/>
      <c r="C991" s="32"/>
      <c r="H991" s="17"/>
    </row>
    <row r="992">
      <c r="B992" s="11"/>
      <c r="C992" s="32"/>
      <c r="H992" s="17"/>
    </row>
    <row r="993">
      <c r="B993" s="11"/>
      <c r="C993" s="32"/>
      <c r="H993" s="17"/>
    </row>
    <row r="994">
      <c r="B994" s="11"/>
      <c r="C994" s="32"/>
      <c r="H994" s="17"/>
    </row>
    <row r="995">
      <c r="B995" s="11"/>
      <c r="C995" s="32"/>
      <c r="H995" s="17"/>
    </row>
    <row r="996">
      <c r="B996" s="11"/>
      <c r="C996" s="32"/>
      <c r="H996" s="17"/>
    </row>
    <row r="997">
      <c r="B997" s="11"/>
      <c r="C997" s="32"/>
      <c r="H997" s="17"/>
    </row>
    <row r="998">
      <c r="B998" s="11"/>
      <c r="C998" s="32"/>
      <c r="H998" s="17"/>
    </row>
    <row r="999">
      <c r="B999" s="11"/>
      <c r="C999" s="32"/>
      <c r="H999" s="17"/>
    </row>
    <row r="1000">
      <c r="B1000" s="11"/>
      <c r="C1000" s="32"/>
      <c r="H1000" s="17"/>
    </row>
  </sheetData>
  <hyperlinks>
    <hyperlink r:id="rId1" ref="A1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">
        <v>105</v>
      </c>
      <c r="B1" s="11"/>
      <c r="C1" s="54" t="s">
        <v>106</v>
      </c>
      <c r="H1" s="11"/>
    </row>
    <row r="2">
      <c r="B2" s="11"/>
      <c r="C2" s="32"/>
      <c r="E2" s="53" t="s">
        <v>67</v>
      </c>
      <c r="H2" s="35" t="s">
        <v>107</v>
      </c>
    </row>
    <row r="3">
      <c r="B3" s="11" t="str">
        <f>IFERROR(__xludf.DUMMYFUNCTION("SORT(IMPORTDATA(""https://fred.stlouisfed.org/graph/fredgraph.csv?id=GPDIC1""),1,FALSE)"),"observation_date")</f>
        <v>observation_date</v>
      </c>
      <c r="C3" s="32" t="str">
        <f>IFERROR(__xludf.DUMMYFUNCTION("""COMPUTED_VALUE"""),"GPDIC1")</f>
        <v>GPDIC1</v>
      </c>
      <c r="E3" s="23" t="str">
        <f>IFERROR(__xludf.DUMMYFUNCTION("QUERY(B:C, ""SELECT B, C WHERE B &gt;= DATE '"" &amp; TEXT(TODAY()-365*5, ""yyyy-MM-dd"") &amp; ""' ORDER BY B DESC"", 1)"),"")</f>
        <v/>
      </c>
      <c r="F3" s="9" t="str">
        <f>IFERROR(__xludf.DUMMYFUNCTION("""COMPUTED_VALUE"""),"Real Gross Private Domestic Investment (GPDIC1)")</f>
        <v>Real Gross Private Domestic Investment (GPDIC1)</v>
      </c>
      <c r="H3" s="26" t="str">
        <f>IFERROR(__xludf.DUMMYFUNCTION("QUERY(B:C, ""SELECT B, C WHERE B &gt;= DATE '"" &amp; TEXT(TODAY()-365*10, ""yyyy-MM-dd"") &amp; ""' ORDER BY B DESC"", 1)"),"")</f>
        <v/>
      </c>
      <c r="I3" s="9" t="str">
        <f>IFERROR(__xludf.DUMMYFUNCTION("""COMPUTED_VALUE"""),"Real Gross Private Domestic Investment (GPDIC1)")</f>
        <v>Real Gross Private Domestic Investment (GPDIC1)</v>
      </c>
    </row>
    <row r="4">
      <c r="B4" s="11">
        <f>IFERROR(__xludf.DUMMYFUNCTION("""COMPUTED_VALUE"""),45839.0)</f>
        <v>45839</v>
      </c>
      <c r="C4" s="32">
        <f>IFERROR(__xludf.DUMMYFUNCTION("""COMPUTED_VALUE"""),4379.749)</f>
        <v>4379.749</v>
      </c>
      <c r="E4" s="40">
        <f>IFERROR(__xludf.DUMMYFUNCTION("""COMPUTED_VALUE"""),45839.0)</f>
        <v>45839</v>
      </c>
      <c r="F4" s="32">
        <f>IFERROR(__xludf.DUMMYFUNCTION("""COMPUTED_VALUE"""),4379.749)</f>
        <v>4379.749</v>
      </c>
      <c r="H4" s="26">
        <f>IFERROR(__xludf.DUMMYFUNCTION("""COMPUTED_VALUE"""),45839.0)</f>
        <v>45839</v>
      </c>
      <c r="I4" s="32">
        <f>IFERROR(__xludf.DUMMYFUNCTION("""COMPUTED_VALUE"""),4379.749)</f>
        <v>4379.749</v>
      </c>
    </row>
    <row r="5">
      <c r="B5" s="11">
        <f>IFERROR(__xludf.DUMMYFUNCTION("""COMPUTED_VALUE"""),45748.0)</f>
        <v>45748</v>
      </c>
      <c r="C5" s="32">
        <f>IFERROR(__xludf.DUMMYFUNCTION("""COMPUTED_VALUE"""),4382.819)</f>
        <v>4382.819</v>
      </c>
      <c r="E5" s="40">
        <f>IFERROR(__xludf.DUMMYFUNCTION("""COMPUTED_VALUE"""),45748.0)</f>
        <v>45748</v>
      </c>
      <c r="F5" s="32">
        <f>IFERROR(__xludf.DUMMYFUNCTION("""COMPUTED_VALUE"""),4382.819)</f>
        <v>4382.819</v>
      </c>
      <c r="H5" s="11">
        <f>IFERROR(__xludf.DUMMYFUNCTION("""COMPUTED_VALUE"""),45748.0)</f>
        <v>45748</v>
      </c>
      <c r="I5" s="32">
        <f>IFERROR(__xludf.DUMMYFUNCTION("""COMPUTED_VALUE"""),4382.819)</f>
        <v>4382.819</v>
      </c>
    </row>
    <row r="6">
      <c r="B6" s="11">
        <f>IFERROR(__xludf.DUMMYFUNCTION("""COMPUTED_VALUE"""),45658.0)</f>
        <v>45658</v>
      </c>
      <c r="C6" s="32">
        <f>IFERROR(__xludf.DUMMYFUNCTION("""COMPUTED_VALUE"""),4547.947)</f>
        <v>4547.947</v>
      </c>
      <c r="E6" s="40">
        <f>IFERROR(__xludf.DUMMYFUNCTION("""COMPUTED_VALUE"""),45658.0)</f>
        <v>45658</v>
      </c>
      <c r="F6" s="32">
        <f>IFERROR(__xludf.DUMMYFUNCTION("""COMPUTED_VALUE"""),4547.947)</f>
        <v>4547.947</v>
      </c>
      <c r="H6" s="11">
        <f>IFERROR(__xludf.DUMMYFUNCTION("""COMPUTED_VALUE"""),45658.0)</f>
        <v>45658</v>
      </c>
      <c r="I6" s="32">
        <f>IFERROR(__xludf.DUMMYFUNCTION("""COMPUTED_VALUE"""),4547.947)</f>
        <v>4547.947</v>
      </c>
    </row>
    <row r="7">
      <c r="B7" s="11">
        <f>IFERROR(__xludf.DUMMYFUNCTION("""COMPUTED_VALUE"""),45566.0)</f>
        <v>45566</v>
      </c>
      <c r="C7" s="32">
        <f>IFERROR(__xludf.DUMMYFUNCTION("""COMPUTED_VALUE"""),4315.564)</f>
        <v>4315.564</v>
      </c>
      <c r="E7" s="40">
        <f>IFERROR(__xludf.DUMMYFUNCTION("""COMPUTED_VALUE"""),45566.0)</f>
        <v>45566</v>
      </c>
      <c r="F7" s="32">
        <f>IFERROR(__xludf.DUMMYFUNCTION("""COMPUTED_VALUE"""),4315.564)</f>
        <v>4315.564</v>
      </c>
      <c r="H7" s="11">
        <f>IFERROR(__xludf.DUMMYFUNCTION("""COMPUTED_VALUE"""),45566.0)</f>
        <v>45566</v>
      </c>
      <c r="I7" s="32">
        <f>IFERROR(__xludf.DUMMYFUNCTION("""COMPUTED_VALUE"""),4315.564)</f>
        <v>4315.564</v>
      </c>
    </row>
    <row r="8">
      <c r="B8" s="11">
        <f>IFERROR(__xludf.DUMMYFUNCTION("""COMPUTED_VALUE"""),45474.0)</f>
        <v>45474</v>
      </c>
      <c r="C8" s="32">
        <f>IFERROR(__xludf.DUMMYFUNCTION("""COMPUTED_VALUE"""),4392.176)</f>
        <v>4392.176</v>
      </c>
      <c r="E8" s="40">
        <f>IFERROR(__xludf.DUMMYFUNCTION("""COMPUTED_VALUE"""),45474.0)</f>
        <v>45474</v>
      </c>
      <c r="F8" s="32">
        <f>IFERROR(__xludf.DUMMYFUNCTION("""COMPUTED_VALUE"""),4392.176)</f>
        <v>4392.176</v>
      </c>
      <c r="H8" s="11">
        <f>IFERROR(__xludf.DUMMYFUNCTION("""COMPUTED_VALUE"""),45474.0)</f>
        <v>45474</v>
      </c>
      <c r="I8" s="32">
        <f>IFERROR(__xludf.DUMMYFUNCTION("""COMPUTED_VALUE"""),4392.176)</f>
        <v>4392.176</v>
      </c>
    </row>
    <row r="9">
      <c r="B9" s="11">
        <f>IFERROR(__xludf.DUMMYFUNCTION("""COMPUTED_VALUE"""),45383.0)</f>
        <v>45383</v>
      </c>
      <c r="C9" s="32">
        <f>IFERROR(__xludf.DUMMYFUNCTION("""COMPUTED_VALUE"""),4381.983)</f>
        <v>4381.983</v>
      </c>
      <c r="E9" s="40">
        <f>IFERROR(__xludf.DUMMYFUNCTION("""COMPUTED_VALUE"""),45383.0)</f>
        <v>45383</v>
      </c>
      <c r="F9" s="32">
        <f>IFERROR(__xludf.DUMMYFUNCTION("""COMPUTED_VALUE"""),4381.983)</f>
        <v>4381.983</v>
      </c>
      <c r="H9" s="11">
        <f>IFERROR(__xludf.DUMMYFUNCTION("""COMPUTED_VALUE"""),45383.0)</f>
        <v>45383</v>
      </c>
      <c r="I9" s="32">
        <f>IFERROR(__xludf.DUMMYFUNCTION("""COMPUTED_VALUE"""),4381.983)</f>
        <v>4381.983</v>
      </c>
    </row>
    <row r="10">
      <c r="B10" s="11">
        <f>IFERROR(__xludf.DUMMYFUNCTION("""COMPUTED_VALUE"""),45292.0)</f>
        <v>45292</v>
      </c>
      <c r="C10" s="32">
        <f>IFERROR(__xludf.DUMMYFUNCTION("""COMPUTED_VALUE"""),4296.251)</f>
        <v>4296.251</v>
      </c>
      <c r="E10" s="40">
        <f>IFERROR(__xludf.DUMMYFUNCTION("""COMPUTED_VALUE"""),45292.0)</f>
        <v>45292</v>
      </c>
      <c r="F10" s="32">
        <f>IFERROR(__xludf.DUMMYFUNCTION("""COMPUTED_VALUE"""),4296.251)</f>
        <v>4296.251</v>
      </c>
      <c r="H10" s="11">
        <f>IFERROR(__xludf.DUMMYFUNCTION("""COMPUTED_VALUE"""),45292.0)</f>
        <v>45292</v>
      </c>
      <c r="I10" s="32">
        <f>IFERROR(__xludf.DUMMYFUNCTION("""COMPUTED_VALUE"""),4296.251)</f>
        <v>4296.251</v>
      </c>
    </row>
    <row r="11">
      <c r="B11" s="11">
        <f>IFERROR(__xludf.DUMMYFUNCTION("""COMPUTED_VALUE"""),45200.0)</f>
        <v>45200</v>
      </c>
      <c r="C11" s="32">
        <f>IFERROR(__xludf.DUMMYFUNCTION("""COMPUTED_VALUE"""),4313.169)</f>
        <v>4313.169</v>
      </c>
      <c r="E11" s="40">
        <f>IFERROR(__xludf.DUMMYFUNCTION("""COMPUTED_VALUE"""),45200.0)</f>
        <v>45200</v>
      </c>
      <c r="F11" s="32">
        <f>IFERROR(__xludf.DUMMYFUNCTION("""COMPUTED_VALUE"""),4313.169)</f>
        <v>4313.169</v>
      </c>
      <c r="H11" s="11">
        <f>IFERROR(__xludf.DUMMYFUNCTION("""COMPUTED_VALUE"""),45200.0)</f>
        <v>45200</v>
      </c>
      <c r="I11" s="32">
        <f>IFERROR(__xludf.DUMMYFUNCTION("""COMPUTED_VALUE"""),4313.169)</f>
        <v>4313.169</v>
      </c>
    </row>
    <row r="12">
      <c r="B12" s="11">
        <f>IFERROR(__xludf.DUMMYFUNCTION("""COMPUTED_VALUE"""),45108.0)</f>
        <v>45108</v>
      </c>
      <c r="C12" s="32">
        <f>IFERROR(__xludf.DUMMYFUNCTION("""COMPUTED_VALUE"""),4275.527)</f>
        <v>4275.527</v>
      </c>
      <c r="E12" s="40">
        <f>IFERROR(__xludf.DUMMYFUNCTION("""COMPUTED_VALUE"""),45108.0)</f>
        <v>45108</v>
      </c>
      <c r="F12" s="32">
        <f>IFERROR(__xludf.DUMMYFUNCTION("""COMPUTED_VALUE"""),4275.527)</f>
        <v>4275.527</v>
      </c>
      <c r="H12" s="11">
        <f>IFERROR(__xludf.DUMMYFUNCTION("""COMPUTED_VALUE"""),45108.0)</f>
        <v>45108</v>
      </c>
      <c r="I12" s="32">
        <f>IFERROR(__xludf.DUMMYFUNCTION("""COMPUTED_VALUE"""),4275.527)</f>
        <v>4275.527</v>
      </c>
    </row>
    <row r="13">
      <c r="B13" s="11">
        <f>IFERROR(__xludf.DUMMYFUNCTION("""COMPUTED_VALUE"""),45017.0)</f>
        <v>45017</v>
      </c>
      <c r="C13" s="32">
        <f>IFERROR(__xludf.DUMMYFUNCTION("""COMPUTED_VALUE"""),4180.752)</f>
        <v>4180.752</v>
      </c>
      <c r="E13" s="40">
        <f>IFERROR(__xludf.DUMMYFUNCTION("""COMPUTED_VALUE"""),45017.0)</f>
        <v>45017</v>
      </c>
      <c r="F13" s="32">
        <f>IFERROR(__xludf.DUMMYFUNCTION("""COMPUTED_VALUE"""),4180.752)</f>
        <v>4180.752</v>
      </c>
      <c r="H13" s="11">
        <f>IFERROR(__xludf.DUMMYFUNCTION("""COMPUTED_VALUE"""),45017.0)</f>
        <v>45017</v>
      </c>
      <c r="I13" s="32">
        <f>IFERROR(__xludf.DUMMYFUNCTION("""COMPUTED_VALUE"""),4180.752)</f>
        <v>4180.752</v>
      </c>
    </row>
    <row r="14">
      <c r="B14" s="11">
        <f>IFERROR(__xludf.DUMMYFUNCTION("""COMPUTED_VALUE"""),44927.0)</f>
        <v>44927</v>
      </c>
      <c r="C14" s="32">
        <f>IFERROR(__xludf.DUMMYFUNCTION("""COMPUTED_VALUE"""),4108.542)</f>
        <v>4108.542</v>
      </c>
      <c r="E14" s="40">
        <f>IFERROR(__xludf.DUMMYFUNCTION("""COMPUTED_VALUE"""),44927.0)</f>
        <v>44927</v>
      </c>
      <c r="F14" s="32">
        <f>IFERROR(__xludf.DUMMYFUNCTION("""COMPUTED_VALUE"""),4108.542)</f>
        <v>4108.542</v>
      </c>
      <c r="H14" s="11">
        <f>IFERROR(__xludf.DUMMYFUNCTION("""COMPUTED_VALUE"""),44927.0)</f>
        <v>44927</v>
      </c>
      <c r="I14" s="32">
        <f>IFERROR(__xludf.DUMMYFUNCTION("""COMPUTED_VALUE"""),4108.542)</f>
        <v>4108.542</v>
      </c>
    </row>
    <row r="15">
      <c r="B15" s="11">
        <f>IFERROR(__xludf.DUMMYFUNCTION("""COMPUTED_VALUE"""),44835.0)</f>
        <v>44835</v>
      </c>
      <c r="C15" s="32">
        <f>IFERROR(__xludf.DUMMYFUNCTION("""COMPUTED_VALUE"""),4184.98)</f>
        <v>4184.98</v>
      </c>
      <c r="E15" s="40">
        <f>IFERROR(__xludf.DUMMYFUNCTION("""COMPUTED_VALUE"""),44835.0)</f>
        <v>44835</v>
      </c>
      <c r="F15" s="32">
        <f>IFERROR(__xludf.DUMMYFUNCTION("""COMPUTED_VALUE"""),4184.98)</f>
        <v>4184.98</v>
      </c>
      <c r="H15" s="11">
        <f>IFERROR(__xludf.DUMMYFUNCTION("""COMPUTED_VALUE"""),44835.0)</f>
        <v>44835</v>
      </c>
      <c r="I15" s="32">
        <f>IFERROR(__xludf.DUMMYFUNCTION("""COMPUTED_VALUE"""),4184.98)</f>
        <v>4184.98</v>
      </c>
    </row>
    <row r="16">
      <c r="B16" s="11">
        <f>IFERROR(__xludf.DUMMYFUNCTION("""COMPUTED_VALUE"""),44743.0)</f>
        <v>44743</v>
      </c>
      <c r="C16" s="32">
        <f>IFERROR(__xludf.DUMMYFUNCTION("""COMPUTED_VALUE"""),4105.292)</f>
        <v>4105.292</v>
      </c>
      <c r="E16" s="40">
        <f>IFERROR(__xludf.DUMMYFUNCTION("""COMPUTED_VALUE"""),44743.0)</f>
        <v>44743</v>
      </c>
      <c r="F16" s="32">
        <f>IFERROR(__xludf.DUMMYFUNCTION("""COMPUTED_VALUE"""),4105.292)</f>
        <v>4105.292</v>
      </c>
      <c r="H16" s="11">
        <f>IFERROR(__xludf.DUMMYFUNCTION("""COMPUTED_VALUE"""),44743.0)</f>
        <v>44743</v>
      </c>
      <c r="I16" s="32">
        <f>IFERROR(__xludf.DUMMYFUNCTION("""COMPUTED_VALUE"""),4105.292)</f>
        <v>4105.292</v>
      </c>
    </row>
    <row r="17">
      <c r="B17" s="11">
        <f>IFERROR(__xludf.DUMMYFUNCTION("""COMPUTED_VALUE"""),44652.0)</f>
        <v>44652</v>
      </c>
      <c r="C17" s="32">
        <f>IFERROR(__xludf.DUMMYFUNCTION("""COMPUTED_VALUE"""),4176.99)</f>
        <v>4176.99</v>
      </c>
      <c r="E17" s="40">
        <f>IFERROR(__xludf.DUMMYFUNCTION("""COMPUTED_VALUE"""),44652.0)</f>
        <v>44652</v>
      </c>
      <c r="F17" s="32">
        <f>IFERROR(__xludf.DUMMYFUNCTION("""COMPUTED_VALUE"""),4176.99)</f>
        <v>4176.99</v>
      </c>
      <c r="H17" s="11">
        <f>IFERROR(__xludf.DUMMYFUNCTION("""COMPUTED_VALUE"""),44652.0)</f>
        <v>44652</v>
      </c>
      <c r="I17" s="32">
        <f>IFERROR(__xludf.DUMMYFUNCTION("""COMPUTED_VALUE"""),4176.99)</f>
        <v>4176.99</v>
      </c>
    </row>
    <row r="18">
      <c r="B18" s="11">
        <f>IFERROR(__xludf.DUMMYFUNCTION("""COMPUTED_VALUE"""),44562.0)</f>
        <v>44562</v>
      </c>
      <c r="C18" s="32">
        <f>IFERROR(__xludf.DUMMYFUNCTION("""COMPUTED_VALUE"""),4272.382)</f>
        <v>4272.382</v>
      </c>
      <c r="E18" s="40">
        <f>IFERROR(__xludf.DUMMYFUNCTION("""COMPUTED_VALUE"""),44562.0)</f>
        <v>44562</v>
      </c>
      <c r="F18" s="32">
        <f>IFERROR(__xludf.DUMMYFUNCTION("""COMPUTED_VALUE"""),4272.382)</f>
        <v>4272.382</v>
      </c>
      <c r="H18" s="11">
        <f>IFERROR(__xludf.DUMMYFUNCTION("""COMPUTED_VALUE"""),44562.0)</f>
        <v>44562</v>
      </c>
      <c r="I18" s="32">
        <f>IFERROR(__xludf.DUMMYFUNCTION("""COMPUTED_VALUE"""),4272.382)</f>
        <v>4272.382</v>
      </c>
    </row>
    <row r="19">
      <c r="B19" s="11">
        <f>IFERROR(__xludf.DUMMYFUNCTION("""COMPUTED_VALUE"""),44470.0)</f>
        <v>44470</v>
      </c>
      <c r="C19" s="32">
        <f>IFERROR(__xludf.DUMMYFUNCTION("""COMPUTED_VALUE"""),4191.773)</f>
        <v>4191.773</v>
      </c>
      <c r="E19" s="40">
        <f>IFERROR(__xludf.DUMMYFUNCTION("""COMPUTED_VALUE"""),44470.0)</f>
        <v>44470</v>
      </c>
      <c r="F19" s="32">
        <f>IFERROR(__xludf.DUMMYFUNCTION("""COMPUTED_VALUE"""),4191.773)</f>
        <v>4191.773</v>
      </c>
      <c r="H19" s="11">
        <f>IFERROR(__xludf.DUMMYFUNCTION("""COMPUTED_VALUE"""),44470.0)</f>
        <v>44470</v>
      </c>
      <c r="I19" s="32">
        <f>IFERROR(__xludf.DUMMYFUNCTION("""COMPUTED_VALUE"""),4191.773)</f>
        <v>4191.773</v>
      </c>
    </row>
    <row r="20">
      <c r="B20" s="11">
        <f>IFERROR(__xludf.DUMMYFUNCTION("""COMPUTED_VALUE"""),44378.0)</f>
        <v>44378</v>
      </c>
      <c r="C20" s="32">
        <f>IFERROR(__xludf.DUMMYFUNCTION("""COMPUTED_VALUE"""),3937.3)</f>
        <v>3937.3</v>
      </c>
      <c r="E20" s="40">
        <f>IFERROR(__xludf.DUMMYFUNCTION("""COMPUTED_VALUE"""),44378.0)</f>
        <v>44378</v>
      </c>
      <c r="F20" s="32">
        <f>IFERROR(__xludf.DUMMYFUNCTION("""COMPUTED_VALUE"""),3937.3)</f>
        <v>3937.3</v>
      </c>
      <c r="H20" s="11">
        <f>IFERROR(__xludf.DUMMYFUNCTION("""COMPUTED_VALUE"""),44378.0)</f>
        <v>44378</v>
      </c>
      <c r="I20" s="32">
        <f>IFERROR(__xludf.DUMMYFUNCTION("""COMPUTED_VALUE"""),3937.3)</f>
        <v>3937.3</v>
      </c>
    </row>
    <row r="21">
      <c r="B21" s="11">
        <f>IFERROR(__xludf.DUMMYFUNCTION("""COMPUTED_VALUE"""),44287.0)</f>
        <v>44287</v>
      </c>
      <c r="C21" s="32">
        <f>IFERROR(__xludf.DUMMYFUNCTION("""COMPUTED_VALUE"""),3799.029)</f>
        <v>3799.029</v>
      </c>
      <c r="E21" s="40">
        <f>IFERROR(__xludf.DUMMYFUNCTION("""COMPUTED_VALUE"""),44287.0)</f>
        <v>44287</v>
      </c>
      <c r="F21" s="32">
        <f>IFERROR(__xludf.DUMMYFUNCTION("""COMPUTED_VALUE"""),3799.029)</f>
        <v>3799.029</v>
      </c>
      <c r="H21" s="11">
        <f>IFERROR(__xludf.DUMMYFUNCTION("""COMPUTED_VALUE"""),44287.0)</f>
        <v>44287</v>
      </c>
      <c r="I21" s="32">
        <f>IFERROR(__xludf.DUMMYFUNCTION("""COMPUTED_VALUE"""),3799.029)</f>
        <v>3799.029</v>
      </c>
    </row>
    <row r="22">
      <c r="B22" s="11">
        <f>IFERROR(__xludf.DUMMYFUNCTION("""COMPUTED_VALUE"""),44197.0)</f>
        <v>44197</v>
      </c>
      <c r="C22" s="32">
        <f>IFERROR(__xludf.DUMMYFUNCTION("""COMPUTED_VALUE"""),3849.329)</f>
        <v>3849.329</v>
      </c>
      <c r="H22" s="11">
        <f>IFERROR(__xludf.DUMMYFUNCTION("""COMPUTED_VALUE"""),44197.0)</f>
        <v>44197</v>
      </c>
      <c r="I22" s="32">
        <f>IFERROR(__xludf.DUMMYFUNCTION("""COMPUTED_VALUE"""),3849.329)</f>
        <v>3849.329</v>
      </c>
    </row>
    <row r="23">
      <c r="B23" s="11">
        <f>IFERROR(__xludf.DUMMYFUNCTION("""COMPUTED_VALUE"""),44105.0)</f>
        <v>44105</v>
      </c>
      <c r="C23" s="32">
        <f>IFERROR(__xludf.DUMMYFUNCTION("""COMPUTED_VALUE"""),3878.929)</f>
        <v>3878.929</v>
      </c>
      <c r="H23" s="11">
        <f>IFERROR(__xludf.DUMMYFUNCTION("""COMPUTED_VALUE"""),44105.0)</f>
        <v>44105</v>
      </c>
      <c r="I23" s="32">
        <f>IFERROR(__xludf.DUMMYFUNCTION("""COMPUTED_VALUE"""),3878.929)</f>
        <v>3878.929</v>
      </c>
    </row>
    <row r="24">
      <c r="B24" s="11">
        <f>IFERROR(__xludf.DUMMYFUNCTION("""COMPUTED_VALUE"""),44013.0)</f>
        <v>44013</v>
      </c>
      <c r="C24" s="32">
        <f>IFERROR(__xludf.DUMMYFUNCTION("""COMPUTED_VALUE"""),3755.526)</f>
        <v>3755.526</v>
      </c>
      <c r="H24" s="11">
        <f>IFERROR(__xludf.DUMMYFUNCTION("""COMPUTED_VALUE"""),44013.0)</f>
        <v>44013</v>
      </c>
      <c r="I24" s="32">
        <f>IFERROR(__xludf.DUMMYFUNCTION("""COMPUTED_VALUE"""),3755.526)</f>
        <v>3755.526</v>
      </c>
    </row>
    <row r="25">
      <c r="B25" s="11">
        <f>IFERROR(__xludf.DUMMYFUNCTION("""COMPUTED_VALUE"""),43922.0)</f>
        <v>43922</v>
      </c>
      <c r="C25" s="32">
        <f>IFERROR(__xludf.DUMMYFUNCTION("""COMPUTED_VALUE"""),3163.508)</f>
        <v>3163.508</v>
      </c>
      <c r="H25" s="11">
        <f>IFERROR(__xludf.DUMMYFUNCTION("""COMPUTED_VALUE"""),43922.0)</f>
        <v>43922</v>
      </c>
      <c r="I25" s="32">
        <f>IFERROR(__xludf.DUMMYFUNCTION("""COMPUTED_VALUE"""),3163.508)</f>
        <v>3163.508</v>
      </c>
    </row>
    <row r="26">
      <c r="B26" s="11">
        <f>IFERROR(__xludf.DUMMYFUNCTION("""COMPUTED_VALUE"""),43831.0)</f>
        <v>43831</v>
      </c>
      <c r="C26" s="32">
        <f>IFERROR(__xludf.DUMMYFUNCTION("""COMPUTED_VALUE"""),3676.274)</f>
        <v>3676.274</v>
      </c>
      <c r="H26" s="11">
        <f>IFERROR(__xludf.DUMMYFUNCTION("""COMPUTED_VALUE"""),43831.0)</f>
        <v>43831</v>
      </c>
      <c r="I26" s="32">
        <f>IFERROR(__xludf.DUMMYFUNCTION("""COMPUTED_VALUE"""),3676.274)</f>
        <v>3676.274</v>
      </c>
    </row>
    <row r="27">
      <c r="B27" s="11">
        <f>IFERROR(__xludf.DUMMYFUNCTION("""COMPUTED_VALUE"""),43739.0)</f>
        <v>43739</v>
      </c>
      <c r="C27" s="32">
        <f>IFERROR(__xludf.DUMMYFUNCTION("""COMPUTED_VALUE"""),3770.431)</f>
        <v>3770.431</v>
      </c>
      <c r="H27" s="11">
        <f>IFERROR(__xludf.DUMMYFUNCTION("""COMPUTED_VALUE"""),43739.0)</f>
        <v>43739</v>
      </c>
      <c r="I27" s="32">
        <f>IFERROR(__xludf.DUMMYFUNCTION("""COMPUTED_VALUE"""),3770.431)</f>
        <v>3770.431</v>
      </c>
    </row>
    <row r="28">
      <c r="B28" s="11">
        <f>IFERROR(__xludf.DUMMYFUNCTION("""COMPUTED_VALUE"""),43647.0)</f>
        <v>43647</v>
      </c>
      <c r="C28" s="32">
        <f>IFERROR(__xludf.DUMMYFUNCTION("""COMPUTED_VALUE"""),3819.94)</f>
        <v>3819.94</v>
      </c>
      <c r="H28" s="11">
        <f>IFERROR(__xludf.DUMMYFUNCTION("""COMPUTED_VALUE"""),43647.0)</f>
        <v>43647</v>
      </c>
      <c r="I28" s="32">
        <f>IFERROR(__xludf.DUMMYFUNCTION("""COMPUTED_VALUE"""),3819.94)</f>
        <v>3819.94</v>
      </c>
    </row>
    <row r="29">
      <c r="B29" s="11">
        <f>IFERROR(__xludf.DUMMYFUNCTION("""COMPUTED_VALUE"""),43556.0)</f>
        <v>43556</v>
      </c>
      <c r="C29" s="32">
        <f>IFERROR(__xludf.DUMMYFUNCTION("""COMPUTED_VALUE"""),3790.049)</f>
        <v>3790.049</v>
      </c>
      <c r="H29" s="11">
        <f>IFERROR(__xludf.DUMMYFUNCTION("""COMPUTED_VALUE"""),43556.0)</f>
        <v>43556</v>
      </c>
      <c r="I29" s="32">
        <f>IFERROR(__xludf.DUMMYFUNCTION("""COMPUTED_VALUE"""),3790.049)</f>
        <v>3790.049</v>
      </c>
    </row>
    <row r="30">
      <c r="B30" s="11">
        <f>IFERROR(__xludf.DUMMYFUNCTION("""COMPUTED_VALUE"""),43466.0)</f>
        <v>43466</v>
      </c>
      <c r="C30" s="32">
        <f>IFERROR(__xludf.DUMMYFUNCTION("""COMPUTED_VALUE"""),3755.53)</f>
        <v>3755.53</v>
      </c>
      <c r="H30" s="11">
        <f>IFERROR(__xludf.DUMMYFUNCTION("""COMPUTED_VALUE"""),43466.0)</f>
        <v>43466</v>
      </c>
      <c r="I30" s="32">
        <f>IFERROR(__xludf.DUMMYFUNCTION("""COMPUTED_VALUE"""),3755.53)</f>
        <v>3755.53</v>
      </c>
    </row>
    <row r="31">
      <c r="B31" s="11">
        <f>IFERROR(__xludf.DUMMYFUNCTION("""COMPUTED_VALUE"""),43374.0)</f>
        <v>43374</v>
      </c>
      <c r="C31" s="32">
        <f>IFERROR(__xludf.DUMMYFUNCTION("""COMPUTED_VALUE"""),3724.752)</f>
        <v>3724.752</v>
      </c>
      <c r="H31" s="11">
        <f>IFERROR(__xludf.DUMMYFUNCTION("""COMPUTED_VALUE"""),43374.0)</f>
        <v>43374</v>
      </c>
      <c r="I31" s="32">
        <f>IFERROR(__xludf.DUMMYFUNCTION("""COMPUTED_VALUE"""),3724.752)</f>
        <v>3724.752</v>
      </c>
    </row>
    <row r="32">
      <c r="B32" s="11">
        <f>IFERROR(__xludf.DUMMYFUNCTION("""COMPUTED_VALUE"""),43282.0)</f>
        <v>43282</v>
      </c>
      <c r="C32" s="32">
        <f>IFERROR(__xludf.DUMMYFUNCTION("""COMPUTED_VALUE"""),3722.248)</f>
        <v>3722.248</v>
      </c>
      <c r="H32" s="11">
        <f>IFERROR(__xludf.DUMMYFUNCTION("""COMPUTED_VALUE"""),43282.0)</f>
        <v>43282</v>
      </c>
      <c r="I32" s="32">
        <f>IFERROR(__xludf.DUMMYFUNCTION("""COMPUTED_VALUE"""),3722.248)</f>
        <v>3722.248</v>
      </c>
    </row>
    <row r="33">
      <c r="B33" s="11">
        <f>IFERROR(__xludf.DUMMYFUNCTION("""COMPUTED_VALUE"""),43191.0)</f>
        <v>43191</v>
      </c>
      <c r="C33" s="32">
        <f>IFERROR(__xludf.DUMMYFUNCTION("""COMPUTED_VALUE"""),3612.389)</f>
        <v>3612.389</v>
      </c>
      <c r="H33" s="11">
        <f>IFERROR(__xludf.DUMMYFUNCTION("""COMPUTED_VALUE"""),43191.0)</f>
        <v>43191</v>
      </c>
      <c r="I33" s="32">
        <f>IFERROR(__xludf.DUMMYFUNCTION("""COMPUTED_VALUE"""),3612.389)</f>
        <v>3612.389</v>
      </c>
    </row>
    <row r="34">
      <c r="B34" s="11">
        <f>IFERROR(__xludf.DUMMYFUNCTION("""COMPUTED_VALUE"""),43101.0)</f>
        <v>43101</v>
      </c>
      <c r="C34" s="32">
        <f>IFERROR(__xludf.DUMMYFUNCTION("""COMPUTED_VALUE"""),3612.936)</f>
        <v>3612.936</v>
      </c>
      <c r="H34" s="11">
        <f>IFERROR(__xludf.DUMMYFUNCTION("""COMPUTED_VALUE"""),43101.0)</f>
        <v>43101</v>
      </c>
      <c r="I34" s="32">
        <f>IFERROR(__xludf.DUMMYFUNCTION("""COMPUTED_VALUE"""),3612.936)</f>
        <v>3612.936</v>
      </c>
    </row>
    <row r="35">
      <c r="B35" s="11">
        <f>IFERROR(__xludf.DUMMYFUNCTION("""COMPUTED_VALUE"""),43009.0)</f>
        <v>43009</v>
      </c>
      <c r="C35" s="32">
        <f>IFERROR(__xludf.DUMMYFUNCTION("""COMPUTED_VALUE"""),3558.859)</f>
        <v>3558.859</v>
      </c>
      <c r="H35" s="11">
        <f>IFERROR(__xludf.DUMMYFUNCTION("""COMPUTED_VALUE"""),43009.0)</f>
        <v>43009</v>
      </c>
      <c r="I35" s="32">
        <f>IFERROR(__xludf.DUMMYFUNCTION("""COMPUTED_VALUE"""),3558.859)</f>
        <v>3558.859</v>
      </c>
    </row>
    <row r="36">
      <c r="B36" s="11">
        <f>IFERROR(__xludf.DUMMYFUNCTION("""COMPUTED_VALUE"""),42917.0)</f>
        <v>42917</v>
      </c>
      <c r="C36" s="32">
        <f>IFERROR(__xludf.DUMMYFUNCTION("""COMPUTED_VALUE"""),3493.166)</f>
        <v>3493.166</v>
      </c>
      <c r="H36" s="11">
        <f>IFERROR(__xludf.DUMMYFUNCTION("""COMPUTED_VALUE"""),42917.0)</f>
        <v>42917</v>
      </c>
      <c r="I36" s="32">
        <f>IFERROR(__xludf.DUMMYFUNCTION("""COMPUTED_VALUE"""),3493.166)</f>
        <v>3493.166</v>
      </c>
    </row>
    <row r="37">
      <c r="B37" s="11">
        <f>IFERROR(__xludf.DUMMYFUNCTION("""COMPUTED_VALUE"""),42826.0)</f>
        <v>42826</v>
      </c>
      <c r="C37" s="32">
        <f>IFERROR(__xludf.DUMMYFUNCTION("""COMPUTED_VALUE"""),3435.929)</f>
        <v>3435.929</v>
      </c>
      <c r="H37" s="11">
        <f>IFERROR(__xludf.DUMMYFUNCTION("""COMPUTED_VALUE"""),42826.0)</f>
        <v>42826</v>
      </c>
      <c r="I37" s="32">
        <f>IFERROR(__xludf.DUMMYFUNCTION("""COMPUTED_VALUE"""),3435.929)</f>
        <v>3435.929</v>
      </c>
    </row>
    <row r="38">
      <c r="B38" s="11">
        <f>IFERROR(__xludf.DUMMYFUNCTION("""COMPUTED_VALUE"""),42736.0)</f>
        <v>42736</v>
      </c>
      <c r="C38" s="32">
        <f>IFERROR(__xludf.DUMMYFUNCTION("""COMPUTED_VALUE"""),3382.703)</f>
        <v>3382.703</v>
      </c>
      <c r="H38" s="11">
        <f>IFERROR(__xludf.DUMMYFUNCTION("""COMPUTED_VALUE"""),42736.0)</f>
        <v>42736</v>
      </c>
      <c r="I38" s="32">
        <f>IFERROR(__xludf.DUMMYFUNCTION("""COMPUTED_VALUE"""),3382.703)</f>
        <v>3382.703</v>
      </c>
    </row>
    <row r="39">
      <c r="B39" s="11">
        <f>IFERROR(__xludf.DUMMYFUNCTION("""COMPUTED_VALUE"""),42644.0)</f>
        <v>42644</v>
      </c>
      <c r="C39" s="32">
        <f>IFERROR(__xludf.DUMMYFUNCTION("""COMPUTED_VALUE"""),3391.749)</f>
        <v>3391.749</v>
      </c>
      <c r="H39" s="11">
        <f>IFERROR(__xludf.DUMMYFUNCTION("""COMPUTED_VALUE"""),42644.0)</f>
        <v>42644</v>
      </c>
      <c r="I39" s="32">
        <f>IFERROR(__xludf.DUMMYFUNCTION("""COMPUTED_VALUE"""),3391.749)</f>
        <v>3391.749</v>
      </c>
    </row>
    <row r="40">
      <c r="B40" s="11">
        <f>IFERROR(__xludf.DUMMYFUNCTION("""COMPUTED_VALUE"""),42552.0)</f>
        <v>42552</v>
      </c>
      <c r="C40" s="32">
        <f>IFERROR(__xludf.DUMMYFUNCTION("""COMPUTED_VALUE"""),3301.079)</f>
        <v>3301.079</v>
      </c>
      <c r="H40" s="11">
        <f>IFERROR(__xludf.DUMMYFUNCTION("""COMPUTED_VALUE"""),42552.0)</f>
        <v>42552</v>
      </c>
      <c r="I40" s="32">
        <f>IFERROR(__xludf.DUMMYFUNCTION("""COMPUTED_VALUE"""),3301.079)</f>
        <v>3301.079</v>
      </c>
    </row>
    <row r="41">
      <c r="B41" s="11">
        <f>IFERROR(__xludf.DUMMYFUNCTION("""COMPUTED_VALUE"""),42461.0)</f>
        <v>42461</v>
      </c>
      <c r="C41" s="32">
        <f>IFERROR(__xludf.DUMMYFUNCTION("""COMPUTED_VALUE"""),3287.033)</f>
        <v>3287.033</v>
      </c>
      <c r="H41" s="11">
        <f>IFERROR(__xludf.DUMMYFUNCTION("""COMPUTED_VALUE"""),42461.0)</f>
        <v>42461</v>
      </c>
      <c r="I41" s="32">
        <f>IFERROR(__xludf.DUMMYFUNCTION("""COMPUTED_VALUE"""),3287.033)</f>
        <v>3287.033</v>
      </c>
    </row>
    <row r="42">
      <c r="B42" s="11">
        <f>IFERROR(__xludf.DUMMYFUNCTION("""COMPUTED_VALUE"""),42370.0)</f>
        <v>42370</v>
      </c>
      <c r="C42" s="32">
        <f>IFERROR(__xludf.DUMMYFUNCTION("""COMPUTED_VALUE"""),3301.09)</f>
        <v>3301.09</v>
      </c>
      <c r="H42" s="11"/>
    </row>
    <row r="43">
      <c r="B43" s="11">
        <f>IFERROR(__xludf.DUMMYFUNCTION("""COMPUTED_VALUE"""),42278.0)</f>
        <v>42278</v>
      </c>
      <c r="C43" s="32">
        <f>IFERROR(__xludf.DUMMYFUNCTION("""COMPUTED_VALUE"""),3315.334)</f>
        <v>3315.334</v>
      </c>
      <c r="H43" s="11"/>
    </row>
    <row r="44">
      <c r="B44" s="11">
        <f>IFERROR(__xludf.DUMMYFUNCTION("""COMPUTED_VALUE"""),42186.0)</f>
        <v>42186</v>
      </c>
      <c r="C44" s="32">
        <f>IFERROR(__xludf.DUMMYFUNCTION("""COMPUTED_VALUE"""),3335.27)</f>
        <v>3335.27</v>
      </c>
      <c r="H44" s="11"/>
    </row>
    <row r="45">
      <c r="B45" s="11">
        <f>IFERROR(__xludf.DUMMYFUNCTION("""COMPUTED_VALUE"""),42095.0)</f>
        <v>42095</v>
      </c>
      <c r="C45" s="32">
        <f>IFERROR(__xludf.DUMMYFUNCTION("""COMPUTED_VALUE"""),3328.049)</f>
        <v>3328.049</v>
      </c>
      <c r="H45" s="11"/>
    </row>
    <row r="46">
      <c r="B46" s="11">
        <f>IFERROR(__xludf.DUMMYFUNCTION("""COMPUTED_VALUE"""),42005.0)</f>
        <v>42005</v>
      </c>
      <c r="C46" s="32">
        <f>IFERROR(__xludf.DUMMYFUNCTION("""COMPUTED_VALUE"""),3314.895)</f>
        <v>3314.895</v>
      </c>
      <c r="H46" s="11"/>
    </row>
    <row r="47">
      <c r="B47" s="11">
        <f>IFERROR(__xludf.DUMMYFUNCTION("""COMPUTED_VALUE"""),41913.0)</f>
        <v>41913</v>
      </c>
      <c r="C47" s="32">
        <f>IFERROR(__xludf.DUMMYFUNCTION("""COMPUTED_VALUE"""),3203.351)</f>
        <v>3203.351</v>
      </c>
      <c r="H47" s="11"/>
    </row>
    <row r="48">
      <c r="B48" s="11">
        <f>IFERROR(__xludf.DUMMYFUNCTION("""COMPUTED_VALUE"""),41821.0)</f>
        <v>41821</v>
      </c>
      <c r="C48" s="32">
        <f>IFERROR(__xludf.DUMMYFUNCTION("""COMPUTED_VALUE"""),3193.152)</f>
        <v>3193.152</v>
      </c>
      <c r="H48" s="11"/>
    </row>
    <row r="49">
      <c r="B49" s="11">
        <f>IFERROR(__xludf.DUMMYFUNCTION("""COMPUTED_VALUE"""),41730.0)</f>
        <v>41730</v>
      </c>
      <c r="C49" s="32">
        <f>IFERROR(__xludf.DUMMYFUNCTION("""COMPUTED_VALUE"""),3121.321)</f>
        <v>3121.321</v>
      </c>
      <c r="H49" s="11"/>
    </row>
    <row r="50">
      <c r="B50" s="11">
        <f>IFERROR(__xludf.DUMMYFUNCTION("""COMPUTED_VALUE"""),41640.0)</f>
        <v>41640</v>
      </c>
      <c r="C50" s="32">
        <f>IFERROR(__xludf.DUMMYFUNCTION("""COMPUTED_VALUE"""),2998.148)</f>
        <v>2998.148</v>
      </c>
      <c r="H50" s="11"/>
    </row>
    <row r="51">
      <c r="B51" s="11">
        <f>IFERROR(__xludf.DUMMYFUNCTION("""COMPUTED_VALUE"""),41548.0)</f>
        <v>41548</v>
      </c>
      <c r="C51" s="32">
        <f>IFERROR(__xludf.DUMMYFUNCTION("""COMPUTED_VALUE"""),3027.805)</f>
        <v>3027.805</v>
      </c>
      <c r="H51" s="11"/>
    </row>
    <row r="52">
      <c r="B52" s="11">
        <f>IFERROR(__xludf.DUMMYFUNCTION("""COMPUTED_VALUE"""),41456.0)</f>
        <v>41456</v>
      </c>
      <c r="C52" s="32">
        <f>IFERROR(__xludf.DUMMYFUNCTION("""COMPUTED_VALUE"""),2998.991)</f>
        <v>2998.991</v>
      </c>
      <c r="H52" s="11"/>
    </row>
    <row r="53">
      <c r="B53" s="11">
        <f>IFERROR(__xludf.DUMMYFUNCTION("""COMPUTED_VALUE"""),41365.0)</f>
        <v>41365</v>
      </c>
      <c r="C53" s="32">
        <f>IFERROR(__xludf.DUMMYFUNCTION("""COMPUTED_VALUE"""),2882.489)</f>
        <v>2882.489</v>
      </c>
      <c r="H53" s="11"/>
    </row>
    <row r="54">
      <c r="B54" s="11">
        <f>IFERROR(__xludf.DUMMYFUNCTION("""COMPUTED_VALUE"""),41275.0)</f>
        <v>41275</v>
      </c>
      <c r="C54" s="32">
        <f>IFERROR(__xludf.DUMMYFUNCTION("""COMPUTED_VALUE"""),2845.38)</f>
        <v>2845.38</v>
      </c>
      <c r="H54" s="11"/>
    </row>
    <row r="55">
      <c r="B55" s="11">
        <f>IFERROR(__xludf.DUMMYFUNCTION("""COMPUTED_VALUE"""),41183.0)</f>
        <v>41183</v>
      </c>
      <c r="C55" s="32">
        <f>IFERROR(__xludf.DUMMYFUNCTION("""COMPUTED_VALUE"""),2736.423)</f>
        <v>2736.423</v>
      </c>
      <c r="H55" s="11"/>
    </row>
    <row r="56">
      <c r="B56" s="11">
        <f>IFERROR(__xludf.DUMMYFUNCTION("""COMPUTED_VALUE"""),41091.0)</f>
        <v>41091</v>
      </c>
      <c r="C56" s="32">
        <f>IFERROR(__xludf.DUMMYFUNCTION("""COMPUTED_VALUE"""),2759.86)</f>
        <v>2759.86</v>
      </c>
      <c r="H56" s="11"/>
    </row>
    <row r="57">
      <c r="B57" s="11">
        <f>IFERROR(__xludf.DUMMYFUNCTION("""COMPUTED_VALUE"""),41000.0)</f>
        <v>41000</v>
      </c>
      <c r="C57" s="32">
        <f>IFERROR(__xludf.DUMMYFUNCTION("""COMPUTED_VALUE"""),2752.614)</f>
        <v>2752.614</v>
      </c>
      <c r="H57" s="11"/>
    </row>
    <row r="58">
      <c r="B58" s="11">
        <f>IFERROR(__xludf.DUMMYFUNCTION("""COMPUTED_VALUE"""),40909.0)</f>
        <v>40909</v>
      </c>
      <c r="C58" s="32">
        <f>IFERROR(__xludf.DUMMYFUNCTION("""COMPUTED_VALUE"""),2692.179)</f>
        <v>2692.179</v>
      </c>
      <c r="H58" s="11"/>
    </row>
    <row r="59">
      <c r="B59" s="11">
        <f>IFERROR(__xludf.DUMMYFUNCTION("""COMPUTED_VALUE"""),40817.0)</f>
        <v>40817</v>
      </c>
      <c r="C59" s="32">
        <f>IFERROR(__xludf.DUMMYFUNCTION("""COMPUTED_VALUE"""),2633.829)</f>
        <v>2633.829</v>
      </c>
      <c r="H59" s="11"/>
    </row>
    <row r="60">
      <c r="B60" s="11">
        <f>IFERROR(__xludf.DUMMYFUNCTION("""COMPUTED_VALUE"""),40725.0)</f>
        <v>40725</v>
      </c>
      <c r="C60" s="32">
        <f>IFERROR(__xludf.DUMMYFUNCTION("""COMPUTED_VALUE"""),2445.296)</f>
        <v>2445.296</v>
      </c>
      <c r="H60" s="11"/>
    </row>
    <row r="61">
      <c r="B61" s="11">
        <f>IFERROR(__xludf.DUMMYFUNCTION("""COMPUTED_VALUE"""),40634.0)</f>
        <v>40634</v>
      </c>
      <c r="C61" s="32">
        <f>IFERROR(__xludf.DUMMYFUNCTION("""COMPUTED_VALUE"""),2434.538)</f>
        <v>2434.538</v>
      </c>
      <c r="H61" s="11"/>
    </row>
    <row r="62">
      <c r="B62" s="11">
        <f>IFERROR(__xludf.DUMMYFUNCTION("""COMPUTED_VALUE"""),40544.0)</f>
        <v>40544</v>
      </c>
      <c r="C62" s="32">
        <f>IFERROR(__xludf.DUMMYFUNCTION("""COMPUTED_VALUE"""),2338.901)</f>
        <v>2338.901</v>
      </c>
      <c r="H62" s="11"/>
    </row>
    <row r="63">
      <c r="B63" s="11">
        <f>IFERROR(__xludf.DUMMYFUNCTION("""COMPUTED_VALUE"""),40452.0)</f>
        <v>40452</v>
      </c>
      <c r="C63" s="32">
        <f>IFERROR(__xludf.DUMMYFUNCTION("""COMPUTED_VALUE"""),2383.297)</f>
        <v>2383.297</v>
      </c>
      <c r="H63" s="11"/>
    </row>
    <row r="64">
      <c r="B64" s="11">
        <f>IFERROR(__xludf.DUMMYFUNCTION("""COMPUTED_VALUE"""),40360.0)</f>
        <v>40360</v>
      </c>
      <c r="C64" s="32">
        <f>IFERROR(__xludf.DUMMYFUNCTION("""COMPUTED_VALUE"""),2390.072)</f>
        <v>2390.072</v>
      </c>
      <c r="H64" s="11"/>
    </row>
    <row r="65">
      <c r="B65" s="11">
        <f>IFERROR(__xludf.DUMMYFUNCTION("""COMPUTED_VALUE"""),40269.0)</f>
        <v>40269</v>
      </c>
      <c r="C65" s="32">
        <f>IFERROR(__xludf.DUMMYFUNCTION("""COMPUTED_VALUE"""),2288.469)</f>
        <v>2288.469</v>
      </c>
      <c r="H65" s="11"/>
    </row>
    <row r="66">
      <c r="B66" s="11">
        <f>IFERROR(__xludf.DUMMYFUNCTION("""COMPUTED_VALUE"""),40179.0)</f>
        <v>40179</v>
      </c>
      <c r="C66" s="32">
        <f>IFERROR(__xludf.DUMMYFUNCTION("""COMPUTED_VALUE"""),2174.335)</f>
        <v>2174.335</v>
      </c>
      <c r="H66" s="11"/>
    </row>
    <row r="67">
      <c r="B67" s="11">
        <f>IFERROR(__xludf.DUMMYFUNCTION("""COMPUTED_VALUE"""),40087.0)</f>
        <v>40087</v>
      </c>
      <c r="C67" s="32">
        <f>IFERROR(__xludf.DUMMYFUNCTION("""COMPUTED_VALUE"""),2128.516)</f>
        <v>2128.516</v>
      </c>
      <c r="H67" s="11"/>
    </row>
    <row r="68">
      <c r="B68" s="11">
        <f>IFERROR(__xludf.DUMMYFUNCTION("""COMPUTED_VALUE"""),39995.0)</f>
        <v>39995</v>
      </c>
      <c r="C68" s="32">
        <f>IFERROR(__xludf.DUMMYFUNCTION("""COMPUTED_VALUE"""),1946.867)</f>
        <v>1946.867</v>
      </c>
      <c r="H68" s="11"/>
    </row>
    <row r="69">
      <c r="B69" s="11">
        <f>IFERROR(__xludf.DUMMYFUNCTION("""COMPUTED_VALUE"""),39904.0)</f>
        <v>39904</v>
      </c>
      <c r="C69" s="32">
        <f>IFERROR(__xludf.DUMMYFUNCTION("""COMPUTED_VALUE"""),1952.641)</f>
        <v>1952.641</v>
      </c>
      <c r="H69" s="11"/>
    </row>
    <row r="70">
      <c r="B70" s="11">
        <f>IFERROR(__xludf.DUMMYFUNCTION("""COMPUTED_VALUE"""),39814.0)</f>
        <v>39814</v>
      </c>
      <c r="C70" s="32">
        <f>IFERROR(__xludf.DUMMYFUNCTION("""COMPUTED_VALUE"""),2073.135)</f>
        <v>2073.135</v>
      </c>
      <c r="H70" s="11"/>
    </row>
    <row r="71">
      <c r="B71" s="11">
        <f>IFERROR(__xludf.DUMMYFUNCTION("""COMPUTED_VALUE"""),39722.0)</f>
        <v>39722</v>
      </c>
      <c r="C71" s="32">
        <f>IFERROR(__xludf.DUMMYFUNCTION("""COMPUTED_VALUE"""),2338.938)</f>
        <v>2338.938</v>
      </c>
      <c r="H71" s="11"/>
    </row>
    <row r="72">
      <c r="B72" s="11">
        <f>IFERROR(__xludf.DUMMYFUNCTION("""COMPUTED_VALUE"""),39630.0)</f>
        <v>39630</v>
      </c>
      <c r="C72" s="32">
        <f>IFERROR(__xludf.DUMMYFUNCTION("""COMPUTED_VALUE"""),2589.254)</f>
        <v>2589.254</v>
      </c>
      <c r="H72" s="11"/>
    </row>
    <row r="73">
      <c r="B73" s="11">
        <f>IFERROR(__xludf.DUMMYFUNCTION("""COMPUTED_VALUE"""),39539.0)</f>
        <v>39539</v>
      </c>
      <c r="C73" s="32">
        <f>IFERROR(__xludf.DUMMYFUNCTION("""COMPUTED_VALUE"""),2641.85)</f>
        <v>2641.85</v>
      </c>
      <c r="H73" s="11"/>
    </row>
    <row r="74">
      <c r="B74" s="11">
        <f>IFERROR(__xludf.DUMMYFUNCTION("""COMPUTED_VALUE"""),39448.0)</f>
        <v>39448</v>
      </c>
      <c r="C74" s="32">
        <f>IFERROR(__xludf.DUMMYFUNCTION("""COMPUTED_VALUE"""),2686.998)</f>
        <v>2686.998</v>
      </c>
      <c r="H74" s="11"/>
    </row>
    <row r="75">
      <c r="B75" s="11">
        <f>IFERROR(__xludf.DUMMYFUNCTION("""COMPUTED_VALUE"""),39356.0)</f>
        <v>39356</v>
      </c>
      <c r="C75" s="32">
        <f>IFERROR(__xludf.DUMMYFUNCTION("""COMPUTED_VALUE"""),2762.518)</f>
        <v>2762.518</v>
      </c>
      <c r="H75" s="11"/>
    </row>
    <row r="76">
      <c r="B76" s="11">
        <f>IFERROR(__xludf.DUMMYFUNCTION("""COMPUTED_VALUE"""),39264.0)</f>
        <v>39264</v>
      </c>
      <c r="C76" s="32">
        <f>IFERROR(__xludf.DUMMYFUNCTION("""COMPUTED_VALUE"""),2794.526)</f>
        <v>2794.526</v>
      </c>
      <c r="H76" s="11"/>
    </row>
    <row r="77">
      <c r="B77" s="11">
        <f>IFERROR(__xludf.DUMMYFUNCTION("""COMPUTED_VALUE"""),39173.0)</f>
        <v>39173</v>
      </c>
      <c r="C77" s="32">
        <f>IFERROR(__xludf.DUMMYFUNCTION("""COMPUTED_VALUE"""),2827.01)</f>
        <v>2827.01</v>
      </c>
      <c r="H77" s="11"/>
    </row>
    <row r="78">
      <c r="B78" s="11">
        <f>IFERROR(__xludf.DUMMYFUNCTION("""COMPUTED_VALUE"""),39083.0)</f>
        <v>39083</v>
      </c>
      <c r="C78" s="32">
        <f>IFERROR(__xludf.DUMMYFUNCTION("""COMPUTED_VALUE"""),2800.037)</f>
        <v>2800.037</v>
      </c>
      <c r="H78" s="11"/>
    </row>
    <row r="79">
      <c r="B79" s="11">
        <f>IFERROR(__xludf.DUMMYFUNCTION("""COMPUTED_VALUE"""),38991.0)</f>
        <v>38991</v>
      </c>
      <c r="C79" s="32">
        <f>IFERROR(__xludf.DUMMYFUNCTION("""COMPUTED_VALUE"""),2818.228)</f>
        <v>2818.228</v>
      </c>
      <c r="H79" s="11"/>
    </row>
    <row r="80">
      <c r="B80" s="11">
        <f>IFERROR(__xludf.DUMMYFUNCTION("""COMPUTED_VALUE"""),38899.0)</f>
        <v>38899</v>
      </c>
      <c r="C80" s="32">
        <f>IFERROR(__xludf.DUMMYFUNCTION("""COMPUTED_VALUE"""),2871.589)</f>
        <v>2871.589</v>
      </c>
      <c r="H80" s="11"/>
    </row>
    <row r="81">
      <c r="B81" s="11">
        <f>IFERROR(__xludf.DUMMYFUNCTION("""COMPUTED_VALUE"""),38808.0)</f>
        <v>38808</v>
      </c>
      <c r="C81" s="32">
        <f>IFERROR(__xludf.DUMMYFUNCTION("""COMPUTED_VALUE"""),2882.564)</f>
        <v>2882.564</v>
      </c>
      <c r="H81" s="11"/>
    </row>
    <row r="82">
      <c r="B82" s="11">
        <f>IFERROR(__xludf.DUMMYFUNCTION("""COMPUTED_VALUE"""),38718.0)</f>
        <v>38718</v>
      </c>
      <c r="C82" s="32">
        <f>IFERROR(__xludf.DUMMYFUNCTION("""COMPUTED_VALUE"""),2899.229)</f>
        <v>2899.229</v>
      </c>
      <c r="H82" s="11"/>
    </row>
    <row r="83">
      <c r="B83" s="11">
        <f>IFERROR(__xludf.DUMMYFUNCTION("""COMPUTED_VALUE"""),38626.0)</f>
        <v>38626</v>
      </c>
      <c r="C83" s="32">
        <f>IFERROR(__xludf.DUMMYFUNCTION("""COMPUTED_VALUE"""),2857.35)</f>
        <v>2857.35</v>
      </c>
      <c r="H83" s="11"/>
    </row>
    <row r="84">
      <c r="B84" s="11">
        <f>IFERROR(__xludf.DUMMYFUNCTION("""COMPUTED_VALUE"""),38534.0)</f>
        <v>38534</v>
      </c>
      <c r="C84" s="32">
        <f>IFERROR(__xludf.DUMMYFUNCTION("""COMPUTED_VALUE"""),2769.106)</f>
        <v>2769.106</v>
      </c>
      <c r="H84" s="11"/>
    </row>
    <row r="85">
      <c r="B85" s="11">
        <f>IFERROR(__xludf.DUMMYFUNCTION("""COMPUTED_VALUE"""),38443.0)</f>
        <v>38443</v>
      </c>
      <c r="C85" s="32">
        <f>IFERROR(__xludf.DUMMYFUNCTION("""COMPUTED_VALUE"""),2733.225)</f>
        <v>2733.225</v>
      </c>
      <c r="H85" s="11"/>
    </row>
    <row r="86">
      <c r="B86" s="11">
        <f>IFERROR(__xludf.DUMMYFUNCTION("""COMPUTED_VALUE"""),38353.0)</f>
        <v>38353</v>
      </c>
      <c r="C86" s="32">
        <f>IFERROR(__xludf.DUMMYFUNCTION("""COMPUTED_VALUE"""),2769.261)</f>
        <v>2769.261</v>
      </c>
      <c r="H86" s="11"/>
    </row>
    <row r="87">
      <c r="B87" s="11">
        <f>IFERROR(__xludf.DUMMYFUNCTION("""COMPUTED_VALUE"""),38261.0)</f>
        <v>38261</v>
      </c>
      <c r="C87" s="32">
        <f>IFERROR(__xludf.DUMMYFUNCTION("""COMPUTED_VALUE"""),2693.575)</f>
        <v>2693.575</v>
      </c>
      <c r="H87" s="11"/>
    </row>
    <row r="88">
      <c r="B88" s="11">
        <f>IFERROR(__xludf.DUMMYFUNCTION("""COMPUTED_VALUE"""),38169.0)</f>
        <v>38169</v>
      </c>
      <c r="C88" s="32">
        <f>IFERROR(__xludf.DUMMYFUNCTION("""COMPUTED_VALUE"""),2638.672)</f>
        <v>2638.672</v>
      </c>
      <c r="H88" s="11"/>
    </row>
    <row r="89">
      <c r="B89" s="11">
        <f>IFERROR(__xludf.DUMMYFUNCTION("""COMPUTED_VALUE"""),38078.0)</f>
        <v>38078</v>
      </c>
      <c r="C89" s="32">
        <f>IFERROR(__xludf.DUMMYFUNCTION("""COMPUTED_VALUE"""),2597.507)</f>
        <v>2597.507</v>
      </c>
      <c r="H89" s="11"/>
    </row>
    <row r="90">
      <c r="B90" s="11">
        <f>IFERROR(__xludf.DUMMYFUNCTION("""COMPUTED_VALUE"""),37987.0)</f>
        <v>37987</v>
      </c>
      <c r="C90" s="32">
        <f>IFERROR(__xludf.DUMMYFUNCTION("""COMPUTED_VALUE"""),2498.14)</f>
        <v>2498.14</v>
      </c>
      <c r="H90" s="11"/>
    </row>
    <row r="91">
      <c r="B91" s="11">
        <f>IFERROR(__xludf.DUMMYFUNCTION("""COMPUTED_VALUE"""),37895.0)</f>
        <v>37895</v>
      </c>
      <c r="C91" s="32">
        <f>IFERROR(__xludf.DUMMYFUNCTION("""COMPUTED_VALUE"""),2493.928)</f>
        <v>2493.928</v>
      </c>
      <c r="H91" s="11"/>
    </row>
    <row r="92">
      <c r="B92" s="11">
        <f>IFERROR(__xludf.DUMMYFUNCTION("""COMPUTED_VALUE"""),37803.0)</f>
        <v>37803</v>
      </c>
      <c r="C92" s="32">
        <f>IFERROR(__xludf.DUMMYFUNCTION("""COMPUTED_VALUE"""),2411.638)</f>
        <v>2411.638</v>
      </c>
      <c r="H92" s="11"/>
    </row>
    <row r="93">
      <c r="B93" s="11">
        <f>IFERROR(__xludf.DUMMYFUNCTION("""COMPUTED_VALUE"""),37712.0)</f>
        <v>37712</v>
      </c>
      <c r="C93" s="32">
        <f>IFERROR(__xludf.DUMMYFUNCTION("""COMPUTED_VALUE"""),2327.492)</f>
        <v>2327.492</v>
      </c>
      <c r="H93" s="11"/>
    </row>
    <row r="94">
      <c r="B94" s="11">
        <f>IFERROR(__xludf.DUMMYFUNCTION("""COMPUTED_VALUE"""),37622.0)</f>
        <v>37622</v>
      </c>
      <c r="C94" s="32">
        <f>IFERROR(__xludf.DUMMYFUNCTION("""COMPUTED_VALUE"""),2312.465)</f>
        <v>2312.465</v>
      </c>
      <c r="H94" s="11"/>
    </row>
    <row r="95">
      <c r="B95" s="11">
        <f>IFERROR(__xludf.DUMMYFUNCTION("""COMPUTED_VALUE"""),37530.0)</f>
        <v>37530</v>
      </c>
      <c r="C95" s="32">
        <f>IFERROR(__xludf.DUMMYFUNCTION("""COMPUTED_VALUE"""),2293.746)</f>
        <v>2293.746</v>
      </c>
      <c r="H95" s="11"/>
    </row>
    <row r="96">
      <c r="B96" s="11">
        <f>IFERROR(__xludf.DUMMYFUNCTION("""COMPUTED_VALUE"""),37438.0)</f>
        <v>37438</v>
      </c>
      <c r="C96" s="32">
        <f>IFERROR(__xludf.DUMMYFUNCTION("""COMPUTED_VALUE"""),2295.983)</f>
        <v>2295.983</v>
      </c>
      <c r="H96" s="11"/>
    </row>
    <row r="97">
      <c r="B97" s="11">
        <f>IFERROR(__xludf.DUMMYFUNCTION("""COMPUTED_VALUE"""),37347.0)</f>
        <v>37347</v>
      </c>
      <c r="C97" s="32">
        <f>IFERROR(__xludf.DUMMYFUNCTION("""COMPUTED_VALUE"""),2298.939)</f>
        <v>2298.939</v>
      </c>
      <c r="H97" s="11"/>
    </row>
    <row r="98">
      <c r="B98" s="11">
        <f>IFERROR(__xludf.DUMMYFUNCTION("""COMPUTED_VALUE"""),37257.0)</f>
        <v>37257</v>
      </c>
      <c r="C98" s="32">
        <f>IFERROR(__xludf.DUMMYFUNCTION("""COMPUTED_VALUE"""),2262.071)</f>
        <v>2262.071</v>
      </c>
      <c r="H98" s="11"/>
    </row>
    <row r="99">
      <c r="B99" s="11">
        <f>IFERROR(__xludf.DUMMYFUNCTION("""COMPUTED_VALUE"""),37165.0)</f>
        <v>37165</v>
      </c>
      <c r="C99" s="32">
        <f>IFERROR(__xludf.DUMMYFUNCTION("""COMPUTED_VALUE"""),2196.554)</f>
        <v>2196.554</v>
      </c>
      <c r="H99" s="11"/>
    </row>
    <row r="100">
      <c r="B100" s="11">
        <f>IFERROR(__xludf.DUMMYFUNCTION("""COMPUTED_VALUE"""),37073.0)</f>
        <v>37073</v>
      </c>
      <c r="C100" s="32">
        <f>IFERROR(__xludf.DUMMYFUNCTION("""COMPUTED_VALUE"""),2311.409)</f>
        <v>2311.409</v>
      </c>
      <c r="H100" s="11"/>
    </row>
    <row r="101">
      <c r="B101" s="11">
        <f>IFERROR(__xludf.DUMMYFUNCTION("""COMPUTED_VALUE"""),36982.0)</f>
        <v>36982</v>
      </c>
      <c r="C101" s="32">
        <f>IFERROR(__xludf.DUMMYFUNCTION("""COMPUTED_VALUE"""),2362.652)</f>
        <v>2362.652</v>
      </c>
      <c r="H101" s="11"/>
    </row>
    <row r="102">
      <c r="B102" s="11">
        <f>IFERROR(__xludf.DUMMYFUNCTION("""COMPUTED_VALUE"""),36892.0)</f>
        <v>36892</v>
      </c>
      <c r="C102" s="32">
        <f>IFERROR(__xludf.DUMMYFUNCTION("""COMPUTED_VALUE"""),2358.969)</f>
        <v>2358.969</v>
      </c>
      <c r="H102" s="11"/>
    </row>
    <row r="103">
      <c r="B103" s="11">
        <f>IFERROR(__xludf.DUMMYFUNCTION("""COMPUTED_VALUE"""),36800.0)</f>
        <v>36800</v>
      </c>
      <c r="C103" s="32">
        <f>IFERROR(__xludf.DUMMYFUNCTION("""COMPUTED_VALUE"""),2471.534)</f>
        <v>2471.534</v>
      </c>
      <c r="H103" s="11"/>
    </row>
    <row r="104">
      <c r="B104" s="11">
        <f>IFERROR(__xludf.DUMMYFUNCTION("""COMPUTED_VALUE"""),36708.0)</f>
        <v>36708</v>
      </c>
      <c r="C104" s="32">
        <f>IFERROR(__xludf.DUMMYFUNCTION("""COMPUTED_VALUE"""),2466.375)</f>
        <v>2466.375</v>
      </c>
      <c r="H104" s="11"/>
    </row>
    <row r="105">
      <c r="B105" s="11">
        <f>IFERROR(__xludf.DUMMYFUNCTION("""COMPUTED_VALUE"""),36617.0)</f>
        <v>36617</v>
      </c>
      <c r="C105" s="32">
        <f>IFERROR(__xludf.DUMMYFUNCTION("""COMPUTED_VALUE"""),2490.501)</f>
        <v>2490.501</v>
      </c>
      <c r="H105" s="11"/>
    </row>
    <row r="106">
      <c r="B106" s="11">
        <f>IFERROR(__xludf.DUMMYFUNCTION("""COMPUTED_VALUE"""),36526.0)</f>
        <v>36526</v>
      </c>
      <c r="C106" s="32">
        <f>IFERROR(__xludf.DUMMYFUNCTION("""COMPUTED_VALUE"""),2351.223)</f>
        <v>2351.223</v>
      </c>
      <c r="H106" s="11"/>
    </row>
    <row r="107">
      <c r="B107" s="11">
        <f>IFERROR(__xludf.DUMMYFUNCTION("""COMPUTED_VALUE"""),36434.0)</f>
        <v>36434</v>
      </c>
      <c r="C107" s="32">
        <f>IFERROR(__xludf.DUMMYFUNCTION("""COMPUTED_VALUE"""),2367.988)</f>
        <v>2367.988</v>
      </c>
      <c r="H107" s="11"/>
    </row>
    <row r="108">
      <c r="B108" s="11">
        <f>IFERROR(__xludf.DUMMYFUNCTION("""COMPUTED_VALUE"""),36342.0)</f>
        <v>36342</v>
      </c>
      <c r="C108" s="32">
        <f>IFERROR(__xludf.DUMMYFUNCTION("""COMPUTED_VALUE"""),2306.47)</f>
        <v>2306.47</v>
      </c>
      <c r="H108" s="11"/>
    </row>
    <row r="109">
      <c r="B109" s="11">
        <f>IFERROR(__xludf.DUMMYFUNCTION("""COMPUTED_VALUE"""),36251.0)</f>
        <v>36251</v>
      </c>
      <c r="C109" s="32">
        <f>IFERROR(__xludf.DUMMYFUNCTION("""COMPUTED_VALUE"""),2244.682)</f>
        <v>2244.682</v>
      </c>
      <c r="H109" s="11"/>
    </row>
    <row r="110">
      <c r="B110" s="11">
        <f>IFERROR(__xludf.DUMMYFUNCTION("""COMPUTED_VALUE"""),36161.0)</f>
        <v>36161</v>
      </c>
      <c r="C110" s="32">
        <f>IFERROR(__xludf.DUMMYFUNCTION("""COMPUTED_VALUE"""),2243.548)</f>
        <v>2243.548</v>
      </c>
      <c r="H110" s="11"/>
    </row>
    <row r="111">
      <c r="B111" s="11">
        <f>IFERROR(__xludf.DUMMYFUNCTION("""COMPUTED_VALUE"""),36069.0)</f>
        <v>36069</v>
      </c>
      <c r="C111" s="32">
        <f>IFERROR(__xludf.DUMMYFUNCTION("""COMPUTED_VALUE"""),2183.382)</f>
        <v>2183.382</v>
      </c>
      <c r="H111" s="11"/>
    </row>
    <row r="112">
      <c r="B112" s="11">
        <f>IFERROR(__xludf.DUMMYFUNCTION("""COMPUTED_VALUE"""),35977.0)</f>
        <v>35977</v>
      </c>
      <c r="C112" s="32">
        <f>IFERROR(__xludf.DUMMYFUNCTION("""COMPUTED_VALUE"""),2118.989)</f>
        <v>2118.989</v>
      </c>
      <c r="H112" s="11"/>
    </row>
    <row r="113">
      <c r="B113" s="11">
        <f>IFERROR(__xludf.DUMMYFUNCTION("""COMPUTED_VALUE"""),35886.0)</f>
        <v>35886</v>
      </c>
      <c r="C113" s="32">
        <f>IFERROR(__xludf.DUMMYFUNCTION("""COMPUTED_VALUE"""),2065.336)</f>
        <v>2065.336</v>
      </c>
      <c r="H113" s="11"/>
    </row>
    <row r="114">
      <c r="B114" s="11">
        <f>IFERROR(__xludf.DUMMYFUNCTION("""COMPUTED_VALUE"""),35796.0)</f>
        <v>35796</v>
      </c>
      <c r="C114" s="32">
        <f>IFERROR(__xludf.DUMMYFUNCTION("""COMPUTED_VALUE"""),2078.205)</f>
        <v>2078.205</v>
      </c>
      <c r="H114" s="11"/>
    </row>
    <row r="115">
      <c r="B115" s="11">
        <f>IFERROR(__xludf.DUMMYFUNCTION("""COMPUTED_VALUE"""),35704.0)</f>
        <v>35704</v>
      </c>
      <c r="C115" s="32">
        <f>IFERROR(__xludf.DUMMYFUNCTION("""COMPUTED_VALUE"""),1990.86)</f>
        <v>1990.86</v>
      </c>
      <c r="H115" s="11"/>
    </row>
    <row r="116">
      <c r="B116" s="11">
        <f>IFERROR(__xludf.DUMMYFUNCTION("""COMPUTED_VALUE"""),35612.0)</f>
        <v>35612</v>
      </c>
      <c r="C116" s="32">
        <f>IFERROR(__xludf.DUMMYFUNCTION("""COMPUTED_VALUE"""),1962.053)</f>
        <v>1962.053</v>
      </c>
      <c r="H116" s="11"/>
    </row>
    <row r="117">
      <c r="B117" s="11">
        <f>IFERROR(__xludf.DUMMYFUNCTION("""COMPUTED_VALUE"""),35521.0)</f>
        <v>35521</v>
      </c>
      <c r="C117" s="32">
        <f>IFERROR(__xludf.DUMMYFUNCTION("""COMPUTED_VALUE"""),1935.157)</f>
        <v>1935.157</v>
      </c>
      <c r="H117" s="11"/>
    </row>
    <row r="118">
      <c r="B118" s="11">
        <f>IFERROR(__xludf.DUMMYFUNCTION("""COMPUTED_VALUE"""),35431.0)</f>
        <v>35431</v>
      </c>
      <c r="C118" s="32">
        <f>IFERROR(__xludf.DUMMYFUNCTION("""COMPUTED_VALUE"""),1823.255)</f>
        <v>1823.255</v>
      </c>
      <c r="H118" s="11"/>
    </row>
    <row r="119">
      <c r="B119" s="11">
        <f>IFERROR(__xludf.DUMMYFUNCTION("""COMPUTED_VALUE"""),35339.0)</f>
        <v>35339</v>
      </c>
      <c r="C119" s="32">
        <f>IFERROR(__xludf.DUMMYFUNCTION("""COMPUTED_VALUE"""),1787.19)</f>
        <v>1787.19</v>
      </c>
      <c r="H119" s="11"/>
    </row>
    <row r="120">
      <c r="B120" s="11">
        <f>IFERROR(__xludf.DUMMYFUNCTION("""COMPUTED_VALUE"""),35247.0)</f>
        <v>35247</v>
      </c>
      <c r="C120" s="32">
        <f>IFERROR(__xludf.DUMMYFUNCTION("""COMPUTED_VALUE"""),1789.565)</f>
        <v>1789.565</v>
      </c>
      <c r="H120" s="11"/>
    </row>
    <row r="121">
      <c r="B121" s="11">
        <f>IFERROR(__xludf.DUMMYFUNCTION("""COMPUTED_VALUE"""),35156.0)</f>
        <v>35156</v>
      </c>
      <c r="C121" s="32">
        <f>IFERROR(__xludf.DUMMYFUNCTION("""COMPUTED_VALUE"""),1711.813)</f>
        <v>1711.813</v>
      </c>
      <c r="H121" s="11"/>
    </row>
    <row r="122">
      <c r="B122" s="11">
        <f>IFERROR(__xludf.DUMMYFUNCTION("""COMPUTED_VALUE"""),35065.0)</f>
        <v>35065</v>
      </c>
      <c r="C122" s="32">
        <f>IFERROR(__xludf.DUMMYFUNCTION("""COMPUTED_VALUE"""),1633.332)</f>
        <v>1633.332</v>
      </c>
      <c r="H122" s="11"/>
    </row>
    <row r="123">
      <c r="B123" s="11">
        <f>IFERROR(__xludf.DUMMYFUNCTION("""COMPUTED_VALUE"""),34973.0)</f>
        <v>34973</v>
      </c>
      <c r="C123" s="32">
        <f>IFERROR(__xludf.DUMMYFUNCTION("""COMPUTED_VALUE"""),1607.513)</f>
        <v>1607.513</v>
      </c>
      <c r="H123" s="11"/>
    </row>
    <row r="124">
      <c r="B124" s="11">
        <f>IFERROR(__xludf.DUMMYFUNCTION("""COMPUTED_VALUE"""),34881.0)</f>
        <v>34881</v>
      </c>
      <c r="C124" s="32">
        <f>IFERROR(__xludf.DUMMYFUNCTION("""COMPUTED_VALUE"""),1568.555)</f>
        <v>1568.555</v>
      </c>
      <c r="H124" s="11"/>
    </row>
    <row r="125">
      <c r="B125" s="11">
        <f>IFERROR(__xludf.DUMMYFUNCTION("""COMPUTED_VALUE"""),34790.0)</f>
        <v>34790</v>
      </c>
      <c r="C125" s="32">
        <f>IFERROR(__xludf.DUMMYFUNCTION("""COMPUTED_VALUE"""),1577.96)</f>
        <v>1577.96</v>
      </c>
      <c r="H125" s="11"/>
    </row>
    <row r="126">
      <c r="B126" s="11">
        <f>IFERROR(__xludf.DUMMYFUNCTION("""COMPUTED_VALUE"""),34700.0)</f>
        <v>34700</v>
      </c>
      <c r="C126" s="32">
        <f>IFERROR(__xludf.DUMMYFUNCTION("""COMPUTED_VALUE"""),1611.428)</f>
        <v>1611.428</v>
      </c>
      <c r="H126" s="11"/>
    </row>
    <row r="127">
      <c r="B127" s="11">
        <f>IFERROR(__xludf.DUMMYFUNCTION("""COMPUTED_VALUE"""),34608.0)</f>
        <v>34608</v>
      </c>
      <c r="C127" s="32">
        <f>IFERROR(__xludf.DUMMYFUNCTION("""COMPUTED_VALUE"""),1594.684)</f>
        <v>1594.684</v>
      </c>
      <c r="H127" s="11"/>
    </row>
    <row r="128">
      <c r="B128" s="11">
        <f>IFERROR(__xludf.DUMMYFUNCTION("""COMPUTED_VALUE"""),34516.0)</f>
        <v>34516</v>
      </c>
      <c r="C128" s="32">
        <f>IFERROR(__xludf.DUMMYFUNCTION("""COMPUTED_VALUE"""),1531.67)</f>
        <v>1531.67</v>
      </c>
      <c r="H128" s="11"/>
    </row>
    <row r="129">
      <c r="B129" s="11">
        <f>IFERROR(__xludf.DUMMYFUNCTION("""COMPUTED_VALUE"""),34425.0)</f>
        <v>34425</v>
      </c>
      <c r="C129" s="32">
        <f>IFERROR(__xludf.DUMMYFUNCTION("""COMPUTED_VALUE"""),1557.107)</f>
        <v>1557.107</v>
      </c>
      <c r="H129" s="11"/>
    </row>
    <row r="130">
      <c r="B130" s="11">
        <f>IFERROR(__xludf.DUMMYFUNCTION("""COMPUTED_VALUE"""),34335.0)</f>
        <v>34335</v>
      </c>
      <c r="C130" s="32">
        <f>IFERROR(__xludf.DUMMYFUNCTION("""COMPUTED_VALUE"""),1484.116)</f>
        <v>1484.116</v>
      </c>
      <c r="H130" s="11"/>
    </row>
    <row r="131">
      <c r="B131" s="11">
        <f>IFERROR(__xludf.DUMMYFUNCTION("""COMPUTED_VALUE"""),34243.0)</f>
        <v>34243</v>
      </c>
      <c r="C131" s="32">
        <f>IFERROR(__xludf.DUMMYFUNCTION("""COMPUTED_VALUE"""),1429.661)</f>
        <v>1429.661</v>
      </c>
      <c r="H131" s="11"/>
    </row>
    <row r="132">
      <c r="B132" s="11">
        <f>IFERROR(__xludf.DUMMYFUNCTION("""COMPUTED_VALUE"""),34151.0)</f>
        <v>34151</v>
      </c>
      <c r="C132" s="32">
        <f>IFERROR(__xludf.DUMMYFUNCTION("""COMPUTED_VALUE"""),1358.287)</f>
        <v>1358.287</v>
      </c>
      <c r="H132" s="11"/>
    </row>
    <row r="133">
      <c r="B133" s="11">
        <f>IFERROR(__xludf.DUMMYFUNCTION("""COMPUTED_VALUE"""),34060.0)</f>
        <v>34060</v>
      </c>
      <c r="C133" s="32">
        <f>IFERROR(__xludf.DUMMYFUNCTION("""COMPUTED_VALUE"""),1367.575)</f>
        <v>1367.575</v>
      </c>
      <c r="H133" s="11"/>
    </row>
    <row r="134">
      <c r="B134" s="11">
        <f>IFERROR(__xludf.DUMMYFUNCTION("""COMPUTED_VALUE"""),33970.0)</f>
        <v>33970</v>
      </c>
      <c r="C134" s="32">
        <f>IFERROR(__xludf.DUMMYFUNCTION("""COMPUTED_VALUE"""),1359.751)</f>
        <v>1359.751</v>
      </c>
      <c r="H134" s="11"/>
    </row>
    <row r="135">
      <c r="B135" s="11">
        <f>IFERROR(__xludf.DUMMYFUNCTION("""COMPUTED_VALUE"""),33878.0)</f>
        <v>33878</v>
      </c>
      <c r="C135" s="32">
        <f>IFERROR(__xludf.DUMMYFUNCTION("""COMPUTED_VALUE"""),1328.433)</f>
        <v>1328.433</v>
      </c>
      <c r="H135" s="11"/>
    </row>
    <row r="136">
      <c r="B136" s="11">
        <f>IFERROR(__xludf.DUMMYFUNCTION("""COMPUTED_VALUE"""),33786.0)</f>
        <v>33786</v>
      </c>
      <c r="C136" s="32">
        <f>IFERROR(__xludf.DUMMYFUNCTION("""COMPUTED_VALUE"""),1289.101)</f>
        <v>1289.101</v>
      </c>
      <c r="H136" s="11"/>
    </row>
    <row r="137">
      <c r="B137" s="11">
        <f>IFERROR(__xludf.DUMMYFUNCTION("""COMPUTED_VALUE"""),33695.0)</f>
        <v>33695</v>
      </c>
      <c r="C137" s="32">
        <f>IFERROR(__xludf.DUMMYFUNCTION("""COMPUTED_VALUE"""),1278.935)</f>
        <v>1278.935</v>
      </c>
      <c r="H137" s="11"/>
    </row>
    <row r="138">
      <c r="B138" s="11">
        <f>IFERROR(__xludf.DUMMYFUNCTION("""COMPUTED_VALUE"""),33604.0)</f>
        <v>33604</v>
      </c>
      <c r="C138" s="32">
        <f>IFERROR(__xludf.DUMMYFUNCTION("""COMPUTED_VALUE"""),1210.478)</f>
        <v>1210.478</v>
      </c>
      <c r="H138" s="11"/>
    </row>
    <row r="139">
      <c r="B139" s="11">
        <f>IFERROR(__xludf.DUMMYFUNCTION("""COMPUTED_VALUE"""),33512.0)</f>
        <v>33512</v>
      </c>
      <c r="C139" s="32">
        <f>IFERROR(__xludf.DUMMYFUNCTION("""COMPUTED_VALUE"""),1233.261)</f>
        <v>1233.261</v>
      </c>
      <c r="H139" s="11"/>
    </row>
    <row r="140">
      <c r="B140" s="11">
        <f>IFERROR(__xludf.DUMMYFUNCTION("""COMPUTED_VALUE"""),33420.0)</f>
        <v>33420</v>
      </c>
      <c r="C140" s="32">
        <f>IFERROR(__xludf.DUMMYFUNCTION("""COMPUTED_VALUE"""),1191.028)</f>
        <v>1191.028</v>
      </c>
      <c r="H140" s="11"/>
    </row>
    <row r="141">
      <c r="B141" s="11">
        <f>IFERROR(__xludf.DUMMYFUNCTION("""COMPUTED_VALUE"""),33329.0)</f>
        <v>33329</v>
      </c>
      <c r="C141" s="32">
        <f>IFERROR(__xludf.DUMMYFUNCTION("""COMPUTED_VALUE"""),1167.904)</f>
        <v>1167.904</v>
      </c>
      <c r="H141" s="11"/>
    </row>
    <row r="142">
      <c r="B142" s="11">
        <f>IFERROR(__xludf.DUMMYFUNCTION("""COMPUTED_VALUE"""),33239.0)</f>
        <v>33239</v>
      </c>
      <c r="C142" s="32">
        <f>IFERROR(__xludf.DUMMYFUNCTION("""COMPUTED_VALUE"""),1167.908)</f>
        <v>1167.908</v>
      </c>
      <c r="H142" s="11"/>
    </row>
    <row r="143">
      <c r="B143" s="11">
        <f>IFERROR(__xludf.DUMMYFUNCTION("""COMPUTED_VALUE"""),33147.0)</f>
        <v>33147</v>
      </c>
      <c r="C143" s="32">
        <f>IFERROR(__xludf.DUMMYFUNCTION("""COMPUTED_VALUE"""),1208.107)</f>
        <v>1208.107</v>
      </c>
      <c r="H143" s="11"/>
    </row>
    <row r="144">
      <c r="B144" s="11">
        <f>IFERROR(__xludf.DUMMYFUNCTION("""COMPUTED_VALUE"""),33055.0)</f>
        <v>33055</v>
      </c>
      <c r="C144" s="32">
        <f>IFERROR(__xludf.DUMMYFUNCTION("""COMPUTED_VALUE"""),1279.695)</f>
        <v>1279.695</v>
      </c>
      <c r="H144" s="11"/>
    </row>
    <row r="145">
      <c r="B145" s="11">
        <f>IFERROR(__xludf.DUMMYFUNCTION("""COMPUTED_VALUE"""),32964.0)</f>
        <v>32964</v>
      </c>
      <c r="C145" s="32">
        <f>IFERROR(__xludf.DUMMYFUNCTION("""COMPUTED_VALUE"""),1304.993)</f>
        <v>1304.993</v>
      </c>
      <c r="H145" s="11"/>
    </row>
    <row r="146">
      <c r="B146" s="11">
        <f>IFERROR(__xludf.DUMMYFUNCTION("""COMPUTED_VALUE"""),32874.0)</f>
        <v>32874</v>
      </c>
      <c r="C146" s="32">
        <f>IFERROR(__xludf.DUMMYFUNCTION("""COMPUTED_VALUE"""),1304.586)</f>
        <v>1304.586</v>
      </c>
      <c r="H146" s="11"/>
    </row>
    <row r="147">
      <c r="B147" s="11">
        <f>IFERROR(__xludf.DUMMYFUNCTION("""COMPUTED_VALUE"""),32782.0)</f>
        <v>32782</v>
      </c>
      <c r="C147" s="32">
        <f>IFERROR(__xludf.DUMMYFUNCTION("""COMPUTED_VALUE"""),1291.758)</f>
        <v>1291.758</v>
      </c>
      <c r="H147" s="11"/>
    </row>
    <row r="148">
      <c r="B148" s="11">
        <f>IFERROR(__xludf.DUMMYFUNCTION("""COMPUTED_VALUE"""),32690.0)</f>
        <v>32690</v>
      </c>
      <c r="C148" s="32">
        <f>IFERROR(__xludf.DUMMYFUNCTION("""COMPUTED_VALUE"""),1301.412)</f>
        <v>1301.412</v>
      </c>
      <c r="H148" s="11"/>
    </row>
    <row r="149">
      <c r="B149" s="11">
        <f>IFERROR(__xludf.DUMMYFUNCTION("""COMPUTED_VALUE"""),32599.0)</f>
        <v>32599</v>
      </c>
      <c r="C149" s="32">
        <f>IFERROR(__xludf.DUMMYFUNCTION("""COMPUTED_VALUE"""),1313.202)</f>
        <v>1313.202</v>
      </c>
      <c r="H149" s="11"/>
    </row>
    <row r="150">
      <c r="B150" s="11">
        <f>IFERROR(__xludf.DUMMYFUNCTION("""COMPUTED_VALUE"""),32509.0)</f>
        <v>32509</v>
      </c>
      <c r="C150" s="32">
        <f>IFERROR(__xludf.DUMMYFUNCTION("""COMPUTED_VALUE"""),1326.029)</f>
        <v>1326.029</v>
      </c>
      <c r="H150" s="11"/>
    </row>
    <row r="151">
      <c r="B151" s="11">
        <f>IFERROR(__xludf.DUMMYFUNCTION("""COMPUTED_VALUE"""),32417.0)</f>
        <v>32417</v>
      </c>
      <c r="C151" s="32">
        <f>IFERROR(__xludf.DUMMYFUNCTION("""COMPUTED_VALUE"""),1282.499)</f>
        <v>1282.499</v>
      </c>
      <c r="H151" s="11"/>
    </row>
    <row r="152">
      <c r="B152" s="11">
        <f>IFERROR(__xludf.DUMMYFUNCTION("""COMPUTED_VALUE"""),32325.0)</f>
        <v>32325</v>
      </c>
      <c r="C152" s="32">
        <f>IFERROR(__xludf.DUMMYFUNCTION("""COMPUTED_VALUE"""),1263.222)</f>
        <v>1263.222</v>
      </c>
      <c r="H152" s="11"/>
    </row>
    <row r="153">
      <c r="B153" s="11">
        <f>IFERROR(__xludf.DUMMYFUNCTION("""COMPUTED_VALUE"""),32234.0)</f>
        <v>32234</v>
      </c>
      <c r="C153" s="32">
        <f>IFERROR(__xludf.DUMMYFUNCTION("""COMPUTED_VALUE"""),1256.243)</f>
        <v>1256.243</v>
      </c>
      <c r="H153" s="11"/>
    </row>
    <row r="154">
      <c r="B154" s="11">
        <f>IFERROR(__xludf.DUMMYFUNCTION("""COMPUTED_VALUE"""),32143.0)</f>
        <v>32143</v>
      </c>
      <c r="C154" s="32">
        <f>IFERROR(__xludf.DUMMYFUNCTION("""COMPUTED_VALUE"""),1227.008)</f>
        <v>1227.008</v>
      </c>
      <c r="H154" s="11"/>
    </row>
    <row r="155">
      <c r="B155" s="11">
        <f>IFERROR(__xludf.DUMMYFUNCTION("""COMPUTED_VALUE"""),32051.0)</f>
        <v>32051</v>
      </c>
      <c r="C155" s="32">
        <f>IFERROR(__xludf.DUMMYFUNCTION("""COMPUTED_VALUE"""),1288.881)</f>
        <v>1288.881</v>
      </c>
      <c r="H155" s="11"/>
    </row>
    <row r="156">
      <c r="B156" s="11">
        <f>IFERROR(__xludf.DUMMYFUNCTION("""COMPUTED_VALUE"""),31959.0)</f>
        <v>31959</v>
      </c>
      <c r="C156" s="32">
        <f>IFERROR(__xludf.DUMMYFUNCTION("""COMPUTED_VALUE"""),1206.662)</f>
        <v>1206.662</v>
      </c>
      <c r="H156" s="11"/>
    </row>
    <row r="157">
      <c r="B157" s="11">
        <f>IFERROR(__xludf.DUMMYFUNCTION("""COMPUTED_VALUE"""),31868.0)</f>
        <v>31868</v>
      </c>
      <c r="C157" s="32">
        <f>IFERROR(__xludf.DUMMYFUNCTION("""COMPUTED_VALUE"""),1206.486)</f>
        <v>1206.486</v>
      </c>
      <c r="H157" s="11"/>
    </row>
    <row r="158">
      <c r="B158" s="11">
        <f>IFERROR(__xludf.DUMMYFUNCTION("""COMPUTED_VALUE"""),31778.0)</f>
        <v>31778</v>
      </c>
      <c r="C158" s="32">
        <f>IFERROR(__xludf.DUMMYFUNCTION("""COMPUTED_VALUE"""),1205.858)</f>
        <v>1205.858</v>
      </c>
      <c r="H158" s="11"/>
    </row>
    <row r="159">
      <c r="B159" s="11">
        <f>IFERROR(__xludf.DUMMYFUNCTION("""COMPUTED_VALUE"""),31686.0)</f>
        <v>31686</v>
      </c>
      <c r="C159" s="32">
        <f>IFERROR(__xludf.DUMMYFUNCTION("""COMPUTED_VALUE"""),1174.171)</f>
        <v>1174.171</v>
      </c>
      <c r="H159" s="11"/>
    </row>
    <row r="160">
      <c r="B160" s="11">
        <f>IFERROR(__xludf.DUMMYFUNCTION("""COMPUTED_VALUE"""),31594.0)</f>
        <v>31594</v>
      </c>
      <c r="C160" s="32">
        <f>IFERROR(__xludf.DUMMYFUNCTION("""COMPUTED_VALUE"""),1170.667)</f>
        <v>1170.667</v>
      </c>
      <c r="H160" s="11"/>
    </row>
    <row r="161">
      <c r="B161" s="11">
        <f>IFERROR(__xludf.DUMMYFUNCTION("""COMPUTED_VALUE"""),31503.0)</f>
        <v>31503</v>
      </c>
      <c r="C161" s="32">
        <f>IFERROR(__xludf.DUMMYFUNCTION("""COMPUTED_VALUE"""),1203.028)</f>
        <v>1203.028</v>
      </c>
      <c r="H161" s="11"/>
    </row>
    <row r="162">
      <c r="B162" s="11">
        <f>IFERROR(__xludf.DUMMYFUNCTION("""COMPUTED_VALUE"""),31413.0)</f>
        <v>31413</v>
      </c>
      <c r="C162" s="32">
        <f>IFERROR(__xludf.DUMMYFUNCTION("""COMPUTED_VALUE"""),1224.404)</f>
        <v>1224.404</v>
      </c>
      <c r="H162" s="11"/>
    </row>
    <row r="163">
      <c r="B163" s="11">
        <f>IFERROR(__xludf.DUMMYFUNCTION("""COMPUTED_VALUE"""),31321.0)</f>
        <v>31321</v>
      </c>
      <c r="C163" s="32">
        <f>IFERROR(__xludf.DUMMYFUNCTION("""COMPUTED_VALUE"""),1224.763)</f>
        <v>1224.763</v>
      </c>
      <c r="H163" s="11"/>
    </row>
    <row r="164">
      <c r="B164" s="11">
        <f>IFERROR(__xludf.DUMMYFUNCTION("""COMPUTED_VALUE"""),31229.0)</f>
        <v>31229</v>
      </c>
      <c r="C164" s="32">
        <f>IFERROR(__xludf.DUMMYFUNCTION("""COMPUTED_VALUE"""),1181.226)</f>
        <v>1181.226</v>
      </c>
      <c r="H164" s="11"/>
    </row>
    <row r="165">
      <c r="B165" s="11">
        <f>IFERROR(__xludf.DUMMYFUNCTION("""COMPUTED_VALUE"""),31138.0)</f>
        <v>31138</v>
      </c>
      <c r="C165" s="32">
        <f>IFERROR(__xludf.DUMMYFUNCTION("""COMPUTED_VALUE"""),1189.334)</f>
        <v>1189.334</v>
      </c>
      <c r="H165" s="11"/>
    </row>
    <row r="166">
      <c r="B166" s="11">
        <f>IFERROR(__xludf.DUMMYFUNCTION("""COMPUTED_VALUE"""),31048.0)</f>
        <v>31048</v>
      </c>
      <c r="C166" s="32">
        <f>IFERROR(__xludf.DUMMYFUNCTION("""COMPUTED_VALUE"""),1169.416)</f>
        <v>1169.416</v>
      </c>
      <c r="H166" s="11"/>
    </row>
    <row r="167">
      <c r="B167" s="11">
        <f>IFERROR(__xludf.DUMMYFUNCTION("""COMPUTED_VALUE"""),30956.0)</f>
        <v>30956</v>
      </c>
      <c r="C167" s="32">
        <f>IFERROR(__xludf.DUMMYFUNCTION("""COMPUTED_VALUE"""),1202.383)</f>
        <v>1202.383</v>
      </c>
      <c r="H167" s="11"/>
    </row>
    <row r="168">
      <c r="B168" s="11">
        <f>IFERROR(__xludf.DUMMYFUNCTION("""COMPUTED_VALUE"""),30864.0)</f>
        <v>30864</v>
      </c>
      <c r="C168" s="32">
        <f>IFERROR(__xludf.DUMMYFUNCTION("""COMPUTED_VALUE"""),1218.184)</f>
        <v>1218.184</v>
      </c>
      <c r="H168" s="11"/>
    </row>
    <row r="169">
      <c r="B169" s="11">
        <f>IFERROR(__xludf.DUMMYFUNCTION("""COMPUTED_VALUE"""),30773.0)</f>
        <v>30773</v>
      </c>
      <c r="C169" s="32">
        <f>IFERROR(__xludf.DUMMYFUNCTION("""COMPUTED_VALUE"""),1192.381)</f>
        <v>1192.381</v>
      </c>
      <c r="H169" s="11"/>
    </row>
    <row r="170">
      <c r="B170" s="11">
        <f>IFERROR(__xludf.DUMMYFUNCTION("""COMPUTED_VALUE"""),30682.0)</f>
        <v>30682</v>
      </c>
      <c r="C170" s="32">
        <f>IFERROR(__xludf.DUMMYFUNCTION("""COMPUTED_VALUE"""),1154.826)</f>
        <v>1154.826</v>
      </c>
      <c r="H170" s="11"/>
    </row>
    <row r="171">
      <c r="B171" s="11">
        <f>IFERROR(__xludf.DUMMYFUNCTION("""COMPUTED_VALUE"""),30590.0)</f>
        <v>30590</v>
      </c>
      <c r="C171" s="32">
        <f>IFERROR(__xludf.DUMMYFUNCTION("""COMPUTED_VALUE"""),1053.054)</f>
        <v>1053.054</v>
      </c>
      <c r="H171" s="11"/>
    </row>
    <row r="172">
      <c r="B172" s="11">
        <f>IFERROR(__xludf.DUMMYFUNCTION("""COMPUTED_VALUE"""),30498.0)</f>
        <v>30498</v>
      </c>
      <c r="C172" s="32">
        <f>IFERROR(__xludf.DUMMYFUNCTION("""COMPUTED_VALUE"""),959.692)</f>
        <v>959.692</v>
      </c>
      <c r="H172" s="11"/>
    </row>
    <row r="173">
      <c r="B173" s="11">
        <f>IFERROR(__xludf.DUMMYFUNCTION("""COMPUTED_VALUE"""),30407.0)</f>
        <v>30407</v>
      </c>
      <c r="C173" s="32">
        <f>IFERROR(__xludf.DUMMYFUNCTION("""COMPUTED_VALUE"""),903.148)</f>
        <v>903.148</v>
      </c>
      <c r="H173" s="11"/>
    </row>
    <row r="174">
      <c r="B174" s="11">
        <f>IFERROR(__xludf.DUMMYFUNCTION("""COMPUTED_VALUE"""),30317.0)</f>
        <v>30317</v>
      </c>
      <c r="C174" s="32">
        <f>IFERROR(__xludf.DUMMYFUNCTION("""COMPUTED_VALUE"""),829.672)</f>
        <v>829.672</v>
      </c>
      <c r="H174" s="11"/>
    </row>
    <row r="175">
      <c r="B175" s="11">
        <f>IFERROR(__xludf.DUMMYFUNCTION("""COMPUTED_VALUE"""),30225.0)</f>
        <v>30225</v>
      </c>
      <c r="C175" s="32">
        <f>IFERROR(__xludf.DUMMYFUNCTION("""COMPUTED_VALUE"""),801.889)</f>
        <v>801.889</v>
      </c>
      <c r="H175" s="11"/>
    </row>
    <row r="176">
      <c r="B176" s="11">
        <f>IFERROR(__xludf.DUMMYFUNCTION("""COMPUTED_VALUE"""),30133.0)</f>
        <v>30133</v>
      </c>
      <c r="C176" s="32">
        <f>IFERROR(__xludf.DUMMYFUNCTION("""COMPUTED_VALUE"""),869.067)</f>
        <v>869.067</v>
      </c>
      <c r="H176" s="11"/>
    </row>
    <row r="177">
      <c r="B177" s="11">
        <f>IFERROR(__xludf.DUMMYFUNCTION("""COMPUTED_VALUE"""),30042.0)</f>
        <v>30042</v>
      </c>
      <c r="C177" s="32">
        <f>IFERROR(__xludf.DUMMYFUNCTION("""COMPUTED_VALUE"""),877.104)</f>
        <v>877.104</v>
      </c>
      <c r="H177" s="11"/>
    </row>
    <row r="178">
      <c r="B178" s="11">
        <f>IFERROR(__xludf.DUMMYFUNCTION("""COMPUTED_VALUE"""),29952.0)</f>
        <v>29952</v>
      </c>
      <c r="C178" s="32">
        <f>IFERROR(__xludf.DUMMYFUNCTION("""COMPUTED_VALUE"""),877.772)</f>
        <v>877.772</v>
      </c>
      <c r="H178" s="11"/>
    </row>
    <row r="179">
      <c r="B179" s="11">
        <f>IFERROR(__xludf.DUMMYFUNCTION("""COMPUTED_VALUE"""),29860.0)</f>
        <v>29860</v>
      </c>
      <c r="C179" s="32">
        <f>IFERROR(__xludf.DUMMYFUNCTION("""COMPUTED_VALUE"""),969.475)</f>
        <v>969.475</v>
      </c>
      <c r="H179" s="11"/>
    </row>
    <row r="180">
      <c r="B180" s="11">
        <f>IFERROR(__xludf.DUMMYFUNCTION("""COMPUTED_VALUE"""),29768.0)</f>
        <v>29768</v>
      </c>
      <c r="C180" s="32">
        <f>IFERROR(__xludf.DUMMYFUNCTION("""COMPUTED_VALUE"""),1004.861)</f>
        <v>1004.861</v>
      </c>
      <c r="H180" s="11"/>
    </row>
    <row r="181">
      <c r="B181" s="11">
        <f>IFERROR(__xludf.DUMMYFUNCTION("""COMPUTED_VALUE"""),29677.0)</f>
        <v>29677</v>
      </c>
      <c r="C181" s="32">
        <f>IFERROR(__xludf.DUMMYFUNCTION("""COMPUTED_VALUE"""),951.246)</f>
        <v>951.246</v>
      </c>
      <c r="H181" s="11"/>
    </row>
    <row r="182">
      <c r="B182" s="11">
        <f>IFERROR(__xludf.DUMMYFUNCTION("""COMPUTED_VALUE"""),29587.0)</f>
        <v>29587</v>
      </c>
      <c r="C182" s="32">
        <f>IFERROR(__xludf.DUMMYFUNCTION("""COMPUTED_VALUE"""),992.376)</f>
        <v>992.376</v>
      </c>
      <c r="H182" s="11"/>
    </row>
    <row r="183">
      <c r="B183" s="11">
        <f>IFERROR(__xludf.DUMMYFUNCTION("""COMPUTED_VALUE"""),29495.0)</f>
        <v>29495</v>
      </c>
      <c r="C183" s="32">
        <f>IFERROR(__xludf.DUMMYFUNCTION("""COMPUTED_VALUE"""),908.306)</f>
        <v>908.306</v>
      </c>
      <c r="H183" s="11"/>
    </row>
    <row r="184">
      <c r="B184" s="11">
        <f>IFERROR(__xludf.DUMMYFUNCTION("""COMPUTED_VALUE"""),29403.0)</f>
        <v>29403</v>
      </c>
      <c r="C184" s="32">
        <f>IFERROR(__xludf.DUMMYFUNCTION("""COMPUTED_VALUE"""),830.866)</f>
        <v>830.866</v>
      </c>
      <c r="H184" s="11"/>
    </row>
    <row r="185">
      <c r="B185" s="11">
        <f>IFERROR(__xludf.DUMMYFUNCTION("""COMPUTED_VALUE"""),29312.0)</f>
        <v>29312</v>
      </c>
      <c r="C185" s="32">
        <f>IFERROR(__xludf.DUMMYFUNCTION("""COMPUTED_VALUE"""),889.579)</f>
        <v>889.579</v>
      </c>
      <c r="H185" s="11"/>
    </row>
    <row r="186">
      <c r="B186" s="11">
        <f>IFERROR(__xludf.DUMMYFUNCTION("""COMPUTED_VALUE"""),29221.0)</f>
        <v>29221</v>
      </c>
      <c r="C186" s="32">
        <f>IFERROR(__xludf.DUMMYFUNCTION("""COMPUTED_VALUE"""),972.248)</f>
        <v>972.248</v>
      </c>
      <c r="H186" s="11"/>
    </row>
    <row r="187">
      <c r="B187" s="11">
        <f>IFERROR(__xludf.DUMMYFUNCTION("""COMPUTED_VALUE"""),29129.0)</f>
        <v>29129</v>
      </c>
      <c r="C187" s="32">
        <f>IFERROR(__xludf.DUMMYFUNCTION("""COMPUTED_VALUE"""),978.943)</f>
        <v>978.943</v>
      </c>
      <c r="H187" s="11"/>
    </row>
    <row r="188">
      <c r="B188" s="11">
        <f>IFERROR(__xludf.DUMMYFUNCTION("""COMPUTED_VALUE"""),29037.0)</f>
        <v>29037</v>
      </c>
      <c r="C188" s="32">
        <f>IFERROR(__xludf.DUMMYFUNCTION("""COMPUTED_VALUE"""),996.622)</f>
        <v>996.622</v>
      </c>
      <c r="H188" s="11"/>
    </row>
    <row r="189">
      <c r="B189" s="11">
        <f>IFERROR(__xludf.DUMMYFUNCTION("""COMPUTED_VALUE"""),28946.0)</f>
        <v>28946</v>
      </c>
      <c r="C189" s="32">
        <f>IFERROR(__xludf.DUMMYFUNCTION("""COMPUTED_VALUE"""),1013.693)</f>
        <v>1013.693</v>
      </c>
      <c r="H189" s="11"/>
    </row>
    <row r="190">
      <c r="B190" s="11">
        <f>IFERROR(__xludf.DUMMYFUNCTION("""COMPUTED_VALUE"""),28856.0)</f>
        <v>28856</v>
      </c>
      <c r="C190" s="32">
        <f>IFERROR(__xludf.DUMMYFUNCTION("""COMPUTED_VALUE"""),1014.607)</f>
        <v>1014.607</v>
      </c>
      <c r="H190" s="11"/>
    </row>
    <row r="191">
      <c r="B191" s="11">
        <f>IFERROR(__xludf.DUMMYFUNCTION("""COMPUTED_VALUE"""),28764.0)</f>
        <v>28764</v>
      </c>
      <c r="C191" s="32">
        <f>IFERROR(__xludf.DUMMYFUNCTION("""COMPUTED_VALUE"""),1012.924)</f>
        <v>1012.924</v>
      </c>
      <c r="H191" s="11"/>
    </row>
    <row r="192">
      <c r="B192" s="11">
        <f>IFERROR(__xludf.DUMMYFUNCTION("""COMPUTED_VALUE"""),28672.0)</f>
        <v>28672</v>
      </c>
      <c r="C192" s="32">
        <f>IFERROR(__xludf.DUMMYFUNCTION("""COMPUTED_VALUE"""),990.029)</f>
        <v>990.029</v>
      </c>
      <c r="H192" s="11"/>
    </row>
    <row r="193">
      <c r="B193" s="11">
        <f>IFERROR(__xludf.DUMMYFUNCTION("""COMPUTED_VALUE"""),28581.0)</f>
        <v>28581</v>
      </c>
      <c r="C193" s="32">
        <f>IFERROR(__xludf.DUMMYFUNCTION("""COMPUTED_VALUE"""),962.001)</f>
        <v>962.001</v>
      </c>
      <c r="H193" s="11"/>
    </row>
    <row r="194">
      <c r="B194" s="11">
        <f>IFERROR(__xludf.DUMMYFUNCTION("""COMPUTED_VALUE"""),28491.0)</f>
        <v>28491</v>
      </c>
      <c r="C194" s="32">
        <f>IFERROR(__xludf.DUMMYFUNCTION("""COMPUTED_VALUE"""),903.329)</f>
        <v>903.329</v>
      </c>
      <c r="H194" s="11"/>
    </row>
    <row r="195">
      <c r="B195" s="11">
        <f>IFERROR(__xludf.DUMMYFUNCTION("""COMPUTED_VALUE"""),28399.0)</f>
        <v>28399</v>
      </c>
      <c r="C195" s="32">
        <f>IFERROR(__xludf.DUMMYFUNCTION("""COMPUTED_VALUE"""),886.06)</f>
        <v>886.06</v>
      </c>
      <c r="H195" s="11"/>
    </row>
    <row r="196">
      <c r="B196" s="11">
        <f>IFERROR(__xludf.DUMMYFUNCTION("""COMPUTED_VALUE"""),28307.0)</f>
        <v>28307</v>
      </c>
      <c r="C196" s="32">
        <f>IFERROR(__xludf.DUMMYFUNCTION("""COMPUTED_VALUE"""),908.859)</f>
        <v>908.859</v>
      </c>
      <c r="H196" s="11"/>
    </row>
    <row r="197">
      <c r="B197" s="11">
        <f>IFERROR(__xludf.DUMMYFUNCTION("""COMPUTED_VALUE"""),28216.0)</f>
        <v>28216</v>
      </c>
      <c r="C197" s="32">
        <f>IFERROR(__xludf.DUMMYFUNCTION("""COMPUTED_VALUE"""),865.083)</f>
        <v>865.083</v>
      </c>
      <c r="H197" s="11"/>
    </row>
    <row r="198">
      <c r="B198" s="11">
        <f>IFERROR(__xludf.DUMMYFUNCTION("""COMPUTED_VALUE"""),28126.0)</f>
        <v>28126</v>
      </c>
      <c r="C198" s="32">
        <f>IFERROR(__xludf.DUMMYFUNCTION("""COMPUTED_VALUE"""),807.213)</f>
        <v>807.213</v>
      </c>
      <c r="H198" s="11"/>
    </row>
    <row r="199">
      <c r="B199" s="11">
        <f>IFERROR(__xludf.DUMMYFUNCTION("""COMPUTED_VALUE"""),28034.0)</f>
        <v>28034</v>
      </c>
      <c r="C199" s="32">
        <f>IFERROR(__xludf.DUMMYFUNCTION("""COMPUTED_VALUE"""),771.471)</f>
        <v>771.471</v>
      </c>
      <c r="H199" s="11"/>
    </row>
    <row r="200">
      <c r="B200" s="11">
        <f>IFERROR(__xludf.DUMMYFUNCTION("""COMPUTED_VALUE"""),27942.0)</f>
        <v>27942</v>
      </c>
      <c r="C200" s="32">
        <f>IFERROR(__xludf.DUMMYFUNCTION("""COMPUTED_VALUE"""),765.742)</f>
        <v>765.742</v>
      </c>
      <c r="H200" s="11"/>
    </row>
    <row r="201">
      <c r="B201" s="11">
        <f>IFERROR(__xludf.DUMMYFUNCTION("""COMPUTED_VALUE"""),27851.0)</f>
        <v>27851</v>
      </c>
      <c r="C201" s="32">
        <f>IFERROR(__xludf.DUMMYFUNCTION("""COMPUTED_VALUE"""),763.083)</f>
        <v>763.083</v>
      </c>
      <c r="H201" s="11"/>
    </row>
    <row r="202">
      <c r="B202" s="11">
        <f>IFERROR(__xludf.DUMMYFUNCTION("""COMPUTED_VALUE"""),27760.0)</f>
        <v>27760</v>
      </c>
      <c r="C202" s="32">
        <f>IFERROR(__xludf.DUMMYFUNCTION("""COMPUTED_VALUE"""),734.031)</f>
        <v>734.031</v>
      </c>
      <c r="H202" s="11"/>
    </row>
    <row r="203">
      <c r="B203" s="11">
        <f>IFERROR(__xludf.DUMMYFUNCTION("""COMPUTED_VALUE"""),27668.0)</f>
        <v>27668</v>
      </c>
      <c r="C203" s="32">
        <f>IFERROR(__xludf.DUMMYFUNCTION("""COMPUTED_VALUE"""),669.438)</f>
        <v>669.438</v>
      </c>
      <c r="H203" s="11"/>
    </row>
    <row r="204">
      <c r="B204" s="11">
        <f>IFERROR(__xludf.DUMMYFUNCTION("""COMPUTED_VALUE"""),27576.0)</f>
        <v>27576</v>
      </c>
      <c r="C204" s="32">
        <f>IFERROR(__xludf.DUMMYFUNCTION("""COMPUTED_VALUE"""),651.26)</f>
        <v>651.26</v>
      </c>
      <c r="H204" s="11"/>
    </row>
    <row r="205">
      <c r="B205" s="11">
        <f>IFERROR(__xludf.DUMMYFUNCTION("""COMPUTED_VALUE"""),27485.0)</f>
        <v>27485</v>
      </c>
      <c r="C205" s="32">
        <f>IFERROR(__xludf.DUMMYFUNCTION("""COMPUTED_VALUE"""),604.403)</f>
        <v>604.403</v>
      </c>
      <c r="H205" s="11"/>
    </row>
    <row r="206">
      <c r="B206" s="11">
        <f>IFERROR(__xludf.DUMMYFUNCTION("""COMPUTED_VALUE"""),27395.0)</f>
        <v>27395</v>
      </c>
      <c r="C206" s="32">
        <f>IFERROR(__xludf.DUMMYFUNCTION("""COMPUTED_VALUE"""),622.949)</f>
        <v>622.949</v>
      </c>
      <c r="H206" s="11"/>
    </row>
    <row r="207">
      <c r="B207" s="11">
        <f>IFERROR(__xludf.DUMMYFUNCTION("""COMPUTED_VALUE"""),27303.0)</f>
        <v>27303</v>
      </c>
      <c r="C207" s="32">
        <f>IFERROR(__xludf.DUMMYFUNCTION("""COMPUTED_VALUE"""),742.56)</f>
        <v>742.56</v>
      </c>
      <c r="H207" s="11"/>
    </row>
    <row r="208">
      <c r="B208" s="11">
        <f>IFERROR(__xludf.DUMMYFUNCTION("""COMPUTED_VALUE"""),27211.0)</f>
        <v>27211</v>
      </c>
      <c r="C208" s="32">
        <f>IFERROR(__xludf.DUMMYFUNCTION("""COMPUTED_VALUE"""),738.08)</f>
        <v>738.08</v>
      </c>
      <c r="H208" s="11"/>
    </row>
    <row r="209">
      <c r="B209" s="11">
        <f>IFERROR(__xludf.DUMMYFUNCTION("""COMPUTED_VALUE"""),27120.0)</f>
        <v>27120</v>
      </c>
      <c r="C209" s="32">
        <f>IFERROR(__xludf.DUMMYFUNCTION("""COMPUTED_VALUE"""),778.425)</f>
        <v>778.425</v>
      </c>
      <c r="H209" s="11"/>
    </row>
    <row r="210">
      <c r="B210" s="11">
        <f>IFERROR(__xludf.DUMMYFUNCTION("""COMPUTED_VALUE"""),27030.0)</f>
        <v>27030</v>
      </c>
      <c r="C210" s="32">
        <f>IFERROR(__xludf.DUMMYFUNCTION("""COMPUTED_VALUE"""),781.544)</f>
        <v>781.544</v>
      </c>
      <c r="H210" s="11"/>
    </row>
    <row r="211">
      <c r="B211" s="11">
        <f>IFERROR(__xludf.DUMMYFUNCTION("""COMPUTED_VALUE"""),26938.0)</f>
        <v>26938</v>
      </c>
      <c r="C211" s="32">
        <f>IFERROR(__xludf.DUMMYFUNCTION("""COMPUTED_VALUE"""),828.879)</f>
        <v>828.879</v>
      </c>
      <c r="H211" s="11"/>
    </row>
    <row r="212">
      <c r="B212" s="11">
        <f>IFERROR(__xludf.DUMMYFUNCTION("""COMPUTED_VALUE"""),26846.0)</f>
        <v>26846</v>
      </c>
      <c r="C212" s="32">
        <f>IFERROR(__xludf.DUMMYFUNCTION("""COMPUTED_VALUE"""),800.37)</f>
        <v>800.37</v>
      </c>
      <c r="H212" s="11"/>
    </row>
    <row r="213">
      <c r="B213" s="11">
        <f>IFERROR(__xludf.DUMMYFUNCTION("""COMPUTED_VALUE"""),26755.0)</f>
        <v>26755</v>
      </c>
      <c r="C213" s="32">
        <f>IFERROR(__xludf.DUMMYFUNCTION("""COMPUTED_VALUE"""),830.483)</f>
        <v>830.483</v>
      </c>
      <c r="H213" s="11"/>
    </row>
    <row r="214">
      <c r="B214" s="11">
        <f>IFERROR(__xludf.DUMMYFUNCTION("""COMPUTED_VALUE"""),26665.0)</f>
        <v>26665</v>
      </c>
      <c r="C214" s="32">
        <f>IFERROR(__xludf.DUMMYFUNCTION("""COMPUTED_VALUE"""),796.53)</f>
        <v>796.53</v>
      </c>
      <c r="H214" s="11"/>
    </row>
    <row r="215">
      <c r="B215" s="11">
        <f>IFERROR(__xludf.DUMMYFUNCTION("""COMPUTED_VALUE"""),26573.0)</f>
        <v>26573</v>
      </c>
      <c r="C215" s="32">
        <f>IFERROR(__xludf.DUMMYFUNCTION("""COMPUTED_VALUE"""),752.434)</f>
        <v>752.434</v>
      </c>
      <c r="H215" s="11"/>
    </row>
    <row r="216">
      <c r="B216" s="11">
        <f>IFERROR(__xludf.DUMMYFUNCTION("""COMPUTED_VALUE"""),26481.0)</f>
        <v>26481</v>
      </c>
      <c r="C216" s="32">
        <f>IFERROR(__xludf.DUMMYFUNCTION("""COMPUTED_VALUE"""),747.745)</f>
        <v>747.745</v>
      </c>
      <c r="H216" s="11"/>
    </row>
    <row r="217">
      <c r="B217" s="11">
        <f>IFERROR(__xludf.DUMMYFUNCTION("""COMPUTED_VALUE"""),26390.0)</f>
        <v>26390</v>
      </c>
      <c r="C217" s="32">
        <f>IFERROR(__xludf.DUMMYFUNCTION("""COMPUTED_VALUE"""),737.276)</f>
        <v>737.276</v>
      </c>
      <c r="H217" s="11"/>
    </row>
    <row r="218">
      <c r="B218" s="11">
        <f>IFERROR(__xludf.DUMMYFUNCTION("""COMPUTED_VALUE"""),26299.0)</f>
        <v>26299</v>
      </c>
      <c r="C218" s="32">
        <f>IFERROR(__xludf.DUMMYFUNCTION("""COMPUTED_VALUE"""),697.648)</f>
        <v>697.648</v>
      </c>
      <c r="H218" s="11"/>
    </row>
    <row r="219">
      <c r="B219" s="11">
        <f>IFERROR(__xludf.DUMMYFUNCTION("""COMPUTED_VALUE"""),26207.0)</f>
        <v>26207</v>
      </c>
      <c r="C219" s="32">
        <f>IFERROR(__xludf.DUMMYFUNCTION("""COMPUTED_VALUE"""),654.519)</f>
        <v>654.519</v>
      </c>
      <c r="H219" s="11"/>
    </row>
    <row r="220">
      <c r="B220" s="11">
        <f>IFERROR(__xludf.DUMMYFUNCTION("""COMPUTED_VALUE"""),26115.0)</f>
        <v>26115</v>
      </c>
      <c r="C220" s="32">
        <f>IFERROR(__xludf.DUMMYFUNCTION("""COMPUTED_VALUE"""),672.632)</f>
        <v>672.632</v>
      </c>
      <c r="H220" s="11"/>
    </row>
    <row r="221">
      <c r="B221" s="11">
        <f>IFERROR(__xludf.DUMMYFUNCTION("""COMPUTED_VALUE"""),26024.0)</f>
        <v>26024</v>
      </c>
      <c r="C221" s="32">
        <f>IFERROR(__xludf.DUMMYFUNCTION("""COMPUTED_VALUE"""),664.569)</f>
        <v>664.569</v>
      </c>
      <c r="H221" s="11"/>
    </row>
    <row r="222">
      <c r="B222" s="11">
        <f>IFERROR(__xludf.DUMMYFUNCTION("""COMPUTED_VALUE"""),25934.0)</f>
        <v>25934</v>
      </c>
      <c r="C222" s="32">
        <f>IFERROR(__xludf.DUMMYFUNCTION("""COMPUTED_VALUE"""),646.232)</f>
        <v>646.232</v>
      </c>
      <c r="H222" s="11"/>
    </row>
    <row r="223">
      <c r="B223" s="11">
        <f>IFERROR(__xludf.DUMMYFUNCTION("""COMPUTED_VALUE"""),25842.0)</f>
        <v>25842</v>
      </c>
      <c r="C223" s="32">
        <f>IFERROR(__xludf.DUMMYFUNCTION("""COMPUTED_VALUE"""),578.757)</f>
        <v>578.757</v>
      </c>
      <c r="H223" s="11"/>
    </row>
    <row r="224">
      <c r="B224" s="11">
        <f>IFERROR(__xludf.DUMMYFUNCTION("""COMPUTED_VALUE"""),25750.0)</f>
        <v>25750</v>
      </c>
      <c r="C224" s="32">
        <f>IFERROR(__xludf.DUMMYFUNCTION("""COMPUTED_VALUE"""),611.208)</f>
        <v>611.208</v>
      </c>
      <c r="H224" s="11"/>
    </row>
    <row r="225">
      <c r="B225" s="11">
        <f>IFERROR(__xludf.DUMMYFUNCTION("""COMPUTED_VALUE"""),25659.0)</f>
        <v>25659</v>
      </c>
      <c r="C225" s="32">
        <f>IFERROR(__xludf.DUMMYFUNCTION("""COMPUTED_VALUE"""),601.421)</f>
        <v>601.421</v>
      </c>
      <c r="H225" s="11"/>
    </row>
    <row r="226">
      <c r="B226" s="11">
        <f>IFERROR(__xludf.DUMMYFUNCTION("""COMPUTED_VALUE"""),25569.0)</f>
        <v>25569</v>
      </c>
      <c r="C226" s="32">
        <f>IFERROR(__xludf.DUMMYFUNCTION("""COMPUTED_VALUE"""),600.116)</f>
        <v>600.116</v>
      </c>
      <c r="H226" s="11"/>
    </row>
    <row r="227">
      <c r="B227" s="11">
        <f>IFERROR(__xludf.DUMMYFUNCTION("""COMPUTED_VALUE"""),25477.0)</f>
        <v>25477</v>
      </c>
      <c r="C227" s="32">
        <f>IFERROR(__xludf.DUMMYFUNCTION("""COMPUTED_VALUE"""),618.565)</f>
        <v>618.565</v>
      </c>
      <c r="H227" s="11"/>
    </row>
    <row r="228">
      <c r="B228" s="11">
        <f>IFERROR(__xludf.DUMMYFUNCTION("""COMPUTED_VALUE"""),25385.0)</f>
        <v>25385</v>
      </c>
      <c r="C228" s="32">
        <f>IFERROR(__xludf.DUMMYFUNCTION("""COMPUTED_VALUE"""),649.948)</f>
        <v>649.948</v>
      </c>
      <c r="H228" s="11"/>
    </row>
    <row r="229">
      <c r="B229" s="11">
        <f>IFERROR(__xludf.DUMMYFUNCTION("""COMPUTED_VALUE"""),25294.0)</f>
        <v>25294</v>
      </c>
      <c r="C229" s="32">
        <f>IFERROR(__xludf.DUMMYFUNCTION("""COMPUTED_VALUE"""),637.015)</f>
        <v>637.015</v>
      </c>
      <c r="H229" s="11"/>
    </row>
    <row r="230">
      <c r="B230" s="11">
        <f>IFERROR(__xludf.DUMMYFUNCTION("""COMPUTED_VALUE"""),25204.0)</f>
        <v>25204</v>
      </c>
      <c r="C230" s="32">
        <f>IFERROR(__xludf.DUMMYFUNCTION("""COMPUTED_VALUE"""),640.79)</f>
        <v>640.79</v>
      </c>
      <c r="H230" s="11"/>
    </row>
    <row r="231">
      <c r="B231" s="11">
        <f>IFERROR(__xludf.DUMMYFUNCTION("""COMPUTED_VALUE"""),25112.0)</f>
        <v>25112</v>
      </c>
      <c r="C231" s="32">
        <f>IFERROR(__xludf.DUMMYFUNCTION("""COMPUTED_VALUE"""),605.155)</f>
        <v>605.155</v>
      </c>
      <c r="H231" s="11"/>
    </row>
    <row r="232">
      <c r="B232" s="11">
        <f>IFERROR(__xludf.DUMMYFUNCTION("""COMPUTED_VALUE"""),25020.0)</f>
        <v>25020</v>
      </c>
      <c r="C232" s="32">
        <f>IFERROR(__xludf.DUMMYFUNCTION("""COMPUTED_VALUE"""),598.643)</f>
        <v>598.643</v>
      </c>
      <c r="H232" s="11"/>
    </row>
    <row r="233">
      <c r="B233" s="11">
        <f>IFERROR(__xludf.DUMMYFUNCTION("""COMPUTED_VALUE"""),24929.0)</f>
        <v>24929</v>
      </c>
      <c r="C233" s="32">
        <f>IFERROR(__xludf.DUMMYFUNCTION("""COMPUTED_VALUE"""),615.427)</f>
        <v>615.427</v>
      </c>
      <c r="H233" s="11"/>
    </row>
    <row r="234">
      <c r="B234" s="11">
        <f>IFERROR(__xludf.DUMMYFUNCTION("""COMPUTED_VALUE"""),24838.0)</f>
        <v>24838</v>
      </c>
      <c r="C234" s="32">
        <f>IFERROR(__xludf.DUMMYFUNCTION("""COMPUTED_VALUE"""),592.754)</f>
        <v>592.754</v>
      </c>
      <c r="H234" s="11"/>
    </row>
    <row r="235">
      <c r="B235" s="11">
        <f>IFERROR(__xludf.DUMMYFUNCTION("""COMPUTED_VALUE"""),24746.0)</f>
        <v>24746</v>
      </c>
      <c r="C235" s="32">
        <f>IFERROR(__xludf.DUMMYFUNCTION("""COMPUTED_VALUE"""),581.104)</f>
        <v>581.104</v>
      </c>
      <c r="H235" s="11"/>
    </row>
    <row r="236">
      <c r="B236" s="11">
        <f>IFERROR(__xludf.DUMMYFUNCTION("""COMPUTED_VALUE"""),24654.0)</f>
        <v>24654</v>
      </c>
      <c r="C236" s="32">
        <f>IFERROR(__xludf.DUMMYFUNCTION("""COMPUTED_VALUE"""),568.833)</f>
        <v>568.833</v>
      </c>
      <c r="H236" s="11"/>
    </row>
    <row r="237">
      <c r="B237" s="11">
        <f>IFERROR(__xludf.DUMMYFUNCTION("""COMPUTED_VALUE"""),24563.0)</f>
        <v>24563</v>
      </c>
      <c r="C237" s="32">
        <f>IFERROR(__xludf.DUMMYFUNCTION("""COMPUTED_VALUE"""),552.629)</f>
        <v>552.629</v>
      </c>
      <c r="H237" s="11"/>
    </row>
    <row r="238">
      <c r="B238" s="11">
        <f>IFERROR(__xludf.DUMMYFUNCTION("""COMPUTED_VALUE"""),24473.0)</f>
        <v>24473</v>
      </c>
      <c r="C238" s="32">
        <f>IFERROR(__xludf.DUMMYFUNCTION("""COMPUTED_VALUE"""),573.373)</f>
        <v>573.373</v>
      </c>
      <c r="H238" s="11"/>
    </row>
    <row r="239">
      <c r="B239" s="11">
        <f>IFERROR(__xludf.DUMMYFUNCTION("""COMPUTED_VALUE"""),24381.0)</f>
        <v>24381</v>
      </c>
      <c r="C239" s="32">
        <f>IFERROR(__xludf.DUMMYFUNCTION("""COMPUTED_VALUE"""),587.798)</f>
        <v>587.798</v>
      </c>
      <c r="H239" s="11"/>
    </row>
    <row r="240">
      <c r="B240" s="11">
        <f>IFERROR(__xludf.DUMMYFUNCTION("""COMPUTED_VALUE"""),24289.0)</f>
        <v>24289</v>
      </c>
      <c r="C240" s="32">
        <f>IFERROR(__xludf.DUMMYFUNCTION("""COMPUTED_VALUE"""),584.373)</f>
        <v>584.373</v>
      </c>
      <c r="H240" s="11"/>
    </row>
    <row r="241">
      <c r="B241" s="11">
        <f>IFERROR(__xludf.DUMMYFUNCTION("""COMPUTED_VALUE"""),24198.0)</f>
        <v>24198</v>
      </c>
      <c r="C241" s="32">
        <f>IFERROR(__xludf.DUMMYFUNCTION("""COMPUTED_VALUE"""),588.717)</f>
        <v>588.717</v>
      </c>
      <c r="H241" s="11"/>
    </row>
    <row r="242">
      <c r="B242" s="11">
        <f>IFERROR(__xludf.DUMMYFUNCTION("""COMPUTED_VALUE"""),24108.0)</f>
        <v>24108</v>
      </c>
      <c r="C242" s="32">
        <f>IFERROR(__xludf.DUMMYFUNCTION("""COMPUTED_VALUE"""),597.563)</f>
        <v>597.563</v>
      </c>
      <c r="H242" s="11"/>
    </row>
    <row r="243">
      <c r="B243" s="11">
        <f>IFERROR(__xludf.DUMMYFUNCTION("""COMPUTED_VALUE"""),24016.0)</f>
        <v>24016</v>
      </c>
      <c r="C243" s="32">
        <f>IFERROR(__xludf.DUMMYFUNCTION("""COMPUTED_VALUE"""),553.352)</f>
        <v>553.352</v>
      </c>
      <c r="H243" s="11"/>
    </row>
    <row r="244">
      <c r="B244" s="11">
        <f>IFERROR(__xludf.DUMMYFUNCTION("""COMPUTED_VALUE"""),23924.0)</f>
        <v>23924</v>
      </c>
      <c r="C244" s="32">
        <f>IFERROR(__xludf.DUMMYFUNCTION("""COMPUTED_VALUE"""),549.712)</f>
        <v>549.712</v>
      </c>
      <c r="H244" s="11"/>
    </row>
    <row r="245">
      <c r="B245" s="11">
        <f>IFERROR(__xludf.DUMMYFUNCTION("""COMPUTED_VALUE"""),23833.0)</f>
        <v>23833</v>
      </c>
      <c r="C245" s="32">
        <f>IFERROR(__xludf.DUMMYFUNCTION("""COMPUTED_VALUE"""),531.216)</f>
        <v>531.216</v>
      </c>
      <c r="H245" s="11"/>
    </row>
    <row r="246">
      <c r="B246" s="11">
        <f>IFERROR(__xludf.DUMMYFUNCTION("""COMPUTED_VALUE"""),23743.0)</f>
        <v>23743</v>
      </c>
      <c r="C246" s="32">
        <f>IFERROR(__xludf.DUMMYFUNCTION("""COMPUTED_VALUE"""),529.824)</f>
        <v>529.824</v>
      </c>
      <c r="H246" s="11"/>
    </row>
    <row r="247">
      <c r="B247" s="11">
        <f>IFERROR(__xludf.DUMMYFUNCTION("""COMPUTED_VALUE"""),23651.0)</f>
        <v>23651</v>
      </c>
      <c r="C247" s="32">
        <f>IFERROR(__xludf.DUMMYFUNCTION("""COMPUTED_VALUE"""),483.706)</f>
        <v>483.706</v>
      </c>
      <c r="H247" s="11"/>
    </row>
    <row r="248">
      <c r="B248" s="11">
        <f>IFERROR(__xludf.DUMMYFUNCTION("""COMPUTED_VALUE"""),23559.0)</f>
        <v>23559</v>
      </c>
      <c r="C248" s="32">
        <f>IFERROR(__xludf.DUMMYFUNCTION("""COMPUTED_VALUE"""),479.154)</f>
        <v>479.154</v>
      </c>
      <c r="H248" s="11"/>
    </row>
    <row r="249">
      <c r="B249" s="11">
        <f>IFERROR(__xludf.DUMMYFUNCTION("""COMPUTED_VALUE"""),23468.0)</f>
        <v>23468</v>
      </c>
      <c r="C249" s="32">
        <f>IFERROR(__xludf.DUMMYFUNCTION("""COMPUTED_VALUE"""),468.225)</f>
        <v>468.225</v>
      </c>
      <c r="H249" s="11"/>
    </row>
    <row r="250">
      <c r="B250" s="11">
        <f>IFERROR(__xludf.DUMMYFUNCTION("""COMPUTED_VALUE"""),23377.0)</f>
        <v>23377</v>
      </c>
      <c r="C250" s="32">
        <f>IFERROR(__xludf.DUMMYFUNCTION("""COMPUTED_VALUE"""),469.918)</f>
        <v>469.918</v>
      </c>
      <c r="H250" s="11"/>
    </row>
    <row r="251">
      <c r="B251" s="11">
        <f>IFERROR(__xludf.DUMMYFUNCTION("""COMPUTED_VALUE"""),23285.0)</f>
        <v>23285</v>
      </c>
      <c r="C251" s="32">
        <f>IFERROR(__xludf.DUMMYFUNCTION("""COMPUTED_VALUE"""),452.965)</f>
        <v>452.965</v>
      </c>
      <c r="H251" s="11"/>
    </row>
    <row r="252">
      <c r="B252" s="11">
        <f>IFERROR(__xludf.DUMMYFUNCTION("""COMPUTED_VALUE"""),23193.0)</f>
        <v>23193</v>
      </c>
      <c r="C252" s="32">
        <f>IFERROR(__xludf.DUMMYFUNCTION("""COMPUTED_VALUE"""),447.531)</f>
        <v>447.531</v>
      </c>
      <c r="H252" s="11"/>
    </row>
    <row r="253">
      <c r="B253" s="11">
        <f>IFERROR(__xludf.DUMMYFUNCTION("""COMPUTED_VALUE"""),23102.0)</f>
        <v>23102</v>
      </c>
      <c r="C253" s="32">
        <f>IFERROR(__xludf.DUMMYFUNCTION("""COMPUTED_VALUE"""),434.164)</f>
        <v>434.164</v>
      </c>
      <c r="H253" s="11"/>
    </row>
    <row r="254">
      <c r="B254" s="11">
        <f>IFERROR(__xludf.DUMMYFUNCTION("""COMPUTED_VALUE"""),23012.0)</f>
        <v>23012</v>
      </c>
      <c r="C254" s="32">
        <f>IFERROR(__xludf.DUMMYFUNCTION("""COMPUTED_VALUE"""),427.366)</f>
        <v>427.366</v>
      </c>
      <c r="H254" s="11"/>
    </row>
    <row r="255">
      <c r="B255" s="11">
        <f>IFERROR(__xludf.DUMMYFUNCTION("""COMPUTED_VALUE"""),22920.0)</f>
        <v>22920</v>
      </c>
      <c r="C255" s="32">
        <f>IFERROR(__xludf.DUMMYFUNCTION("""COMPUTED_VALUE"""),406.004)</f>
        <v>406.004</v>
      </c>
      <c r="H255" s="11"/>
    </row>
    <row r="256">
      <c r="B256" s="11">
        <f>IFERROR(__xludf.DUMMYFUNCTION("""COMPUTED_VALUE"""),22828.0)</f>
        <v>22828</v>
      </c>
      <c r="C256" s="32">
        <f>IFERROR(__xludf.DUMMYFUNCTION("""COMPUTED_VALUE"""),418.241)</f>
        <v>418.241</v>
      </c>
      <c r="H256" s="11"/>
    </row>
    <row r="257">
      <c r="B257" s="11">
        <f>IFERROR(__xludf.DUMMYFUNCTION("""COMPUTED_VALUE"""),22737.0)</f>
        <v>22737</v>
      </c>
      <c r="C257" s="32">
        <f>IFERROR(__xludf.DUMMYFUNCTION("""COMPUTED_VALUE"""),411.253)</f>
        <v>411.253</v>
      </c>
      <c r="H257" s="11"/>
    </row>
    <row r="258">
      <c r="B258" s="11">
        <f>IFERROR(__xludf.DUMMYFUNCTION("""COMPUTED_VALUE"""),22647.0)</f>
        <v>22647</v>
      </c>
      <c r="C258" s="32">
        <f>IFERROR(__xludf.DUMMYFUNCTION("""COMPUTED_VALUE"""),414.522)</f>
        <v>414.522</v>
      </c>
      <c r="H258" s="11"/>
    </row>
    <row r="259">
      <c r="B259" s="11">
        <f>IFERROR(__xludf.DUMMYFUNCTION("""COMPUTED_VALUE"""),22555.0)</f>
        <v>22555</v>
      </c>
      <c r="C259" s="32">
        <f>IFERROR(__xludf.DUMMYFUNCTION("""COMPUTED_VALUE"""),393.316)</f>
        <v>393.316</v>
      </c>
      <c r="H259" s="11"/>
    </row>
    <row r="260">
      <c r="B260" s="11">
        <f>IFERROR(__xludf.DUMMYFUNCTION("""COMPUTED_VALUE"""),22463.0)</f>
        <v>22463</v>
      </c>
      <c r="C260" s="32">
        <f>IFERROR(__xludf.DUMMYFUNCTION("""COMPUTED_VALUE"""),386.914)</f>
        <v>386.914</v>
      </c>
      <c r="H260" s="11"/>
    </row>
    <row r="261">
      <c r="B261" s="11">
        <f>IFERROR(__xludf.DUMMYFUNCTION("""COMPUTED_VALUE"""),22372.0)</f>
        <v>22372</v>
      </c>
      <c r="C261" s="32">
        <f>IFERROR(__xludf.DUMMYFUNCTION("""COMPUTED_VALUE"""),359.004)</f>
        <v>359.004</v>
      </c>
      <c r="H261" s="11"/>
    </row>
    <row r="262">
      <c r="B262" s="11">
        <f>IFERROR(__xludf.DUMMYFUNCTION("""COMPUTED_VALUE"""),22282.0)</f>
        <v>22282</v>
      </c>
      <c r="C262" s="32">
        <f>IFERROR(__xludf.DUMMYFUNCTION("""COMPUTED_VALUE"""),335.496)</f>
        <v>335.496</v>
      </c>
      <c r="H262" s="11"/>
    </row>
    <row r="263">
      <c r="B263" s="11">
        <f>IFERROR(__xludf.DUMMYFUNCTION("""COMPUTED_VALUE"""),22190.0)</f>
        <v>22190</v>
      </c>
      <c r="C263" s="32">
        <f>IFERROR(__xludf.DUMMYFUNCTION("""COMPUTED_VALUE"""),327.01)</f>
        <v>327.01</v>
      </c>
      <c r="H263" s="11"/>
    </row>
    <row r="264">
      <c r="B264" s="11">
        <f>IFERROR(__xludf.DUMMYFUNCTION("""COMPUTED_VALUE"""),22098.0)</f>
        <v>22098</v>
      </c>
      <c r="C264" s="32">
        <f>IFERROR(__xludf.DUMMYFUNCTION("""COMPUTED_VALUE"""),367.749)</f>
        <v>367.749</v>
      </c>
      <c r="H264" s="11"/>
    </row>
    <row r="265">
      <c r="B265" s="11">
        <f>IFERROR(__xludf.DUMMYFUNCTION("""COMPUTED_VALUE"""),22007.0)</f>
        <v>22007</v>
      </c>
      <c r="C265" s="32">
        <f>IFERROR(__xludf.DUMMYFUNCTION("""COMPUTED_VALUE"""),368.686)</f>
        <v>368.686</v>
      </c>
      <c r="H265" s="11"/>
    </row>
    <row r="266">
      <c r="B266" s="11">
        <f>IFERROR(__xludf.DUMMYFUNCTION("""COMPUTED_VALUE"""),21916.0)</f>
        <v>21916</v>
      </c>
      <c r="C266" s="32">
        <f>IFERROR(__xludf.DUMMYFUNCTION("""COMPUTED_VALUE"""),406.581)</f>
        <v>406.581</v>
      </c>
      <c r="H266" s="11"/>
    </row>
    <row r="267">
      <c r="B267" s="11">
        <f>IFERROR(__xludf.DUMMYFUNCTION("""COMPUTED_VALUE"""),21824.0)</f>
        <v>21824</v>
      </c>
      <c r="C267" s="32">
        <f>IFERROR(__xludf.DUMMYFUNCTION("""COMPUTED_VALUE"""),369.442)</f>
        <v>369.442</v>
      </c>
      <c r="H267" s="11"/>
    </row>
    <row r="268">
      <c r="B268" s="11">
        <f>IFERROR(__xludf.DUMMYFUNCTION("""COMPUTED_VALUE"""),21732.0)</f>
        <v>21732</v>
      </c>
      <c r="C268" s="32">
        <f>IFERROR(__xludf.DUMMYFUNCTION("""COMPUTED_VALUE"""),357.798)</f>
        <v>357.798</v>
      </c>
      <c r="H268" s="11"/>
    </row>
    <row r="269">
      <c r="B269" s="11">
        <f>IFERROR(__xludf.DUMMYFUNCTION("""COMPUTED_VALUE"""),21641.0)</f>
        <v>21641</v>
      </c>
      <c r="C269" s="32">
        <f>IFERROR(__xludf.DUMMYFUNCTION("""COMPUTED_VALUE"""),382.5)</f>
        <v>382.5</v>
      </c>
      <c r="H269" s="11"/>
    </row>
    <row r="270">
      <c r="B270" s="11">
        <f>IFERROR(__xludf.DUMMYFUNCTION("""COMPUTED_VALUE"""),21551.0)</f>
        <v>21551</v>
      </c>
      <c r="C270" s="32">
        <f>IFERROR(__xludf.DUMMYFUNCTION("""COMPUTED_VALUE"""),354.894)</f>
        <v>354.894</v>
      </c>
      <c r="H270" s="11"/>
    </row>
    <row r="271">
      <c r="B271" s="11">
        <f>IFERROR(__xludf.DUMMYFUNCTION("""COMPUTED_VALUE"""),21459.0)</f>
        <v>21459</v>
      </c>
      <c r="C271" s="32">
        <f>IFERROR(__xludf.DUMMYFUNCTION("""COMPUTED_VALUE"""),336.555)</f>
        <v>336.555</v>
      </c>
      <c r="H271" s="11"/>
    </row>
    <row r="272">
      <c r="B272" s="11">
        <f>IFERROR(__xludf.DUMMYFUNCTION("""COMPUTED_VALUE"""),21367.0)</f>
        <v>21367</v>
      </c>
      <c r="C272" s="32">
        <f>IFERROR(__xludf.DUMMYFUNCTION("""COMPUTED_VALUE"""),310.114)</f>
        <v>310.114</v>
      </c>
      <c r="H272" s="11"/>
    </row>
    <row r="273">
      <c r="B273" s="11">
        <f>IFERROR(__xludf.DUMMYFUNCTION("""COMPUTED_VALUE"""),21276.0)</f>
        <v>21276</v>
      </c>
      <c r="C273" s="32">
        <f>IFERROR(__xludf.DUMMYFUNCTION("""COMPUTED_VALUE"""),288.01)</f>
        <v>288.01</v>
      </c>
      <c r="H273" s="11"/>
    </row>
    <row r="274">
      <c r="B274" s="11">
        <f>IFERROR(__xludf.DUMMYFUNCTION("""COMPUTED_VALUE"""),21186.0)</f>
        <v>21186</v>
      </c>
      <c r="C274" s="32">
        <f>IFERROR(__xludf.DUMMYFUNCTION("""COMPUTED_VALUE"""),293.932)</f>
        <v>293.932</v>
      </c>
      <c r="H274" s="11"/>
    </row>
    <row r="275">
      <c r="B275" s="11">
        <f>IFERROR(__xludf.DUMMYFUNCTION("""COMPUTED_VALUE"""),21094.0)</f>
        <v>21094</v>
      </c>
      <c r="C275" s="32">
        <f>IFERROR(__xludf.DUMMYFUNCTION("""COMPUTED_VALUE"""),315.195)</f>
        <v>315.195</v>
      </c>
      <c r="H275" s="11"/>
    </row>
    <row r="276">
      <c r="B276" s="11">
        <f>IFERROR(__xludf.DUMMYFUNCTION("""COMPUTED_VALUE"""),21002.0)</f>
        <v>21002</v>
      </c>
      <c r="C276" s="32">
        <f>IFERROR(__xludf.DUMMYFUNCTION("""COMPUTED_VALUE"""),341.451)</f>
        <v>341.451</v>
      </c>
      <c r="H276" s="11"/>
    </row>
    <row r="277">
      <c r="B277" s="11">
        <f>IFERROR(__xludf.DUMMYFUNCTION("""COMPUTED_VALUE"""),20911.0)</f>
        <v>20911</v>
      </c>
      <c r="C277" s="32">
        <f>IFERROR(__xludf.DUMMYFUNCTION("""COMPUTED_VALUE"""),333.798)</f>
        <v>333.798</v>
      </c>
      <c r="H277" s="11"/>
    </row>
    <row r="278">
      <c r="B278" s="11">
        <f>IFERROR(__xludf.DUMMYFUNCTION("""COMPUTED_VALUE"""),20821.0)</f>
        <v>20821</v>
      </c>
      <c r="C278" s="32">
        <f>IFERROR(__xludf.DUMMYFUNCTION("""COMPUTED_VALUE"""),334.137)</f>
        <v>334.137</v>
      </c>
      <c r="H278" s="11"/>
    </row>
    <row r="279">
      <c r="B279" s="11">
        <f>IFERROR(__xludf.DUMMYFUNCTION("""COMPUTED_VALUE"""),20729.0)</f>
        <v>20729</v>
      </c>
      <c r="C279" s="32">
        <f>IFERROR(__xludf.DUMMYFUNCTION("""COMPUTED_VALUE"""),339.406)</f>
        <v>339.406</v>
      </c>
      <c r="H279" s="11"/>
    </row>
    <row r="280">
      <c r="B280" s="11">
        <f>IFERROR(__xludf.DUMMYFUNCTION("""COMPUTED_VALUE"""),20637.0)</f>
        <v>20637</v>
      </c>
      <c r="C280" s="32">
        <f>IFERROR(__xludf.DUMMYFUNCTION("""COMPUTED_VALUE"""),342.583)</f>
        <v>342.583</v>
      </c>
      <c r="H280" s="11"/>
    </row>
    <row r="281">
      <c r="B281" s="11">
        <f>IFERROR(__xludf.DUMMYFUNCTION("""COMPUTED_VALUE"""),20546.0)</f>
        <v>20546</v>
      </c>
      <c r="C281" s="32">
        <f>IFERROR(__xludf.DUMMYFUNCTION("""COMPUTED_VALUE"""),345.678)</f>
        <v>345.678</v>
      </c>
      <c r="H281" s="11"/>
    </row>
    <row r="282">
      <c r="B282" s="11">
        <f>IFERROR(__xludf.DUMMYFUNCTION("""COMPUTED_VALUE"""),20455.0)</f>
        <v>20455</v>
      </c>
      <c r="C282" s="32">
        <f>IFERROR(__xludf.DUMMYFUNCTION("""COMPUTED_VALUE"""),348.42)</f>
        <v>348.42</v>
      </c>
      <c r="H282" s="11"/>
    </row>
    <row r="283">
      <c r="B283" s="11">
        <f>IFERROR(__xludf.DUMMYFUNCTION("""COMPUTED_VALUE"""),20363.0)</f>
        <v>20363</v>
      </c>
      <c r="C283" s="32">
        <f>IFERROR(__xludf.DUMMYFUNCTION("""COMPUTED_VALUE"""),358.661)</f>
        <v>358.661</v>
      </c>
      <c r="H283" s="11"/>
    </row>
    <row r="284">
      <c r="B284" s="11">
        <f>IFERROR(__xludf.DUMMYFUNCTION("""COMPUTED_VALUE"""),20271.0)</f>
        <v>20271</v>
      </c>
      <c r="C284" s="32">
        <f>IFERROR(__xludf.DUMMYFUNCTION("""COMPUTED_VALUE"""),350.533)</f>
        <v>350.533</v>
      </c>
      <c r="H284" s="11"/>
    </row>
    <row r="285">
      <c r="B285" s="11">
        <f>IFERROR(__xludf.DUMMYFUNCTION("""COMPUTED_VALUE"""),20180.0)</f>
        <v>20180</v>
      </c>
      <c r="C285" s="32">
        <f>IFERROR(__xludf.DUMMYFUNCTION("""COMPUTED_VALUE"""),345.235)</f>
        <v>345.235</v>
      </c>
      <c r="H285" s="11"/>
    </row>
    <row r="286">
      <c r="B286" s="11">
        <f>IFERROR(__xludf.DUMMYFUNCTION("""COMPUTED_VALUE"""),20090.0)</f>
        <v>20090</v>
      </c>
      <c r="C286" s="32">
        <f>IFERROR(__xludf.DUMMYFUNCTION("""COMPUTED_VALUE"""),325.442)</f>
        <v>325.442</v>
      </c>
      <c r="H286" s="11"/>
    </row>
    <row r="287">
      <c r="B287" s="11">
        <f>IFERROR(__xludf.DUMMYFUNCTION("""COMPUTED_VALUE"""),19998.0)</f>
        <v>19998</v>
      </c>
      <c r="C287" s="32">
        <f>IFERROR(__xludf.DUMMYFUNCTION("""COMPUTED_VALUE"""),295.882)</f>
        <v>295.882</v>
      </c>
      <c r="H287" s="11"/>
    </row>
    <row r="288">
      <c r="B288" s="11">
        <f>IFERROR(__xludf.DUMMYFUNCTION("""COMPUTED_VALUE"""),19906.0)</f>
        <v>19906</v>
      </c>
      <c r="C288" s="32">
        <f>IFERROR(__xludf.DUMMYFUNCTION("""COMPUTED_VALUE"""),283.451)</f>
        <v>283.451</v>
      </c>
      <c r="H288" s="11"/>
    </row>
    <row r="289">
      <c r="B289" s="11">
        <f>IFERROR(__xludf.DUMMYFUNCTION("""COMPUTED_VALUE"""),19815.0)</f>
        <v>19815</v>
      </c>
      <c r="C289" s="32">
        <f>IFERROR(__xludf.DUMMYFUNCTION("""COMPUTED_VALUE"""),270.402)</f>
        <v>270.402</v>
      </c>
      <c r="H289" s="11"/>
    </row>
    <row r="290">
      <c r="B290" s="11">
        <f>IFERROR(__xludf.DUMMYFUNCTION("""COMPUTED_VALUE"""),19725.0)</f>
        <v>19725</v>
      </c>
      <c r="C290" s="32">
        <f>IFERROR(__xludf.DUMMYFUNCTION("""COMPUTED_VALUE"""),271.041)</f>
        <v>271.041</v>
      </c>
      <c r="H290" s="11"/>
    </row>
    <row r="291">
      <c r="B291" s="11">
        <f>IFERROR(__xludf.DUMMYFUNCTION("""COMPUTED_VALUE"""),19633.0)</f>
        <v>19633</v>
      </c>
      <c r="C291" s="32">
        <f>IFERROR(__xludf.DUMMYFUNCTION("""COMPUTED_VALUE"""),272.998)</f>
        <v>272.998</v>
      </c>
      <c r="H291" s="11"/>
    </row>
    <row r="292">
      <c r="B292" s="11">
        <f>IFERROR(__xludf.DUMMYFUNCTION("""COMPUTED_VALUE"""),19541.0)</f>
        <v>19541</v>
      </c>
      <c r="C292" s="32">
        <f>IFERROR(__xludf.DUMMYFUNCTION("""COMPUTED_VALUE"""),294.261)</f>
        <v>294.261</v>
      </c>
      <c r="H292" s="11"/>
    </row>
    <row r="293">
      <c r="B293" s="11">
        <f>IFERROR(__xludf.DUMMYFUNCTION("""COMPUTED_VALUE"""),19450.0)</f>
        <v>19450</v>
      </c>
      <c r="C293" s="32">
        <f>IFERROR(__xludf.DUMMYFUNCTION("""COMPUTED_VALUE"""),300.547)</f>
        <v>300.547</v>
      </c>
      <c r="H293" s="11"/>
    </row>
    <row r="294">
      <c r="B294" s="11">
        <f>IFERROR(__xludf.DUMMYFUNCTION("""COMPUTED_VALUE"""),19360.0)</f>
        <v>19360</v>
      </c>
      <c r="C294" s="32">
        <f>IFERROR(__xludf.DUMMYFUNCTION("""COMPUTED_VALUE"""),298.847)</f>
        <v>298.847</v>
      </c>
      <c r="H294" s="11"/>
    </row>
    <row r="295">
      <c r="B295" s="11">
        <f>IFERROR(__xludf.DUMMYFUNCTION("""COMPUTED_VALUE"""),19268.0)</f>
        <v>19268</v>
      </c>
      <c r="C295" s="32">
        <f>IFERROR(__xludf.DUMMYFUNCTION("""COMPUTED_VALUE"""),292.552)</f>
        <v>292.552</v>
      </c>
      <c r="H295" s="11"/>
    </row>
    <row r="296">
      <c r="B296" s="11">
        <f>IFERROR(__xludf.DUMMYFUNCTION("""COMPUTED_VALUE"""),19176.0)</f>
        <v>19176</v>
      </c>
      <c r="C296" s="32">
        <f>IFERROR(__xludf.DUMMYFUNCTION("""COMPUTED_VALUE"""),272.895)</f>
        <v>272.895</v>
      </c>
      <c r="H296" s="11"/>
    </row>
    <row r="297">
      <c r="B297" s="11">
        <f>IFERROR(__xludf.DUMMYFUNCTION("""COMPUTED_VALUE"""),19085.0)</f>
        <v>19085</v>
      </c>
      <c r="C297" s="32">
        <f>IFERROR(__xludf.DUMMYFUNCTION("""COMPUTED_VALUE"""),259.01)</f>
        <v>259.01</v>
      </c>
      <c r="H297" s="11"/>
    </row>
    <row r="298">
      <c r="B298" s="11">
        <f>IFERROR(__xludf.DUMMYFUNCTION("""COMPUTED_VALUE"""),18994.0)</f>
        <v>18994</v>
      </c>
      <c r="C298" s="32">
        <f>IFERROR(__xludf.DUMMYFUNCTION("""COMPUTED_VALUE"""),280.13)</f>
        <v>280.13</v>
      </c>
      <c r="H298" s="11"/>
    </row>
    <row r="299">
      <c r="B299" s="11">
        <f>IFERROR(__xludf.DUMMYFUNCTION("""COMPUTED_VALUE"""),18902.0)</f>
        <v>18902</v>
      </c>
      <c r="C299" s="32">
        <f>IFERROR(__xludf.DUMMYFUNCTION("""COMPUTED_VALUE"""),273.007)</f>
        <v>273.007</v>
      </c>
      <c r="H299" s="11"/>
    </row>
    <row r="300">
      <c r="B300" s="11">
        <f>IFERROR(__xludf.DUMMYFUNCTION("""COMPUTED_VALUE"""),18810.0)</f>
        <v>18810</v>
      </c>
      <c r="C300" s="32">
        <f>IFERROR(__xludf.DUMMYFUNCTION("""COMPUTED_VALUE"""),296.643)</f>
        <v>296.643</v>
      </c>
      <c r="H300" s="11"/>
    </row>
    <row r="301">
      <c r="B301" s="11">
        <f>IFERROR(__xludf.DUMMYFUNCTION("""COMPUTED_VALUE"""),18719.0)</f>
        <v>18719</v>
      </c>
      <c r="C301" s="32">
        <f>IFERROR(__xludf.DUMMYFUNCTION("""COMPUTED_VALUE"""),320.221)</f>
        <v>320.221</v>
      </c>
      <c r="H301" s="11"/>
    </row>
    <row r="302">
      <c r="B302" s="11">
        <f>IFERROR(__xludf.DUMMYFUNCTION("""COMPUTED_VALUE"""),18629.0)</f>
        <v>18629</v>
      </c>
      <c r="C302" s="32">
        <f>IFERROR(__xludf.DUMMYFUNCTION("""COMPUTED_VALUE"""),312.966)</f>
        <v>312.966</v>
      </c>
      <c r="H302" s="11"/>
    </row>
    <row r="303">
      <c r="B303" s="11">
        <f>IFERROR(__xludf.DUMMYFUNCTION("""COMPUTED_VALUE"""),18537.0)</f>
        <v>18537</v>
      </c>
      <c r="C303" s="32">
        <f>IFERROR(__xludf.DUMMYFUNCTION("""COMPUTED_VALUE"""),348.585)</f>
        <v>348.585</v>
      </c>
      <c r="H303" s="11"/>
    </row>
    <row r="304">
      <c r="B304" s="11">
        <f>IFERROR(__xludf.DUMMYFUNCTION("""COMPUTED_VALUE"""),18445.0)</f>
        <v>18445</v>
      </c>
      <c r="C304" s="32">
        <f>IFERROR(__xludf.DUMMYFUNCTION("""COMPUTED_VALUE"""),309.285)</f>
        <v>309.285</v>
      </c>
      <c r="H304" s="11"/>
    </row>
    <row r="305">
      <c r="B305" s="11">
        <f>IFERROR(__xludf.DUMMYFUNCTION("""COMPUTED_VALUE"""),18354.0)</f>
        <v>18354</v>
      </c>
      <c r="C305" s="32">
        <f>IFERROR(__xludf.DUMMYFUNCTION("""COMPUTED_VALUE"""),284.803)</f>
        <v>284.803</v>
      </c>
      <c r="H305" s="11"/>
    </row>
    <row r="306">
      <c r="B306" s="11">
        <f>IFERROR(__xludf.DUMMYFUNCTION("""COMPUTED_VALUE"""),18264.0)</f>
        <v>18264</v>
      </c>
      <c r="C306" s="32">
        <f>IFERROR(__xludf.DUMMYFUNCTION("""COMPUTED_VALUE"""),257.271)</f>
        <v>257.271</v>
      </c>
      <c r="H306" s="11"/>
    </row>
    <row r="307">
      <c r="B307" s="11">
        <f>IFERROR(__xludf.DUMMYFUNCTION("""COMPUTED_VALUE"""),18172.0)</f>
        <v>18172</v>
      </c>
      <c r="C307" s="32">
        <f>IFERROR(__xludf.DUMMYFUNCTION("""COMPUTED_VALUE"""),207.912)</f>
        <v>207.912</v>
      </c>
      <c r="H307" s="11"/>
    </row>
    <row r="308">
      <c r="B308" s="11">
        <f>IFERROR(__xludf.DUMMYFUNCTION("""COMPUTED_VALUE"""),18080.0)</f>
        <v>18080</v>
      </c>
      <c r="C308" s="32">
        <f>IFERROR(__xludf.DUMMYFUNCTION("""COMPUTED_VALUE"""),218.667)</f>
        <v>218.667</v>
      </c>
      <c r="H308" s="11"/>
    </row>
    <row r="309">
      <c r="B309" s="11">
        <f>IFERROR(__xludf.DUMMYFUNCTION("""COMPUTED_VALUE"""),17989.0)</f>
        <v>17989</v>
      </c>
      <c r="C309" s="32">
        <f>IFERROR(__xludf.DUMMYFUNCTION("""COMPUTED_VALUE"""),201.926)</f>
        <v>201.926</v>
      </c>
      <c r="H309" s="11"/>
    </row>
    <row r="310">
      <c r="B310" s="11">
        <f>IFERROR(__xludf.DUMMYFUNCTION("""COMPUTED_VALUE"""),17899.0)</f>
        <v>17899</v>
      </c>
      <c r="C310" s="32">
        <f>IFERROR(__xludf.DUMMYFUNCTION("""COMPUTED_VALUE"""),232.885)</f>
        <v>232.885</v>
      </c>
      <c r="H310" s="11"/>
    </row>
    <row r="311">
      <c r="B311" s="11">
        <f>IFERROR(__xludf.DUMMYFUNCTION("""COMPUTED_VALUE"""),17807.0)</f>
        <v>17807</v>
      </c>
      <c r="C311" s="32">
        <f>IFERROR(__xludf.DUMMYFUNCTION("""COMPUTED_VALUE"""),273.765)</f>
        <v>273.765</v>
      </c>
      <c r="H311" s="11"/>
    </row>
    <row r="312">
      <c r="B312" s="11">
        <f>IFERROR(__xludf.DUMMYFUNCTION("""COMPUTED_VALUE"""),17715.0)</f>
        <v>17715</v>
      </c>
      <c r="C312" s="32">
        <f>IFERROR(__xludf.DUMMYFUNCTION("""COMPUTED_VALUE"""),287.514)</f>
        <v>287.514</v>
      </c>
      <c r="H312" s="11"/>
    </row>
    <row r="313">
      <c r="B313" s="11">
        <f>IFERROR(__xludf.DUMMYFUNCTION("""COMPUTED_VALUE"""),17624.0)</f>
        <v>17624</v>
      </c>
      <c r="C313" s="32">
        <f>IFERROR(__xludf.DUMMYFUNCTION("""COMPUTED_VALUE"""),284.598)</f>
        <v>284.598</v>
      </c>
      <c r="H313" s="11"/>
    </row>
    <row r="314">
      <c r="B314" s="11">
        <f>IFERROR(__xludf.DUMMYFUNCTION("""COMPUTED_VALUE"""),17533.0)</f>
        <v>17533</v>
      </c>
      <c r="C314" s="32">
        <f>IFERROR(__xludf.DUMMYFUNCTION("""COMPUTED_VALUE"""),268.012)</f>
        <v>268.012</v>
      </c>
      <c r="H314" s="11"/>
    </row>
    <row r="315">
      <c r="B315" s="11">
        <f>IFERROR(__xludf.DUMMYFUNCTION("""COMPUTED_VALUE"""),17441.0)</f>
        <v>17441</v>
      </c>
      <c r="C315" s="32">
        <f>IFERROR(__xludf.DUMMYFUNCTION("""COMPUTED_VALUE"""),243.072)</f>
        <v>243.072</v>
      </c>
      <c r="H315" s="11"/>
    </row>
    <row r="316">
      <c r="B316" s="11">
        <f>IFERROR(__xludf.DUMMYFUNCTION("""COMPUTED_VALUE"""),17349.0)</f>
        <v>17349</v>
      </c>
      <c r="C316" s="32">
        <f>IFERROR(__xludf.DUMMYFUNCTION("""COMPUTED_VALUE"""),203.662)</f>
        <v>203.662</v>
      </c>
      <c r="H316" s="11"/>
    </row>
    <row r="317">
      <c r="B317" s="11">
        <f>IFERROR(__xludf.DUMMYFUNCTION("""COMPUTED_VALUE"""),17258.0)</f>
        <v>17258</v>
      </c>
      <c r="C317" s="32">
        <f>IFERROR(__xludf.DUMMYFUNCTION("""COMPUTED_VALUE"""),209.836)</f>
        <v>209.836</v>
      </c>
      <c r="H317" s="11"/>
    </row>
    <row r="318">
      <c r="B318" s="11">
        <f>IFERROR(__xludf.DUMMYFUNCTION("""COMPUTED_VALUE"""),17168.0)</f>
        <v>17168</v>
      </c>
      <c r="C318" s="32">
        <f>IFERROR(__xludf.DUMMYFUNCTION("""COMPUTED_VALUE"""),227.242)</f>
        <v>227.242</v>
      </c>
      <c r="H318" s="11"/>
    </row>
    <row r="319">
      <c r="B319" s="11"/>
      <c r="C319" s="32"/>
      <c r="H319" s="11"/>
    </row>
    <row r="320">
      <c r="B320" s="11"/>
      <c r="C320" s="32"/>
      <c r="H320" s="11"/>
    </row>
    <row r="321">
      <c r="B321" s="11"/>
      <c r="C321" s="32"/>
      <c r="H321" s="11"/>
    </row>
    <row r="322">
      <c r="B322" s="11"/>
      <c r="C322" s="32"/>
      <c r="H322" s="11"/>
    </row>
    <row r="323">
      <c r="B323" s="11"/>
      <c r="C323" s="32"/>
      <c r="H323" s="11"/>
    </row>
    <row r="324">
      <c r="B324" s="11"/>
      <c r="C324" s="32"/>
      <c r="H324" s="11"/>
    </row>
    <row r="325">
      <c r="B325" s="11"/>
      <c r="C325" s="32"/>
      <c r="H325" s="11"/>
    </row>
    <row r="326">
      <c r="B326" s="11"/>
      <c r="C326" s="32"/>
      <c r="H326" s="11"/>
    </row>
    <row r="327">
      <c r="B327" s="11"/>
      <c r="C327" s="32"/>
      <c r="H327" s="11"/>
    </row>
    <row r="328">
      <c r="B328" s="11"/>
      <c r="C328" s="32"/>
      <c r="H328" s="11"/>
    </row>
    <row r="329">
      <c r="B329" s="11"/>
      <c r="C329" s="32"/>
      <c r="H329" s="11"/>
    </row>
    <row r="330">
      <c r="B330" s="11"/>
      <c r="C330" s="32"/>
      <c r="H330" s="11"/>
    </row>
    <row r="331">
      <c r="B331" s="11"/>
      <c r="C331" s="32"/>
      <c r="H331" s="11"/>
    </row>
    <row r="332">
      <c r="B332" s="11"/>
      <c r="C332" s="32"/>
      <c r="H332" s="11"/>
    </row>
    <row r="333">
      <c r="B333" s="11"/>
      <c r="C333" s="32"/>
      <c r="H333" s="11"/>
    </row>
    <row r="334">
      <c r="B334" s="11"/>
      <c r="C334" s="32"/>
      <c r="H334" s="11"/>
    </row>
    <row r="335">
      <c r="B335" s="11"/>
      <c r="C335" s="32"/>
      <c r="H335" s="11"/>
    </row>
    <row r="336">
      <c r="B336" s="11"/>
      <c r="C336" s="32"/>
      <c r="H336" s="11"/>
    </row>
    <row r="337">
      <c r="B337" s="11"/>
      <c r="C337" s="32"/>
      <c r="H337" s="11"/>
    </row>
    <row r="338">
      <c r="B338" s="11"/>
      <c r="C338" s="32"/>
      <c r="H338" s="11"/>
    </row>
    <row r="339">
      <c r="B339" s="11"/>
      <c r="C339" s="32"/>
      <c r="H339" s="11"/>
    </row>
    <row r="340">
      <c r="B340" s="11"/>
      <c r="C340" s="32"/>
      <c r="H340" s="11"/>
    </row>
    <row r="341">
      <c r="B341" s="11"/>
      <c r="C341" s="32"/>
      <c r="H341" s="11"/>
    </row>
    <row r="342">
      <c r="B342" s="11"/>
      <c r="C342" s="32"/>
      <c r="H342" s="11"/>
    </row>
    <row r="343">
      <c r="B343" s="11"/>
      <c r="C343" s="32"/>
      <c r="H343" s="11"/>
    </row>
    <row r="344">
      <c r="B344" s="11"/>
      <c r="C344" s="32"/>
      <c r="H344" s="11"/>
    </row>
    <row r="345">
      <c r="B345" s="11"/>
      <c r="C345" s="32"/>
      <c r="H345" s="11"/>
    </row>
    <row r="346">
      <c r="B346" s="11"/>
      <c r="C346" s="32"/>
      <c r="H346" s="11"/>
    </row>
    <row r="347">
      <c r="B347" s="11"/>
      <c r="C347" s="32"/>
      <c r="H347" s="11"/>
    </row>
    <row r="348">
      <c r="B348" s="11"/>
      <c r="C348" s="32"/>
      <c r="H348" s="11"/>
    </row>
    <row r="349">
      <c r="B349" s="11"/>
      <c r="C349" s="32"/>
      <c r="H349" s="11"/>
    </row>
    <row r="350">
      <c r="B350" s="11"/>
      <c r="C350" s="32"/>
      <c r="H350" s="11"/>
    </row>
    <row r="351">
      <c r="B351" s="11"/>
      <c r="C351" s="32"/>
      <c r="H351" s="11"/>
    </row>
    <row r="352">
      <c r="B352" s="11"/>
      <c r="C352" s="32"/>
      <c r="H352" s="11"/>
    </row>
    <row r="353">
      <c r="B353" s="11"/>
      <c r="C353" s="32"/>
      <c r="H353" s="11"/>
    </row>
    <row r="354">
      <c r="B354" s="11"/>
      <c r="C354" s="32"/>
      <c r="H354" s="11"/>
    </row>
    <row r="355">
      <c r="B355" s="11"/>
      <c r="C355" s="32"/>
      <c r="H355" s="11"/>
    </row>
    <row r="356">
      <c r="B356" s="11"/>
      <c r="C356" s="32"/>
      <c r="H356" s="11"/>
    </row>
    <row r="357">
      <c r="B357" s="11"/>
      <c r="C357" s="32"/>
      <c r="H357" s="11"/>
    </row>
    <row r="358">
      <c r="B358" s="11"/>
      <c r="C358" s="32"/>
      <c r="H358" s="11"/>
    </row>
    <row r="359">
      <c r="B359" s="11"/>
      <c r="C359" s="32"/>
      <c r="H359" s="11"/>
    </row>
    <row r="360">
      <c r="B360" s="11"/>
      <c r="C360" s="32"/>
      <c r="H360" s="11"/>
    </row>
    <row r="361">
      <c r="B361" s="11"/>
      <c r="C361" s="32"/>
      <c r="H361" s="11"/>
    </row>
    <row r="362">
      <c r="B362" s="11"/>
      <c r="C362" s="32"/>
      <c r="H362" s="11"/>
    </row>
    <row r="363">
      <c r="B363" s="11"/>
      <c r="C363" s="32"/>
      <c r="H363" s="11"/>
    </row>
    <row r="364">
      <c r="B364" s="11"/>
      <c r="C364" s="32"/>
      <c r="H364" s="11"/>
    </row>
    <row r="365">
      <c r="B365" s="11"/>
      <c r="C365" s="32"/>
      <c r="H365" s="11"/>
    </row>
    <row r="366">
      <c r="B366" s="11"/>
      <c r="C366" s="32"/>
      <c r="H366" s="11"/>
    </row>
    <row r="367">
      <c r="B367" s="11"/>
      <c r="C367" s="32"/>
      <c r="H367" s="11"/>
    </row>
    <row r="368">
      <c r="B368" s="11"/>
      <c r="C368" s="32"/>
      <c r="H368" s="11"/>
    </row>
    <row r="369">
      <c r="B369" s="11"/>
      <c r="C369" s="32"/>
      <c r="H369" s="11"/>
    </row>
    <row r="370">
      <c r="B370" s="11"/>
      <c r="C370" s="32"/>
      <c r="H370" s="11"/>
    </row>
    <row r="371">
      <c r="B371" s="11"/>
      <c r="C371" s="32"/>
      <c r="H371" s="11"/>
    </row>
    <row r="372">
      <c r="B372" s="11"/>
      <c r="C372" s="32"/>
      <c r="H372" s="11"/>
    </row>
    <row r="373">
      <c r="B373" s="11"/>
      <c r="C373" s="32"/>
      <c r="H373" s="11"/>
    </row>
    <row r="374">
      <c r="B374" s="11"/>
      <c r="C374" s="32"/>
      <c r="H374" s="11"/>
    </row>
    <row r="375">
      <c r="B375" s="11"/>
      <c r="C375" s="32"/>
      <c r="H375" s="11"/>
    </row>
    <row r="376">
      <c r="B376" s="11"/>
      <c r="C376" s="32"/>
      <c r="H376" s="11"/>
    </row>
    <row r="377">
      <c r="B377" s="11"/>
      <c r="C377" s="32"/>
      <c r="H377" s="11"/>
    </row>
    <row r="378">
      <c r="B378" s="11"/>
      <c r="C378" s="32"/>
      <c r="H378" s="11"/>
    </row>
    <row r="379">
      <c r="B379" s="11"/>
      <c r="C379" s="32"/>
      <c r="H379" s="11"/>
    </row>
    <row r="380">
      <c r="B380" s="11"/>
      <c r="C380" s="32"/>
      <c r="H380" s="11"/>
    </row>
    <row r="381">
      <c r="B381" s="11"/>
      <c r="C381" s="32"/>
      <c r="H381" s="11"/>
    </row>
    <row r="382">
      <c r="B382" s="11"/>
      <c r="C382" s="32"/>
      <c r="H382" s="11"/>
    </row>
    <row r="383">
      <c r="B383" s="11"/>
      <c r="C383" s="32"/>
      <c r="H383" s="11"/>
    </row>
    <row r="384">
      <c r="B384" s="11"/>
      <c r="C384" s="32"/>
      <c r="H384" s="11"/>
    </row>
    <row r="385">
      <c r="B385" s="11"/>
      <c r="C385" s="32"/>
      <c r="H385" s="11"/>
    </row>
    <row r="386">
      <c r="B386" s="11"/>
      <c r="C386" s="32"/>
      <c r="H386" s="11"/>
    </row>
    <row r="387">
      <c r="B387" s="11"/>
      <c r="C387" s="32"/>
      <c r="H387" s="11"/>
    </row>
    <row r="388">
      <c r="B388" s="11"/>
      <c r="C388" s="32"/>
      <c r="H388" s="11"/>
    </row>
    <row r="389">
      <c r="B389" s="11"/>
      <c r="C389" s="32"/>
      <c r="H389" s="11"/>
    </row>
    <row r="390">
      <c r="B390" s="11"/>
      <c r="C390" s="32"/>
      <c r="H390" s="11"/>
    </row>
    <row r="391">
      <c r="B391" s="11"/>
      <c r="C391" s="32"/>
      <c r="H391" s="11"/>
    </row>
    <row r="392">
      <c r="B392" s="11"/>
      <c r="C392" s="32"/>
      <c r="H392" s="11"/>
    </row>
    <row r="393">
      <c r="B393" s="11"/>
      <c r="C393" s="32"/>
      <c r="H393" s="11"/>
    </row>
    <row r="394">
      <c r="B394" s="11"/>
      <c r="C394" s="32"/>
      <c r="H394" s="11"/>
    </row>
    <row r="395">
      <c r="B395" s="11"/>
      <c r="C395" s="32"/>
      <c r="H395" s="11"/>
    </row>
    <row r="396">
      <c r="B396" s="11"/>
      <c r="C396" s="32"/>
      <c r="H396" s="11"/>
    </row>
    <row r="397">
      <c r="B397" s="11"/>
      <c r="C397" s="32"/>
      <c r="H397" s="11"/>
    </row>
    <row r="398">
      <c r="B398" s="11"/>
      <c r="C398" s="32"/>
      <c r="H398" s="11"/>
    </row>
    <row r="399">
      <c r="B399" s="11"/>
      <c r="C399" s="32"/>
      <c r="H399" s="11"/>
    </row>
    <row r="400">
      <c r="B400" s="11"/>
      <c r="C400" s="32"/>
      <c r="H400" s="11"/>
    </row>
    <row r="401">
      <c r="B401" s="11"/>
      <c r="C401" s="32"/>
      <c r="H401" s="11"/>
    </row>
    <row r="402">
      <c r="B402" s="11"/>
      <c r="C402" s="32"/>
      <c r="H402" s="11"/>
    </row>
    <row r="403">
      <c r="B403" s="11"/>
      <c r="C403" s="32"/>
      <c r="H403" s="11"/>
    </row>
    <row r="404">
      <c r="B404" s="11"/>
      <c r="C404" s="32"/>
      <c r="H404" s="11"/>
    </row>
    <row r="405">
      <c r="B405" s="11"/>
      <c r="C405" s="32"/>
      <c r="H405" s="11"/>
    </row>
    <row r="406">
      <c r="B406" s="11"/>
      <c r="C406" s="32"/>
      <c r="H406" s="11"/>
    </row>
    <row r="407">
      <c r="B407" s="11"/>
      <c r="C407" s="32"/>
      <c r="H407" s="11"/>
    </row>
    <row r="408">
      <c r="B408" s="11"/>
      <c r="C408" s="32"/>
      <c r="H408" s="11"/>
    </row>
    <row r="409">
      <c r="B409" s="11"/>
      <c r="C409" s="32"/>
      <c r="H409" s="11"/>
    </row>
    <row r="410">
      <c r="B410" s="11"/>
      <c r="C410" s="32"/>
      <c r="H410" s="11"/>
    </row>
    <row r="411">
      <c r="B411" s="11"/>
      <c r="C411" s="32"/>
      <c r="H411" s="11"/>
    </row>
    <row r="412">
      <c r="B412" s="11"/>
      <c r="C412" s="32"/>
      <c r="H412" s="11"/>
    </row>
    <row r="413">
      <c r="B413" s="11"/>
      <c r="C413" s="32"/>
      <c r="H413" s="11"/>
    </row>
    <row r="414">
      <c r="B414" s="11"/>
      <c r="C414" s="32"/>
      <c r="H414" s="11"/>
    </row>
    <row r="415">
      <c r="B415" s="11"/>
      <c r="C415" s="32"/>
      <c r="H415" s="11"/>
    </row>
    <row r="416">
      <c r="B416" s="11"/>
      <c r="C416" s="32"/>
      <c r="H416" s="11"/>
    </row>
    <row r="417">
      <c r="B417" s="11"/>
      <c r="C417" s="32"/>
      <c r="H417" s="11"/>
    </row>
    <row r="418">
      <c r="B418" s="11"/>
      <c r="C418" s="32"/>
      <c r="H418" s="11"/>
    </row>
    <row r="419">
      <c r="B419" s="11"/>
      <c r="C419" s="32"/>
      <c r="H419" s="11"/>
    </row>
    <row r="420">
      <c r="B420" s="11"/>
      <c r="C420" s="32"/>
      <c r="H420" s="11"/>
    </row>
    <row r="421">
      <c r="B421" s="11"/>
      <c r="C421" s="32"/>
      <c r="H421" s="11"/>
    </row>
    <row r="422">
      <c r="B422" s="11"/>
      <c r="C422" s="32"/>
      <c r="H422" s="11"/>
    </row>
    <row r="423">
      <c r="B423" s="11"/>
      <c r="C423" s="32"/>
      <c r="H423" s="11"/>
    </row>
    <row r="424">
      <c r="B424" s="11"/>
      <c r="C424" s="32"/>
      <c r="H424" s="11"/>
    </row>
    <row r="425">
      <c r="B425" s="11"/>
      <c r="C425" s="32"/>
      <c r="H425" s="11"/>
    </row>
    <row r="426">
      <c r="B426" s="11"/>
      <c r="C426" s="32"/>
      <c r="H426" s="11"/>
    </row>
    <row r="427">
      <c r="B427" s="11"/>
      <c r="C427" s="32"/>
      <c r="H427" s="11"/>
    </row>
    <row r="428">
      <c r="B428" s="11"/>
      <c r="C428" s="32"/>
      <c r="H428" s="11"/>
    </row>
    <row r="429">
      <c r="B429" s="11"/>
      <c r="C429" s="32"/>
      <c r="H429" s="11"/>
    </row>
    <row r="430">
      <c r="B430" s="11"/>
      <c r="C430" s="32"/>
      <c r="H430" s="11"/>
    </row>
    <row r="431">
      <c r="B431" s="11"/>
      <c r="C431" s="32"/>
      <c r="H431" s="11"/>
    </row>
    <row r="432">
      <c r="B432" s="11"/>
      <c r="C432" s="32"/>
      <c r="H432" s="11"/>
    </row>
    <row r="433">
      <c r="B433" s="11"/>
      <c r="C433" s="32"/>
      <c r="H433" s="11"/>
    </row>
    <row r="434">
      <c r="B434" s="11"/>
      <c r="C434" s="32"/>
      <c r="H434" s="11"/>
    </row>
    <row r="435">
      <c r="B435" s="11"/>
      <c r="C435" s="32"/>
      <c r="H435" s="11"/>
    </row>
    <row r="436">
      <c r="B436" s="11"/>
      <c r="C436" s="32"/>
      <c r="H436" s="11"/>
    </row>
    <row r="437">
      <c r="B437" s="11"/>
      <c r="C437" s="32"/>
      <c r="H437" s="11"/>
    </row>
    <row r="438">
      <c r="B438" s="11"/>
      <c r="C438" s="32"/>
      <c r="H438" s="11"/>
    </row>
    <row r="439">
      <c r="B439" s="11"/>
      <c r="C439" s="32"/>
      <c r="H439" s="11"/>
    </row>
    <row r="440">
      <c r="B440" s="11"/>
      <c r="C440" s="32"/>
      <c r="H440" s="11"/>
    </row>
    <row r="441">
      <c r="B441" s="11"/>
      <c r="C441" s="32"/>
      <c r="H441" s="11"/>
    </row>
    <row r="442">
      <c r="B442" s="11"/>
      <c r="C442" s="32"/>
      <c r="H442" s="11"/>
    </row>
    <row r="443">
      <c r="B443" s="11"/>
      <c r="C443" s="32"/>
      <c r="H443" s="11"/>
    </row>
    <row r="444">
      <c r="B444" s="11"/>
      <c r="C444" s="32"/>
      <c r="H444" s="11"/>
    </row>
    <row r="445">
      <c r="B445" s="11"/>
      <c r="C445" s="32"/>
      <c r="H445" s="11"/>
    </row>
    <row r="446">
      <c r="B446" s="11"/>
      <c r="C446" s="32"/>
      <c r="H446" s="11"/>
    </row>
    <row r="447">
      <c r="B447" s="11"/>
      <c r="C447" s="32"/>
      <c r="H447" s="11"/>
    </row>
    <row r="448">
      <c r="B448" s="11"/>
      <c r="C448" s="32"/>
      <c r="H448" s="11"/>
    </row>
    <row r="449">
      <c r="B449" s="11"/>
      <c r="C449" s="32"/>
      <c r="H449" s="11"/>
    </row>
    <row r="450">
      <c r="B450" s="11"/>
      <c r="C450" s="32"/>
      <c r="H450" s="11"/>
    </row>
    <row r="451">
      <c r="B451" s="11"/>
      <c r="C451" s="32"/>
      <c r="H451" s="11"/>
    </row>
    <row r="452">
      <c r="B452" s="11"/>
      <c r="C452" s="32"/>
      <c r="H452" s="11"/>
    </row>
    <row r="453">
      <c r="B453" s="11"/>
      <c r="C453" s="32"/>
      <c r="H453" s="11"/>
    </row>
    <row r="454">
      <c r="B454" s="11"/>
      <c r="C454" s="32"/>
      <c r="H454" s="11"/>
    </row>
    <row r="455">
      <c r="B455" s="11"/>
      <c r="C455" s="32"/>
      <c r="H455" s="11"/>
    </row>
    <row r="456">
      <c r="B456" s="11"/>
      <c r="C456" s="32"/>
      <c r="H456" s="11"/>
    </row>
    <row r="457">
      <c r="B457" s="11"/>
      <c r="C457" s="32"/>
      <c r="H457" s="11"/>
    </row>
    <row r="458">
      <c r="B458" s="11"/>
      <c r="C458" s="32"/>
      <c r="H458" s="11"/>
    </row>
    <row r="459">
      <c r="B459" s="11"/>
      <c r="C459" s="32"/>
      <c r="H459" s="11"/>
    </row>
    <row r="460">
      <c r="B460" s="11"/>
      <c r="C460" s="32"/>
      <c r="H460" s="11"/>
    </row>
    <row r="461">
      <c r="B461" s="11"/>
      <c r="C461" s="32"/>
      <c r="H461" s="11"/>
    </row>
    <row r="462">
      <c r="B462" s="11"/>
      <c r="C462" s="32"/>
      <c r="H462" s="11"/>
    </row>
    <row r="463">
      <c r="B463" s="11"/>
      <c r="C463" s="32"/>
      <c r="H463" s="11"/>
    </row>
    <row r="464">
      <c r="B464" s="11"/>
      <c r="C464" s="32"/>
      <c r="H464" s="11"/>
    </row>
    <row r="465">
      <c r="B465" s="11"/>
      <c r="C465" s="32"/>
      <c r="H465" s="11"/>
    </row>
    <row r="466">
      <c r="B466" s="11"/>
      <c r="C466" s="32"/>
      <c r="H466" s="11"/>
    </row>
    <row r="467">
      <c r="B467" s="11"/>
      <c r="C467" s="32"/>
      <c r="H467" s="11"/>
    </row>
    <row r="468">
      <c r="B468" s="11"/>
      <c r="C468" s="32"/>
      <c r="H468" s="11"/>
    </row>
    <row r="469">
      <c r="B469" s="11"/>
      <c r="C469" s="32"/>
      <c r="H469" s="11"/>
    </row>
    <row r="470">
      <c r="B470" s="11"/>
      <c r="C470" s="32"/>
      <c r="H470" s="11"/>
    </row>
    <row r="471">
      <c r="B471" s="11"/>
      <c r="C471" s="32"/>
      <c r="H471" s="11"/>
    </row>
    <row r="472">
      <c r="B472" s="11"/>
      <c r="C472" s="32"/>
      <c r="H472" s="11"/>
    </row>
    <row r="473">
      <c r="B473" s="11"/>
      <c r="C473" s="32"/>
      <c r="H473" s="11"/>
    </row>
    <row r="474">
      <c r="B474" s="11"/>
      <c r="C474" s="32"/>
      <c r="H474" s="11"/>
    </row>
    <row r="475">
      <c r="B475" s="11"/>
      <c r="C475" s="32"/>
      <c r="H475" s="11"/>
    </row>
    <row r="476">
      <c r="B476" s="11"/>
      <c r="C476" s="32"/>
      <c r="H476" s="11"/>
    </row>
    <row r="477">
      <c r="B477" s="11"/>
      <c r="C477" s="32"/>
      <c r="H477" s="11"/>
    </row>
    <row r="478">
      <c r="B478" s="11"/>
      <c r="C478" s="32"/>
      <c r="H478" s="11"/>
    </row>
    <row r="479">
      <c r="B479" s="11"/>
      <c r="C479" s="32"/>
      <c r="H479" s="11"/>
    </row>
    <row r="480">
      <c r="B480" s="11"/>
      <c r="C480" s="32"/>
      <c r="H480" s="11"/>
    </row>
    <row r="481">
      <c r="B481" s="11"/>
      <c r="C481" s="32"/>
      <c r="H481" s="11"/>
    </row>
    <row r="482">
      <c r="B482" s="11"/>
      <c r="C482" s="32"/>
      <c r="H482" s="11"/>
    </row>
    <row r="483">
      <c r="B483" s="11"/>
      <c r="C483" s="32"/>
      <c r="H483" s="11"/>
    </row>
    <row r="484">
      <c r="B484" s="11"/>
      <c r="C484" s="32"/>
      <c r="H484" s="11"/>
    </row>
    <row r="485">
      <c r="B485" s="11"/>
      <c r="C485" s="32"/>
      <c r="H485" s="11"/>
    </row>
    <row r="486">
      <c r="B486" s="11"/>
      <c r="C486" s="32"/>
      <c r="H486" s="11"/>
    </row>
    <row r="487">
      <c r="B487" s="11"/>
      <c r="C487" s="32"/>
      <c r="H487" s="11"/>
    </row>
    <row r="488">
      <c r="B488" s="11"/>
      <c r="C488" s="32"/>
      <c r="H488" s="11"/>
    </row>
    <row r="489">
      <c r="B489" s="11"/>
      <c r="C489" s="32"/>
      <c r="H489" s="11"/>
    </row>
    <row r="490">
      <c r="B490" s="11"/>
      <c r="C490" s="32"/>
      <c r="H490" s="11"/>
    </row>
    <row r="491">
      <c r="B491" s="11"/>
      <c r="C491" s="32"/>
      <c r="H491" s="11"/>
    </row>
    <row r="492">
      <c r="B492" s="11"/>
      <c r="C492" s="32"/>
      <c r="H492" s="11"/>
    </row>
    <row r="493">
      <c r="B493" s="11"/>
      <c r="C493" s="32"/>
      <c r="H493" s="11"/>
    </row>
    <row r="494">
      <c r="B494" s="11"/>
      <c r="C494" s="32"/>
      <c r="H494" s="11"/>
    </row>
    <row r="495">
      <c r="B495" s="11"/>
      <c r="C495" s="32"/>
      <c r="H495" s="11"/>
    </row>
    <row r="496">
      <c r="B496" s="11"/>
      <c r="C496" s="32"/>
      <c r="H496" s="11"/>
    </row>
    <row r="497">
      <c r="B497" s="11"/>
      <c r="C497" s="32"/>
      <c r="H497" s="11"/>
    </row>
    <row r="498">
      <c r="B498" s="11"/>
      <c r="C498" s="32"/>
      <c r="H498" s="11"/>
    </row>
    <row r="499">
      <c r="B499" s="11"/>
      <c r="C499" s="32"/>
      <c r="H499" s="11"/>
    </row>
    <row r="500">
      <c r="B500" s="11"/>
      <c r="C500" s="32"/>
      <c r="H500" s="11"/>
    </row>
    <row r="501">
      <c r="B501" s="11"/>
      <c r="C501" s="32"/>
      <c r="H501" s="11"/>
    </row>
    <row r="502">
      <c r="B502" s="11"/>
      <c r="C502" s="32"/>
      <c r="H502" s="11"/>
    </row>
    <row r="503">
      <c r="B503" s="11"/>
      <c r="C503" s="32"/>
      <c r="H503" s="11"/>
    </row>
    <row r="504">
      <c r="B504" s="11"/>
      <c r="C504" s="32"/>
      <c r="H504" s="11"/>
    </row>
    <row r="505">
      <c r="B505" s="11"/>
      <c r="C505" s="32"/>
      <c r="H505" s="11"/>
    </row>
    <row r="506">
      <c r="B506" s="11"/>
      <c r="C506" s="32"/>
      <c r="H506" s="11"/>
    </row>
    <row r="507">
      <c r="B507" s="11"/>
      <c r="C507" s="32"/>
      <c r="H507" s="11"/>
    </row>
    <row r="508">
      <c r="B508" s="11"/>
      <c r="C508" s="32"/>
      <c r="H508" s="11"/>
    </row>
    <row r="509">
      <c r="B509" s="11"/>
      <c r="C509" s="32"/>
      <c r="H509" s="11"/>
    </row>
    <row r="510">
      <c r="B510" s="11"/>
      <c r="C510" s="32"/>
      <c r="H510" s="11"/>
    </row>
    <row r="511">
      <c r="B511" s="11"/>
      <c r="C511" s="32"/>
      <c r="H511" s="11"/>
    </row>
    <row r="512">
      <c r="B512" s="11"/>
      <c r="C512" s="32"/>
      <c r="H512" s="11"/>
    </row>
    <row r="513">
      <c r="B513" s="11"/>
      <c r="C513" s="32"/>
      <c r="H513" s="11"/>
    </row>
    <row r="514">
      <c r="B514" s="11"/>
      <c r="C514" s="32"/>
      <c r="H514" s="11"/>
    </row>
    <row r="515">
      <c r="B515" s="11"/>
      <c r="C515" s="32"/>
      <c r="H515" s="11"/>
    </row>
    <row r="516">
      <c r="B516" s="11"/>
      <c r="C516" s="32"/>
      <c r="H516" s="11"/>
    </row>
    <row r="517">
      <c r="B517" s="11"/>
      <c r="C517" s="32"/>
      <c r="H517" s="11"/>
    </row>
    <row r="518">
      <c r="B518" s="11"/>
      <c r="C518" s="32"/>
      <c r="H518" s="11"/>
    </row>
    <row r="519">
      <c r="B519" s="11"/>
      <c r="C519" s="32"/>
      <c r="H519" s="11"/>
    </row>
    <row r="520">
      <c r="B520" s="11"/>
      <c r="C520" s="32"/>
      <c r="H520" s="11"/>
    </row>
    <row r="521">
      <c r="B521" s="11"/>
      <c r="C521" s="32"/>
      <c r="H521" s="11"/>
    </row>
    <row r="522">
      <c r="B522" s="11"/>
      <c r="C522" s="32"/>
      <c r="H522" s="11"/>
    </row>
    <row r="523">
      <c r="B523" s="11"/>
      <c r="C523" s="32"/>
      <c r="H523" s="11"/>
    </row>
    <row r="524">
      <c r="B524" s="11"/>
      <c r="C524" s="32"/>
      <c r="H524" s="11"/>
    </row>
    <row r="525">
      <c r="B525" s="11"/>
      <c r="C525" s="32"/>
      <c r="H525" s="11"/>
    </row>
    <row r="526">
      <c r="B526" s="11"/>
      <c r="C526" s="32"/>
      <c r="H526" s="11"/>
    </row>
    <row r="527">
      <c r="B527" s="11"/>
      <c r="C527" s="32"/>
      <c r="H527" s="11"/>
    </row>
    <row r="528">
      <c r="B528" s="11"/>
      <c r="C528" s="32"/>
      <c r="H528" s="11"/>
    </row>
    <row r="529">
      <c r="B529" s="11"/>
      <c r="C529" s="32"/>
      <c r="H529" s="11"/>
    </row>
    <row r="530">
      <c r="B530" s="11"/>
      <c r="C530" s="32"/>
      <c r="H530" s="11"/>
    </row>
    <row r="531">
      <c r="B531" s="11"/>
      <c r="C531" s="32"/>
      <c r="H531" s="11"/>
    </row>
    <row r="532">
      <c r="B532" s="11"/>
      <c r="C532" s="32"/>
      <c r="H532" s="11"/>
    </row>
    <row r="533">
      <c r="B533" s="11"/>
      <c r="C533" s="32"/>
      <c r="H533" s="11"/>
    </row>
    <row r="534">
      <c r="B534" s="11"/>
      <c r="C534" s="32"/>
      <c r="H534" s="11"/>
    </row>
    <row r="535">
      <c r="B535" s="11"/>
      <c r="C535" s="32"/>
      <c r="H535" s="11"/>
    </row>
    <row r="536">
      <c r="B536" s="11"/>
      <c r="C536" s="32"/>
      <c r="H536" s="11"/>
    </row>
    <row r="537">
      <c r="B537" s="11"/>
      <c r="C537" s="32"/>
      <c r="H537" s="11"/>
    </row>
    <row r="538">
      <c r="B538" s="11"/>
      <c r="C538" s="32"/>
      <c r="H538" s="11"/>
    </row>
    <row r="539">
      <c r="B539" s="11"/>
      <c r="C539" s="32"/>
      <c r="H539" s="11"/>
    </row>
    <row r="540">
      <c r="B540" s="11"/>
      <c r="C540" s="32"/>
      <c r="H540" s="11"/>
    </row>
    <row r="541">
      <c r="B541" s="11"/>
      <c r="C541" s="32"/>
      <c r="H541" s="11"/>
    </row>
    <row r="542">
      <c r="B542" s="11"/>
      <c r="C542" s="32"/>
      <c r="H542" s="11"/>
    </row>
    <row r="543">
      <c r="B543" s="11"/>
      <c r="C543" s="32"/>
      <c r="H543" s="11"/>
    </row>
    <row r="544">
      <c r="B544" s="11"/>
      <c r="C544" s="32"/>
      <c r="H544" s="11"/>
    </row>
    <row r="545">
      <c r="B545" s="11"/>
      <c r="C545" s="32"/>
      <c r="H545" s="11"/>
    </row>
    <row r="546">
      <c r="B546" s="11"/>
      <c r="C546" s="32"/>
      <c r="H546" s="11"/>
    </row>
    <row r="547">
      <c r="B547" s="11"/>
      <c r="C547" s="32"/>
      <c r="H547" s="11"/>
    </row>
    <row r="548">
      <c r="B548" s="11"/>
      <c r="C548" s="32"/>
      <c r="H548" s="11"/>
    </row>
    <row r="549">
      <c r="B549" s="11"/>
      <c r="C549" s="32"/>
      <c r="H549" s="11"/>
    </row>
    <row r="550">
      <c r="B550" s="11"/>
      <c r="C550" s="32"/>
      <c r="H550" s="11"/>
    </row>
    <row r="551">
      <c r="B551" s="11"/>
      <c r="C551" s="32"/>
      <c r="H551" s="11"/>
    </row>
    <row r="552">
      <c r="B552" s="11"/>
      <c r="C552" s="32"/>
      <c r="H552" s="11"/>
    </row>
    <row r="553">
      <c r="B553" s="11"/>
      <c r="C553" s="32"/>
      <c r="H553" s="11"/>
    </row>
    <row r="554">
      <c r="B554" s="11"/>
      <c r="C554" s="32"/>
      <c r="H554" s="11"/>
    </row>
    <row r="555">
      <c r="B555" s="11"/>
      <c r="C555" s="32"/>
      <c r="H555" s="11"/>
    </row>
    <row r="556">
      <c r="B556" s="11"/>
      <c r="C556" s="32"/>
      <c r="H556" s="11"/>
    </row>
    <row r="557">
      <c r="B557" s="11"/>
      <c r="C557" s="32"/>
      <c r="H557" s="11"/>
    </row>
    <row r="558">
      <c r="B558" s="11"/>
      <c r="C558" s="32"/>
      <c r="H558" s="11"/>
    </row>
    <row r="559">
      <c r="B559" s="11"/>
      <c r="C559" s="32"/>
      <c r="H559" s="11"/>
    </row>
    <row r="560">
      <c r="B560" s="11"/>
      <c r="C560" s="32"/>
      <c r="H560" s="11"/>
    </row>
    <row r="561">
      <c r="B561" s="11"/>
      <c r="C561" s="32"/>
      <c r="H561" s="11"/>
    </row>
    <row r="562">
      <c r="B562" s="11"/>
      <c r="C562" s="32"/>
      <c r="H562" s="11"/>
    </row>
    <row r="563">
      <c r="B563" s="11"/>
      <c r="C563" s="32"/>
      <c r="H563" s="11"/>
    </row>
    <row r="564">
      <c r="B564" s="11"/>
      <c r="C564" s="32"/>
      <c r="H564" s="11"/>
    </row>
    <row r="565">
      <c r="B565" s="11"/>
      <c r="C565" s="32"/>
      <c r="H565" s="11"/>
    </row>
    <row r="566">
      <c r="B566" s="11"/>
      <c r="C566" s="32"/>
      <c r="H566" s="11"/>
    </row>
    <row r="567">
      <c r="B567" s="11"/>
      <c r="C567" s="32"/>
      <c r="H567" s="11"/>
    </row>
    <row r="568">
      <c r="B568" s="11"/>
      <c r="C568" s="32"/>
      <c r="H568" s="11"/>
    </row>
    <row r="569">
      <c r="B569" s="11"/>
      <c r="C569" s="32"/>
      <c r="H569" s="11"/>
    </row>
    <row r="570">
      <c r="B570" s="11"/>
      <c r="C570" s="32"/>
      <c r="H570" s="11"/>
    </row>
    <row r="571">
      <c r="B571" s="11"/>
      <c r="C571" s="32"/>
      <c r="H571" s="11"/>
    </row>
    <row r="572">
      <c r="B572" s="11"/>
      <c r="C572" s="32"/>
      <c r="H572" s="11"/>
    </row>
    <row r="573">
      <c r="B573" s="11"/>
      <c r="C573" s="32"/>
      <c r="H573" s="11"/>
    </row>
    <row r="574">
      <c r="B574" s="11"/>
      <c r="C574" s="32"/>
      <c r="H574" s="11"/>
    </row>
    <row r="575">
      <c r="B575" s="11"/>
      <c r="C575" s="32"/>
      <c r="H575" s="11"/>
    </row>
    <row r="576">
      <c r="B576" s="11"/>
      <c r="C576" s="32"/>
      <c r="H576" s="11"/>
    </row>
    <row r="577">
      <c r="B577" s="11"/>
      <c r="C577" s="32"/>
      <c r="H577" s="11"/>
    </row>
    <row r="578">
      <c r="B578" s="11"/>
      <c r="C578" s="32"/>
      <c r="H578" s="11"/>
    </row>
    <row r="579">
      <c r="B579" s="11"/>
      <c r="C579" s="32"/>
      <c r="H579" s="11"/>
    </row>
    <row r="580">
      <c r="B580" s="11"/>
      <c r="C580" s="32"/>
      <c r="H580" s="11"/>
    </row>
    <row r="581">
      <c r="B581" s="11"/>
      <c r="C581" s="32"/>
      <c r="H581" s="11"/>
    </row>
    <row r="582">
      <c r="B582" s="11"/>
      <c r="C582" s="32"/>
      <c r="H582" s="11"/>
    </row>
    <row r="583">
      <c r="B583" s="11"/>
      <c r="C583" s="32"/>
      <c r="H583" s="11"/>
    </row>
    <row r="584">
      <c r="B584" s="11"/>
      <c r="C584" s="32"/>
      <c r="H584" s="11"/>
    </row>
    <row r="585">
      <c r="B585" s="11"/>
      <c r="C585" s="32"/>
      <c r="H585" s="11"/>
    </row>
    <row r="586">
      <c r="B586" s="11"/>
      <c r="C586" s="32"/>
      <c r="H586" s="11"/>
    </row>
    <row r="587">
      <c r="B587" s="11"/>
      <c r="C587" s="32"/>
      <c r="H587" s="11"/>
    </row>
    <row r="588">
      <c r="B588" s="11"/>
      <c r="C588" s="32"/>
      <c r="H588" s="11"/>
    </row>
    <row r="589">
      <c r="B589" s="11"/>
      <c r="C589" s="32"/>
      <c r="H589" s="11"/>
    </row>
    <row r="590">
      <c r="B590" s="11"/>
      <c r="C590" s="32"/>
      <c r="H590" s="11"/>
    </row>
    <row r="591">
      <c r="B591" s="11"/>
      <c r="C591" s="32"/>
      <c r="H591" s="11"/>
    </row>
    <row r="592">
      <c r="B592" s="11"/>
      <c r="C592" s="32"/>
      <c r="H592" s="11"/>
    </row>
    <row r="593">
      <c r="B593" s="11"/>
      <c r="C593" s="32"/>
      <c r="H593" s="11"/>
    </row>
    <row r="594">
      <c r="B594" s="11"/>
      <c r="C594" s="32"/>
      <c r="H594" s="11"/>
    </row>
    <row r="595">
      <c r="B595" s="11"/>
      <c r="C595" s="32"/>
      <c r="H595" s="11"/>
    </row>
    <row r="596">
      <c r="B596" s="11"/>
      <c r="C596" s="32"/>
      <c r="H596" s="11"/>
    </row>
    <row r="597">
      <c r="B597" s="11"/>
      <c r="C597" s="32"/>
      <c r="H597" s="11"/>
    </row>
    <row r="598">
      <c r="B598" s="11"/>
      <c r="C598" s="32"/>
      <c r="H598" s="11"/>
    </row>
    <row r="599">
      <c r="B599" s="11"/>
      <c r="C599" s="32"/>
      <c r="H599" s="11"/>
    </row>
    <row r="600">
      <c r="B600" s="11"/>
      <c r="C600" s="32"/>
      <c r="H600" s="11"/>
    </row>
    <row r="601">
      <c r="B601" s="11"/>
      <c r="C601" s="32"/>
      <c r="H601" s="11"/>
    </row>
    <row r="602">
      <c r="B602" s="11"/>
      <c r="C602" s="32"/>
      <c r="H602" s="11"/>
    </row>
    <row r="603">
      <c r="B603" s="11"/>
      <c r="C603" s="32"/>
      <c r="H603" s="11"/>
    </row>
    <row r="604">
      <c r="B604" s="11"/>
      <c r="C604" s="32"/>
      <c r="H604" s="11"/>
    </row>
    <row r="605">
      <c r="B605" s="11"/>
      <c r="C605" s="32"/>
      <c r="H605" s="11"/>
    </row>
    <row r="606">
      <c r="B606" s="11"/>
      <c r="C606" s="32"/>
      <c r="H606" s="11"/>
    </row>
    <row r="607">
      <c r="B607" s="11"/>
      <c r="C607" s="32"/>
      <c r="H607" s="11"/>
    </row>
    <row r="608">
      <c r="B608" s="11"/>
      <c r="C608" s="32"/>
      <c r="H608" s="11"/>
    </row>
    <row r="609">
      <c r="B609" s="11"/>
      <c r="C609" s="32"/>
      <c r="H609" s="11"/>
    </row>
    <row r="610">
      <c r="B610" s="11"/>
      <c r="C610" s="32"/>
      <c r="H610" s="11"/>
    </row>
    <row r="611">
      <c r="B611" s="11"/>
      <c r="C611" s="32"/>
      <c r="H611" s="11"/>
    </row>
    <row r="612">
      <c r="B612" s="11"/>
      <c r="C612" s="32"/>
      <c r="H612" s="11"/>
    </row>
    <row r="613">
      <c r="B613" s="11"/>
      <c r="C613" s="32"/>
      <c r="H613" s="11"/>
    </row>
    <row r="614">
      <c r="B614" s="11"/>
      <c r="C614" s="32"/>
      <c r="H614" s="11"/>
    </row>
    <row r="615">
      <c r="B615" s="11"/>
      <c r="C615" s="32"/>
      <c r="H615" s="11"/>
    </row>
    <row r="616">
      <c r="B616" s="11"/>
      <c r="C616" s="32"/>
      <c r="H616" s="11"/>
    </row>
    <row r="617">
      <c r="B617" s="11"/>
      <c r="C617" s="32"/>
      <c r="H617" s="11"/>
    </row>
    <row r="618">
      <c r="B618" s="11"/>
      <c r="C618" s="32"/>
      <c r="H618" s="11"/>
    </row>
    <row r="619">
      <c r="B619" s="11"/>
      <c r="C619" s="32"/>
      <c r="H619" s="11"/>
    </row>
    <row r="620">
      <c r="B620" s="11"/>
      <c r="C620" s="32"/>
      <c r="H620" s="11"/>
    </row>
    <row r="621">
      <c r="B621" s="11"/>
      <c r="C621" s="32"/>
      <c r="H621" s="11"/>
    </row>
    <row r="622">
      <c r="B622" s="11"/>
      <c r="C622" s="32"/>
      <c r="H622" s="11"/>
    </row>
    <row r="623">
      <c r="B623" s="11"/>
      <c r="C623" s="32"/>
      <c r="H623" s="11"/>
    </row>
    <row r="624">
      <c r="B624" s="11"/>
      <c r="C624" s="32"/>
      <c r="H624" s="11"/>
    </row>
    <row r="625">
      <c r="B625" s="11"/>
      <c r="C625" s="32"/>
      <c r="H625" s="11"/>
    </row>
    <row r="626">
      <c r="B626" s="11"/>
      <c r="C626" s="32"/>
      <c r="H626" s="11"/>
    </row>
    <row r="627">
      <c r="B627" s="11"/>
      <c r="C627" s="32"/>
      <c r="H627" s="11"/>
    </row>
    <row r="628">
      <c r="B628" s="11"/>
      <c r="C628" s="32"/>
      <c r="H628" s="11"/>
    </row>
    <row r="629">
      <c r="B629" s="11"/>
      <c r="C629" s="32"/>
      <c r="H629" s="11"/>
    </row>
    <row r="630">
      <c r="B630" s="11"/>
      <c r="C630" s="32"/>
      <c r="H630" s="11"/>
    </row>
    <row r="631">
      <c r="B631" s="11"/>
      <c r="C631" s="32"/>
      <c r="H631" s="11"/>
    </row>
    <row r="632">
      <c r="B632" s="11"/>
      <c r="C632" s="32"/>
      <c r="H632" s="11"/>
    </row>
    <row r="633">
      <c r="B633" s="11"/>
      <c r="C633" s="32"/>
      <c r="H633" s="11"/>
    </row>
    <row r="634">
      <c r="B634" s="11"/>
      <c r="C634" s="32"/>
      <c r="H634" s="11"/>
    </row>
    <row r="635">
      <c r="B635" s="11"/>
      <c r="C635" s="32"/>
      <c r="H635" s="11"/>
    </row>
    <row r="636">
      <c r="B636" s="11"/>
      <c r="C636" s="32"/>
      <c r="H636" s="11"/>
    </row>
    <row r="637">
      <c r="B637" s="11"/>
      <c r="C637" s="32"/>
      <c r="H637" s="11"/>
    </row>
    <row r="638">
      <c r="B638" s="11"/>
      <c r="C638" s="32"/>
      <c r="H638" s="11"/>
    </row>
    <row r="639">
      <c r="B639" s="11"/>
      <c r="C639" s="32"/>
      <c r="H639" s="11"/>
    </row>
    <row r="640">
      <c r="B640" s="11"/>
      <c r="C640" s="32"/>
      <c r="H640" s="11"/>
    </row>
    <row r="641">
      <c r="B641" s="11"/>
      <c r="C641" s="32"/>
      <c r="H641" s="11"/>
    </row>
    <row r="642">
      <c r="B642" s="11"/>
      <c r="C642" s="32"/>
      <c r="H642" s="11"/>
    </row>
    <row r="643">
      <c r="B643" s="11"/>
      <c r="C643" s="32"/>
      <c r="H643" s="11"/>
    </row>
    <row r="644">
      <c r="B644" s="11"/>
      <c r="C644" s="32"/>
      <c r="H644" s="11"/>
    </row>
    <row r="645">
      <c r="B645" s="11"/>
      <c r="C645" s="32"/>
      <c r="H645" s="11"/>
    </row>
    <row r="646">
      <c r="B646" s="11"/>
      <c r="C646" s="32"/>
      <c r="H646" s="11"/>
    </row>
    <row r="647">
      <c r="B647" s="11"/>
      <c r="C647" s="32"/>
      <c r="H647" s="11"/>
    </row>
    <row r="648">
      <c r="B648" s="11"/>
      <c r="C648" s="32"/>
      <c r="H648" s="11"/>
    </row>
    <row r="649">
      <c r="B649" s="11"/>
      <c r="C649" s="32"/>
      <c r="H649" s="11"/>
    </row>
    <row r="650">
      <c r="B650" s="11"/>
      <c r="C650" s="32"/>
      <c r="H650" s="11"/>
    </row>
    <row r="651">
      <c r="B651" s="11"/>
      <c r="C651" s="32"/>
      <c r="H651" s="11"/>
    </row>
    <row r="652">
      <c r="B652" s="11"/>
      <c r="C652" s="32"/>
      <c r="H652" s="11"/>
    </row>
    <row r="653">
      <c r="B653" s="11"/>
      <c r="C653" s="32"/>
      <c r="H653" s="11"/>
    </row>
    <row r="654">
      <c r="B654" s="11"/>
      <c r="C654" s="32"/>
      <c r="H654" s="11"/>
    </row>
    <row r="655">
      <c r="B655" s="11"/>
      <c r="C655" s="32"/>
      <c r="H655" s="11"/>
    </row>
    <row r="656">
      <c r="B656" s="11"/>
      <c r="C656" s="32"/>
      <c r="H656" s="11"/>
    </row>
    <row r="657">
      <c r="B657" s="11"/>
      <c r="C657" s="32"/>
      <c r="H657" s="11"/>
    </row>
    <row r="658">
      <c r="B658" s="11"/>
      <c r="C658" s="32"/>
      <c r="H658" s="11"/>
    </row>
    <row r="659">
      <c r="B659" s="11"/>
      <c r="C659" s="32"/>
      <c r="H659" s="11"/>
    </row>
    <row r="660">
      <c r="B660" s="11"/>
      <c r="C660" s="32"/>
      <c r="H660" s="11"/>
    </row>
    <row r="661">
      <c r="B661" s="11"/>
      <c r="C661" s="32"/>
      <c r="H661" s="11"/>
    </row>
    <row r="662">
      <c r="B662" s="11"/>
      <c r="C662" s="32"/>
      <c r="H662" s="11"/>
    </row>
    <row r="663">
      <c r="B663" s="11"/>
      <c r="C663" s="32"/>
      <c r="H663" s="11"/>
    </row>
    <row r="664">
      <c r="B664" s="11"/>
      <c r="C664" s="32"/>
      <c r="H664" s="11"/>
    </row>
    <row r="665">
      <c r="B665" s="11"/>
      <c r="C665" s="32"/>
      <c r="H665" s="11"/>
    </row>
    <row r="666">
      <c r="B666" s="11"/>
      <c r="C666" s="32"/>
      <c r="H666" s="11"/>
    </row>
    <row r="667">
      <c r="B667" s="11"/>
      <c r="C667" s="32"/>
      <c r="H667" s="11"/>
    </row>
    <row r="668">
      <c r="B668" s="11"/>
      <c r="C668" s="32"/>
      <c r="H668" s="11"/>
    </row>
    <row r="669">
      <c r="B669" s="11"/>
      <c r="C669" s="32"/>
      <c r="H669" s="11"/>
    </row>
    <row r="670">
      <c r="B670" s="11"/>
      <c r="C670" s="32"/>
      <c r="H670" s="11"/>
    </row>
    <row r="671">
      <c r="B671" s="11"/>
      <c r="C671" s="32"/>
      <c r="H671" s="11"/>
    </row>
    <row r="672">
      <c r="B672" s="11"/>
      <c r="C672" s="32"/>
      <c r="H672" s="11"/>
    </row>
    <row r="673">
      <c r="B673" s="11"/>
      <c r="C673" s="32"/>
      <c r="H673" s="11"/>
    </row>
    <row r="674">
      <c r="B674" s="11"/>
      <c r="C674" s="32"/>
      <c r="H674" s="11"/>
    </row>
    <row r="675">
      <c r="B675" s="11"/>
      <c r="C675" s="32"/>
      <c r="H675" s="11"/>
    </row>
    <row r="676">
      <c r="B676" s="11"/>
      <c r="C676" s="32"/>
      <c r="H676" s="11"/>
    </row>
    <row r="677">
      <c r="B677" s="11"/>
      <c r="C677" s="32"/>
      <c r="H677" s="11"/>
    </row>
    <row r="678">
      <c r="B678" s="11"/>
      <c r="C678" s="32"/>
      <c r="H678" s="11"/>
    </row>
    <row r="679">
      <c r="B679" s="11"/>
      <c r="C679" s="32"/>
      <c r="H679" s="11"/>
    </row>
    <row r="680">
      <c r="B680" s="11"/>
      <c r="C680" s="32"/>
      <c r="H680" s="11"/>
    </row>
    <row r="681">
      <c r="B681" s="11"/>
      <c r="C681" s="32"/>
      <c r="H681" s="11"/>
    </row>
    <row r="682">
      <c r="B682" s="11"/>
      <c r="C682" s="32"/>
      <c r="H682" s="11"/>
    </row>
    <row r="683">
      <c r="B683" s="11"/>
      <c r="C683" s="32"/>
      <c r="H683" s="11"/>
    </row>
    <row r="684">
      <c r="B684" s="11"/>
      <c r="C684" s="32"/>
      <c r="H684" s="11"/>
    </row>
    <row r="685">
      <c r="B685" s="11"/>
      <c r="C685" s="32"/>
      <c r="H685" s="11"/>
    </row>
    <row r="686">
      <c r="B686" s="11"/>
      <c r="C686" s="32"/>
      <c r="H686" s="11"/>
    </row>
    <row r="687">
      <c r="B687" s="11"/>
      <c r="C687" s="32"/>
      <c r="H687" s="11"/>
    </row>
    <row r="688">
      <c r="B688" s="11"/>
      <c r="C688" s="32"/>
      <c r="H688" s="11"/>
    </row>
    <row r="689">
      <c r="B689" s="11"/>
      <c r="C689" s="32"/>
      <c r="H689" s="11"/>
    </row>
    <row r="690">
      <c r="B690" s="11"/>
      <c r="C690" s="32"/>
      <c r="H690" s="11"/>
    </row>
    <row r="691">
      <c r="B691" s="11"/>
      <c r="C691" s="32"/>
      <c r="H691" s="11"/>
    </row>
    <row r="692">
      <c r="B692" s="11"/>
      <c r="C692" s="32"/>
      <c r="H692" s="11"/>
    </row>
    <row r="693">
      <c r="B693" s="11"/>
      <c r="C693" s="32"/>
      <c r="H693" s="11"/>
    </row>
    <row r="694">
      <c r="B694" s="11"/>
      <c r="C694" s="32"/>
      <c r="H694" s="11"/>
    </row>
    <row r="695">
      <c r="B695" s="11"/>
      <c r="C695" s="32"/>
      <c r="H695" s="11"/>
    </row>
    <row r="696">
      <c r="B696" s="11"/>
      <c r="C696" s="32"/>
      <c r="H696" s="11"/>
    </row>
    <row r="697">
      <c r="B697" s="11"/>
      <c r="C697" s="32"/>
      <c r="H697" s="11"/>
    </row>
    <row r="698">
      <c r="B698" s="11"/>
      <c r="C698" s="32"/>
      <c r="H698" s="11"/>
    </row>
    <row r="699">
      <c r="B699" s="11"/>
      <c r="C699" s="32"/>
      <c r="H699" s="11"/>
    </row>
    <row r="700">
      <c r="B700" s="11"/>
      <c r="C700" s="32"/>
      <c r="H700" s="11"/>
    </row>
    <row r="701">
      <c r="B701" s="11"/>
      <c r="C701" s="32"/>
      <c r="H701" s="11"/>
    </row>
    <row r="702">
      <c r="B702" s="11"/>
      <c r="C702" s="32"/>
      <c r="H702" s="11"/>
    </row>
    <row r="703">
      <c r="B703" s="11"/>
      <c r="C703" s="32"/>
      <c r="H703" s="11"/>
    </row>
    <row r="704">
      <c r="B704" s="11"/>
      <c r="C704" s="32"/>
      <c r="H704" s="11"/>
    </row>
    <row r="705">
      <c r="B705" s="11"/>
      <c r="C705" s="32"/>
      <c r="H705" s="11"/>
    </row>
    <row r="706">
      <c r="B706" s="11"/>
      <c r="C706" s="32"/>
      <c r="H706" s="11"/>
    </row>
    <row r="707">
      <c r="B707" s="11"/>
      <c r="C707" s="32"/>
      <c r="H707" s="11"/>
    </row>
    <row r="708">
      <c r="B708" s="11"/>
      <c r="C708" s="32"/>
      <c r="H708" s="11"/>
    </row>
    <row r="709">
      <c r="B709" s="11"/>
      <c r="C709" s="32"/>
      <c r="H709" s="11"/>
    </row>
    <row r="710">
      <c r="B710" s="11"/>
      <c r="C710" s="32"/>
      <c r="H710" s="11"/>
    </row>
    <row r="711">
      <c r="B711" s="11"/>
      <c r="C711" s="32"/>
      <c r="H711" s="11"/>
    </row>
    <row r="712">
      <c r="B712" s="11"/>
      <c r="C712" s="32"/>
      <c r="H712" s="11"/>
    </row>
    <row r="713">
      <c r="B713" s="11"/>
      <c r="C713" s="32"/>
      <c r="H713" s="11"/>
    </row>
    <row r="714">
      <c r="B714" s="11"/>
      <c r="C714" s="32"/>
      <c r="H714" s="11"/>
    </row>
    <row r="715">
      <c r="B715" s="11"/>
      <c r="C715" s="32"/>
      <c r="H715" s="11"/>
    </row>
    <row r="716">
      <c r="B716" s="11"/>
      <c r="C716" s="32"/>
      <c r="H716" s="11"/>
    </row>
    <row r="717">
      <c r="B717" s="11"/>
      <c r="C717" s="32"/>
      <c r="H717" s="11"/>
    </row>
    <row r="718">
      <c r="B718" s="11"/>
      <c r="C718" s="32"/>
      <c r="H718" s="11"/>
    </row>
    <row r="719">
      <c r="B719" s="11"/>
      <c r="C719" s="32"/>
      <c r="H719" s="11"/>
    </row>
    <row r="720">
      <c r="B720" s="11"/>
      <c r="C720" s="32"/>
      <c r="H720" s="11"/>
    </row>
    <row r="721">
      <c r="B721" s="11"/>
      <c r="C721" s="32"/>
      <c r="H721" s="11"/>
    </row>
    <row r="722">
      <c r="B722" s="11"/>
      <c r="C722" s="32"/>
      <c r="H722" s="11"/>
    </row>
    <row r="723">
      <c r="B723" s="11"/>
      <c r="C723" s="32"/>
      <c r="H723" s="11"/>
    </row>
    <row r="724">
      <c r="B724" s="11"/>
      <c r="C724" s="32"/>
      <c r="H724" s="11"/>
    </row>
    <row r="725">
      <c r="B725" s="11"/>
      <c r="C725" s="32"/>
      <c r="H725" s="11"/>
    </row>
    <row r="726">
      <c r="B726" s="11"/>
      <c r="C726" s="32"/>
      <c r="H726" s="11"/>
    </row>
    <row r="727">
      <c r="B727" s="11"/>
      <c r="C727" s="32"/>
      <c r="H727" s="11"/>
    </row>
    <row r="728">
      <c r="B728" s="11"/>
      <c r="C728" s="32"/>
      <c r="H728" s="11"/>
    </row>
    <row r="729">
      <c r="B729" s="11"/>
      <c r="C729" s="32"/>
      <c r="H729" s="11"/>
    </row>
    <row r="730">
      <c r="B730" s="11"/>
      <c r="C730" s="32"/>
      <c r="H730" s="11"/>
    </row>
    <row r="731">
      <c r="B731" s="11"/>
      <c r="C731" s="32"/>
      <c r="H731" s="11"/>
    </row>
    <row r="732">
      <c r="B732" s="11"/>
      <c r="C732" s="32"/>
      <c r="H732" s="11"/>
    </row>
    <row r="733">
      <c r="B733" s="11"/>
      <c r="C733" s="32"/>
      <c r="H733" s="11"/>
    </row>
    <row r="734">
      <c r="B734" s="11"/>
      <c r="C734" s="32"/>
      <c r="H734" s="11"/>
    </row>
    <row r="735">
      <c r="B735" s="11"/>
      <c r="C735" s="32"/>
      <c r="H735" s="11"/>
    </row>
    <row r="736">
      <c r="B736" s="11"/>
      <c r="C736" s="32"/>
      <c r="H736" s="11"/>
    </row>
    <row r="737">
      <c r="B737" s="11"/>
      <c r="C737" s="32"/>
      <c r="H737" s="11"/>
    </row>
    <row r="738">
      <c r="B738" s="11"/>
      <c r="C738" s="32"/>
      <c r="H738" s="11"/>
    </row>
    <row r="739">
      <c r="B739" s="11"/>
      <c r="C739" s="32"/>
      <c r="H739" s="11"/>
    </row>
    <row r="740">
      <c r="B740" s="11"/>
      <c r="C740" s="32"/>
      <c r="H740" s="11"/>
    </row>
    <row r="741">
      <c r="B741" s="11"/>
      <c r="C741" s="32"/>
      <c r="H741" s="11"/>
    </row>
    <row r="742">
      <c r="B742" s="11"/>
      <c r="C742" s="32"/>
      <c r="H742" s="11"/>
    </row>
    <row r="743">
      <c r="B743" s="11"/>
      <c r="C743" s="32"/>
      <c r="H743" s="11"/>
    </row>
    <row r="744">
      <c r="B744" s="11"/>
      <c r="C744" s="32"/>
      <c r="H744" s="11"/>
    </row>
    <row r="745">
      <c r="B745" s="11"/>
      <c r="C745" s="32"/>
      <c r="H745" s="11"/>
    </row>
    <row r="746">
      <c r="B746" s="11"/>
      <c r="C746" s="32"/>
      <c r="H746" s="11"/>
    </row>
    <row r="747">
      <c r="B747" s="11"/>
      <c r="C747" s="32"/>
      <c r="H747" s="11"/>
    </row>
    <row r="748">
      <c r="B748" s="11"/>
      <c r="C748" s="32"/>
      <c r="H748" s="11"/>
    </row>
    <row r="749">
      <c r="B749" s="11"/>
      <c r="C749" s="32"/>
      <c r="H749" s="11"/>
    </row>
    <row r="750">
      <c r="B750" s="11"/>
      <c r="C750" s="32"/>
      <c r="H750" s="11"/>
    </row>
    <row r="751">
      <c r="B751" s="11"/>
      <c r="C751" s="32"/>
      <c r="H751" s="11"/>
    </row>
    <row r="752">
      <c r="B752" s="11"/>
      <c r="C752" s="32"/>
      <c r="H752" s="11"/>
    </row>
    <row r="753">
      <c r="B753" s="11"/>
      <c r="C753" s="32"/>
      <c r="H753" s="11"/>
    </row>
    <row r="754">
      <c r="B754" s="11"/>
      <c r="C754" s="32"/>
      <c r="H754" s="11"/>
    </row>
    <row r="755">
      <c r="B755" s="11"/>
      <c r="C755" s="32"/>
      <c r="H755" s="11"/>
    </row>
    <row r="756">
      <c r="B756" s="11"/>
      <c r="C756" s="32"/>
      <c r="H756" s="11"/>
    </row>
    <row r="757">
      <c r="B757" s="11"/>
      <c r="C757" s="32"/>
      <c r="H757" s="11"/>
    </row>
    <row r="758">
      <c r="B758" s="11"/>
      <c r="C758" s="32"/>
      <c r="H758" s="11"/>
    </row>
    <row r="759">
      <c r="B759" s="11"/>
      <c r="C759" s="32"/>
      <c r="H759" s="11"/>
    </row>
    <row r="760">
      <c r="B760" s="11"/>
      <c r="C760" s="32"/>
      <c r="H760" s="11"/>
    </row>
    <row r="761">
      <c r="B761" s="11"/>
      <c r="C761" s="32"/>
      <c r="H761" s="11"/>
    </row>
    <row r="762">
      <c r="B762" s="11"/>
      <c r="C762" s="32"/>
      <c r="H762" s="11"/>
    </row>
    <row r="763">
      <c r="B763" s="11"/>
      <c r="C763" s="32"/>
      <c r="H763" s="11"/>
    </row>
    <row r="764">
      <c r="B764" s="11"/>
      <c r="C764" s="32"/>
      <c r="H764" s="11"/>
    </row>
    <row r="765">
      <c r="B765" s="11"/>
      <c r="C765" s="32"/>
      <c r="H765" s="11"/>
    </row>
    <row r="766">
      <c r="B766" s="11"/>
      <c r="C766" s="32"/>
      <c r="H766" s="11"/>
    </row>
    <row r="767">
      <c r="B767" s="11"/>
      <c r="C767" s="32"/>
      <c r="H767" s="11"/>
    </row>
    <row r="768">
      <c r="B768" s="11"/>
      <c r="C768" s="32"/>
      <c r="H768" s="11"/>
    </row>
    <row r="769">
      <c r="B769" s="11"/>
      <c r="C769" s="32"/>
      <c r="H769" s="11"/>
    </row>
    <row r="770">
      <c r="B770" s="11"/>
      <c r="C770" s="32"/>
      <c r="H770" s="11"/>
    </row>
    <row r="771">
      <c r="B771" s="11"/>
      <c r="C771" s="32"/>
      <c r="H771" s="11"/>
    </row>
    <row r="772">
      <c r="B772" s="11"/>
      <c r="C772" s="32"/>
      <c r="H772" s="11"/>
    </row>
    <row r="773">
      <c r="B773" s="11"/>
      <c r="C773" s="32"/>
      <c r="H773" s="11"/>
    </row>
    <row r="774">
      <c r="B774" s="11"/>
      <c r="C774" s="32"/>
      <c r="H774" s="11"/>
    </row>
    <row r="775">
      <c r="B775" s="11"/>
      <c r="C775" s="32"/>
      <c r="H775" s="11"/>
    </row>
    <row r="776">
      <c r="B776" s="11"/>
      <c r="C776" s="32"/>
      <c r="H776" s="11"/>
    </row>
    <row r="777">
      <c r="B777" s="11"/>
      <c r="C777" s="32"/>
      <c r="H777" s="11"/>
    </row>
    <row r="778">
      <c r="B778" s="11"/>
      <c r="C778" s="32"/>
      <c r="H778" s="11"/>
    </row>
    <row r="779">
      <c r="B779" s="11"/>
      <c r="C779" s="32"/>
      <c r="H779" s="11"/>
    </row>
    <row r="780">
      <c r="B780" s="11"/>
      <c r="C780" s="32"/>
      <c r="H780" s="11"/>
    </row>
    <row r="781">
      <c r="B781" s="11"/>
      <c r="C781" s="32"/>
      <c r="H781" s="11"/>
    </row>
    <row r="782">
      <c r="B782" s="11"/>
      <c r="C782" s="32"/>
      <c r="H782" s="11"/>
    </row>
    <row r="783">
      <c r="B783" s="11"/>
      <c r="C783" s="32"/>
      <c r="H783" s="11"/>
    </row>
    <row r="784">
      <c r="B784" s="11"/>
      <c r="C784" s="32"/>
      <c r="H784" s="11"/>
    </row>
    <row r="785">
      <c r="B785" s="11"/>
      <c r="C785" s="32"/>
      <c r="H785" s="11"/>
    </row>
    <row r="786">
      <c r="B786" s="11"/>
      <c r="C786" s="32"/>
      <c r="H786" s="11"/>
    </row>
    <row r="787">
      <c r="B787" s="11"/>
      <c r="C787" s="32"/>
      <c r="H787" s="11"/>
    </row>
    <row r="788">
      <c r="B788" s="11"/>
      <c r="C788" s="32"/>
      <c r="H788" s="11"/>
    </row>
    <row r="789">
      <c r="B789" s="11"/>
      <c r="C789" s="32"/>
      <c r="H789" s="11"/>
    </row>
    <row r="790">
      <c r="B790" s="11"/>
      <c r="C790" s="32"/>
      <c r="H790" s="11"/>
    </row>
    <row r="791">
      <c r="B791" s="11"/>
      <c r="C791" s="32"/>
      <c r="H791" s="11"/>
    </row>
    <row r="792">
      <c r="B792" s="11"/>
      <c r="C792" s="32"/>
      <c r="H792" s="11"/>
    </row>
    <row r="793">
      <c r="B793" s="11"/>
      <c r="C793" s="32"/>
      <c r="H793" s="11"/>
    </row>
    <row r="794">
      <c r="B794" s="11"/>
      <c r="C794" s="32"/>
      <c r="H794" s="11"/>
    </row>
    <row r="795">
      <c r="B795" s="11"/>
      <c r="C795" s="32"/>
      <c r="H795" s="11"/>
    </row>
    <row r="796">
      <c r="B796" s="11"/>
      <c r="C796" s="32"/>
      <c r="H796" s="11"/>
    </row>
    <row r="797">
      <c r="B797" s="11"/>
      <c r="C797" s="32"/>
      <c r="H797" s="11"/>
    </row>
    <row r="798">
      <c r="B798" s="11"/>
      <c r="C798" s="32"/>
      <c r="H798" s="11"/>
    </row>
    <row r="799">
      <c r="B799" s="11"/>
      <c r="C799" s="32"/>
      <c r="H799" s="11"/>
    </row>
    <row r="800">
      <c r="B800" s="11"/>
      <c r="C800" s="32"/>
      <c r="H800" s="11"/>
    </row>
    <row r="801">
      <c r="B801" s="11"/>
      <c r="C801" s="32"/>
      <c r="H801" s="11"/>
    </row>
    <row r="802">
      <c r="B802" s="11"/>
      <c r="C802" s="32"/>
      <c r="H802" s="11"/>
    </row>
    <row r="803">
      <c r="B803" s="11"/>
      <c r="C803" s="32"/>
      <c r="H803" s="11"/>
    </row>
    <row r="804">
      <c r="B804" s="11"/>
      <c r="C804" s="32"/>
      <c r="H804" s="11"/>
    </row>
    <row r="805">
      <c r="B805" s="11"/>
      <c r="C805" s="32"/>
      <c r="H805" s="11"/>
    </row>
    <row r="806">
      <c r="B806" s="11"/>
      <c r="C806" s="32"/>
      <c r="H806" s="11"/>
    </row>
    <row r="807">
      <c r="B807" s="11"/>
      <c r="C807" s="32"/>
      <c r="H807" s="11"/>
    </row>
    <row r="808">
      <c r="B808" s="11"/>
      <c r="C808" s="32"/>
      <c r="H808" s="11"/>
    </row>
    <row r="809">
      <c r="B809" s="11"/>
      <c r="C809" s="32"/>
      <c r="H809" s="11"/>
    </row>
    <row r="810">
      <c r="B810" s="11"/>
      <c r="C810" s="32"/>
      <c r="H810" s="11"/>
    </row>
    <row r="811">
      <c r="B811" s="11"/>
      <c r="C811" s="32"/>
      <c r="H811" s="11"/>
    </row>
    <row r="812">
      <c r="B812" s="11"/>
      <c r="C812" s="32"/>
      <c r="H812" s="11"/>
    </row>
    <row r="813">
      <c r="B813" s="11"/>
      <c r="C813" s="32"/>
      <c r="H813" s="11"/>
    </row>
    <row r="814">
      <c r="B814" s="11"/>
      <c r="C814" s="32"/>
      <c r="H814" s="11"/>
    </row>
    <row r="815">
      <c r="B815" s="11"/>
      <c r="C815" s="32"/>
      <c r="H815" s="11"/>
    </row>
    <row r="816">
      <c r="B816" s="11"/>
      <c r="C816" s="32"/>
      <c r="H816" s="11"/>
    </row>
    <row r="817">
      <c r="B817" s="11"/>
      <c r="C817" s="32"/>
      <c r="H817" s="11"/>
    </row>
    <row r="818">
      <c r="B818" s="11"/>
      <c r="C818" s="32"/>
      <c r="H818" s="11"/>
    </row>
    <row r="819">
      <c r="B819" s="11"/>
      <c r="C819" s="32"/>
      <c r="H819" s="11"/>
    </row>
    <row r="820">
      <c r="B820" s="11"/>
      <c r="C820" s="32"/>
      <c r="H820" s="11"/>
    </row>
    <row r="821">
      <c r="B821" s="11"/>
      <c r="C821" s="32"/>
      <c r="H821" s="11"/>
    </row>
    <row r="822">
      <c r="B822" s="11"/>
      <c r="C822" s="32"/>
      <c r="H822" s="11"/>
    </row>
    <row r="823">
      <c r="B823" s="11"/>
      <c r="C823" s="32"/>
      <c r="H823" s="11"/>
    </row>
    <row r="824">
      <c r="B824" s="11"/>
      <c r="C824" s="32"/>
      <c r="H824" s="11"/>
    </row>
    <row r="825">
      <c r="B825" s="11"/>
      <c r="C825" s="32"/>
      <c r="H825" s="11"/>
    </row>
    <row r="826">
      <c r="B826" s="11"/>
      <c r="C826" s="32"/>
      <c r="H826" s="11"/>
    </row>
    <row r="827">
      <c r="B827" s="11"/>
      <c r="C827" s="32"/>
      <c r="H827" s="11"/>
    </row>
    <row r="828">
      <c r="B828" s="11"/>
      <c r="C828" s="32"/>
      <c r="H828" s="11"/>
    </row>
    <row r="829">
      <c r="B829" s="11"/>
      <c r="C829" s="32"/>
      <c r="H829" s="11"/>
    </row>
    <row r="830">
      <c r="B830" s="11"/>
      <c r="C830" s="32"/>
      <c r="H830" s="11"/>
    </row>
    <row r="831">
      <c r="B831" s="11"/>
      <c r="C831" s="32"/>
      <c r="H831" s="11"/>
    </row>
    <row r="832">
      <c r="B832" s="11"/>
      <c r="C832" s="32"/>
      <c r="H832" s="11"/>
    </row>
    <row r="833">
      <c r="B833" s="11"/>
      <c r="C833" s="32"/>
      <c r="H833" s="11"/>
    </row>
    <row r="834">
      <c r="B834" s="11"/>
      <c r="C834" s="32"/>
      <c r="H834" s="11"/>
    </row>
    <row r="835">
      <c r="B835" s="11"/>
      <c r="C835" s="32"/>
      <c r="H835" s="11"/>
    </row>
    <row r="836">
      <c r="B836" s="11"/>
      <c r="C836" s="32"/>
      <c r="H836" s="11"/>
    </row>
    <row r="837">
      <c r="B837" s="11"/>
      <c r="C837" s="32"/>
      <c r="H837" s="11"/>
    </row>
    <row r="838">
      <c r="B838" s="11"/>
      <c r="C838" s="32"/>
      <c r="H838" s="11"/>
    </row>
    <row r="839">
      <c r="B839" s="11"/>
      <c r="C839" s="32"/>
      <c r="H839" s="11"/>
    </row>
    <row r="840">
      <c r="B840" s="11"/>
      <c r="C840" s="32"/>
      <c r="H840" s="11"/>
    </row>
    <row r="841">
      <c r="B841" s="11"/>
      <c r="C841" s="32"/>
      <c r="H841" s="11"/>
    </row>
    <row r="842">
      <c r="B842" s="11"/>
      <c r="C842" s="32"/>
      <c r="H842" s="11"/>
    </row>
    <row r="843">
      <c r="B843" s="11"/>
      <c r="C843" s="32"/>
      <c r="H843" s="11"/>
    </row>
    <row r="844">
      <c r="B844" s="11"/>
      <c r="C844" s="32"/>
      <c r="H844" s="11"/>
    </row>
    <row r="845">
      <c r="B845" s="11"/>
      <c r="C845" s="32"/>
      <c r="H845" s="11"/>
    </row>
    <row r="846">
      <c r="B846" s="11"/>
      <c r="C846" s="32"/>
      <c r="H846" s="11"/>
    </row>
    <row r="847">
      <c r="B847" s="11"/>
      <c r="C847" s="32"/>
      <c r="H847" s="11"/>
    </row>
    <row r="848">
      <c r="B848" s="11"/>
      <c r="C848" s="32"/>
      <c r="H848" s="11"/>
    </row>
    <row r="849">
      <c r="B849" s="11"/>
      <c r="C849" s="32"/>
      <c r="H849" s="11"/>
    </row>
    <row r="850">
      <c r="B850" s="11"/>
      <c r="C850" s="32"/>
      <c r="H850" s="11"/>
    </row>
    <row r="851">
      <c r="B851" s="11"/>
      <c r="C851" s="32"/>
      <c r="H851" s="11"/>
    </row>
    <row r="852">
      <c r="B852" s="11"/>
      <c r="C852" s="32"/>
      <c r="H852" s="11"/>
    </row>
    <row r="853">
      <c r="B853" s="11"/>
      <c r="C853" s="32"/>
      <c r="H853" s="11"/>
    </row>
    <row r="854">
      <c r="B854" s="11"/>
      <c r="C854" s="32"/>
      <c r="H854" s="11"/>
    </row>
    <row r="855">
      <c r="B855" s="11"/>
      <c r="C855" s="32"/>
      <c r="H855" s="11"/>
    </row>
    <row r="856">
      <c r="B856" s="11"/>
      <c r="C856" s="32"/>
      <c r="H856" s="11"/>
    </row>
    <row r="857">
      <c r="B857" s="11"/>
      <c r="C857" s="32"/>
      <c r="H857" s="11"/>
    </row>
    <row r="858">
      <c r="B858" s="11"/>
      <c r="C858" s="32"/>
      <c r="H858" s="11"/>
    </row>
    <row r="859">
      <c r="B859" s="11"/>
      <c r="C859" s="32"/>
      <c r="H859" s="11"/>
    </row>
    <row r="860">
      <c r="B860" s="11"/>
      <c r="C860" s="32"/>
      <c r="H860" s="11"/>
    </row>
    <row r="861">
      <c r="B861" s="11"/>
      <c r="C861" s="32"/>
      <c r="H861" s="11"/>
    </row>
    <row r="862">
      <c r="B862" s="11"/>
      <c r="C862" s="32"/>
      <c r="H862" s="11"/>
    </row>
    <row r="863">
      <c r="B863" s="11"/>
      <c r="C863" s="32"/>
      <c r="H863" s="11"/>
    </row>
    <row r="864">
      <c r="B864" s="11"/>
      <c r="C864" s="32"/>
      <c r="H864" s="11"/>
    </row>
    <row r="865">
      <c r="B865" s="11"/>
      <c r="C865" s="32"/>
      <c r="H865" s="11"/>
    </row>
    <row r="866">
      <c r="B866" s="11"/>
      <c r="C866" s="32"/>
      <c r="H866" s="11"/>
    </row>
    <row r="867">
      <c r="B867" s="11"/>
      <c r="C867" s="32"/>
      <c r="H867" s="11"/>
    </row>
    <row r="868">
      <c r="B868" s="11"/>
      <c r="C868" s="32"/>
      <c r="H868" s="11"/>
    </row>
    <row r="869">
      <c r="B869" s="11"/>
      <c r="C869" s="32"/>
      <c r="H869" s="11"/>
    </row>
    <row r="870">
      <c r="B870" s="11"/>
      <c r="C870" s="32"/>
      <c r="H870" s="11"/>
    </row>
    <row r="871">
      <c r="B871" s="11"/>
      <c r="C871" s="32"/>
      <c r="H871" s="11"/>
    </row>
    <row r="872">
      <c r="B872" s="11"/>
      <c r="C872" s="32"/>
      <c r="H872" s="11"/>
    </row>
    <row r="873">
      <c r="B873" s="11"/>
      <c r="C873" s="32"/>
      <c r="H873" s="11"/>
    </row>
    <row r="874">
      <c r="B874" s="11"/>
      <c r="C874" s="32"/>
      <c r="H874" s="11"/>
    </row>
    <row r="875">
      <c r="B875" s="11"/>
      <c r="C875" s="32"/>
      <c r="H875" s="11"/>
    </row>
    <row r="876">
      <c r="B876" s="11"/>
      <c r="C876" s="32"/>
      <c r="H876" s="11"/>
    </row>
    <row r="877">
      <c r="B877" s="11"/>
      <c r="C877" s="32"/>
      <c r="H877" s="11"/>
    </row>
    <row r="878">
      <c r="B878" s="11"/>
      <c r="C878" s="32"/>
      <c r="H878" s="11"/>
    </row>
    <row r="879">
      <c r="B879" s="11"/>
      <c r="C879" s="32"/>
      <c r="H879" s="11"/>
    </row>
    <row r="880">
      <c r="B880" s="11"/>
      <c r="C880" s="32"/>
      <c r="H880" s="11"/>
    </row>
    <row r="881">
      <c r="B881" s="11"/>
      <c r="C881" s="32"/>
      <c r="H881" s="11"/>
    </row>
    <row r="882">
      <c r="B882" s="11"/>
      <c r="C882" s="32"/>
      <c r="H882" s="11"/>
    </row>
    <row r="883">
      <c r="B883" s="11"/>
      <c r="C883" s="32"/>
      <c r="H883" s="11"/>
    </row>
    <row r="884">
      <c r="B884" s="11"/>
      <c r="C884" s="32"/>
      <c r="H884" s="11"/>
    </row>
    <row r="885">
      <c r="B885" s="11"/>
      <c r="C885" s="32"/>
      <c r="H885" s="11"/>
    </row>
    <row r="886">
      <c r="B886" s="11"/>
      <c r="C886" s="32"/>
      <c r="H886" s="11"/>
    </row>
    <row r="887">
      <c r="B887" s="11"/>
      <c r="C887" s="32"/>
      <c r="H887" s="11"/>
    </row>
    <row r="888">
      <c r="B888" s="11"/>
      <c r="C888" s="32"/>
      <c r="H888" s="11"/>
    </row>
    <row r="889">
      <c r="B889" s="11"/>
      <c r="C889" s="32"/>
      <c r="H889" s="11"/>
    </row>
    <row r="890">
      <c r="B890" s="11"/>
      <c r="C890" s="32"/>
      <c r="H890" s="11"/>
    </row>
    <row r="891">
      <c r="B891" s="11"/>
      <c r="C891" s="32"/>
      <c r="H891" s="11"/>
    </row>
    <row r="892">
      <c r="B892" s="11"/>
      <c r="C892" s="32"/>
      <c r="H892" s="11"/>
    </row>
    <row r="893">
      <c r="B893" s="11"/>
      <c r="C893" s="32"/>
      <c r="H893" s="11"/>
    </row>
    <row r="894">
      <c r="B894" s="11"/>
      <c r="C894" s="32"/>
      <c r="H894" s="11"/>
    </row>
    <row r="895">
      <c r="B895" s="11"/>
      <c r="C895" s="32"/>
      <c r="H895" s="11"/>
    </row>
    <row r="896">
      <c r="B896" s="11"/>
      <c r="C896" s="32"/>
      <c r="H896" s="11"/>
    </row>
    <row r="897">
      <c r="B897" s="11"/>
      <c r="C897" s="32"/>
      <c r="H897" s="11"/>
    </row>
    <row r="898">
      <c r="B898" s="11"/>
      <c r="C898" s="32"/>
      <c r="H898" s="11"/>
    </row>
    <row r="899">
      <c r="B899" s="11"/>
      <c r="C899" s="32"/>
      <c r="H899" s="11"/>
    </row>
    <row r="900">
      <c r="B900" s="11"/>
      <c r="C900" s="32"/>
      <c r="H900" s="11"/>
    </row>
    <row r="901">
      <c r="B901" s="11"/>
      <c r="C901" s="32"/>
      <c r="H901" s="11"/>
    </row>
    <row r="902">
      <c r="B902" s="11"/>
      <c r="C902" s="32"/>
      <c r="H902" s="11"/>
    </row>
    <row r="903">
      <c r="B903" s="11"/>
      <c r="C903" s="32"/>
      <c r="H903" s="11"/>
    </row>
    <row r="904">
      <c r="B904" s="11"/>
      <c r="C904" s="32"/>
      <c r="H904" s="11"/>
    </row>
    <row r="905">
      <c r="B905" s="11"/>
      <c r="C905" s="32"/>
      <c r="H905" s="11"/>
    </row>
    <row r="906">
      <c r="B906" s="11"/>
      <c r="C906" s="32"/>
      <c r="H906" s="11"/>
    </row>
    <row r="907">
      <c r="B907" s="11"/>
      <c r="C907" s="32"/>
      <c r="H907" s="11"/>
    </row>
    <row r="908">
      <c r="B908" s="11"/>
      <c r="C908" s="32"/>
      <c r="H908" s="11"/>
    </row>
    <row r="909">
      <c r="B909" s="11"/>
      <c r="C909" s="32"/>
      <c r="H909" s="11"/>
    </row>
    <row r="910">
      <c r="B910" s="11"/>
      <c r="C910" s="32"/>
      <c r="H910" s="11"/>
    </row>
    <row r="911">
      <c r="B911" s="11"/>
      <c r="C911" s="32"/>
      <c r="H911" s="11"/>
    </row>
    <row r="912">
      <c r="B912" s="11"/>
      <c r="C912" s="32"/>
      <c r="H912" s="11"/>
    </row>
    <row r="913">
      <c r="B913" s="11"/>
      <c r="C913" s="32"/>
      <c r="H913" s="11"/>
    </row>
    <row r="914">
      <c r="B914" s="11"/>
      <c r="C914" s="32"/>
      <c r="H914" s="11"/>
    </row>
    <row r="915">
      <c r="B915" s="11"/>
      <c r="C915" s="32"/>
      <c r="H915" s="11"/>
    </row>
    <row r="916">
      <c r="B916" s="11"/>
      <c r="C916" s="32"/>
      <c r="H916" s="11"/>
    </row>
    <row r="917">
      <c r="B917" s="11"/>
      <c r="C917" s="32"/>
      <c r="H917" s="11"/>
    </row>
    <row r="918">
      <c r="B918" s="11"/>
      <c r="C918" s="32"/>
      <c r="H918" s="11"/>
    </row>
    <row r="919">
      <c r="B919" s="11"/>
      <c r="C919" s="32"/>
      <c r="H919" s="11"/>
    </row>
    <row r="920">
      <c r="B920" s="11"/>
      <c r="C920" s="32"/>
      <c r="H920" s="11"/>
    </row>
    <row r="921">
      <c r="B921" s="11"/>
      <c r="C921" s="32"/>
      <c r="H921" s="11"/>
    </row>
    <row r="922">
      <c r="B922" s="11"/>
      <c r="C922" s="32"/>
      <c r="H922" s="11"/>
    </row>
    <row r="923">
      <c r="B923" s="11"/>
      <c r="C923" s="32"/>
      <c r="H923" s="11"/>
    </row>
    <row r="924">
      <c r="B924" s="11"/>
      <c r="C924" s="32"/>
      <c r="H924" s="11"/>
    </row>
    <row r="925">
      <c r="B925" s="11"/>
      <c r="C925" s="32"/>
      <c r="H925" s="11"/>
    </row>
    <row r="926">
      <c r="B926" s="11"/>
      <c r="C926" s="32"/>
      <c r="H926" s="11"/>
    </row>
    <row r="927">
      <c r="B927" s="11"/>
      <c r="C927" s="32"/>
      <c r="H927" s="11"/>
    </row>
    <row r="928">
      <c r="B928" s="11"/>
      <c r="C928" s="32"/>
      <c r="H928" s="11"/>
    </row>
    <row r="929">
      <c r="B929" s="11"/>
      <c r="C929" s="32"/>
      <c r="H929" s="11"/>
    </row>
    <row r="930">
      <c r="B930" s="11"/>
      <c r="C930" s="32"/>
      <c r="H930" s="11"/>
    </row>
    <row r="931">
      <c r="B931" s="11"/>
      <c r="C931" s="32"/>
      <c r="H931" s="11"/>
    </row>
    <row r="932">
      <c r="B932" s="11"/>
      <c r="C932" s="32"/>
      <c r="H932" s="11"/>
    </row>
    <row r="933">
      <c r="B933" s="11"/>
      <c r="C933" s="32"/>
      <c r="H933" s="11"/>
    </row>
    <row r="934">
      <c r="B934" s="11"/>
      <c r="C934" s="32"/>
      <c r="H934" s="11"/>
    </row>
    <row r="935">
      <c r="B935" s="11"/>
      <c r="C935" s="32"/>
      <c r="H935" s="11"/>
    </row>
    <row r="936">
      <c r="B936" s="11"/>
      <c r="C936" s="32"/>
      <c r="H936" s="11"/>
    </row>
    <row r="937">
      <c r="B937" s="11"/>
      <c r="C937" s="32"/>
      <c r="H937" s="11"/>
    </row>
    <row r="938">
      <c r="B938" s="11"/>
      <c r="C938" s="32"/>
      <c r="H938" s="11"/>
    </row>
    <row r="939">
      <c r="B939" s="11"/>
      <c r="C939" s="32"/>
      <c r="H939" s="11"/>
    </row>
    <row r="940">
      <c r="B940" s="11"/>
      <c r="C940" s="32"/>
      <c r="H940" s="11"/>
    </row>
    <row r="941">
      <c r="B941" s="11"/>
      <c r="C941" s="32"/>
      <c r="H941" s="11"/>
    </row>
    <row r="942">
      <c r="B942" s="11"/>
      <c r="C942" s="32"/>
      <c r="H942" s="11"/>
    </row>
    <row r="943">
      <c r="B943" s="11"/>
      <c r="C943" s="32"/>
      <c r="H943" s="11"/>
    </row>
    <row r="944">
      <c r="B944" s="11"/>
      <c r="C944" s="32"/>
      <c r="H944" s="11"/>
    </row>
    <row r="945">
      <c r="B945" s="11"/>
      <c r="C945" s="32"/>
      <c r="H945" s="11"/>
    </row>
    <row r="946">
      <c r="B946" s="11"/>
      <c r="C946" s="32"/>
      <c r="H946" s="11"/>
    </row>
    <row r="947">
      <c r="B947" s="11"/>
      <c r="C947" s="32"/>
      <c r="H947" s="11"/>
    </row>
    <row r="948">
      <c r="B948" s="11"/>
      <c r="C948" s="32"/>
      <c r="H948" s="11"/>
    </row>
    <row r="949">
      <c r="B949" s="11"/>
      <c r="C949" s="32"/>
      <c r="H949" s="11"/>
    </row>
    <row r="950">
      <c r="B950" s="11"/>
      <c r="C950" s="32"/>
      <c r="H950" s="11"/>
    </row>
    <row r="951">
      <c r="B951" s="11"/>
      <c r="C951" s="32"/>
      <c r="H951" s="11"/>
    </row>
    <row r="952">
      <c r="B952" s="11"/>
      <c r="C952" s="32"/>
      <c r="H952" s="11"/>
    </row>
    <row r="953">
      <c r="B953" s="11"/>
      <c r="C953" s="32"/>
      <c r="H953" s="11"/>
    </row>
    <row r="954">
      <c r="B954" s="11"/>
      <c r="C954" s="32"/>
      <c r="H954" s="11"/>
    </row>
    <row r="955">
      <c r="B955" s="11"/>
      <c r="C955" s="32"/>
      <c r="H955" s="11"/>
    </row>
    <row r="956">
      <c r="B956" s="11"/>
      <c r="C956" s="32"/>
      <c r="H956" s="11"/>
    </row>
    <row r="957">
      <c r="B957" s="11"/>
      <c r="C957" s="32"/>
      <c r="H957" s="11"/>
    </row>
    <row r="958">
      <c r="B958" s="11"/>
      <c r="C958" s="32"/>
      <c r="H958" s="11"/>
    </row>
    <row r="959">
      <c r="B959" s="11"/>
      <c r="C959" s="32"/>
      <c r="H959" s="11"/>
    </row>
    <row r="960">
      <c r="B960" s="11"/>
      <c r="C960" s="32"/>
      <c r="H960" s="11"/>
    </row>
    <row r="961">
      <c r="B961" s="11"/>
      <c r="C961" s="32"/>
      <c r="H961" s="11"/>
    </row>
    <row r="962">
      <c r="B962" s="11"/>
      <c r="C962" s="32"/>
      <c r="H962" s="11"/>
    </row>
    <row r="963">
      <c r="B963" s="11"/>
      <c r="C963" s="32"/>
      <c r="H963" s="11"/>
    </row>
    <row r="964">
      <c r="B964" s="11"/>
      <c r="C964" s="32"/>
      <c r="H964" s="11"/>
    </row>
    <row r="965">
      <c r="B965" s="11"/>
      <c r="C965" s="32"/>
      <c r="H965" s="11"/>
    </row>
    <row r="966">
      <c r="B966" s="11"/>
      <c r="C966" s="32"/>
      <c r="H966" s="11"/>
    </row>
    <row r="967">
      <c r="B967" s="11"/>
      <c r="C967" s="32"/>
      <c r="H967" s="11"/>
    </row>
    <row r="968">
      <c r="B968" s="11"/>
      <c r="C968" s="32"/>
      <c r="H968" s="11"/>
    </row>
    <row r="969">
      <c r="B969" s="11"/>
      <c r="C969" s="32"/>
      <c r="H969" s="11"/>
    </row>
    <row r="970">
      <c r="B970" s="11"/>
      <c r="C970" s="32"/>
      <c r="H970" s="11"/>
    </row>
    <row r="971">
      <c r="B971" s="11"/>
      <c r="C971" s="32"/>
      <c r="H971" s="11"/>
    </row>
    <row r="972">
      <c r="B972" s="11"/>
      <c r="C972" s="32"/>
      <c r="H972" s="11"/>
    </row>
    <row r="973">
      <c r="B973" s="11"/>
      <c r="C973" s="32"/>
      <c r="H973" s="11"/>
    </row>
    <row r="974">
      <c r="B974" s="11"/>
      <c r="C974" s="32"/>
      <c r="H974" s="11"/>
    </row>
    <row r="975">
      <c r="B975" s="11"/>
      <c r="C975" s="32"/>
      <c r="H975" s="11"/>
    </row>
    <row r="976">
      <c r="B976" s="11"/>
      <c r="C976" s="32"/>
      <c r="H976" s="11"/>
    </row>
    <row r="977">
      <c r="B977" s="11"/>
      <c r="C977" s="32"/>
      <c r="H977" s="11"/>
    </row>
    <row r="978">
      <c r="B978" s="11"/>
      <c r="C978" s="32"/>
      <c r="H978" s="11"/>
    </row>
    <row r="979">
      <c r="B979" s="11"/>
      <c r="C979" s="32"/>
      <c r="H979" s="11"/>
    </row>
    <row r="980">
      <c r="B980" s="11"/>
      <c r="C980" s="32"/>
      <c r="H980" s="11"/>
    </row>
    <row r="981">
      <c r="B981" s="11"/>
      <c r="C981" s="32"/>
      <c r="H981" s="11"/>
    </row>
    <row r="982">
      <c r="B982" s="11"/>
      <c r="C982" s="32"/>
      <c r="H982" s="11"/>
    </row>
    <row r="983">
      <c r="B983" s="11"/>
      <c r="C983" s="32"/>
      <c r="H983" s="11"/>
    </row>
    <row r="984">
      <c r="B984" s="11"/>
      <c r="C984" s="32"/>
      <c r="H984" s="11"/>
    </row>
    <row r="985">
      <c r="B985" s="11"/>
      <c r="C985" s="32"/>
      <c r="H985" s="11"/>
    </row>
    <row r="986">
      <c r="B986" s="11"/>
      <c r="C986" s="32"/>
      <c r="H986" s="11"/>
    </row>
    <row r="987">
      <c r="B987" s="11"/>
      <c r="C987" s="32"/>
      <c r="H987" s="11"/>
    </row>
    <row r="988">
      <c r="B988" s="11"/>
      <c r="C988" s="32"/>
      <c r="H988" s="11"/>
    </row>
    <row r="989">
      <c r="B989" s="11"/>
      <c r="C989" s="32"/>
      <c r="H989" s="11"/>
    </row>
    <row r="990">
      <c r="B990" s="11"/>
      <c r="C990" s="32"/>
      <c r="H990" s="11"/>
    </row>
    <row r="991">
      <c r="B991" s="11"/>
      <c r="C991" s="32"/>
      <c r="H991" s="11"/>
    </row>
    <row r="992">
      <c r="B992" s="11"/>
      <c r="C992" s="32"/>
      <c r="H992" s="11"/>
    </row>
    <row r="993">
      <c r="B993" s="11"/>
      <c r="C993" s="32"/>
      <c r="H993" s="11"/>
    </row>
    <row r="994">
      <c r="B994" s="11"/>
      <c r="C994" s="32"/>
      <c r="H994" s="11"/>
    </row>
    <row r="995">
      <c r="B995" s="11"/>
      <c r="C995" s="32"/>
      <c r="H995" s="11"/>
    </row>
    <row r="996">
      <c r="B996" s="11"/>
      <c r="C996" s="32"/>
      <c r="H996" s="11"/>
    </row>
    <row r="997">
      <c r="B997" s="11"/>
      <c r="C997" s="32"/>
      <c r="H997" s="11"/>
    </row>
    <row r="998">
      <c r="B998" s="11"/>
      <c r="C998" s="32"/>
      <c r="H998" s="11"/>
    </row>
    <row r="999">
      <c r="B999" s="11"/>
      <c r="C999" s="32"/>
      <c r="H999" s="11"/>
    </row>
    <row r="1000">
      <c r="B1000" s="11"/>
      <c r="C1000" s="32"/>
      <c r="H1000" s="11"/>
    </row>
  </sheetData>
  <hyperlinks>
    <hyperlink r:id="rId1" ref="A1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108</v>
      </c>
      <c r="B1" s="11"/>
      <c r="E1" s="11"/>
      <c r="H1" s="17"/>
      <c r="N1" s="11"/>
    </row>
    <row r="2">
      <c r="B2" s="11"/>
      <c r="E2" s="37"/>
      <c r="H2" s="17"/>
      <c r="N2" s="11"/>
    </row>
    <row r="3">
      <c r="B3" s="11" t="str">
        <f>IFERROR(__xludf.DUMMYFUNCTION("SORT(IMPORTDATA(""https://fred.stlouisfed.org/graph/fredgraph.csv?id=PRMFGCONS""),1,FALSE)"),"observation_date")</f>
        <v>observation_date</v>
      </c>
      <c r="C3" s="9" t="str">
        <f>IFERROR(__xludf.DUMMYFUNCTION("""COMPUTED_VALUE"""),"PRMFGCONS")</f>
        <v>PRMFGCONS</v>
      </c>
      <c r="E3" s="37" t="s">
        <v>67</v>
      </c>
      <c r="F3" s="6" t="s">
        <v>109</v>
      </c>
      <c r="H3" s="49" t="s">
        <v>100</v>
      </c>
      <c r="I3" s="6" t="s">
        <v>109</v>
      </c>
      <c r="N3" s="55" t="s">
        <v>102</v>
      </c>
      <c r="O3" s="6" t="s">
        <v>109</v>
      </c>
    </row>
    <row r="4">
      <c r="B4" s="11">
        <f>IFERROR(__xludf.DUMMYFUNCTION("""COMPUTED_VALUE"""),45870.0)</f>
        <v>45870</v>
      </c>
      <c r="C4" s="9">
        <f>IFERROR(__xludf.DUMMYFUNCTION("""COMPUTED_VALUE"""),218947.0)</f>
        <v>218947</v>
      </c>
      <c r="E4" s="26">
        <f>IFERROR(__xludf.DUMMYFUNCTION("QUERY(B:C, ""SELECT B, C WHERE B &gt;= DATE '"" &amp; TEXT(TODAY()-365*5, ""yyyy-MM-dd"") &amp; ""' ORDER BY B DESC"", 1)"),45870.0)</f>
        <v>45870</v>
      </c>
      <c r="F4" s="9">
        <f>IFERROR(__xludf.DUMMYFUNCTION("""COMPUTED_VALUE"""),218947.0)</f>
        <v>218947</v>
      </c>
      <c r="H4" s="50">
        <f>IFERROR(__xludf.DUMMYFUNCTION("QUERY(B:C, ""SELECT B, C WHERE B &gt;= DATE '"" &amp; TEXT(TODAY()-365, ""yyyy-MM-dd"") &amp; ""' ORDER BY B DESC"", 1)"),45870.0)</f>
        <v>45870</v>
      </c>
      <c r="I4" s="9">
        <f>IFERROR(__xludf.DUMMYFUNCTION("""COMPUTED_VALUE"""),218947.0)</f>
        <v>218947</v>
      </c>
      <c r="K4" s="23"/>
      <c r="N4" s="26">
        <f>IFERROR(__xludf.DUMMYFUNCTION("QUERY(B:C, ""SELECT B, C WHERE B &gt;= DATE '"" &amp; TEXT(TODAY()-365*10, ""yyyy-MM-dd"") &amp; ""' ORDER BY B DESC"", 1)"),45870.0)</f>
        <v>45870</v>
      </c>
      <c r="O4" s="9">
        <f>IFERROR(__xludf.DUMMYFUNCTION("""COMPUTED_VALUE"""),218947.0)</f>
        <v>218947</v>
      </c>
    </row>
    <row r="5">
      <c r="B5" s="11">
        <f>IFERROR(__xludf.DUMMYFUNCTION("""COMPUTED_VALUE"""),45839.0)</f>
        <v>45839</v>
      </c>
      <c r="C5" s="9">
        <f>IFERROR(__xludf.DUMMYFUNCTION("""COMPUTED_VALUE"""),221230.0)</f>
        <v>221230</v>
      </c>
      <c r="E5" s="11">
        <f>IFERROR(__xludf.DUMMYFUNCTION("""COMPUTED_VALUE"""),45839.0)</f>
        <v>45839</v>
      </c>
      <c r="F5" s="9">
        <f>IFERROR(__xludf.DUMMYFUNCTION("""COMPUTED_VALUE"""),221230.0)</f>
        <v>221230</v>
      </c>
      <c r="H5" s="17">
        <f>IFERROR(__xludf.DUMMYFUNCTION("""COMPUTED_VALUE"""),45839.0)</f>
        <v>45839</v>
      </c>
      <c r="I5" s="9">
        <f>IFERROR(__xludf.DUMMYFUNCTION("""COMPUTED_VALUE"""),221230.0)</f>
        <v>221230</v>
      </c>
      <c r="N5" s="11">
        <f>IFERROR(__xludf.DUMMYFUNCTION("""COMPUTED_VALUE"""),45839.0)</f>
        <v>45839</v>
      </c>
      <c r="O5" s="9">
        <f>IFERROR(__xludf.DUMMYFUNCTION("""COMPUTED_VALUE"""),221230.0)</f>
        <v>221230</v>
      </c>
    </row>
    <row r="6">
      <c r="B6" s="11">
        <f>IFERROR(__xludf.DUMMYFUNCTION("""COMPUTED_VALUE"""),45809.0)</f>
        <v>45809</v>
      </c>
      <c r="C6" s="9">
        <f>IFERROR(__xludf.DUMMYFUNCTION("""COMPUTED_VALUE"""),223072.0)</f>
        <v>223072</v>
      </c>
      <c r="E6" s="11">
        <f>IFERROR(__xludf.DUMMYFUNCTION("""COMPUTED_VALUE"""),45809.0)</f>
        <v>45809</v>
      </c>
      <c r="F6" s="9">
        <f>IFERROR(__xludf.DUMMYFUNCTION("""COMPUTED_VALUE"""),223072.0)</f>
        <v>223072</v>
      </c>
      <c r="H6" s="17">
        <f>IFERROR(__xludf.DUMMYFUNCTION("""COMPUTED_VALUE"""),45809.0)</f>
        <v>45809</v>
      </c>
      <c r="I6" s="9">
        <f>IFERROR(__xludf.DUMMYFUNCTION("""COMPUTED_VALUE"""),223072.0)</f>
        <v>223072</v>
      </c>
      <c r="N6" s="11">
        <f>IFERROR(__xludf.DUMMYFUNCTION("""COMPUTED_VALUE"""),45809.0)</f>
        <v>45809</v>
      </c>
      <c r="O6" s="9">
        <f>IFERROR(__xludf.DUMMYFUNCTION("""COMPUTED_VALUE"""),223072.0)</f>
        <v>223072</v>
      </c>
    </row>
    <row r="7">
      <c r="B7" s="11">
        <f>IFERROR(__xludf.DUMMYFUNCTION("""COMPUTED_VALUE"""),45778.0)</f>
        <v>45778</v>
      </c>
      <c r="C7" s="9">
        <f>IFERROR(__xludf.DUMMYFUNCTION("""COMPUTED_VALUE"""),224953.0)</f>
        <v>224953</v>
      </c>
      <c r="E7" s="11">
        <f>IFERROR(__xludf.DUMMYFUNCTION("""COMPUTED_VALUE"""),45778.0)</f>
        <v>45778</v>
      </c>
      <c r="F7" s="9">
        <f>IFERROR(__xludf.DUMMYFUNCTION("""COMPUTED_VALUE"""),224953.0)</f>
        <v>224953</v>
      </c>
      <c r="H7" s="17">
        <f>IFERROR(__xludf.DUMMYFUNCTION("""COMPUTED_VALUE"""),45778.0)</f>
        <v>45778</v>
      </c>
      <c r="I7" s="9">
        <f>IFERROR(__xludf.DUMMYFUNCTION("""COMPUTED_VALUE"""),224953.0)</f>
        <v>224953</v>
      </c>
      <c r="N7" s="11">
        <f>IFERROR(__xludf.DUMMYFUNCTION("""COMPUTED_VALUE"""),45778.0)</f>
        <v>45778</v>
      </c>
      <c r="O7" s="9">
        <f>IFERROR(__xludf.DUMMYFUNCTION("""COMPUTED_VALUE"""),224953.0)</f>
        <v>224953</v>
      </c>
    </row>
    <row r="8">
      <c r="B8" s="11">
        <f>IFERROR(__xludf.DUMMYFUNCTION("""COMPUTED_VALUE"""),45748.0)</f>
        <v>45748</v>
      </c>
      <c r="C8" s="9">
        <f>IFERROR(__xludf.DUMMYFUNCTION("""COMPUTED_VALUE"""),226333.0)</f>
        <v>226333</v>
      </c>
      <c r="E8" s="11">
        <f>IFERROR(__xludf.DUMMYFUNCTION("""COMPUTED_VALUE"""),45748.0)</f>
        <v>45748</v>
      </c>
      <c r="F8" s="9">
        <f>IFERROR(__xludf.DUMMYFUNCTION("""COMPUTED_VALUE"""),226333.0)</f>
        <v>226333</v>
      </c>
      <c r="H8" s="17">
        <f>IFERROR(__xludf.DUMMYFUNCTION("""COMPUTED_VALUE"""),45748.0)</f>
        <v>45748</v>
      </c>
      <c r="I8" s="9">
        <f>IFERROR(__xludf.DUMMYFUNCTION("""COMPUTED_VALUE"""),226333.0)</f>
        <v>226333</v>
      </c>
      <c r="N8" s="11">
        <f>IFERROR(__xludf.DUMMYFUNCTION("""COMPUTED_VALUE"""),45748.0)</f>
        <v>45748</v>
      </c>
      <c r="O8" s="9">
        <f>IFERROR(__xludf.DUMMYFUNCTION("""COMPUTED_VALUE"""),226333.0)</f>
        <v>226333</v>
      </c>
    </row>
    <row r="9">
      <c r="B9" s="11">
        <f>IFERROR(__xludf.DUMMYFUNCTION("""COMPUTED_VALUE"""),45717.0)</f>
        <v>45717</v>
      </c>
      <c r="C9" s="9">
        <f>IFERROR(__xludf.DUMMYFUNCTION("""COMPUTED_VALUE"""),227643.0)</f>
        <v>227643</v>
      </c>
      <c r="E9" s="11">
        <f>IFERROR(__xludf.DUMMYFUNCTION("""COMPUTED_VALUE"""),45717.0)</f>
        <v>45717</v>
      </c>
      <c r="F9" s="9">
        <f>IFERROR(__xludf.DUMMYFUNCTION("""COMPUTED_VALUE"""),227643.0)</f>
        <v>227643</v>
      </c>
      <c r="H9" s="17">
        <f>IFERROR(__xludf.DUMMYFUNCTION("""COMPUTED_VALUE"""),45717.0)</f>
        <v>45717</v>
      </c>
      <c r="I9" s="9">
        <f>IFERROR(__xludf.DUMMYFUNCTION("""COMPUTED_VALUE"""),227643.0)</f>
        <v>227643</v>
      </c>
      <c r="N9" s="11">
        <f>IFERROR(__xludf.DUMMYFUNCTION("""COMPUTED_VALUE"""),45717.0)</f>
        <v>45717</v>
      </c>
      <c r="O9" s="9">
        <f>IFERROR(__xludf.DUMMYFUNCTION("""COMPUTED_VALUE"""),227643.0)</f>
        <v>227643</v>
      </c>
    </row>
    <row r="10">
      <c r="B10" s="11">
        <f>IFERROR(__xludf.DUMMYFUNCTION("""COMPUTED_VALUE"""),45689.0)</f>
        <v>45689</v>
      </c>
      <c r="C10" s="9">
        <f>IFERROR(__xludf.DUMMYFUNCTION("""COMPUTED_VALUE"""),229703.0)</f>
        <v>229703</v>
      </c>
      <c r="E10" s="11">
        <f>IFERROR(__xludf.DUMMYFUNCTION("""COMPUTED_VALUE"""),45689.0)</f>
        <v>45689</v>
      </c>
      <c r="F10" s="9">
        <f>IFERROR(__xludf.DUMMYFUNCTION("""COMPUTED_VALUE"""),229703.0)</f>
        <v>229703</v>
      </c>
      <c r="H10" s="17">
        <f>IFERROR(__xludf.DUMMYFUNCTION("""COMPUTED_VALUE"""),45689.0)</f>
        <v>45689</v>
      </c>
      <c r="I10" s="9">
        <f>IFERROR(__xludf.DUMMYFUNCTION("""COMPUTED_VALUE"""),229703.0)</f>
        <v>229703</v>
      </c>
      <c r="N10" s="11">
        <f>IFERROR(__xludf.DUMMYFUNCTION("""COMPUTED_VALUE"""),45689.0)</f>
        <v>45689</v>
      </c>
      <c r="O10" s="9">
        <f>IFERROR(__xludf.DUMMYFUNCTION("""COMPUTED_VALUE"""),229703.0)</f>
        <v>229703</v>
      </c>
    </row>
    <row r="11">
      <c r="B11" s="11">
        <f>IFERROR(__xludf.DUMMYFUNCTION("""COMPUTED_VALUE"""),45658.0)</f>
        <v>45658</v>
      </c>
      <c r="C11" s="9">
        <f>IFERROR(__xludf.DUMMYFUNCTION("""COMPUTED_VALUE"""),229885.0)</f>
        <v>229885</v>
      </c>
      <c r="E11" s="11">
        <f>IFERROR(__xludf.DUMMYFUNCTION("""COMPUTED_VALUE"""),45658.0)</f>
        <v>45658</v>
      </c>
      <c r="F11" s="9">
        <f>IFERROR(__xludf.DUMMYFUNCTION("""COMPUTED_VALUE"""),229885.0)</f>
        <v>229885</v>
      </c>
      <c r="H11" s="17"/>
      <c r="N11" s="11">
        <f>IFERROR(__xludf.DUMMYFUNCTION("""COMPUTED_VALUE"""),45658.0)</f>
        <v>45658</v>
      </c>
      <c r="O11" s="9">
        <f>IFERROR(__xludf.DUMMYFUNCTION("""COMPUTED_VALUE"""),229885.0)</f>
        <v>229885</v>
      </c>
    </row>
    <row r="12">
      <c r="B12" s="11">
        <f>IFERROR(__xludf.DUMMYFUNCTION("""COMPUTED_VALUE"""),45627.0)</f>
        <v>45627</v>
      </c>
      <c r="C12" s="9">
        <f>IFERROR(__xludf.DUMMYFUNCTION("""COMPUTED_VALUE"""),227427.0)</f>
        <v>227427</v>
      </c>
      <c r="E12" s="11">
        <f>IFERROR(__xludf.DUMMYFUNCTION("""COMPUTED_VALUE"""),45627.0)</f>
        <v>45627</v>
      </c>
      <c r="F12" s="9">
        <f>IFERROR(__xludf.DUMMYFUNCTION("""COMPUTED_VALUE"""),227427.0)</f>
        <v>227427</v>
      </c>
      <c r="H12" s="17"/>
      <c r="N12" s="11">
        <f>IFERROR(__xludf.DUMMYFUNCTION("""COMPUTED_VALUE"""),45627.0)</f>
        <v>45627</v>
      </c>
      <c r="O12" s="9">
        <f>IFERROR(__xludf.DUMMYFUNCTION("""COMPUTED_VALUE"""),227427.0)</f>
        <v>227427</v>
      </c>
    </row>
    <row r="13">
      <c r="B13" s="11">
        <f>IFERROR(__xludf.DUMMYFUNCTION("""COMPUTED_VALUE"""),45597.0)</f>
        <v>45597</v>
      </c>
      <c r="C13" s="9">
        <f>IFERROR(__xludf.DUMMYFUNCTION("""COMPUTED_VALUE"""),237285.0)</f>
        <v>237285</v>
      </c>
      <c r="E13" s="11">
        <f>IFERROR(__xludf.DUMMYFUNCTION("""COMPUTED_VALUE"""),45597.0)</f>
        <v>45597</v>
      </c>
      <c r="F13" s="9">
        <f>IFERROR(__xludf.DUMMYFUNCTION("""COMPUTED_VALUE"""),237285.0)</f>
        <v>237285</v>
      </c>
      <c r="H13" s="17"/>
      <c r="N13" s="11">
        <f>IFERROR(__xludf.DUMMYFUNCTION("""COMPUTED_VALUE"""),45597.0)</f>
        <v>45597</v>
      </c>
      <c r="O13" s="9">
        <f>IFERROR(__xludf.DUMMYFUNCTION("""COMPUTED_VALUE"""),237285.0)</f>
        <v>237285</v>
      </c>
    </row>
    <row r="14">
      <c r="B14" s="11">
        <f>IFERROR(__xludf.DUMMYFUNCTION("""COMPUTED_VALUE"""),45566.0)</f>
        <v>45566</v>
      </c>
      <c r="C14" s="9">
        <f>IFERROR(__xludf.DUMMYFUNCTION("""COMPUTED_VALUE"""),235916.0)</f>
        <v>235916</v>
      </c>
      <c r="E14" s="11">
        <f>IFERROR(__xludf.DUMMYFUNCTION("""COMPUTED_VALUE"""),45566.0)</f>
        <v>45566</v>
      </c>
      <c r="F14" s="9">
        <f>IFERROR(__xludf.DUMMYFUNCTION("""COMPUTED_VALUE"""),235916.0)</f>
        <v>235916</v>
      </c>
      <c r="H14" s="17"/>
      <c r="N14" s="11">
        <f>IFERROR(__xludf.DUMMYFUNCTION("""COMPUTED_VALUE"""),45566.0)</f>
        <v>45566</v>
      </c>
      <c r="O14" s="9">
        <f>IFERROR(__xludf.DUMMYFUNCTION("""COMPUTED_VALUE"""),235916.0)</f>
        <v>235916</v>
      </c>
    </row>
    <row r="15">
      <c r="B15" s="11">
        <f>IFERROR(__xludf.DUMMYFUNCTION("""COMPUTED_VALUE"""),45536.0)</f>
        <v>45536</v>
      </c>
      <c r="C15" s="9">
        <f>IFERROR(__xludf.DUMMYFUNCTION("""COMPUTED_VALUE"""),238527.0)</f>
        <v>238527</v>
      </c>
      <c r="E15" s="11">
        <f>IFERROR(__xludf.DUMMYFUNCTION("""COMPUTED_VALUE"""),45536.0)</f>
        <v>45536</v>
      </c>
      <c r="F15" s="9">
        <f>IFERROR(__xludf.DUMMYFUNCTION("""COMPUTED_VALUE"""),238527.0)</f>
        <v>238527</v>
      </c>
      <c r="H15" s="17"/>
      <c r="N15" s="11">
        <f>IFERROR(__xludf.DUMMYFUNCTION("""COMPUTED_VALUE"""),45536.0)</f>
        <v>45536</v>
      </c>
      <c r="O15" s="9">
        <f>IFERROR(__xludf.DUMMYFUNCTION("""COMPUTED_VALUE"""),238527.0)</f>
        <v>238527</v>
      </c>
    </row>
    <row r="16">
      <c r="B16" s="11">
        <f>IFERROR(__xludf.DUMMYFUNCTION("""COMPUTED_VALUE"""),45505.0)</f>
        <v>45505</v>
      </c>
      <c r="C16" s="9">
        <f>IFERROR(__xludf.DUMMYFUNCTION("""COMPUTED_VALUE"""),239289.0)</f>
        <v>239289</v>
      </c>
      <c r="E16" s="11">
        <f>IFERROR(__xludf.DUMMYFUNCTION("""COMPUTED_VALUE"""),45505.0)</f>
        <v>45505</v>
      </c>
      <c r="F16" s="9">
        <f>IFERROR(__xludf.DUMMYFUNCTION("""COMPUTED_VALUE"""),239289.0)</f>
        <v>239289</v>
      </c>
      <c r="H16" s="17"/>
      <c r="N16" s="11">
        <f>IFERROR(__xludf.DUMMYFUNCTION("""COMPUTED_VALUE"""),45505.0)</f>
        <v>45505</v>
      </c>
      <c r="O16" s="9">
        <f>IFERROR(__xludf.DUMMYFUNCTION("""COMPUTED_VALUE"""),239289.0)</f>
        <v>239289</v>
      </c>
    </row>
    <row r="17">
      <c r="B17" s="11">
        <f>IFERROR(__xludf.DUMMYFUNCTION("""COMPUTED_VALUE"""),45474.0)</f>
        <v>45474</v>
      </c>
      <c r="C17" s="9">
        <f>IFERROR(__xludf.DUMMYFUNCTION("""COMPUTED_VALUE"""),237807.0)</f>
        <v>237807</v>
      </c>
      <c r="E17" s="11">
        <f>IFERROR(__xludf.DUMMYFUNCTION("""COMPUTED_VALUE"""),45474.0)</f>
        <v>45474</v>
      </c>
      <c r="F17" s="9">
        <f>IFERROR(__xludf.DUMMYFUNCTION("""COMPUTED_VALUE"""),237807.0)</f>
        <v>237807</v>
      </c>
      <c r="H17" s="17"/>
      <c r="N17" s="11">
        <f>IFERROR(__xludf.DUMMYFUNCTION("""COMPUTED_VALUE"""),45474.0)</f>
        <v>45474</v>
      </c>
      <c r="O17" s="9">
        <f>IFERROR(__xludf.DUMMYFUNCTION("""COMPUTED_VALUE"""),237807.0)</f>
        <v>237807</v>
      </c>
    </row>
    <row r="18">
      <c r="B18" s="11">
        <f>IFERROR(__xludf.DUMMYFUNCTION("""COMPUTED_VALUE"""),45444.0)</f>
        <v>45444</v>
      </c>
      <c r="C18" s="9">
        <f>IFERROR(__xludf.DUMMYFUNCTION("""COMPUTED_VALUE"""),239316.0)</f>
        <v>239316</v>
      </c>
      <c r="E18" s="11">
        <f>IFERROR(__xludf.DUMMYFUNCTION("""COMPUTED_VALUE"""),45444.0)</f>
        <v>45444</v>
      </c>
      <c r="F18" s="9">
        <f>IFERROR(__xludf.DUMMYFUNCTION("""COMPUTED_VALUE"""),239316.0)</f>
        <v>239316</v>
      </c>
      <c r="H18" s="17"/>
      <c r="N18" s="11">
        <f>IFERROR(__xludf.DUMMYFUNCTION("""COMPUTED_VALUE"""),45444.0)</f>
        <v>45444</v>
      </c>
      <c r="O18" s="9">
        <f>IFERROR(__xludf.DUMMYFUNCTION("""COMPUTED_VALUE"""),239316.0)</f>
        <v>239316</v>
      </c>
    </row>
    <row r="19">
      <c r="B19" s="11">
        <f>IFERROR(__xludf.DUMMYFUNCTION("""COMPUTED_VALUE"""),45413.0)</f>
        <v>45413</v>
      </c>
      <c r="C19" s="9">
        <f>IFERROR(__xludf.DUMMYFUNCTION("""COMPUTED_VALUE"""),235388.0)</f>
        <v>235388</v>
      </c>
      <c r="E19" s="11">
        <f>IFERROR(__xludf.DUMMYFUNCTION("""COMPUTED_VALUE"""),45413.0)</f>
        <v>45413</v>
      </c>
      <c r="F19" s="9">
        <f>IFERROR(__xludf.DUMMYFUNCTION("""COMPUTED_VALUE"""),235388.0)</f>
        <v>235388</v>
      </c>
      <c r="H19" s="17"/>
      <c r="N19" s="11">
        <f>IFERROR(__xludf.DUMMYFUNCTION("""COMPUTED_VALUE"""),45413.0)</f>
        <v>45413</v>
      </c>
      <c r="O19" s="9">
        <f>IFERROR(__xludf.DUMMYFUNCTION("""COMPUTED_VALUE"""),235388.0)</f>
        <v>235388</v>
      </c>
    </row>
    <row r="20">
      <c r="B20" s="11">
        <f>IFERROR(__xludf.DUMMYFUNCTION("""COMPUTED_VALUE"""),45383.0)</f>
        <v>45383</v>
      </c>
      <c r="C20" s="9">
        <f>IFERROR(__xludf.DUMMYFUNCTION("""COMPUTED_VALUE"""),236570.0)</f>
        <v>236570</v>
      </c>
      <c r="E20" s="11">
        <f>IFERROR(__xludf.DUMMYFUNCTION("""COMPUTED_VALUE"""),45383.0)</f>
        <v>45383</v>
      </c>
      <c r="F20" s="9">
        <f>IFERROR(__xludf.DUMMYFUNCTION("""COMPUTED_VALUE"""),236570.0)</f>
        <v>236570</v>
      </c>
      <c r="H20" s="17"/>
      <c r="N20" s="11">
        <f>IFERROR(__xludf.DUMMYFUNCTION("""COMPUTED_VALUE"""),45383.0)</f>
        <v>45383</v>
      </c>
      <c r="O20" s="9">
        <f>IFERROR(__xludf.DUMMYFUNCTION("""COMPUTED_VALUE"""),236570.0)</f>
        <v>236570</v>
      </c>
    </row>
    <row r="21">
      <c r="B21" s="11">
        <f>IFERROR(__xludf.DUMMYFUNCTION("""COMPUTED_VALUE"""),45352.0)</f>
        <v>45352</v>
      </c>
      <c r="C21" s="9">
        <f>IFERROR(__xludf.DUMMYFUNCTION("""COMPUTED_VALUE"""),230871.0)</f>
        <v>230871</v>
      </c>
      <c r="E21" s="11">
        <f>IFERROR(__xludf.DUMMYFUNCTION("""COMPUTED_VALUE"""),45352.0)</f>
        <v>45352</v>
      </c>
      <c r="F21" s="9">
        <f>IFERROR(__xludf.DUMMYFUNCTION("""COMPUTED_VALUE"""),230871.0)</f>
        <v>230871</v>
      </c>
      <c r="H21" s="17"/>
      <c r="N21" s="11">
        <f>IFERROR(__xludf.DUMMYFUNCTION("""COMPUTED_VALUE"""),45352.0)</f>
        <v>45352</v>
      </c>
      <c r="O21" s="9">
        <f>IFERROR(__xludf.DUMMYFUNCTION("""COMPUTED_VALUE"""),230871.0)</f>
        <v>230871</v>
      </c>
    </row>
    <row r="22">
      <c r="B22" s="11">
        <f>IFERROR(__xludf.DUMMYFUNCTION("""COMPUTED_VALUE"""),45323.0)</f>
        <v>45323</v>
      </c>
      <c r="C22" s="9">
        <f>IFERROR(__xludf.DUMMYFUNCTION("""COMPUTED_VALUE"""),228912.0)</f>
        <v>228912</v>
      </c>
      <c r="E22" s="11">
        <f>IFERROR(__xludf.DUMMYFUNCTION("""COMPUTED_VALUE"""),45323.0)</f>
        <v>45323</v>
      </c>
      <c r="F22" s="9">
        <f>IFERROR(__xludf.DUMMYFUNCTION("""COMPUTED_VALUE"""),228912.0)</f>
        <v>228912</v>
      </c>
      <c r="H22" s="17"/>
      <c r="N22" s="11">
        <f>IFERROR(__xludf.DUMMYFUNCTION("""COMPUTED_VALUE"""),45323.0)</f>
        <v>45323</v>
      </c>
      <c r="O22" s="9">
        <f>IFERROR(__xludf.DUMMYFUNCTION("""COMPUTED_VALUE"""),228912.0)</f>
        <v>228912</v>
      </c>
    </row>
    <row r="23">
      <c r="B23" s="11">
        <f>IFERROR(__xludf.DUMMYFUNCTION("""COMPUTED_VALUE"""),45292.0)</f>
        <v>45292</v>
      </c>
      <c r="C23" s="9">
        <f>IFERROR(__xludf.DUMMYFUNCTION("""COMPUTED_VALUE"""),229705.0)</f>
        <v>229705</v>
      </c>
      <c r="E23" s="11">
        <f>IFERROR(__xludf.DUMMYFUNCTION("""COMPUTED_VALUE"""),45292.0)</f>
        <v>45292</v>
      </c>
      <c r="F23" s="9">
        <f>IFERROR(__xludf.DUMMYFUNCTION("""COMPUTED_VALUE"""),229705.0)</f>
        <v>229705</v>
      </c>
      <c r="H23" s="17"/>
      <c r="N23" s="11">
        <f>IFERROR(__xludf.DUMMYFUNCTION("""COMPUTED_VALUE"""),45292.0)</f>
        <v>45292</v>
      </c>
      <c r="O23" s="9">
        <f>IFERROR(__xludf.DUMMYFUNCTION("""COMPUTED_VALUE"""),229705.0)</f>
        <v>229705</v>
      </c>
    </row>
    <row r="24">
      <c r="B24" s="11">
        <f>IFERROR(__xludf.DUMMYFUNCTION("""COMPUTED_VALUE"""),45261.0)</f>
        <v>45261</v>
      </c>
      <c r="C24" s="9">
        <f>IFERROR(__xludf.DUMMYFUNCTION("""COMPUTED_VALUE"""),229598.0)</f>
        <v>229598</v>
      </c>
      <c r="E24" s="11">
        <f>IFERROR(__xludf.DUMMYFUNCTION("""COMPUTED_VALUE"""),45261.0)</f>
        <v>45261</v>
      </c>
      <c r="F24" s="9">
        <f>IFERROR(__xludf.DUMMYFUNCTION("""COMPUTED_VALUE"""),229598.0)</f>
        <v>229598</v>
      </c>
      <c r="H24" s="17"/>
      <c r="N24" s="11">
        <f>IFERROR(__xludf.DUMMYFUNCTION("""COMPUTED_VALUE"""),45261.0)</f>
        <v>45261</v>
      </c>
      <c r="O24" s="9">
        <f>IFERROR(__xludf.DUMMYFUNCTION("""COMPUTED_VALUE"""),229598.0)</f>
        <v>229598</v>
      </c>
    </row>
    <row r="25">
      <c r="B25" s="11">
        <f>IFERROR(__xludf.DUMMYFUNCTION("""COMPUTED_VALUE"""),45231.0)</f>
        <v>45231</v>
      </c>
      <c r="C25" s="9">
        <f>IFERROR(__xludf.DUMMYFUNCTION("""COMPUTED_VALUE"""),225851.0)</f>
        <v>225851</v>
      </c>
      <c r="E25" s="11">
        <f>IFERROR(__xludf.DUMMYFUNCTION("""COMPUTED_VALUE"""),45231.0)</f>
        <v>45231</v>
      </c>
      <c r="F25" s="9">
        <f>IFERROR(__xludf.DUMMYFUNCTION("""COMPUTED_VALUE"""),225851.0)</f>
        <v>225851</v>
      </c>
      <c r="H25" s="17"/>
      <c r="N25" s="11">
        <f>IFERROR(__xludf.DUMMYFUNCTION("""COMPUTED_VALUE"""),45231.0)</f>
        <v>45231</v>
      </c>
      <c r="O25" s="9">
        <f>IFERROR(__xludf.DUMMYFUNCTION("""COMPUTED_VALUE"""),225851.0)</f>
        <v>225851</v>
      </c>
    </row>
    <row r="26">
      <c r="B26" s="11">
        <f>IFERROR(__xludf.DUMMYFUNCTION("""COMPUTED_VALUE"""),45200.0)</f>
        <v>45200</v>
      </c>
      <c r="C26" s="9">
        <f>IFERROR(__xludf.DUMMYFUNCTION("""COMPUTED_VALUE"""),218055.0)</f>
        <v>218055</v>
      </c>
      <c r="E26" s="11">
        <f>IFERROR(__xludf.DUMMYFUNCTION("""COMPUTED_VALUE"""),45200.0)</f>
        <v>45200</v>
      </c>
      <c r="F26" s="9">
        <f>IFERROR(__xludf.DUMMYFUNCTION("""COMPUTED_VALUE"""),218055.0)</f>
        <v>218055</v>
      </c>
      <c r="H26" s="17"/>
      <c r="N26" s="11">
        <f>IFERROR(__xludf.DUMMYFUNCTION("""COMPUTED_VALUE"""),45200.0)</f>
        <v>45200</v>
      </c>
      <c r="O26" s="9">
        <f>IFERROR(__xludf.DUMMYFUNCTION("""COMPUTED_VALUE"""),218055.0)</f>
        <v>218055</v>
      </c>
    </row>
    <row r="27">
      <c r="B27" s="11">
        <f>IFERROR(__xludf.DUMMYFUNCTION("""COMPUTED_VALUE"""),45170.0)</f>
        <v>45170</v>
      </c>
      <c r="C27" s="9">
        <f>IFERROR(__xludf.DUMMYFUNCTION("""COMPUTED_VALUE"""),204670.0)</f>
        <v>204670</v>
      </c>
      <c r="E27" s="11">
        <f>IFERROR(__xludf.DUMMYFUNCTION("""COMPUTED_VALUE"""),45170.0)</f>
        <v>45170</v>
      </c>
      <c r="F27" s="9">
        <f>IFERROR(__xludf.DUMMYFUNCTION("""COMPUTED_VALUE"""),204670.0)</f>
        <v>204670</v>
      </c>
      <c r="H27" s="17"/>
      <c r="N27" s="11">
        <f>IFERROR(__xludf.DUMMYFUNCTION("""COMPUTED_VALUE"""),45170.0)</f>
        <v>45170</v>
      </c>
      <c r="O27" s="9">
        <f>IFERROR(__xludf.DUMMYFUNCTION("""COMPUTED_VALUE"""),204670.0)</f>
        <v>204670</v>
      </c>
    </row>
    <row r="28">
      <c r="B28" s="11">
        <f>IFERROR(__xludf.DUMMYFUNCTION("""COMPUTED_VALUE"""),45139.0)</f>
        <v>45139</v>
      </c>
      <c r="C28" s="9">
        <f>IFERROR(__xludf.DUMMYFUNCTION("""COMPUTED_VALUE"""),206753.0)</f>
        <v>206753</v>
      </c>
      <c r="E28" s="11">
        <f>IFERROR(__xludf.DUMMYFUNCTION("""COMPUTED_VALUE"""),45139.0)</f>
        <v>45139</v>
      </c>
      <c r="F28" s="9">
        <f>IFERROR(__xludf.DUMMYFUNCTION("""COMPUTED_VALUE"""),206753.0)</f>
        <v>206753</v>
      </c>
      <c r="H28" s="17"/>
      <c r="N28" s="11">
        <f>IFERROR(__xludf.DUMMYFUNCTION("""COMPUTED_VALUE"""),45139.0)</f>
        <v>45139</v>
      </c>
      <c r="O28" s="9">
        <f>IFERROR(__xludf.DUMMYFUNCTION("""COMPUTED_VALUE"""),206753.0)</f>
        <v>206753</v>
      </c>
    </row>
    <row r="29">
      <c r="B29" s="11">
        <f>IFERROR(__xludf.DUMMYFUNCTION("""COMPUTED_VALUE"""),45108.0)</f>
        <v>45108</v>
      </c>
      <c r="C29" s="9">
        <f>IFERROR(__xludf.DUMMYFUNCTION("""COMPUTED_VALUE"""),202257.0)</f>
        <v>202257</v>
      </c>
      <c r="E29" s="11">
        <f>IFERROR(__xludf.DUMMYFUNCTION("""COMPUTED_VALUE"""),45108.0)</f>
        <v>45108</v>
      </c>
      <c r="F29" s="9">
        <f>IFERROR(__xludf.DUMMYFUNCTION("""COMPUTED_VALUE"""),202257.0)</f>
        <v>202257</v>
      </c>
      <c r="H29" s="17"/>
      <c r="N29" s="11">
        <f>IFERROR(__xludf.DUMMYFUNCTION("""COMPUTED_VALUE"""),45108.0)</f>
        <v>45108</v>
      </c>
      <c r="O29" s="9">
        <f>IFERROR(__xludf.DUMMYFUNCTION("""COMPUTED_VALUE"""),202257.0)</f>
        <v>202257</v>
      </c>
    </row>
    <row r="30">
      <c r="B30" s="11">
        <f>IFERROR(__xludf.DUMMYFUNCTION("""COMPUTED_VALUE"""),45078.0)</f>
        <v>45078</v>
      </c>
      <c r="C30" s="9">
        <f>IFERROR(__xludf.DUMMYFUNCTION("""COMPUTED_VALUE"""),200359.0)</f>
        <v>200359</v>
      </c>
      <c r="E30" s="11">
        <f>IFERROR(__xludf.DUMMYFUNCTION("""COMPUTED_VALUE"""),45078.0)</f>
        <v>45078</v>
      </c>
      <c r="F30" s="9">
        <f>IFERROR(__xludf.DUMMYFUNCTION("""COMPUTED_VALUE"""),200359.0)</f>
        <v>200359</v>
      </c>
      <c r="H30" s="17"/>
      <c r="N30" s="11">
        <f>IFERROR(__xludf.DUMMYFUNCTION("""COMPUTED_VALUE"""),45078.0)</f>
        <v>45078</v>
      </c>
      <c r="O30" s="9">
        <f>IFERROR(__xludf.DUMMYFUNCTION("""COMPUTED_VALUE"""),200359.0)</f>
        <v>200359</v>
      </c>
    </row>
    <row r="31">
      <c r="B31" s="11">
        <f>IFERROR(__xludf.DUMMYFUNCTION("""COMPUTED_VALUE"""),45047.0)</f>
        <v>45047</v>
      </c>
      <c r="C31" s="9">
        <f>IFERROR(__xludf.DUMMYFUNCTION("""COMPUTED_VALUE"""),196940.0)</f>
        <v>196940</v>
      </c>
      <c r="E31" s="11">
        <f>IFERROR(__xludf.DUMMYFUNCTION("""COMPUTED_VALUE"""),45047.0)</f>
        <v>45047</v>
      </c>
      <c r="F31" s="9">
        <f>IFERROR(__xludf.DUMMYFUNCTION("""COMPUTED_VALUE"""),196940.0)</f>
        <v>196940</v>
      </c>
      <c r="H31" s="17"/>
      <c r="N31" s="11">
        <f>IFERROR(__xludf.DUMMYFUNCTION("""COMPUTED_VALUE"""),45047.0)</f>
        <v>45047</v>
      </c>
      <c r="O31" s="9">
        <f>IFERROR(__xludf.DUMMYFUNCTION("""COMPUTED_VALUE"""),196940.0)</f>
        <v>196940</v>
      </c>
    </row>
    <row r="32">
      <c r="B32" s="11">
        <f>IFERROR(__xludf.DUMMYFUNCTION("""COMPUTED_VALUE"""),45017.0)</f>
        <v>45017</v>
      </c>
      <c r="C32" s="9">
        <f>IFERROR(__xludf.DUMMYFUNCTION("""COMPUTED_VALUE"""),198355.0)</f>
        <v>198355</v>
      </c>
      <c r="E32" s="11">
        <f>IFERROR(__xludf.DUMMYFUNCTION("""COMPUTED_VALUE"""),45017.0)</f>
        <v>45017</v>
      </c>
      <c r="F32" s="9">
        <f>IFERROR(__xludf.DUMMYFUNCTION("""COMPUTED_VALUE"""),198355.0)</f>
        <v>198355</v>
      </c>
      <c r="H32" s="17"/>
      <c r="N32" s="11">
        <f>IFERROR(__xludf.DUMMYFUNCTION("""COMPUTED_VALUE"""),45017.0)</f>
        <v>45017</v>
      </c>
      <c r="O32" s="9">
        <f>IFERROR(__xludf.DUMMYFUNCTION("""COMPUTED_VALUE"""),198355.0)</f>
        <v>198355</v>
      </c>
    </row>
    <row r="33">
      <c r="B33" s="11">
        <f>IFERROR(__xludf.DUMMYFUNCTION("""COMPUTED_VALUE"""),44986.0)</f>
        <v>44986</v>
      </c>
      <c r="C33" s="9">
        <f>IFERROR(__xludf.DUMMYFUNCTION("""COMPUTED_VALUE"""),186441.0)</f>
        <v>186441</v>
      </c>
      <c r="E33" s="11">
        <f>IFERROR(__xludf.DUMMYFUNCTION("""COMPUTED_VALUE"""),44986.0)</f>
        <v>44986</v>
      </c>
      <c r="F33" s="9">
        <f>IFERROR(__xludf.DUMMYFUNCTION("""COMPUTED_VALUE"""),186441.0)</f>
        <v>186441</v>
      </c>
      <c r="H33" s="17"/>
      <c r="N33" s="11">
        <f>IFERROR(__xludf.DUMMYFUNCTION("""COMPUTED_VALUE"""),44986.0)</f>
        <v>44986</v>
      </c>
      <c r="O33" s="9">
        <f>IFERROR(__xludf.DUMMYFUNCTION("""COMPUTED_VALUE"""),186441.0)</f>
        <v>186441</v>
      </c>
    </row>
    <row r="34">
      <c r="B34" s="11">
        <f>IFERROR(__xludf.DUMMYFUNCTION("""COMPUTED_VALUE"""),44958.0)</f>
        <v>44958</v>
      </c>
      <c r="C34" s="9">
        <f>IFERROR(__xludf.DUMMYFUNCTION("""COMPUTED_VALUE"""),179126.0)</f>
        <v>179126</v>
      </c>
      <c r="E34" s="11">
        <f>IFERROR(__xludf.DUMMYFUNCTION("""COMPUTED_VALUE"""),44958.0)</f>
        <v>44958</v>
      </c>
      <c r="F34" s="9">
        <f>IFERROR(__xludf.DUMMYFUNCTION("""COMPUTED_VALUE"""),179126.0)</f>
        <v>179126</v>
      </c>
      <c r="H34" s="17"/>
      <c r="N34" s="11">
        <f>IFERROR(__xludf.DUMMYFUNCTION("""COMPUTED_VALUE"""),44958.0)</f>
        <v>44958</v>
      </c>
      <c r="O34" s="9">
        <f>IFERROR(__xludf.DUMMYFUNCTION("""COMPUTED_VALUE"""),179126.0)</f>
        <v>179126</v>
      </c>
    </row>
    <row r="35">
      <c r="B35" s="11">
        <f>IFERROR(__xludf.DUMMYFUNCTION("""COMPUTED_VALUE"""),44927.0)</f>
        <v>44927</v>
      </c>
      <c r="C35" s="9">
        <f>IFERROR(__xludf.DUMMYFUNCTION("""COMPUTED_VALUE"""),172439.0)</f>
        <v>172439</v>
      </c>
      <c r="E35" s="11">
        <f>IFERROR(__xludf.DUMMYFUNCTION("""COMPUTED_VALUE"""),44927.0)</f>
        <v>44927</v>
      </c>
      <c r="F35" s="9">
        <f>IFERROR(__xludf.DUMMYFUNCTION("""COMPUTED_VALUE"""),172439.0)</f>
        <v>172439</v>
      </c>
      <c r="H35" s="17"/>
      <c r="N35" s="11">
        <f>IFERROR(__xludf.DUMMYFUNCTION("""COMPUTED_VALUE"""),44927.0)</f>
        <v>44927</v>
      </c>
      <c r="O35" s="9">
        <f>IFERROR(__xludf.DUMMYFUNCTION("""COMPUTED_VALUE"""),172439.0)</f>
        <v>172439</v>
      </c>
    </row>
    <row r="36">
      <c r="B36" s="11">
        <f>IFERROR(__xludf.DUMMYFUNCTION("""COMPUTED_VALUE"""),44896.0)</f>
        <v>44896</v>
      </c>
      <c r="C36" s="9">
        <f>IFERROR(__xludf.DUMMYFUNCTION("""COMPUTED_VALUE"""),158487.0)</f>
        <v>158487</v>
      </c>
      <c r="E36" s="11">
        <f>IFERROR(__xludf.DUMMYFUNCTION("""COMPUTED_VALUE"""),44896.0)</f>
        <v>44896</v>
      </c>
      <c r="F36" s="9">
        <f>IFERROR(__xludf.DUMMYFUNCTION("""COMPUTED_VALUE"""),158487.0)</f>
        <v>158487</v>
      </c>
      <c r="H36" s="17"/>
      <c r="N36" s="11">
        <f>IFERROR(__xludf.DUMMYFUNCTION("""COMPUTED_VALUE"""),44896.0)</f>
        <v>44896</v>
      </c>
      <c r="O36" s="9">
        <f>IFERROR(__xludf.DUMMYFUNCTION("""COMPUTED_VALUE"""),158487.0)</f>
        <v>158487</v>
      </c>
    </row>
    <row r="37">
      <c r="B37" s="11">
        <f>IFERROR(__xludf.DUMMYFUNCTION("""COMPUTED_VALUE"""),44866.0)</f>
        <v>44866</v>
      </c>
      <c r="C37" s="9">
        <f>IFERROR(__xludf.DUMMYFUNCTION("""COMPUTED_VALUE"""),152048.0)</f>
        <v>152048</v>
      </c>
      <c r="E37" s="11">
        <f>IFERROR(__xludf.DUMMYFUNCTION("""COMPUTED_VALUE"""),44866.0)</f>
        <v>44866</v>
      </c>
      <c r="F37" s="9">
        <f>IFERROR(__xludf.DUMMYFUNCTION("""COMPUTED_VALUE"""),152048.0)</f>
        <v>152048</v>
      </c>
      <c r="H37" s="17"/>
      <c r="N37" s="11">
        <f>IFERROR(__xludf.DUMMYFUNCTION("""COMPUTED_VALUE"""),44866.0)</f>
        <v>44866</v>
      </c>
      <c r="O37" s="9">
        <f>IFERROR(__xludf.DUMMYFUNCTION("""COMPUTED_VALUE"""),152048.0)</f>
        <v>152048</v>
      </c>
    </row>
    <row r="38">
      <c r="B38" s="11">
        <f>IFERROR(__xludf.DUMMYFUNCTION("""COMPUTED_VALUE"""),44835.0)</f>
        <v>44835</v>
      </c>
      <c r="C38" s="9">
        <f>IFERROR(__xludf.DUMMYFUNCTION("""COMPUTED_VALUE"""),140463.0)</f>
        <v>140463</v>
      </c>
      <c r="E38" s="11">
        <f>IFERROR(__xludf.DUMMYFUNCTION("""COMPUTED_VALUE"""),44835.0)</f>
        <v>44835</v>
      </c>
      <c r="F38" s="9">
        <f>IFERROR(__xludf.DUMMYFUNCTION("""COMPUTED_VALUE"""),140463.0)</f>
        <v>140463</v>
      </c>
      <c r="H38" s="17"/>
      <c r="N38" s="11">
        <f>IFERROR(__xludf.DUMMYFUNCTION("""COMPUTED_VALUE"""),44835.0)</f>
        <v>44835</v>
      </c>
      <c r="O38" s="9">
        <f>IFERROR(__xludf.DUMMYFUNCTION("""COMPUTED_VALUE"""),140463.0)</f>
        <v>140463</v>
      </c>
    </row>
    <row r="39">
      <c r="B39" s="11">
        <f>IFERROR(__xludf.DUMMYFUNCTION("""COMPUTED_VALUE"""),44805.0)</f>
        <v>44805</v>
      </c>
      <c r="C39" s="9">
        <f>IFERROR(__xludf.DUMMYFUNCTION("""COMPUTED_VALUE"""),138600.0)</f>
        <v>138600</v>
      </c>
      <c r="E39" s="11">
        <f>IFERROR(__xludf.DUMMYFUNCTION("""COMPUTED_VALUE"""),44805.0)</f>
        <v>44805</v>
      </c>
      <c r="F39" s="9">
        <f>IFERROR(__xludf.DUMMYFUNCTION("""COMPUTED_VALUE"""),138600.0)</f>
        <v>138600</v>
      </c>
      <c r="H39" s="17"/>
      <c r="N39" s="11">
        <f>IFERROR(__xludf.DUMMYFUNCTION("""COMPUTED_VALUE"""),44805.0)</f>
        <v>44805</v>
      </c>
      <c r="O39" s="9">
        <f>IFERROR(__xludf.DUMMYFUNCTION("""COMPUTED_VALUE"""),138600.0)</f>
        <v>138600</v>
      </c>
    </row>
    <row r="40">
      <c r="B40" s="11">
        <f>IFERROR(__xludf.DUMMYFUNCTION("""COMPUTED_VALUE"""),44774.0)</f>
        <v>44774</v>
      </c>
      <c r="C40" s="9">
        <f>IFERROR(__xludf.DUMMYFUNCTION("""COMPUTED_VALUE"""),127670.0)</f>
        <v>127670</v>
      </c>
      <c r="E40" s="11">
        <f>IFERROR(__xludf.DUMMYFUNCTION("""COMPUTED_VALUE"""),44774.0)</f>
        <v>44774</v>
      </c>
      <c r="F40" s="9">
        <f>IFERROR(__xludf.DUMMYFUNCTION("""COMPUTED_VALUE"""),127670.0)</f>
        <v>127670</v>
      </c>
      <c r="H40" s="17"/>
      <c r="N40" s="11">
        <f>IFERROR(__xludf.DUMMYFUNCTION("""COMPUTED_VALUE"""),44774.0)</f>
        <v>44774</v>
      </c>
      <c r="O40" s="9">
        <f>IFERROR(__xludf.DUMMYFUNCTION("""COMPUTED_VALUE"""),127670.0)</f>
        <v>127670</v>
      </c>
    </row>
    <row r="41">
      <c r="B41" s="11">
        <f>IFERROR(__xludf.DUMMYFUNCTION("""COMPUTED_VALUE"""),44743.0)</f>
        <v>44743</v>
      </c>
      <c r="C41" s="9">
        <f>IFERROR(__xludf.DUMMYFUNCTION("""COMPUTED_VALUE"""),126630.0)</f>
        <v>126630</v>
      </c>
      <c r="E41" s="11">
        <f>IFERROR(__xludf.DUMMYFUNCTION("""COMPUTED_VALUE"""),44743.0)</f>
        <v>44743</v>
      </c>
      <c r="F41" s="9">
        <f>IFERROR(__xludf.DUMMYFUNCTION("""COMPUTED_VALUE"""),126630.0)</f>
        <v>126630</v>
      </c>
      <c r="H41" s="17"/>
      <c r="N41" s="11">
        <f>IFERROR(__xludf.DUMMYFUNCTION("""COMPUTED_VALUE"""),44743.0)</f>
        <v>44743</v>
      </c>
      <c r="O41" s="9">
        <f>IFERROR(__xludf.DUMMYFUNCTION("""COMPUTED_VALUE"""),126630.0)</f>
        <v>126630</v>
      </c>
    </row>
    <row r="42">
      <c r="B42" s="11">
        <f>IFERROR(__xludf.DUMMYFUNCTION("""COMPUTED_VALUE"""),44713.0)</f>
        <v>44713</v>
      </c>
      <c r="C42" s="9">
        <f>IFERROR(__xludf.DUMMYFUNCTION("""COMPUTED_VALUE"""),115949.0)</f>
        <v>115949</v>
      </c>
      <c r="E42" s="11">
        <f>IFERROR(__xludf.DUMMYFUNCTION("""COMPUTED_VALUE"""),44713.0)</f>
        <v>44713</v>
      </c>
      <c r="F42" s="9">
        <f>IFERROR(__xludf.DUMMYFUNCTION("""COMPUTED_VALUE"""),115949.0)</f>
        <v>115949</v>
      </c>
      <c r="H42" s="17"/>
      <c r="N42" s="11">
        <f>IFERROR(__xludf.DUMMYFUNCTION("""COMPUTED_VALUE"""),44713.0)</f>
        <v>44713</v>
      </c>
      <c r="O42" s="9">
        <f>IFERROR(__xludf.DUMMYFUNCTION("""COMPUTED_VALUE"""),115949.0)</f>
        <v>115949</v>
      </c>
    </row>
    <row r="43">
      <c r="B43" s="11">
        <f>IFERROR(__xludf.DUMMYFUNCTION("""COMPUTED_VALUE"""),44682.0)</f>
        <v>44682</v>
      </c>
      <c r="C43" s="9">
        <f>IFERROR(__xludf.DUMMYFUNCTION("""COMPUTED_VALUE"""),115477.0)</f>
        <v>115477</v>
      </c>
      <c r="E43" s="11">
        <f>IFERROR(__xludf.DUMMYFUNCTION("""COMPUTED_VALUE"""),44682.0)</f>
        <v>44682</v>
      </c>
      <c r="F43" s="9">
        <f>IFERROR(__xludf.DUMMYFUNCTION("""COMPUTED_VALUE"""),115477.0)</f>
        <v>115477</v>
      </c>
      <c r="H43" s="17"/>
      <c r="N43" s="11">
        <f>IFERROR(__xludf.DUMMYFUNCTION("""COMPUTED_VALUE"""),44682.0)</f>
        <v>44682</v>
      </c>
      <c r="O43" s="9">
        <f>IFERROR(__xludf.DUMMYFUNCTION("""COMPUTED_VALUE"""),115477.0)</f>
        <v>115477</v>
      </c>
    </row>
    <row r="44">
      <c r="B44" s="11">
        <f>IFERROR(__xludf.DUMMYFUNCTION("""COMPUTED_VALUE"""),44652.0)</f>
        <v>44652</v>
      </c>
      <c r="C44" s="9">
        <f>IFERROR(__xludf.DUMMYFUNCTION("""COMPUTED_VALUE"""),111055.0)</f>
        <v>111055</v>
      </c>
      <c r="E44" s="11">
        <f>IFERROR(__xludf.DUMMYFUNCTION("""COMPUTED_VALUE"""),44652.0)</f>
        <v>44652</v>
      </c>
      <c r="F44" s="9">
        <f>IFERROR(__xludf.DUMMYFUNCTION("""COMPUTED_VALUE"""),111055.0)</f>
        <v>111055</v>
      </c>
      <c r="H44" s="17"/>
      <c r="N44" s="11">
        <f>IFERROR(__xludf.DUMMYFUNCTION("""COMPUTED_VALUE"""),44652.0)</f>
        <v>44652</v>
      </c>
      <c r="O44" s="9">
        <f>IFERROR(__xludf.DUMMYFUNCTION("""COMPUTED_VALUE"""),111055.0)</f>
        <v>111055</v>
      </c>
    </row>
    <row r="45">
      <c r="B45" s="11">
        <f>IFERROR(__xludf.DUMMYFUNCTION("""COMPUTED_VALUE"""),44621.0)</f>
        <v>44621</v>
      </c>
      <c r="C45" s="9">
        <f>IFERROR(__xludf.DUMMYFUNCTION("""COMPUTED_VALUE"""),103650.0)</f>
        <v>103650</v>
      </c>
      <c r="E45" s="11">
        <f>IFERROR(__xludf.DUMMYFUNCTION("""COMPUTED_VALUE"""),44621.0)</f>
        <v>44621</v>
      </c>
      <c r="F45" s="9">
        <f>IFERROR(__xludf.DUMMYFUNCTION("""COMPUTED_VALUE"""),103650.0)</f>
        <v>103650</v>
      </c>
      <c r="H45" s="17"/>
      <c r="N45" s="11">
        <f>IFERROR(__xludf.DUMMYFUNCTION("""COMPUTED_VALUE"""),44621.0)</f>
        <v>44621</v>
      </c>
      <c r="O45" s="9">
        <f>IFERROR(__xludf.DUMMYFUNCTION("""COMPUTED_VALUE"""),103650.0)</f>
        <v>103650</v>
      </c>
    </row>
    <row r="46">
      <c r="B46" s="11">
        <f>IFERROR(__xludf.DUMMYFUNCTION("""COMPUTED_VALUE"""),44593.0)</f>
        <v>44593</v>
      </c>
      <c r="C46" s="9">
        <f>IFERROR(__xludf.DUMMYFUNCTION("""COMPUTED_VALUE"""),100131.0)</f>
        <v>100131</v>
      </c>
      <c r="E46" s="11">
        <f>IFERROR(__xludf.DUMMYFUNCTION("""COMPUTED_VALUE"""),44593.0)</f>
        <v>44593</v>
      </c>
      <c r="F46" s="9">
        <f>IFERROR(__xludf.DUMMYFUNCTION("""COMPUTED_VALUE"""),100131.0)</f>
        <v>100131</v>
      </c>
      <c r="H46" s="17"/>
      <c r="N46" s="11">
        <f>IFERROR(__xludf.DUMMYFUNCTION("""COMPUTED_VALUE"""),44593.0)</f>
        <v>44593</v>
      </c>
      <c r="O46" s="9">
        <f>IFERROR(__xludf.DUMMYFUNCTION("""COMPUTED_VALUE"""),100131.0)</f>
        <v>100131</v>
      </c>
    </row>
    <row r="47">
      <c r="B47" s="11">
        <f>IFERROR(__xludf.DUMMYFUNCTION("""COMPUTED_VALUE"""),44562.0)</f>
        <v>44562</v>
      </c>
      <c r="C47" s="9">
        <f>IFERROR(__xludf.DUMMYFUNCTION("""COMPUTED_VALUE"""),97832.0)</f>
        <v>97832</v>
      </c>
      <c r="E47" s="11">
        <f>IFERROR(__xludf.DUMMYFUNCTION("""COMPUTED_VALUE"""),44562.0)</f>
        <v>44562</v>
      </c>
      <c r="F47" s="9">
        <f>IFERROR(__xludf.DUMMYFUNCTION("""COMPUTED_VALUE"""),97832.0)</f>
        <v>97832</v>
      </c>
      <c r="H47" s="17"/>
      <c r="N47" s="11">
        <f>IFERROR(__xludf.DUMMYFUNCTION("""COMPUTED_VALUE"""),44562.0)</f>
        <v>44562</v>
      </c>
      <c r="O47" s="9">
        <f>IFERROR(__xludf.DUMMYFUNCTION("""COMPUTED_VALUE"""),97832.0)</f>
        <v>97832</v>
      </c>
    </row>
    <row r="48">
      <c r="B48" s="11">
        <f>IFERROR(__xludf.DUMMYFUNCTION("""COMPUTED_VALUE"""),44531.0)</f>
        <v>44531</v>
      </c>
      <c r="C48" s="9">
        <f>IFERROR(__xludf.DUMMYFUNCTION("""COMPUTED_VALUE"""),94123.0)</f>
        <v>94123</v>
      </c>
      <c r="E48" s="11">
        <f>IFERROR(__xludf.DUMMYFUNCTION("""COMPUTED_VALUE"""),44531.0)</f>
        <v>44531</v>
      </c>
      <c r="F48" s="9">
        <f>IFERROR(__xludf.DUMMYFUNCTION("""COMPUTED_VALUE"""),94123.0)</f>
        <v>94123</v>
      </c>
      <c r="H48" s="17"/>
      <c r="N48" s="11">
        <f>IFERROR(__xludf.DUMMYFUNCTION("""COMPUTED_VALUE"""),44531.0)</f>
        <v>44531</v>
      </c>
      <c r="O48" s="9">
        <f>IFERROR(__xludf.DUMMYFUNCTION("""COMPUTED_VALUE"""),94123.0)</f>
        <v>94123</v>
      </c>
    </row>
    <row r="49">
      <c r="B49" s="11">
        <f>IFERROR(__xludf.DUMMYFUNCTION("""COMPUTED_VALUE"""),44501.0)</f>
        <v>44501</v>
      </c>
      <c r="C49" s="9">
        <f>IFERROR(__xludf.DUMMYFUNCTION("""COMPUTED_VALUE"""),92955.0)</f>
        <v>92955</v>
      </c>
      <c r="E49" s="11">
        <f>IFERROR(__xludf.DUMMYFUNCTION("""COMPUTED_VALUE"""),44501.0)</f>
        <v>44501</v>
      </c>
      <c r="F49" s="9">
        <f>IFERROR(__xludf.DUMMYFUNCTION("""COMPUTED_VALUE"""),92955.0)</f>
        <v>92955</v>
      </c>
      <c r="H49" s="17"/>
      <c r="N49" s="11">
        <f>IFERROR(__xludf.DUMMYFUNCTION("""COMPUTED_VALUE"""),44501.0)</f>
        <v>44501</v>
      </c>
      <c r="O49" s="9">
        <f>IFERROR(__xludf.DUMMYFUNCTION("""COMPUTED_VALUE"""),92955.0)</f>
        <v>92955</v>
      </c>
    </row>
    <row r="50">
      <c r="B50" s="11">
        <f>IFERROR(__xludf.DUMMYFUNCTION("""COMPUTED_VALUE"""),44470.0)</f>
        <v>44470</v>
      </c>
      <c r="C50" s="9">
        <f>IFERROR(__xludf.DUMMYFUNCTION("""COMPUTED_VALUE"""),86637.0)</f>
        <v>86637</v>
      </c>
      <c r="E50" s="11">
        <f>IFERROR(__xludf.DUMMYFUNCTION("""COMPUTED_VALUE"""),44470.0)</f>
        <v>44470</v>
      </c>
      <c r="F50" s="9">
        <f>IFERROR(__xludf.DUMMYFUNCTION("""COMPUTED_VALUE"""),86637.0)</f>
        <v>86637</v>
      </c>
      <c r="H50" s="17"/>
      <c r="N50" s="11">
        <f>IFERROR(__xludf.DUMMYFUNCTION("""COMPUTED_VALUE"""),44470.0)</f>
        <v>44470</v>
      </c>
      <c r="O50" s="9">
        <f>IFERROR(__xludf.DUMMYFUNCTION("""COMPUTED_VALUE"""),86637.0)</f>
        <v>86637</v>
      </c>
    </row>
    <row r="51">
      <c r="B51" s="11">
        <f>IFERROR(__xludf.DUMMYFUNCTION("""COMPUTED_VALUE"""),44440.0)</f>
        <v>44440</v>
      </c>
      <c r="C51" s="9">
        <f>IFERROR(__xludf.DUMMYFUNCTION("""COMPUTED_VALUE"""),82271.0)</f>
        <v>82271</v>
      </c>
      <c r="E51" s="11">
        <f>IFERROR(__xludf.DUMMYFUNCTION("""COMPUTED_VALUE"""),44440.0)</f>
        <v>44440</v>
      </c>
      <c r="F51" s="9">
        <f>IFERROR(__xludf.DUMMYFUNCTION("""COMPUTED_VALUE"""),82271.0)</f>
        <v>82271</v>
      </c>
      <c r="H51" s="17"/>
      <c r="N51" s="11">
        <f>IFERROR(__xludf.DUMMYFUNCTION("""COMPUTED_VALUE"""),44440.0)</f>
        <v>44440</v>
      </c>
      <c r="O51" s="9">
        <f>IFERROR(__xludf.DUMMYFUNCTION("""COMPUTED_VALUE"""),82271.0)</f>
        <v>82271</v>
      </c>
    </row>
    <row r="52">
      <c r="B52" s="11">
        <f>IFERROR(__xludf.DUMMYFUNCTION("""COMPUTED_VALUE"""),44409.0)</f>
        <v>44409</v>
      </c>
      <c r="C52" s="9">
        <f>IFERROR(__xludf.DUMMYFUNCTION("""COMPUTED_VALUE"""),80949.0)</f>
        <v>80949</v>
      </c>
      <c r="E52" s="11">
        <f>IFERROR(__xludf.DUMMYFUNCTION("""COMPUTED_VALUE"""),44409.0)</f>
        <v>44409</v>
      </c>
      <c r="F52" s="9">
        <f>IFERROR(__xludf.DUMMYFUNCTION("""COMPUTED_VALUE"""),80949.0)</f>
        <v>80949</v>
      </c>
      <c r="H52" s="17"/>
      <c r="N52" s="11">
        <f>IFERROR(__xludf.DUMMYFUNCTION("""COMPUTED_VALUE"""),44409.0)</f>
        <v>44409</v>
      </c>
      <c r="O52" s="9">
        <f>IFERROR(__xludf.DUMMYFUNCTION("""COMPUTED_VALUE"""),80949.0)</f>
        <v>80949</v>
      </c>
    </row>
    <row r="53">
      <c r="B53" s="11">
        <f>IFERROR(__xludf.DUMMYFUNCTION("""COMPUTED_VALUE"""),44378.0)</f>
        <v>44378</v>
      </c>
      <c r="C53" s="9">
        <f>IFERROR(__xludf.DUMMYFUNCTION("""COMPUTED_VALUE"""),80495.0)</f>
        <v>80495</v>
      </c>
      <c r="E53" s="11">
        <f>IFERROR(__xludf.DUMMYFUNCTION("""COMPUTED_VALUE"""),44378.0)</f>
        <v>44378</v>
      </c>
      <c r="F53" s="9">
        <f>IFERROR(__xludf.DUMMYFUNCTION("""COMPUTED_VALUE"""),80495.0)</f>
        <v>80495</v>
      </c>
      <c r="H53" s="17"/>
      <c r="N53" s="11">
        <f>IFERROR(__xludf.DUMMYFUNCTION("""COMPUTED_VALUE"""),44378.0)</f>
        <v>44378</v>
      </c>
      <c r="O53" s="9">
        <f>IFERROR(__xludf.DUMMYFUNCTION("""COMPUTED_VALUE"""),80495.0)</f>
        <v>80495</v>
      </c>
    </row>
    <row r="54">
      <c r="B54" s="11">
        <f>IFERROR(__xludf.DUMMYFUNCTION("""COMPUTED_VALUE"""),44348.0)</f>
        <v>44348</v>
      </c>
      <c r="C54" s="9">
        <f>IFERROR(__xludf.DUMMYFUNCTION("""COMPUTED_VALUE"""),78832.0)</f>
        <v>78832</v>
      </c>
      <c r="E54" s="11">
        <f>IFERROR(__xludf.DUMMYFUNCTION("""COMPUTED_VALUE"""),44348.0)</f>
        <v>44348</v>
      </c>
      <c r="F54" s="9">
        <f>IFERROR(__xludf.DUMMYFUNCTION("""COMPUTED_VALUE"""),78832.0)</f>
        <v>78832</v>
      </c>
      <c r="H54" s="17"/>
      <c r="N54" s="11">
        <f>IFERROR(__xludf.DUMMYFUNCTION("""COMPUTED_VALUE"""),44348.0)</f>
        <v>44348</v>
      </c>
      <c r="O54" s="9">
        <f>IFERROR(__xludf.DUMMYFUNCTION("""COMPUTED_VALUE"""),78832.0)</f>
        <v>78832</v>
      </c>
    </row>
    <row r="55">
      <c r="B55" s="11">
        <f>IFERROR(__xludf.DUMMYFUNCTION("""COMPUTED_VALUE"""),44317.0)</f>
        <v>44317</v>
      </c>
      <c r="C55" s="9">
        <f>IFERROR(__xludf.DUMMYFUNCTION("""COMPUTED_VALUE"""),76135.0)</f>
        <v>76135</v>
      </c>
      <c r="E55" s="11">
        <f>IFERROR(__xludf.DUMMYFUNCTION("""COMPUTED_VALUE"""),44317.0)</f>
        <v>44317</v>
      </c>
      <c r="F55" s="9">
        <f>IFERROR(__xludf.DUMMYFUNCTION("""COMPUTED_VALUE"""),76135.0)</f>
        <v>76135</v>
      </c>
      <c r="H55" s="17"/>
      <c r="N55" s="11">
        <f>IFERROR(__xludf.DUMMYFUNCTION("""COMPUTED_VALUE"""),44317.0)</f>
        <v>44317</v>
      </c>
      <c r="O55" s="9">
        <f>IFERROR(__xludf.DUMMYFUNCTION("""COMPUTED_VALUE"""),76135.0)</f>
        <v>76135</v>
      </c>
    </row>
    <row r="56">
      <c r="B56" s="11">
        <f>IFERROR(__xludf.DUMMYFUNCTION("""COMPUTED_VALUE"""),44287.0)</f>
        <v>44287</v>
      </c>
      <c r="C56" s="9">
        <f>IFERROR(__xludf.DUMMYFUNCTION("""COMPUTED_VALUE"""),76468.0)</f>
        <v>76468</v>
      </c>
      <c r="E56" s="11">
        <f>IFERROR(__xludf.DUMMYFUNCTION("""COMPUTED_VALUE"""),44287.0)</f>
        <v>44287</v>
      </c>
      <c r="F56" s="9">
        <f>IFERROR(__xludf.DUMMYFUNCTION("""COMPUTED_VALUE"""),76468.0)</f>
        <v>76468</v>
      </c>
      <c r="H56" s="17"/>
      <c r="N56" s="11">
        <f>IFERROR(__xludf.DUMMYFUNCTION("""COMPUTED_VALUE"""),44287.0)</f>
        <v>44287</v>
      </c>
      <c r="O56" s="9">
        <f>IFERROR(__xludf.DUMMYFUNCTION("""COMPUTED_VALUE"""),76468.0)</f>
        <v>76468</v>
      </c>
    </row>
    <row r="57">
      <c r="B57" s="11">
        <f>IFERROR(__xludf.DUMMYFUNCTION("""COMPUTED_VALUE"""),44256.0)</f>
        <v>44256</v>
      </c>
      <c r="C57" s="9">
        <f>IFERROR(__xludf.DUMMYFUNCTION("""COMPUTED_VALUE"""),77634.0)</f>
        <v>77634</v>
      </c>
      <c r="E57" s="11">
        <f>IFERROR(__xludf.DUMMYFUNCTION("""COMPUTED_VALUE"""),44256.0)</f>
        <v>44256</v>
      </c>
      <c r="F57" s="9">
        <f>IFERROR(__xludf.DUMMYFUNCTION("""COMPUTED_VALUE"""),77634.0)</f>
        <v>77634</v>
      </c>
      <c r="H57" s="17"/>
      <c r="N57" s="11">
        <f>IFERROR(__xludf.DUMMYFUNCTION("""COMPUTED_VALUE"""),44256.0)</f>
        <v>44256</v>
      </c>
      <c r="O57" s="9">
        <f>IFERROR(__xludf.DUMMYFUNCTION("""COMPUTED_VALUE"""),77634.0)</f>
        <v>77634</v>
      </c>
    </row>
    <row r="58">
      <c r="B58" s="11">
        <f>IFERROR(__xludf.DUMMYFUNCTION("""COMPUTED_VALUE"""),44228.0)</f>
        <v>44228</v>
      </c>
      <c r="C58" s="9">
        <f>IFERROR(__xludf.DUMMYFUNCTION("""COMPUTED_VALUE"""),75778.0)</f>
        <v>75778</v>
      </c>
      <c r="E58" s="11">
        <f>IFERROR(__xludf.DUMMYFUNCTION("""COMPUTED_VALUE"""),44228.0)</f>
        <v>44228</v>
      </c>
      <c r="F58" s="9">
        <f>IFERROR(__xludf.DUMMYFUNCTION("""COMPUTED_VALUE"""),75778.0)</f>
        <v>75778</v>
      </c>
      <c r="H58" s="17"/>
      <c r="N58" s="11">
        <f>IFERROR(__xludf.DUMMYFUNCTION("""COMPUTED_VALUE"""),44228.0)</f>
        <v>44228</v>
      </c>
      <c r="O58" s="9">
        <f>IFERROR(__xludf.DUMMYFUNCTION("""COMPUTED_VALUE"""),75778.0)</f>
        <v>75778</v>
      </c>
    </row>
    <row r="59">
      <c r="B59" s="11">
        <f>IFERROR(__xludf.DUMMYFUNCTION("""COMPUTED_VALUE"""),44197.0)</f>
        <v>44197</v>
      </c>
      <c r="C59" s="9">
        <f>IFERROR(__xludf.DUMMYFUNCTION("""COMPUTED_VALUE"""),76211.0)</f>
        <v>76211</v>
      </c>
      <c r="E59" s="11"/>
      <c r="H59" s="17"/>
      <c r="N59" s="11">
        <f>IFERROR(__xludf.DUMMYFUNCTION("""COMPUTED_VALUE"""),44197.0)</f>
        <v>44197</v>
      </c>
      <c r="O59" s="9">
        <f>IFERROR(__xludf.DUMMYFUNCTION("""COMPUTED_VALUE"""),76211.0)</f>
        <v>76211</v>
      </c>
    </row>
    <row r="60">
      <c r="B60" s="11">
        <f>IFERROR(__xludf.DUMMYFUNCTION("""COMPUTED_VALUE"""),44166.0)</f>
        <v>44166</v>
      </c>
      <c r="C60" s="9">
        <f>IFERROR(__xludf.DUMMYFUNCTION("""COMPUTED_VALUE"""),74405.0)</f>
        <v>74405</v>
      </c>
      <c r="E60" s="11"/>
      <c r="H60" s="17"/>
      <c r="N60" s="11">
        <f>IFERROR(__xludf.DUMMYFUNCTION("""COMPUTED_VALUE"""),44166.0)</f>
        <v>44166</v>
      </c>
      <c r="O60" s="9">
        <f>IFERROR(__xludf.DUMMYFUNCTION("""COMPUTED_VALUE"""),74405.0)</f>
        <v>74405</v>
      </c>
    </row>
    <row r="61">
      <c r="B61" s="11">
        <f>IFERROR(__xludf.DUMMYFUNCTION("""COMPUTED_VALUE"""),44136.0)</f>
        <v>44136</v>
      </c>
      <c r="C61" s="9">
        <f>IFERROR(__xludf.DUMMYFUNCTION("""COMPUTED_VALUE"""),73195.0)</f>
        <v>73195</v>
      </c>
      <c r="E61" s="11"/>
      <c r="H61" s="17"/>
      <c r="N61" s="11">
        <f>IFERROR(__xludf.DUMMYFUNCTION("""COMPUTED_VALUE"""),44136.0)</f>
        <v>44136</v>
      </c>
      <c r="O61" s="9">
        <f>IFERROR(__xludf.DUMMYFUNCTION("""COMPUTED_VALUE"""),73195.0)</f>
        <v>73195</v>
      </c>
    </row>
    <row r="62">
      <c r="B62" s="11">
        <f>IFERROR(__xludf.DUMMYFUNCTION("""COMPUTED_VALUE"""),44105.0)</f>
        <v>44105</v>
      </c>
      <c r="C62" s="9">
        <f>IFERROR(__xludf.DUMMYFUNCTION("""COMPUTED_VALUE"""),74698.0)</f>
        <v>74698</v>
      </c>
      <c r="E62" s="11"/>
      <c r="H62" s="17"/>
      <c r="N62" s="11">
        <f>IFERROR(__xludf.DUMMYFUNCTION("""COMPUTED_VALUE"""),44105.0)</f>
        <v>44105</v>
      </c>
      <c r="O62" s="9">
        <f>IFERROR(__xludf.DUMMYFUNCTION("""COMPUTED_VALUE"""),74698.0)</f>
        <v>74698</v>
      </c>
    </row>
    <row r="63">
      <c r="B63" s="11">
        <f>IFERROR(__xludf.DUMMYFUNCTION("""COMPUTED_VALUE"""),44075.0)</f>
        <v>44075</v>
      </c>
      <c r="C63" s="9">
        <f>IFERROR(__xludf.DUMMYFUNCTION("""COMPUTED_VALUE"""),72843.0)</f>
        <v>72843</v>
      </c>
      <c r="E63" s="11"/>
      <c r="H63" s="17"/>
      <c r="N63" s="11">
        <f>IFERROR(__xludf.DUMMYFUNCTION("""COMPUTED_VALUE"""),44075.0)</f>
        <v>44075</v>
      </c>
      <c r="O63" s="9">
        <f>IFERROR(__xludf.DUMMYFUNCTION("""COMPUTED_VALUE"""),72843.0)</f>
        <v>72843</v>
      </c>
    </row>
    <row r="64">
      <c r="B64" s="11">
        <f>IFERROR(__xludf.DUMMYFUNCTION("""COMPUTED_VALUE"""),44044.0)</f>
        <v>44044</v>
      </c>
      <c r="C64" s="9">
        <f>IFERROR(__xludf.DUMMYFUNCTION("""COMPUTED_VALUE"""),73881.0)</f>
        <v>73881</v>
      </c>
      <c r="E64" s="11"/>
      <c r="H64" s="17"/>
      <c r="N64" s="11">
        <f>IFERROR(__xludf.DUMMYFUNCTION("""COMPUTED_VALUE"""),44044.0)</f>
        <v>44044</v>
      </c>
      <c r="O64" s="9">
        <f>IFERROR(__xludf.DUMMYFUNCTION("""COMPUTED_VALUE"""),73881.0)</f>
        <v>73881</v>
      </c>
    </row>
    <row r="65">
      <c r="B65" s="11">
        <f>IFERROR(__xludf.DUMMYFUNCTION("""COMPUTED_VALUE"""),44013.0)</f>
        <v>44013</v>
      </c>
      <c r="C65" s="9">
        <f>IFERROR(__xludf.DUMMYFUNCTION("""COMPUTED_VALUE"""),75687.0)</f>
        <v>75687</v>
      </c>
      <c r="E65" s="11"/>
      <c r="H65" s="17"/>
      <c r="N65" s="11">
        <f>IFERROR(__xludf.DUMMYFUNCTION("""COMPUTED_VALUE"""),44013.0)</f>
        <v>44013</v>
      </c>
      <c r="O65" s="9">
        <f>IFERROR(__xludf.DUMMYFUNCTION("""COMPUTED_VALUE"""),75687.0)</f>
        <v>75687</v>
      </c>
    </row>
    <row r="66">
      <c r="B66" s="11">
        <f>IFERROR(__xludf.DUMMYFUNCTION("""COMPUTED_VALUE"""),43983.0)</f>
        <v>43983</v>
      </c>
      <c r="C66" s="9">
        <f>IFERROR(__xludf.DUMMYFUNCTION("""COMPUTED_VALUE"""),74655.0)</f>
        <v>74655</v>
      </c>
      <c r="E66" s="11"/>
      <c r="H66" s="17"/>
      <c r="N66" s="11">
        <f>IFERROR(__xludf.DUMMYFUNCTION("""COMPUTED_VALUE"""),43983.0)</f>
        <v>43983</v>
      </c>
      <c r="O66" s="9">
        <f>IFERROR(__xludf.DUMMYFUNCTION("""COMPUTED_VALUE"""),74655.0)</f>
        <v>74655</v>
      </c>
    </row>
    <row r="67">
      <c r="B67" s="11">
        <f>IFERROR(__xludf.DUMMYFUNCTION("""COMPUTED_VALUE"""),43952.0)</f>
        <v>43952</v>
      </c>
      <c r="C67" s="9">
        <f>IFERROR(__xludf.DUMMYFUNCTION("""COMPUTED_VALUE"""),73057.0)</f>
        <v>73057</v>
      </c>
      <c r="E67" s="11"/>
      <c r="H67" s="17"/>
      <c r="N67" s="11">
        <f>IFERROR(__xludf.DUMMYFUNCTION("""COMPUTED_VALUE"""),43952.0)</f>
        <v>43952</v>
      </c>
      <c r="O67" s="9">
        <f>IFERROR(__xludf.DUMMYFUNCTION("""COMPUTED_VALUE"""),73057.0)</f>
        <v>73057</v>
      </c>
    </row>
    <row r="68">
      <c r="B68" s="11">
        <f>IFERROR(__xludf.DUMMYFUNCTION("""COMPUTED_VALUE"""),43922.0)</f>
        <v>43922</v>
      </c>
      <c r="C68" s="9">
        <f>IFERROR(__xludf.DUMMYFUNCTION("""COMPUTED_VALUE"""),73739.0)</f>
        <v>73739</v>
      </c>
      <c r="E68" s="11"/>
      <c r="H68" s="17"/>
      <c r="N68" s="11">
        <f>IFERROR(__xludf.DUMMYFUNCTION("""COMPUTED_VALUE"""),43922.0)</f>
        <v>43922</v>
      </c>
      <c r="O68" s="9">
        <f>IFERROR(__xludf.DUMMYFUNCTION("""COMPUTED_VALUE"""),73739.0)</f>
        <v>73739</v>
      </c>
    </row>
    <row r="69">
      <c r="B69" s="11">
        <f>IFERROR(__xludf.DUMMYFUNCTION("""COMPUTED_VALUE"""),43891.0)</f>
        <v>43891</v>
      </c>
      <c r="C69" s="9">
        <f>IFERROR(__xludf.DUMMYFUNCTION("""COMPUTED_VALUE"""),78141.0)</f>
        <v>78141</v>
      </c>
      <c r="E69" s="11"/>
      <c r="H69" s="17"/>
      <c r="N69" s="11">
        <f>IFERROR(__xludf.DUMMYFUNCTION("""COMPUTED_VALUE"""),43891.0)</f>
        <v>43891</v>
      </c>
      <c r="O69" s="9">
        <f>IFERROR(__xludf.DUMMYFUNCTION("""COMPUTED_VALUE"""),78141.0)</f>
        <v>78141</v>
      </c>
    </row>
    <row r="70">
      <c r="B70" s="11">
        <f>IFERROR(__xludf.DUMMYFUNCTION("""COMPUTED_VALUE"""),43862.0)</f>
        <v>43862</v>
      </c>
      <c r="C70" s="9">
        <f>IFERROR(__xludf.DUMMYFUNCTION("""COMPUTED_VALUE"""),77821.0)</f>
        <v>77821</v>
      </c>
      <c r="E70" s="11"/>
      <c r="H70" s="17"/>
      <c r="N70" s="11">
        <f>IFERROR(__xludf.DUMMYFUNCTION("""COMPUTED_VALUE"""),43862.0)</f>
        <v>43862</v>
      </c>
      <c r="O70" s="9">
        <f>IFERROR(__xludf.DUMMYFUNCTION("""COMPUTED_VALUE"""),77821.0)</f>
        <v>77821</v>
      </c>
    </row>
    <row r="71">
      <c r="B71" s="11">
        <f>IFERROR(__xludf.DUMMYFUNCTION("""COMPUTED_VALUE"""),43831.0)</f>
        <v>43831</v>
      </c>
      <c r="C71" s="9">
        <f>IFERROR(__xludf.DUMMYFUNCTION("""COMPUTED_VALUE"""),79066.0)</f>
        <v>79066</v>
      </c>
      <c r="E71" s="11"/>
      <c r="H71" s="17"/>
      <c r="N71" s="11">
        <f>IFERROR(__xludf.DUMMYFUNCTION("""COMPUTED_VALUE"""),43831.0)</f>
        <v>43831</v>
      </c>
      <c r="O71" s="9">
        <f>IFERROR(__xludf.DUMMYFUNCTION("""COMPUTED_VALUE"""),79066.0)</f>
        <v>79066</v>
      </c>
    </row>
    <row r="72">
      <c r="B72" s="11">
        <f>IFERROR(__xludf.DUMMYFUNCTION("""COMPUTED_VALUE"""),43800.0)</f>
        <v>43800</v>
      </c>
      <c r="C72" s="9">
        <f>IFERROR(__xludf.DUMMYFUNCTION("""COMPUTED_VALUE"""),80736.0)</f>
        <v>80736</v>
      </c>
      <c r="E72" s="11"/>
      <c r="H72" s="17"/>
      <c r="N72" s="11">
        <f>IFERROR(__xludf.DUMMYFUNCTION("""COMPUTED_VALUE"""),43800.0)</f>
        <v>43800</v>
      </c>
      <c r="O72" s="9">
        <f>IFERROR(__xludf.DUMMYFUNCTION("""COMPUTED_VALUE"""),80736.0)</f>
        <v>80736</v>
      </c>
    </row>
    <row r="73">
      <c r="B73" s="11">
        <f>IFERROR(__xludf.DUMMYFUNCTION("""COMPUTED_VALUE"""),43770.0)</f>
        <v>43770</v>
      </c>
      <c r="C73" s="9">
        <f>IFERROR(__xludf.DUMMYFUNCTION("""COMPUTED_VALUE"""),81176.0)</f>
        <v>81176</v>
      </c>
      <c r="E73" s="11"/>
      <c r="H73" s="17"/>
      <c r="N73" s="11">
        <f>IFERROR(__xludf.DUMMYFUNCTION("""COMPUTED_VALUE"""),43770.0)</f>
        <v>43770</v>
      </c>
      <c r="O73" s="9">
        <f>IFERROR(__xludf.DUMMYFUNCTION("""COMPUTED_VALUE"""),81176.0)</f>
        <v>81176</v>
      </c>
    </row>
    <row r="74">
      <c r="B74" s="11">
        <f>IFERROR(__xludf.DUMMYFUNCTION("""COMPUTED_VALUE"""),43739.0)</f>
        <v>43739</v>
      </c>
      <c r="C74" s="9">
        <f>IFERROR(__xludf.DUMMYFUNCTION("""COMPUTED_VALUE"""),78888.0)</f>
        <v>78888</v>
      </c>
      <c r="E74" s="11"/>
      <c r="H74" s="17"/>
      <c r="N74" s="11">
        <f>IFERROR(__xludf.DUMMYFUNCTION("""COMPUTED_VALUE"""),43739.0)</f>
        <v>43739</v>
      </c>
      <c r="O74" s="9">
        <f>IFERROR(__xludf.DUMMYFUNCTION("""COMPUTED_VALUE"""),78888.0)</f>
        <v>78888</v>
      </c>
    </row>
    <row r="75">
      <c r="B75" s="11">
        <f>IFERROR(__xludf.DUMMYFUNCTION("""COMPUTED_VALUE"""),43709.0)</f>
        <v>43709</v>
      </c>
      <c r="C75" s="9">
        <f>IFERROR(__xludf.DUMMYFUNCTION("""COMPUTED_VALUE"""),81034.0)</f>
        <v>81034</v>
      </c>
      <c r="E75" s="11"/>
      <c r="H75" s="17"/>
      <c r="N75" s="11">
        <f>IFERROR(__xludf.DUMMYFUNCTION("""COMPUTED_VALUE"""),43709.0)</f>
        <v>43709</v>
      </c>
      <c r="O75" s="9">
        <f>IFERROR(__xludf.DUMMYFUNCTION("""COMPUTED_VALUE"""),81034.0)</f>
        <v>81034</v>
      </c>
    </row>
    <row r="76">
      <c r="B76" s="11">
        <f>IFERROR(__xludf.DUMMYFUNCTION("""COMPUTED_VALUE"""),43678.0)</f>
        <v>43678</v>
      </c>
      <c r="C76" s="9">
        <f>IFERROR(__xludf.DUMMYFUNCTION("""COMPUTED_VALUE"""),80955.0)</f>
        <v>80955</v>
      </c>
      <c r="E76" s="11"/>
      <c r="H76" s="17"/>
      <c r="N76" s="11">
        <f>IFERROR(__xludf.DUMMYFUNCTION("""COMPUTED_VALUE"""),43678.0)</f>
        <v>43678</v>
      </c>
      <c r="O76" s="9">
        <f>IFERROR(__xludf.DUMMYFUNCTION("""COMPUTED_VALUE"""),80955.0)</f>
        <v>80955</v>
      </c>
    </row>
    <row r="77">
      <c r="B77" s="11">
        <f>IFERROR(__xludf.DUMMYFUNCTION("""COMPUTED_VALUE"""),43647.0)</f>
        <v>43647</v>
      </c>
      <c r="C77" s="9">
        <f>IFERROR(__xludf.DUMMYFUNCTION("""COMPUTED_VALUE"""),81230.0)</f>
        <v>81230</v>
      </c>
      <c r="E77" s="11"/>
      <c r="H77" s="17"/>
      <c r="N77" s="11">
        <f>IFERROR(__xludf.DUMMYFUNCTION("""COMPUTED_VALUE"""),43647.0)</f>
        <v>43647</v>
      </c>
      <c r="O77" s="9">
        <f>IFERROR(__xludf.DUMMYFUNCTION("""COMPUTED_VALUE"""),81230.0)</f>
        <v>81230</v>
      </c>
    </row>
    <row r="78">
      <c r="B78" s="11">
        <f>IFERROR(__xludf.DUMMYFUNCTION("""COMPUTED_VALUE"""),43617.0)</f>
        <v>43617</v>
      </c>
      <c r="C78" s="9">
        <f>IFERROR(__xludf.DUMMYFUNCTION("""COMPUTED_VALUE"""),81365.0)</f>
        <v>81365</v>
      </c>
      <c r="E78" s="11"/>
      <c r="H78" s="17"/>
      <c r="N78" s="11">
        <f>IFERROR(__xludf.DUMMYFUNCTION("""COMPUTED_VALUE"""),43617.0)</f>
        <v>43617</v>
      </c>
      <c r="O78" s="9">
        <f>IFERROR(__xludf.DUMMYFUNCTION("""COMPUTED_VALUE"""),81365.0)</f>
        <v>81365</v>
      </c>
    </row>
    <row r="79">
      <c r="B79" s="11">
        <f>IFERROR(__xludf.DUMMYFUNCTION("""COMPUTED_VALUE"""),43586.0)</f>
        <v>43586</v>
      </c>
      <c r="C79" s="9">
        <f>IFERROR(__xludf.DUMMYFUNCTION("""COMPUTED_VALUE"""),80886.0)</f>
        <v>80886</v>
      </c>
      <c r="E79" s="11"/>
      <c r="H79" s="17"/>
      <c r="N79" s="11">
        <f>IFERROR(__xludf.DUMMYFUNCTION("""COMPUTED_VALUE"""),43586.0)</f>
        <v>43586</v>
      </c>
      <c r="O79" s="9">
        <f>IFERROR(__xludf.DUMMYFUNCTION("""COMPUTED_VALUE"""),80886.0)</f>
        <v>80886</v>
      </c>
    </row>
    <row r="80">
      <c r="B80" s="11">
        <f>IFERROR(__xludf.DUMMYFUNCTION("""COMPUTED_VALUE"""),43556.0)</f>
        <v>43556</v>
      </c>
      <c r="C80" s="9">
        <f>IFERROR(__xludf.DUMMYFUNCTION("""COMPUTED_VALUE"""),81827.0)</f>
        <v>81827</v>
      </c>
      <c r="E80" s="11"/>
      <c r="H80" s="17"/>
      <c r="N80" s="11">
        <f>IFERROR(__xludf.DUMMYFUNCTION("""COMPUTED_VALUE"""),43556.0)</f>
        <v>43556</v>
      </c>
      <c r="O80" s="9">
        <f>IFERROR(__xludf.DUMMYFUNCTION("""COMPUTED_VALUE"""),81827.0)</f>
        <v>81827</v>
      </c>
    </row>
    <row r="81">
      <c r="B81" s="11">
        <f>IFERROR(__xludf.DUMMYFUNCTION("""COMPUTED_VALUE"""),43525.0)</f>
        <v>43525</v>
      </c>
      <c r="C81" s="9">
        <f>IFERROR(__xludf.DUMMYFUNCTION("""COMPUTED_VALUE"""),81086.0)</f>
        <v>81086</v>
      </c>
      <c r="E81" s="11"/>
      <c r="H81" s="17"/>
      <c r="N81" s="11">
        <f>IFERROR(__xludf.DUMMYFUNCTION("""COMPUTED_VALUE"""),43525.0)</f>
        <v>43525</v>
      </c>
      <c r="O81" s="9">
        <f>IFERROR(__xludf.DUMMYFUNCTION("""COMPUTED_VALUE"""),81086.0)</f>
        <v>81086</v>
      </c>
    </row>
    <row r="82">
      <c r="B82" s="11">
        <f>IFERROR(__xludf.DUMMYFUNCTION("""COMPUTED_VALUE"""),43497.0)</f>
        <v>43497</v>
      </c>
      <c r="C82" s="9">
        <f>IFERROR(__xludf.DUMMYFUNCTION("""COMPUTED_VALUE"""),80792.0)</f>
        <v>80792</v>
      </c>
      <c r="E82" s="11"/>
      <c r="H82" s="17"/>
      <c r="N82" s="11">
        <f>IFERROR(__xludf.DUMMYFUNCTION("""COMPUTED_VALUE"""),43497.0)</f>
        <v>43497</v>
      </c>
      <c r="O82" s="9">
        <f>IFERROR(__xludf.DUMMYFUNCTION("""COMPUTED_VALUE"""),80792.0)</f>
        <v>80792</v>
      </c>
    </row>
    <row r="83">
      <c r="B83" s="11">
        <f>IFERROR(__xludf.DUMMYFUNCTION("""COMPUTED_VALUE"""),43466.0)</f>
        <v>43466</v>
      </c>
      <c r="C83" s="9">
        <f>IFERROR(__xludf.DUMMYFUNCTION("""COMPUTED_VALUE"""),76912.0)</f>
        <v>76912</v>
      </c>
      <c r="E83" s="11"/>
      <c r="H83" s="17"/>
      <c r="N83" s="11">
        <f>IFERROR(__xludf.DUMMYFUNCTION("""COMPUTED_VALUE"""),43466.0)</f>
        <v>43466</v>
      </c>
      <c r="O83" s="9">
        <f>IFERROR(__xludf.DUMMYFUNCTION("""COMPUTED_VALUE"""),76912.0)</f>
        <v>76912</v>
      </c>
    </row>
    <row r="84">
      <c r="B84" s="11">
        <f>IFERROR(__xludf.DUMMYFUNCTION("""COMPUTED_VALUE"""),43435.0)</f>
        <v>43435</v>
      </c>
      <c r="C84" s="9">
        <f>IFERROR(__xludf.DUMMYFUNCTION("""COMPUTED_VALUE"""),76604.0)</f>
        <v>76604</v>
      </c>
      <c r="E84" s="11"/>
      <c r="H84" s="17"/>
      <c r="N84" s="11">
        <f>IFERROR(__xludf.DUMMYFUNCTION("""COMPUTED_VALUE"""),43435.0)</f>
        <v>43435</v>
      </c>
      <c r="O84" s="9">
        <f>IFERROR(__xludf.DUMMYFUNCTION("""COMPUTED_VALUE"""),76604.0)</f>
        <v>76604</v>
      </c>
    </row>
    <row r="85">
      <c r="B85" s="11">
        <f>IFERROR(__xludf.DUMMYFUNCTION("""COMPUTED_VALUE"""),43405.0)</f>
        <v>43405</v>
      </c>
      <c r="C85" s="9">
        <f>IFERROR(__xludf.DUMMYFUNCTION("""COMPUTED_VALUE"""),73761.0)</f>
        <v>73761</v>
      </c>
      <c r="E85" s="11"/>
      <c r="H85" s="17"/>
      <c r="N85" s="11">
        <f>IFERROR(__xludf.DUMMYFUNCTION("""COMPUTED_VALUE"""),43405.0)</f>
        <v>43405</v>
      </c>
      <c r="O85" s="9">
        <f>IFERROR(__xludf.DUMMYFUNCTION("""COMPUTED_VALUE"""),73761.0)</f>
        <v>73761</v>
      </c>
    </row>
    <row r="86">
      <c r="B86" s="11">
        <f>IFERROR(__xludf.DUMMYFUNCTION("""COMPUTED_VALUE"""),43374.0)</f>
        <v>43374</v>
      </c>
      <c r="C86" s="9">
        <f>IFERROR(__xludf.DUMMYFUNCTION("""COMPUTED_VALUE"""),73409.0)</f>
        <v>73409</v>
      </c>
      <c r="E86" s="11"/>
      <c r="H86" s="17"/>
      <c r="N86" s="11">
        <f>IFERROR(__xludf.DUMMYFUNCTION("""COMPUTED_VALUE"""),43374.0)</f>
        <v>43374</v>
      </c>
      <c r="O86" s="9">
        <f>IFERROR(__xludf.DUMMYFUNCTION("""COMPUTED_VALUE"""),73409.0)</f>
        <v>73409</v>
      </c>
    </row>
    <row r="87">
      <c r="B87" s="11">
        <f>IFERROR(__xludf.DUMMYFUNCTION("""COMPUTED_VALUE"""),43344.0)</f>
        <v>43344</v>
      </c>
      <c r="C87" s="9">
        <f>IFERROR(__xludf.DUMMYFUNCTION("""COMPUTED_VALUE"""),74308.0)</f>
        <v>74308</v>
      </c>
      <c r="E87" s="11"/>
      <c r="H87" s="17"/>
      <c r="N87" s="11">
        <f>IFERROR(__xludf.DUMMYFUNCTION("""COMPUTED_VALUE"""),43344.0)</f>
        <v>43344</v>
      </c>
      <c r="O87" s="9">
        <f>IFERROR(__xludf.DUMMYFUNCTION("""COMPUTED_VALUE"""),74308.0)</f>
        <v>74308</v>
      </c>
    </row>
    <row r="88">
      <c r="B88" s="11">
        <f>IFERROR(__xludf.DUMMYFUNCTION("""COMPUTED_VALUE"""),43313.0)</f>
        <v>43313</v>
      </c>
      <c r="C88" s="9">
        <f>IFERROR(__xludf.DUMMYFUNCTION("""COMPUTED_VALUE"""),74467.0)</f>
        <v>74467</v>
      </c>
      <c r="E88" s="11"/>
      <c r="H88" s="17"/>
      <c r="N88" s="11">
        <f>IFERROR(__xludf.DUMMYFUNCTION("""COMPUTED_VALUE"""),43313.0)</f>
        <v>43313</v>
      </c>
      <c r="O88" s="9">
        <f>IFERROR(__xludf.DUMMYFUNCTION("""COMPUTED_VALUE"""),74467.0)</f>
        <v>74467</v>
      </c>
    </row>
    <row r="89">
      <c r="B89" s="11">
        <f>IFERROR(__xludf.DUMMYFUNCTION("""COMPUTED_VALUE"""),43282.0)</f>
        <v>43282</v>
      </c>
      <c r="C89" s="9">
        <f>IFERROR(__xludf.DUMMYFUNCTION("""COMPUTED_VALUE"""),70142.0)</f>
        <v>70142</v>
      </c>
      <c r="E89" s="11"/>
      <c r="H89" s="17"/>
      <c r="N89" s="11">
        <f>IFERROR(__xludf.DUMMYFUNCTION("""COMPUTED_VALUE"""),43282.0)</f>
        <v>43282</v>
      </c>
      <c r="O89" s="9">
        <f>IFERROR(__xludf.DUMMYFUNCTION("""COMPUTED_VALUE"""),70142.0)</f>
        <v>70142</v>
      </c>
    </row>
    <row r="90">
      <c r="B90" s="11">
        <f>IFERROR(__xludf.DUMMYFUNCTION("""COMPUTED_VALUE"""),43252.0)</f>
        <v>43252</v>
      </c>
      <c r="C90" s="9">
        <f>IFERROR(__xludf.DUMMYFUNCTION("""COMPUTED_VALUE"""),71323.0)</f>
        <v>71323</v>
      </c>
      <c r="E90" s="11"/>
      <c r="H90" s="17"/>
      <c r="N90" s="11">
        <f>IFERROR(__xludf.DUMMYFUNCTION("""COMPUTED_VALUE"""),43252.0)</f>
        <v>43252</v>
      </c>
      <c r="O90" s="9">
        <f>IFERROR(__xludf.DUMMYFUNCTION("""COMPUTED_VALUE"""),71323.0)</f>
        <v>71323</v>
      </c>
    </row>
    <row r="91">
      <c r="B91" s="11">
        <f>IFERROR(__xludf.DUMMYFUNCTION("""COMPUTED_VALUE"""),43221.0)</f>
        <v>43221</v>
      </c>
      <c r="C91" s="9">
        <f>IFERROR(__xludf.DUMMYFUNCTION("""COMPUTED_VALUE"""),71421.0)</f>
        <v>71421</v>
      </c>
      <c r="E91" s="11"/>
      <c r="H91" s="17"/>
      <c r="N91" s="11">
        <f>IFERROR(__xludf.DUMMYFUNCTION("""COMPUTED_VALUE"""),43221.0)</f>
        <v>43221</v>
      </c>
      <c r="O91" s="9">
        <f>IFERROR(__xludf.DUMMYFUNCTION("""COMPUTED_VALUE"""),71421.0)</f>
        <v>71421</v>
      </c>
    </row>
    <row r="92">
      <c r="B92" s="11">
        <f>IFERROR(__xludf.DUMMYFUNCTION("""COMPUTED_VALUE"""),43191.0)</f>
        <v>43191</v>
      </c>
      <c r="C92" s="9">
        <f>IFERROR(__xludf.DUMMYFUNCTION("""COMPUTED_VALUE"""),69761.0)</f>
        <v>69761</v>
      </c>
      <c r="E92" s="11"/>
      <c r="H92" s="17"/>
      <c r="N92" s="11">
        <f>IFERROR(__xludf.DUMMYFUNCTION("""COMPUTED_VALUE"""),43191.0)</f>
        <v>43191</v>
      </c>
      <c r="O92" s="9">
        <f>IFERROR(__xludf.DUMMYFUNCTION("""COMPUTED_VALUE"""),69761.0)</f>
        <v>69761</v>
      </c>
    </row>
    <row r="93">
      <c r="B93" s="11">
        <f>IFERROR(__xludf.DUMMYFUNCTION("""COMPUTED_VALUE"""),43160.0)</f>
        <v>43160</v>
      </c>
      <c r="C93" s="9">
        <f>IFERROR(__xludf.DUMMYFUNCTION("""COMPUTED_VALUE"""),69387.0)</f>
        <v>69387</v>
      </c>
      <c r="E93" s="11"/>
      <c r="H93" s="17"/>
      <c r="N93" s="11">
        <f>IFERROR(__xludf.DUMMYFUNCTION("""COMPUTED_VALUE"""),43160.0)</f>
        <v>43160</v>
      </c>
      <c r="O93" s="9">
        <f>IFERROR(__xludf.DUMMYFUNCTION("""COMPUTED_VALUE"""),69387.0)</f>
        <v>69387</v>
      </c>
    </row>
    <row r="94">
      <c r="B94" s="11">
        <f>IFERROR(__xludf.DUMMYFUNCTION("""COMPUTED_VALUE"""),43132.0)</f>
        <v>43132</v>
      </c>
      <c r="C94" s="9">
        <f>IFERROR(__xludf.DUMMYFUNCTION("""COMPUTED_VALUE"""),71380.0)</f>
        <v>71380</v>
      </c>
      <c r="E94" s="11"/>
      <c r="H94" s="17"/>
      <c r="N94" s="11">
        <f>IFERROR(__xludf.DUMMYFUNCTION("""COMPUTED_VALUE"""),43132.0)</f>
        <v>43132</v>
      </c>
      <c r="O94" s="9">
        <f>IFERROR(__xludf.DUMMYFUNCTION("""COMPUTED_VALUE"""),71380.0)</f>
        <v>71380</v>
      </c>
    </row>
    <row r="95">
      <c r="B95" s="11">
        <f>IFERROR(__xludf.DUMMYFUNCTION("""COMPUTED_VALUE"""),43101.0)</f>
        <v>43101</v>
      </c>
      <c r="C95" s="9">
        <f>IFERROR(__xludf.DUMMYFUNCTION("""COMPUTED_VALUE"""),68483.0)</f>
        <v>68483</v>
      </c>
      <c r="E95" s="11"/>
      <c r="H95" s="17"/>
      <c r="N95" s="11">
        <f>IFERROR(__xludf.DUMMYFUNCTION("""COMPUTED_VALUE"""),43101.0)</f>
        <v>43101</v>
      </c>
      <c r="O95" s="9">
        <f>IFERROR(__xludf.DUMMYFUNCTION("""COMPUTED_VALUE"""),68483.0)</f>
        <v>68483</v>
      </c>
    </row>
    <row r="96">
      <c r="B96" s="11">
        <f>IFERROR(__xludf.DUMMYFUNCTION("""COMPUTED_VALUE"""),43070.0)</f>
        <v>43070</v>
      </c>
      <c r="C96" s="9">
        <f>IFERROR(__xludf.DUMMYFUNCTION("""COMPUTED_VALUE"""),69661.0)</f>
        <v>69661</v>
      </c>
      <c r="E96" s="11"/>
      <c r="H96" s="17"/>
      <c r="N96" s="11">
        <f>IFERROR(__xludf.DUMMYFUNCTION("""COMPUTED_VALUE"""),43070.0)</f>
        <v>43070</v>
      </c>
      <c r="O96" s="9">
        <f>IFERROR(__xludf.DUMMYFUNCTION("""COMPUTED_VALUE"""),69661.0)</f>
        <v>69661</v>
      </c>
    </row>
    <row r="97">
      <c r="B97" s="11">
        <f>IFERROR(__xludf.DUMMYFUNCTION("""COMPUTED_VALUE"""),43040.0)</f>
        <v>43040</v>
      </c>
      <c r="C97" s="9">
        <f>IFERROR(__xludf.DUMMYFUNCTION("""COMPUTED_VALUE"""),69370.0)</f>
        <v>69370</v>
      </c>
      <c r="E97" s="11"/>
      <c r="H97" s="17"/>
      <c r="N97" s="11">
        <f>IFERROR(__xludf.DUMMYFUNCTION("""COMPUTED_VALUE"""),43040.0)</f>
        <v>43040</v>
      </c>
      <c r="O97" s="9">
        <f>IFERROR(__xludf.DUMMYFUNCTION("""COMPUTED_VALUE"""),69370.0)</f>
        <v>69370</v>
      </c>
    </row>
    <row r="98">
      <c r="B98" s="11">
        <f>IFERROR(__xludf.DUMMYFUNCTION("""COMPUTED_VALUE"""),43009.0)</f>
        <v>43009</v>
      </c>
      <c r="C98" s="9">
        <f>IFERROR(__xludf.DUMMYFUNCTION("""COMPUTED_VALUE"""),68650.0)</f>
        <v>68650</v>
      </c>
      <c r="E98" s="11"/>
      <c r="H98" s="17"/>
      <c r="N98" s="11">
        <f>IFERROR(__xludf.DUMMYFUNCTION("""COMPUTED_VALUE"""),43009.0)</f>
        <v>43009</v>
      </c>
      <c r="O98" s="9">
        <f>IFERROR(__xludf.DUMMYFUNCTION("""COMPUTED_VALUE"""),68650.0)</f>
        <v>68650</v>
      </c>
    </row>
    <row r="99">
      <c r="B99" s="11">
        <f>IFERROR(__xludf.DUMMYFUNCTION("""COMPUTED_VALUE"""),42979.0)</f>
        <v>42979</v>
      </c>
      <c r="C99" s="9">
        <f>IFERROR(__xludf.DUMMYFUNCTION("""COMPUTED_VALUE"""),68197.0)</f>
        <v>68197</v>
      </c>
      <c r="E99" s="11"/>
      <c r="H99" s="17"/>
      <c r="N99" s="11">
        <f>IFERROR(__xludf.DUMMYFUNCTION("""COMPUTED_VALUE"""),42979.0)</f>
        <v>42979</v>
      </c>
      <c r="O99" s="9">
        <f>IFERROR(__xludf.DUMMYFUNCTION("""COMPUTED_VALUE"""),68197.0)</f>
        <v>68197</v>
      </c>
    </row>
    <row r="100">
      <c r="B100" s="11">
        <f>IFERROR(__xludf.DUMMYFUNCTION("""COMPUTED_VALUE"""),42948.0)</f>
        <v>42948</v>
      </c>
      <c r="C100" s="9">
        <f>IFERROR(__xludf.DUMMYFUNCTION("""COMPUTED_VALUE"""),67577.0)</f>
        <v>67577</v>
      </c>
      <c r="E100" s="11"/>
      <c r="H100" s="17"/>
      <c r="N100" s="11">
        <f>IFERROR(__xludf.DUMMYFUNCTION("""COMPUTED_VALUE"""),42948.0)</f>
        <v>42948</v>
      </c>
      <c r="O100" s="9">
        <f>IFERROR(__xludf.DUMMYFUNCTION("""COMPUTED_VALUE"""),67577.0)</f>
        <v>67577</v>
      </c>
    </row>
    <row r="101">
      <c r="B101" s="11">
        <f>IFERROR(__xludf.DUMMYFUNCTION("""COMPUTED_VALUE"""),42917.0)</f>
        <v>42917</v>
      </c>
      <c r="C101" s="9">
        <f>IFERROR(__xludf.DUMMYFUNCTION("""COMPUTED_VALUE"""),70113.0)</f>
        <v>70113</v>
      </c>
      <c r="E101" s="11"/>
      <c r="H101" s="17"/>
      <c r="N101" s="11">
        <f>IFERROR(__xludf.DUMMYFUNCTION("""COMPUTED_VALUE"""),42917.0)</f>
        <v>42917</v>
      </c>
      <c r="O101" s="9">
        <f>IFERROR(__xludf.DUMMYFUNCTION("""COMPUTED_VALUE"""),70113.0)</f>
        <v>70113</v>
      </c>
    </row>
    <row r="102">
      <c r="B102" s="11">
        <f>IFERROR(__xludf.DUMMYFUNCTION("""COMPUTED_VALUE"""),42887.0)</f>
        <v>42887</v>
      </c>
      <c r="C102" s="9">
        <f>IFERROR(__xludf.DUMMYFUNCTION("""COMPUTED_VALUE"""),70256.0)</f>
        <v>70256</v>
      </c>
      <c r="E102" s="11"/>
      <c r="H102" s="17"/>
      <c r="N102" s="11">
        <f>IFERROR(__xludf.DUMMYFUNCTION("""COMPUTED_VALUE"""),42887.0)</f>
        <v>42887</v>
      </c>
      <c r="O102" s="9">
        <f>IFERROR(__xludf.DUMMYFUNCTION("""COMPUTED_VALUE"""),70256.0)</f>
        <v>70256</v>
      </c>
    </row>
    <row r="103">
      <c r="B103" s="11">
        <f>IFERROR(__xludf.DUMMYFUNCTION("""COMPUTED_VALUE"""),42856.0)</f>
        <v>42856</v>
      </c>
      <c r="C103" s="9">
        <f>IFERROR(__xludf.DUMMYFUNCTION("""COMPUTED_VALUE"""),73130.0)</f>
        <v>73130</v>
      </c>
      <c r="E103" s="11"/>
      <c r="H103" s="17"/>
      <c r="N103" s="11">
        <f>IFERROR(__xludf.DUMMYFUNCTION("""COMPUTED_VALUE"""),42856.0)</f>
        <v>42856</v>
      </c>
      <c r="O103" s="9">
        <f>IFERROR(__xludf.DUMMYFUNCTION("""COMPUTED_VALUE"""),73130.0)</f>
        <v>73130</v>
      </c>
    </row>
    <row r="104">
      <c r="B104" s="11">
        <f>IFERROR(__xludf.DUMMYFUNCTION("""COMPUTED_VALUE"""),42826.0)</f>
        <v>42826</v>
      </c>
      <c r="C104" s="9">
        <f>IFERROR(__xludf.DUMMYFUNCTION("""COMPUTED_VALUE"""),70809.0)</f>
        <v>70809</v>
      </c>
      <c r="E104" s="11"/>
      <c r="H104" s="17"/>
      <c r="N104" s="11">
        <f>IFERROR(__xludf.DUMMYFUNCTION("""COMPUTED_VALUE"""),42826.0)</f>
        <v>42826</v>
      </c>
      <c r="O104" s="9">
        <f>IFERROR(__xludf.DUMMYFUNCTION("""COMPUTED_VALUE"""),70809.0)</f>
        <v>70809</v>
      </c>
    </row>
    <row r="105">
      <c r="B105" s="11">
        <f>IFERROR(__xludf.DUMMYFUNCTION("""COMPUTED_VALUE"""),42795.0)</f>
        <v>42795</v>
      </c>
      <c r="C105" s="9">
        <f>IFERROR(__xludf.DUMMYFUNCTION("""COMPUTED_VALUE"""),71397.0)</f>
        <v>71397</v>
      </c>
      <c r="E105" s="11"/>
      <c r="H105" s="17"/>
      <c r="N105" s="11">
        <f>IFERROR(__xludf.DUMMYFUNCTION("""COMPUTED_VALUE"""),42795.0)</f>
        <v>42795</v>
      </c>
      <c r="O105" s="9">
        <f>IFERROR(__xludf.DUMMYFUNCTION("""COMPUTED_VALUE"""),71397.0)</f>
        <v>71397</v>
      </c>
    </row>
    <row r="106">
      <c r="B106" s="11">
        <f>IFERROR(__xludf.DUMMYFUNCTION("""COMPUTED_VALUE"""),42767.0)</f>
        <v>42767</v>
      </c>
      <c r="C106" s="9">
        <f>IFERROR(__xludf.DUMMYFUNCTION("""COMPUTED_VALUE"""),69401.0)</f>
        <v>69401</v>
      </c>
      <c r="E106" s="11"/>
      <c r="H106" s="17"/>
      <c r="N106" s="11">
        <f>IFERROR(__xludf.DUMMYFUNCTION("""COMPUTED_VALUE"""),42767.0)</f>
        <v>42767</v>
      </c>
      <c r="O106" s="9">
        <f>IFERROR(__xludf.DUMMYFUNCTION("""COMPUTED_VALUE"""),69401.0)</f>
        <v>69401</v>
      </c>
    </row>
    <row r="107">
      <c r="B107" s="11">
        <f>IFERROR(__xludf.DUMMYFUNCTION("""COMPUTED_VALUE"""),42736.0)</f>
        <v>42736</v>
      </c>
      <c r="C107" s="9">
        <f>IFERROR(__xludf.DUMMYFUNCTION("""COMPUTED_VALUE"""),72294.0)</f>
        <v>72294</v>
      </c>
      <c r="E107" s="11"/>
      <c r="H107" s="17"/>
      <c r="N107" s="11">
        <f>IFERROR(__xludf.DUMMYFUNCTION("""COMPUTED_VALUE"""),42736.0)</f>
        <v>42736</v>
      </c>
      <c r="O107" s="9">
        <f>IFERROR(__xludf.DUMMYFUNCTION("""COMPUTED_VALUE"""),72294.0)</f>
        <v>72294</v>
      </c>
    </row>
    <row r="108">
      <c r="B108" s="11">
        <f>IFERROR(__xludf.DUMMYFUNCTION("""COMPUTED_VALUE"""),42705.0)</f>
        <v>42705</v>
      </c>
      <c r="C108" s="9">
        <f>IFERROR(__xludf.DUMMYFUNCTION("""COMPUTED_VALUE"""),75736.0)</f>
        <v>75736</v>
      </c>
      <c r="E108" s="11"/>
      <c r="H108" s="17"/>
      <c r="N108" s="11">
        <f>IFERROR(__xludf.DUMMYFUNCTION("""COMPUTED_VALUE"""),42705.0)</f>
        <v>42705</v>
      </c>
      <c r="O108" s="9">
        <f>IFERROR(__xludf.DUMMYFUNCTION("""COMPUTED_VALUE"""),75736.0)</f>
        <v>75736</v>
      </c>
    </row>
    <row r="109">
      <c r="B109" s="11">
        <f>IFERROR(__xludf.DUMMYFUNCTION("""COMPUTED_VALUE"""),42675.0)</f>
        <v>42675</v>
      </c>
      <c r="C109" s="9">
        <f>IFERROR(__xludf.DUMMYFUNCTION("""COMPUTED_VALUE"""),76758.0)</f>
        <v>76758</v>
      </c>
      <c r="E109" s="11"/>
      <c r="H109" s="17"/>
      <c r="N109" s="11">
        <f>IFERROR(__xludf.DUMMYFUNCTION("""COMPUTED_VALUE"""),42675.0)</f>
        <v>42675</v>
      </c>
      <c r="O109" s="9">
        <f>IFERROR(__xludf.DUMMYFUNCTION("""COMPUTED_VALUE"""),76758.0)</f>
        <v>76758</v>
      </c>
    </row>
    <row r="110">
      <c r="B110" s="11">
        <f>IFERROR(__xludf.DUMMYFUNCTION("""COMPUTED_VALUE"""),42644.0)</f>
        <v>42644</v>
      </c>
      <c r="C110" s="9">
        <f>IFERROR(__xludf.DUMMYFUNCTION("""COMPUTED_VALUE"""),74966.0)</f>
        <v>74966</v>
      </c>
      <c r="E110" s="11"/>
      <c r="H110" s="17"/>
      <c r="N110" s="11">
        <f>IFERROR(__xludf.DUMMYFUNCTION("""COMPUTED_VALUE"""),42644.0)</f>
        <v>42644</v>
      </c>
      <c r="O110" s="9">
        <f>IFERROR(__xludf.DUMMYFUNCTION("""COMPUTED_VALUE"""),74966.0)</f>
        <v>74966</v>
      </c>
    </row>
    <row r="111">
      <c r="B111" s="11">
        <f>IFERROR(__xludf.DUMMYFUNCTION("""COMPUTED_VALUE"""),42614.0)</f>
        <v>42614</v>
      </c>
      <c r="C111" s="9">
        <f>IFERROR(__xludf.DUMMYFUNCTION("""COMPUTED_VALUE"""),77125.0)</f>
        <v>77125</v>
      </c>
      <c r="E111" s="11"/>
      <c r="H111" s="17"/>
      <c r="N111" s="11">
        <f>IFERROR(__xludf.DUMMYFUNCTION("""COMPUTED_VALUE"""),42614.0)</f>
        <v>42614</v>
      </c>
      <c r="O111" s="9">
        <f>IFERROR(__xludf.DUMMYFUNCTION("""COMPUTED_VALUE"""),77125.0)</f>
        <v>77125</v>
      </c>
    </row>
    <row r="112">
      <c r="B112" s="11">
        <f>IFERROR(__xludf.DUMMYFUNCTION("""COMPUTED_VALUE"""),42583.0)</f>
        <v>42583</v>
      </c>
      <c r="C112" s="9">
        <f>IFERROR(__xludf.DUMMYFUNCTION("""COMPUTED_VALUE"""),79882.0)</f>
        <v>79882</v>
      </c>
      <c r="E112" s="11"/>
      <c r="H112" s="17"/>
      <c r="N112" s="11">
        <f>IFERROR(__xludf.DUMMYFUNCTION("""COMPUTED_VALUE"""),42583.0)</f>
        <v>42583</v>
      </c>
      <c r="O112" s="9">
        <f>IFERROR(__xludf.DUMMYFUNCTION("""COMPUTED_VALUE"""),79882.0)</f>
        <v>79882</v>
      </c>
    </row>
    <row r="113">
      <c r="B113" s="11">
        <f>IFERROR(__xludf.DUMMYFUNCTION("""COMPUTED_VALUE"""),42552.0)</f>
        <v>42552</v>
      </c>
      <c r="C113" s="9">
        <f>IFERROR(__xludf.DUMMYFUNCTION("""COMPUTED_VALUE"""),81731.0)</f>
        <v>81731</v>
      </c>
      <c r="E113" s="11"/>
      <c r="H113" s="17"/>
      <c r="N113" s="11">
        <f>IFERROR(__xludf.DUMMYFUNCTION("""COMPUTED_VALUE"""),42552.0)</f>
        <v>42552</v>
      </c>
      <c r="O113" s="9">
        <f>IFERROR(__xludf.DUMMYFUNCTION("""COMPUTED_VALUE"""),81731.0)</f>
        <v>81731</v>
      </c>
    </row>
    <row r="114">
      <c r="B114" s="11">
        <f>IFERROR(__xludf.DUMMYFUNCTION("""COMPUTED_VALUE"""),42522.0)</f>
        <v>42522</v>
      </c>
      <c r="C114" s="9">
        <f>IFERROR(__xludf.DUMMYFUNCTION("""COMPUTED_VALUE"""),82181.0)</f>
        <v>82181</v>
      </c>
      <c r="E114" s="11"/>
      <c r="H114" s="17"/>
      <c r="N114" s="11">
        <f>IFERROR(__xludf.DUMMYFUNCTION("""COMPUTED_VALUE"""),42522.0)</f>
        <v>42522</v>
      </c>
      <c r="O114" s="9">
        <f>IFERROR(__xludf.DUMMYFUNCTION("""COMPUTED_VALUE"""),82181.0)</f>
        <v>82181</v>
      </c>
    </row>
    <row r="115">
      <c r="B115" s="11">
        <f>IFERROR(__xludf.DUMMYFUNCTION("""COMPUTED_VALUE"""),42491.0)</f>
        <v>42491</v>
      </c>
      <c r="C115" s="9">
        <f>IFERROR(__xludf.DUMMYFUNCTION("""COMPUTED_VALUE"""),81361.0)</f>
        <v>81361</v>
      </c>
      <c r="E115" s="11"/>
      <c r="H115" s="17"/>
      <c r="N115" s="11">
        <f>IFERROR(__xludf.DUMMYFUNCTION("""COMPUTED_VALUE"""),42491.0)</f>
        <v>42491</v>
      </c>
      <c r="O115" s="9">
        <f>IFERROR(__xludf.DUMMYFUNCTION("""COMPUTED_VALUE"""),81361.0)</f>
        <v>81361</v>
      </c>
    </row>
    <row r="116">
      <c r="B116" s="11">
        <f>IFERROR(__xludf.DUMMYFUNCTION("""COMPUTED_VALUE"""),42461.0)</f>
        <v>42461</v>
      </c>
      <c r="C116" s="9">
        <f>IFERROR(__xludf.DUMMYFUNCTION("""COMPUTED_VALUE"""),79989.0)</f>
        <v>79989</v>
      </c>
      <c r="E116" s="11"/>
      <c r="H116" s="17"/>
      <c r="N116" s="11">
        <f>IFERROR(__xludf.DUMMYFUNCTION("""COMPUTED_VALUE"""),42461.0)</f>
        <v>42461</v>
      </c>
      <c r="O116" s="9">
        <f>IFERROR(__xludf.DUMMYFUNCTION("""COMPUTED_VALUE"""),79989.0)</f>
        <v>79989</v>
      </c>
    </row>
    <row r="117">
      <c r="B117" s="11">
        <f>IFERROR(__xludf.DUMMYFUNCTION("""COMPUTED_VALUE"""),42430.0)</f>
        <v>42430</v>
      </c>
      <c r="C117" s="9">
        <f>IFERROR(__xludf.DUMMYFUNCTION("""COMPUTED_VALUE"""),80125.0)</f>
        <v>80125</v>
      </c>
      <c r="E117" s="11"/>
      <c r="H117" s="17"/>
      <c r="N117" s="11">
        <f>IFERROR(__xludf.DUMMYFUNCTION("""COMPUTED_VALUE"""),42430.0)</f>
        <v>42430</v>
      </c>
      <c r="O117" s="9">
        <f>IFERROR(__xludf.DUMMYFUNCTION("""COMPUTED_VALUE"""),80125.0)</f>
        <v>80125</v>
      </c>
    </row>
    <row r="118">
      <c r="B118" s="11">
        <f>IFERROR(__xludf.DUMMYFUNCTION("""COMPUTED_VALUE"""),42401.0)</f>
        <v>42401</v>
      </c>
      <c r="C118" s="9">
        <f>IFERROR(__xludf.DUMMYFUNCTION("""COMPUTED_VALUE"""),79181.0)</f>
        <v>79181</v>
      </c>
      <c r="E118" s="11"/>
      <c r="H118" s="17"/>
      <c r="N118" s="11">
        <f>IFERROR(__xludf.DUMMYFUNCTION("""COMPUTED_VALUE"""),42401.0)</f>
        <v>42401</v>
      </c>
      <c r="O118" s="9">
        <f>IFERROR(__xludf.DUMMYFUNCTION("""COMPUTED_VALUE"""),79181.0)</f>
        <v>79181</v>
      </c>
    </row>
    <row r="119">
      <c r="B119" s="11">
        <f>IFERROR(__xludf.DUMMYFUNCTION("""COMPUTED_VALUE"""),42370.0)</f>
        <v>42370</v>
      </c>
      <c r="C119" s="9">
        <f>IFERROR(__xludf.DUMMYFUNCTION("""COMPUTED_VALUE"""),77111.0)</f>
        <v>77111</v>
      </c>
      <c r="E119" s="11"/>
      <c r="H119" s="17"/>
      <c r="N119" s="11"/>
    </row>
    <row r="120">
      <c r="B120" s="11">
        <f>IFERROR(__xludf.DUMMYFUNCTION("""COMPUTED_VALUE"""),42339.0)</f>
        <v>42339</v>
      </c>
      <c r="C120" s="9">
        <f>IFERROR(__xludf.DUMMYFUNCTION("""COMPUTED_VALUE"""),79245.0)</f>
        <v>79245</v>
      </c>
      <c r="E120" s="11"/>
      <c r="H120" s="17"/>
      <c r="N120" s="11"/>
    </row>
    <row r="121">
      <c r="B121" s="11">
        <f>IFERROR(__xludf.DUMMYFUNCTION("""COMPUTED_VALUE"""),42309.0)</f>
        <v>42309</v>
      </c>
      <c r="C121" s="9">
        <f>IFERROR(__xludf.DUMMYFUNCTION("""COMPUTED_VALUE"""),83469.0)</f>
        <v>83469</v>
      </c>
      <c r="E121" s="11"/>
      <c r="H121" s="17"/>
      <c r="N121" s="11"/>
    </row>
    <row r="122">
      <c r="B122" s="11">
        <f>IFERROR(__xludf.DUMMYFUNCTION("""COMPUTED_VALUE"""),42278.0)</f>
        <v>42278</v>
      </c>
      <c r="C122" s="9">
        <f>IFERROR(__xludf.DUMMYFUNCTION("""COMPUTED_VALUE"""),84557.0)</f>
        <v>84557</v>
      </c>
      <c r="E122" s="11"/>
      <c r="H122" s="17"/>
      <c r="N122" s="11"/>
    </row>
    <row r="123">
      <c r="B123" s="11">
        <f>IFERROR(__xludf.DUMMYFUNCTION("""COMPUTED_VALUE"""),42248.0)</f>
        <v>42248</v>
      </c>
      <c r="C123" s="9">
        <f>IFERROR(__xludf.DUMMYFUNCTION("""COMPUTED_VALUE"""),86539.0)</f>
        <v>86539</v>
      </c>
      <c r="E123" s="11"/>
      <c r="H123" s="17"/>
      <c r="N123" s="11"/>
    </row>
    <row r="124">
      <c r="B124" s="11">
        <f>IFERROR(__xludf.DUMMYFUNCTION("""COMPUTED_VALUE"""),42217.0)</f>
        <v>42217</v>
      </c>
      <c r="C124" s="9">
        <f>IFERROR(__xludf.DUMMYFUNCTION("""COMPUTED_VALUE"""),83628.0)</f>
        <v>83628</v>
      </c>
      <c r="E124" s="11"/>
      <c r="H124" s="17"/>
      <c r="N124" s="11"/>
    </row>
    <row r="125">
      <c r="B125" s="11">
        <f>IFERROR(__xludf.DUMMYFUNCTION("""COMPUTED_VALUE"""),42186.0)</f>
        <v>42186</v>
      </c>
      <c r="C125" s="9">
        <f>IFERROR(__xludf.DUMMYFUNCTION("""COMPUTED_VALUE"""),82296.0)</f>
        <v>82296</v>
      </c>
      <c r="E125" s="11"/>
      <c r="H125" s="17"/>
      <c r="N125" s="11"/>
    </row>
    <row r="126">
      <c r="B126" s="11">
        <f>IFERROR(__xludf.DUMMYFUNCTION("""COMPUTED_VALUE"""),42156.0)</f>
        <v>42156</v>
      </c>
      <c r="C126" s="9">
        <f>IFERROR(__xludf.DUMMYFUNCTION("""COMPUTED_VALUE"""),87946.0)</f>
        <v>87946</v>
      </c>
      <c r="E126" s="11"/>
      <c r="H126" s="17"/>
      <c r="N126" s="11"/>
    </row>
    <row r="127">
      <c r="B127" s="11">
        <f>IFERROR(__xludf.DUMMYFUNCTION("""COMPUTED_VALUE"""),42125.0)</f>
        <v>42125</v>
      </c>
      <c r="C127" s="9">
        <f>IFERROR(__xludf.DUMMYFUNCTION("""COMPUTED_VALUE"""),83638.0)</f>
        <v>83638</v>
      </c>
      <c r="E127" s="11"/>
      <c r="H127" s="17"/>
      <c r="N127" s="11"/>
    </row>
    <row r="128">
      <c r="B128" s="11">
        <f>IFERROR(__xludf.DUMMYFUNCTION("""COMPUTED_VALUE"""),42095.0)</f>
        <v>42095</v>
      </c>
      <c r="C128" s="9">
        <f>IFERROR(__xludf.DUMMYFUNCTION("""COMPUTED_VALUE"""),82248.0)</f>
        <v>82248</v>
      </c>
      <c r="E128" s="11"/>
      <c r="H128" s="17"/>
      <c r="N128" s="11"/>
    </row>
    <row r="129">
      <c r="B129" s="11">
        <f>IFERROR(__xludf.DUMMYFUNCTION("""COMPUTED_VALUE"""),42064.0)</f>
        <v>42064</v>
      </c>
      <c r="C129" s="9">
        <f>IFERROR(__xludf.DUMMYFUNCTION("""COMPUTED_VALUE"""),80123.0)</f>
        <v>80123</v>
      </c>
      <c r="E129" s="11"/>
      <c r="H129" s="17"/>
      <c r="N129" s="11"/>
    </row>
    <row r="130">
      <c r="B130" s="11">
        <f>IFERROR(__xludf.DUMMYFUNCTION("""COMPUTED_VALUE"""),42036.0)</f>
        <v>42036</v>
      </c>
      <c r="C130" s="9">
        <f>IFERROR(__xludf.DUMMYFUNCTION("""COMPUTED_VALUE"""),79694.0)</f>
        <v>79694</v>
      </c>
      <c r="E130" s="11"/>
      <c r="H130" s="17"/>
      <c r="N130" s="11"/>
    </row>
    <row r="131">
      <c r="B131" s="11">
        <f>IFERROR(__xludf.DUMMYFUNCTION("""COMPUTED_VALUE"""),42005.0)</f>
        <v>42005</v>
      </c>
      <c r="C131" s="9">
        <f>IFERROR(__xludf.DUMMYFUNCTION("""COMPUTED_VALUE"""),76229.0)</f>
        <v>76229</v>
      </c>
      <c r="E131" s="11"/>
      <c r="H131" s="17"/>
      <c r="N131" s="11"/>
    </row>
    <row r="132">
      <c r="B132" s="11">
        <f>IFERROR(__xludf.DUMMYFUNCTION("""COMPUTED_VALUE"""),41974.0)</f>
        <v>41974</v>
      </c>
      <c r="C132" s="9">
        <f>IFERROR(__xludf.DUMMYFUNCTION("""COMPUTED_VALUE"""),71119.0)</f>
        <v>71119</v>
      </c>
      <c r="E132" s="11"/>
      <c r="H132" s="17"/>
      <c r="N132" s="11"/>
    </row>
    <row r="133">
      <c r="B133" s="11">
        <f>IFERROR(__xludf.DUMMYFUNCTION("""COMPUTED_VALUE"""),41944.0)</f>
        <v>41944</v>
      </c>
      <c r="C133" s="9">
        <f>IFERROR(__xludf.DUMMYFUNCTION("""COMPUTED_VALUE"""),73302.0)</f>
        <v>73302</v>
      </c>
      <c r="E133" s="11"/>
      <c r="H133" s="17"/>
      <c r="N133" s="11"/>
    </row>
    <row r="134">
      <c r="B134" s="11">
        <f>IFERROR(__xludf.DUMMYFUNCTION("""COMPUTED_VALUE"""),41913.0)</f>
        <v>41913</v>
      </c>
      <c r="C134" s="9">
        <f>IFERROR(__xludf.DUMMYFUNCTION("""COMPUTED_VALUE"""),70768.0)</f>
        <v>70768</v>
      </c>
      <c r="E134" s="11"/>
      <c r="H134" s="17"/>
      <c r="N134" s="11"/>
    </row>
    <row r="135">
      <c r="B135" s="11">
        <f>IFERROR(__xludf.DUMMYFUNCTION("""COMPUTED_VALUE"""),41883.0)</f>
        <v>41883</v>
      </c>
      <c r="C135" s="9">
        <f>IFERROR(__xludf.DUMMYFUNCTION("""COMPUTED_VALUE"""),61635.0)</f>
        <v>61635</v>
      </c>
      <c r="E135" s="11"/>
      <c r="H135" s="17"/>
      <c r="N135" s="11"/>
    </row>
    <row r="136">
      <c r="B136" s="11">
        <f>IFERROR(__xludf.DUMMYFUNCTION("""COMPUTED_VALUE"""),41852.0)</f>
        <v>41852</v>
      </c>
      <c r="C136" s="9">
        <f>IFERROR(__xludf.DUMMYFUNCTION("""COMPUTED_VALUE"""),59052.0)</f>
        <v>59052</v>
      </c>
      <c r="E136" s="11"/>
      <c r="H136" s="17"/>
      <c r="N136" s="11"/>
    </row>
    <row r="137">
      <c r="B137" s="11">
        <f>IFERROR(__xludf.DUMMYFUNCTION("""COMPUTED_VALUE"""),41821.0)</f>
        <v>41821</v>
      </c>
      <c r="C137" s="9">
        <f>IFERROR(__xludf.DUMMYFUNCTION("""COMPUTED_VALUE"""),57665.0)</f>
        <v>57665</v>
      </c>
      <c r="E137" s="11"/>
      <c r="H137" s="17"/>
      <c r="N137" s="11"/>
    </row>
    <row r="138">
      <c r="B138" s="11">
        <f>IFERROR(__xludf.DUMMYFUNCTION("""COMPUTED_VALUE"""),41791.0)</f>
        <v>41791</v>
      </c>
      <c r="C138" s="9">
        <f>IFERROR(__xludf.DUMMYFUNCTION("""COMPUTED_VALUE"""),58530.0)</f>
        <v>58530</v>
      </c>
      <c r="E138" s="11"/>
      <c r="H138" s="17"/>
      <c r="N138" s="11"/>
    </row>
    <row r="139">
      <c r="B139" s="11">
        <f>IFERROR(__xludf.DUMMYFUNCTION("""COMPUTED_VALUE"""),41760.0)</f>
        <v>41760</v>
      </c>
      <c r="C139" s="9">
        <f>IFERROR(__xludf.DUMMYFUNCTION("""COMPUTED_VALUE"""),53158.0)</f>
        <v>53158</v>
      </c>
      <c r="E139" s="11"/>
      <c r="H139" s="17"/>
      <c r="N139" s="11"/>
    </row>
    <row r="140">
      <c r="B140" s="11">
        <f>IFERROR(__xludf.DUMMYFUNCTION("""COMPUTED_VALUE"""),41730.0)</f>
        <v>41730</v>
      </c>
      <c r="C140" s="9">
        <f>IFERROR(__xludf.DUMMYFUNCTION("""COMPUTED_VALUE"""),53868.0)</f>
        <v>53868</v>
      </c>
      <c r="E140" s="11"/>
      <c r="H140" s="17"/>
      <c r="N140" s="11"/>
    </row>
    <row r="141">
      <c r="B141" s="11">
        <f>IFERROR(__xludf.DUMMYFUNCTION("""COMPUTED_VALUE"""),41699.0)</f>
        <v>41699</v>
      </c>
      <c r="C141" s="9">
        <f>IFERROR(__xludf.DUMMYFUNCTION("""COMPUTED_VALUE"""),51172.0)</f>
        <v>51172</v>
      </c>
      <c r="E141" s="11"/>
      <c r="H141" s="17"/>
      <c r="N141" s="11"/>
    </row>
    <row r="142">
      <c r="B142" s="11">
        <f>IFERROR(__xludf.DUMMYFUNCTION("""COMPUTED_VALUE"""),41671.0)</f>
        <v>41671</v>
      </c>
      <c r="C142" s="9">
        <f>IFERROR(__xludf.DUMMYFUNCTION("""COMPUTED_VALUE"""),53740.0)</f>
        <v>53740</v>
      </c>
      <c r="E142" s="11"/>
      <c r="H142" s="17"/>
      <c r="N142" s="11"/>
    </row>
    <row r="143">
      <c r="B143" s="11">
        <f>IFERROR(__xludf.DUMMYFUNCTION("""COMPUTED_VALUE"""),41640.0)</f>
        <v>41640</v>
      </c>
      <c r="C143" s="9">
        <f>IFERROR(__xludf.DUMMYFUNCTION("""COMPUTED_VALUE"""),55426.0)</f>
        <v>55426</v>
      </c>
      <c r="E143" s="11"/>
      <c r="H143" s="17"/>
      <c r="N143" s="11"/>
    </row>
    <row r="144">
      <c r="B144" s="11">
        <f>IFERROR(__xludf.DUMMYFUNCTION("""COMPUTED_VALUE"""),41609.0)</f>
        <v>41609</v>
      </c>
      <c r="C144" s="9">
        <f>IFERROR(__xludf.DUMMYFUNCTION("""COMPUTED_VALUE"""),57978.0)</f>
        <v>57978</v>
      </c>
      <c r="E144" s="11"/>
      <c r="H144" s="17"/>
      <c r="N144" s="11"/>
    </row>
    <row r="145">
      <c r="B145" s="11">
        <f>IFERROR(__xludf.DUMMYFUNCTION("""COMPUTED_VALUE"""),41579.0)</f>
        <v>41579</v>
      </c>
      <c r="C145" s="9">
        <f>IFERROR(__xludf.DUMMYFUNCTION("""COMPUTED_VALUE"""),52525.0)</f>
        <v>52525</v>
      </c>
      <c r="E145" s="11"/>
      <c r="H145" s="17"/>
      <c r="N145" s="11"/>
    </row>
    <row r="146">
      <c r="B146" s="11">
        <f>IFERROR(__xludf.DUMMYFUNCTION("""COMPUTED_VALUE"""),41548.0)</f>
        <v>41548</v>
      </c>
      <c r="C146" s="9">
        <f>IFERROR(__xludf.DUMMYFUNCTION("""COMPUTED_VALUE"""),52232.0)</f>
        <v>52232</v>
      </c>
      <c r="E146" s="11"/>
      <c r="H146" s="17"/>
      <c r="N146" s="11"/>
    </row>
    <row r="147">
      <c r="B147" s="11">
        <f>IFERROR(__xludf.DUMMYFUNCTION("""COMPUTED_VALUE"""),41518.0)</f>
        <v>41518</v>
      </c>
      <c r="C147" s="9">
        <f>IFERROR(__xludf.DUMMYFUNCTION("""COMPUTED_VALUE"""),51670.0)</f>
        <v>51670</v>
      </c>
      <c r="E147" s="11"/>
      <c r="H147" s="17"/>
      <c r="N147" s="11"/>
    </row>
    <row r="148">
      <c r="B148" s="11">
        <f>IFERROR(__xludf.DUMMYFUNCTION("""COMPUTED_VALUE"""),41487.0)</f>
        <v>41487</v>
      </c>
      <c r="C148" s="9">
        <f>IFERROR(__xludf.DUMMYFUNCTION("""COMPUTED_VALUE"""),54150.0)</f>
        <v>54150</v>
      </c>
      <c r="E148" s="11"/>
      <c r="H148" s="17"/>
      <c r="N148" s="11"/>
    </row>
    <row r="149">
      <c r="B149" s="11">
        <f>IFERROR(__xludf.DUMMYFUNCTION("""COMPUTED_VALUE"""),41456.0)</f>
        <v>41456</v>
      </c>
      <c r="C149" s="9">
        <f>IFERROR(__xludf.DUMMYFUNCTION("""COMPUTED_VALUE"""),55194.0)</f>
        <v>55194</v>
      </c>
      <c r="E149" s="11"/>
      <c r="H149" s="17"/>
      <c r="N149" s="11"/>
    </row>
    <row r="150">
      <c r="B150" s="11">
        <f>IFERROR(__xludf.DUMMYFUNCTION("""COMPUTED_VALUE"""),41426.0)</f>
        <v>41426</v>
      </c>
      <c r="C150" s="9">
        <f>IFERROR(__xludf.DUMMYFUNCTION("""COMPUTED_VALUE"""),49633.0)</f>
        <v>49633</v>
      </c>
      <c r="E150" s="11"/>
      <c r="H150" s="17"/>
      <c r="N150" s="11"/>
    </row>
    <row r="151">
      <c r="B151" s="11">
        <f>IFERROR(__xludf.DUMMYFUNCTION("""COMPUTED_VALUE"""),41395.0)</f>
        <v>41395</v>
      </c>
      <c r="C151" s="9">
        <f>IFERROR(__xludf.DUMMYFUNCTION("""COMPUTED_VALUE"""),48010.0)</f>
        <v>48010</v>
      </c>
      <c r="E151" s="11"/>
      <c r="H151" s="17"/>
      <c r="N151" s="11"/>
    </row>
    <row r="152">
      <c r="B152" s="11">
        <f>IFERROR(__xludf.DUMMYFUNCTION("""COMPUTED_VALUE"""),41365.0)</f>
        <v>41365</v>
      </c>
      <c r="C152" s="9">
        <f>IFERROR(__xludf.DUMMYFUNCTION("""COMPUTED_VALUE"""),49566.0)</f>
        <v>49566</v>
      </c>
      <c r="E152" s="11"/>
      <c r="H152" s="17"/>
      <c r="N152" s="11"/>
    </row>
    <row r="153">
      <c r="B153" s="11">
        <f>IFERROR(__xludf.DUMMYFUNCTION("""COMPUTED_VALUE"""),41334.0)</f>
        <v>41334</v>
      </c>
      <c r="C153" s="9">
        <f>IFERROR(__xludf.DUMMYFUNCTION("""COMPUTED_VALUE"""),50400.0)</f>
        <v>50400</v>
      </c>
      <c r="E153" s="11"/>
      <c r="H153" s="17"/>
      <c r="N153" s="11"/>
    </row>
    <row r="154">
      <c r="B154" s="11">
        <f>IFERROR(__xludf.DUMMYFUNCTION("""COMPUTED_VALUE"""),41306.0)</f>
        <v>41306</v>
      </c>
      <c r="C154" s="9">
        <f>IFERROR(__xludf.DUMMYFUNCTION("""COMPUTED_VALUE"""),50552.0)</f>
        <v>50552</v>
      </c>
      <c r="E154" s="11"/>
      <c r="H154" s="17"/>
      <c r="N154" s="11"/>
    </row>
    <row r="155">
      <c r="B155" s="11">
        <f>IFERROR(__xludf.DUMMYFUNCTION("""COMPUTED_VALUE"""),41275.0)</f>
        <v>41275</v>
      </c>
      <c r="C155" s="9">
        <f>IFERROR(__xludf.DUMMYFUNCTION("""COMPUTED_VALUE"""),49235.0)</f>
        <v>49235</v>
      </c>
      <c r="E155" s="11"/>
      <c r="H155" s="17"/>
      <c r="N155" s="11"/>
    </row>
    <row r="156">
      <c r="B156" s="11">
        <f>IFERROR(__xludf.DUMMYFUNCTION("""COMPUTED_VALUE"""),41244.0)</f>
        <v>41244</v>
      </c>
      <c r="C156" s="9">
        <f>IFERROR(__xludf.DUMMYFUNCTION("""COMPUTED_VALUE"""),49105.0)</f>
        <v>49105</v>
      </c>
      <c r="E156" s="11"/>
      <c r="H156" s="17"/>
      <c r="N156" s="11"/>
    </row>
    <row r="157">
      <c r="B157" s="11">
        <f>IFERROR(__xludf.DUMMYFUNCTION("""COMPUTED_VALUE"""),41214.0)</f>
        <v>41214</v>
      </c>
      <c r="C157" s="9">
        <f>IFERROR(__xludf.DUMMYFUNCTION("""COMPUTED_VALUE"""),48213.0)</f>
        <v>48213</v>
      </c>
      <c r="E157" s="11"/>
      <c r="H157" s="17"/>
      <c r="N157" s="11"/>
    </row>
    <row r="158">
      <c r="B158" s="11">
        <f>IFERROR(__xludf.DUMMYFUNCTION("""COMPUTED_VALUE"""),41183.0)</f>
        <v>41183</v>
      </c>
      <c r="C158" s="9">
        <f>IFERROR(__xludf.DUMMYFUNCTION("""COMPUTED_VALUE"""),48505.0)</f>
        <v>48505</v>
      </c>
      <c r="E158" s="11"/>
      <c r="H158" s="17"/>
      <c r="N158" s="11"/>
    </row>
    <row r="159">
      <c r="B159" s="11">
        <f>IFERROR(__xludf.DUMMYFUNCTION("""COMPUTED_VALUE"""),41153.0)</f>
        <v>41153</v>
      </c>
      <c r="C159" s="9">
        <f>IFERROR(__xludf.DUMMYFUNCTION("""COMPUTED_VALUE"""),47936.0)</f>
        <v>47936</v>
      </c>
      <c r="E159" s="11"/>
      <c r="H159" s="17"/>
      <c r="N159" s="11"/>
    </row>
    <row r="160">
      <c r="B160" s="11">
        <f>IFERROR(__xludf.DUMMYFUNCTION("""COMPUTED_VALUE"""),41122.0)</f>
        <v>41122</v>
      </c>
      <c r="C160" s="9">
        <f>IFERROR(__xludf.DUMMYFUNCTION("""COMPUTED_VALUE"""),46790.0)</f>
        <v>46790</v>
      </c>
      <c r="E160" s="11"/>
      <c r="H160" s="17"/>
      <c r="N160" s="11"/>
    </row>
    <row r="161">
      <c r="B161" s="11">
        <f>IFERROR(__xludf.DUMMYFUNCTION("""COMPUTED_VALUE"""),41091.0)</f>
        <v>41091</v>
      </c>
      <c r="C161" s="9">
        <f>IFERROR(__xludf.DUMMYFUNCTION("""COMPUTED_VALUE"""),47315.0)</f>
        <v>47315</v>
      </c>
      <c r="E161" s="11"/>
      <c r="H161" s="17"/>
      <c r="N161" s="11"/>
    </row>
    <row r="162">
      <c r="B162" s="11">
        <f>IFERROR(__xludf.DUMMYFUNCTION("""COMPUTED_VALUE"""),41061.0)</f>
        <v>41061</v>
      </c>
      <c r="C162" s="9">
        <f>IFERROR(__xludf.DUMMYFUNCTION("""COMPUTED_VALUE"""),46496.0)</f>
        <v>46496</v>
      </c>
      <c r="E162" s="11"/>
      <c r="H162" s="17"/>
      <c r="N162" s="11"/>
    </row>
    <row r="163">
      <c r="B163" s="11">
        <f>IFERROR(__xludf.DUMMYFUNCTION("""COMPUTED_VALUE"""),41030.0)</f>
        <v>41030</v>
      </c>
      <c r="C163" s="9">
        <f>IFERROR(__xludf.DUMMYFUNCTION("""COMPUTED_VALUE"""),46011.0)</f>
        <v>46011</v>
      </c>
      <c r="E163" s="11"/>
      <c r="H163" s="17"/>
      <c r="N163" s="11"/>
    </row>
    <row r="164">
      <c r="B164" s="11">
        <f>IFERROR(__xludf.DUMMYFUNCTION("""COMPUTED_VALUE"""),41000.0)</f>
        <v>41000</v>
      </c>
      <c r="C164" s="9">
        <f>IFERROR(__xludf.DUMMYFUNCTION("""COMPUTED_VALUE"""),46145.0)</f>
        <v>46145</v>
      </c>
      <c r="E164" s="11"/>
      <c r="H164" s="17"/>
      <c r="N164" s="11"/>
    </row>
    <row r="165">
      <c r="B165" s="11">
        <f>IFERROR(__xludf.DUMMYFUNCTION("""COMPUTED_VALUE"""),40969.0)</f>
        <v>40969</v>
      </c>
      <c r="C165" s="9">
        <f>IFERROR(__xludf.DUMMYFUNCTION("""COMPUTED_VALUE"""),45132.0)</f>
        <v>45132</v>
      </c>
      <c r="E165" s="11"/>
      <c r="H165" s="17"/>
      <c r="N165" s="11"/>
    </row>
    <row r="166">
      <c r="B166" s="11">
        <f>IFERROR(__xludf.DUMMYFUNCTION("""COMPUTED_VALUE"""),40940.0)</f>
        <v>40940</v>
      </c>
      <c r="C166" s="9">
        <f>IFERROR(__xludf.DUMMYFUNCTION("""COMPUTED_VALUE"""),43965.0)</f>
        <v>43965</v>
      </c>
      <c r="E166" s="11"/>
      <c r="H166" s="17"/>
      <c r="N166" s="11"/>
    </row>
    <row r="167">
      <c r="B167" s="11">
        <f>IFERROR(__xludf.DUMMYFUNCTION("""COMPUTED_VALUE"""),40909.0)</f>
        <v>40909</v>
      </c>
      <c r="C167" s="9">
        <f>IFERROR(__xludf.DUMMYFUNCTION("""COMPUTED_VALUE"""),43668.0)</f>
        <v>43668</v>
      </c>
      <c r="E167" s="11"/>
      <c r="H167" s="17"/>
      <c r="N167" s="11"/>
    </row>
    <row r="168">
      <c r="B168" s="11">
        <f>IFERROR(__xludf.DUMMYFUNCTION("""COMPUTED_VALUE"""),40878.0)</f>
        <v>40878</v>
      </c>
      <c r="C168" s="9">
        <f>IFERROR(__xludf.DUMMYFUNCTION("""COMPUTED_VALUE"""),46481.0)</f>
        <v>46481</v>
      </c>
      <c r="E168" s="11"/>
      <c r="H168" s="17"/>
      <c r="N168" s="11"/>
    </row>
    <row r="169">
      <c r="B169" s="11">
        <f>IFERROR(__xludf.DUMMYFUNCTION("""COMPUTED_VALUE"""),40848.0)</f>
        <v>40848</v>
      </c>
      <c r="C169" s="9">
        <f>IFERROR(__xludf.DUMMYFUNCTION("""COMPUTED_VALUE"""),44834.0)</f>
        <v>44834</v>
      </c>
      <c r="E169" s="11"/>
      <c r="H169" s="17"/>
      <c r="N169" s="11"/>
    </row>
    <row r="170">
      <c r="B170" s="11">
        <f>IFERROR(__xludf.DUMMYFUNCTION("""COMPUTED_VALUE"""),40817.0)</f>
        <v>40817</v>
      </c>
      <c r="C170" s="9">
        <f>IFERROR(__xludf.DUMMYFUNCTION("""COMPUTED_VALUE"""),44638.0)</f>
        <v>44638</v>
      </c>
      <c r="E170" s="11"/>
      <c r="H170" s="17"/>
      <c r="N170" s="11"/>
    </row>
    <row r="171">
      <c r="B171" s="11">
        <f>IFERROR(__xludf.DUMMYFUNCTION("""COMPUTED_VALUE"""),40787.0)</f>
        <v>40787</v>
      </c>
      <c r="C171" s="9">
        <f>IFERROR(__xludf.DUMMYFUNCTION("""COMPUTED_VALUE"""),45106.0)</f>
        <v>45106</v>
      </c>
      <c r="E171" s="11"/>
      <c r="H171" s="17"/>
      <c r="N171" s="11"/>
    </row>
    <row r="172">
      <c r="B172" s="11">
        <f>IFERROR(__xludf.DUMMYFUNCTION("""COMPUTED_VALUE"""),40756.0)</f>
        <v>40756</v>
      </c>
      <c r="C172" s="9">
        <f>IFERROR(__xludf.DUMMYFUNCTION("""COMPUTED_VALUE"""),42902.0)</f>
        <v>42902</v>
      </c>
      <c r="E172" s="11"/>
      <c r="H172" s="17"/>
      <c r="N172" s="11"/>
    </row>
    <row r="173">
      <c r="B173" s="11">
        <f>IFERROR(__xludf.DUMMYFUNCTION("""COMPUTED_VALUE"""),40725.0)</f>
        <v>40725</v>
      </c>
      <c r="C173" s="9">
        <f>IFERROR(__xludf.DUMMYFUNCTION("""COMPUTED_VALUE"""),40811.0)</f>
        <v>40811</v>
      </c>
      <c r="E173" s="11"/>
      <c r="H173" s="17"/>
      <c r="N173" s="11"/>
    </row>
    <row r="174">
      <c r="B174" s="11">
        <f>IFERROR(__xludf.DUMMYFUNCTION("""COMPUTED_VALUE"""),40695.0)</f>
        <v>40695</v>
      </c>
      <c r="C174" s="9">
        <f>IFERROR(__xludf.DUMMYFUNCTION("""COMPUTED_VALUE"""),41628.0)</f>
        <v>41628</v>
      </c>
      <c r="E174" s="11"/>
      <c r="H174" s="17"/>
      <c r="N174" s="11"/>
    </row>
    <row r="175">
      <c r="B175" s="11">
        <f>IFERROR(__xludf.DUMMYFUNCTION("""COMPUTED_VALUE"""),40664.0)</f>
        <v>40664</v>
      </c>
      <c r="C175" s="9">
        <f>IFERROR(__xludf.DUMMYFUNCTION("""COMPUTED_VALUE"""),36799.0)</f>
        <v>36799</v>
      </c>
      <c r="E175" s="11"/>
      <c r="H175" s="17"/>
      <c r="N175" s="11"/>
    </row>
    <row r="176">
      <c r="B176" s="11">
        <f>IFERROR(__xludf.DUMMYFUNCTION("""COMPUTED_VALUE"""),40634.0)</f>
        <v>40634</v>
      </c>
      <c r="C176" s="9">
        <f>IFERROR(__xludf.DUMMYFUNCTION("""COMPUTED_VALUE"""),34064.0)</f>
        <v>34064</v>
      </c>
      <c r="E176" s="11"/>
      <c r="H176" s="17"/>
      <c r="N176" s="11"/>
    </row>
    <row r="177">
      <c r="B177" s="11">
        <f>IFERROR(__xludf.DUMMYFUNCTION("""COMPUTED_VALUE"""),40603.0)</f>
        <v>40603</v>
      </c>
      <c r="C177" s="9">
        <f>IFERROR(__xludf.DUMMYFUNCTION("""COMPUTED_VALUE"""),34676.0)</f>
        <v>34676</v>
      </c>
      <c r="E177" s="11"/>
      <c r="H177" s="17"/>
      <c r="N177" s="11"/>
    </row>
    <row r="178">
      <c r="B178" s="11">
        <f>IFERROR(__xludf.DUMMYFUNCTION("""COMPUTED_VALUE"""),40575.0)</f>
        <v>40575</v>
      </c>
      <c r="C178" s="9">
        <f>IFERROR(__xludf.DUMMYFUNCTION("""COMPUTED_VALUE"""),32647.0)</f>
        <v>32647</v>
      </c>
      <c r="E178" s="11"/>
      <c r="H178" s="17"/>
      <c r="N178" s="11"/>
    </row>
    <row r="179">
      <c r="B179" s="11">
        <f>IFERROR(__xludf.DUMMYFUNCTION("""COMPUTED_VALUE"""),40544.0)</f>
        <v>40544</v>
      </c>
      <c r="C179" s="9">
        <f>IFERROR(__xludf.DUMMYFUNCTION("""COMPUTED_VALUE"""),29987.0)</f>
        <v>29987</v>
      </c>
      <c r="E179" s="11"/>
      <c r="H179" s="17"/>
      <c r="N179" s="11"/>
    </row>
    <row r="180">
      <c r="B180" s="11">
        <f>IFERROR(__xludf.DUMMYFUNCTION("""COMPUTED_VALUE"""),40513.0)</f>
        <v>40513</v>
      </c>
      <c r="C180" s="9">
        <f>IFERROR(__xludf.DUMMYFUNCTION("""COMPUTED_VALUE"""),31102.0)</f>
        <v>31102</v>
      </c>
      <c r="E180" s="11"/>
      <c r="H180" s="17"/>
      <c r="N180" s="11"/>
    </row>
    <row r="181">
      <c r="B181" s="11">
        <f>IFERROR(__xludf.DUMMYFUNCTION("""COMPUTED_VALUE"""),40483.0)</f>
        <v>40483</v>
      </c>
      <c r="C181" s="9">
        <f>IFERROR(__xludf.DUMMYFUNCTION("""COMPUTED_VALUE"""),34646.0)</f>
        <v>34646</v>
      </c>
      <c r="E181" s="11"/>
      <c r="H181" s="17"/>
      <c r="N181" s="11"/>
    </row>
    <row r="182">
      <c r="B182" s="11">
        <f>IFERROR(__xludf.DUMMYFUNCTION("""COMPUTED_VALUE"""),40452.0)</f>
        <v>40452</v>
      </c>
      <c r="C182" s="9">
        <f>IFERROR(__xludf.DUMMYFUNCTION("""COMPUTED_VALUE"""),36219.0)</f>
        <v>36219</v>
      </c>
      <c r="E182" s="11"/>
      <c r="H182" s="17"/>
      <c r="N182" s="11"/>
    </row>
    <row r="183">
      <c r="B183" s="11">
        <f>IFERROR(__xludf.DUMMYFUNCTION("""COMPUTED_VALUE"""),40422.0)</f>
        <v>40422</v>
      </c>
      <c r="C183" s="9">
        <f>IFERROR(__xludf.DUMMYFUNCTION("""COMPUTED_VALUE"""),37552.0)</f>
        <v>37552</v>
      </c>
      <c r="E183" s="11"/>
      <c r="H183" s="17"/>
      <c r="N183" s="11"/>
    </row>
    <row r="184">
      <c r="B184" s="11">
        <f>IFERROR(__xludf.DUMMYFUNCTION("""COMPUTED_VALUE"""),40391.0)</f>
        <v>40391</v>
      </c>
      <c r="C184" s="9">
        <f>IFERROR(__xludf.DUMMYFUNCTION("""COMPUTED_VALUE"""),38943.0)</f>
        <v>38943</v>
      </c>
      <c r="E184" s="11"/>
      <c r="H184" s="17"/>
      <c r="N184" s="11"/>
    </row>
    <row r="185">
      <c r="B185" s="11">
        <f>IFERROR(__xludf.DUMMYFUNCTION("""COMPUTED_VALUE"""),40360.0)</f>
        <v>40360</v>
      </c>
      <c r="C185" s="9">
        <f>IFERROR(__xludf.DUMMYFUNCTION("""COMPUTED_VALUE"""),40652.0)</f>
        <v>40652</v>
      </c>
      <c r="E185" s="11"/>
      <c r="H185" s="17"/>
      <c r="N185" s="11"/>
    </row>
    <row r="186">
      <c r="B186" s="11">
        <f>IFERROR(__xludf.DUMMYFUNCTION("""COMPUTED_VALUE"""),40330.0)</f>
        <v>40330</v>
      </c>
      <c r="C186" s="9">
        <f>IFERROR(__xludf.DUMMYFUNCTION("""COMPUTED_VALUE"""),42111.0)</f>
        <v>42111</v>
      </c>
      <c r="E186" s="11"/>
      <c r="H186" s="17"/>
      <c r="N186" s="11"/>
    </row>
    <row r="187">
      <c r="B187" s="11">
        <f>IFERROR(__xludf.DUMMYFUNCTION("""COMPUTED_VALUE"""),40299.0)</f>
        <v>40299</v>
      </c>
      <c r="C187" s="9">
        <f>IFERROR(__xludf.DUMMYFUNCTION("""COMPUTED_VALUE"""),43094.0)</f>
        <v>43094</v>
      </c>
      <c r="E187" s="11"/>
      <c r="H187" s="17"/>
      <c r="N187" s="11"/>
    </row>
    <row r="188">
      <c r="B188" s="11">
        <f>IFERROR(__xludf.DUMMYFUNCTION("""COMPUTED_VALUE"""),40269.0)</f>
        <v>40269</v>
      </c>
      <c r="C188" s="9">
        <f>IFERROR(__xludf.DUMMYFUNCTION("""COMPUTED_VALUE"""),45738.0)</f>
        <v>45738</v>
      </c>
      <c r="E188" s="11"/>
      <c r="H188" s="17"/>
      <c r="N188" s="11"/>
    </row>
    <row r="189">
      <c r="B189" s="11">
        <f>IFERROR(__xludf.DUMMYFUNCTION("""COMPUTED_VALUE"""),40238.0)</f>
        <v>40238</v>
      </c>
      <c r="C189" s="9">
        <f>IFERROR(__xludf.DUMMYFUNCTION("""COMPUTED_VALUE"""),49045.0)</f>
        <v>49045</v>
      </c>
      <c r="E189" s="11"/>
      <c r="H189" s="17"/>
      <c r="N189" s="11"/>
    </row>
    <row r="190">
      <c r="B190" s="11">
        <f>IFERROR(__xludf.DUMMYFUNCTION("""COMPUTED_VALUE"""),40210.0)</f>
        <v>40210</v>
      </c>
      <c r="C190" s="9">
        <f>IFERROR(__xludf.DUMMYFUNCTION("""COMPUTED_VALUE"""),45228.0)</f>
        <v>45228</v>
      </c>
      <c r="E190" s="11"/>
      <c r="H190" s="17"/>
      <c r="N190" s="11"/>
    </row>
    <row r="191">
      <c r="B191" s="11">
        <f>IFERROR(__xludf.DUMMYFUNCTION("""COMPUTED_VALUE"""),40179.0)</f>
        <v>40179</v>
      </c>
      <c r="C191" s="9">
        <f>IFERROR(__xludf.DUMMYFUNCTION("""COMPUTED_VALUE"""),45115.0)</f>
        <v>45115</v>
      </c>
      <c r="E191" s="11"/>
      <c r="H191" s="17"/>
      <c r="N191" s="11"/>
    </row>
    <row r="192">
      <c r="B192" s="11">
        <f>IFERROR(__xludf.DUMMYFUNCTION("""COMPUTED_VALUE"""),40148.0)</f>
        <v>40148</v>
      </c>
      <c r="C192" s="9">
        <f>IFERROR(__xludf.DUMMYFUNCTION("""COMPUTED_VALUE"""),42551.0)</f>
        <v>42551</v>
      </c>
      <c r="E192" s="11"/>
      <c r="H192" s="17"/>
      <c r="N192" s="11"/>
    </row>
    <row r="193">
      <c r="B193" s="11">
        <f>IFERROR(__xludf.DUMMYFUNCTION("""COMPUTED_VALUE"""),40118.0)</f>
        <v>40118</v>
      </c>
      <c r="C193" s="9">
        <f>IFERROR(__xludf.DUMMYFUNCTION("""COMPUTED_VALUE"""),50901.0)</f>
        <v>50901</v>
      </c>
      <c r="E193" s="11"/>
      <c r="H193" s="17"/>
      <c r="N193" s="11"/>
    </row>
    <row r="194">
      <c r="B194" s="11">
        <f>IFERROR(__xludf.DUMMYFUNCTION("""COMPUTED_VALUE"""),40087.0)</f>
        <v>40087</v>
      </c>
      <c r="C194" s="9">
        <f>IFERROR(__xludf.DUMMYFUNCTION("""COMPUTED_VALUE"""),52021.0)</f>
        <v>52021</v>
      </c>
      <c r="E194" s="11"/>
      <c r="H194" s="17"/>
      <c r="N194" s="11"/>
    </row>
    <row r="195">
      <c r="B195" s="11">
        <f>IFERROR(__xludf.DUMMYFUNCTION("""COMPUTED_VALUE"""),40057.0)</f>
        <v>40057</v>
      </c>
      <c r="C195" s="9">
        <f>IFERROR(__xludf.DUMMYFUNCTION("""COMPUTED_VALUE"""),52194.0)</f>
        <v>52194</v>
      </c>
      <c r="E195" s="11"/>
      <c r="H195" s="17"/>
      <c r="N195" s="11"/>
    </row>
    <row r="196">
      <c r="B196" s="11">
        <f>IFERROR(__xludf.DUMMYFUNCTION("""COMPUTED_VALUE"""),40026.0)</f>
        <v>40026</v>
      </c>
      <c r="C196" s="9">
        <f>IFERROR(__xludf.DUMMYFUNCTION("""COMPUTED_VALUE"""),55482.0)</f>
        <v>55482</v>
      </c>
      <c r="E196" s="11"/>
      <c r="H196" s="17"/>
      <c r="N196" s="11"/>
    </row>
    <row r="197">
      <c r="B197" s="11">
        <f>IFERROR(__xludf.DUMMYFUNCTION("""COMPUTED_VALUE"""),39995.0)</f>
        <v>39995</v>
      </c>
      <c r="C197" s="9">
        <f>IFERROR(__xludf.DUMMYFUNCTION("""COMPUTED_VALUE"""),57699.0)</f>
        <v>57699</v>
      </c>
      <c r="E197" s="11"/>
      <c r="H197" s="17"/>
      <c r="N197" s="11"/>
    </row>
    <row r="198">
      <c r="B198" s="11">
        <f>IFERROR(__xludf.DUMMYFUNCTION("""COMPUTED_VALUE"""),39965.0)</f>
        <v>39965</v>
      </c>
      <c r="C198" s="9">
        <f>IFERROR(__xludf.DUMMYFUNCTION("""COMPUTED_VALUE"""),59394.0)</f>
        <v>59394</v>
      </c>
      <c r="E198" s="11"/>
      <c r="H198" s="17"/>
      <c r="N198" s="11"/>
    </row>
    <row r="199">
      <c r="B199" s="11">
        <f>IFERROR(__xludf.DUMMYFUNCTION("""COMPUTED_VALUE"""),39934.0)</f>
        <v>39934</v>
      </c>
      <c r="C199" s="9">
        <f>IFERROR(__xludf.DUMMYFUNCTION("""COMPUTED_VALUE"""),63219.0)</f>
        <v>63219</v>
      </c>
      <c r="E199" s="11"/>
      <c r="H199" s="17"/>
      <c r="N199" s="11"/>
    </row>
    <row r="200">
      <c r="B200" s="11">
        <f>IFERROR(__xludf.DUMMYFUNCTION("""COMPUTED_VALUE"""),39904.0)</f>
        <v>39904</v>
      </c>
      <c r="C200" s="9">
        <f>IFERROR(__xludf.DUMMYFUNCTION("""COMPUTED_VALUE"""),63750.0)</f>
        <v>63750</v>
      </c>
      <c r="E200" s="11"/>
      <c r="H200" s="17"/>
      <c r="N200" s="11"/>
    </row>
    <row r="201">
      <c r="B201" s="11">
        <f>IFERROR(__xludf.DUMMYFUNCTION("""COMPUTED_VALUE"""),39873.0)</f>
        <v>39873</v>
      </c>
      <c r="C201" s="9">
        <f>IFERROR(__xludf.DUMMYFUNCTION("""COMPUTED_VALUE"""),64284.0)</f>
        <v>64284</v>
      </c>
      <c r="E201" s="11"/>
      <c r="H201" s="17"/>
      <c r="N201" s="11"/>
    </row>
    <row r="202">
      <c r="B202" s="11">
        <f>IFERROR(__xludf.DUMMYFUNCTION("""COMPUTED_VALUE"""),39845.0)</f>
        <v>39845</v>
      </c>
      <c r="C202" s="9">
        <f>IFERROR(__xludf.DUMMYFUNCTION("""COMPUTED_VALUE"""),66482.0)</f>
        <v>66482</v>
      </c>
      <c r="E202" s="11"/>
      <c r="H202" s="17"/>
      <c r="N202" s="11"/>
    </row>
    <row r="203">
      <c r="B203" s="11">
        <f>IFERROR(__xludf.DUMMYFUNCTION("""COMPUTED_VALUE"""),39814.0)</f>
        <v>39814</v>
      </c>
      <c r="C203" s="9">
        <f>IFERROR(__xludf.DUMMYFUNCTION("""COMPUTED_VALUE"""),63869.0)</f>
        <v>63869</v>
      </c>
      <c r="E203" s="11"/>
      <c r="H203" s="17"/>
      <c r="N203" s="11"/>
    </row>
    <row r="204">
      <c r="B204" s="11">
        <f>IFERROR(__xludf.DUMMYFUNCTION("""COMPUTED_VALUE"""),39783.0)</f>
        <v>39783</v>
      </c>
      <c r="C204" s="9">
        <f>IFERROR(__xludf.DUMMYFUNCTION("""COMPUTED_VALUE"""),58386.0)</f>
        <v>58386</v>
      </c>
      <c r="E204" s="11"/>
      <c r="H204" s="17"/>
      <c r="N204" s="11"/>
    </row>
    <row r="205">
      <c r="B205" s="11">
        <f>IFERROR(__xludf.DUMMYFUNCTION("""COMPUTED_VALUE"""),39753.0)</f>
        <v>39753</v>
      </c>
      <c r="C205" s="9">
        <f>IFERROR(__xludf.DUMMYFUNCTION("""COMPUTED_VALUE"""),58318.0)</f>
        <v>58318</v>
      </c>
      <c r="E205" s="11"/>
      <c r="H205" s="17"/>
      <c r="N205" s="11"/>
    </row>
    <row r="206">
      <c r="B206" s="11">
        <f>IFERROR(__xludf.DUMMYFUNCTION("""COMPUTED_VALUE"""),39722.0)</f>
        <v>39722</v>
      </c>
      <c r="C206" s="9">
        <f>IFERROR(__xludf.DUMMYFUNCTION("""COMPUTED_VALUE"""),58710.0)</f>
        <v>58710</v>
      </c>
      <c r="E206" s="11"/>
      <c r="H206" s="17"/>
      <c r="N206" s="11"/>
    </row>
    <row r="207">
      <c r="B207" s="11">
        <f>IFERROR(__xludf.DUMMYFUNCTION("""COMPUTED_VALUE"""),39692.0)</f>
        <v>39692</v>
      </c>
      <c r="C207" s="9">
        <f>IFERROR(__xludf.DUMMYFUNCTION("""COMPUTED_VALUE"""),56654.0)</f>
        <v>56654</v>
      </c>
      <c r="E207" s="11"/>
      <c r="H207" s="17"/>
      <c r="N207" s="11"/>
    </row>
    <row r="208">
      <c r="B208" s="11">
        <f>IFERROR(__xludf.DUMMYFUNCTION("""COMPUTED_VALUE"""),39661.0)</f>
        <v>39661</v>
      </c>
      <c r="C208" s="9">
        <f>IFERROR(__xludf.DUMMYFUNCTION("""COMPUTED_VALUE"""),54380.0)</f>
        <v>54380</v>
      </c>
      <c r="E208" s="11"/>
      <c r="H208" s="17"/>
      <c r="N208" s="11"/>
    </row>
    <row r="209">
      <c r="B209" s="11">
        <f>IFERROR(__xludf.DUMMYFUNCTION("""COMPUTED_VALUE"""),39630.0)</f>
        <v>39630</v>
      </c>
      <c r="C209" s="9">
        <f>IFERROR(__xludf.DUMMYFUNCTION("""COMPUTED_VALUE"""),52515.0)</f>
        <v>52515</v>
      </c>
      <c r="E209" s="11"/>
      <c r="H209" s="17"/>
      <c r="N209" s="11"/>
    </row>
    <row r="210">
      <c r="B210" s="11">
        <f>IFERROR(__xludf.DUMMYFUNCTION("""COMPUTED_VALUE"""),39600.0)</f>
        <v>39600</v>
      </c>
      <c r="C210" s="9">
        <f>IFERROR(__xludf.DUMMYFUNCTION("""COMPUTED_VALUE"""),54289.0)</f>
        <v>54289</v>
      </c>
      <c r="E210" s="11"/>
      <c r="H210" s="17"/>
      <c r="N210" s="11"/>
    </row>
    <row r="211">
      <c r="B211" s="11">
        <f>IFERROR(__xludf.DUMMYFUNCTION("""COMPUTED_VALUE"""),39569.0)</f>
        <v>39569</v>
      </c>
      <c r="C211" s="9">
        <f>IFERROR(__xludf.DUMMYFUNCTION("""COMPUTED_VALUE"""),52617.0)</f>
        <v>52617</v>
      </c>
      <c r="E211" s="11"/>
      <c r="H211" s="17"/>
      <c r="N211" s="11"/>
    </row>
    <row r="212">
      <c r="B212" s="11">
        <f>IFERROR(__xludf.DUMMYFUNCTION("""COMPUTED_VALUE"""),39539.0)</f>
        <v>39539</v>
      </c>
      <c r="C212" s="9">
        <f>IFERROR(__xludf.DUMMYFUNCTION("""COMPUTED_VALUE"""),49910.0)</f>
        <v>49910</v>
      </c>
      <c r="E212" s="11"/>
      <c r="H212" s="17"/>
      <c r="N212" s="11"/>
    </row>
    <row r="213">
      <c r="B213" s="11">
        <f>IFERROR(__xludf.DUMMYFUNCTION("""COMPUTED_VALUE"""),39508.0)</f>
        <v>39508</v>
      </c>
      <c r="C213" s="9">
        <f>IFERROR(__xludf.DUMMYFUNCTION("""COMPUTED_VALUE"""),48567.0)</f>
        <v>48567</v>
      </c>
      <c r="E213" s="11"/>
      <c r="H213" s="17"/>
      <c r="N213" s="11"/>
    </row>
    <row r="214">
      <c r="B214" s="11">
        <f>IFERROR(__xludf.DUMMYFUNCTION("""COMPUTED_VALUE"""),39479.0)</f>
        <v>39479</v>
      </c>
      <c r="C214" s="9">
        <f>IFERROR(__xludf.DUMMYFUNCTION("""COMPUTED_VALUE"""),48028.0)</f>
        <v>48028</v>
      </c>
      <c r="E214" s="11"/>
      <c r="H214" s="17"/>
      <c r="N214" s="11"/>
    </row>
    <row r="215">
      <c r="B215" s="11">
        <f>IFERROR(__xludf.DUMMYFUNCTION("""COMPUTED_VALUE"""),39448.0)</f>
        <v>39448</v>
      </c>
      <c r="C215" s="9">
        <f>IFERROR(__xludf.DUMMYFUNCTION("""COMPUTED_VALUE"""),48190.0)</f>
        <v>48190</v>
      </c>
      <c r="E215" s="11"/>
      <c r="H215" s="17"/>
      <c r="N215" s="11"/>
    </row>
    <row r="216">
      <c r="B216" s="11">
        <f>IFERROR(__xludf.DUMMYFUNCTION("""COMPUTED_VALUE"""),39417.0)</f>
        <v>39417</v>
      </c>
      <c r="C216" s="9">
        <f>IFERROR(__xludf.DUMMYFUNCTION("""COMPUTED_VALUE"""),47937.0)</f>
        <v>47937</v>
      </c>
      <c r="E216" s="11"/>
      <c r="H216" s="17"/>
      <c r="N216" s="11"/>
    </row>
    <row r="217">
      <c r="B217" s="11">
        <f>IFERROR(__xludf.DUMMYFUNCTION("""COMPUTED_VALUE"""),39387.0)</f>
        <v>39387</v>
      </c>
      <c r="C217" s="9">
        <f>IFERROR(__xludf.DUMMYFUNCTION("""COMPUTED_VALUE"""),44181.0)</f>
        <v>44181</v>
      </c>
      <c r="E217" s="11"/>
      <c r="H217" s="17"/>
      <c r="N217" s="11"/>
    </row>
    <row r="218">
      <c r="B218" s="11">
        <f>IFERROR(__xludf.DUMMYFUNCTION("""COMPUTED_VALUE"""),39356.0)</f>
        <v>39356</v>
      </c>
      <c r="C218" s="9">
        <f>IFERROR(__xludf.DUMMYFUNCTION("""COMPUTED_VALUE"""),49256.0)</f>
        <v>49256</v>
      </c>
      <c r="E218" s="11"/>
      <c r="H218" s="17"/>
      <c r="N218" s="11"/>
    </row>
    <row r="219">
      <c r="B219" s="11">
        <f>IFERROR(__xludf.DUMMYFUNCTION("""COMPUTED_VALUE"""),39326.0)</f>
        <v>39326</v>
      </c>
      <c r="C219" s="9">
        <f>IFERROR(__xludf.DUMMYFUNCTION("""COMPUTED_VALUE"""),48027.0)</f>
        <v>48027</v>
      </c>
      <c r="E219" s="11"/>
      <c r="H219" s="17"/>
      <c r="N219" s="11"/>
    </row>
    <row r="220">
      <c r="B220" s="11">
        <f>IFERROR(__xludf.DUMMYFUNCTION("""COMPUTED_VALUE"""),39295.0)</f>
        <v>39295</v>
      </c>
      <c r="C220" s="9">
        <f>IFERROR(__xludf.DUMMYFUNCTION("""COMPUTED_VALUE"""),40314.0)</f>
        <v>40314</v>
      </c>
      <c r="E220" s="11"/>
      <c r="H220" s="17"/>
      <c r="N220" s="11"/>
    </row>
    <row r="221">
      <c r="B221" s="11">
        <f>IFERROR(__xludf.DUMMYFUNCTION("""COMPUTED_VALUE"""),39264.0)</f>
        <v>39264</v>
      </c>
      <c r="C221" s="9">
        <f>IFERROR(__xludf.DUMMYFUNCTION("""COMPUTED_VALUE"""),40927.0)</f>
        <v>40927</v>
      </c>
      <c r="E221" s="11"/>
      <c r="H221" s="17"/>
      <c r="N221" s="11"/>
    </row>
    <row r="222">
      <c r="B222" s="11">
        <f>IFERROR(__xludf.DUMMYFUNCTION("""COMPUTED_VALUE"""),39234.0)</f>
        <v>39234</v>
      </c>
      <c r="C222" s="9">
        <f>IFERROR(__xludf.DUMMYFUNCTION("""COMPUTED_VALUE"""),37526.0)</f>
        <v>37526</v>
      </c>
      <c r="E222" s="11"/>
      <c r="H222" s="17"/>
      <c r="N222" s="11"/>
    </row>
    <row r="223">
      <c r="B223" s="11">
        <f>IFERROR(__xludf.DUMMYFUNCTION("""COMPUTED_VALUE"""),39203.0)</f>
        <v>39203</v>
      </c>
      <c r="C223" s="9">
        <f>IFERROR(__xludf.DUMMYFUNCTION("""COMPUTED_VALUE"""),35234.0)</f>
        <v>35234</v>
      </c>
      <c r="E223" s="11"/>
      <c r="H223" s="17"/>
      <c r="N223" s="11"/>
    </row>
    <row r="224">
      <c r="B224" s="11">
        <f>IFERROR(__xludf.DUMMYFUNCTION("""COMPUTED_VALUE"""),39173.0)</f>
        <v>39173</v>
      </c>
      <c r="C224" s="9">
        <f>IFERROR(__xludf.DUMMYFUNCTION("""COMPUTED_VALUE"""),35825.0)</f>
        <v>35825</v>
      </c>
      <c r="E224" s="11"/>
      <c r="H224" s="17"/>
      <c r="N224" s="11"/>
    </row>
    <row r="225">
      <c r="B225" s="11">
        <f>IFERROR(__xludf.DUMMYFUNCTION("""COMPUTED_VALUE"""),39142.0)</f>
        <v>39142</v>
      </c>
      <c r="C225" s="9">
        <f>IFERROR(__xludf.DUMMYFUNCTION("""COMPUTED_VALUE"""),33954.0)</f>
        <v>33954</v>
      </c>
      <c r="E225" s="11"/>
      <c r="H225" s="17"/>
      <c r="N225" s="11"/>
    </row>
    <row r="226">
      <c r="B226" s="11">
        <f>IFERROR(__xludf.DUMMYFUNCTION("""COMPUTED_VALUE"""),39114.0)</f>
        <v>39114</v>
      </c>
      <c r="C226" s="9">
        <f>IFERROR(__xludf.DUMMYFUNCTION("""COMPUTED_VALUE"""),34468.0)</f>
        <v>34468</v>
      </c>
      <c r="E226" s="11"/>
      <c r="H226" s="17"/>
      <c r="N226" s="11"/>
    </row>
    <row r="227">
      <c r="B227" s="11">
        <f>IFERROR(__xludf.DUMMYFUNCTION("""COMPUTED_VALUE"""),39083.0)</f>
        <v>39083</v>
      </c>
      <c r="C227" s="9">
        <f>IFERROR(__xludf.DUMMYFUNCTION("""COMPUTED_VALUE"""),33382.0)</f>
        <v>33382</v>
      </c>
      <c r="E227" s="11"/>
      <c r="H227" s="17"/>
      <c r="N227" s="11"/>
    </row>
    <row r="228">
      <c r="B228" s="11">
        <f>IFERROR(__xludf.DUMMYFUNCTION("""COMPUTED_VALUE"""),39052.0)</f>
        <v>39052</v>
      </c>
      <c r="C228" s="9">
        <f>IFERROR(__xludf.DUMMYFUNCTION("""COMPUTED_VALUE"""),32700.0)</f>
        <v>32700</v>
      </c>
      <c r="E228" s="11"/>
      <c r="H228" s="17"/>
      <c r="N228" s="11"/>
    </row>
    <row r="229">
      <c r="B229" s="11">
        <f>IFERROR(__xludf.DUMMYFUNCTION("""COMPUTED_VALUE"""),39022.0)</f>
        <v>39022</v>
      </c>
      <c r="C229" s="9">
        <f>IFERROR(__xludf.DUMMYFUNCTION("""COMPUTED_VALUE"""),32408.0)</f>
        <v>32408</v>
      </c>
      <c r="E229" s="11"/>
      <c r="H229" s="17"/>
      <c r="N229" s="11"/>
    </row>
    <row r="230">
      <c r="B230" s="11">
        <f>IFERROR(__xludf.DUMMYFUNCTION("""COMPUTED_VALUE"""),38991.0)</f>
        <v>38991</v>
      </c>
      <c r="C230" s="9">
        <f>IFERROR(__xludf.DUMMYFUNCTION("""COMPUTED_VALUE"""),32318.0)</f>
        <v>32318</v>
      </c>
      <c r="E230" s="11"/>
      <c r="H230" s="17"/>
      <c r="N230" s="11"/>
    </row>
    <row r="231">
      <c r="B231" s="11">
        <f>IFERROR(__xludf.DUMMYFUNCTION("""COMPUTED_VALUE"""),38961.0)</f>
        <v>38961</v>
      </c>
      <c r="C231" s="9">
        <f>IFERROR(__xludf.DUMMYFUNCTION("""COMPUTED_VALUE"""),34212.0)</f>
        <v>34212</v>
      </c>
      <c r="E231" s="11"/>
      <c r="H231" s="17"/>
      <c r="N231" s="11"/>
    </row>
    <row r="232">
      <c r="B232" s="11">
        <f>IFERROR(__xludf.DUMMYFUNCTION("""COMPUTED_VALUE"""),38930.0)</f>
        <v>38930</v>
      </c>
      <c r="C232" s="9">
        <f>IFERROR(__xludf.DUMMYFUNCTION("""COMPUTED_VALUE"""),35881.0)</f>
        <v>35881</v>
      </c>
      <c r="E232" s="11"/>
      <c r="H232" s="17"/>
      <c r="N232" s="11"/>
    </row>
    <row r="233">
      <c r="B233" s="11">
        <f>IFERROR(__xludf.DUMMYFUNCTION("""COMPUTED_VALUE"""),38899.0)</f>
        <v>38899</v>
      </c>
      <c r="C233" s="9">
        <f>IFERROR(__xludf.DUMMYFUNCTION("""COMPUTED_VALUE"""),32092.0)</f>
        <v>32092</v>
      </c>
      <c r="E233" s="11"/>
      <c r="H233" s="17"/>
      <c r="N233" s="11"/>
    </row>
    <row r="234">
      <c r="B234" s="11">
        <f>IFERROR(__xludf.DUMMYFUNCTION("""COMPUTED_VALUE"""),38869.0)</f>
        <v>38869</v>
      </c>
      <c r="C234" s="9">
        <f>IFERROR(__xludf.DUMMYFUNCTION("""COMPUTED_VALUE"""),33010.0)</f>
        <v>33010</v>
      </c>
      <c r="E234" s="11"/>
      <c r="H234" s="17"/>
      <c r="N234" s="11"/>
    </row>
    <row r="235">
      <c r="B235" s="11">
        <f>IFERROR(__xludf.DUMMYFUNCTION("""COMPUTED_VALUE"""),38838.0)</f>
        <v>38838</v>
      </c>
      <c r="C235" s="9">
        <f>IFERROR(__xludf.DUMMYFUNCTION("""COMPUTED_VALUE"""),31848.0)</f>
        <v>31848</v>
      </c>
      <c r="E235" s="11"/>
      <c r="H235" s="17"/>
      <c r="N235" s="11"/>
    </row>
    <row r="236">
      <c r="B236" s="11">
        <f>IFERROR(__xludf.DUMMYFUNCTION("""COMPUTED_VALUE"""),38808.0)</f>
        <v>38808</v>
      </c>
      <c r="C236" s="9">
        <f>IFERROR(__xludf.DUMMYFUNCTION("""COMPUTED_VALUE"""),31862.0)</f>
        <v>31862</v>
      </c>
      <c r="E236" s="11"/>
      <c r="H236" s="17"/>
      <c r="N236" s="11"/>
    </row>
    <row r="237">
      <c r="B237" s="11">
        <f>IFERROR(__xludf.DUMMYFUNCTION("""COMPUTED_VALUE"""),38777.0)</f>
        <v>38777</v>
      </c>
      <c r="C237" s="9">
        <f>IFERROR(__xludf.DUMMYFUNCTION("""COMPUTED_VALUE"""),30851.0)</f>
        <v>30851</v>
      </c>
      <c r="E237" s="11"/>
      <c r="H237" s="17"/>
      <c r="N237" s="11"/>
    </row>
    <row r="238">
      <c r="B238" s="11">
        <f>IFERROR(__xludf.DUMMYFUNCTION("""COMPUTED_VALUE"""),38749.0)</f>
        <v>38749</v>
      </c>
      <c r="C238" s="9">
        <f>IFERROR(__xludf.DUMMYFUNCTION("""COMPUTED_VALUE"""),28900.0)</f>
        <v>28900</v>
      </c>
      <c r="E238" s="11"/>
      <c r="H238" s="17"/>
      <c r="N238" s="11"/>
    </row>
    <row r="239">
      <c r="B239" s="11">
        <f>IFERROR(__xludf.DUMMYFUNCTION("""COMPUTED_VALUE"""),38718.0)</f>
        <v>38718</v>
      </c>
      <c r="C239" s="9">
        <f>IFERROR(__xludf.DUMMYFUNCTION("""COMPUTED_VALUE"""),29698.0)</f>
        <v>29698</v>
      </c>
      <c r="E239" s="11"/>
      <c r="H239" s="17"/>
      <c r="N239" s="11"/>
    </row>
    <row r="240">
      <c r="B240" s="11">
        <f>IFERROR(__xludf.DUMMYFUNCTION("""COMPUTED_VALUE"""),38687.0)</f>
        <v>38687</v>
      </c>
      <c r="C240" s="9">
        <f>IFERROR(__xludf.DUMMYFUNCTION("""COMPUTED_VALUE"""),29672.0)</f>
        <v>29672</v>
      </c>
      <c r="E240" s="11"/>
      <c r="H240" s="17"/>
      <c r="N240" s="11"/>
    </row>
    <row r="241">
      <c r="B241" s="11">
        <f>IFERROR(__xludf.DUMMYFUNCTION("""COMPUTED_VALUE"""),38657.0)</f>
        <v>38657</v>
      </c>
      <c r="C241" s="9">
        <f>IFERROR(__xludf.DUMMYFUNCTION("""COMPUTED_VALUE"""),29590.0)</f>
        <v>29590</v>
      </c>
      <c r="E241" s="11"/>
      <c r="H241" s="17"/>
      <c r="N241" s="11"/>
    </row>
    <row r="242">
      <c r="B242" s="11">
        <f>IFERROR(__xludf.DUMMYFUNCTION("""COMPUTED_VALUE"""),38626.0)</f>
        <v>38626</v>
      </c>
      <c r="C242" s="9">
        <f>IFERROR(__xludf.DUMMYFUNCTION("""COMPUTED_VALUE"""),29294.0)</f>
        <v>29294</v>
      </c>
      <c r="E242" s="11"/>
      <c r="H242" s="17"/>
      <c r="N242" s="11"/>
    </row>
    <row r="243">
      <c r="B243" s="11">
        <f>IFERROR(__xludf.DUMMYFUNCTION("""COMPUTED_VALUE"""),38596.0)</f>
        <v>38596</v>
      </c>
      <c r="C243" s="9">
        <f>IFERROR(__xludf.DUMMYFUNCTION("""COMPUTED_VALUE"""),29048.0)</f>
        <v>29048</v>
      </c>
      <c r="E243" s="11"/>
      <c r="H243" s="17"/>
      <c r="N243" s="11"/>
    </row>
    <row r="244">
      <c r="B244" s="11">
        <f>IFERROR(__xludf.DUMMYFUNCTION("""COMPUTED_VALUE"""),38565.0)</f>
        <v>38565</v>
      </c>
      <c r="C244" s="9">
        <f>IFERROR(__xludf.DUMMYFUNCTION("""COMPUTED_VALUE"""),29024.0)</f>
        <v>29024</v>
      </c>
      <c r="E244" s="11"/>
      <c r="H244" s="17"/>
      <c r="N244" s="11"/>
    </row>
    <row r="245">
      <c r="B245" s="11">
        <f>IFERROR(__xludf.DUMMYFUNCTION("""COMPUTED_VALUE"""),38534.0)</f>
        <v>38534</v>
      </c>
      <c r="C245" s="9">
        <f>IFERROR(__xludf.DUMMYFUNCTION("""COMPUTED_VALUE"""),27589.0)</f>
        <v>27589</v>
      </c>
      <c r="E245" s="11"/>
      <c r="H245" s="17"/>
      <c r="N245" s="11"/>
    </row>
    <row r="246">
      <c r="B246" s="11">
        <f>IFERROR(__xludf.DUMMYFUNCTION("""COMPUTED_VALUE"""),38504.0)</f>
        <v>38504</v>
      </c>
      <c r="C246" s="9">
        <f>IFERROR(__xludf.DUMMYFUNCTION("""COMPUTED_VALUE"""),27548.0)</f>
        <v>27548</v>
      </c>
      <c r="E246" s="11"/>
      <c r="H246" s="17"/>
      <c r="N246" s="11"/>
    </row>
    <row r="247">
      <c r="B247" s="11">
        <f>IFERROR(__xludf.DUMMYFUNCTION("""COMPUTED_VALUE"""),38473.0)</f>
        <v>38473</v>
      </c>
      <c r="C247" s="9">
        <f>IFERROR(__xludf.DUMMYFUNCTION("""COMPUTED_VALUE"""),27051.0)</f>
        <v>27051</v>
      </c>
      <c r="E247" s="11"/>
      <c r="H247" s="17"/>
      <c r="N247" s="11"/>
    </row>
    <row r="248">
      <c r="B248" s="11">
        <f>IFERROR(__xludf.DUMMYFUNCTION("""COMPUTED_VALUE"""),38443.0)</f>
        <v>38443</v>
      </c>
      <c r="C248" s="9">
        <f>IFERROR(__xludf.DUMMYFUNCTION("""COMPUTED_VALUE"""),27939.0)</f>
        <v>27939</v>
      </c>
      <c r="E248" s="11"/>
      <c r="H248" s="17"/>
      <c r="N248" s="11"/>
    </row>
    <row r="249">
      <c r="B249" s="11">
        <f>IFERROR(__xludf.DUMMYFUNCTION("""COMPUTED_VALUE"""),38412.0)</f>
        <v>38412</v>
      </c>
      <c r="C249" s="9">
        <f>IFERROR(__xludf.DUMMYFUNCTION("""COMPUTED_VALUE"""),28650.0)</f>
        <v>28650</v>
      </c>
      <c r="E249" s="11"/>
      <c r="H249" s="17"/>
      <c r="N249" s="11"/>
    </row>
    <row r="250">
      <c r="B250" s="11">
        <f>IFERROR(__xludf.DUMMYFUNCTION("""COMPUTED_VALUE"""),38384.0)</f>
        <v>38384</v>
      </c>
      <c r="C250" s="9">
        <f>IFERROR(__xludf.DUMMYFUNCTION("""COMPUTED_VALUE"""),28016.0)</f>
        <v>28016</v>
      </c>
      <c r="E250" s="11"/>
      <c r="H250" s="17"/>
      <c r="N250" s="11"/>
    </row>
    <row r="251">
      <c r="B251" s="11">
        <f>IFERROR(__xludf.DUMMYFUNCTION("""COMPUTED_VALUE"""),38353.0)</f>
        <v>38353</v>
      </c>
      <c r="C251" s="9">
        <f>IFERROR(__xludf.DUMMYFUNCTION("""COMPUTED_VALUE"""),27578.0)</f>
        <v>27578</v>
      </c>
      <c r="E251" s="11"/>
      <c r="H251" s="17"/>
      <c r="N251" s="11"/>
    </row>
    <row r="252">
      <c r="B252" s="11">
        <f>IFERROR(__xludf.DUMMYFUNCTION("""COMPUTED_VALUE"""),38322.0)</f>
        <v>38322</v>
      </c>
      <c r="C252" s="9">
        <f>IFERROR(__xludf.DUMMYFUNCTION("""COMPUTED_VALUE"""),28119.0)</f>
        <v>28119</v>
      </c>
      <c r="E252" s="11"/>
      <c r="H252" s="17"/>
      <c r="N252" s="11"/>
    </row>
    <row r="253">
      <c r="B253" s="11">
        <f>IFERROR(__xludf.DUMMYFUNCTION("""COMPUTED_VALUE"""),38292.0)</f>
        <v>38292</v>
      </c>
      <c r="C253" s="9">
        <f>IFERROR(__xludf.DUMMYFUNCTION("""COMPUTED_VALUE"""),27525.0)</f>
        <v>27525</v>
      </c>
      <c r="E253" s="11"/>
      <c r="H253" s="17"/>
      <c r="N253" s="11"/>
    </row>
    <row r="254">
      <c r="B254" s="11">
        <f>IFERROR(__xludf.DUMMYFUNCTION("""COMPUTED_VALUE"""),38261.0)</f>
        <v>38261</v>
      </c>
      <c r="C254" s="9">
        <f>IFERROR(__xludf.DUMMYFUNCTION("""COMPUTED_VALUE"""),25459.0)</f>
        <v>25459</v>
      </c>
      <c r="E254" s="11"/>
      <c r="H254" s="17"/>
      <c r="N254" s="11"/>
    </row>
    <row r="255">
      <c r="B255" s="11">
        <f>IFERROR(__xludf.DUMMYFUNCTION("""COMPUTED_VALUE"""),38231.0)</f>
        <v>38231</v>
      </c>
      <c r="C255" s="9">
        <f>IFERROR(__xludf.DUMMYFUNCTION("""COMPUTED_VALUE"""),23193.0)</f>
        <v>23193</v>
      </c>
      <c r="E255" s="11"/>
      <c r="H255" s="17"/>
      <c r="N255" s="11"/>
    </row>
    <row r="256">
      <c r="B256" s="11">
        <f>IFERROR(__xludf.DUMMYFUNCTION("""COMPUTED_VALUE"""),38200.0)</f>
        <v>38200</v>
      </c>
      <c r="C256" s="9">
        <f>IFERROR(__xludf.DUMMYFUNCTION("""COMPUTED_VALUE"""),22525.0)</f>
        <v>22525</v>
      </c>
      <c r="E256" s="11"/>
      <c r="H256" s="17"/>
      <c r="N256" s="11"/>
    </row>
    <row r="257">
      <c r="B257" s="11">
        <f>IFERROR(__xludf.DUMMYFUNCTION("""COMPUTED_VALUE"""),38169.0)</f>
        <v>38169</v>
      </c>
      <c r="C257" s="9">
        <f>IFERROR(__xludf.DUMMYFUNCTION("""COMPUTED_VALUE"""),21973.0)</f>
        <v>21973</v>
      </c>
      <c r="E257" s="11"/>
      <c r="H257" s="17"/>
      <c r="N257" s="11"/>
    </row>
    <row r="258">
      <c r="B258" s="11">
        <f>IFERROR(__xludf.DUMMYFUNCTION("""COMPUTED_VALUE"""),38139.0)</f>
        <v>38139</v>
      </c>
      <c r="C258" s="9">
        <f>IFERROR(__xludf.DUMMYFUNCTION("""COMPUTED_VALUE"""),20483.0)</f>
        <v>20483</v>
      </c>
      <c r="E258" s="11"/>
      <c r="H258" s="17"/>
      <c r="N258" s="11"/>
    </row>
    <row r="259">
      <c r="B259" s="11">
        <f>IFERROR(__xludf.DUMMYFUNCTION("""COMPUTED_VALUE"""),38108.0)</f>
        <v>38108</v>
      </c>
      <c r="C259" s="9">
        <f>IFERROR(__xludf.DUMMYFUNCTION("""COMPUTED_VALUE"""),22122.0)</f>
        <v>22122</v>
      </c>
      <c r="E259" s="11"/>
      <c r="H259" s="17"/>
      <c r="N259" s="11"/>
    </row>
    <row r="260">
      <c r="B260" s="11">
        <f>IFERROR(__xludf.DUMMYFUNCTION("""COMPUTED_VALUE"""),38078.0)</f>
        <v>38078</v>
      </c>
      <c r="C260" s="9">
        <f>IFERROR(__xludf.DUMMYFUNCTION("""COMPUTED_VALUE"""),21351.0)</f>
        <v>21351</v>
      </c>
      <c r="E260" s="11"/>
      <c r="H260" s="17"/>
      <c r="N260" s="11"/>
    </row>
    <row r="261">
      <c r="B261" s="11">
        <f>IFERROR(__xludf.DUMMYFUNCTION("""COMPUTED_VALUE"""),38047.0)</f>
        <v>38047</v>
      </c>
      <c r="C261" s="9">
        <f>IFERROR(__xludf.DUMMYFUNCTION("""COMPUTED_VALUE"""),21681.0)</f>
        <v>21681</v>
      </c>
      <c r="E261" s="11"/>
      <c r="H261" s="17"/>
      <c r="N261" s="11"/>
    </row>
    <row r="262">
      <c r="B262" s="11">
        <f>IFERROR(__xludf.DUMMYFUNCTION("""COMPUTED_VALUE"""),38018.0)</f>
        <v>38018</v>
      </c>
      <c r="C262" s="9">
        <f>IFERROR(__xludf.DUMMYFUNCTION("""COMPUTED_VALUE"""),22116.0)</f>
        <v>22116</v>
      </c>
      <c r="E262" s="11"/>
      <c r="H262" s="17"/>
      <c r="N262" s="11"/>
    </row>
    <row r="263">
      <c r="B263" s="11">
        <f>IFERROR(__xludf.DUMMYFUNCTION("""COMPUTED_VALUE"""),37987.0)</f>
        <v>37987</v>
      </c>
      <c r="C263" s="9">
        <f>IFERROR(__xludf.DUMMYFUNCTION("""COMPUTED_VALUE"""),21253.0)</f>
        <v>21253</v>
      </c>
      <c r="E263" s="11"/>
      <c r="H263" s="17"/>
      <c r="N263" s="11"/>
    </row>
    <row r="264">
      <c r="B264" s="11">
        <f>IFERROR(__xludf.DUMMYFUNCTION("""COMPUTED_VALUE"""),37956.0)</f>
        <v>37956</v>
      </c>
      <c r="C264" s="9">
        <f>IFERROR(__xludf.DUMMYFUNCTION("""COMPUTED_VALUE"""),21392.0)</f>
        <v>21392</v>
      </c>
      <c r="E264" s="11"/>
      <c r="H264" s="17"/>
      <c r="N264" s="11"/>
    </row>
    <row r="265">
      <c r="B265" s="11">
        <f>IFERROR(__xludf.DUMMYFUNCTION("""COMPUTED_VALUE"""),37926.0)</f>
        <v>37926</v>
      </c>
      <c r="C265" s="9">
        <f>IFERROR(__xludf.DUMMYFUNCTION("""COMPUTED_VALUE"""),21941.0)</f>
        <v>21941</v>
      </c>
      <c r="E265" s="11"/>
      <c r="H265" s="17"/>
      <c r="N265" s="11"/>
    </row>
    <row r="266">
      <c r="B266" s="11">
        <f>IFERROR(__xludf.DUMMYFUNCTION("""COMPUTED_VALUE"""),37895.0)</f>
        <v>37895</v>
      </c>
      <c r="C266" s="9">
        <f>IFERROR(__xludf.DUMMYFUNCTION("""COMPUTED_VALUE"""),22797.0)</f>
        <v>22797</v>
      </c>
      <c r="E266" s="11"/>
      <c r="H266" s="17"/>
      <c r="N266" s="11"/>
    </row>
    <row r="267">
      <c r="B267" s="11">
        <f>IFERROR(__xludf.DUMMYFUNCTION("""COMPUTED_VALUE"""),37865.0)</f>
        <v>37865</v>
      </c>
      <c r="C267" s="9">
        <f>IFERROR(__xludf.DUMMYFUNCTION("""COMPUTED_VALUE"""),22317.0)</f>
        <v>22317</v>
      </c>
      <c r="E267" s="11"/>
      <c r="H267" s="17"/>
      <c r="N267" s="11"/>
    </row>
    <row r="268">
      <c r="B268" s="11">
        <f>IFERROR(__xludf.DUMMYFUNCTION("""COMPUTED_VALUE"""),37834.0)</f>
        <v>37834</v>
      </c>
      <c r="C268" s="9">
        <f>IFERROR(__xludf.DUMMYFUNCTION("""COMPUTED_VALUE"""),21517.0)</f>
        <v>21517</v>
      </c>
      <c r="E268" s="11"/>
      <c r="H268" s="17"/>
      <c r="N268" s="11"/>
    </row>
    <row r="269">
      <c r="B269" s="11">
        <f>IFERROR(__xludf.DUMMYFUNCTION("""COMPUTED_VALUE"""),37803.0)</f>
        <v>37803</v>
      </c>
      <c r="C269" s="9">
        <f>IFERROR(__xludf.DUMMYFUNCTION("""COMPUTED_VALUE"""),21444.0)</f>
        <v>21444</v>
      </c>
      <c r="E269" s="11"/>
      <c r="H269" s="17"/>
      <c r="N269" s="11"/>
    </row>
    <row r="270">
      <c r="B270" s="11">
        <f>IFERROR(__xludf.DUMMYFUNCTION("""COMPUTED_VALUE"""),37773.0)</f>
        <v>37773</v>
      </c>
      <c r="C270" s="9">
        <f>IFERROR(__xludf.DUMMYFUNCTION("""COMPUTED_VALUE"""),22403.0)</f>
        <v>22403</v>
      </c>
      <c r="E270" s="11"/>
      <c r="H270" s="17"/>
      <c r="N270" s="11"/>
    </row>
    <row r="271">
      <c r="B271" s="11">
        <f>IFERROR(__xludf.DUMMYFUNCTION("""COMPUTED_VALUE"""),37742.0)</f>
        <v>37742</v>
      </c>
      <c r="C271" s="9">
        <f>IFERROR(__xludf.DUMMYFUNCTION("""COMPUTED_VALUE"""),22072.0)</f>
        <v>22072</v>
      </c>
      <c r="E271" s="11"/>
      <c r="H271" s="17"/>
      <c r="N271" s="11"/>
    </row>
    <row r="272">
      <c r="B272" s="11">
        <f>IFERROR(__xludf.DUMMYFUNCTION("""COMPUTED_VALUE"""),37712.0)</f>
        <v>37712</v>
      </c>
      <c r="C272" s="9">
        <f>IFERROR(__xludf.DUMMYFUNCTION("""COMPUTED_VALUE"""),20541.0)</f>
        <v>20541</v>
      </c>
      <c r="E272" s="11"/>
      <c r="H272" s="17"/>
      <c r="N272" s="11"/>
    </row>
    <row r="273">
      <c r="B273" s="11">
        <f>IFERROR(__xludf.DUMMYFUNCTION("""COMPUTED_VALUE"""),37681.0)</f>
        <v>37681</v>
      </c>
      <c r="C273" s="9">
        <f>IFERROR(__xludf.DUMMYFUNCTION("""COMPUTED_VALUE"""),20723.0)</f>
        <v>20723</v>
      </c>
      <c r="E273" s="11"/>
      <c r="H273" s="17"/>
      <c r="N273" s="11"/>
    </row>
    <row r="274">
      <c r="B274" s="11">
        <f>IFERROR(__xludf.DUMMYFUNCTION("""COMPUTED_VALUE"""),37653.0)</f>
        <v>37653</v>
      </c>
      <c r="C274" s="9">
        <f>IFERROR(__xludf.DUMMYFUNCTION("""COMPUTED_VALUE"""),19754.0)</f>
        <v>19754</v>
      </c>
      <c r="E274" s="11"/>
      <c r="H274" s="17"/>
      <c r="N274" s="11"/>
    </row>
    <row r="275">
      <c r="B275" s="11">
        <f>IFERROR(__xludf.DUMMYFUNCTION("""COMPUTED_VALUE"""),37622.0)</f>
        <v>37622</v>
      </c>
      <c r="C275" s="9">
        <f>IFERROR(__xludf.DUMMYFUNCTION("""COMPUTED_VALUE"""),19598.0)</f>
        <v>19598</v>
      </c>
      <c r="E275" s="11"/>
      <c r="H275" s="17"/>
      <c r="N275" s="11"/>
    </row>
    <row r="276">
      <c r="B276" s="11">
        <f>IFERROR(__xludf.DUMMYFUNCTION("""COMPUTED_VALUE"""),37591.0)</f>
        <v>37591</v>
      </c>
      <c r="C276" s="9">
        <f>IFERROR(__xludf.DUMMYFUNCTION("""COMPUTED_VALUE"""),20214.0)</f>
        <v>20214</v>
      </c>
      <c r="E276" s="11"/>
      <c r="H276" s="17"/>
      <c r="N276" s="11"/>
    </row>
    <row r="277">
      <c r="B277" s="11">
        <f>IFERROR(__xludf.DUMMYFUNCTION("""COMPUTED_VALUE"""),37561.0)</f>
        <v>37561</v>
      </c>
      <c r="C277" s="9">
        <f>IFERROR(__xludf.DUMMYFUNCTION("""COMPUTED_VALUE"""),20804.0)</f>
        <v>20804</v>
      </c>
      <c r="E277" s="11"/>
      <c r="H277" s="17"/>
      <c r="N277" s="11"/>
    </row>
    <row r="278">
      <c r="B278" s="11">
        <f>IFERROR(__xludf.DUMMYFUNCTION("""COMPUTED_VALUE"""),37530.0)</f>
        <v>37530</v>
      </c>
      <c r="C278" s="9">
        <f>IFERROR(__xludf.DUMMYFUNCTION("""COMPUTED_VALUE"""),20691.0)</f>
        <v>20691</v>
      </c>
      <c r="E278" s="11"/>
      <c r="H278" s="17"/>
      <c r="N278" s="11"/>
    </row>
    <row r="279">
      <c r="B279" s="11">
        <f>IFERROR(__xludf.DUMMYFUNCTION("""COMPUTED_VALUE"""),37500.0)</f>
        <v>37500</v>
      </c>
      <c r="C279" s="9">
        <f>IFERROR(__xludf.DUMMYFUNCTION("""COMPUTED_VALUE"""),20028.0)</f>
        <v>20028</v>
      </c>
      <c r="E279" s="11"/>
      <c r="H279" s="17"/>
      <c r="N279" s="11"/>
    </row>
    <row r="280">
      <c r="B280" s="11">
        <f>IFERROR(__xludf.DUMMYFUNCTION("""COMPUTED_VALUE"""),37469.0)</f>
        <v>37469</v>
      </c>
      <c r="C280" s="9">
        <f>IFERROR(__xludf.DUMMYFUNCTION("""COMPUTED_VALUE"""),20733.0)</f>
        <v>20733</v>
      </c>
      <c r="E280" s="11"/>
      <c r="H280" s="17"/>
      <c r="N280" s="11"/>
    </row>
    <row r="281">
      <c r="B281" s="11">
        <f>IFERROR(__xludf.DUMMYFUNCTION("""COMPUTED_VALUE"""),37438.0)</f>
        <v>37438</v>
      </c>
      <c r="C281" s="9">
        <f>IFERROR(__xludf.DUMMYFUNCTION("""COMPUTED_VALUE"""),21868.0)</f>
        <v>21868</v>
      </c>
      <c r="E281" s="11"/>
      <c r="H281" s="17"/>
      <c r="N281" s="11"/>
    </row>
    <row r="282">
      <c r="B282" s="11">
        <f>IFERROR(__xludf.DUMMYFUNCTION("""COMPUTED_VALUE"""),37408.0)</f>
        <v>37408</v>
      </c>
      <c r="C282" s="9">
        <f>IFERROR(__xludf.DUMMYFUNCTION("""COMPUTED_VALUE"""),22981.0)</f>
        <v>22981</v>
      </c>
      <c r="E282" s="11"/>
      <c r="H282" s="17"/>
      <c r="N282" s="11"/>
    </row>
    <row r="283">
      <c r="B283" s="11">
        <f>IFERROR(__xludf.DUMMYFUNCTION("""COMPUTED_VALUE"""),37377.0)</f>
        <v>37377</v>
      </c>
      <c r="C283" s="9">
        <f>IFERROR(__xludf.DUMMYFUNCTION("""COMPUTED_VALUE"""),23650.0)</f>
        <v>23650</v>
      </c>
      <c r="E283" s="11"/>
      <c r="H283" s="17"/>
      <c r="N283" s="11"/>
    </row>
    <row r="284">
      <c r="B284" s="11">
        <f>IFERROR(__xludf.DUMMYFUNCTION("""COMPUTED_VALUE"""),37347.0)</f>
        <v>37347</v>
      </c>
      <c r="C284" s="9">
        <f>IFERROR(__xludf.DUMMYFUNCTION("""COMPUTED_VALUE"""),24301.0)</f>
        <v>24301</v>
      </c>
      <c r="E284" s="11"/>
      <c r="H284" s="17"/>
      <c r="N284" s="11"/>
    </row>
    <row r="285">
      <c r="B285" s="11">
        <f>IFERROR(__xludf.DUMMYFUNCTION("""COMPUTED_VALUE"""),37316.0)</f>
        <v>37316</v>
      </c>
      <c r="C285" s="9">
        <f>IFERROR(__xludf.DUMMYFUNCTION("""COMPUTED_VALUE"""),24835.0)</f>
        <v>24835</v>
      </c>
      <c r="E285" s="11"/>
      <c r="H285" s="17"/>
      <c r="N285" s="11"/>
    </row>
    <row r="286">
      <c r="B286" s="11">
        <f>IFERROR(__xludf.DUMMYFUNCTION("""COMPUTED_VALUE"""),37288.0)</f>
        <v>37288</v>
      </c>
      <c r="C286" s="9">
        <f>IFERROR(__xludf.DUMMYFUNCTION("""COMPUTED_VALUE"""),25816.0)</f>
        <v>25816</v>
      </c>
      <c r="E286" s="11"/>
      <c r="H286" s="17"/>
      <c r="N286" s="11"/>
    </row>
    <row r="287">
      <c r="B287" s="11">
        <f>IFERROR(__xludf.DUMMYFUNCTION("""COMPUTED_VALUE"""),37257.0)</f>
        <v>37257</v>
      </c>
      <c r="C287" s="9">
        <f>IFERROR(__xludf.DUMMYFUNCTION("""COMPUTED_VALUE"""),28116.0)</f>
        <v>28116</v>
      </c>
      <c r="E287" s="11"/>
      <c r="H287" s="17"/>
      <c r="N287" s="11"/>
    </row>
    <row r="288">
      <c r="B288" s="11">
        <f>IFERROR(__xludf.DUMMYFUNCTION("""COMPUTED_VALUE"""),37226.0)</f>
        <v>37226</v>
      </c>
      <c r="C288" s="9">
        <f>IFERROR(__xludf.DUMMYFUNCTION("""COMPUTED_VALUE"""),30083.0)</f>
        <v>30083</v>
      </c>
      <c r="E288" s="11"/>
      <c r="H288" s="17"/>
      <c r="N288" s="11"/>
    </row>
    <row r="289">
      <c r="B289" s="11">
        <f>IFERROR(__xludf.DUMMYFUNCTION("""COMPUTED_VALUE"""),37196.0)</f>
        <v>37196</v>
      </c>
      <c r="C289" s="9">
        <f>IFERROR(__xludf.DUMMYFUNCTION("""COMPUTED_VALUE"""),29466.0)</f>
        <v>29466</v>
      </c>
      <c r="E289" s="11"/>
      <c r="H289" s="17"/>
      <c r="N289" s="11"/>
    </row>
    <row r="290">
      <c r="B290" s="11">
        <f>IFERROR(__xludf.DUMMYFUNCTION("""COMPUTED_VALUE"""),37165.0)</f>
        <v>37165</v>
      </c>
      <c r="C290" s="9">
        <f>IFERROR(__xludf.DUMMYFUNCTION("""COMPUTED_VALUE"""),34000.0)</f>
        <v>34000</v>
      </c>
      <c r="E290" s="11"/>
      <c r="H290" s="17"/>
      <c r="N290" s="11"/>
    </row>
    <row r="291">
      <c r="B291" s="11">
        <f>IFERROR(__xludf.DUMMYFUNCTION("""COMPUTED_VALUE"""),37135.0)</f>
        <v>37135</v>
      </c>
      <c r="C291" s="9">
        <f>IFERROR(__xludf.DUMMYFUNCTION("""COMPUTED_VALUE"""),38751.0)</f>
        <v>38751</v>
      </c>
      <c r="E291" s="11"/>
      <c r="H291" s="17"/>
      <c r="N291" s="11"/>
    </row>
    <row r="292">
      <c r="B292" s="11">
        <f>IFERROR(__xludf.DUMMYFUNCTION("""COMPUTED_VALUE"""),37104.0)</f>
        <v>37104</v>
      </c>
      <c r="C292" s="9">
        <f>IFERROR(__xludf.DUMMYFUNCTION("""COMPUTED_VALUE"""),38439.0)</f>
        <v>38439</v>
      </c>
      <c r="E292" s="11"/>
      <c r="H292" s="17"/>
      <c r="N292" s="11"/>
    </row>
    <row r="293">
      <c r="B293" s="11">
        <f>IFERROR(__xludf.DUMMYFUNCTION("""COMPUTED_VALUE"""),37073.0)</f>
        <v>37073</v>
      </c>
      <c r="C293" s="9">
        <f>IFERROR(__xludf.DUMMYFUNCTION("""COMPUTED_VALUE"""),39336.0)</f>
        <v>39336</v>
      </c>
      <c r="E293" s="11"/>
      <c r="H293" s="17"/>
      <c r="N293" s="11"/>
    </row>
    <row r="294">
      <c r="B294" s="11">
        <f>IFERROR(__xludf.DUMMYFUNCTION("""COMPUTED_VALUE"""),37043.0)</f>
        <v>37043</v>
      </c>
      <c r="C294" s="9">
        <f>IFERROR(__xludf.DUMMYFUNCTION("""COMPUTED_VALUE"""),40082.0)</f>
        <v>40082</v>
      </c>
      <c r="E294" s="11"/>
      <c r="H294" s="17"/>
      <c r="N294" s="11"/>
    </row>
    <row r="295">
      <c r="B295" s="11">
        <f>IFERROR(__xludf.DUMMYFUNCTION("""COMPUTED_VALUE"""),37012.0)</f>
        <v>37012</v>
      </c>
      <c r="C295" s="9">
        <f>IFERROR(__xludf.DUMMYFUNCTION("""COMPUTED_VALUE"""),38921.0)</f>
        <v>38921</v>
      </c>
      <c r="E295" s="11"/>
      <c r="H295" s="17"/>
      <c r="N295" s="11"/>
    </row>
    <row r="296">
      <c r="B296" s="11">
        <f>IFERROR(__xludf.DUMMYFUNCTION("""COMPUTED_VALUE"""),36982.0)</f>
        <v>36982</v>
      </c>
      <c r="C296" s="9">
        <f>IFERROR(__xludf.DUMMYFUNCTION("""COMPUTED_VALUE"""),40776.0)</f>
        <v>40776</v>
      </c>
      <c r="E296" s="11"/>
      <c r="H296" s="17"/>
      <c r="N296" s="11"/>
    </row>
    <row r="297">
      <c r="B297" s="11">
        <f>IFERROR(__xludf.DUMMYFUNCTION("""COMPUTED_VALUE"""),36951.0)</f>
        <v>36951</v>
      </c>
      <c r="C297" s="9">
        <f>IFERROR(__xludf.DUMMYFUNCTION("""COMPUTED_VALUE"""),42465.0)</f>
        <v>42465</v>
      </c>
      <c r="E297" s="11"/>
      <c r="H297" s="17"/>
      <c r="N297" s="11"/>
    </row>
    <row r="298">
      <c r="B298" s="11">
        <f>IFERROR(__xludf.DUMMYFUNCTION("""COMPUTED_VALUE"""),36923.0)</f>
        <v>36923</v>
      </c>
      <c r="C298" s="9">
        <f>IFERROR(__xludf.DUMMYFUNCTION("""COMPUTED_VALUE"""),40064.0)</f>
        <v>40064</v>
      </c>
      <c r="E298" s="11"/>
      <c r="H298" s="17"/>
      <c r="N298" s="11"/>
    </row>
    <row r="299">
      <c r="B299" s="11">
        <f>IFERROR(__xludf.DUMMYFUNCTION("""COMPUTED_VALUE"""),36892.0)</f>
        <v>36892</v>
      </c>
      <c r="C299" s="9">
        <f>IFERROR(__xludf.DUMMYFUNCTION("""COMPUTED_VALUE"""),43224.0)</f>
        <v>43224</v>
      </c>
      <c r="E299" s="11"/>
      <c r="H299" s="17"/>
      <c r="N299" s="11"/>
    </row>
    <row r="300">
      <c r="B300" s="11">
        <f>IFERROR(__xludf.DUMMYFUNCTION("""COMPUTED_VALUE"""),36861.0)</f>
        <v>36861</v>
      </c>
      <c r="C300" s="9">
        <f>IFERROR(__xludf.DUMMYFUNCTION("""COMPUTED_VALUE"""),38470.0)</f>
        <v>38470</v>
      </c>
      <c r="E300" s="11"/>
      <c r="H300" s="17"/>
      <c r="N300" s="11"/>
    </row>
    <row r="301">
      <c r="B301" s="11">
        <f>IFERROR(__xludf.DUMMYFUNCTION("""COMPUTED_VALUE"""),36831.0)</f>
        <v>36831</v>
      </c>
      <c r="C301" s="9">
        <f>IFERROR(__xludf.DUMMYFUNCTION("""COMPUTED_VALUE"""),39100.0)</f>
        <v>39100</v>
      </c>
      <c r="E301" s="11"/>
      <c r="H301" s="17"/>
      <c r="N301" s="11"/>
    </row>
    <row r="302">
      <c r="B302" s="11">
        <f>IFERROR(__xludf.DUMMYFUNCTION("""COMPUTED_VALUE"""),36800.0)</f>
        <v>36800</v>
      </c>
      <c r="C302" s="9">
        <f>IFERROR(__xludf.DUMMYFUNCTION("""COMPUTED_VALUE"""),39157.0)</f>
        <v>39157</v>
      </c>
      <c r="E302" s="11"/>
      <c r="H302" s="17"/>
      <c r="N302" s="11"/>
    </row>
    <row r="303">
      <c r="B303" s="11">
        <f>IFERROR(__xludf.DUMMYFUNCTION("""COMPUTED_VALUE"""),36770.0)</f>
        <v>36770</v>
      </c>
      <c r="C303" s="9">
        <f>IFERROR(__xludf.DUMMYFUNCTION("""COMPUTED_VALUE"""),38456.0)</f>
        <v>38456</v>
      </c>
      <c r="E303" s="11"/>
      <c r="H303" s="17"/>
      <c r="N303" s="11"/>
    </row>
    <row r="304">
      <c r="B304" s="11">
        <f>IFERROR(__xludf.DUMMYFUNCTION("""COMPUTED_VALUE"""),36739.0)</f>
        <v>36739</v>
      </c>
      <c r="C304" s="9">
        <f>IFERROR(__xludf.DUMMYFUNCTION("""COMPUTED_VALUE"""),38617.0)</f>
        <v>38617</v>
      </c>
      <c r="E304" s="11"/>
      <c r="H304" s="17"/>
      <c r="N304" s="11"/>
    </row>
    <row r="305">
      <c r="B305" s="11">
        <f>IFERROR(__xludf.DUMMYFUNCTION("""COMPUTED_VALUE"""),36708.0)</f>
        <v>36708</v>
      </c>
      <c r="C305" s="9">
        <f>IFERROR(__xludf.DUMMYFUNCTION("""COMPUTED_VALUE"""),37295.0)</f>
        <v>37295</v>
      </c>
      <c r="E305" s="11"/>
      <c r="H305" s="17"/>
      <c r="N305" s="11"/>
    </row>
    <row r="306">
      <c r="B306" s="11">
        <f>IFERROR(__xludf.DUMMYFUNCTION("""COMPUTED_VALUE"""),36678.0)</f>
        <v>36678</v>
      </c>
      <c r="C306" s="9">
        <f>IFERROR(__xludf.DUMMYFUNCTION("""COMPUTED_VALUE"""),38449.0)</f>
        <v>38449</v>
      </c>
      <c r="E306" s="11"/>
      <c r="H306" s="17"/>
      <c r="N306" s="11"/>
    </row>
    <row r="307">
      <c r="B307" s="11">
        <f>IFERROR(__xludf.DUMMYFUNCTION("""COMPUTED_VALUE"""),36647.0)</f>
        <v>36647</v>
      </c>
      <c r="C307" s="9">
        <f>IFERROR(__xludf.DUMMYFUNCTION("""COMPUTED_VALUE"""),39979.0)</f>
        <v>39979</v>
      </c>
      <c r="E307" s="11"/>
      <c r="H307" s="17"/>
      <c r="N307" s="11"/>
    </row>
    <row r="308">
      <c r="B308" s="11">
        <f>IFERROR(__xludf.DUMMYFUNCTION("""COMPUTED_VALUE"""),36617.0)</f>
        <v>36617</v>
      </c>
      <c r="C308" s="9">
        <f>IFERROR(__xludf.DUMMYFUNCTION("""COMPUTED_VALUE"""),36553.0)</f>
        <v>36553</v>
      </c>
      <c r="E308" s="11"/>
      <c r="H308" s="17"/>
      <c r="N308" s="11"/>
    </row>
    <row r="309">
      <c r="B309" s="11">
        <f>IFERROR(__xludf.DUMMYFUNCTION("""COMPUTED_VALUE"""),36586.0)</f>
        <v>36586</v>
      </c>
      <c r="C309" s="9">
        <f>IFERROR(__xludf.DUMMYFUNCTION("""COMPUTED_VALUE"""),36433.0)</f>
        <v>36433</v>
      </c>
      <c r="E309" s="11"/>
      <c r="H309" s="17"/>
      <c r="N309" s="11"/>
    </row>
    <row r="310">
      <c r="B310" s="11">
        <f>IFERROR(__xludf.DUMMYFUNCTION("""COMPUTED_VALUE"""),36557.0)</f>
        <v>36557</v>
      </c>
      <c r="C310" s="9">
        <f>IFERROR(__xludf.DUMMYFUNCTION("""COMPUTED_VALUE"""),35742.0)</f>
        <v>35742</v>
      </c>
      <c r="E310" s="11"/>
      <c r="H310" s="17"/>
      <c r="N310" s="11"/>
    </row>
    <row r="311">
      <c r="B311" s="11">
        <f>IFERROR(__xludf.DUMMYFUNCTION("""COMPUTED_VALUE"""),36526.0)</f>
        <v>36526</v>
      </c>
      <c r="C311" s="9">
        <f>IFERROR(__xludf.DUMMYFUNCTION("""COMPUTED_VALUE"""),32449.0)</f>
        <v>32449</v>
      </c>
      <c r="E311" s="11"/>
      <c r="H311" s="17"/>
      <c r="N311" s="11"/>
    </row>
    <row r="312">
      <c r="B312" s="11">
        <f>IFERROR(__xludf.DUMMYFUNCTION("""COMPUTED_VALUE"""),36495.0)</f>
        <v>36495</v>
      </c>
      <c r="C312" s="9">
        <f>IFERROR(__xludf.DUMMYFUNCTION("""COMPUTED_VALUE"""),34293.0)</f>
        <v>34293</v>
      </c>
      <c r="E312" s="11"/>
      <c r="H312" s="17"/>
      <c r="N312" s="11"/>
    </row>
    <row r="313">
      <c r="B313" s="11">
        <f>IFERROR(__xludf.DUMMYFUNCTION("""COMPUTED_VALUE"""),36465.0)</f>
        <v>36465</v>
      </c>
      <c r="C313" s="9">
        <f>IFERROR(__xludf.DUMMYFUNCTION("""COMPUTED_VALUE"""),32703.0)</f>
        <v>32703</v>
      </c>
      <c r="E313" s="11"/>
      <c r="H313" s="17"/>
      <c r="N313" s="11"/>
    </row>
    <row r="314">
      <c r="B314" s="11">
        <f>IFERROR(__xludf.DUMMYFUNCTION("""COMPUTED_VALUE"""),36434.0)</f>
        <v>36434</v>
      </c>
      <c r="C314" s="9">
        <f>IFERROR(__xludf.DUMMYFUNCTION("""COMPUTED_VALUE"""),32512.0)</f>
        <v>32512</v>
      </c>
      <c r="E314" s="11"/>
      <c r="H314" s="17"/>
      <c r="N314" s="11"/>
    </row>
    <row r="315">
      <c r="B315" s="11">
        <f>IFERROR(__xludf.DUMMYFUNCTION("""COMPUTED_VALUE"""),36404.0)</f>
        <v>36404</v>
      </c>
      <c r="C315" s="9">
        <f>IFERROR(__xludf.DUMMYFUNCTION("""COMPUTED_VALUE"""),34161.0)</f>
        <v>34161</v>
      </c>
      <c r="E315" s="11"/>
      <c r="H315" s="17"/>
      <c r="N315" s="11"/>
    </row>
    <row r="316">
      <c r="B316" s="11">
        <f>IFERROR(__xludf.DUMMYFUNCTION("""COMPUTED_VALUE"""),36373.0)</f>
        <v>36373</v>
      </c>
      <c r="C316" s="9">
        <f>IFERROR(__xludf.DUMMYFUNCTION("""COMPUTED_VALUE"""),34586.0)</f>
        <v>34586</v>
      </c>
      <c r="E316" s="11"/>
      <c r="H316" s="17"/>
      <c r="N316" s="11"/>
    </row>
    <row r="317">
      <c r="B317" s="11">
        <f>IFERROR(__xludf.DUMMYFUNCTION("""COMPUTED_VALUE"""),36342.0)</f>
        <v>36342</v>
      </c>
      <c r="C317" s="9">
        <f>IFERROR(__xludf.DUMMYFUNCTION("""COMPUTED_VALUE"""),35027.0)</f>
        <v>35027</v>
      </c>
      <c r="E317" s="11"/>
      <c r="H317" s="17"/>
      <c r="N317" s="11"/>
    </row>
    <row r="318">
      <c r="B318" s="11">
        <f>IFERROR(__xludf.DUMMYFUNCTION("""COMPUTED_VALUE"""),36312.0)</f>
        <v>36312</v>
      </c>
      <c r="C318" s="9">
        <f>IFERROR(__xludf.DUMMYFUNCTION("""COMPUTED_VALUE"""),34980.0)</f>
        <v>34980</v>
      </c>
      <c r="E318" s="11"/>
      <c r="H318" s="17"/>
      <c r="N318" s="11"/>
    </row>
    <row r="319">
      <c r="B319" s="11">
        <f>IFERROR(__xludf.DUMMYFUNCTION("""COMPUTED_VALUE"""),36281.0)</f>
        <v>36281</v>
      </c>
      <c r="C319" s="9">
        <f>IFERROR(__xludf.DUMMYFUNCTION("""COMPUTED_VALUE"""),34976.0)</f>
        <v>34976</v>
      </c>
      <c r="E319" s="11"/>
      <c r="H319" s="17"/>
      <c r="N319" s="11"/>
    </row>
    <row r="320">
      <c r="B320" s="11">
        <f>IFERROR(__xludf.DUMMYFUNCTION("""COMPUTED_VALUE"""),36251.0)</f>
        <v>36251</v>
      </c>
      <c r="C320" s="9">
        <f>IFERROR(__xludf.DUMMYFUNCTION("""COMPUTED_VALUE"""),35523.0)</f>
        <v>35523</v>
      </c>
      <c r="E320" s="11"/>
      <c r="H320" s="17"/>
      <c r="N320" s="11"/>
    </row>
    <row r="321">
      <c r="B321" s="11">
        <f>IFERROR(__xludf.DUMMYFUNCTION("""COMPUTED_VALUE"""),36220.0)</f>
        <v>36220</v>
      </c>
      <c r="C321" s="9">
        <f>IFERROR(__xludf.DUMMYFUNCTION("""COMPUTED_VALUE"""),37992.0)</f>
        <v>37992</v>
      </c>
      <c r="E321" s="11"/>
      <c r="H321" s="17"/>
      <c r="N321" s="11"/>
    </row>
    <row r="322">
      <c r="B322" s="11">
        <f>IFERROR(__xludf.DUMMYFUNCTION("""COMPUTED_VALUE"""),36192.0)</f>
        <v>36192</v>
      </c>
      <c r="C322" s="9">
        <f>IFERROR(__xludf.DUMMYFUNCTION("""COMPUTED_VALUE"""),37575.0)</f>
        <v>37575</v>
      </c>
      <c r="E322" s="11"/>
      <c r="H322" s="17"/>
      <c r="N322" s="11"/>
    </row>
    <row r="323">
      <c r="B323" s="11">
        <f>IFERROR(__xludf.DUMMYFUNCTION("""COMPUTED_VALUE"""),36161.0)</f>
        <v>36161</v>
      </c>
      <c r="C323" s="9">
        <f>IFERROR(__xludf.DUMMYFUNCTION("""COMPUTED_VALUE"""),38716.0)</f>
        <v>38716</v>
      </c>
      <c r="E323" s="11"/>
      <c r="H323" s="17"/>
      <c r="N323" s="11"/>
    </row>
    <row r="324">
      <c r="B324" s="11">
        <f>IFERROR(__xludf.DUMMYFUNCTION("""COMPUTED_VALUE"""),36130.0)</f>
        <v>36130</v>
      </c>
      <c r="C324" s="9">
        <f>IFERROR(__xludf.DUMMYFUNCTION("""COMPUTED_VALUE"""),40300.0)</f>
        <v>40300</v>
      </c>
      <c r="E324" s="11"/>
      <c r="H324" s="17"/>
      <c r="N324" s="11"/>
    </row>
    <row r="325">
      <c r="B325" s="11">
        <f>IFERROR(__xludf.DUMMYFUNCTION("""COMPUTED_VALUE"""),36100.0)</f>
        <v>36100</v>
      </c>
      <c r="C325" s="9">
        <f>IFERROR(__xludf.DUMMYFUNCTION("""COMPUTED_VALUE"""),40042.0)</f>
        <v>40042</v>
      </c>
      <c r="E325" s="11"/>
      <c r="H325" s="17"/>
      <c r="N325" s="11"/>
    </row>
    <row r="326">
      <c r="B326" s="11">
        <f>IFERROR(__xludf.DUMMYFUNCTION("""COMPUTED_VALUE"""),36069.0)</f>
        <v>36069</v>
      </c>
      <c r="C326" s="9">
        <f>IFERROR(__xludf.DUMMYFUNCTION("""COMPUTED_VALUE"""),40623.0)</f>
        <v>40623</v>
      </c>
      <c r="E326" s="11"/>
      <c r="H326" s="17"/>
      <c r="N326" s="11"/>
    </row>
    <row r="327">
      <c r="B327" s="11">
        <f>IFERROR(__xludf.DUMMYFUNCTION("""COMPUTED_VALUE"""),36039.0)</f>
        <v>36039</v>
      </c>
      <c r="C327" s="9">
        <f>IFERROR(__xludf.DUMMYFUNCTION("""COMPUTED_VALUE"""),40743.0)</f>
        <v>40743</v>
      </c>
      <c r="E327" s="11"/>
      <c r="H327" s="17"/>
      <c r="N327" s="11"/>
    </row>
    <row r="328">
      <c r="B328" s="11">
        <f>IFERROR(__xludf.DUMMYFUNCTION("""COMPUTED_VALUE"""),36008.0)</f>
        <v>36008</v>
      </c>
      <c r="C328" s="9">
        <f>IFERROR(__xludf.DUMMYFUNCTION("""COMPUTED_VALUE"""),41540.0)</f>
        <v>41540</v>
      </c>
      <c r="E328" s="11"/>
      <c r="H328" s="17"/>
      <c r="N328" s="11"/>
    </row>
    <row r="329">
      <c r="B329" s="11">
        <f>IFERROR(__xludf.DUMMYFUNCTION("""COMPUTED_VALUE"""),35977.0)</f>
        <v>35977</v>
      </c>
      <c r="C329" s="9">
        <f>IFERROR(__xludf.DUMMYFUNCTION("""COMPUTED_VALUE"""),38311.0)</f>
        <v>38311</v>
      </c>
      <c r="E329" s="11"/>
      <c r="H329" s="17"/>
      <c r="N329" s="11"/>
    </row>
    <row r="330">
      <c r="B330" s="11">
        <f>IFERROR(__xludf.DUMMYFUNCTION("""COMPUTED_VALUE"""),35947.0)</f>
        <v>35947</v>
      </c>
      <c r="C330" s="9">
        <f>IFERROR(__xludf.DUMMYFUNCTION("""COMPUTED_VALUE"""),40067.0)</f>
        <v>40067</v>
      </c>
      <c r="E330" s="11"/>
      <c r="H330" s="17"/>
      <c r="N330" s="11"/>
    </row>
    <row r="331">
      <c r="B331" s="11">
        <f>IFERROR(__xludf.DUMMYFUNCTION("""COMPUTED_VALUE"""),35916.0)</f>
        <v>35916</v>
      </c>
      <c r="C331" s="9">
        <f>IFERROR(__xludf.DUMMYFUNCTION("""COMPUTED_VALUE"""),40807.0)</f>
        <v>40807</v>
      </c>
      <c r="E331" s="11"/>
      <c r="H331" s="17"/>
      <c r="N331" s="11"/>
    </row>
    <row r="332">
      <c r="B332" s="11">
        <f>IFERROR(__xludf.DUMMYFUNCTION("""COMPUTED_VALUE"""),35886.0)</f>
        <v>35886</v>
      </c>
      <c r="C332" s="9">
        <f>IFERROR(__xludf.DUMMYFUNCTION("""COMPUTED_VALUE"""),41412.0)</f>
        <v>41412</v>
      </c>
      <c r="E332" s="11"/>
      <c r="H332" s="17"/>
      <c r="N332" s="11"/>
    </row>
    <row r="333">
      <c r="B333" s="11">
        <f>IFERROR(__xludf.DUMMYFUNCTION("""COMPUTED_VALUE"""),35855.0)</f>
        <v>35855</v>
      </c>
      <c r="C333" s="9">
        <f>IFERROR(__xludf.DUMMYFUNCTION("""COMPUTED_VALUE"""),43006.0)</f>
        <v>43006</v>
      </c>
      <c r="E333" s="11"/>
      <c r="H333" s="17"/>
      <c r="N333" s="11"/>
    </row>
    <row r="334">
      <c r="B334" s="11">
        <f>IFERROR(__xludf.DUMMYFUNCTION("""COMPUTED_VALUE"""),35827.0)</f>
        <v>35827</v>
      </c>
      <c r="C334" s="9">
        <f>IFERROR(__xludf.DUMMYFUNCTION("""COMPUTED_VALUE"""),39842.0)</f>
        <v>39842</v>
      </c>
      <c r="E334" s="11"/>
      <c r="H334" s="17"/>
      <c r="N334" s="11"/>
    </row>
    <row r="335">
      <c r="B335" s="11">
        <f>IFERROR(__xludf.DUMMYFUNCTION("""COMPUTED_VALUE"""),35796.0)</f>
        <v>35796</v>
      </c>
      <c r="C335" s="9">
        <f>IFERROR(__xludf.DUMMYFUNCTION("""COMPUTED_VALUE"""),39333.0)</f>
        <v>39333</v>
      </c>
      <c r="E335" s="11"/>
      <c r="H335" s="17"/>
      <c r="N335" s="11"/>
    </row>
    <row r="336">
      <c r="B336" s="11">
        <f>IFERROR(__xludf.DUMMYFUNCTION("""COMPUTED_VALUE"""),35765.0)</f>
        <v>35765</v>
      </c>
      <c r="C336" s="9">
        <f>IFERROR(__xludf.DUMMYFUNCTION("""COMPUTED_VALUE"""),39180.0)</f>
        <v>39180</v>
      </c>
      <c r="E336" s="11"/>
      <c r="H336" s="17"/>
      <c r="N336" s="11"/>
    </row>
    <row r="337">
      <c r="B337" s="11">
        <f>IFERROR(__xludf.DUMMYFUNCTION("""COMPUTED_VALUE"""),35735.0)</f>
        <v>35735</v>
      </c>
      <c r="C337" s="9">
        <f>IFERROR(__xludf.DUMMYFUNCTION("""COMPUTED_VALUE"""),37407.0)</f>
        <v>37407</v>
      </c>
      <c r="E337" s="11"/>
      <c r="H337" s="17"/>
      <c r="N337" s="11"/>
    </row>
    <row r="338">
      <c r="B338" s="11">
        <f>IFERROR(__xludf.DUMMYFUNCTION("""COMPUTED_VALUE"""),35704.0)</f>
        <v>35704</v>
      </c>
      <c r="C338" s="9">
        <f>IFERROR(__xludf.DUMMYFUNCTION("""COMPUTED_VALUE"""),38519.0)</f>
        <v>38519</v>
      </c>
      <c r="E338" s="11"/>
      <c r="H338" s="17"/>
      <c r="N338" s="11"/>
    </row>
    <row r="339">
      <c r="B339" s="11">
        <f>IFERROR(__xludf.DUMMYFUNCTION("""COMPUTED_VALUE"""),35674.0)</f>
        <v>35674</v>
      </c>
      <c r="C339" s="9">
        <f>IFERROR(__xludf.DUMMYFUNCTION("""COMPUTED_VALUE"""),38597.0)</f>
        <v>38597</v>
      </c>
      <c r="E339" s="11"/>
      <c r="H339" s="17"/>
      <c r="N339" s="11"/>
    </row>
    <row r="340">
      <c r="B340" s="11">
        <f>IFERROR(__xludf.DUMMYFUNCTION("""COMPUTED_VALUE"""),35643.0)</f>
        <v>35643</v>
      </c>
      <c r="C340" s="9">
        <f>IFERROR(__xludf.DUMMYFUNCTION("""COMPUTED_VALUE"""),38172.0)</f>
        <v>38172</v>
      </c>
      <c r="E340" s="11"/>
      <c r="H340" s="17"/>
      <c r="N340" s="11"/>
    </row>
    <row r="341">
      <c r="B341" s="11">
        <f>IFERROR(__xludf.DUMMYFUNCTION("""COMPUTED_VALUE"""),35612.0)</f>
        <v>35612</v>
      </c>
      <c r="C341" s="9">
        <f>IFERROR(__xludf.DUMMYFUNCTION("""COMPUTED_VALUE"""),38968.0)</f>
        <v>38968</v>
      </c>
      <c r="E341" s="11"/>
      <c r="H341" s="17"/>
      <c r="N341" s="11"/>
    </row>
    <row r="342">
      <c r="B342" s="11">
        <f>IFERROR(__xludf.DUMMYFUNCTION("""COMPUTED_VALUE"""),35582.0)</f>
        <v>35582</v>
      </c>
      <c r="C342" s="9">
        <f>IFERROR(__xludf.DUMMYFUNCTION("""COMPUTED_VALUE"""),36393.0)</f>
        <v>36393</v>
      </c>
      <c r="E342" s="11"/>
      <c r="H342" s="17"/>
      <c r="N342" s="11"/>
    </row>
    <row r="343">
      <c r="B343" s="11">
        <f>IFERROR(__xludf.DUMMYFUNCTION("""COMPUTED_VALUE"""),35551.0)</f>
        <v>35551</v>
      </c>
      <c r="C343" s="9">
        <f>IFERROR(__xludf.DUMMYFUNCTION("""COMPUTED_VALUE"""),36177.0)</f>
        <v>36177</v>
      </c>
      <c r="E343" s="11"/>
      <c r="H343" s="17"/>
      <c r="N343" s="11"/>
    </row>
    <row r="344">
      <c r="B344" s="11">
        <f>IFERROR(__xludf.DUMMYFUNCTION("""COMPUTED_VALUE"""),35521.0)</f>
        <v>35521</v>
      </c>
      <c r="C344" s="9">
        <f>IFERROR(__xludf.DUMMYFUNCTION("""COMPUTED_VALUE"""),36084.0)</f>
        <v>36084</v>
      </c>
      <c r="E344" s="11"/>
      <c r="H344" s="17"/>
      <c r="N344" s="11"/>
    </row>
    <row r="345">
      <c r="B345" s="11">
        <f>IFERROR(__xludf.DUMMYFUNCTION("""COMPUTED_VALUE"""),35490.0)</f>
        <v>35490</v>
      </c>
      <c r="C345" s="9">
        <f>IFERROR(__xludf.DUMMYFUNCTION("""COMPUTED_VALUE"""),34865.0)</f>
        <v>34865</v>
      </c>
      <c r="E345" s="11"/>
      <c r="H345" s="17"/>
      <c r="N345" s="11"/>
    </row>
    <row r="346">
      <c r="B346" s="11">
        <f>IFERROR(__xludf.DUMMYFUNCTION("""COMPUTED_VALUE"""),35462.0)</f>
        <v>35462</v>
      </c>
      <c r="C346" s="9">
        <f>IFERROR(__xludf.DUMMYFUNCTION("""COMPUTED_VALUE"""),38273.0)</f>
        <v>38273</v>
      </c>
      <c r="E346" s="11"/>
      <c r="H346" s="17"/>
      <c r="N346" s="11"/>
    </row>
    <row r="347">
      <c r="B347" s="11">
        <f>IFERROR(__xludf.DUMMYFUNCTION("""COMPUTED_VALUE"""),35431.0)</f>
        <v>35431</v>
      </c>
      <c r="C347" s="9">
        <f>IFERROR(__xludf.DUMMYFUNCTION("""COMPUTED_VALUE"""),38762.0)</f>
        <v>38762</v>
      </c>
      <c r="E347" s="11"/>
      <c r="H347" s="17"/>
      <c r="N347" s="11"/>
    </row>
    <row r="348">
      <c r="B348" s="11">
        <f>IFERROR(__xludf.DUMMYFUNCTION("""COMPUTED_VALUE"""),35400.0)</f>
        <v>35400</v>
      </c>
      <c r="C348" s="9">
        <f>IFERROR(__xludf.DUMMYFUNCTION("""COMPUTED_VALUE"""),38840.0)</f>
        <v>38840</v>
      </c>
      <c r="E348" s="11"/>
      <c r="H348" s="17"/>
      <c r="N348" s="11"/>
    </row>
    <row r="349">
      <c r="B349" s="11">
        <f>IFERROR(__xludf.DUMMYFUNCTION("""COMPUTED_VALUE"""),35370.0)</f>
        <v>35370</v>
      </c>
      <c r="C349" s="9">
        <f>IFERROR(__xludf.DUMMYFUNCTION("""COMPUTED_VALUE"""),40927.0)</f>
        <v>40927</v>
      </c>
      <c r="E349" s="11"/>
      <c r="H349" s="17"/>
      <c r="N349" s="11"/>
    </row>
    <row r="350">
      <c r="B350" s="11">
        <f>IFERROR(__xludf.DUMMYFUNCTION("""COMPUTED_VALUE"""),35339.0)</f>
        <v>35339</v>
      </c>
      <c r="C350" s="9">
        <f>IFERROR(__xludf.DUMMYFUNCTION("""COMPUTED_VALUE"""),42797.0)</f>
        <v>42797</v>
      </c>
      <c r="E350" s="11"/>
      <c r="H350" s="17"/>
      <c r="N350" s="11"/>
    </row>
    <row r="351">
      <c r="B351" s="11">
        <f>IFERROR(__xludf.DUMMYFUNCTION("""COMPUTED_VALUE"""),35309.0)</f>
        <v>35309</v>
      </c>
      <c r="C351" s="9">
        <f>IFERROR(__xludf.DUMMYFUNCTION("""COMPUTED_VALUE"""),38181.0)</f>
        <v>38181</v>
      </c>
      <c r="E351" s="11"/>
      <c r="H351" s="17"/>
      <c r="N351" s="11"/>
    </row>
    <row r="352">
      <c r="B352" s="11">
        <f>IFERROR(__xludf.DUMMYFUNCTION("""COMPUTED_VALUE"""),35278.0)</f>
        <v>35278</v>
      </c>
      <c r="C352" s="9">
        <f>IFERROR(__xludf.DUMMYFUNCTION("""COMPUTED_VALUE"""),35494.0)</f>
        <v>35494</v>
      </c>
      <c r="E352" s="11"/>
      <c r="H352" s="17"/>
      <c r="N352" s="11"/>
    </row>
    <row r="353">
      <c r="B353" s="11">
        <f>IFERROR(__xludf.DUMMYFUNCTION("""COMPUTED_VALUE"""),35247.0)</f>
        <v>35247</v>
      </c>
      <c r="C353" s="9">
        <f>IFERROR(__xludf.DUMMYFUNCTION("""COMPUTED_VALUE"""),36034.0)</f>
        <v>36034</v>
      </c>
      <c r="E353" s="11"/>
      <c r="H353" s="17"/>
      <c r="N353" s="11"/>
    </row>
    <row r="354">
      <c r="B354" s="11">
        <f>IFERROR(__xludf.DUMMYFUNCTION("""COMPUTED_VALUE"""),35217.0)</f>
        <v>35217</v>
      </c>
      <c r="C354" s="9">
        <f>IFERROR(__xludf.DUMMYFUNCTION("""COMPUTED_VALUE"""),37396.0)</f>
        <v>37396</v>
      </c>
      <c r="E354" s="11"/>
      <c r="H354" s="17"/>
      <c r="N354" s="11"/>
    </row>
    <row r="355">
      <c r="B355" s="11">
        <f>IFERROR(__xludf.DUMMYFUNCTION("""COMPUTED_VALUE"""),35186.0)</f>
        <v>35186</v>
      </c>
      <c r="C355" s="9">
        <f>IFERROR(__xludf.DUMMYFUNCTION("""COMPUTED_VALUE"""),36485.0)</f>
        <v>36485</v>
      </c>
      <c r="E355" s="11"/>
      <c r="H355" s="17"/>
      <c r="N355" s="11"/>
    </row>
    <row r="356">
      <c r="B356" s="11">
        <f>IFERROR(__xludf.DUMMYFUNCTION("""COMPUTED_VALUE"""),35156.0)</f>
        <v>35156</v>
      </c>
      <c r="C356" s="9">
        <f>IFERROR(__xludf.DUMMYFUNCTION("""COMPUTED_VALUE"""),37085.0)</f>
        <v>37085</v>
      </c>
      <c r="E356" s="11"/>
      <c r="H356" s="17"/>
      <c r="N356" s="11"/>
    </row>
    <row r="357">
      <c r="B357" s="11">
        <f>IFERROR(__xludf.DUMMYFUNCTION("""COMPUTED_VALUE"""),35125.0)</f>
        <v>35125</v>
      </c>
      <c r="C357" s="9">
        <f>IFERROR(__xludf.DUMMYFUNCTION("""COMPUTED_VALUE"""),36821.0)</f>
        <v>36821</v>
      </c>
      <c r="E357" s="11"/>
      <c r="H357" s="17"/>
      <c r="N357" s="11"/>
    </row>
    <row r="358">
      <c r="B358" s="11">
        <f>IFERROR(__xludf.DUMMYFUNCTION("""COMPUTED_VALUE"""),35096.0)</f>
        <v>35096</v>
      </c>
      <c r="C358" s="9">
        <f>IFERROR(__xludf.DUMMYFUNCTION("""COMPUTED_VALUE"""),37011.0)</f>
        <v>37011</v>
      </c>
      <c r="E358" s="11"/>
      <c r="H358" s="17"/>
      <c r="N358" s="11"/>
    </row>
    <row r="359">
      <c r="B359" s="11">
        <f>IFERROR(__xludf.DUMMYFUNCTION("""COMPUTED_VALUE"""),35065.0)</f>
        <v>35065</v>
      </c>
      <c r="C359" s="9">
        <f>IFERROR(__xludf.DUMMYFUNCTION("""COMPUTED_VALUE"""),39939.0)</f>
        <v>39939</v>
      </c>
      <c r="E359" s="11"/>
      <c r="H359" s="17"/>
      <c r="N359" s="11"/>
    </row>
    <row r="360">
      <c r="B360" s="11">
        <f>IFERROR(__xludf.DUMMYFUNCTION("""COMPUTED_VALUE"""),35034.0)</f>
        <v>35034</v>
      </c>
      <c r="C360" s="9">
        <f>IFERROR(__xludf.DUMMYFUNCTION("""COMPUTED_VALUE"""),35511.0)</f>
        <v>35511</v>
      </c>
      <c r="E360" s="11"/>
      <c r="H360" s="17"/>
      <c r="N360" s="11"/>
    </row>
    <row r="361">
      <c r="B361" s="11">
        <f>IFERROR(__xludf.DUMMYFUNCTION("""COMPUTED_VALUE"""),35004.0)</f>
        <v>35004</v>
      </c>
      <c r="C361" s="9">
        <f>IFERROR(__xludf.DUMMYFUNCTION("""COMPUTED_VALUE"""),35508.0)</f>
        <v>35508</v>
      </c>
      <c r="E361" s="11"/>
      <c r="H361" s="17"/>
      <c r="N361" s="11"/>
    </row>
    <row r="362">
      <c r="B362" s="11">
        <f>IFERROR(__xludf.DUMMYFUNCTION("""COMPUTED_VALUE"""),34973.0)</f>
        <v>34973</v>
      </c>
      <c r="C362" s="9">
        <f>IFERROR(__xludf.DUMMYFUNCTION("""COMPUTED_VALUE"""),35857.0)</f>
        <v>35857</v>
      </c>
      <c r="E362" s="11"/>
      <c r="H362" s="17"/>
      <c r="N362" s="11"/>
    </row>
    <row r="363">
      <c r="B363" s="11">
        <f>IFERROR(__xludf.DUMMYFUNCTION("""COMPUTED_VALUE"""),34943.0)</f>
        <v>34943</v>
      </c>
      <c r="C363" s="9">
        <f>IFERROR(__xludf.DUMMYFUNCTION("""COMPUTED_VALUE"""),35838.0)</f>
        <v>35838</v>
      </c>
      <c r="E363" s="11"/>
      <c r="H363" s="17"/>
      <c r="N363" s="11"/>
    </row>
    <row r="364">
      <c r="B364" s="11">
        <f>IFERROR(__xludf.DUMMYFUNCTION("""COMPUTED_VALUE"""),34912.0)</f>
        <v>34912</v>
      </c>
      <c r="C364" s="9">
        <f>IFERROR(__xludf.DUMMYFUNCTION("""COMPUTED_VALUE"""),35191.0)</f>
        <v>35191</v>
      </c>
      <c r="E364" s="11"/>
      <c r="H364" s="17"/>
      <c r="N364" s="11"/>
    </row>
    <row r="365">
      <c r="B365" s="11">
        <f>IFERROR(__xludf.DUMMYFUNCTION("""COMPUTED_VALUE"""),34881.0)</f>
        <v>34881</v>
      </c>
      <c r="C365" s="9">
        <f>IFERROR(__xludf.DUMMYFUNCTION("""COMPUTED_VALUE"""),36957.0)</f>
        <v>36957</v>
      </c>
      <c r="E365" s="11"/>
      <c r="H365" s="17"/>
      <c r="N365" s="11"/>
    </row>
    <row r="366">
      <c r="B366" s="11">
        <f>IFERROR(__xludf.DUMMYFUNCTION("""COMPUTED_VALUE"""),34851.0)</f>
        <v>34851</v>
      </c>
      <c r="C366" s="9">
        <f>IFERROR(__xludf.DUMMYFUNCTION("""COMPUTED_VALUE"""),35902.0)</f>
        <v>35902</v>
      </c>
      <c r="E366" s="11"/>
      <c r="H366" s="17"/>
      <c r="N366" s="11"/>
    </row>
    <row r="367">
      <c r="B367" s="11">
        <f>IFERROR(__xludf.DUMMYFUNCTION("""COMPUTED_VALUE"""),34820.0)</f>
        <v>34820</v>
      </c>
      <c r="C367" s="9">
        <f>IFERROR(__xludf.DUMMYFUNCTION("""COMPUTED_VALUE"""),37043.0)</f>
        <v>37043</v>
      </c>
      <c r="E367" s="11"/>
      <c r="H367" s="17"/>
      <c r="N367" s="11"/>
    </row>
    <row r="368">
      <c r="B368" s="11">
        <f>IFERROR(__xludf.DUMMYFUNCTION("""COMPUTED_VALUE"""),34790.0)</f>
        <v>34790</v>
      </c>
      <c r="C368" s="9">
        <f>IFERROR(__xludf.DUMMYFUNCTION("""COMPUTED_VALUE"""),35806.0)</f>
        <v>35806</v>
      </c>
      <c r="E368" s="11"/>
      <c r="H368" s="17"/>
      <c r="N368" s="11"/>
    </row>
    <row r="369">
      <c r="B369" s="11">
        <f>IFERROR(__xludf.DUMMYFUNCTION("""COMPUTED_VALUE"""),34759.0)</f>
        <v>34759</v>
      </c>
      <c r="C369" s="9">
        <f>IFERROR(__xludf.DUMMYFUNCTION("""COMPUTED_VALUE"""),34291.0)</f>
        <v>34291</v>
      </c>
      <c r="E369" s="11"/>
      <c r="H369" s="17"/>
      <c r="N369" s="11"/>
    </row>
    <row r="370">
      <c r="B370" s="11">
        <f>IFERROR(__xludf.DUMMYFUNCTION("""COMPUTED_VALUE"""),34731.0)</f>
        <v>34731</v>
      </c>
      <c r="C370" s="9">
        <f>IFERROR(__xludf.DUMMYFUNCTION("""COMPUTED_VALUE"""),33780.0)</f>
        <v>33780</v>
      </c>
      <c r="E370" s="11"/>
      <c r="H370" s="17"/>
      <c r="N370" s="11"/>
    </row>
    <row r="371">
      <c r="B371" s="11">
        <f>IFERROR(__xludf.DUMMYFUNCTION("""COMPUTED_VALUE"""),34700.0)</f>
        <v>34700</v>
      </c>
      <c r="C371" s="9">
        <f>IFERROR(__xludf.DUMMYFUNCTION("""COMPUTED_VALUE"""),32256.0)</f>
        <v>32256</v>
      </c>
      <c r="E371" s="11"/>
      <c r="H371" s="17"/>
      <c r="N371" s="11"/>
    </row>
    <row r="372">
      <c r="B372" s="11">
        <f>IFERROR(__xludf.DUMMYFUNCTION("""COMPUTED_VALUE"""),34669.0)</f>
        <v>34669</v>
      </c>
      <c r="C372" s="9">
        <f>IFERROR(__xludf.DUMMYFUNCTION("""COMPUTED_VALUE"""),32015.0)</f>
        <v>32015</v>
      </c>
      <c r="E372" s="11"/>
      <c r="H372" s="17"/>
      <c r="N372" s="11"/>
    </row>
    <row r="373">
      <c r="B373" s="11">
        <f>IFERROR(__xludf.DUMMYFUNCTION("""COMPUTED_VALUE"""),34639.0)</f>
        <v>34639</v>
      </c>
      <c r="C373" s="9">
        <f>IFERROR(__xludf.DUMMYFUNCTION("""COMPUTED_VALUE"""),33727.0)</f>
        <v>33727</v>
      </c>
      <c r="E373" s="11"/>
      <c r="H373" s="17"/>
      <c r="N373" s="11"/>
    </row>
    <row r="374">
      <c r="B374" s="11">
        <f>IFERROR(__xludf.DUMMYFUNCTION("""COMPUTED_VALUE"""),34608.0)</f>
        <v>34608</v>
      </c>
      <c r="C374" s="9">
        <f>IFERROR(__xludf.DUMMYFUNCTION("""COMPUTED_VALUE"""),30512.0)</f>
        <v>30512</v>
      </c>
      <c r="E374" s="11"/>
      <c r="H374" s="17"/>
      <c r="N374" s="11"/>
    </row>
    <row r="375">
      <c r="B375" s="11">
        <f>IFERROR(__xludf.DUMMYFUNCTION("""COMPUTED_VALUE"""),34578.0)</f>
        <v>34578</v>
      </c>
      <c r="C375" s="9">
        <f>IFERROR(__xludf.DUMMYFUNCTION("""COMPUTED_VALUE"""),30066.0)</f>
        <v>30066</v>
      </c>
      <c r="E375" s="11"/>
      <c r="H375" s="17"/>
      <c r="N375" s="11"/>
    </row>
    <row r="376">
      <c r="B376" s="11">
        <f>IFERROR(__xludf.DUMMYFUNCTION("""COMPUTED_VALUE"""),34547.0)</f>
        <v>34547</v>
      </c>
      <c r="C376" s="9">
        <f>IFERROR(__xludf.DUMMYFUNCTION("""COMPUTED_VALUE"""),29333.0)</f>
        <v>29333</v>
      </c>
      <c r="E376" s="11"/>
      <c r="H376" s="17"/>
      <c r="N376" s="11"/>
    </row>
    <row r="377">
      <c r="B377" s="11">
        <f>IFERROR(__xludf.DUMMYFUNCTION("""COMPUTED_VALUE"""),34516.0)</f>
        <v>34516</v>
      </c>
      <c r="C377" s="9">
        <f>IFERROR(__xludf.DUMMYFUNCTION("""COMPUTED_VALUE"""),28246.0)</f>
        <v>28246</v>
      </c>
      <c r="E377" s="11"/>
      <c r="H377" s="17"/>
      <c r="N377" s="11"/>
    </row>
    <row r="378">
      <c r="B378" s="11">
        <f>IFERROR(__xludf.DUMMYFUNCTION("""COMPUTED_VALUE"""),34486.0)</f>
        <v>34486</v>
      </c>
      <c r="C378" s="9">
        <f>IFERROR(__xludf.DUMMYFUNCTION("""COMPUTED_VALUE"""),28663.0)</f>
        <v>28663</v>
      </c>
      <c r="E378" s="11"/>
      <c r="H378" s="17"/>
      <c r="N378" s="11"/>
    </row>
    <row r="379">
      <c r="B379" s="11">
        <f>IFERROR(__xludf.DUMMYFUNCTION("""COMPUTED_VALUE"""),34455.0)</f>
        <v>34455</v>
      </c>
      <c r="C379" s="9">
        <f>IFERROR(__xludf.DUMMYFUNCTION("""COMPUTED_VALUE"""),29875.0)</f>
        <v>29875</v>
      </c>
      <c r="E379" s="11"/>
      <c r="H379" s="17"/>
      <c r="N379" s="11"/>
    </row>
    <row r="380">
      <c r="B380" s="11">
        <f>IFERROR(__xludf.DUMMYFUNCTION("""COMPUTED_VALUE"""),34425.0)</f>
        <v>34425</v>
      </c>
      <c r="C380" s="9">
        <f>IFERROR(__xludf.DUMMYFUNCTION("""COMPUTED_VALUE"""),26921.0)</f>
        <v>26921</v>
      </c>
      <c r="E380" s="11"/>
      <c r="H380" s="17"/>
      <c r="N380" s="11"/>
    </row>
    <row r="381">
      <c r="B381" s="11">
        <f>IFERROR(__xludf.DUMMYFUNCTION("""COMPUTED_VALUE"""),34394.0)</f>
        <v>34394</v>
      </c>
      <c r="C381" s="9">
        <f>IFERROR(__xludf.DUMMYFUNCTION("""COMPUTED_VALUE"""),25912.0)</f>
        <v>25912</v>
      </c>
      <c r="E381" s="11"/>
      <c r="H381" s="17"/>
      <c r="N381" s="11"/>
    </row>
    <row r="382">
      <c r="B382" s="11">
        <f>IFERROR(__xludf.DUMMYFUNCTION("""COMPUTED_VALUE"""),34366.0)</f>
        <v>34366</v>
      </c>
      <c r="C382" s="9">
        <f>IFERROR(__xludf.DUMMYFUNCTION("""COMPUTED_VALUE"""),24862.0)</f>
        <v>24862</v>
      </c>
      <c r="E382" s="11"/>
      <c r="H382" s="17"/>
      <c r="N382" s="11"/>
    </row>
    <row r="383">
      <c r="B383" s="11">
        <f>IFERROR(__xludf.DUMMYFUNCTION("""COMPUTED_VALUE"""),34335.0)</f>
        <v>34335</v>
      </c>
      <c r="C383" s="9">
        <f>IFERROR(__xludf.DUMMYFUNCTION("""COMPUTED_VALUE"""),24403.0)</f>
        <v>24403</v>
      </c>
      <c r="E383" s="11"/>
      <c r="H383" s="17"/>
      <c r="N383" s="11"/>
    </row>
    <row r="384">
      <c r="B384" s="11">
        <f>IFERROR(__xludf.DUMMYFUNCTION("""COMPUTED_VALUE"""),34304.0)</f>
        <v>34304</v>
      </c>
      <c r="C384" s="9">
        <f>IFERROR(__xludf.DUMMYFUNCTION("""COMPUTED_VALUE"""),25010.0)</f>
        <v>25010</v>
      </c>
      <c r="E384" s="11"/>
      <c r="H384" s="17"/>
      <c r="N384" s="11"/>
    </row>
    <row r="385">
      <c r="B385" s="11">
        <f>IFERROR(__xludf.DUMMYFUNCTION("""COMPUTED_VALUE"""),34274.0)</f>
        <v>34274</v>
      </c>
      <c r="C385" s="9">
        <f>IFERROR(__xludf.DUMMYFUNCTION("""COMPUTED_VALUE"""),23787.0)</f>
        <v>23787</v>
      </c>
      <c r="E385" s="11"/>
      <c r="H385" s="17"/>
      <c r="N385" s="11"/>
    </row>
    <row r="386">
      <c r="B386" s="11">
        <f>IFERROR(__xludf.DUMMYFUNCTION("""COMPUTED_VALUE"""),34243.0)</f>
        <v>34243</v>
      </c>
      <c r="C386" s="9">
        <f>IFERROR(__xludf.DUMMYFUNCTION("""COMPUTED_VALUE"""),23696.0)</f>
        <v>23696</v>
      </c>
      <c r="E386" s="11"/>
      <c r="H386" s="17"/>
      <c r="N386" s="11"/>
    </row>
    <row r="387">
      <c r="B387" s="11">
        <f>IFERROR(__xludf.DUMMYFUNCTION("""COMPUTED_VALUE"""),34213.0)</f>
        <v>34213</v>
      </c>
      <c r="C387" s="9">
        <f>IFERROR(__xludf.DUMMYFUNCTION("""COMPUTED_VALUE"""),23376.0)</f>
        <v>23376</v>
      </c>
      <c r="E387" s="11"/>
      <c r="H387" s="17"/>
      <c r="N387" s="11"/>
    </row>
    <row r="388">
      <c r="B388" s="11">
        <f>IFERROR(__xludf.DUMMYFUNCTION("""COMPUTED_VALUE"""),34182.0)</f>
        <v>34182</v>
      </c>
      <c r="C388" s="9">
        <f>IFERROR(__xludf.DUMMYFUNCTION("""COMPUTED_VALUE"""),23480.0)</f>
        <v>23480</v>
      </c>
      <c r="E388" s="11"/>
      <c r="H388" s="17"/>
      <c r="N388" s="11"/>
    </row>
    <row r="389">
      <c r="B389" s="11">
        <f>IFERROR(__xludf.DUMMYFUNCTION("""COMPUTED_VALUE"""),34151.0)</f>
        <v>34151</v>
      </c>
      <c r="C389" s="9">
        <f>IFERROR(__xludf.DUMMYFUNCTION("""COMPUTED_VALUE"""),22933.0)</f>
        <v>22933</v>
      </c>
      <c r="E389" s="11"/>
      <c r="H389" s="17"/>
      <c r="N389" s="11"/>
    </row>
    <row r="390">
      <c r="B390" s="11">
        <f>IFERROR(__xludf.DUMMYFUNCTION("""COMPUTED_VALUE"""),34121.0)</f>
        <v>34121</v>
      </c>
      <c r="C390" s="9">
        <f>IFERROR(__xludf.DUMMYFUNCTION("""COMPUTED_VALUE"""),21963.0)</f>
        <v>21963</v>
      </c>
      <c r="E390" s="11"/>
      <c r="H390" s="17"/>
      <c r="N390" s="11"/>
    </row>
    <row r="391">
      <c r="B391" s="11">
        <f>IFERROR(__xludf.DUMMYFUNCTION("""COMPUTED_VALUE"""),34090.0)</f>
        <v>34090</v>
      </c>
      <c r="C391" s="9">
        <f>IFERROR(__xludf.DUMMYFUNCTION("""COMPUTED_VALUE"""),23659.0)</f>
        <v>23659</v>
      </c>
      <c r="E391" s="11"/>
      <c r="H391" s="17"/>
      <c r="N391" s="11"/>
    </row>
    <row r="392">
      <c r="B392" s="11">
        <f>IFERROR(__xludf.DUMMYFUNCTION("""COMPUTED_VALUE"""),34060.0)</f>
        <v>34060</v>
      </c>
      <c r="C392" s="9">
        <f>IFERROR(__xludf.DUMMYFUNCTION("""COMPUTED_VALUE"""),21550.0)</f>
        <v>21550</v>
      </c>
      <c r="E392" s="11"/>
      <c r="H392" s="17"/>
      <c r="N392" s="11"/>
    </row>
    <row r="393">
      <c r="B393" s="11">
        <f>IFERROR(__xludf.DUMMYFUNCTION("""COMPUTED_VALUE"""),34029.0)</f>
        <v>34029</v>
      </c>
      <c r="C393" s="9">
        <f>IFERROR(__xludf.DUMMYFUNCTION("""COMPUTED_VALUE"""),22800.0)</f>
        <v>22800</v>
      </c>
      <c r="E393" s="11"/>
      <c r="H393" s="17"/>
      <c r="N393" s="11"/>
    </row>
    <row r="394">
      <c r="B394" s="11">
        <f>IFERROR(__xludf.DUMMYFUNCTION("""COMPUTED_VALUE"""),34001.0)</f>
        <v>34001</v>
      </c>
      <c r="C394" s="9">
        <f>IFERROR(__xludf.DUMMYFUNCTION("""COMPUTED_VALUE"""),23488.0)</f>
        <v>23488</v>
      </c>
      <c r="E394" s="11"/>
      <c r="H394" s="17"/>
      <c r="N394" s="11"/>
    </row>
    <row r="395">
      <c r="B395" s="11">
        <f>IFERROR(__xludf.DUMMYFUNCTION("""COMPUTED_VALUE"""),33970.0)</f>
        <v>33970</v>
      </c>
      <c r="C395" s="9">
        <f>IFERROR(__xludf.DUMMYFUNCTION("""COMPUTED_VALUE"""),24811.0)</f>
        <v>24811</v>
      </c>
      <c r="E395" s="11"/>
      <c r="H395" s="17"/>
      <c r="N395" s="11"/>
    </row>
    <row r="396">
      <c r="B396" s="11"/>
      <c r="E396" s="11"/>
      <c r="H396" s="17"/>
      <c r="N396" s="11"/>
    </row>
    <row r="397">
      <c r="B397" s="11"/>
      <c r="E397" s="11"/>
      <c r="H397" s="17"/>
      <c r="N397" s="11"/>
    </row>
    <row r="398">
      <c r="B398" s="11"/>
      <c r="E398" s="11"/>
      <c r="H398" s="17"/>
      <c r="N398" s="11"/>
    </row>
    <row r="399">
      <c r="B399" s="11"/>
      <c r="E399" s="11"/>
      <c r="H399" s="17"/>
      <c r="N399" s="11"/>
    </row>
    <row r="400">
      <c r="B400" s="11"/>
      <c r="E400" s="11"/>
      <c r="H400" s="17"/>
      <c r="N400" s="11"/>
    </row>
    <row r="401">
      <c r="B401" s="11"/>
      <c r="E401" s="11"/>
      <c r="H401" s="17"/>
      <c r="N401" s="11"/>
    </row>
    <row r="402">
      <c r="B402" s="11"/>
      <c r="E402" s="11"/>
      <c r="H402" s="17"/>
      <c r="N402" s="11"/>
    </row>
    <row r="403">
      <c r="B403" s="11"/>
      <c r="E403" s="11"/>
      <c r="H403" s="17"/>
      <c r="N403" s="11"/>
    </row>
    <row r="404">
      <c r="B404" s="11"/>
      <c r="E404" s="11"/>
      <c r="H404" s="17"/>
      <c r="N404" s="11"/>
    </row>
    <row r="405">
      <c r="B405" s="11"/>
      <c r="E405" s="11"/>
      <c r="H405" s="17"/>
      <c r="N405" s="11"/>
    </row>
    <row r="406">
      <c r="B406" s="11"/>
      <c r="E406" s="11"/>
      <c r="H406" s="17"/>
      <c r="N406" s="11"/>
    </row>
    <row r="407">
      <c r="B407" s="11"/>
      <c r="E407" s="11"/>
      <c r="H407" s="17"/>
      <c r="N407" s="11"/>
    </row>
    <row r="408">
      <c r="B408" s="11"/>
      <c r="E408" s="11"/>
      <c r="H408" s="17"/>
      <c r="N408" s="11"/>
    </row>
    <row r="409">
      <c r="B409" s="11"/>
      <c r="E409" s="11"/>
      <c r="H409" s="17"/>
      <c r="N409" s="11"/>
    </row>
    <row r="410">
      <c r="B410" s="11"/>
      <c r="E410" s="11"/>
      <c r="H410" s="17"/>
      <c r="N410" s="11"/>
    </row>
    <row r="411">
      <c r="B411" s="11"/>
      <c r="E411" s="11"/>
      <c r="H411" s="17"/>
      <c r="N411" s="11"/>
    </row>
    <row r="412">
      <c r="B412" s="11"/>
      <c r="E412" s="11"/>
      <c r="H412" s="17"/>
      <c r="N412" s="11"/>
    </row>
    <row r="413">
      <c r="B413" s="11"/>
      <c r="E413" s="11"/>
      <c r="H413" s="17"/>
      <c r="N413" s="11"/>
    </row>
    <row r="414">
      <c r="B414" s="11"/>
      <c r="E414" s="11"/>
      <c r="H414" s="17"/>
      <c r="N414" s="11"/>
    </row>
    <row r="415">
      <c r="B415" s="11"/>
      <c r="E415" s="11"/>
      <c r="H415" s="17"/>
      <c r="N415" s="11"/>
    </row>
    <row r="416">
      <c r="B416" s="11"/>
      <c r="E416" s="11"/>
      <c r="H416" s="17"/>
      <c r="N416" s="11"/>
    </row>
    <row r="417">
      <c r="B417" s="11"/>
      <c r="E417" s="11"/>
      <c r="H417" s="17"/>
      <c r="N417" s="11"/>
    </row>
    <row r="418">
      <c r="B418" s="11"/>
      <c r="E418" s="11"/>
      <c r="H418" s="17"/>
      <c r="N418" s="11"/>
    </row>
    <row r="419">
      <c r="B419" s="11"/>
      <c r="E419" s="11"/>
      <c r="H419" s="17"/>
      <c r="N419" s="11"/>
    </row>
    <row r="420">
      <c r="B420" s="11"/>
      <c r="E420" s="11"/>
      <c r="H420" s="17"/>
      <c r="N420" s="11"/>
    </row>
    <row r="421">
      <c r="B421" s="11"/>
      <c r="E421" s="11"/>
      <c r="H421" s="17"/>
      <c r="N421" s="11"/>
    </row>
    <row r="422">
      <c r="B422" s="11"/>
      <c r="E422" s="11"/>
      <c r="H422" s="17"/>
      <c r="N422" s="11"/>
    </row>
    <row r="423">
      <c r="B423" s="11"/>
      <c r="E423" s="11"/>
      <c r="H423" s="17"/>
      <c r="N423" s="11"/>
    </row>
    <row r="424">
      <c r="B424" s="11"/>
      <c r="E424" s="11"/>
      <c r="H424" s="17"/>
      <c r="N424" s="11"/>
    </row>
    <row r="425">
      <c r="B425" s="11"/>
      <c r="E425" s="11"/>
      <c r="H425" s="17"/>
      <c r="N425" s="11"/>
    </row>
    <row r="426">
      <c r="B426" s="11"/>
      <c r="E426" s="11"/>
      <c r="H426" s="17"/>
      <c r="N426" s="11"/>
    </row>
    <row r="427">
      <c r="B427" s="11"/>
      <c r="E427" s="11"/>
      <c r="H427" s="17"/>
      <c r="N427" s="11"/>
    </row>
    <row r="428">
      <c r="B428" s="11"/>
      <c r="E428" s="11"/>
      <c r="H428" s="17"/>
      <c r="N428" s="11"/>
    </row>
    <row r="429">
      <c r="B429" s="11"/>
      <c r="E429" s="11"/>
      <c r="H429" s="17"/>
      <c r="N429" s="11"/>
    </row>
    <row r="430">
      <c r="B430" s="11"/>
      <c r="E430" s="11"/>
      <c r="H430" s="17"/>
      <c r="N430" s="11"/>
    </row>
    <row r="431">
      <c r="B431" s="11"/>
      <c r="E431" s="11"/>
      <c r="H431" s="17"/>
      <c r="N431" s="11"/>
    </row>
    <row r="432">
      <c r="B432" s="11"/>
      <c r="E432" s="11"/>
      <c r="H432" s="17"/>
      <c r="N432" s="11"/>
    </row>
    <row r="433">
      <c r="B433" s="11"/>
      <c r="E433" s="11"/>
      <c r="H433" s="17"/>
      <c r="N433" s="11"/>
    </row>
    <row r="434">
      <c r="B434" s="11"/>
      <c r="E434" s="11"/>
      <c r="H434" s="17"/>
      <c r="N434" s="11"/>
    </row>
    <row r="435">
      <c r="B435" s="11"/>
      <c r="E435" s="11"/>
      <c r="H435" s="17"/>
      <c r="N435" s="11"/>
    </row>
    <row r="436">
      <c r="B436" s="11"/>
      <c r="E436" s="11"/>
      <c r="H436" s="17"/>
      <c r="N436" s="11"/>
    </row>
    <row r="437">
      <c r="B437" s="11"/>
      <c r="E437" s="11"/>
      <c r="H437" s="17"/>
      <c r="N437" s="11"/>
    </row>
    <row r="438">
      <c r="B438" s="11"/>
      <c r="E438" s="11"/>
      <c r="H438" s="17"/>
      <c r="N438" s="11"/>
    </row>
    <row r="439">
      <c r="B439" s="11"/>
      <c r="E439" s="11"/>
      <c r="H439" s="17"/>
      <c r="N439" s="11"/>
    </row>
    <row r="440">
      <c r="B440" s="11"/>
      <c r="E440" s="11"/>
      <c r="H440" s="17"/>
      <c r="N440" s="11"/>
    </row>
    <row r="441">
      <c r="B441" s="11"/>
      <c r="E441" s="11"/>
      <c r="H441" s="17"/>
      <c r="N441" s="11"/>
    </row>
    <row r="442">
      <c r="B442" s="11"/>
      <c r="E442" s="11"/>
      <c r="H442" s="17"/>
      <c r="N442" s="11"/>
    </row>
    <row r="443">
      <c r="B443" s="11"/>
      <c r="E443" s="11"/>
      <c r="H443" s="17"/>
      <c r="N443" s="11"/>
    </row>
    <row r="444">
      <c r="B444" s="11"/>
      <c r="E444" s="11"/>
      <c r="H444" s="17"/>
      <c r="N444" s="11"/>
    </row>
    <row r="445">
      <c r="B445" s="11"/>
      <c r="E445" s="11"/>
      <c r="H445" s="17"/>
      <c r="N445" s="11"/>
    </row>
    <row r="446">
      <c r="B446" s="11"/>
      <c r="E446" s="11"/>
      <c r="H446" s="17"/>
      <c r="N446" s="11"/>
    </row>
    <row r="447">
      <c r="B447" s="11"/>
      <c r="E447" s="11"/>
      <c r="H447" s="17"/>
      <c r="N447" s="11"/>
    </row>
    <row r="448">
      <c r="B448" s="11"/>
      <c r="E448" s="11"/>
      <c r="H448" s="17"/>
      <c r="N448" s="11"/>
    </row>
    <row r="449">
      <c r="B449" s="11"/>
      <c r="E449" s="11"/>
      <c r="H449" s="17"/>
      <c r="N449" s="11"/>
    </row>
    <row r="450">
      <c r="B450" s="11"/>
      <c r="E450" s="11"/>
      <c r="H450" s="17"/>
      <c r="N450" s="11"/>
    </row>
    <row r="451">
      <c r="B451" s="11"/>
      <c r="E451" s="11"/>
      <c r="H451" s="17"/>
      <c r="N451" s="11"/>
    </row>
    <row r="452">
      <c r="B452" s="11"/>
      <c r="E452" s="11"/>
      <c r="H452" s="17"/>
      <c r="N452" s="11"/>
    </row>
    <row r="453">
      <c r="B453" s="11"/>
      <c r="E453" s="11"/>
      <c r="H453" s="17"/>
      <c r="N453" s="11"/>
    </row>
    <row r="454">
      <c r="B454" s="11"/>
      <c r="E454" s="11"/>
      <c r="H454" s="17"/>
      <c r="N454" s="11"/>
    </row>
    <row r="455">
      <c r="B455" s="11"/>
      <c r="E455" s="11"/>
      <c r="H455" s="17"/>
      <c r="N455" s="11"/>
    </row>
    <row r="456">
      <c r="B456" s="11"/>
      <c r="E456" s="11"/>
      <c r="H456" s="17"/>
      <c r="N456" s="11"/>
    </row>
    <row r="457">
      <c r="B457" s="11"/>
      <c r="E457" s="11"/>
      <c r="H457" s="17"/>
      <c r="N457" s="11"/>
    </row>
    <row r="458">
      <c r="B458" s="11"/>
      <c r="E458" s="11"/>
      <c r="H458" s="17"/>
      <c r="N458" s="11"/>
    </row>
    <row r="459">
      <c r="B459" s="11"/>
      <c r="E459" s="11"/>
      <c r="H459" s="17"/>
      <c r="N459" s="11"/>
    </row>
    <row r="460">
      <c r="B460" s="11"/>
      <c r="E460" s="11"/>
      <c r="H460" s="17"/>
      <c r="N460" s="11"/>
    </row>
    <row r="461">
      <c r="B461" s="11"/>
      <c r="E461" s="11"/>
      <c r="H461" s="17"/>
      <c r="N461" s="11"/>
    </row>
    <row r="462">
      <c r="B462" s="11"/>
      <c r="E462" s="11"/>
      <c r="H462" s="17"/>
      <c r="N462" s="11"/>
    </row>
    <row r="463">
      <c r="B463" s="11"/>
      <c r="E463" s="11"/>
      <c r="H463" s="17"/>
      <c r="N463" s="11"/>
    </row>
    <row r="464">
      <c r="B464" s="11"/>
      <c r="E464" s="11"/>
      <c r="H464" s="17"/>
      <c r="N464" s="11"/>
    </row>
    <row r="465">
      <c r="B465" s="11"/>
      <c r="E465" s="11"/>
      <c r="H465" s="17"/>
      <c r="N465" s="11"/>
    </row>
    <row r="466">
      <c r="B466" s="11"/>
      <c r="E466" s="11"/>
      <c r="H466" s="17"/>
      <c r="N466" s="11"/>
    </row>
    <row r="467">
      <c r="B467" s="11"/>
      <c r="E467" s="11"/>
      <c r="H467" s="17"/>
      <c r="N467" s="11"/>
    </row>
    <row r="468">
      <c r="B468" s="11"/>
      <c r="E468" s="11"/>
      <c r="H468" s="17"/>
      <c r="N468" s="11"/>
    </row>
    <row r="469">
      <c r="B469" s="11"/>
      <c r="E469" s="11"/>
      <c r="H469" s="17"/>
      <c r="N469" s="11"/>
    </row>
    <row r="470">
      <c r="B470" s="11"/>
      <c r="E470" s="11"/>
      <c r="H470" s="17"/>
      <c r="N470" s="11"/>
    </row>
    <row r="471">
      <c r="B471" s="11"/>
      <c r="E471" s="11"/>
      <c r="H471" s="17"/>
      <c r="N471" s="11"/>
    </row>
    <row r="472">
      <c r="B472" s="11"/>
      <c r="E472" s="11"/>
      <c r="H472" s="17"/>
      <c r="N472" s="11"/>
    </row>
    <row r="473">
      <c r="B473" s="11"/>
      <c r="E473" s="11"/>
      <c r="H473" s="17"/>
      <c r="N473" s="11"/>
    </row>
    <row r="474">
      <c r="B474" s="11"/>
      <c r="E474" s="11"/>
      <c r="H474" s="17"/>
      <c r="N474" s="11"/>
    </row>
    <row r="475">
      <c r="B475" s="11"/>
      <c r="E475" s="11"/>
      <c r="H475" s="17"/>
      <c r="N475" s="11"/>
    </row>
    <row r="476">
      <c r="B476" s="11"/>
      <c r="E476" s="11"/>
      <c r="H476" s="17"/>
      <c r="N476" s="11"/>
    </row>
    <row r="477">
      <c r="B477" s="11"/>
      <c r="E477" s="11"/>
      <c r="H477" s="17"/>
      <c r="N477" s="11"/>
    </row>
    <row r="478">
      <c r="B478" s="11"/>
      <c r="E478" s="11"/>
      <c r="H478" s="17"/>
      <c r="N478" s="11"/>
    </row>
    <row r="479">
      <c r="B479" s="11"/>
      <c r="E479" s="11"/>
      <c r="H479" s="17"/>
      <c r="N479" s="11"/>
    </row>
    <row r="480">
      <c r="B480" s="11"/>
      <c r="E480" s="11"/>
      <c r="H480" s="17"/>
      <c r="N480" s="11"/>
    </row>
    <row r="481">
      <c r="B481" s="11"/>
      <c r="E481" s="11"/>
      <c r="H481" s="17"/>
      <c r="N481" s="11"/>
    </row>
    <row r="482">
      <c r="B482" s="11"/>
      <c r="E482" s="11"/>
      <c r="H482" s="17"/>
      <c r="N482" s="11"/>
    </row>
    <row r="483">
      <c r="B483" s="11"/>
      <c r="E483" s="11"/>
      <c r="H483" s="17"/>
      <c r="N483" s="11"/>
    </row>
    <row r="484">
      <c r="B484" s="11"/>
      <c r="E484" s="11"/>
      <c r="H484" s="17"/>
      <c r="N484" s="11"/>
    </row>
    <row r="485">
      <c r="B485" s="11"/>
      <c r="E485" s="11"/>
      <c r="H485" s="17"/>
      <c r="N485" s="11"/>
    </row>
    <row r="486">
      <c r="B486" s="11"/>
      <c r="E486" s="11"/>
      <c r="H486" s="17"/>
      <c r="N486" s="11"/>
    </row>
    <row r="487">
      <c r="B487" s="11"/>
      <c r="E487" s="11"/>
      <c r="H487" s="17"/>
      <c r="N487" s="11"/>
    </row>
    <row r="488">
      <c r="B488" s="11"/>
      <c r="E488" s="11"/>
      <c r="H488" s="17"/>
      <c r="N488" s="11"/>
    </row>
    <row r="489">
      <c r="B489" s="11"/>
      <c r="E489" s="11"/>
      <c r="H489" s="17"/>
      <c r="N489" s="11"/>
    </row>
    <row r="490">
      <c r="B490" s="11"/>
      <c r="E490" s="11"/>
      <c r="H490" s="17"/>
      <c r="N490" s="11"/>
    </row>
    <row r="491">
      <c r="B491" s="11"/>
      <c r="E491" s="11"/>
      <c r="H491" s="17"/>
      <c r="N491" s="11"/>
    </row>
    <row r="492">
      <c r="B492" s="11"/>
      <c r="E492" s="11"/>
      <c r="H492" s="17"/>
      <c r="N492" s="11"/>
    </row>
    <row r="493">
      <c r="B493" s="11"/>
      <c r="E493" s="11"/>
      <c r="H493" s="17"/>
      <c r="N493" s="11"/>
    </row>
    <row r="494">
      <c r="B494" s="11"/>
      <c r="E494" s="11"/>
      <c r="H494" s="17"/>
      <c r="N494" s="11"/>
    </row>
    <row r="495">
      <c r="B495" s="11"/>
      <c r="E495" s="11"/>
      <c r="H495" s="17"/>
      <c r="N495" s="11"/>
    </row>
    <row r="496">
      <c r="B496" s="11"/>
      <c r="E496" s="11"/>
      <c r="H496" s="17"/>
      <c r="N496" s="11"/>
    </row>
    <row r="497">
      <c r="B497" s="11"/>
      <c r="E497" s="11"/>
      <c r="H497" s="17"/>
      <c r="N497" s="11"/>
    </row>
    <row r="498">
      <c r="B498" s="11"/>
      <c r="E498" s="11"/>
      <c r="H498" s="17"/>
      <c r="N498" s="11"/>
    </row>
    <row r="499">
      <c r="B499" s="11"/>
      <c r="E499" s="11"/>
      <c r="H499" s="17"/>
      <c r="N499" s="11"/>
    </row>
    <row r="500">
      <c r="B500" s="11"/>
      <c r="E500" s="11"/>
      <c r="H500" s="17"/>
      <c r="N500" s="11"/>
    </row>
    <row r="501">
      <c r="B501" s="11"/>
      <c r="E501" s="11"/>
      <c r="H501" s="17"/>
      <c r="N501" s="11"/>
    </row>
    <row r="502">
      <c r="B502" s="11"/>
      <c r="E502" s="11"/>
      <c r="H502" s="17"/>
      <c r="N502" s="11"/>
    </row>
    <row r="503">
      <c r="B503" s="11"/>
      <c r="E503" s="11"/>
      <c r="H503" s="17"/>
      <c r="N503" s="11"/>
    </row>
    <row r="504">
      <c r="B504" s="11"/>
      <c r="E504" s="11"/>
      <c r="H504" s="17"/>
      <c r="N504" s="11"/>
    </row>
    <row r="505">
      <c r="B505" s="11"/>
      <c r="E505" s="11"/>
      <c r="H505" s="17"/>
      <c r="N505" s="11"/>
    </row>
    <row r="506">
      <c r="B506" s="11"/>
      <c r="E506" s="11"/>
      <c r="H506" s="17"/>
      <c r="N506" s="11"/>
    </row>
    <row r="507">
      <c r="B507" s="11"/>
      <c r="E507" s="11"/>
      <c r="H507" s="17"/>
      <c r="N507" s="11"/>
    </row>
    <row r="508">
      <c r="B508" s="11"/>
      <c r="E508" s="11"/>
      <c r="H508" s="17"/>
      <c r="N508" s="11"/>
    </row>
    <row r="509">
      <c r="B509" s="11"/>
      <c r="E509" s="11"/>
      <c r="H509" s="17"/>
      <c r="N509" s="11"/>
    </row>
    <row r="510">
      <c r="B510" s="11"/>
      <c r="E510" s="11"/>
      <c r="H510" s="17"/>
      <c r="N510" s="11"/>
    </row>
    <row r="511">
      <c r="B511" s="11"/>
      <c r="E511" s="11"/>
      <c r="H511" s="17"/>
      <c r="N511" s="11"/>
    </row>
    <row r="512">
      <c r="B512" s="11"/>
      <c r="E512" s="11"/>
      <c r="H512" s="17"/>
      <c r="N512" s="11"/>
    </row>
    <row r="513">
      <c r="B513" s="11"/>
      <c r="E513" s="11"/>
      <c r="H513" s="17"/>
      <c r="N513" s="11"/>
    </row>
    <row r="514">
      <c r="B514" s="11"/>
      <c r="E514" s="11"/>
      <c r="H514" s="17"/>
      <c r="N514" s="11"/>
    </row>
    <row r="515">
      <c r="B515" s="11"/>
      <c r="E515" s="11"/>
      <c r="H515" s="17"/>
      <c r="N515" s="11"/>
    </row>
    <row r="516">
      <c r="B516" s="11"/>
      <c r="E516" s="11"/>
      <c r="H516" s="17"/>
      <c r="N516" s="11"/>
    </row>
    <row r="517">
      <c r="B517" s="11"/>
      <c r="E517" s="11"/>
      <c r="H517" s="17"/>
      <c r="N517" s="11"/>
    </row>
    <row r="518">
      <c r="B518" s="11"/>
      <c r="E518" s="11"/>
      <c r="H518" s="17"/>
      <c r="N518" s="11"/>
    </row>
    <row r="519">
      <c r="B519" s="11"/>
      <c r="E519" s="11"/>
      <c r="H519" s="17"/>
      <c r="N519" s="11"/>
    </row>
    <row r="520">
      <c r="B520" s="11"/>
      <c r="E520" s="11"/>
      <c r="H520" s="17"/>
      <c r="N520" s="11"/>
    </row>
    <row r="521">
      <c r="B521" s="11"/>
      <c r="E521" s="11"/>
      <c r="H521" s="17"/>
      <c r="N521" s="11"/>
    </row>
    <row r="522">
      <c r="B522" s="11"/>
      <c r="E522" s="11"/>
      <c r="H522" s="17"/>
      <c r="N522" s="11"/>
    </row>
    <row r="523">
      <c r="B523" s="11"/>
      <c r="E523" s="11"/>
      <c r="H523" s="17"/>
      <c r="N523" s="11"/>
    </row>
    <row r="524">
      <c r="B524" s="11"/>
      <c r="E524" s="11"/>
      <c r="H524" s="17"/>
      <c r="N524" s="11"/>
    </row>
    <row r="525">
      <c r="B525" s="11"/>
      <c r="E525" s="11"/>
      <c r="H525" s="17"/>
      <c r="N525" s="11"/>
    </row>
    <row r="526">
      <c r="B526" s="11"/>
      <c r="E526" s="11"/>
      <c r="H526" s="17"/>
      <c r="N526" s="11"/>
    </row>
    <row r="527">
      <c r="B527" s="11"/>
      <c r="E527" s="11"/>
      <c r="H527" s="17"/>
      <c r="N527" s="11"/>
    </row>
    <row r="528">
      <c r="B528" s="11"/>
      <c r="E528" s="11"/>
      <c r="H528" s="17"/>
      <c r="N528" s="11"/>
    </row>
    <row r="529">
      <c r="B529" s="11"/>
      <c r="E529" s="11"/>
      <c r="H529" s="17"/>
      <c r="N529" s="11"/>
    </row>
    <row r="530">
      <c r="B530" s="11"/>
      <c r="E530" s="11"/>
      <c r="H530" s="17"/>
      <c r="N530" s="11"/>
    </row>
    <row r="531">
      <c r="B531" s="11"/>
      <c r="E531" s="11"/>
      <c r="H531" s="17"/>
      <c r="N531" s="11"/>
    </row>
    <row r="532">
      <c r="B532" s="11"/>
      <c r="E532" s="11"/>
      <c r="H532" s="17"/>
      <c r="N532" s="11"/>
    </row>
    <row r="533">
      <c r="B533" s="11"/>
      <c r="E533" s="11"/>
      <c r="H533" s="17"/>
      <c r="N533" s="11"/>
    </row>
    <row r="534">
      <c r="B534" s="11"/>
      <c r="E534" s="11"/>
      <c r="H534" s="17"/>
      <c r="N534" s="11"/>
    </row>
    <row r="535">
      <c r="B535" s="11"/>
      <c r="E535" s="11"/>
      <c r="H535" s="17"/>
      <c r="N535" s="11"/>
    </row>
    <row r="536">
      <c r="B536" s="11"/>
      <c r="E536" s="11"/>
      <c r="H536" s="17"/>
      <c r="N536" s="11"/>
    </row>
    <row r="537">
      <c r="B537" s="11"/>
      <c r="E537" s="11"/>
      <c r="H537" s="17"/>
      <c r="N537" s="11"/>
    </row>
    <row r="538">
      <c r="B538" s="11"/>
      <c r="E538" s="11"/>
      <c r="H538" s="17"/>
      <c r="N538" s="11"/>
    </row>
    <row r="539">
      <c r="B539" s="11"/>
      <c r="E539" s="11"/>
      <c r="H539" s="17"/>
      <c r="N539" s="11"/>
    </row>
    <row r="540">
      <c r="B540" s="11"/>
      <c r="E540" s="11"/>
      <c r="H540" s="17"/>
      <c r="N540" s="11"/>
    </row>
    <row r="541">
      <c r="B541" s="11"/>
      <c r="E541" s="11"/>
      <c r="H541" s="17"/>
      <c r="N541" s="11"/>
    </row>
    <row r="542">
      <c r="B542" s="11"/>
      <c r="E542" s="11"/>
      <c r="H542" s="17"/>
      <c r="N542" s="11"/>
    </row>
    <row r="543">
      <c r="B543" s="11"/>
      <c r="E543" s="11"/>
      <c r="H543" s="17"/>
      <c r="N543" s="11"/>
    </row>
    <row r="544">
      <c r="B544" s="11"/>
      <c r="E544" s="11"/>
      <c r="H544" s="17"/>
      <c r="N544" s="11"/>
    </row>
    <row r="545">
      <c r="B545" s="11"/>
      <c r="E545" s="11"/>
      <c r="H545" s="17"/>
      <c r="N545" s="11"/>
    </row>
    <row r="546">
      <c r="B546" s="11"/>
      <c r="E546" s="11"/>
      <c r="H546" s="17"/>
      <c r="N546" s="11"/>
    </row>
    <row r="547">
      <c r="B547" s="11"/>
      <c r="E547" s="11"/>
      <c r="H547" s="17"/>
      <c r="N547" s="11"/>
    </row>
    <row r="548">
      <c r="B548" s="11"/>
      <c r="E548" s="11"/>
      <c r="H548" s="17"/>
      <c r="N548" s="11"/>
    </row>
    <row r="549">
      <c r="B549" s="11"/>
      <c r="E549" s="11"/>
      <c r="H549" s="17"/>
      <c r="N549" s="11"/>
    </row>
    <row r="550">
      <c r="B550" s="11"/>
      <c r="E550" s="11"/>
      <c r="H550" s="17"/>
      <c r="N550" s="11"/>
    </row>
    <row r="551">
      <c r="B551" s="11"/>
      <c r="E551" s="11"/>
      <c r="H551" s="17"/>
      <c r="N551" s="11"/>
    </row>
    <row r="552">
      <c r="B552" s="11"/>
      <c r="E552" s="11"/>
      <c r="H552" s="17"/>
      <c r="N552" s="11"/>
    </row>
    <row r="553">
      <c r="B553" s="11"/>
      <c r="E553" s="11"/>
      <c r="H553" s="17"/>
      <c r="N553" s="11"/>
    </row>
    <row r="554">
      <c r="B554" s="11"/>
      <c r="E554" s="11"/>
      <c r="H554" s="17"/>
      <c r="N554" s="11"/>
    </row>
    <row r="555">
      <c r="B555" s="11"/>
      <c r="E555" s="11"/>
      <c r="H555" s="17"/>
      <c r="N555" s="11"/>
    </row>
    <row r="556">
      <c r="B556" s="11"/>
      <c r="E556" s="11"/>
      <c r="H556" s="17"/>
      <c r="N556" s="11"/>
    </row>
    <row r="557">
      <c r="B557" s="11"/>
      <c r="E557" s="11"/>
      <c r="H557" s="17"/>
      <c r="N557" s="11"/>
    </row>
    <row r="558">
      <c r="B558" s="11"/>
      <c r="E558" s="11"/>
      <c r="H558" s="17"/>
      <c r="N558" s="11"/>
    </row>
    <row r="559">
      <c r="B559" s="11"/>
      <c r="E559" s="11"/>
      <c r="H559" s="17"/>
      <c r="N559" s="11"/>
    </row>
    <row r="560">
      <c r="B560" s="11"/>
      <c r="E560" s="11"/>
      <c r="H560" s="17"/>
      <c r="N560" s="11"/>
    </row>
    <row r="561">
      <c r="B561" s="11"/>
      <c r="E561" s="11"/>
      <c r="H561" s="17"/>
      <c r="N561" s="11"/>
    </row>
    <row r="562">
      <c r="B562" s="11"/>
      <c r="E562" s="11"/>
      <c r="H562" s="17"/>
      <c r="N562" s="11"/>
    </row>
    <row r="563">
      <c r="B563" s="11"/>
      <c r="E563" s="11"/>
      <c r="H563" s="17"/>
      <c r="N563" s="11"/>
    </row>
    <row r="564">
      <c r="B564" s="11"/>
      <c r="E564" s="11"/>
      <c r="H564" s="17"/>
      <c r="N564" s="11"/>
    </row>
    <row r="565">
      <c r="B565" s="11"/>
      <c r="E565" s="11"/>
      <c r="H565" s="17"/>
      <c r="N565" s="11"/>
    </row>
    <row r="566">
      <c r="B566" s="11"/>
      <c r="E566" s="11"/>
      <c r="H566" s="17"/>
      <c r="N566" s="11"/>
    </row>
    <row r="567">
      <c r="B567" s="11"/>
      <c r="E567" s="11"/>
      <c r="H567" s="17"/>
      <c r="N567" s="11"/>
    </row>
    <row r="568">
      <c r="B568" s="11"/>
      <c r="E568" s="11"/>
      <c r="H568" s="17"/>
      <c r="N568" s="11"/>
    </row>
    <row r="569">
      <c r="B569" s="11"/>
      <c r="E569" s="11"/>
      <c r="H569" s="17"/>
      <c r="N569" s="11"/>
    </row>
    <row r="570">
      <c r="B570" s="11"/>
      <c r="E570" s="11"/>
      <c r="H570" s="17"/>
      <c r="N570" s="11"/>
    </row>
    <row r="571">
      <c r="B571" s="11"/>
      <c r="E571" s="11"/>
      <c r="H571" s="17"/>
      <c r="N571" s="11"/>
    </row>
    <row r="572">
      <c r="B572" s="11"/>
      <c r="E572" s="11"/>
      <c r="H572" s="17"/>
      <c r="N572" s="11"/>
    </row>
    <row r="573">
      <c r="B573" s="11"/>
      <c r="E573" s="11"/>
      <c r="H573" s="17"/>
      <c r="N573" s="11"/>
    </row>
    <row r="574">
      <c r="B574" s="11"/>
      <c r="E574" s="11"/>
      <c r="H574" s="17"/>
      <c r="N574" s="11"/>
    </row>
    <row r="575">
      <c r="B575" s="11"/>
      <c r="E575" s="11"/>
      <c r="H575" s="17"/>
      <c r="N575" s="11"/>
    </row>
    <row r="576">
      <c r="B576" s="11"/>
      <c r="E576" s="11"/>
      <c r="H576" s="17"/>
      <c r="N576" s="11"/>
    </row>
    <row r="577">
      <c r="B577" s="11"/>
      <c r="E577" s="11"/>
      <c r="H577" s="17"/>
      <c r="N577" s="11"/>
    </row>
    <row r="578">
      <c r="B578" s="11"/>
      <c r="E578" s="11"/>
      <c r="H578" s="17"/>
      <c r="N578" s="11"/>
    </row>
    <row r="579">
      <c r="B579" s="11"/>
      <c r="E579" s="11"/>
      <c r="H579" s="17"/>
      <c r="N579" s="11"/>
    </row>
    <row r="580">
      <c r="B580" s="11"/>
      <c r="E580" s="11"/>
      <c r="H580" s="17"/>
      <c r="N580" s="11"/>
    </row>
    <row r="581">
      <c r="B581" s="11"/>
      <c r="E581" s="11"/>
      <c r="H581" s="17"/>
      <c r="N581" s="11"/>
    </row>
    <row r="582">
      <c r="B582" s="11"/>
      <c r="E582" s="11"/>
      <c r="H582" s="17"/>
      <c r="N582" s="11"/>
    </row>
    <row r="583">
      <c r="B583" s="11"/>
      <c r="E583" s="11"/>
      <c r="H583" s="17"/>
      <c r="N583" s="11"/>
    </row>
    <row r="584">
      <c r="B584" s="11"/>
      <c r="E584" s="11"/>
      <c r="H584" s="17"/>
      <c r="N584" s="11"/>
    </row>
    <row r="585">
      <c r="B585" s="11"/>
      <c r="E585" s="11"/>
      <c r="H585" s="17"/>
      <c r="N585" s="11"/>
    </row>
    <row r="586">
      <c r="B586" s="11"/>
      <c r="E586" s="11"/>
      <c r="H586" s="17"/>
      <c r="N586" s="11"/>
    </row>
    <row r="587">
      <c r="B587" s="11"/>
      <c r="E587" s="11"/>
      <c r="H587" s="17"/>
      <c r="N587" s="11"/>
    </row>
    <row r="588">
      <c r="B588" s="11"/>
      <c r="E588" s="11"/>
      <c r="H588" s="17"/>
      <c r="N588" s="11"/>
    </row>
    <row r="589">
      <c r="B589" s="11"/>
      <c r="E589" s="11"/>
      <c r="H589" s="17"/>
      <c r="N589" s="11"/>
    </row>
    <row r="590">
      <c r="B590" s="11"/>
      <c r="E590" s="11"/>
      <c r="H590" s="17"/>
      <c r="N590" s="11"/>
    </row>
    <row r="591">
      <c r="B591" s="11"/>
      <c r="E591" s="11"/>
      <c r="H591" s="17"/>
      <c r="N591" s="11"/>
    </row>
    <row r="592">
      <c r="B592" s="11"/>
      <c r="E592" s="11"/>
      <c r="H592" s="17"/>
      <c r="N592" s="11"/>
    </row>
    <row r="593">
      <c r="B593" s="11"/>
      <c r="E593" s="11"/>
      <c r="H593" s="17"/>
      <c r="N593" s="11"/>
    </row>
    <row r="594">
      <c r="B594" s="11"/>
      <c r="E594" s="11"/>
      <c r="H594" s="17"/>
      <c r="N594" s="11"/>
    </row>
    <row r="595">
      <c r="B595" s="11"/>
      <c r="E595" s="11"/>
      <c r="H595" s="17"/>
      <c r="N595" s="11"/>
    </row>
    <row r="596">
      <c r="B596" s="11"/>
      <c r="E596" s="11"/>
      <c r="H596" s="17"/>
      <c r="N596" s="11"/>
    </row>
    <row r="597">
      <c r="B597" s="11"/>
      <c r="E597" s="11"/>
      <c r="H597" s="17"/>
      <c r="N597" s="11"/>
    </row>
    <row r="598">
      <c r="B598" s="11"/>
      <c r="E598" s="11"/>
      <c r="H598" s="17"/>
      <c r="N598" s="11"/>
    </row>
    <row r="599">
      <c r="B599" s="11"/>
      <c r="E599" s="11"/>
      <c r="H599" s="17"/>
      <c r="N599" s="11"/>
    </row>
    <row r="600">
      <c r="B600" s="11"/>
      <c r="E600" s="11"/>
      <c r="H600" s="17"/>
      <c r="N600" s="11"/>
    </row>
    <row r="601">
      <c r="B601" s="11"/>
      <c r="E601" s="11"/>
      <c r="H601" s="17"/>
      <c r="N601" s="11"/>
    </row>
    <row r="602">
      <c r="B602" s="11"/>
      <c r="E602" s="11"/>
      <c r="H602" s="17"/>
      <c r="N602" s="11"/>
    </row>
    <row r="603">
      <c r="B603" s="11"/>
      <c r="E603" s="11"/>
      <c r="H603" s="17"/>
      <c r="N603" s="11"/>
    </row>
    <row r="604">
      <c r="B604" s="11"/>
      <c r="E604" s="11"/>
      <c r="H604" s="17"/>
      <c r="N604" s="11"/>
    </row>
    <row r="605">
      <c r="B605" s="11"/>
      <c r="E605" s="11"/>
      <c r="H605" s="17"/>
      <c r="N605" s="11"/>
    </row>
    <row r="606">
      <c r="B606" s="11"/>
      <c r="E606" s="11"/>
      <c r="H606" s="17"/>
      <c r="N606" s="11"/>
    </row>
    <row r="607">
      <c r="B607" s="11"/>
      <c r="E607" s="11"/>
      <c r="H607" s="17"/>
      <c r="N607" s="11"/>
    </row>
    <row r="608">
      <c r="B608" s="11"/>
      <c r="E608" s="11"/>
      <c r="H608" s="17"/>
      <c r="N608" s="11"/>
    </row>
    <row r="609">
      <c r="B609" s="11"/>
      <c r="E609" s="11"/>
      <c r="H609" s="17"/>
      <c r="N609" s="11"/>
    </row>
    <row r="610">
      <c r="B610" s="11"/>
      <c r="E610" s="11"/>
      <c r="H610" s="17"/>
      <c r="N610" s="11"/>
    </row>
    <row r="611">
      <c r="B611" s="11"/>
      <c r="E611" s="11"/>
      <c r="H611" s="17"/>
      <c r="N611" s="11"/>
    </row>
    <row r="612">
      <c r="B612" s="11"/>
      <c r="E612" s="11"/>
      <c r="H612" s="17"/>
      <c r="N612" s="11"/>
    </row>
    <row r="613">
      <c r="B613" s="11"/>
      <c r="E613" s="11"/>
      <c r="H613" s="17"/>
      <c r="N613" s="11"/>
    </row>
    <row r="614">
      <c r="B614" s="11"/>
      <c r="E614" s="11"/>
      <c r="H614" s="17"/>
      <c r="N614" s="11"/>
    </row>
    <row r="615">
      <c r="B615" s="11"/>
      <c r="E615" s="11"/>
      <c r="H615" s="17"/>
      <c r="N615" s="11"/>
    </row>
    <row r="616">
      <c r="B616" s="11"/>
      <c r="E616" s="11"/>
      <c r="H616" s="17"/>
      <c r="N616" s="11"/>
    </row>
    <row r="617">
      <c r="B617" s="11"/>
      <c r="E617" s="11"/>
      <c r="H617" s="17"/>
      <c r="N617" s="11"/>
    </row>
    <row r="618">
      <c r="B618" s="11"/>
      <c r="E618" s="11"/>
      <c r="H618" s="17"/>
      <c r="N618" s="11"/>
    </row>
    <row r="619">
      <c r="B619" s="11"/>
      <c r="E619" s="11"/>
      <c r="H619" s="17"/>
      <c r="N619" s="11"/>
    </row>
    <row r="620">
      <c r="B620" s="11"/>
      <c r="E620" s="11"/>
      <c r="H620" s="17"/>
      <c r="N620" s="11"/>
    </row>
    <row r="621">
      <c r="B621" s="11"/>
      <c r="E621" s="11"/>
      <c r="H621" s="17"/>
      <c r="N621" s="11"/>
    </row>
    <row r="622">
      <c r="B622" s="11"/>
      <c r="E622" s="11"/>
      <c r="H622" s="17"/>
      <c r="N622" s="11"/>
    </row>
    <row r="623">
      <c r="B623" s="11"/>
      <c r="E623" s="11"/>
      <c r="H623" s="17"/>
      <c r="N623" s="11"/>
    </row>
    <row r="624">
      <c r="B624" s="11"/>
      <c r="E624" s="11"/>
      <c r="H624" s="17"/>
      <c r="N624" s="11"/>
    </row>
    <row r="625">
      <c r="B625" s="11"/>
      <c r="E625" s="11"/>
      <c r="H625" s="17"/>
      <c r="N625" s="11"/>
    </row>
    <row r="626">
      <c r="B626" s="11"/>
      <c r="E626" s="11"/>
      <c r="H626" s="17"/>
      <c r="N626" s="11"/>
    </row>
    <row r="627">
      <c r="B627" s="11"/>
      <c r="E627" s="11"/>
      <c r="H627" s="17"/>
      <c r="N627" s="11"/>
    </row>
    <row r="628">
      <c r="B628" s="11"/>
      <c r="E628" s="11"/>
      <c r="H628" s="17"/>
      <c r="N628" s="11"/>
    </row>
    <row r="629">
      <c r="B629" s="11"/>
      <c r="E629" s="11"/>
      <c r="H629" s="17"/>
      <c r="N629" s="11"/>
    </row>
    <row r="630">
      <c r="B630" s="11"/>
      <c r="E630" s="11"/>
      <c r="H630" s="17"/>
      <c r="N630" s="11"/>
    </row>
    <row r="631">
      <c r="B631" s="11"/>
      <c r="E631" s="11"/>
      <c r="H631" s="17"/>
      <c r="N631" s="11"/>
    </row>
    <row r="632">
      <c r="B632" s="11"/>
      <c r="E632" s="11"/>
      <c r="H632" s="17"/>
      <c r="N632" s="11"/>
    </row>
    <row r="633">
      <c r="B633" s="11"/>
      <c r="E633" s="11"/>
      <c r="H633" s="17"/>
      <c r="N633" s="11"/>
    </row>
    <row r="634">
      <c r="B634" s="11"/>
      <c r="E634" s="11"/>
      <c r="H634" s="17"/>
      <c r="N634" s="11"/>
    </row>
    <row r="635">
      <c r="B635" s="11"/>
      <c r="E635" s="11"/>
      <c r="H635" s="17"/>
      <c r="N635" s="11"/>
    </row>
    <row r="636">
      <c r="B636" s="11"/>
      <c r="E636" s="11"/>
      <c r="H636" s="17"/>
      <c r="N636" s="11"/>
    </row>
    <row r="637">
      <c r="B637" s="11"/>
      <c r="E637" s="11"/>
      <c r="H637" s="17"/>
      <c r="N637" s="11"/>
    </row>
    <row r="638">
      <c r="B638" s="11"/>
      <c r="E638" s="11"/>
      <c r="H638" s="17"/>
      <c r="N638" s="11"/>
    </row>
    <row r="639">
      <c r="B639" s="11"/>
      <c r="E639" s="11"/>
      <c r="H639" s="17"/>
      <c r="N639" s="11"/>
    </row>
    <row r="640">
      <c r="B640" s="11"/>
      <c r="E640" s="11"/>
      <c r="H640" s="17"/>
      <c r="N640" s="11"/>
    </row>
    <row r="641">
      <c r="B641" s="11"/>
      <c r="E641" s="11"/>
      <c r="H641" s="17"/>
      <c r="N641" s="11"/>
    </row>
    <row r="642">
      <c r="B642" s="11"/>
      <c r="E642" s="11"/>
      <c r="H642" s="17"/>
      <c r="N642" s="11"/>
    </row>
    <row r="643">
      <c r="B643" s="11"/>
      <c r="E643" s="11"/>
      <c r="H643" s="17"/>
      <c r="N643" s="11"/>
    </row>
    <row r="644">
      <c r="B644" s="11"/>
      <c r="E644" s="11"/>
      <c r="H644" s="17"/>
      <c r="N644" s="11"/>
    </row>
    <row r="645">
      <c r="B645" s="11"/>
      <c r="E645" s="11"/>
      <c r="H645" s="17"/>
      <c r="N645" s="11"/>
    </row>
    <row r="646">
      <c r="B646" s="11"/>
      <c r="E646" s="11"/>
      <c r="H646" s="17"/>
      <c r="N646" s="11"/>
    </row>
    <row r="647">
      <c r="B647" s="11"/>
      <c r="E647" s="11"/>
      <c r="H647" s="17"/>
      <c r="N647" s="11"/>
    </row>
    <row r="648">
      <c r="B648" s="11"/>
      <c r="E648" s="11"/>
      <c r="H648" s="17"/>
      <c r="N648" s="11"/>
    </row>
    <row r="649">
      <c r="B649" s="11"/>
      <c r="E649" s="11"/>
      <c r="H649" s="17"/>
      <c r="N649" s="11"/>
    </row>
    <row r="650">
      <c r="B650" s="11"/>
      <c r="E650" s="11"/>
      <c r="H650" s="17"/>
      <c r="N650" s="11"/>
    </row>
    <row r="651">
      <c r="B651" s="11"/>
      <c r="E651" s="11"/>
      <c r="H651" s="17"/>
      <c r="N651" s="11"/>
    </row>
    <row r="652">
      <c r="B652" s="11"/>
      <c r="E652" s="11"/>
      <c r="H652" s="17"/>
      <c r="N652" s="11"/>
    </row>
    <row r="653">
      <c r="B653" s="11"/>
      <c r="E653" s="11"/>
      <c r="H653" s="17"/>
      <c r="N653" s="11"/>
    </row>
    <row r="654">
      <c r="B654" s="11"/>
      <c r="E654" s="11"/>
      <c r="H654" s="17"/>
      <c r="N654" s="11"/>
    </row>
    <row r="655">
      <c r="B655" s="11"/>
      <c r="E655" s="11"/>
      <c r="H655" s="17"/>
      <c r="N655" s="11"/>
    </row>
    <row r="656">
      <c r="B656" s="11"/>
      <c r="E656" s="11"/>
      <c r="H656" s="17"/>
      <c r="N656" s="11"/>
    </row>
    <row r="657">
      <c r="B657" s="11"/>
      <c r="E657" s="11"/>
      <c r="H657" s="17"/>
      <c r="N657" s="11"/>
    </row>
    <row r="658">
      <c r="B658" s="11"/>
      <c r="E658" s="11"/>
      <c r="H658" s="17"/>
      <c r="N658" s="11"/>
    </row>
    <row r="659">
      <c r="B659" s="11"/>
      <c r="E659" s="11"/>
      <c r="H659" s="17"/>
      <c r="N659" s="11"/>
    </row>
    <row r="660">
      <c r="B660" s="11"/>
      <c r="E660" s="11"/>
      <c r="H660" s="17"/>
      <c r="N660" s="11"/>
    </row>
    <row r="661">
      <c r="B661" s="11"/>
      <c r="E661" s="11"/>
      <c r="H661" s="17"/>
      <c r="N661" s="11"/>
    </row>
    <row r="662">
      <c r="B662" s="11"/>
      <c r="E662" s="11"/>
      <c r="H662" s="17"/>
      <c r="N662" s="11"/>
    </row>
    <row r="663">
      <c r="B663" s="11"/>
      <c r="E663" s="11"/>
      <c r="H663" s="17"/>
      <c r="N663" s="11"/>
    </row>
    <row r="664">
      <c r="B664" s="11"/>
      <c r="E664" s="11"/>
      <c r="H664" s="17"/>
      <c r="N664" s="11"/>
    </row>
    <row r="665">
      <c r="B665" s="11"/>
      <c r="E665" s="11"/>
      <c r="H665" s="17"/>
      <c r="N665" s="11"/>
    </row>
    <row r="666">
      <c r="B666" s="11"/>
      <c r="E666" s="11"/>
      <c r="H666" s="17"/>
      <c r="N666" s="11"/>
    </row>
    <row r="667">
      <c r="B667" s="11"/>
      <c r="E667" s="11"/>
      <c r="H667" s="17"/>
      <c r="N667" s="11"/>
    </row>
    <row r="668">
      <c r="B668" s="11"/>
      <c r="E668" s="11"/>
      <c r="H668" s="17"/>
      <c r="N668" s="11"/>
    </row>
    <row r="669">
      <c r="B669" s="11"/>
      <c r="E669" s="11"/>
      <c r="H669" s="17"/>
      <c r="N669" s="11"/>
    </row>
    <row r="670">
      <c r="B670" s="11"/>
      <c r="E670" s="11"/>
      <c r="H670" s="17"/>
      <c r="N670" s="11"/>
    </row>
    <row r="671">
      <c r="B671" s="11"/>
      <c r="E671" s="11"/>
      <c r="H671" s="17"/>
      <c r="N671" s="11"/>
    </row>
    <row r="672">
      <c r="B672" s="11"/>
      <c r="E672" s="11"/>
      <c r="H672" s="17"/>
      <c r="N672" s="11"/>
    </row>
    <row r="673">
      <c r="B673" s="11"/>
      <c r="E673" s="11"/>
      <c r="H673" s="17"/>
      <c r="N673" s="11"/>
    </row>
    <row r="674">
      <c r="B674" s="11"/>
      <c r="E674" s="11"/>
      <c r="H674" s="17"/>
      <c r="N674" s="11"/>
    </row>
    <row r="675">
      <c r="B675" s="11"/>
      <c r="E675" s="11"/>
      <c r="H675" s="17"/>
      <c r="N675" s="11"/>
    </row>
    <row r="676">
      <c r="B676" s="11"/>
      <c r="E676" s="11"/>
      <c r="H676" s="17"/>
      <c r="N676" s="11"/>
    </row>
    <row r="677">
      <c r="B677" s="11"/>
      <c r="E677" s="11"/>
      <c r="H677" s="17"/>
      <c r="N677" s="11"/>
    </row>
    <row r="678">
      <c r="B678" s="11"/>
      <c r="E678" s="11"/>
      <c r="H678" s="17"/>
      <c r="N678" s="11"/>
    </row>
    <row r="679">
      <c r="B679" s="11"/>
      <c r="E679" s="11"/>
      <c r="H679" s="17"/>
      <c r="N679" s="11"/>
    </row>
    <row r="680">
      <c r="B680" s="11"/>
      <c r="E680" s="11"/>
      <c r="H680" s="17"/>
      <c r="N680" s="11"/>
    </row>
    <row r="681">
      <c r="B681" s="11"/>
      <c r="E681" s="11"/>
      <c r="H681" s="17"/>
      <c r="N681" s="11"/>
    </row>
    <row r="682">
      <c r="B682" s="11"/>
      <c r="E682" s="11"/>
      <c r="H682" s="17"/>
      <c r="N682" s="11"/>
    </row>
    <row r="683">
      <c r="B683" s="11"/>
      <c r="E683" s="11"/>
      <c r="H683" s="17"/>
      <c r="N683" s="11"/>
    </row>
    <row r="684">
      <c r="B684" s="11"/>
      <c r="E684" s="11"/>
      <c r="H684" s="17"/>
      <c r="N684" s="11"/>
    </row>
    <row r="685">
      <c r="B685" s="11"/>
      <c r="E685" s="11"/>
      <c r="H685" s="17"/>
      <c r="N685" s="11"/>
    </row>
    <row r="686">
      <c r="B686" s="11"/>
      <c r="E686" s="11"/>
      <c r="H686" s="17"/>
      <c r="N686" s="11"/>
    </row>
    <row r="687">
      <c r="B687" s="11"/>
      <c r="E687" s="11"/>
      <c r="H687" s="17"/>
      <c r="N687" s="11"/>
    </row>
    <row r="688">
      <c r="B688" s="11"/>
      <c r="E688" s="11"/>
      <c r="H688" s="17"/>
      <c r="N688" s="11"/>
    </row>
    <row r="689">
      <c r="B689" s="11"/>
      <c r="E689" s="11"/>
      <c r="H689" s="17"/>
      <c r="N689" s="11"/>
    </row>
    <row r="690">
      <c r="B690" s="11"/>
      <c r="E690" s="11"/>
      <c r="H690" s="17"/>
      <c r="N690" s="11"/>
    </row>
    <row r="691">
      <c r="B691" s="11"/>
      <c r="E691" s="11"/>
      <c r="H691" s="17"/>
      <c r="N691" s="11"/>
    </row>
    <row r="692">
      <c r="B692" s="11"/>
      <c r="E692" s="11"/>
      <c r="H692" s="17"/>
      <c r="N692" s="11"/>
    </row>
    <row r="693">
      <c r="B693" s="11"/>
      <c r="E693" s="11"/>
      <c r="H693" s="17"/>
      <c r="N693" s="11"/>
    </row>
    <row r="694">
      <c r="B694" s="11"/>
      <c r="E694" s="11"/>
      <c r="H694" s="17"/>
      <c r="N694" s="11"/>
    </row>
    <row r="695">
      <c r="B695" s="11"/>
      <c r="E695" s="11"/>
      <c r="H695" s="17"/>
      <c r="N695" s="11"/>
    </row>
    <row r="696">
      <c r="B696" s="11"/>
      <c r="E696" s="11"/>
      <c r="H696" s="17"/>
      <c r="N696" s="11"/>
    </row>
    <row r="697">
      <c r="B697" s="11"/>
      <c r="E697" s="11"/>
      <c r="H697" s="17"/>
      <c r="N697" s="11"/>
    </row>
    <row r="698">
      <c r="B698" s="11"/>
      <c r="E698" s="11"/>
      <c r="H698" s="17"/>
      <c r="N698" s="11"/>
    </row>
    <row r="699">
      <c r="B699" s="11"/>
      <c r="E699" s="11"/>
      <c r="H699" s="17"/>
      <c r="N699" s="11"/>
    </row>
    <row r="700">
      <c r="B700" s="11"/>
      <c r="E700" s="11"/>
      <c r="H700" s="17"/>
      <c r="N700" s="11"/>
    </row>
    <row r="701">
      <c r="B701" s="11"/>
      <c r="E701" s="11"/>
      <c r="H701" s="17"/>
      <c r="N701" s="11"/>
    </row>
    <row r="702">
      <c r="B702" s="11"/>
      <c r="E702" s="11"/>
      <c r="H702" s="17"/>
      <c r="N702" s="11"/>
    </row>
    <row r="703">
      <c r="B703" s="11"/>
      <c r="E703" s="11"/>
      <c r="H703" s="17"/>
      <c r="N703" s="11"/>
    </row>
    <row r="704">
      <c r="B704" s="11"/>
      <c r="E704" s="11"/>
      <c r="H704" s="17"/>
      <c r="N704" s="11"/>
    </row>
    <row r="705">
      <c r="B705" s="11"/>
      <c r="E705" s="11"/>
      <c r="H705" s="17"/>
      <c r="N705" s="11"/>
    </row>
    <row r="706">
      <c r="B706" s="11"/>
      <c r="E706" s="11"/>
      <c r="H706" s="17"/>
      <c r="N706" s="11"/>
    </row>
    <row r="707">
      <c r="B707" s="11"/>
      <c r="E707" s="11"/>
      <c r="H707" s="17"/>
      <c r="N707" s="11"/>
    </row>
    <row r="708">
      <c r="B708" s="11"/>
      <c r="E708" s="11"/>
      <c r="H708" s="17"/>
      <c r="N708" s="11"/>
    </row>
    <row r="709">
      <c r="B709" s="11"/>
      <c r="E709" s="11"/>
      <c r="H709" s="17"/>
      <c r="N709" s="11"/>
    </row>
    <row r="710">
      <c r="B710" s="11"/>
      <c r="E710" s="11"/>
      <c r="H710" s="17"/>
      <c r="N710" s="11"/>
    </row>
    <row r="711">
      <c r="B711" s="11"/>
      <c r="E711" s="11"/>
      <c r="H711" s="17"/>
      <c r="N711" s="11"/>
    </row>
    <row r="712">
      <c r="B712" s="11"/>
      <c r="E712" s="11"/>
      <c r="H712" s="17"/>
      <c r="N712" s="11"/>
    </row>
    <row r="713">
      <c r="B713" s="11"/>
      <c r="E713" s="11"/>
      <c r="H713" s="17"/>
      <c r="N713" s="11"/>
    </row>
    <row r="714">
      <c r="B714" s="11"/>
      <c r="E714" s="11"/>
      <c r="H714" s="17"/>
      <c r="N714" s="11"/>
    </row>
    <row r="715">
      <c r="B715" s="11"/>
      <c r="E715" s="11"/>
      <c r="H715" s="17"/>
      <c r="N715" s="11"/>
    </row>
    <row r="716">
      <c r="B716" s="11"/>
      <c r="E716" s="11"/>
      <c r="H716" s="17"/>
      <c r="N716" s="11"/>
    </row>
    <row r="717">
      <c r="B717" s="11"/>
      <c r="E717" s="11"/>
      <c r="H717" s="17"/>
      <c r="N717" s="11"/>
    </row>
    <row r="718">
      <c r="B718" s="11"/>
      <c r="E718" s="11"/>
      <c r="H718" s="17"/>
      <c r="N718" s="11"/>
    </row>
    <row r="719">
      <c r="B719" s="11"/>
      <c r="E719" s="11"/>
      <c r="H719" s="17"/>
      <c r="N719" s="11"/>
    </row>
    <row r="720">
      <c r="B720" s="11"/>
      <c r="E720" s="11"/>
      <c r="H720" s="17"/>
      <c r="N720" s="11"/>
    </row>
    <row r="721">
      <c r="B721" s="11"/>
      <c r="E721" s="11"/>
      <c r="H721" s="17"/>
      <c r="N721" s="11"/>
    </row>
    <row r="722">
      <c r="B722" s="11"/>
      <c r="E722" s="11"/>
      <c r="H722" s="17"/>
      <c r="N722" s="11"/>
    </row>
    <row r="723">
      <c r="B723" s="11"/>
      <c r="E723" s="11"/>
      <c r="H723" s="17"/>
      <c r="N723" s="11"/>
    </row>
    <row r="724">
      <c r="B724" s="11"/>
      <c r="E724" s="11"/>
      <c r="H724" s="17"/>
      <c r="N724" s="11"/>
    </row>
    <row r="725">
      <c r="B725" s="11"/>
      <c r="E725" s="11"/>
      <c r="H725" s="17"/>
      <c r="N725" s="11"/>
    </row>
    <row r="726">
      <c r="B726" s="11"/>
      <c r="E726" s="11"/>
      <c r="H726" s="17"/>
      <c r="N726" s="11"/>
    </row>
    <row r="727">
      <c r="B727" s="11"/>
      <c r="E727" s="11"/>
      <c r="H727" s="17"/>
      <c r="N727" s="11"/>
    </row>
    <row r="728">
      <c r="B728" s="11"/>
      <c r="E728" s="11"/>
      <c r="H728" s="17"/>
      <c r="N728" s="11"/>
    </row>
    <row r="729">
      <c r="B729" s="11"/>
      <c r="E729" s="11"/>
      <c r="H729" s="17"/>
      <c r="N729" s="11"/>
    </row>
    <row r="730">
      <c r="B730" s="11"/>
      <c r="E730" s="11"/>
      <c r="H730" s="17"/>
      <c r="N730" s="11"/>
    </row>
    <row r="731">
      <c r="B731" s="11"/>
      <c r="E731" s="11"/>
      <c r="H731" s="17"/>
      <c r="N731" s="11"/>
    </row>
    <row r="732">
      <c r="B732" s="11"/>
      <c r="E732" s="11"/>
      <c r="H732" s="17"/>
      <c r="N732" s="11"/>
    </row>
    <row r="733">
      <c r="B733" s="11"/>
      <c r="E733" s="11"/>
      <c r="H733" s="17"/>
      <c r="N733" s="11"/>
    </row>
    <row r="734">
      <c r="B734" s="11"/>
      <c r="E734" s="11"/>
      <c r="H734" s="17"/>
      <c r="N734" s="11"/>
    </row>
    <row r="735">
      <c r="B735" s="11"/>
      <c r="E735" s="11"/>
      <c r="H735" s="17"/>
      <c r="N735" s="11"/>
    </row>
    <row r="736">
      <c r="B736" s="11"/>
      <c r="E736" s="11"/>
      <c r="H736" s="17"/>
      <c r="N736" s="11"/>
    </row>
    <row r="737">
      <c r="B737" s="11"/>
      <c r="E737" s="11"/>
      <c r="H737" s="17"/>
      <c r="N737" s="11"/>
    </row>
    <row r="738">
      <c r="B738" s="11"/>
      <c r="E738" s="11"/>
      <c r="H738" s="17"/>
      <c r="N738" s="11"/>
    </row>
    <row r="739">
      <c r="B739" s="11"/>
      <c r="E739" s="11"/>
      <c r="H739" s="17"/>
      <c r="N739" s="11"/>
    </row>
    <row r="740">
      <c r="B740" s="11"/>
      <c r="E740" s="11"/>
      <c r="H740" s="17"/>
      <c r="N740" s="11"/>
    </row>
    <row r="741">
      <c r="B741" s="11"/>
      <c r="E741" s="11"/>
      <c r="H741" s="17"/>
      <c r="N741" s="11"/>
    </row>
    <row r="742">
      <c r="B742" s="11"/>
      <c r="E742" s="11"/>
      <c r="H742" s="17"/>
      <c r="N742" s="11"/>
    </row>
    <row r="743">
      <c r="B743" s="11"/>
      <c r="E743" s="11"/>
      <c r="H743" s="17"/>
      <c r="N743" s="11"/>
    </row>
    <row r="744">
      <c r="B744" s="11"/>
      <c r="E744" s="11"/>
      <c r="H744" s="17"/>
      <c r="N744" s="11"/>
    </row>
    <row r="745">
      <c r="B745" s="11"/>
      <c r="E745" s="11"/>
      <c r="H745" s="17"/>
      <c r="N745" s="11"/>
    </row>
    <row r="746">
      <c r="B746" s="11"/>
      <c r="E746" s="11"/>
      <c r="H746" s="17"/>
      <c r="N746" s="11"/>
    </row>
    <row r="747">
      <c r="B747" s="11"/>
      <c r="E747" s="11"/>
      <c r="H747" s="17"/>
      <c r="N747" s="11"/>
    </row>
    <row r="748">
      <c r="B748" s="11"/>
      <c r="E748" s="11"/>
      <c r="H748" s="17"/>
      <c r="N748" s="11"/>
    </row>
    <row r="749">
      <c r="B749" s="11"/>
      <c r="E749" s="11"/>
      <c r="H749" s="17"/>
      <c r="N749" s="11"/>
    </row>
    <row r="750">
      <c r="B750" s="11"/>
      <c r="E750" s="11"/>
      <c r="H750" s="17"/>
      <c r="N750" s="11"/>
    </row>
    <row r="751">
      <c r="B751" s="11"/>
      <c r="E751" s="11"/>
      <c r="H751" s="17"/>
      <c r="N751" s="11"/>
    </row>
    <row r="752">
      <c r="B752" s="11"/>
      <c r="E752" s="11"/>
      <c r="H752" s="17"/>
      <c r="N752" s="11"/>
    </row>
    <row r="753">
      <c r="B753" s="11"/>
      <c r="E753" s="11"/>
      <c r="H753" s="17"/>
      <c r="N753" s="11"/>
    </row>
    <row r="754">
      <c r="B754" s="11"/>
      <c r="E754" s="11"/>
      <c r="H754" s="17"/>
      <c r="N754" s="11"/>
    </row>
    <row r="755">
      <c r="B755" s="11"/>
      <c r="E755" s="11"/>
      <c r="H755" s="17"/>
      <c r="N755" s="11"/>
    </row>
    <row r="756">
      <c r="B756" s="11"/>
      <c r="E756" s="11"/>
      <c r="H756" s="17"/>
      <c r="N756" s="11"/>
    </row>
    <row r="757">
      <c r="B757" s="11"/>
      <c r="E757" s="11"/>
      <c r="H757" s="17"/>
      <c r="N757" s="11"/>
    </row>
    <row r="758">
      <c r="B758" s="11"/>
      <c r="E758" s="11"/>
      <c r="H758" s="17"/>
      <c r="N758" s="11"/>
    </row>
    <row r="759">
      <c r="B759" s="11"/>
      <c r="E759" s="11"/>
      <c r="H759" s="17"/>
      <c r="N759" s="11"/>
    </row>
    <row r="760">
      <c r="B760" s="11"/>
      <c r="E760" s="11"/>
      <c r="H760" s="17"/>
      <c r="N760" s="11"/>
    </row>
    <row r="761">
      <c r="B761" s="11"/>
      <c r="E761" s="11"/>
      <c r="H761" s="17"/>
      <c r="N761" s="11"/>
    </row>
    <row r="762">
      <c r="B762" s="11"/>
      <c r="E762" s="11"/>
      <c r="H762" s="17"/>
      <c r="N762" s="11"/>
    </row>
    <row r="763">
      <c r="B763" s="11"/>
      <c r="E763" s="11"/>
      <c r="H763" s="17"/>
      <c r="N763" s="11"/>
    </row>
    <row r="764">
      <c r="B764" s="11"/>
      <c r="E764" s="11"/>
      <c r="H764" s="17"/>
      <c r="N764" s="11"/>
    </row>
    <row r="765">
      <c r="B765" s="11"/>
      <c r="E765" s="11"/>
      <c r="H765" s="17"/>
      <c r="N765" s="11"/>
    </row>
    <row r="766">
      <c r="B766" s="11"/>
      <c r="E766" s="11"/>
      <c r="H766" s="17"/>
      <c r="N766" s="11"/>
    </row>
    <row r="767">
      <c r="B767" s="11"/>
      <c r="E767" s="11"/>
      <c r="H767" s="17"/>
      <c r="N767" s="11"/>
    </row>
    <row r="768">
      <c r="B768" s="11"/>
      <c r="E768" s="11"/>
      <c r="H768" s="17"/>
      <c r="N768" s="11"/>
    </row>
    <row r="769">
      <c r="B769" s="11"/>
      <c r="E769" s="11"/>
      <c r="H769" s="17"/>
      <c r="N769" s="11"/>
    </row>
    <row r="770">
      <c r="B770" s="11"/>
      <c r="E770" s="11"/>
      <c r="H770" s="17"/>
      <c r="N770" s="11"/>
    </row>
    <row r="771">
      <c r="B771" s="11"/>
      <c r="E771" s="11"/>
      <c r="H771" s="17"/>
      <c r="N771" s="11"/>
    </row>
    <row r="772">
      <c r="B772" s="11"/>
      <c r="E772" s="11"/>
      <c r="H772" s="17"/>
      <c r="N772" s="11"/>
    </row>
    <row r="773">
      <c r="B773" s="11"/>
      <c r="E773" s="11"/>
      <c r="H773" s="17"/>
      <c r="N773" s="11"/>
    </row>
    <row r="774">
      <c r="B774" s="11"/>
      <c r="E774" s="11"/>
      <c r="H774" s="17"/>
      <c r="N774" s="11"/>
    </row>
    <row r="775">
      <c r="B775" s="11"/>
      <c r="E775" s="11"/>
      <c r="H775" s="17"/>
      <c r="N775" s="11"/>
    </row>
    <row r="776">
      <c r="B776" s="11"/>
      <c r="E776" s="11"/>
      <c r="H776" s="17"/>
      <c r="N776" s="11"/>
    </row>
    <row r="777">
      <c r="B777" s="11"/>
      <c r="E777" s="11"/>
      <c r="H777" s="17"/>
      <c r="N777" s="11"/>
    </row>
    <row r="778">
      <c r="B778" s="11"/>
      <c r="E778" s="11"/>
      <c r="H778" s="17"/>
      <c r="N778" s="11"/>
    </row>
    <row r="779">
      <c r="B779" s="11"/>
      <c r="E779" s="11"/>
      <c r="H779" s="17"/>
      <c r="N779" s="11"/>
    </row>
    <row r="780">
      <c r="B780" s="11"/>
      <c r="E780" s="11"/>
      <c r="H780" s="17"/>
      <c r="N780" s="11"/>
    </row>
    <row r="781">
      <c r="B781" s="11"/>
      <c r="E781" s="11"/>
      <c r="H781" s="17"/>
      <c r="N781" s="11"/>
    </row>
    <row r="782">
      <c r="B782" s="11"/>
      <c r="E782" s="11"/>
      <c r="H782" s="17"/>
      <c r="N782" s="11"/>
    </row>
    <row r="783">
      <c r="B783" s="11"/>
      <c r="E783" s="11"/>
      <c r="H783" s="17"/>
      <c r="N783" s="11"/>
    </row>
    <row r="784">
      <c r="B784" s="11"/>
      <c r="E784" s="11"/>
      <c r="H784" s="17"/>
      <c r="N784" s="11"/>
    </row>
    <row r="785">
      <c r="B785" s="11"/>
      <c r="E785" s="11"/>
      <c r="H785" s="17"/>
      <c r="N785" s="11"/>
    </row>
    <row r="786">
      <c r="B786" s="11"/>
      <c r="E786" s="11"/>
      <c r="H786" s="17"/>
      <c r="N786" s="11"/>
    </row>
    <row r="787">
      <c r="B787" s="11"/>
      <c r="E787" s="11"/>
      <c r="H787" s="17"/>
      <c r="N787" s="11"/>
    </row>
    <row r="788">
      <c r="B788" s="11"/>
      <c r="E788" s="11"/>
      <c r="H788" s="17"/>
      <c r="N788" s="11"/>
    </row>
    <row r="789">
      <c r="B789" s="11"/>
      <c r="E789" s="11"/>
      <c r="H789" s="17"/>
      <c r="N789" s="11"/>
    </row>
    <row r="790">
      <c r="B790" s="11"/>
      <c r="E790" s="11"/>
      <c r="H790" s="17"/>
      <c r="N790" s="11"/>
    </row>
    <row r="791">
      <c r="B791" s="11"/>
      <c r="E791" s="11"/>
      <c r="H791" s="17"/>
      <c r="N791" s="11"/>
    </row>
    <row r="792">
      <c r="B792" s="11"/>
      <c r="E792" s="11"/>
      <c r="H792" s="17"/>
      <c r="N792" s="11"/>
    </row>
    <row r="793">
      <c r="B793" s="11"/>
      <c r="E793" s="11"/>
      <c r="H793" s="17"/>
      <c r="N793" s="11"/>
    </row>
    <row r="794">
      <c r="B794" s="11"/>
      <c r="E794" s="11"/>
      <c r="H794" s="17"/>
      <c r="N794" s="11"/>
    </row>
    <row r="795">
      <c r="B795" s="11"/>
      <c r="E795" s="11"/>
      <c r="H795" s="17"/>
      <c r="N795" s="11"/>
    </row>
    <row r="796">
      <c r="B796" s="11"/>
      <c r="E796" s="11"/>
      <c r="H796" s="17"/>
      <c r="N796" s="11"/>
    </row>
    <row r="797">
      <c r="B797" s="11"/>
      <c r="E797" s="11"/>
      <c r="H797" s="17"/>
      <c r="N797" s="11"/>
    </row>
    <row r="798">
      <c r="B798" s="11"/>
      <c r="E798" s="11"/>
      <c r="H798" s="17"/>
      <c r="N798" s="11"/>
    </row>
    <row r="799">
      <c r="B799" s="11"/>
      <c r="E799" s="11"/>
      <c r="H799" s="17"/>
      <c r="N799" s="11"/>
    </row>
    <row r="800">
      <c r="B800" s="11"/>
      <c r="E800" s="11"/>
      <c r="H800" s="17"/>
      <c r="N800" s="11"/>
    </row>
    <row r="801">
      <c r="B801" s="11"/>
      <c r="E801" s="11"/>
      <c r="H801" s="17"/>
      <c r="N801" s="11"/>
    </row>
    <row r="802">
      <c r="B802" s="11"/>
      <c r="E802" s="11"/>
      <c r="H802" s="17"/>
      <c r="N802" s="11"/>
    </row>
    <row r="803">
      <c r="B803" s="11"/>
      <c r="E803" s="11"/>
      <c r="H803" s="17"/>
      <c r="N803" s="11"/>
    </row>
    <row r="804">
      <c r="B804" s="11"/>
      <c r="E804" s="11"/>
      <c r="H804" s="17"/>
      <c r="N804" s="11"/>
    </row>
    <row r="805">
      <c r="B805" s="11"/>
      <c r="E805" s="11"/>
      <c r="H805" s="17"/>
      <c r="N805" s="11"/>
    </row>
    <row r="806">
      <c r="B806" s="11"/>
      <c r="E806" s="11"/>
      <c r="H806" s="17"/>
      <c r="N806" s="11"/>
    </row>
    <row r="807">
      <c r="B807" s="11"/>
      <c r="E807" s="11"/>
      <c r="H807" s="17"/>
      <c r="N807" s="11"/>
    </row>
    <row r="808">
      <c r="B808" s="11"/>
      <c r="E808" s="11"/>
      <c r="H808" s="17"/>
      <c r="N808" s="11"/>
    </row>
    <row r="809">
      <c r="B809" s="11"/>
      <c r="E809" s="11"/>
      <c r="H809" s="17"/>
      <c r="N809" s="11"/>
    </row>
    <row r="810">
      <c r="B810" s="11"/>
      <c r="E810" s="11"/>
      <c r="H810" s="17"/>
      <c r="N810" s="11"/>
    </row>
    <row r="811">
      <c r="B811" s="11"/>
      <c r="E811" s="11"/>
      <c r="H811" s="17"/>
      <c r="N811" s="11"/>
    </row>
    <row r="812">
      <c r="B812" s="11"/>
      <c r="E812" s="11"/>
      <c r="H812" s="17"/>
      <c r="N812" s="11"/>
    </row>
    <row r="813">
      <c r="B813" s="11"/>
      <c r="E813" s="11"/>
      <c r="H813" s="17"/>
      <c r="N813" s="11"/>
    </row>
    <row r="814">
      <c r="B814" s="11"/>
      <c r="E814" s="11"/>
      <c r="H814" s="17"/>
      <c r="N814" s="11"/>
    </row>
    <row r="815">
      <c r="B815" s="11"/>
      <c r="E815" s="11"/>
      <c r="H815" s="17"/>
      <c r="N815" s="11"/>
    </row>
    <row r="816">
      <c r="B816" s="11"/>
      <c r="E816" s="11"/>
      <c r="H816" s="17"/>
      <c r="N816" s="11"/>
    </row>
    <row r="817">
      <c r="B817" s="11"/>
      <c r="E817" s="11"/>
      <c r="H817" s="17"/>
      <c r="N817" s="11"/>
    </row>
    <row r="818">
      <c r="B818" s="11"/>
      <c r="E818" s="11"/>
      <c r="H818" s="17"/>
      <c r="N818" s="11"/>
    </row>
    <row r="819">
      <c r="B819" s="11"/>
      <c r="E819" s="11"/>
      <c r="H819" s="17"/>
      <c r="N819" s="11"/>
    </row>
    <row r="820">
      <c r="B820" s="11"/>
      <c r="E820" s="11"/>
      <c r="H820" s="17"/>
      <c r="N820" s="11"/>
    </row>
    <row r="821">
      <c r="B821" s="11"/>
      <c r="E821" s="11"/>
      <c r="H821" s="17"/>
      <c r="N821" s="11"/>
    </row>
    <row r="822">
      <c r="B822" s="11"/>
      <c r="E822" s="11"/>
      <c r="H822" s="17"/>
      <c r="N822" s="11"/>
    </row>
    <row r="823">
      <c r="B823" s="11"/>
      <c r="E823" s="11"/>
      <c r="H823" s="17"/>
      <c r="N823" s="11"/>
    </row>
    <row r="824">
      <c r="B824" s="11"/>
      <c r="E824" s="11"/>
      <c r="H824" s="17"/>
      <c r="N824" s="11"/>
    </row>
    <row r="825">
      <c r="B825" s="11"/>
      <c r="E825" s="11"/>
      <c r="H825" s="17"/>
      <c r="N825" s="11"/>
    </row>
    <row r="826">
      <c r="B826" s="11"/>
      <c r="E826" s="11"/>
      <c r="H826" s="17"/>
      <c r="N826" s="11"/>
    </row>
    <row r="827">
      <c r="B827" s="11"/>
      <c r="E827" s="11"/>
      <c r="H827" s="17"/>
      <c r="N827" s="11"/>
    </row>
    <row r="828">
      <c r="B828" s="11"/>
      <c r="E828" s="11"/>
      <c r="H828" s="17"/>
      <c r="N828" s="11"/>
    </row>
    <row r="829">
      <c r="B829" s="11"/>
      <c r="E829" s="11"/>
      <c r="H829" s="17"/>
      <c r="N829" s="11"/>
    </row>
    <row r="830">
      <c r="B830" s="11"/>
      <c r="E830" s="11"/>
      <c r="H830" s="17"/>
      <c r="N830" s="11"/>
    </row>
    <row r="831">
      <c r="B831" s="11"/>
      <c r="E831" s="11"/>
      <c r="H831" s="17"/>
      <c r="N831" s="11"/>
    </row>
    <row r="832">
      <c r="B832" s="11"/>
      <c r="E832" s="11"/>
      <c r="H832" s="17"/>
      <c r="N832" s="11"/>
    </row>
    <row r="833">
      <c r="B833" s="11"/>
      <c r="E833" s="11"/>
      <c r="H833" s="17"/>
      <c r="N833" s="11"/>
    </row>
    <row r="834">
      <c r="B834" s="11"/>
      <c r="E834" s="11"/>
      <c r="H834" s="17"/>
      <c r="N834" s="11"/>
    </row>
    <row r="835">
      <c r="B835" s="11"/>
      <c r="E835" s="11"/>
      <c r="H835" s="17"/>
      <c r="N835" s="11"/>
    </row>
    <row r="836">
      <c r="B836" s="11"/>
      <c r="E836" s="11"/>
      <c r="H836" s="17"/>
      <c r="N836" s="11"/>
    </row>
    <row r="837">
      <c r="B837" s="11"/>
      <c r="E837" s="11"/>
      <c r="H837" s="17"/>
      <c r="N837" s="11"/>
    </row>
    <row r="838">
      <c r="B838" s="11"/>
      <c r="E838" s="11"/>
      <c r="H838" s="17"/>
      <c r="N838" s="11"/>
    </row>
    <row r="839">
      <c r="B839" s="11"/>
      <c r="E839" s="11"/>
      <c r="H839" s="17"/>
      <c r="N839" s="11"/>
    </row>
    <row r="840">
      <c r="B840" s="11"/>
      <c r="E840" s="11"/>
      <c r="H840" s="17"/>
      <c r="N840" s="11"/>
    </row>
    <row r="841">
      <c r="B841" s="11"/>
      <c r="E841" s="11"/>
      <c r="H841" s="17"/>
      <c r="N841" s="11"/>
    </row>
    <row r="842">
      <c r="B842" s="11"/>
      <c r="E842" s="11"/>
      <c r="H842" s="17"/>
      <c r="N842" s="11"/>
    </row>
    <row r="843">
      <c r="B843" s="11"/>
      <c r="E843" s="11"/>
      <c r="H843" s="17"/>
      <c r="N843" s="11"/>
    </row>
    <row r="844">
      <c r="B844" s="11"/>
      <c r="E844" s="11"/>
      <c r="H844" s="17"/>
      <c r="N844" s="11"/>
    </row>
    <row r="845">
      <c r="B845" s="11"/>
      <c r="E845" s="11"/>
      <c r="H845" s="17"/>
      <c r="N845" s="11"/>
    </row>
    <row r="846">
      <c r="B846" s="11"/>
      <c r="E846" s="11"/>
      <c r="H846" s="17"/>
      <c r="N846" s="11"/>
    </row>
    <row r="847">
      <c r="B847" s="11"/>
      <c r="E847" s="11"/>
      <c r="H847" s="17"/>
      <c r="N847" s="11"/>
    </row>
    <row r="848">
      <c r="B848" s="11"/>
      <c r="E848" s="11"/>
      <c r="H848" s="17"/>
      <c r="N848" s="11"/>
    </row>
    <row r="849">
      <c r="B849" s="11"/>
      <c r="E849" s="11"/>
      <c r="H849" s="17"/>
      <c r="N849" s="11"/>
    </row>
    <row r="850">
      <c r="B850" s="11"/>
      <c r="E850" s="11"/>
      <c r="H850" s="17"/>
      <c r="N850" s="11"/>
    </row>
    <row r="851">
      <c r="B851" s="11"/>
      <c r="E851" s="11"/>
      <c r="H851" s="17"/>
      <c r="N851" s="11"/>
    </row>
    <row r="852">
      <c r="B852" s="11"/>
      <c r="E852" s="11"/>
      <c r="H852" s="17"/>
      <c r="N852" s="11"/>
    </row>
    <row r="853">
      <c r="B853" s="11"/>
      <c r="E853" s="11"/>
      <c r="H853" s="17"/>
      <c r="N853" s="11"/>
    </row>
    <row r="854">
      <c r="B854" s="11"/>
      <c r="E854" s="11"/>
      <c r="H854" s="17"/>
      <c r="N854" s="11"/>
    </row>
    <row r="855">
      <c r="B855" s="11"/>
      <c r="E855" s="11"/>
      <c r="H855" s="17"/>
      <c r="N855" s="11"/>
    </row>
    <row r="856">
      <c r="B856" s="11"/>
      <c r="E856" s="11"/>
      <c r="H856" s="17"/>
      <c r="N856" s="11"/>
    </row>
    <row r="857">
      <c r="B857" s="11"/>
      <c r="E857" s="11"/>
      <c r="H857" s="17"/>
      <c r="N857" s="11"/>
    </row>
    <row r="858">
      <c r="B858" s="11"/>
      <c r="E858" s="11"/>
      <c r="H858" s="17"/>
      <c r="N858" s="11"/>
    </row>
    <row r="859">
      <c r="B859" s="11"/>
      <c r="E859" s="11"/>
      <c r="H859" s="17"/>
      <c r="N859" s="11"/>
    </row>
    <row r="860">
      <c r="B860" s="11"/>
      <c r="E860" s="11"/>
      <c r="H860" s="17"/>
      <c r="N860" s="11"/>
    </row>
    <row r="861">
      <c r="B861" s="11"/>
      <c r="E861" s="11"/>
      <c r="H861" s="17"/>
      <c r="N861" s="11"/>
    </row>
    <row r="862">
      <c r="B862" s="11"/>
      <c r="E862" s="11"/>
      <c r="H862" s="17"/>
      <c r="N862" s="11"/>
    </row>
    <row r="863">
      <c r="B863" s="11"/>
      <c r="E863" s="11"/>
      <c r="H863" s="17"/>
      <c r="N863" s="11"/>
    </row>
    <row r="864">
      <c r="B864" s="11"/>
      <c r="E864" s="11"/>
      <c r="H864" s="17"/>
      <c r="N864" s="11"/>
    </row>
    <row r="865">
      <c r="B865" s="11"/>
      <c r="E865" s="11"/>
      <c r="H865" s="17"/>
      <c r="N865" s="11"/>
    </row>
    <row r="866">
      <c r="B866" s="11"/>
      <c r="E866" s="11"/>
      <c r="H866" s="17"/>
      <c r="N866" s="11"/>
    </row>
    <row r="867">
      <c r="B867" s="11"/>
      <c r="E867" s="11"/>
      <c r="H867" s="17"/>
      <c r="N867" s="11"/>
    </row>
    <row r="868">
      <c r="B868" s="11"/>
      <c r="E868" s="11"/>
      <c r="H868" s="17"/>
      <c r="N868" s="11"/>
    </row>
    <row r="869">
      <c r="B869" s="11"/>
      <c r="E869" s="11"/>
      <c r="H869" s="17"/>
      <c r="N869" s="11"/>
    </row>
    <row r="870">
      <c r="B870" s="11"/>
      <c r="E870" s="11"/>
      <c r="H870" s="17"/>
      <c r="N870" s="11"/>
    </row>
    <row r="871">
      <c r="B871" s="11"/>
      <c r="E871" s="11"/>
      <c r="H871" s="17"/>
      <c r="N871" s="11"/>
    </row>
    <row r="872">
      <c r="B872" s="11"/>
      <c r="E872" s="11"/>
      <c r="H872" s="17"/>
      <c r="N872" s="11"/>
    </row>
    <row r="873">
      <c r="B873" s="11"/>
      <c r="E873" s="11"/>
      <c r="H873" s="17"/>
      <c r="N873" s="11"/>
    </row>
    <row r="874">
      <c r="B874" s="11"/>
      <c r="E874" s="11"/>
      <c r="H874" s="17"/>
      <c r="N874" s="11"/>
    </row>
    <row r="875">
      <c r="B875" s="11"/>
      <c r="E875" s="11"/>
      <c r="H875" s="17"/>
      <c r="N875" s="11"/>
    </row>
    <row r="876">
      <c r="B876" s="11"/>
      <c r="E876" s="11"/>
      <c r="H876" s="17"/>
      <c r="N876" s="11"/>
    </row>
    <row r="877">
      <c r="B877" s="11"/>
      <c r="E877" s="11"/>
      <c r="H877" s="17"/>
      <c r="N877" s="11"/>
    </row>
    <row r="878">
      <c r="B878" s="11"/>
      <c r="E878" s="11"/>
      <c r="H878" s="17"/>
      <c r="N878" s="11"/>
    </row>
    <row r="879">
      <c r="B879" s="11"/>
      <c r="E879" s="11"/>
      <c r="H879" s="17"/>
      <c r="N879" s="11"/>
    </row>
    <row r="880">
      <c r="B880" s="11"/>
      <c r="E880" s="11"/>
      <c r="H880" s="17"/>
      <c r="N880" s="11"/>
    </row>
    <row r="881">
      <c r="B881" s="11"/>
      <c r="E881" s="11"/>
      <c r="H881" s="17"/>
      <c r="N881" s="11"/>
    </row>
    <row r="882">
      <c r="B882" s="11"/>
      <c r="E882" s="11"/>
      <c r="H882" s="17"/>
      <c r="N882" s="11"/>
    </row>
    <row r="883">
      <c r="B883" s="11"/>
      <c r="E883" s="11"/>
      <c r="H883" s="17"/>
      <c r="N883" s="11"/>
    </row>
    <row r="884">
      <c r="B884" s="11"/>
      <c r="E884" s="11"/>
      <c r="H884" s="17"/>
      <c r="N884" s="11"/>
    </row>
    <row r="885">
      <c r="B885" s="11"/>
      <c r="E885" s="11"/>
      <c r="H885" s="17"/>
      <c r="N885" s="11"/>
    </row>
    <row r="886">
      <c r="B886" s="11"/>
      <c r="E886" s="11"/>
      <c r="H886" s="17"/>
      <c r="N886" s="11"/>
    </row>
    <row r="887">
      <c r="B887" s="11"/>
      <c r="E887" s="11"/>
      <c r="H887" s="17"/>
      <c r="N887" s="11"/>
    </row>
    <row r="888">
      <c r="B888" s="11"/>
      <c r="E888" s="11"/>
      <c r="H888" s="17"/>
      <c r="N888" s="11"/>
    </row>
    <row r="889">
      <c r="B889" s="11"/>
      <c r="E889" s="11"/>
      <c r="H889" s="17"/>
      <c r="N889" s="11"/>
    </row>
    <row r="890">
      <c r="B890" s="11"/>
      <c r="E890" s="11"/>
      <c r="H890" s="17"/>
      <c r="N890" s="11"/>
    </row>
    <row r="891">
      <c r="B891" s="11"/>
      <c r="E891" s="11"/>
      <c r="H891" s="17"/>
      <c r="N891" s="11"/>
    </row>
    <row r="892">
      <c r="B892" s="11"/>
      <c r="E892" s="11"/>
      <c r="H892" s="17"/>
      <c r="N892" s="11"/>
    </row>
    <row r="893">
      <c r="B893" s="11"/>
      <c r="E893" s="11"/>
      <c r="H893" s="17"/>
      <c r="N893" s="11"/>
    </row>
    <row r="894">
      <c r="B894" s="11"/>
      <c r="E894" s="11"/>
      <c r="H894" s="17"/>
      <c r="N894" s="11"/>
    </row>
    <row r="895">
      <c r="B895" s="11"/>
      <c r="E895" s="11"/>
      <c r="H895" s="17"/>
      <c r="N895" s="11"/>
    </row>
    <row r="896">
      <c r="B896" s="11"/>
      <c r="E896" s="11"/>
      <c r="H896" s="17"/>
      <c r="N896" s="11"/>
    </row>
    <row r="897">
      <c r="B897" s="11"/>
      <c r="E897" s="11"/>
      <c r="H897" s="17"/>
      <c r="N897" s="11"/>
    </row>
    <row r="898">
      <c r="B898" s="11"/>
      <c r="E898" s="11"/>
      <c r="H898" s="17"/>
      <c r="N898" s="11"/>
    </row>
    <row r="899">
      <c r="B899" s="11"/>
      <c r="E899" s="11"/>
      <c r="H899" s="17"/>
      <c r="N899" s="11"/>
    </row>
    <row r="900">
      <c r="B900" s="11"/>
      <c r="E900" s="11"/>
      <c r="H900" s="17"/>
      <c r="N900" s="11"/>
    </row>
    <row r="901">
      <c r="B901" s="11"/>
      <c r="E901" s="11"/>
      <c r="H901" s="17"/>
      <c r="N901" s="11"/>
    </row>
    <row r="902">
      <c r="B902" s="11"/>
      <c r="E902" s="11"/>
      <c r="H902" s="17"/>
      <c r="N902" s="11"/>
    </row>
    <row r="903">
      <c r="B903" s="11"/>
      <c r="E903" s="11"/>
      <c r="H903" s="17"/>
      <c r="N903" s="11"/>
    </row>
    <row r="904">
      <c r="B904" s="11"/>
      <c r="E904" s="11"/>
      <c r="H904" s="17"/>
      <c r="N904" s="11"/>
    </row>
    <row r="905">
      <c r="B905" s="11"/>
      <c r="E905" s="11"/>
      <c r="H905" s="17"/>
      <c r="N905" s="11"/>
    </row>
    <row r="906">
      <c r="B906" s="11"/>
      <c r="E906" s="11"/>
      <c r="H906" s="17"/>
      <c r="N906" s="11"/>
    </row>
    <row r="907">
      <c r="B907" s="11"/>
      <c r="E907" s="11"/>
      <c r="H907" s="17"/>
      <c r="N907" s="11"/>
    </row>
    <row r="908">
      <c r="B908" s="11"/>
      <c r="E908" s="11"/>
      <c r="H908" s="17"/>
      <c r="N908" s="11"/>
    </row>
    <row r="909">
      <c r="B909" s="11"/>
      <c r="E909" s="11"/>
      <c r="H909" s="17"/>
      <c r="N909" s="11"/>
    </row>
    <row r="910">
      <c r="B910" s="11"/>
      <c r="E910" s="11"/>
      <c r="H910" s="17"/>
      <c r="N910" s="11"/>
    </row>
    <row r="911">
      <c r="B911" s="11"/>
      <c r="E911" s="11"/>
      <c r="H911" s="17"/>
      <c r="N911" s="11"/>
    </row>
    <row r="912">
      <c r="B912" s="11"/>
      <c r="E912" s="11"/>
      <c r="H912" s="17"/>
      <c r="N912" s="11"/>
    </row>
    <row r="913">
      <c r="B913" s="11"/>
      <c r="E913" s="11"/>
      <c r="H913" s="17"/>
      <c r="N913" s="11"/>
    </row>
    <row r="914">
      <c r="B914" s="11"/>
      <c r="E914" s="11"/>
      <c r="H914" s="17"/>
      <c r="N914" s="11"/>
    </row>
    <row r="915">
      <c r="B915" s="11"/>
      <c r="E915" s="11"/>
      <c r="H915" s="17"/>
      <c r="N915" s="11"/>
    </row>
    <row r="916">
      <c r="B916" s="11"/>
      <c r="E916" s="11"/>
      <c r="H916" s="17"/>
      <c r="N916" s="11"/>
    </row>
    <row r="917">
      <c r="B917" s="11"/>
      <c r="E917" s="11"/>
      <c r="H917" s="17"/>
      <c r="N917" s="11"/>
    </row>
    <row r="918">
      <c r="B918" s="11"/>
      <c r="E918" s="11"/>
      <c r="H918" s="17"/>
      <c r="N918" s="11"/>
    </row>
    <row r="919">
      <c r="B919" s="11"/>
      <c r="E919" s="11"/>
      <c r="H919" s="17"/>
      <c r="N919" s="11"/>
    </row>
    <row r="920">
      <c r="B920" s="11"/>
      <c r="E920" s="11"/>
      <c r="H920" s="17"/>
      <c r="N920" s="11"/>
    </row>
    <row r="921">
      <c r="B921" s="11"/>
      <c r="E921" s="11"/>
      <c r="H921" s="17"/>
      <c r="N921" s="11"/>
    </row>
    <row r="922">
      <c r="B922" s="11"/>
      <c r="E922" s="11"/>
      <c r="H922" s="17"/>
      <c r="N922" s="11"/>
    </row>
    <row r="923">
      <c r="B923" s="11"/>
      <c r="E923" s="11"/>
      <c r="H923" s="17"/>
      <c r="N923" s="11"/>
    </row>
    <row r="924">
      <c r="B924" s="11"/>
      <c r="E924" s="11"/>
      <c r="H924" s="17"/>
      <c r="N924" s="11"/>
    </row>
    <row r="925">
      <c r="B925" s="11"/>
      <c r="E925" s="11"/>
      <c r="H925" s="17"/>
      <c r="N925" s="11"/>
    </row>
    <row r="926">
      <c r="B926" s="11"/>
      <c r="E926" s="11"/>
      <c r="H926" s="17"/>
      <c r="N926" s="11"/>
    </row>
    <row r="927">
      <c r="B927" s="11"/>
      <c r="E927" s="11"/>
      <c r="H927" s="17"/>
      <c r="N927" s="11"/>
    </row>
    <row r="928">
      <c r="B928" s="11"/>
      <c r="E928" s="11"/>
      <c r="H928" s="17"/>
      <c r="N928" s="11"/>
    </row>
    <row r="929">
      <c r="B929" s="11"/>
      <c r="E929" s="11"/>
      <c r="H929" s="17"/>
      <c r="N929" s="11"/>
    </row>
    <row r="930">
      <c r="B930" s="11"/>
      <c r="E930" s="11"/>
      <c r="H930" s="17"/>
      <c r="N930" s="11"/>
    </row>
    <row r="931">
      <c r="B931" s="11"/>
      <c r="E931" s="11"/>
      <c r="H931" s="17"/>
      <c r="N931" s="11"/>
    </row>
    <row r="932">
      <c r="B932" s="11"/>
      <c r="E932" s="11"/>
      <c r="H932" s="17"/>
      <c r="N932" s="11"/>
    </row>
    <row r="933">
      <c r="B933" s="11"/>
      <c r="E933" s="11"/>
      <c r="H933" s="17"/>
      <c r="N933" s="11"/>
    </row>
    <row r="934">
      <c r="B934" s="11"/>
      <c r="E934" s="11"/>
      <c r="H934" s="17"/>
      <c r="N934" s="11"/>
    </row>
    <row r="935">
      <c r="B935" s="11"/>
      <c r="E935" s="11"/>
      <c r="H935" s="17"/>
      <c r="N935" s="11"/>
    </row>
    <row r="936">
      <c r="B936" s="11"/>
      <c r="E936" s="11"/>
      <c r="H936" s="17"/>
      <c r="N936" s="11"/>
    </row>
    <row r="937">
      <c r="B937" s="11"/>
      <c r="E937" s="11"/>
      <c r="H937" s="17"/>
      <c r="N937" s="11"/>
    </row>
    <row r="938">
      <c r="B938" s="11"/>
      <c r="E938" s="11"/>
      <c r="H938" s="17"/>
      <c r="N938" s="11"/>
    </row>
    <row r="939">
      <c r="B939" s="11"/>
      <c r="E939" s="11"/>
      <c r="H939" s="17"/>
      <c r="N939" s="11"/>
    </row>
    <row r="940">
      <c r="B940" s="11"/>
      <c r="E940" s="11"/>
      <c r="H940" s="17"/>
      <c r="N940" s="11"/>
    </row>
    <row r="941">
      <c r="B941" s="11"/>
      <c r="E941" s="11"/>
      <c r="H941" s="17"/>
      <c r="N941" s="11"/>
    </row>
    <row r="942">
      <c r="B942" s="11"/>
      <c r="E942" s="11"/>
      <c r="H942" s="17"/>
      <c r="N942" s="11"/>
    </row>
    <row r="943">
      <c r="B943" s="11"/>
      <c r="E943" s="11"/>
      <c r="H943" s="17"/>
      <c r="N943" s="11"/>
    </row>
    <row r="944">
      <c r="B944" s="11"/>
      <c r="E944" s="11"/>
      <c r="H944" s="17"/>
      <c r="N944" s="11"/>
    </row>
    <row r="945">
      <c r="B945" s="11"/>
      <c r="E945" s="11"/>
      <c r="H945" s="17"/>
      <c r="N945" s="11"/>
    </row>
    <row r="946">
      <c r="B946" s="11"/>
      <c r="E946" s="11"/>
      <c r="H946" s="17"/>
      <c r="N946" s="11"/>
    </row>
    <row r="947">
      <c r="B947" s="11"/>
      <c r="E947" s="11"/>
      <c r="H947" s="17"/>
      <c r="N947" s="11"/>
    </row>
    <row r="948">
      <c r="B948" s="11"/>
      <c r="E948" s="11"/>
      <c r="H948" s="17"/>
      <c r="N948" s="11"/>
    </row>
    <row r="949">
      <c r="B949" s="11"/>
      <c r="E949" s="11"/>
      <c r="H949" s="17"/>
      <c r="N949" s="11"/>
    </row>
    <row r="950">
      <c r="B950" s="11"/>
      <c r="E950" s="11"/>
      <c r="H950" s="17"/>
      <c r="N950" s="11"/>
    </row>
    <row r="951">
      <c r="B951" s="11"/>
      <c r="E951" s="11"/>
      <c r="H951" s="17"/>
      <c r="N951" s="11"/>
    </row>
    <row r="952">
      <c r="B952" s="11"/>
      <c r="E952" s="11"/>
      <c r="H952" s="17"/>
      <c r="N952" s="11"/>
    </row>
    <row r="953">
      <c r="B953" s="11"/>
      <c r="E953" s="11"/>
      <c r="H953" s="17"/>
      <c r="N953" s="11"/>
    </row>
    <row r="954">
      <c r="B954" s="11"/>
      <c r="E954" s="11"/>
      <c r="H954" s="17"/>
      <c r="N954" s="11"/>
    </row>
    <row r="955">
      <c r="B955" s="11"/>
      <c r="E955" s="11"/>
      <c r="H955" s="17"/>
      <c r="N955" s="11"/>
    </row>
    <row r="956">
      <c r="B956" s="11"/>
      <c r="E956" s="11"/>
      <c r="H956" s="17"/>
      <c r="N956" s="11"/>
    </row>
    <row r="957">
      <c r="B957" s="11"/>
      <c r="E957" s="11"/>
      <c r="H957" s="17"/>
      <c r="N957" s="11"/>
    </row>
    <row r="958">
      <c r="B958" s="11"/>
      <c r="E958" s="11"/>
      <c r="H958" s="17"/>
      <c r="N958" s="11"/>
    </row>
    <row r="959">
      <c r="B959" s="11"/>
      <c r="E959" s="11"/>
      <c r="H959" s="17"/>
      <c r="N959" s="11"/>
    </row>
    <row r="960">
      <c r="B960" s="11"/>
      <c r="E960" s="11"/>
      <c r="H960" s="17"/>
      <c r="N960" s="11"/>
    </row>
    <row r="961">
      <c r="B961" s="11"/>
      <c r="E961" s="11"/>
      <c r="H961" s="17"/>
      <c r="N961" s="11"/>
    </row>
    <row r="962">
      <c r="B962" s="11"/>
      <c r="E962" s="11"/>
      <c r="H962" s="17"/>
      <c r="N962" s="11"/>
    </row>
    <row r="963">
      <c r="B963" s="11"/>
      <c r="E963" s="11"/>
      <c r="H963" s="17"/>
      <c r="N963" s="11"/>
    </row>
    <row r="964">
      <c r="B964" s="11"/>
      <c r="E964" s="11"/>
      <c r="H964" s="17"/>
      <c r="N964" s="11"/>
    </row>
    <row r="965">
      <c r="B965" s="11"/>
      <c r="E965" s="11"/>
      <c r="H965" s="17"/>
      <c r="N965" s="11"/>
    </row>
    <row r="966">
      <c r="B966" s="11"/>
      <c r="E966" s="11"/>
      <c r="H966" s="17"/>
      <c r="N966" s="11"/>
    </row>
    <row r="967">
      <c r="B967" s="11"/>
      <c r="E967" s="11"/>
      <c r="H967" s="17"/>
      <c r="N967" s="11"/>
    </row>
    <row r="968">
      <c r="B968" s="11"/>
      <c r="E968" s="11"/>
      <c r="H968" s="17"/>
      <c r="N968" s="11"/>
    </row>
    <row r="969">
      <c r="B969" s="11"/>
      <c r="E969" s="11"/>
      <c r="H969" s="17"/>
      <c r="N969" s="11"/>
    </row>
    <row r="970">
      <c r="B970" s="11"/>
      <c r="E970" s="11"/>
      <c r="H970" s="17"/>
      <c r="N970" s="11"/>
    </row>
    <row r="971">
      <c r="B971" s="11"/>
      <c r="E971" s="11"/>
      <c r="H971" s="17"/>
      <c r="N971" s="11"/>
    </row>
    <row r="972">
      <c r="B972" s="11"/>
      <c r="E972" s="11"/>
      <c r="H972" s="17"/>
      <c r="N972" s="11"/>
    </row>
    <row r="973">
      <c r="B973" s="11"/>
      <c r="E973" s="11"/>
      <c r="H973" s="17"/>
      <c r="N973" s="11"/>
    </row>
    <row r="974">
      <c r="B974" s="11"/>
      <c r="E974" s="11"/>
      <c r="H974" s="17"/>
      <c r="N974" s="11"/>
    </row>
    <row r="975">
      <c r="B975" s="11"/>
      <c r="E975" s="11"/>
      <c r="H975" s="17"/>
      <c r="N975" s="11"/>
    </row>
    <row r="976">
      <c r="B976" s="11"/>
      <c r="E976" s="11"/>
      <c r="H976" s="17"/>
      <c r="N976" s="11"/>
    </row>
    <row r="977">
      <c r="B977" s="11"/>
      <c r="E977" s="11"/>
      <c r="H977" s="17"/>
      <c r="N977" s="11"/>
    </row>
    <row r="978">
      <c r="B978" s="11"/>
      <c r="E978" s="11"/>
      <c r="H978" s="17"/>
      <c r="N978" s="11"/>
    </row>
    <row r="979">
      <c r="B979" s="11"/>
      <c r="E979" s="11"/>
      <c r="H979" s="17"/>
      <c r="N979" s="11"/>
    </row>
    <row r="980">
      <c r="B980" s="11"/>
      <c r="E980" s="11"/>
      <c r="H980" s="17"/>
      <c r="N980" s="11"/>
    </row>
    <row r="981">
      <c r="B981" s="11"/>
      <c r="E981" s="11"/>
      <c r="H981" s="17"/>
      <c r="N981" s="11"/>
    </row>
    <row r="982">
      <c r="B982" s="11"/>
      <c r="E982" s="11"/>
      <c r="H982" s="17"/>
      <c r="N982" s="11"/>
    </row>
    <row r="983">
      <c r="B983" s="11"/>
      <c r="E983" s="11"/>
      <c r="H983" s="17"/>
      <c r="N983" s="11"/>
    </row>
    <row r="984">
      <c r="B984" s="11"/>
      <c r="E984" s="11"/>
      <c r="H984" s="17"/>
      <c r="N984" s="11"/>
    </row>
    <row r="985">
      <c r="B985" s="11"/>
      <c r="E985" s="11"/>
      <c r="H985" s="17"/>
      <c r="N985" s="11"/>
    </row>
    <row r="986">
      <c r="B986" s="11"/>
      <c r="E986" s="11"/>
      <c r="H986" s="17"/>
      <c r="N986" s="11"/>
    </row>
    <row r="987">
      <c r="B987" s="11"/>
      <c r="E987" s="11"/>
      <c r="H987" s="17"/>
      <c r="N987" s="11"/>
    </row>
    <row r="988">
      <c r="B988" s="11"/>
      <c r="E988" s="11"/>
      <c r="H988" s="17"/>
      <c r="N988" s="11"/>
    </row>
    <row r="989">
      <c r="B989" s="11"/>
      <c r="E989" s="11"/>
      <c r="H989" s="17"/>
      <c r="N989" s="11"/>
    </row>
    <row r="990">
      <c r="B990" s="11"/>
      <c r="E990" s="11"/>
      <c r="H990" s="17"/>
      <c r="N990" s="11"/>
    </row>
    <row r="991">
      <c r="B991" s="11"/>
      <c r="E991" s="11"/>
      <c r="H991" s="17"/>
      <c r="N991" s="11"/>
    </row>
    <row r="992">
      <c r="B992" s="11"/>
      <c r="E992" s="11"/>
      <c r="H992" s="17"/>
      <c r="N992" s="11"/>
    </row>
    <row r="993">
      <c r="B993" s="11"/>
      <c r="E993" s="11"/>
      <c r="H993" s="17"/>
      <c r="N993" s="11"/>
    </row>
    <row r="994">
      <c r="B994" s="11"/>
      <c r="E994" s="11"/>
      <c r="H994" s="17"/>
      <c r="N994" s="11"/>
    </row>
    <row r="995">
      <c r="B995" s="11"/>
      <c r="E995" s="11"/>
      <c r="H995" s="17"/>
      <c r="N995" s="11"/>
    </row>
    <row r="996">
      <c r="B996" s="11"/>
      <c r="E996" s="11"/>
      <c r="H996" s="17"/>
      <c r="N996" s="11"/>
    </row>
    <row r="997">
      <c r="B997" s="11"/>
      <c r="E997" s="11"/>
      <c r="H997" s="17"/>
      <c r="N997" s="11"/>
    </row>
    <row r="998">
      <c r="B998" s="11"/>
      <c r="E998" s="11"/>
      <c r="H998" s="17"/>
      <c r="N998" s="11"/>
    </row>
    <row r="999">
      <c r="B999" s="11"/>
      <c r="E999" s="11"/>
      <c r="H999" s="17"/>
      <c r="N999" s="11"/>
    </row>
    <row r="1000">
      <c r="B1000" s="11"/>
      <c r="E1000" s="11"/>
      <c r="H1000" s="17"/>
      <c r="N1000" s="1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 t="s">
        <v>110</v>
      </c>
      <c r="B1" s="56">
        <v>2023.0</v>
      </c>
      <c r="C1" s="56">
        <v>2022.0</v>
      </c>
      <c r="D1" s="56">
        <v>2021.0</v>
      </c>
      <c r="E1" s="56">
        <v>2020.0</v>
      </c>
      <c r="F1" s="56">
        <v>2019.0</v>
      </c>
    </row>
    <row r="2">
      <c r="A2" s="57" t="s">
        <v>111</v>
      </c>
      <c r="B2" s="58">
        <v>23.0</v>
      </c>
      <c r="C2" s="58">
        <v>21.0</v>
      </c>
      <c r="D2" s="58">
        <v>19.0</v>
      </c>
      <c r="E2" s="58">
        <v>19.0</v>
      </c>
      <c r="F2" s="58">
        <v>25.0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 t="s">
        <v>110</v>
      </c>
      <c r="B1" s="56">
        <v>2023.0</v>
      </c>
      <c r="C1" s="56">
        <v>2022.0</v>
      </c>
      <c r="D1" s="56">
        <v>2021.0</v>
      </c>
      <c r="E1" s="56">
        <v>2020.0</v>
      </c>
      <c r="F1" s="56">
        <v>2019.0</v>
      </c>
    </row>
    <row r="2">
      <c r="A2" s="57" t="s">
        <v>112</v>
      </c>
      <c r="B2" s="59">
        <v>24.0</v>
      </c>
      <c r="C2" s="59">
        <v>35.0</v>
      </c>
      <c r="D2" s="59">
        <v>37.0</v>
      </c>
      <c r="E2" s="59">
        <v>21.0</v>
      </c>
      <c r="F2" s="59">
        <v>171.0</v>
      </c>
      <c r="G2" s="6" t="s">
        <v>113</v>
      </c>
      <c r="H2" s="6" t="s">
        <v>114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 t="s">
        <v>110</v>
      </c>
      <c r="B1" s="56">
        <v>2023.0</v>
      </c>
      <c r="C1" s="56">
        <v>2022.0</v>
      </c>
      <c r="D1" s="56">
        <v>2021.0</v>
      </c>
      <c r="E1" s="56">
        <v>2020.0</v>
      </c>
      <c r="F1" s="56">
        <v>2019.0</v>
      </c>
    </row>
    <row r="2">
      <c r="A2" s="57" t="s">
        <v>115</v>
      </c>
      <c r="B2" s="59">
        <v>35.0</v>
      </c>
      <c r="C2" s="59">
        <v>36.0</v>
      </c>
      <c r="D2" s="59">
        <v>50.0</v>
      </c>
      <c r="E2" s="59">
        <v>20.0</v>
      </c>
      <c r="F2" s="59">
        <v>18.0</v>
      </c>
      <c r="H2" s="6" t="s">
        <v>116</v>
      </c>
    </row>
  </sheetData>
  <drawing r:id="rId1"/>
</worksheet>
</file>